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D:\EMBR3_ESWMP\"/>
    </mc:Choice>
  </mc:AlternateContent>
  <xr:revisionPtr revIDLastSave="0" documentId="13_ncr:1_{49CBAAA8-2C81-4967-80C1-5C13391E6224}" xr6:coauthVersionLast="47" xr6:coauthVersionMax="47" xr10:uidLastSave="{00000000-0000-0000-0000-000000000000}"/>
  <bookViews>
    <workbookView xWindow="-120" yWindow="480" windowWidth="38640" windowHeight="21240" tabRatio="820" firstSheet="2" activeTab="4" xr2:uid="{5C7DD59B-78A5-4187-AA5D-17DC84B941BD}"/>
  </bookViews>
  <sheets>
    <sheet name="ENMO TARGET" sheetId="15" state="hidden" r:id="rId1"/>
    <sheet name="Data Validation" sheetId="5" state="hidden" r:id="rId2"/>
    <sheet name="Sheet2" sheetId="26" r:id="rId3"/>
    <sheet name="Sheet3" sheetId="27" r:id="rId4"/>
    <sheet name="10-YEAR SWM PLAN" sheetId="1" r:id="rId5"/>
    <sheet name="MRF" sheetId="2" r:id="rId6"/>
    <sheet name="SLF" sheetId="4" r:id="rId7"/>
    <sheet name="EQUIPMENT" sheetId="6" r:id="rId8"/>
    <sheet name="ODS" sheetId="3" r:id="rId9"/>
    <sheet name="TRANSFER STATION" sheetId="8" r:id="rId10"/>
    <sheet name="PDS 2nd Sem" sheetId="16" r:id="rId11"/>
    <sheet name="PDS  1st sem(a)" sheetId="25" r:id="rId12"/>
    <sheet name="RCA" sheetId="9" r:id="rId13"/>
    <sheet name="PDS 1st Sem" sheetId="12" state="hidden" r:id="rId14"/>
    <sheet name="TRASH TRAP 1st Sem" sheetId="7" r:id="rId15"/>
    <sheet name="TRASH TRAP 2nd Sem" sheetId="17" r:id="rId16"/>
    <sheet name="BRGY TECHNICAL ASISSTANCE" sheetId="11" r:id="rId17"/>
    <sheet name="Sheet1" sheetId="21" state="hidden" r:id="rId18"/>
    <sheet name="BARANGAY ACCESS" sheetId="20" r:id="rId19"/>
    <sheet name="LGU ACCESS TO SLF" sheetId="19" r:id="rId20"/>
    <sheet name="BRGY SWM PROGRAM" sheetId="22" r:id="rId21"/>
    <sheet name="SUMMARY OF ACCOMPLISHMENT" sheetId="24" r:id="rId22"/>
    <sheet name="ACCOMPLISHMENT PER PERSONNEL" sheetId="23" state="hidden" r:id="rId23"/>
  </sheets>
  <definedNames>
    <definedName name="_xlnm._FilterDatabase" localSheetId="4" hidden="1">'10-YEAR SWM PLAN'!$A$1:$BQ$130</definedName>
    <definedName name="_xlnm._FilterDatabase" localSheetId="22" hidden="1">'ACCOMPLISHMENT PER PERSONNEL'!$AE$1:$AE$27</definedName>
    <definedName name="_xlnm._FilterDatabase" localSheetId="18" hidden="1">'BARANGAY ACCESS'!$A$1:$AN$3105</definedName>
    <definedName name="_xlnm._FilterDatabase" localSheetId="20" hidden="1">'BRGY SWM PROGRAM'!$A$1:$T$21</definedName>
    <definedName name="_xlnm._FilterDatabase" localSheetId="16" hidden="1">'BRGY TECHNICAL ASISSTANCE'!$A$1:$AA$3105</definedName>
    <definedName name="_xlnm._FilterDatabase" localSheetId="7" hidden="1">EQUIPMENT!$A$1:$AG$136</definedName>
    <definedName name="_xlnm._FilterDatabase" localSheetId="19" hidden="1">'LGU ACCESS TO SLF'!$A$1:$V$68</definedName>
    <definedName name="_xlnm._FilterDatabase" localSheetId="5" hidden="1">MRF!$A$1:$AS$195</definedName>
    <definedName name="_xlnm._FilterDatabase" localSheetId="8" hidden="1">ODS!$A$1:$AQ$55</definedName>
    <definedName name="_xlnm._FilterDatabase" localSheetId="11" hidden="1">'PDS  1st sem(a)'!$A$1:$AH$22</definedName>
    <definedName name="_xlnm._FilterDatabase" localSheetId="13" hidden="1">'PDS 1st Sem'!$A$1:$AH$22</definedName>
    <definedName name="_xlnm._FilterDatabase" localSheetId="10" hidden="1">'PDS 2nd Sem'!$A$1:$AI$22</definedName>
    <definedName name="_xlnm._FilterDatabase" localSheetId="12" hidden="1">RCA!$A$1:$AU$15</definedName>
    <definedName name="_xlnm._FilterDatabase" localSheetId="6" hidden="1">SLF!$A$1:$AW$18</definedName>
    <definedName name="_xlnm._FilterDatabase" localSheetId="9" hidden="1">'TRANSFER STATION'!$A$1:$AM$48</definedName>
    <definedName name="_xlnm._FilterDatabase" localSheetId="14" hidden="1">'TRASH TRAP 1st Sem'!$A$1:$AG$144</definedName>
    <definedName name="_xlnm._FilterDatabase" localSheetId="15" hidden="1">'TRASH TRAP 2nd Sem'!$A$1:$AG$144</definedName>
  </definedNames>
  <calcPr calcId="191028"/>
  <pivotCaches>
    <pivotCache cacheId="12" r:id="rId24"/>
    <pivotCache cacheId="13" r:id="rId2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48" i="19" l="1"/>
  <c r="R36" i="19"/>
  <c r="R66" i="19"/>
  <c r="R59" i="19"/>
  <c r="R51" i="19"/>
  <c r="R45" i="19"/>
  <c r="R40" i="19"/>
  <c r="T112" i="6"/>
  <c r="U84" i="17"/>
  <c r="T124" i="6"/>
  <c r="AA8" i="1"/>
  <c r="R63" i="19"/>
  <c r="R54" i="19"/>
  <c r="R49" i="19"/>
  <c r="R43" i="19"/>
  <c r="Y135" i="1"/>
  <c r="AE13" i="4"/>
  <c r="AD13" i="4"/>
  <c r="AC13" i="4"/>
  <c r="AB13" i="4"/>
  <c r="AE7" i="4"/>
  <c r="AD7" i="4"/>
  <c r="AC7" i="4"/>
  <c r="AB7" i="4"/>
  <c r="V2593" i="11"/>
  <c r="U2593" i="11"/>
  <c r="T2593" i="11"/>
  <c r="S2593" i="11"/>
  <c r="V23" i="17"/>
  <c r="U28" i="17"/>
  <c r="U23" i="17"/>
  <c r="U18" i="17"/>
  <c r="S23" i="17"/>
  <c r="U2" i="8"/>
  <c r="U3" i="8"/>
  <c r="V2" i="6"/>
  <c r="U43" i="8"/>
  <c r="V48" i="8"/>
  <c r="U48" i="8"/>
  <c r="T48" i="8"/>
  <c r="S48" i="8"/>
  <c r="V47" i="8"/>
  <c r="U47" i="8"/>
  <c r="T47" i="8"/>
  <c r="S47" i="8"/>
  <c r="V46" i="8"/>
  <c r="U46" i="8"/>
  <c r="T46" i="8"/>
  <c r="S46" i="8"/>
  <c r="V45" i="8"/>
  <c r="U45" i="8"/>
  <c r="T45" i="8"/>
  <c r="S45" i="8"/>
  <c r="V44" i="8"/>
  <c r="U44" i="8"/>
  <c r="T44" i="8"/>
  <c r="S44" i="8"/>
  <c r="V43" i="8"/>
  <c r="T43" i="8"/>
  <c r="S43" i="8"/>
  <c r="V42" i="8"/>
  <c r="U42" i="8"/>
  <c r="T42" i="8"/>
  <c r="S42" i="8"/>
  <c r="V41" i="8"/>
  <c r="U41" i="8"/>
  <c r="T41" i="8"/>
  <c r="S41" i="8"/>
  <c r="V40" i="8"/>
  <c r="U40" i="8"/>
  <c r="T40" i="8"/>
  <c r="S40" i="8"/>
  <c r="V39" i="8"/>
  <c r="U39" i="8"/>
  <c r="T39" i="8"/>
  <c r="S39" i="8"/>
  <c r="V38" i="8"/>
  <c r="U38" i="8"/>
  <c r="T38" i="8"/>
  <c r="S38" i="8"/>
  <c r="V37" i="8"/>
  <c r="U37" i="8"/>
  <c r="T37" i="8"/>
  <c r="S37" i="8"/>
  <c r="V36" i="8"/>
  <c r="U36" i="8"/>
  <c r="T36" i="8"/>
  <c r="S36" i="8"/>
  <c r="V35" i="8"/>
  <c r="U35" i="8"/>
  <c r="T35" i="8"/>
  <c r="S35" i="8"/>
  <c r="V34" i="8"/>
  <c r="U34" i="8"/>
  <c r="T34" i="8"/>
  <c r="S34" i="8"/>
  <c r="V33" i="8"/>
  <c r="U33" i="8"/>
  <c r="T33" i="8"/>
  <c r="S33" i="8"/>
  <c r="V32" i="8"/>
  <c r="U32" i="8"/>
  <c r="T32" i="8"/>
  <c r="S32" i="8"/>
  <c r="V31" i="8"/>
  <c r="U31" i="8"/>
  <c r="T31" i="8"/>
  <c r="S31" i="8"/>
  <c r="V30" i="8"/>
  <c r="U30" i="8"/>
  <c r="T30" i="8"/>
  <c r="S30" i="8"/>
  <c r="V29" i="8"/>
  <c r="U29" i="8"/>
  <c r="T29" i="8"/>
  <c r="S29" i="8"/>
  <c r="V28" i="8"/>
  <c r="U28" i="8"/>
  <c r="T28" i="8"/>
  <c r="S28" i="8"/>
  <c r="V27" i="8"/>
  <c r="U27" i="8"/>
  <c r="T27" i="8"/>
  <c r="S27" i="8"/>
  <c r="V26" i="8"/>
  <c r="U26" i="8"/>
  <c r="T26" i="8"/>
  <c r="S26" i="8"/>
  <c r="V25" i="8"/>
  <c r="U25" i="8"/>
  <c r="T25" i="8"/>
  <c r="S25" i="8"/>
  <c r="V24" i="8"/>
  <c r="U24" i="8"/>
  <c r="T24" i="8"/>
  <c r="S24" i="8"/>
  <c r="V23" i="8"/>
  <c r="U23" i="8"/>
  <c r="T23" i="8"/>
  <c r="S23" i="8"/>
  <c r="V22" i="8"/>
  <c r="U22" i="8"/>
  <c r="T22" i="8"/>
  <c r="S22" i="8"/>
  <c r="V21" i="8"/>
  <c r="U21" i="8"/>
  <c r="T21" i="8"/>
  <c r="S21" i="8"/>
  <c r="V20" i="8"/>
  <c r="U20" i="8"/>
  <c r="T20" i="8"/>
  <c r="S20" i="8"/>
  <c r="V19" i="8"/>
  <c r="U19" i="8"/>
  <c r="T19" i="8"/>
  <c r="S19" i="8"/>
  <c r="V18" i="8"/>
  <c r="U18" i="8"/>
  <c r="T18" i="8"/>
  <c r="S18" i="8"/>
  <c r="V17" i="8"/>
  <c r="U17" i="8"/>
  <c r="T17" i="8"/>
  <c r="S17" i="8"/>
  <c r="V16" i="8"/>
  <c r="U16" i="8"/>
  <c r="T16" i="8"/>
  <c r="AC15" i="23" s="1"/>
  <c r="S16" i="8"/>
  <c r="V15" i="8"/>
  <c r="U15" i="8"/>
  <c r="T15" i="8"/>
  <c r="S15" i="8"/>
  <c r="V14" i="8"/>
  <c r="U14" i="8"/>
  <c r="T14" i="8"/>
  <c r="S14" i="8"/>
  <c r="V13" i="8"/>
  <c r="U13" i="8"/>
  <c r="T13" i="8"/>
  <c r="S13" i="8"/>
  <c r="V12" i="8"/>
  <c r="U12" i="8"/>
  <c r="T12" i="8"/>
  <c r="S12" i="8"/>
  <c r="V11" i="8"/>
  <c r="U11" i="8"/>
  <c r="T11" i="8"/>
  <c r="S11" i="8"/>
  <c r="V10" i="8"/>
  <c r="U10" i="8"/>
  <c r="T10" i="8"/>
  <c r="Q11" i="23" s="1"/>
  <c r="S10" i="8"/>
  <c r="V9" i="8"/>
  <c r="U9" i="8"/>
  <c r="T9" i="8"/>
  <c r="S9" i="8"/>
  <c r="V8" i="8"/>
  <c r="U8" i="8"/>
  <c r="T8" i="8"/>
  <c r="S8" i="8"/>
  <c r="V7" i="8"/>
  <c r="U7" i="8"/>
  <c r="T7" i="8"/>
  <c r="S7" i="8"/>
  <c r="V6" i="8"/>
  <c r="U6" i="8"/>
  <c r="T6" i="8"/>
  <c r="S6" i="8"/>
  <c r="V5" i="8"/>
  <c r="U5" i="8"/>
  <c r="T5" i="8"/>
  <c r="S5" i="8"/>
  <c r="V4" i="8"/>
  <c r="U4" i="8"/>
  <c r="T4" i="8"/>
  <c r="S4" i="8"/>
  <c r="V3" i="8"/>
  <c r="T3" i="8"/>
  <c r="S3" i="8"/>
  <c r="V135" i="6"/>
  <c r="V118" i="6"/>
  <c r="V103" i="6"/>
  <c r="V101" i="6"/>
  <c r="T100" i="6"/>
  <c r="U100" i="6"/>
  <c r="V100" i="6"/>
  <c r="V13" i="6"/>
  <c r="V15" i="6"/>
  <c r="V11" i="6"/>
  <c r="V5" i="6"/>
  <c r="V3" i="6"/>
  <c r="V4" i="6"/>
  <c r="V6" i="6"/>
  <c r="V7" i="6"/>
  <c r="V8" i="6"/>
  <c r="V9" i="6"/>
  <c r="V10" i="6"/>
  <c r="V12" i="6"/>
  <c r="V14" i="6"/>
  <c r="V17" i="6"/>
  <c r="V16" i="6"/>
  <c r="V18" i="6"/>
  <c r="V19" i="6"/>
  <c r="V20" i="6"/>
  <c r="V21" i="6"/>
  <c r="V22" i="6"/>
  <c r="V23" i="6"/>
  <c r="V24" i="6"/>
  <c r="V25" i="6"/>
  <c r="V26" i="6"/>
  <c r="V27" i="6"/>
  <c r="V28" i="6"/>
  <c r="V29" i="6"/>
  <c r="V30" i="6"/>
  <c r="V31" i="6"/>
  <c r="V32" i="6"/>
  <c r="V33" i="6"/>
  <c r="V34" i="6"/>
  <c r="V35" i="6"/>
  <c r="V36" i="6"/>
  <c r="V37" i="6"/>
  <c r="V38" i="6"/>
  <c r="V39" i="6"/>
  <c r="V40" i="6"/>
  <c r="V41" i="6"/>
  <c r="V42" i="6"/>
  <c r="V43" i="6"/>
  <c r="V44" i="6"/>
  <c r="V45" i="6"/>
  <c r="V46" i="6"/>
  <c r="V47" i="6"/>
  <c r="V48" i="6"/>
  <c r="V49" i="6"/>
  <c r="V50" i="6"/>
  <c r="V51" i="6"/>
  <c r="V52" i="6"/>
  <c r="V53" i="6"/>
  <c r="V54" i="6"/>
  <c r="V55" i="6"/>
  <c r="V56" i="6"/>
  <c r="V57" i="6"/>
  <c r="V58" i="6"/>
  <c r="V59" i="6"/>
  <c r="V60" i="6"/>
  <c r="V61" i="6"/>
  <c r="V62" i="6"/>
  <c r="V63" i="6"/>
  <c r="V64" i="6"/>
  <c r="V65" i="6"/>
  <c r="V66" i="6"/>
  <c r="V67" i="6"/>
  <c r="V68" i="6"/>
  <c r="V69" i="6"/>
  <c r="V70" i="6"/>
  <c r="V71" i="6"/>
  <c r="V72" i="6"/>
  <c r="V73" i="6"/>
  <c r="V74" i="6"/>
  <c r="V75" i="6"/>
  <c r="V76" i="6"/>
  <c r="V77" i="6"/>
  <c r="V78" i="6"/>
  <c r="V79" i="6"/>
  <c r="V80" i="6"/>
  <c r="V81" i="6"/>
  <c r="V82" i="6"/>
  <c r="V83" i="6"/>
  <c r="V84" i="6"/>
  <c r="V85" i="6"/>
  <c r="V86" i="6"/>
  <c r="V87" i="6"/>
  <c r="V88" i="6"/>
  <c r="V89" i="6"/>
  <c r="V90" i="6"/>
  <c r="V91" i="6"/>
  <c r="V92" i="6"/>
  <c r="V93" i="6"/>
  <c r="V94" i="6"/>
  <c r="V95" i="6"/>
  <c r="V96" i="6"/>
  <c r="V97" i="6"/>
  <c r="V98" i="6"/>
  <c r="V99" i="6"/>
  <c r="V102" i="6"/>
  <c r="V104" i="6"/>
  <c r="V105" i="6"/>
  <c r="V106" i="6"/>
  <c r="V107" i="6"/>
  <c r="V108" i="6"/>
  <c r="V109" i="6"/>
  <c r="V110" i="6"/>
  <c r="V111" i="6"/>
  <c r="V112" i="6"/>
  <c r="V113" i="6"/>
  <c r="V114" i="6"/>
  <c r="V115" i="6"/>
  <c r="V116" i="6"/>
  <c r="V117" i="6"/>
  <c r="V119" i="6"/>
  <c r="V120" i="6"/>
  <c r="V121" i="6"/>
  <c r="V122" i="6"/>
  <c r="V123" i="6"/>
  <c r="V124" i="6"/>
  <c r="V125" i="6"/>
  <c r="V126" i="6"/>
  <c r="V127" i="6"/>
  <c r="V128" i="6"/>
  <c r="V129" i="6"/>
  <c r="V130" i="6"/>
  <c r="V131" i="6"/>
  <c r="V132" i="6"/>
  <c r="V133" i="6"/>
  <c r="V134" i="6"/>
  <c r="V136" i="6"/>
  <c r="W2" i="6"/>
  <c r="U2" i="6"/>
  <c r="T2" i="6"/>
  <c r="Z47" i="3"/>
  <c r="Z32" i="3"/>
  <c r="Z31" i="3"/>
  <c r="Z50" i="3"/>
  <c r="Z4" i="3"/>
  <c r="Z5" i="3"/>
  <c r="Z6" i="3"/>
  <c r="Z7" i="3"/>
  <c r="Z8" i="3"/>
  <c r="Z9" i="3"/>
  <c r="Z10" i="3"/>
  <c r="Z11" i="3"/>
  <c r="Z12" i="3"/>
  <c r="Z13" i="3"/>
  <c r="Z14" i="3"/>
  <c r="Z15" i="3"/>
  <c r="Z16" i="3"/>
  <c r="Z17" i="3"/>
  <c r="Z18" i="3"/>
  <c r="Z19" i="3"/>
  <c r="Z20" i="3"/>
  <c r="Z21" i="3"/>
  <c r="Z22" i="3"/>
  <c r="Z23" i="3"/>
  <c r="Z24" i="3"/>
  <c r="Z25" i="3"/>
  <c r="Z26" i="3"/>
  <c r="Z27" i="3"/>
  <c r="Z28" i="3"/>
  <c r="Z29" i="3"/>
  <c r="Z30" i="3"/>
  <c r="Z33" i="3"/>
  <c r="Z34" i="3"/>
  <c r="Z35" i="3"/>
  <c r="Z36" i="3"/>
  <c r="Z37" i="3"/>
  <c r="Z38" i="3"/>
  <c r="Z39" i="3"/>
  <c r="Z3" i="3"/>
  <c r="Z41" i="3"/>
  <c r="Z42" i="3"/>
  <c r="Z43" i="3"/>
  <c r="Z44" i="3"/>
  <c r="Z45" i="3"/>
  <c r="Z46" i="3"/>
  <c r="Z48" i="3"/>
  <c r="Z49" i="3"/>
  <c r="Z40" i="3"/>
  <c r="Z51" i="3"/>
  <c r="Z52" i="3"/>
  <c r="Z53" i="3"/>
  <c r="Z54" i="3"/>
  <c r="Z55" i="3"/>
  <c r="Z2" i="3"/>
  <c r="AA2" i="3"/>
  <c r="Y10" i="3"/>
  <c r="AA4" i="3"/>
  <c r="X50" i="3"/>
  <c r="Y50" i="3"/>
  <c r="AA50" i="3"/>
  <c r="X4" i="3"/>
  <c r="Y4" i="3"/>
  <c r="X5" i="3"/>
  <c r="Y5" i="3"/>
  <c r="AA5" i="3"/>
  <c r="X6" i="3"/>
  <c r="Y6" i="3"/>
  <c r="AA6" i="3"/>
  <c r="X7" i="3"/>
  <c r="Y7" i="3"/>
  <c r="AA7" i="3"/>
  <c r="X8" i="3"/>
  <c r="Y8" i="3"/>
  <c r="AA8" i="3"/>
  <c r="X9" i="3"/>
  <c r="Y9" i="3"/>
  <c r="AA9" i="3"/>
  <c r="X10" i="3"/>
  <c r="AA10" i="3"/>
  <c r="X11" i="3"/>
  <c r="Y11" i="3"/>
  <c r="AA11" i="3"/>
  <c r="X12" i="3"/>
  <c r="Y12" i="3"/>
  <c r="AA12" i="3"/>
  <c r="X13" i="3"/>
  <c r="Y13" i="3"/>
  <c r="AA13" i="3"/>
  <c r="X14" i="3"/>
  <c r="Y14" i="3"/>
  <c r="AA14" i="3"/>
  <c r="X15" i="3"/>
  <c r="Y15" i="3"/>
  <c r="AA15" i="3"/>
  <c r="X16" i="3"/>
  <c r="Y16" i="3"/>
  <c r="AA16" i="3"/>
  <c r="X17" i="3"/>
  <c r="Y17" i="3"/>
  <c r="AA17" i="3"/>
  <c r="X18" i="3"/>
  <c r="Y18" i="3"/>
  <c r="AA18" i="3"/>
  <c r="X19" i="3"/>
  <c r="Y19" i="3"/>
  <c r="AA19" i="3"/>
  <c r="X20" i="3"/>
  <c r="Y20" i="3"/>
  <c r="AA20" i="3"/>
  <c r="X21" i="3"/>
  <c r="Y21" i="3"/>
  <c r="AA21" i="3"/>
  <c r="X22" i="3"/>
  <c r="Y22" i="3"/>
  <c r="AA22" i="3"/>
  <c r="X23" i="3"/>
  <c r="Y23" i="3"/>
  <c r="AA23" i="3"/>
  <c r="X24" i="3"/>
  <c r="Y24" i="3"/>
  <c r="AA24" i="3"/>
  <c r="X25" i="3"/>
  <c r="Y25" i="3"/>
  <c r="AA25" i="3"/>
  <c r="X26" i="3"/>
  <c r="Y26" i="3"/>
  <c r="AA26" i="3"/>
  <c r="X27" i="3"/>
  <c r="Y27" i="3"/>
  <c r="AA27" i="3"/>
  <c r="X28" i="3"/>
  <c r="Y28" i="3"/>
  <c r="AA28" i="3"/>
  <c r="X29" i="3"/>
  <c r="Y29" i="3"/>
  <c r="AA29" i="3"/>
  <c r="X30" i="3"/>
  <c r="Y30" i="3"/>
  <c r="AA30" i="3"/>
  <c r="X31" i="3"/>
  <c r="Y31" i="3"/>
  <c r="AA31" i="3"/>
  <c r="X32" i="3"/>
  <c r="Y32" i="3"/>
  <c r="AA32" i="3"/>
  <c r="X33" i="3"/>
  <c r="Y33" i="3"/>
  <c r="AA33" i="3"/>
  <c r="X34" i="3"/>
  <c r="Y34" i="3"/>
  <c r="AA34" i="3"/>
  <c r="X35" i="3"/>
  <c r="Y35" i="3"/>
  <c r="AA35" i="3"/>
  <c r="X36" i="3"/>
  <c r="Y36" i="3"/>
  <c r="AA36" i="3"/>
  <c r="X37" i="3"/>
  <c r="Y37" i="3"/>
  <c r="AA37" i="3"/>
  <c r="X38" i="3"/>
  <c r="Y38" i="3"/>
  <c r="AA38" i="3"/>
  <c r="X39" i="3"/>
  <c r="Y39" i="3"/>
  <c r="AA39" i="3"/>
  <c r="X3" i="3"/>
  <c r="Y3" i="3"/>
  <c r="AA3" i="3"/>
  <c r="X41" i="3"/>
  <c r="Y41" i="3"/>
  <c r="AA41" i="3"/>
  <c r="X42" i="3"/>
  <c r="Y42" i="3"/>
  <c r="AA42" i="3"/>
  <c r="X43" i="3"/>
  <c r="Y43" i="3"/>
  <c r="AA43" i="3"/>
  <c r="X44" i="3"/>
  <c r="Y44" i="3"/>
  <c r="AA44" i="3"/>
  <c r="X45" i="3"/>
  <c r="Y45" i="3"/>
  <c r="AA45" i="3"/>
  <c r="X46" i="3"/>
  <c r="Y46" i="3"/>
  <c r="AA46" i="3"/>
  <c r="X47" i="3"/>
  <c r="Y47" i="3"/>
  <c r="AA47" i="3"/>
  <c r="X48" i="3"/>
  <c r="Y48" i="3"/>
  <c r="AA48" i="3"/>
  <c r="X49" i="3"/>
  <c r="Y49" i="3"/>
  <c r="AA49" i="3"/>
  <c r="X40" i="3"/>
  <c r="Y40" i="3"/>
  <c r="AA40" i="3"/>
  <c r="X51" i="3"/>
  <c r="Y51" i="3"/>
  <c r="AA51" i="3"/>
  <c r="X52" i="3"/>
  <c r="Y52" i="3"/>
  <c r="AA52" i="3"/>
  <c r="X53" i="3"/>
  <c r="Y53" i="3"/>
  <c r="AA53" i="3"/>
  <c r="X54" i="3"/>
  <c r="Y54" i="3"/>
  <c r="AA54" i="3"/>
  <c r="X55" i="3"/>
  <c r="Y55" i="3"/>
  <c r="AA55" i="3"/>
  <c r="Y2" i="3"/>
  <c r="X2" i="3"/>
  <c r="Z193" i="2"/>
  <c r="Z161" i="2"/>
  <c r="Z2" i="2"/>
  <c r="Z3" i="2"/>
  <c r="Z4" i="2"/>
  <c r="Z5" i="2"/>
  <c r="Z6" i="2"/>
  <c r="Z7" i="2"/>
  <c r="Z8" i="2"/>
  <c r="Z9" i="2"/>
  <c r="Z10" i="2"/>
  <c r="Z11" i="2"/>
  <c r="Z12" i="2"/>
  <c r="Z13" i="2"/>
  <c r="Z28" i="2"/>
  <c r="Z30" i="2"/>
  <c r="Z31" i="2"/>
  <c r="Z32" i="2"/>
  <c r="Z18" i="2"/>
  <c r="Z19" i="2"/>
  <c r="Z14" i="2"/>
  <c r="Z21" i="2"/>
  <c r="Z15" i="2"/>
  <c r="Z23" i="2"/>
  <c r="Z22" i="2"/>
  <c r="Z25" i="2"/>
  <c r="Z26" i="2"/>
  <c r="Z27" i="2"/>
  <c r="Z36" i="2"/>
  <c r="Z29" i="2"/>
  <c r="Z37" i="2"/>
  <c r="Z24" i="2"/>
  <c r="Z16" i="2"/>
  <c r="Z33" i="2"/>
  <c r="Z34" i="2"/>
  <c r="Z35" i="2"/>
  <c r="Z17" i="2"/>
  <c r="Z20"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0" i="2"/>
  <c r="Z81" i="2"/>
  <c r="Z82" i="2"/>
  <c r="Z83" i="2"/>
  <c r="Z84" i="2"/>
  <c r="Z85" i="2"/>
  <c r="Z86" i="2"/>
  <c r="Z87" i="2"/>
  <c r="Z88" i="2"/>
  <c r="Z89" i="2"/>
  <c r="Z90" i="2"/>
  <c r="Z91" i="2"/>
  <c r="Z92" i="2"/>
  <c r="Z93" i="2"/>
  <c r="Z94" i="2"/>
  <c r="Z95" i="2"/>
  <c r="Z96" i="2"/>
  <c r="Z97" i="2"/>
  <c r="Z98" i="2"/>
  <c r="Z99" i="2"/>
  <c r="Z100" i="2"/>
  <c r="Z101" i="2"/>
  <c r="Z102" i="2"/>
  <c r="Z103" i="2"/>
  <c r="Z104" i="2"/>
  <c r="Z105" i="2"/>
  <c r="Z106" i="2"/>
  <c r="Z107" i="2"/>
  <c r="Z108" i="2"/>
  <c r="Z109" i="2"/>
  <c r="Z110" i="2"/>
  <c r="Z111" i="2"/>
  <c r="Z112" i="2"/>
  <c r="Z113" i="2"/>
  <c r="Z114" i="2"/>
  <c r="Z115" i="2"/>
  <c r="Z116" i="2"/>
  <c r="Z117" i="2"/>
  <c r="Z118" i="2"/>
  <c r="Z119" i="2"/>
  <c r="Z120" i="2"/>
  <c r="Z121" i="2"/>
  <c r="Z122" i="2"/>
  <c r="Z123" i="2"/>
  <c r="Z124" i="2"/>
  <c r="Z125" i="2"/>
  <c r="Z126" i="2"/>
  <c r="Z127" i="2"/>
  <c r="Z128" i="2"/>
  <c r="Z129" i="2"/>
  <c r="Z130" i="2"/>
  <c r="Z131" i="2"/>
  <c r="Z132" i="2"/>
  <c r="Z133" i="2"/>
  <c r="Z134" i="2"/>
  <c r="Z135" i="2"/>
  <c r="Z136" i="2"/>
  <c r="Z137" i="2"/>
  <c r="Z138" i="2"/>
  <c r="Z139" i="2"/>
  <c r="Z140" i="2"/>
  <c r="Z141" i="2"/>
  <c r="Z142" i="2"/>
  <c r="Z143" i="2"/>
  <c r="Z144" i="2"/>
  <c r="Z145" i="2"/>
  <c r="Z146" i="2"/>
  <c r="Z147" i="2"/>
  <c r="Z148" i="2"/>
  <c r="Z149" i="2"/>
  <c r="Z150" i="2"/>
  <c r="Z151" i="2"/>
  <c r="Z152" i="2"/>
  <c r="Z153" i="2"/>
  <c r="Z154" i="2"/>
  <c r="Z155" i="2"/>
  <c r="Z156" i="2"/>
  <c r="Z157" i="2"/>
  <c r="Z158" i="2"/>
  <c r="Z159" i="2"/>
  <c r="Z160" i="2"/>
  <c r="Z162" i="2"/>
  <c r="Z163" i="2"/>
  <c r="Z164" i="2"/>
  <c r="Z165" i="2"/>
  <c r="Z166" i="2"/>
  <c r="Z167" i="2"/>
  <c r="Z168" i="2"/>
  <c r="Z169" i="2"/>
  <c r="Z170" i="2"/>
  <c r="Z171" i="2"/>
  <c r="Z172" i="2"/>
  <c r="Z173" i="2"/>
  <c r="Z174" i="2"/>
  <c r="Z175" i="2"/>
  <c r="Z176" i="2"/>
  <c r="Z177" i="2"/>
  <c r="Z178" i="2"/>
  <c r="Z179" i="2"/>
  <c r="Z180" i="2"/>
  <c r="Z181" i="2"/>
  <c r="Z182" i="2"/>
  <c r="Z183" i="2"/>
  <c r="Z184" i="2"/>
  <c r="Z185" i="2"/>
  <c r="Y79" i="2"/>
  <c r="Y63" i="2"/>
  <c r="Y58" i="2"/>
  <c r="Y43" i="2"/>
  <c r="Y42" i="2"/>
  <c r="Y11" i="2"/>
  <c r="Y6" i="2"/>
  <c r="Y3" i="2"/>
  <c r="Y4" i="2"/>
  <c r="Y5" i="2"/>
  <c r="Y7" i="2"/>
  <c r="Y8" i="2"/>
  <c r="Y9" i="2"/>
  <c r="Y10" i="2"/>
  <c r="Y12" i="2"/>
  <c r="Y13" i="2"/>
  <c r="Y28" i="2"/>
  <c r="Y30" i="2"/>
  <c r="Y31" i="2"/>
  <c r="Y32" i="2"/>
  <c r="Y18" i="2"/>
  <c r="Y19" i="2"/>
  <c r="Y14" i="2"/>
  <c r="Y21" i="2"/>
  <c r="Y15" i="2"/>
  <c r="Y23" i="2"/>
  <c r="Y22" i="2"/>
  <c r="Y25" i="2"/>
  <c r="Y26" i="2"/>
  <c r="Y27" i="2"/>
  <c r="Y36" i="2"/>
  <c r="Y29" i="2"/>
  <c r="Y37" i="2"/>
  <c r="Y24" i="2"/>
  <c r="Y16" i="2"/>
  <c r="Y33" i="2"/>
  <c r="Y34" i="2"/>
  <c r="Y35" i="2"/>
  <c r="Y17" i="2"/>
  <c r="Y20" i="2"/>
  <c r="Y38" i="2"/>
  <c r="Y39" i="2"/>
  <c r="Y40" i="2"/>
  <c r="Y41" i="2"/>
  <c r="Y44" i="2"/>
  <c r="Y45" i="2"/>
  <c r="Y46" i="2"/>
  <c r="Y47" i="2"/>
  <c r="Y48" i="2"/>
  <c r="Y49" i="2"/>
  <c r="Y50" i="2"/>
  <c r="Y51" i="2"/>
  <c r="Y52" i="2"/>
  <c r="Y53" i="2"/>
  <c r="Y54" i="2"/>
  <c r="Y55" i="2"/>
  <c r="Y56" i="2"/>
  <c r="Y57" i="2"/>
  <c r="Y59" i="2"/>
  <c r="Y60" i="2"/>
  <c r="Y61" i="2"/>
  <c r="Y62" i="2"/>
  <c r="Y64" i="2"/>
  <c r="Y65" i="2"/>
  <c r="Y66" i="2"/>
  <c r="Y67" i="2"/>
  <c r="Y68" i="2"/>
  <c r="Y69" i="2"/>
  <c r="Y70" i="2"/>
  <c r="Y71" i="2"/>
  <c r="Y72" i="2"/>
  <c r="Y73" i="2"/>
  <c r="Y74" i="2"/>
  <c r="Y75" i="2"/>
  <c r="Y76" i="2"/>
  <c r="Y77" i="2"/>
  <c r="Y78"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2" i="2"/>
  <c r="X6" i="2"/>
  <c r="X3" i="2"/>
  <c r="X4" i="2"/>
  <c r="X5" i="2"/>
  <c r="X7" i="2"/>
  <c r="X8" i="2"/>
  <c r="X9" i="2"/>
  <c r="X10" i="2"/>
  <c r="X11" i="2"/>
  <c r="X12" i="2"/>
  <c r="X13" i="2"/>
  <c r="X28" i="2"/>
  <c r="X30" i="2"/>
  <c r="X31" i="2"/>
  <c r="X32" i="2"/>
  <c r="X18" i="2"/>
  <c r="X19" i="2"/>
  <c r="X14" i="2"/>
  <c r="X21" i="2"/>
  <c r="X15" i="2"/>
  <c r="X23" i="2"/>
  <c r="X22" i="2"/>
  <c r="X25" i="2"/>
  <c r="X26" i="2"/>
  <c r="X27" i="2"/>
  <c r="X36" i="2"/>
  <c r="X29" i="2"/>
  <c r="X37" i="2"/>
  <c r="X24" i="2"/>
  <c r="X16" i="2"/>
  <c r="X33" i="2"/>
  <c r="X34" i="2"/>
  <c r="X35" i="2"/>
  <c r="X17" i="2"/>
  <c r="X20"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2" i="2"/>
  <c r="W31" i="2"/>
  <c r="W3" i="2"/>
  <c r="W4" i="2"/>
  <c r="W5" i="2"/>
  <c r="W6" i="2"/>
  <c r="W7" i="2"/>
  <c r="W8" i="2"/>
  <c r="W9" i="2"/>
  <c r="W10" i="2"/>
  <c r="W11" i="2"/>
  <c r="W12" i="2"/>
  <c r="W13" i="2"/>
  <c r="W28" i="2"/>
  <c r="W30" i="2"/>
  <c r="W32" i="2"/>
  <c r="W18" i="2"/>
  <c r="W19" i="2"/>
  <c r="W14" i="2"/>
  <c r="W21" i="2"/>
  <c r="W15" i="2"/>
  <c r="W23" i="2"/>
  <c r="W22" i="2"/>
  <c r="W25" i="2"/>
  <c r="W26" i="2"/>
  <c r="W27" i="2"/>
  <c r="W36" i="2"/>
  <c r="W29" i="2"/>
  <c r="W37" i="2"/>
  <c r="W24" i="2"/>
  <c r="W16" i="2"/>
  <c r="W33" i="2"/>
  <c r="W34" i="2"/>
  <c r="W35" i="2"/>
  <c r="W17" i="2"/>
  <c r="W20"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2" i="2"/>
  <c r="AB5" i="4"/>
  <c r="AE11" i="4"/>
  <c r="AE6" i="4"/>
  <c r="AE16" i="4"/>
  <c r="AE9" i="4"/>
  <c r="AE4" i="4"/>
  <c r="AE8" i="4"/>
  <c r="AE14" i="4"/>
  <c r="AE12" i="4"/>
  <c r="AE5" i="4"/>
  <c r="AE17" i="4"/>
  <c r="AE15" i="4"/>
  <c r="AE3" i="4"/>
  <c r="AE18" i="4"/>
  <c r="AE10" i="4"/>
  <c r="AE2" i="4"/>
  <c r="AB11" i="4"/>
  <c r="AB6" i="4"/>
  <c r="AB16" i="4"/>
  <c r="AB9" i="4"/>
  <c r="AB4" i="4"/>
  <c r="AB8" i="4"/>
  <c r="AB14" i="4"/>
  <c r="AB12" i="4"/>
  <c r="AB17" i="4"/>
  <c r="AB15" i="4"/>
  <c r="AB3" i="4"/>
  <c r="AB18" i="4"/>
  <c r="AB10" i="4"/>
  <c r="AB2" i="4"/>
  <c r="AC16" i="4"/>
  <c r="AC11" i="4"/>
  <c r="AC6" i="4"/>
  <c r="AC9" i="4"/>
  <c r="AC4" i="4"/>
  <c r="AC8" i="4"/>
  <c r="AC14" i="4"/>
  <c r="AC12" i="4"/>
  <c r="AC5" i="4"/>
  <c r="AC17" i="4"/>
  <c r="AC15" i="4"/>
  <c r="AC3" i="4"/>
  <c r="AC18" i="4"/>
  <c r="AC10" i="4"/>
  <c r="AC2" i="4"/>
  <c r="AD16" i="4"/>
  <c r="AD11" i="4"/>
  <c r="AD6" i="4"/>
  <c r="AD9" i="4"/>
  <c r="AD4" i="4"/>
  <c r="AD8" i="4"/>
  <c r="AD14" i="4"/>
  <c r="AD12" i="4"/>
  <c r="AD5" i="4"/>
  <c r="AD17" i="4"/>
  <c r="AD15" i="4"/>
  <c r="AD3" i="4"/>
  <c r="AD18" i="4"/>
  <c r="AD10" i="4"/>
  <c r="AD2" i="4"/>
  <c r="AA60" i="1"/>
  <c r="AB3" i="1"/>
  <c r="AA3" i="1"/>
  <c r="Z3" i="1"/>
  <c r="Y3" i="1"/>
  <c r="Z121" i="1"/>
  <c r="Z71" i="1"/>
  <c r="Z31" i="1"/>
  <c r="Z32" i="1"/>
  <c r="Z120" i="1"/>
  <c r="Z81" i="1"/>
  <c r="Z6" i="1"/>
  <c r="Z7" i="1"/>
  <c r="Z45" i="1"/>
  <c r="Z61" i="1"/>
  <c r="Z9" i="1"/>
  <c r="Z10" i="1"/>
  <c r="Z20" i="1"/>
  <c r="Z33" i="1"/>
  <c r="Z34" i="1"/>
  <c r="Z46" i="1"/>
  <c r="Z47" i="1"/>
  <c r="Z48" i="1"/>
  <c r="Z62" i="1"/>
  <c r="Z63" i="1"/>
  <c r="Z72" i="1"/>
  <c r="Z73" i="1"/>
  <c r="Z82" i="1"/>
  <c r="Z83" i="1"/>
  <c r="Z84" i="1"/>
  <c r="Z92" i="1"/>
  <c r="Z93" i="1"/>
  <c r="Z94" i="1"/>
  <c r="Z106" i="1"/>
  <c r="Z107" i="1"/>
  <c r="Z108" i="1"/>
  <c r="Z122" i="1"/>
  <c r="Z11" i="1"/>
  <c r="Z12" i="1"/>
  <c r="Z13" i="1"/>
  <c r="Z14" i="1"/>
  <c r="Z21" i="1"/>
  <c r="Z22" i="1"/>
  <c r="Z23" i="1"/>
  <c r="Z24" i="1"/>
  <c r="Z25" i="1"/>
  <c r="Z35" i="1"/>
  <c r="Z36" i="1"/>
  <c r="Z37" i="1"/>
  <c r="Z49" i="1"/>
  <c r="Z50" i="1"/>
  <c r="Z64" i="1"/>
  <c r="Z65" i="1"/>
  <c r="Z51" i="1"/>
  <c r="Z74" i="1"/>
  <c r="Z85" i="1"/>
  <c r="Z86" i="1"/>
  <c r="Z87" i="1"/>
  <c r="Z95" i="1"/>
  <c r="Z96" i="1"/>
  <c r="Z97" i="1"/>
  <c r="Z109" i="1"/>
  <c r="Z110" i="1"/>
  <c r="Z111" i="1"/>
  <c r="Z123" i="1"/>
  <c r="Z124" i="1"/>
  <c r="Z125" i="1"/>
  <c r="Z2" i="1"/>
  <c r="Z15" i="1"/>
  <c r="Z26" i="1"/>
  <c r="Z27" i="1"/>
  <c r="Z39" i="1"/>
  <c r="Z40" i="1"/>
  <c r="Z52" i="1"/>
  <c r="Z53" i="1"/>
  <c r="Z66" i="1"/>
  <c r="Z67" i="1"/>
  <c r="Z76" i="1"/>
  <c r="Z77" i="1"/>
  <c r="Z88" i="1"/>
  <c r="Z89" i="1"/>
  <c r="Z98" i="1"/>
  <c r="Z99" i="1"/>
  <c r="Z112" i="1"/>
  <c r="Z113" i="1"/>
  <c r="Z126" i="1"/>
  <c r="Z100" i="1"/>
  <c r="Z28" i="1"/>
  <c r="Z41" i="1"/>
  <c r="Z42" i="1"/>
  <c r="Z54" i="1"/>
  <c r="Z127" i="1"/>
  <c r="Z114" i="1"/>
  <c r="Z5" i="1"/>
  <c r="Z18" i="1"/>
  <c r="Z19" i="1"/>
  <c r="Z30" i="1"/>
  <c r="Z59" i="1"/>
  <c r="Z80" i="1"/>
  <c r="Z105" i="1"/>
  <c r="Z118" i="1"/>
  <c r="Z119" i="1"/>
  <c r="Z8" i="1"/>
  <c r="Z38" i="1"/>
  <c r="Z75" i="1"/>
  <c r="Z128" i="1"/>
  <c r="Z16" i="1"/>
  <c r="Z55" i="1"/>
  <c r="Z101" i="1"/>
  <c r="Z90" i="1"/>
  <c r="Z115" i="1"/>
  <c r="Z68" i="1"/>
  <c r="Z129" i="1"/>
  <c r="Z78" i="1"/>
  <c r="Z56" i="1"/>
  <c r="Z29" i="1"/>
  <c r="Z102" i="1"/>
  <c r="Z116" i="1"/>
  <c r="Z103" i="1"/>
  <c r="Z104" i="1"/>
  <c r="Z17" i="1"/>
  <c r="Z91" i="1"/>
  <c r="Z69" i="1"/>
  <c r="Z130" i="1"/>
  <c r="Z4" i="1"/>
  <c r="Z117" i="1"/>
  <c r="Z57" i="1"/>
  <c r="Z43" i="1"/>
  <c r="Z58" i="1"/>
  <c r="Z79" i="1"/>
  <c r="Z44" i="1"/>
  <c r="AA72" i="1"/>
  <c r="AA62" i="1"/>
  <c r="AA6" i="1"/>
  <c r="AA44" i="1"/>
  <c r="AA31" i="1"/>
  <c r="AA32" i="1"/>
  <c r="AA120" i="1"/>
  <c r="AA81" i="1"/>
  <c r="AA71" i="1"/>
  <c r="AA7" i="1"/>
  <c r="AA45" i="1"/>
  <c r="AA61" i="1"/>
  <c r="AA9" i="1"/>
  <c r="AA10" i="1"/>
  <c r="AA20" i="1"/>
  <c r="AA33" i="1"/>
  <c r="AA34" i="1"/>
  <c r="AA46" i="1"/>
  <c r="AA47" i="1"/>
  <c r="AA48" i="1"/>
  <c r="AA63" i="1"/>
  <c r="AA73" i="1"/>
  <c r="AA82" i="1"/>
  <c r="AA83" i="1"/>
  <c r="AA84" i="1"/>
  <c r="AA92" i="1"/>
  <c r="AA93" i="1"/>
  <c r="AA94" i="1"/>
  <c r="AA106" i="1"/>
  <c r="AA107" i="1"/>
  <c r="AA108" i="1"/>
  <c r="AA121" i="1"/>
  <c r="AA122" i="1"/>
  <c r="AA11" i="1"/>
  <c r="AA12" i="1"/>
  <c r="AA13" i="1"/>
  <c r="AA14" i="1"/>
  <c r="AA21" i="1"/>
  <c r="AA22" i="1"/>
  <c r="AA23" i="1"/>
  <c r="AA24" i="1"/>
  <c r="AA25" i="1"/>
  <c r="AA35" i="1"/>
  <c r="AA36" i="1"/>
  <c r="AA37" i="1"/>
  <c r="AA49" i="1"/>
  <c r="AA50" i="1"/>
  <c r="AA64" i="1"/>
  <c r="AA65" i="1"/>
  <c r="AA51" i="1"/>
  <c r="AA74" i="1"/>
  <c r="AA85" i="1"/>
  <c r="AA86" i="1"/>
  <c r="AA87" i="1"/>
  <c r="AA95" i="1"/>
  <c r="AA96" i="1"/>
  <c r="AA97" i="1"/>
  <c r="AA109" i="1"/>
  <c r="AA110" i="1"/>
  <c r="AA111" i="1"/>
  <c r="AA123" i="1"/>
  <c r="AA124" i="1"/>
  <c r="AA125" i="1"/>
  <c r="AA2" i="1"/>
  <c r="AA15" i="1"/>
  <c r="AA26" i="1"/>
  <c r="AA27" i="1"/>
  <c r="AA39" i="1"/>
  <c r="AA40" i="1"/>
  <c r="AA52" i="1"/>
  <c r="AA53" i="1"/>
  <c r="AA66" i="1"/>
  <c r="AA67" i="1"/>
  <c r="AA76" i="1"/>
  <c r="AA77" i="1"/>
  <c r="AA88" i="1"/>
  <c r="AA89" i="1"/>
  <c r="AA98" i="1"/>
  <c r="AA99" i="1"/>
  <c r="AA112" i="1"/>
  <c r="AA113" i="1"/>
  <c r="AA126" i="1"/>
  <c r="AA100" i="1"/>
  <c r="AA28" i="1"/>
  <c r="AA41" i="1"/>
  <c r="AA42" i="1"/>
  <c r="AA54" i="1"/>
  <c r="AA127" i="1"/>
  <c r="AA114" i="1"/>
  <c r="AA5" i="1"/>
  <c r="AA18" i="1"/>
  <c r="AA19" i="1"/>
  <c r="AA30" i="1"/>
  <c r="AA59" i="1"/>
  <c r="AA80" i="1"/>
  <c r="AA105" i="1"/>
  <c r="AA118" i="1"/>
  <c r="AA119" i="1"/>
  <c r="AA70" i="1"/>
  <c r="Y44" i="1"/>
  <c r="AB10" i="1"/>
  <c r="Y20" i="1"/>
  <c r="AB70" i="1"/>
  <c r="Y60" i="1"/>
  <c r="AB60" i="1"/>
  <c r="Z60" i="1"/>
  <c r="T6" i="6"/>
  <c r="R453" i="20"/>
  <c r="W20" i="6"/>
  <c r="U20" i="6"/>
  <c r="T20" i="6"/>
  <c r="T2458" i="20"/>
  <c r="T2457" i="20"/>
  <c r="T2456" i="20"/>
  <c r="T2455" i="20"/>
  <c r="T2454" i="20"/>
  <c r="T399" i="20"/>
  <c r="U399" i="20"/>
  <c r="T397" i="20"/>
  <c r="D13" i="23"/>
  <c r="D12" i="23"/>
  <c r="B12" i="23"/>
  <c r="B13" i="23"/>
  <c r="R15" i="23"/>
  <c r="T398" i="20"/>
  <c r="T408" i="20"/>
  <c r="S408" i="20"/>
  <c r="T390" i="20"/>
  <c r="T153" i="20"/>
  <c r="U2" i="20"/>
  <c r="T2" i="20"/>
  <c r="S2" i="20"/>
  <c r="R2" i="20"/>
  <c r="S398" i="20"/>
  <c r="S58" i="17"/>
  <c r="S63" i="17"/>
  <c r="S42" i="17"/>
  <c r="T63" i="17"/>
  <c r="U63" i="17"/>
  <c r="T42" i="17"/>
  <c r="U42" i="17"/>
  <c r="S31" i="17"/>
  <c r="T31" i="17"/>
  <c r="U31" i="17"/>
  <c r="U393" i="20"/>
  <c r="T393" i="20"/>
  <c r="S393" i="20"/>
  <c r="R394" i="20"/>
  <c r="V2858" i="11"/>
  <c r="U2858" i="11"/>
  <c r="T2858" i="11"/>
  <c r="S2858" i="11"/>
  <c r="S2856" i="11"/>
  <c r="T2856" i="11"/>
  <c r="U2856" i="11"/>
  <c r="V2856" i="11"/>
  <c r="S2854" i="11"/>
  <c r="T2854" i="11"/>
  <c r="U2854" i="11"/>
  <c r="V2854" i="11"/>
  <c r="S2852" i="11"/>
  <c r="T2852" i="11"/>
  <c r="U2852" i="11"/>
  <c r="V2852" i="11"/>
  <c r="S2845" i="11"/>
  <c r="T2845" i="11"/>
  <c r="U2845" i="11"/>
  <c r="V2845" i="11"/>
  <c r="S2846" i="11"/>
  <c r="T2846" i="11"/>
  <c r="U2846" i="11"/>
  <c r="V2846" i="11"/>
  <c r="S2847" i="11"/>
  <c r="T2847" i="11"/>
  <c r="U2847" i="11"/>
  <c r="V2847" i="11"/>
  <c r="S2848" i="11"/>
  <c r="T2848" i="11"/>
  <c r="U2848" i="11"/>
  <c r="V2848" i="11"/>
  <c r="S2849" i="11"/>
  <c r="T2849" i="11"/>
  <c r="U2849" i="11"/>
  <c r="V2849" i="11"/>
  <c r="S2841" i="11"/>
  <c r="T2841" i="11"/>
  <c r="U2841" i="11"/>
  <c r="V2841" i="11"/>
  <c r="S2842" i="11"/>
  <c r="T2842" i="11"/>
  <c r="U2842" i="11"/>
  <c r="V2842" i="11"/>
  <c r="S2843" i="11"/>
  <c r="T2843" i="11"/>
  <c r="U2843" i="11"/>
  <c r="V2843" i="11"/>
  <c r="S2838" i="11"/>
  <c r="T2838" i="11"/>
  <c r="U2838" i="11"/>
  <c r="V2838" i="11"/>
  <c r="S2839" i="11"/>
  <c r="T2839" i="11"/>
  <c r="U2839" i="11"/>
  <c r="V2839" i="11"/>
  <c r="S2834" i="11"/>
  <c r="T2834" i="11"/>
  <c r="U2834" i="11"/>
  <c r="V2834" i="11"/>
  <c r="S2835" i="11"/>
  <c r="T2835" i="11"/>
  <c r="U2835" i="11"/>
  <c r="V2835" i="11"/>
  <c r="S2830" i="11"/>
  <c r="T2830" i="11"/>
  <c r="U2830" i="11"/>
  <c r="V2830" i="11"/>
  <c r="S2831" i="11"/>
  <c r="T2831" i="11"/>
  <c r="U2831" i="11"/>
  <c r="V2831" i="11"/>
  <c r="S2832" i="11"/>
  <c r="T2832" i="11"/>
  <c r="U2832" i="11"/>
  <c r="V2832" i="11"/>
  <c r="S2819" i="11"/>
  <c r="T2819" i="11"/>
  <c r="U2819" i="11"/>
  <c r="V2819" i="11"/>
  <c r="S2820" i="11"/>
  <c r="T2820" i="11"/>
  <c r="U2820" i="11"/>
  <c r="V2820" i="11"/>
  <c r="S2815" i="11"/>
  <c r="T2815" i="11"/>
  <c r="U2815" i="11"/>
  <c r="V2815" i="11"/>
  <c r="S2816" i="11"/>
  <c r="T2816" i="11"/>
  <c r="U2816" i="11"/>
  <c r="V2816" i="11"/>
  <c r="S2811" i="11"/>
  <c r="T2811" i="11"/>
  <c r="U2811" i="11"/>
  <c r="V2811" i="11"/>
  <c r="S2809" i="11"/>
  <c r="T2809" i="11"/>
  <c r="U2809" i="11"/>
  <c r="V2809" i="11"/>
  <c r="S2801" i="11"/>
  <c r="T2801" i="11"/>
  <c r="U2801" i="11"/>
  <c r="V2801" i="11"/>
  <c r="S2796" i="11"/>
  <c r="T2796" i="11"/>
  <c r="U2796" i="11"/>
  <c r="V2796" i="11"/>
  <c r="S2789" i="11"/>
  <c r="T2789" i="11"/>
  <c r="U2789" i="11"/>
  <c r="V2789" i="11"/>
  <c r="S2780" i="11"/>
  <c r="T2780" i="11"/>
  <c r="U2780" i="11"/>
  <c r="V2780" i="11"/>
  <c r="S2769" i="11"/>
  <c r="T2769" i="11"/>
  <c r="U2769" i="11"/>
  <c r="V2769" i="11"/>
  <c r="S2757" i="11"/>
  <c r="T2757" i="11"/>
  <c r="U2757" i="11"/>
  <c r="V2757" i="11"/>
  <c r="S2758" i="11"/>
  <c r="T2758" i="11"/>
  <c r="U2758" i="11"/>
  <c r="V2758" i="11"/>
  <c r="S2759" i="11"/>
  <c r="T2759" i="11"/>
  <c r="U2759" i="11"/>
  <c r="V2759" i="11"/>
  <c r="S2760" i="11"/>
  <c r="T2760" i="11"/>
  <c r="U2760" i="11"/>
  <c r="V2760" i="11"/>
  <c r="S2755" i="11"/>
  <c r="T2755" i="11"/>
  <c r="U2755" i="11"/>
  <c r="V2755" i="11"/>
  <c r="S2737" i="11"/>
  <c r="T2737" i="11"/>
  <c r="U2737" i="11"/>
  <c r="V2737" i="11"/>
  <c r="S2738" i="11"/>
  <c r="T2738" i="11"/>
  <c r="U2738" i="11"/>
  <c r="V2738" i="11"/>
  <c r="S2739" i="11"/>
  <c r="T2739" i="11"/>
  <c r="U2739" i="11"/>
  <c r="V2739" i="11"/>
  <c r="S2740" i="11"/>
  <c r="T2740" i="11"/>
  <c r="U2740" i="11"/>
  <c r="V2740" i="11"/>
  <c r="S2733" i="11"/>
  <c r="T2733" i="11"/>
  <c r="U2733" i="11"/>
  <c r="V2733" i="11"/>
  <c r="S2734" i="11"/>
  <c r="T2734" i="11"/>
  <c r="U2734" i="11"/>
  <c r="V2734" i="11"/>
  <c r="S2735" i="11"/>
  <c r="T2735" i="11"/>
  <c r="U2735" i="11"/>
  <c r="V2735" i="11"/>
  <c r="S2728" i="11"/>
  <c r="T2728" i="11"/>
  <c r="U2728" i="11"/>
  <c r="V2728" i="11"/>
  <c r="S2729" i="11"/>
  <c r="T2729" i="11"/>
  <c r="U2729" i="11"/>
  <c r="V2729" i="11"/>
  <c r="S2730" i="11"/>
  <c r="T2730" i="11"/>
  <c r="U2730" i="11"/>
  <c r="V2730" i="11"/>
  <c r="S2723" i="11"/>
  <c r="T2723" i="11"/>
  <c r="U2723" i="11"/>
  <c r="V2723" i="11"/>
  <c r="S2718" i="11"/>
  <c r="T2718" i="11"/>
  <c r="U2718" i="11"/>
  <c r="V2718" i="11"/>
  <c r="S2719" i="11"/>
  <c r="T2719" i="11"/>
  <c r="U2719" i="11"/>
  <c r="V2719" i="11"/>
  <c r="S2720" i="11"/>
  <c r="T2720" i="11"/>
  <c r="U2720" i="11"/>
  <c r="V2720" i="11"/>
  <c r="S2716" i="11"/>
  <c r="T2716" i="11"/>
  <c r="U2716" i="11"/>
  <c r="V2716" i="11"/>
  <c r="S2713" i="11"/>
  <c r="T2713" i="11"/>
  <c r="U2713" i="11"/>
  <c r="V2713" i="11"/>
  <c r="S2708" i="11"/>
  <c r="T2708" i="11"/>
  <c r="U2708" i="11"/>
  <c r="V2708" i="11"/>
  <c r="S2704" i="11"/>
  <c r="T2704" i="11"/>
  <c r="U2704" i="11"/>
  <c r="V2704" i="11"/>
  <c r="S2701" i="11"/>
  <c r="T2701" i="11"/>
  <c r="U2701" i="11"/>
  <c r="V2701" i="11"/>
  <c r="S2702" i="11"/>
  <c r="T2702" i="11"/>
  <c r="U2702" i="11"/>
  <c r="V2702" i="11"/>
  <c r="S2698" i="11"/>
  <c r="T2698" i="11"/>
  <c r="U2698" i="11"/>
  <c r="V2698" i="11"/>
  <c r="S2695" i="11"/>
  <c r="T2695" i="11"/>
  <c r="U2695" i="11"/>
  <c r="V2695" i="11"/>
  <c r="S2692" i="11"/>
  <c r="T2692" i="11"/>
  <c r="U2692" i="11"/>
  <c r="V2692" i="11"/>
  <c r="S2689" i="11"/>
  <c r="T2689" i="11"/>
  <c r="U2689" i="11"/>
  <c r="V2689" i="11"/>
  <c r="S2690" i="11"/>
  <c r="T2690" i="11"/>
  <c r="U2690" i="11"/>
  <c r="V2690" i="11"/>
  <c r="S2687" i="11"/>
  <c r="T2687" i="11"/>
  <c r="U2687" i="11"/>
  <c r="V2687" i="11"/>
  <c r="S2684" i="11"/>
  <c r="T2684" i="11"/>
  <c r="U2684" i="11"/>
  <c r="V2684" i="11"/>
  <c r="S2685" i="11"/>
  <c r="T2685" i="11"/>
  <c r="U2685" i="11"/>
  <c r="V2685" i="11"/>
  <c r="S2679" i="11"/>
  <c r="T2679" i="11"/>
  <c r="U2679" i="11"/>
  <c r="V2679" i="11"/>
  <c r="S2680" i="11"/>
  <c r="T2680" i="11"/>
  <c r="U2680" i="11"/>
  <c r="V2680" i="11"/>
  <c r="S2681" i="11"/>
  <c r="T2681" i="11"/>
  <c r="U2681" i="11"/>
  <c r="V2681" i="11"/>
  <c r="S2676" i="11"/>
  <c r="T2676" i="11"/>
  <c r="U2676" i="11"/>
  <c r="V2676" i="11"/>
  <c r="S2667" i="11"/>
  <c r="T2667" i="11"/>
  <c r="U2667" i="11"/>
  <c r="V2667" i="11"/>
  <c r="S2668" i="11"/>
  <c r="T2668" i="11"/>
  <c r="U2668" i="11"/>
  <c r="V2668" i="11"/>
  <c r="S2665" i="11"/>
  <c r="T2665" i="11"/>
  <c r="U2665" i="11"/>
  <c r="V2665" i="11"/>
  <c r="S2652" i="11"/>
  <c r="T2652" i="11"/>
  <c r="U2652" i="11"/>
  <c r="V2652" i="11"/>
  <c r="S2653" i="11"/>
  <c r="T2653" i="11"/>
  <c r="U2653" i="11"/>
  <c r="V2653" i="11"/>
  <c r="S2654" i="11"/>
  <c r="T2654" i="11"/>
  <c r="U2654" i="11"/>
  <c r="V2654" i="11"/>
  <c r="S2655" i="11"/>
  <c r="T2655" i="11"/>
  <c r="U2655" i="11"/>
  <c r="V2655" i="11"/>
  <c r="S2656" i="11"/>
  <c r="T2656" i="11"/>
  <c r="U2656" i="11"/>
  <c r="V2656" i="11"/>
  <c r="S2657" i="11"/>
  <c r="T2657" i="11"/>
  <c r="U2657" i="11"/>
  <c r="V2657" i="11"/>
  <c r="S2650" i="11"/>
  <c r="T2650" i="11"/>
  <c r="U2650" i="11"/>
  <c r="V2650" i="11"/>
  <c r="S2648" i="11"/>
  <c r="T2648" i="11"/>
  <c r="U2648" i="11"/>
  <c r="V2648" i="11"/>
  <c r="S2645" i="11"/>
  <c r="T2645" i="11"/>
  <c r="U2645" i="11"/>
  <c r="V2645" i="11"/>
  <c r="S2640" i="11"/>
  <c r="T2640" i="11"/>
  <c r="U2640" i="11"/>
  <c r="V2640" i="11"/>
  <c r="S2641" i="11"/>
  <c r="T2641" i="11"/>
  <c r="U2641" i="11"/>
  <c r="V2641" i="11"/>
  <c r="S2642" i="11"/>
  <c r="T2642" i="11"/>
  <c r="U2642" i="11"/>
  <c r="V2642" i="11"/>
  <c r="S2643" i="11"/>
  <c r="T2643" i="11"/>
  <c r="U2643" i="11"/>
  <c r="V2643" i="11"/>
  <c r="S2630" i="11"/>
  <c r="T2630" i="11"/>
  <c r="U2630" i="11"/>
  <c r="V2630" i="11"/>
  <c r="S2631" i="11"/>
  <c r="T2631" i="11"/>
  <c r="U2631" i="11"/>
  <c r="V2631" i="11"/>
  <c r="S2632" i="11"/>
  <c r="T2632" i="11"/>
  <c r="U2632" i="11"/>
  <c r="V2632" i="11"/>
  <c r="S2633" i="11"/>
  <c r="T2633" i="11"/>
  <c r="U2633" i="11"/>
  <c r="V2633" i="11"/>
  <c r="S2634" i="11"/>
  <c r="T2634" i="11"/>
  <c r="U2634" i="11"/>
  <c r="V2634" i="11"/>
  <c r="S2625" i="11"/>
  <c r="T2625" i="11"/>
  <c r="U2625" i="11"/>
  <c r="V2625" i="11"/>
  <c r="S2619" i="11"/>
  <c r="T2619" i="11"/>
  <c r="U2619" i="11"/>
  <c r="V2619" i="11"/>
  <c r="S2614" i="11"/>
  <c r="T2614" i="11"/>
  <c r="U2614" i="11"/>
  <c r="V2614" i="11"/>
  <c r="S2615" i="11"/>
  <c r="T2615" i="11"/>
  <c r="U2615" i="11"/>
  <c r="V2615" i="11"/>
  <c r="S2616" i="11"/>
  <c r="T2616" i="11"/>
  <c r="U2616" i="11"/>
  <c r="V2616" i="11"/>
  <c r="S2611" i="11"/>
  <c r="T2611" i="11"/>
  <c r="U2611" i="11"/>
  <c r="V2611" i="11"/>
  <c r="S2612" i="11"/>
  <c r="T2612" i="11"/>
  <c r="U2612" i="11"/>
  <c r="V2612" i="11"/>
  <c r="S2609" i="11"/>
  <c r="T2609" i="11"/>
  <c r="U2609" i="11"/>
  <c r="V2609" i="11"/>
  <c r="S2607" i="11"/>
  <c r="T2607" i="11"/>
  <c r="U2607" i="11"/>
  <c r="V2607" i="11"/>
  <c r="S2604" i="11"/>
  <c r="T2604" i="11"/>
  <c r="U2604" i="11"/>
  <c r="V2604" i="11"/>
  <c r="S2605" i="11"/>
  <c r="T2605" i="11"/>
  <c r="U2605" i="11"/>
  <c r="V2605" i="11"/>
  <c r="S2600" i="11"/>
  <c r="T2600" i="11"/>
  <c r="U2600" i="11"/>
  <c r="V2600" i="11"/>
  <c r="S2597" i="11"/>
  <c r="T2597" i="11"/>
  <c r="U2597" i="11"/>
  <c r="V2597" i="11"/>
  <c r="S2598" i="11"/>
  <c r="T2598" i="11"/>
  <c r="U2598" i="11"/>
  <c r="V2598" i="11"/>
  <c r="S2595" i="11"/>
  <c r="T2595" i="11"/>
  <c r="U2595" i="11"/>
  <c r="V2595" i="11"/>
  <c r="S2585" i="11"/>
  <c r="T2585" i="11"/>
  <c r="U2585" i="11"/>
  <c r="V2585" i="11"/>
  <c r="S2586" i="11"/>
  <c r="T2586" i="11"/>
  <c r="U2586" i="11"/>
  <c r="V2586" i="11"/>
  <c r="S2587" i="11"/>
  <c r="T2587" i="11"/>
  <c r="U2587" i="11"/>
  <c r="V2587" i="11"/>
  <c r="S2588" i="11"/>
  <c r="T2588" i="11"/>
  <c r="U2588" i="11"/>
  <c r="V2588" i="11"/>
  <c r="S2583" i="11"/>
  <c r="T2583" i="11"/>
  <c r="U2583" i="11"/>
  <c r="V2583" i="11"/>
  <c r="S2581" i="11"/>
  <c r="T2581" i="11"/>
  <c r="U2581" i="11"/>
  <c r="V2581" i="11"/>
  <c r="S2577" i="11"/>
  <c r="T2577" i="11"/>
  <c r="U2577" i="11"/>
  <c r="V2577" i="11"/>
  <c r="S2572" i="11"/>
  <c r="T2572" i="11"/>
  <c r="U2572" i="11"/>
  <c r="V2572" i="11"/>
  <c r="S2565" i="11"/>
  <c r="T2565" i="11"/>
  <c r="U2565" i="11"/>
  <c r="V2565" i="11"/>
  <c r="S2566" i="11"/>
  <c r="T2566" i="11"/>
  <c r="U2566" i="11"/>
  <c r="V2566" i="11"/>
  <c r="S2567" i="11"/>
  <c r="T2567" i="11"/>
  <c r="U2567" i="11"/>
  <c r="V2567" i="11"/>
  <c r="S2568" i="11"/>
  <c r="T2568" i="11"/>
  <c r="U2568" i="11"/>
  <c r="V2568" i="11"/>
  <c r="S2569" i="11"/>
  <c r="T2569" i="11"/>
  <c r="U2569" i="11"/>
  <c r="V2569" i="11"/>
  <c r="S2570" i="11"/>
  <c r="T2570" i="11"/>
  <c r="U2570" i="11"/>
  <c r="V2570" i="11"/>
  <c r="S2560" i="11"/>
  <c r="T2560" i="11"/>
  <c r="U2560" i="11"/>
  <c r="V2560" i="11"/>
  <c r="S2561" i="11"/>
  <c r="T2561" i="11"/>
  <c r="U2561" i="11"/>
  <c r="V2561" i="11"/>
  <c r="S2558" i="11"/>
  <c r="T2558" i="11"/>
  <c r="U2558" i="11"/>
  <c r="V2558" i="11"/>
  <c r="S2556" i="11"/>
  <c r="T2556" i="11"/>
  <c r="U2556" i="11"/>
  <c r="V2556" i="11"/>
  <c r="S2554" i="11"/>
  <c r="T2554" i="11"/>
  <c r="U2554" i="11"/>
  <c r="V2554" i="11"/>
  <c r="S2549" i="11"/>
  <c r="T2549" i="11"/>
  <c r="U2549" i="11"/>
  <c r="V2549" i="11"/>
  <c r="S2550" i="11"/>
  <c r="T2550" i="11"/>
  <c r="U2550" i="11"/>
  <c r="V2550" i="11"/>
  <c r="S2551" i="11"/>
  <c r="T2551" i="11"/>
  <c r="U2551" i="11"/>
  <c r="V2551" i="11"/>
  <c r="S2552" i="11"/>
  <c r="T2552" i="11"/>
  <c r="U2552" i="11"/>
  <c r="V2552" i="11"/>
  <c r="S2541" i="11"/>
  <c r="T2541" i="11"/>
  <c r="U2541" i="11"/>
  <c r="V2541" i="11"/>
  <c r="S2542" i="11"/>
  <c r="T2542" i="11"/>
  <c r="U2542" i="11"/>
  <c r="V2542" i="11"/>
  <c r="S2539" i="11"/>
  <c r="T2539" i="11"/>
  <c r="U2539" i="11"/>
  <c r="V2539" i="11"/>
  <c r="S2534" i="11"/>
  <c r="T2534" i="11"/>
  <c r="U2534" i="11"/>
  <c r="V2534" i="11"/>
  <c r="S2530" i="11"/>
  <c r="T2530" i="11"/>
  <c r="U2530" i="11"/>
  <c r="V2530" i="11"/>
  <c r="S2525" i="11"/>
  <c r="T2525" i="11"/>
  <c r="U2525" i="11"/>
  <c r="V2525" i="11"/>
  <c r="S2517" i="11"/>
  <c r="T2517" i="11"/>
  <c r="U2517" i="11"/>
  <c r="V2517" i="11"/>
  <c r="S2514" i="11"/>
  <c r="T2514" i="11"/>
  <c r="U2514" i="11"/>
  <c r="V2514" i="11"/>
  <c r="S2507" i="11"/>
  <c r="T2507" i="11"/>
  <c r="U2507" i="11"/>
  <c r="V2507" i="11"/>
  <c r="S2508" i="11"/>
  <c r="T2508" i="11"/>
  <c r="U2508" i="11"/>
  <c r="V2508" i="11"/>
  <c r="S2501" i="11"/>
  <c r="T2501" i="11"/>
  <c r="U2501" i="11"/>
  <c r="V2501" i="11"/>
  <c r="S2502" i="11"/>
  <c r="T2502" i="11"/>
  <c r="U2502" i="11"/>
  <c r="V2502" i="11"/>
  <c r="S2499" i="11"/>
  <c r="T2499" i="11"/>
  <c r="U2499" i="11"/>
  <c r="V2499" i="11"/>
  <c r="S2470" i="11"/>
  <c r="T2470" i="11"/>
  <c r="U2470" i="11"/>
  <c r="V2470" i="11"/>
  <c r="S2462" i="11"/>
  <c r="T2462" i="11"/>
  <c r="U2462" i="11"/>
  <c r="V2462" i="11"/>
  <c r="S2456" i="11"/>
  <c r="T2456" i="11"/>
  <c r="U2456" i="11"/>
  <c r="V2456" i="11"/>
  <c r="S2454" i="11"/>
  <c r="T2454" i="11"/>
  <c r="U2454" i="11"/>
  <c r="V2454" i="11"/>
  <c r="S2452" i="11"/>
  <c r="T2452" i="11"/>
  <c r="U2452" i="11"/>
  <c r="V2452" i="11"/>
  <c r="S2445" i="11"/>
  <c r="T2445" i="11"/>
  <c r="U2445" i="11"/>
  <c r="V2445" i="11"/>
  <c r="S2442" i="11"/>
  <c r="T2442" i="11"/>
  <c r="U2442" i="11"/>
  <c r="V2442" i="11"/>
  <c r="S2443" i="11"/>
  <c r="T2443" i="11"/>
  <c r="U2443" i="11"/>
  <c r="V2443" i="11"/>
  <c r="S2459" i="11"/>
  <c r="T2459" i="11"/>
  <c r="U2459" i="11"/>
  <c r="V2459" i="11"/>
  <c r="S2440" i="11"/>
  <c r="T2440" i="11"/>
  <c r="U2440" i="11"/>
  <c r="V2440" i="11"/>
  <c r="S2437" i="11"/>
  <c r="T2437" i="11"/>
  <c r="U2437" i="11"/>
  <c r="V2437" i="11"/>
  <c r="S2434" i="11"/>
  <c r="T2434" i="11"/>
  <c r="U2434" i="11"/>
  <c r="V2434" i="11"/>
  <c r="S2435" i="11"/>
  <c r="T2435" i="11"/>
  <c r="U2435" i="11"/>
  <c r="V2435" i="11"/>
  <c r="S2426" i="11"/>
  <c r="T2426" i="11"/>
  <c r="U2426" i="11"/>
  <c r="V2426" i="11"/>
  <c r="S2427" i="11"/>
  <c r="T2427" i="11"/>
  <c r="U2427" i="11"/>
  <c r="V2427" i="11"/>
  <c r="S2428" i="11"/>
  <c r="T2428" i="11"/>
  <c r="U2428" i="11"/>
  <c r="V2428" i="11"/>
  <c r="S2429" i="11"/>
  <c r="T2429" i="11"/>
  <c r="U2429" i="11"/>
  <c r="V2429" i="11"/>
  <c r="S2430" i="11"/>
  <c r="T2430" i="11"/>
  <c r="U2430" i="11"/>
  <c r="V2430" i="11"/>
  <c r="S2431" i="11"/>
  <c r="T2431" i="11"/>
  <c r="U2431" i="11"/>
  <c r="V2431" i="11"/>
  <c r="S2432" i="11"/>
  <c r="T2432" i="11"/>
  <c r="U2432" i="11"/>
  <c r="V2432" i="11"/>
  <c r="S2422" i="11"/>
  <c r="T2422" i="11"/>
  <c r="U2422" i="11"/>
  <c r="V2422" i="11"/>
  <c r="S2423" i="11"/>
  <c r="T2423" i="11"/>
  <c r="U2423" i="11"/>
  <c r="V2423" i="11"/>
  <c r="S2424" i="11"/>
  <c r="T2424" i="11"/>
  <c r="U2424" i="11"/>
  <c r="V2424" i="11"/>
  <c r="S2418" i="11"/>
  <c r="T2418" i="11"/>
  <c r="U2418" i="11"/>
  <c r="V2418" i="11"/>
  <c r="S2419" i="11"/>
  <c r="T2419" i="11"/>
  <c r="U2419" i="11"/>
  <c r="V2419" i="11"/>
  <c r="S2420" i="11"/>
  <c r="T2420" i="11"/>
  <c r="U2420" i="11"/>
  <c r="V2420" i="11"/>
  <c r="S2414" i="11"/>
  <c r="T2414" i="11"/>
  <c r="U2414" i="11"/>
  <c r="V2414" i="11"/>
  <c r="S2403" i="11"/>
  <c r="T2403" i="11"/>
  <c r="U2403" i="11"/>
  <c r="V2403" i="11"/>
  <c r="S2404" i="11"/>
  <c r="T2404" i="11"/>
  <c r="U2404" i="11"/>
  <c r="V2404" i="11"/>
  <c r="S2405" i="11"/>
  <c r="T2405" i="11"/>
  <c r="U2405" i="11"/>
  <c r="V2405" i="11"/>
  <c r="S2406" i="11"/>
  <c r="T2406" i="11"/>
  <c r="U2406" i="11"/>
  <c r="V2406" i="11"/>
  <c r="S2407" i="11"/>
  <c r="T2407" i="11"/>
  <c r="U2407" i="11"/>
  <c r="V2407" i="11"/>
  <c r="S2408" i="11"/>
  <c r="T2408" i="11"/>
  <c r="U2408" i="11"/>
  <c r="V2408" i="11"/>
  <c r="S2401" i="11"/>
  <c r="T2401" i="11"/>
  <c r="U2401" i="11"/>
  <c r="V2401" i="11"/>
  <c r="S2397" i="11"/>
  <c r="T2397" i="11"/>
  <c r="U2397" i="11"/>
  <c r="V2397" i="11"/>
  <c r="S2398" i="11"/>
  <c r="T2398" i="11"/>
  <c r="U2398" i="11"/>
  <c r="V2398" i="11"/>
  <c r="S2399" i="11"/>
  <c r="T2399" i="11"/>
  <c r="U2399" i="11"/>
  <c r="V2399" i="11"/>
  <c r="S2394" i="11"/>
  <c r="T2394" i="11"/>
  <c r="U2394" i="11"/>
  <c r="V2394" i="11"/>
  <c r="S2395" i="11"/>
  <c r="T2395" i="11"/>
  <c r="U2395" i="11"/>
  <c r="V2395" i="11"/>
  <c r="S2387" i="11"/>
  <c r="T2387" i="11"/>
  <c r="U2387" i="11"/>
  <c r="V2387" i="11"/>
  <c r="S2388" i="11"/>
  <c r="T2388" i="11"/>
  <c r="U2388" i="11"/>
  <c r="V2388" i="11"/>
  <c r="S2389" i="11"/>
  <c r="T2389" i="11"/>
  <c r="U2389" i="11"/>
  <c r="V2389" i="11"/>
  <c r="S2390" i="11"/>
  <c r="T2390" i="11"/>
  <c r="U2390" i="11"/>
  <c r="V2390" i="11"/>
  <c r="S2391" i="11"/>
  <c r="T2391" i="11"/>
  <c r="U2391" i="11"/>
  <c r="V2391" i="11"/>
  <c r="S2392" i="11"/>
  <c r="T2392" i="11"/>
  <c r="U2392" i="11"/>
  <c r="V2392" i="11"/>
  <c r="S2384" i="11"/>
  <c r="T2384" i="11"/>
  <c r="U2384" i="11"/>
  <c r="V2384" i="11"/>
  <c r="S2379" i="11"/>
  <c r="T2379" i="11"/>
  <c r="U2379" i="11"/>
  <c r="V2379" i="11"/>
  <c r="S2380" i="11"/>
  <c r="T2380" i="11"/>
  <c r="U2380" i="11"/>
  <c r="V2380" i="11"/>
  <c r="S2377" i="11"/>
  <c r="T2377" i="11"/>
  <c r="U2377" i="11"/>
  <c r="V2377" i="11"/>
  <c r="S2375" i="11"/>
  <c r="T2375" i="11"/>
  <c r="U2375" i="11"/>
  <c r="V2375" i="11"/>
  <c r="S2372" i="11"/>
  <c r="T2372" i="11"/>
  <c r="U2372" i="11"/>
  <c r="V2372" i="11"/>
  <c r="S2370" i="11"/>
  <c r="T2370" i="11"/>
  <c r="U2370" i="11"/>
  <c r="V2370" i="11"/>
  <c r="S2364" i="11"/>
  <c r="T2364" i="11"/>
  <c r="U2364" i="11"/>
  <c r="V2364" i="11"/>
  <c r="S2357" i="11"/>
  <c r="T2357" i="11"/>
  <c r="U2357" i="11"/>
  <c r="V2357" i="11"/>
  <c r="S2358" i="11"/>
  <c r="T2358" i="11"/>
  <c r="U2358" i="11"/>
  <c r="V2358" i="11"/>
  <c r="S2359" i="11"/>
  <c r="T2359" i="11"/>
  <c r="U2359" i="11"/>
  <c r="V2359" i="11"/>
  <c r="S2360" i="11"/>
  <c r="T2360" i="11"/>
  <c r="U2360" i="11"/>
  <c r="V2360" i="11"/>
  <c r="S2350" i="11"/>
  <c r="T2350" i="11"/>
  <c r="U2350" i="11"/>
  <c r="V2350" i="11"/>
  <c r="S2351" i="11"/>
  <c r="T2351" i="11"/>
  <c r="U2351" i="11"/>
  <c r="V2351" i="11"/>
  <c r="S2352" i="11"/>
  <c r="T2352" i="11"/>
  <c r="U2352" i="11"/>
  <c r="V2352" i="11"/>
  <c r="S2353" i="11"/>
  <c r="T2353" i="11"/>
  <c r="U2353" i="11"/>
  <c r="V2353" i="11"/>
  <c r="V2346" i="11"/>
  <c r="U2346" i="11"/>
  <c r="T2346" i="11"/>
  <c r="S2346" i="11"/>
  <c r="U964" i="11"/>
  <c r="T964" i="11"/>
  <c r="S2344" i="11"/>
  <c r="T2344" i="11"/>
  <c r="U2344" i="11"/>
  <c r="V2344" i="11"/>
  <c r="S2336" i="11"/>
  <c r="T2336" i="11"/>
  <c r="U2336" i="11"/>
  <c r="V2336" i="11"/>
  <c r="S2334" i="11"/>
  <c r="T2334" i="11"/>
  <c r="U2334" i="11"/>
  <c r="V2334" i="11"/>
  <c r="S2330" i="11"/>
  <c r="T2330" i="11"/>
  <c r="U2330" i="11"/>
  <c r="V2330" i="11"/>
  <c r="S2331" i="11"/>
  <c r="T2331" i="11"/>
  <c r="U2331" i="11"/>
  <c r="V2331" i="11"/>
  <c r="S2320" i="11"/>
  <c r="T2320" i="11"/>
  <c r="U2320" i="11"/>
  <c r="V2320" i="11"/>
  <c r="S2317" i="11"/>
  <c r="T2317" i="11"/>
  <c r="U2317" i="11"/>
  <c r="V2317" i="11"/>
  <c r="S2315" i="11"/>
  <c r="T2315" i="11"/>
  <c r="U2315" i="11"/>
  <c r="V2315" i="11"/>
  <c r="S2309" i="11"/>
  <c r="T2309" i="11"/>
  <c r="U2309" i="11"/>
  <c r="V2309" i="11"/>
  <c r="S2304" i="11"/>
  <c r="T2304" i="11"/>
  <c r="U2304" i="11"/>
  <c r="V2304" i="11"/>
  <c r="S2305" i="11"/>
  <c r="T2305" i="11"/>
  <c r="U2305" i="11"/>
  <c r="V2305" i="11"/>
  <c r="S2302" i="11"/>
  <c r="T2302" i="11"/>
  <c r="U2302" i="11"/>
  <c r="V2302" i="11"/>
  <c r="S2296" i="11"/>
  <c r="T2296" i="11"/>
  <c r="U2296" i="11"/>
  <c r="V2296" i="11"/>
  <c r="S2297" i="11"/>
  <c r="T2297" i="11"/>
  <c r="U2297" i="11"/>
  <c r="V2297" i="11"/>
  <c r="S2298" i="11"/>
  <c r="T2298" i="11"/>
  <c r="U2298" i="11"/>
  <c r="V2298" i="11"/>
  <c r="S2299" i="11"/>
  <c r="T2299" i="11"/>
  <c r="U2299" i="11"/>
  <c r="V2299" i="11"/>
  <c r="S2291" i="11"/>
  <c r="T2291" i="11"/>
  <c r="U2291" i="11"/>
  <c r="V2291" i="11"/>
  <c r="S2292" i="11"/>
  <c r="T2292" i="11"/>
  <c r="U2292" i="11"/>
  <c r="V2292" i="11"/>
  <c r="S2293" i="11"/>
  <c r="T2293" i="11"/>
  <c r="U2293" i="11"/>
  <c r="V2293" i="11"/>
  <c r="S2283" i="11"/>
  <c r="T2283" i="11"/>
  <c r="U2283" i="11"/>
  <c r="V2283" i="11"/>
  <c r="S2284" i="11"/>
  <c r="T2284" i="11"/>
  <c r="U2284" i="11"/>
  <c r="V2284" i="11"/>
  <c r="S2285" i="11"/>
  <c r="T2285" i="11"/>
  <c r="U2285" i="11"/>
  <c r="V2285" i="11"/>
  <c r="S2286" i="11"/>
  <c r="T2286" i="11"/>
  <c r="U2286" i="11"/>
  <c r="V2286" i="11"/>
  <c r="S2279" i="11"/>
  <c r="T2279" i="11"/>
  <c r="U2279" i="11"/>
  <c r="V2279" i="11"/>
  <c r="S2280" i="11"/>
  <c r="T2280" i="11"/>
  <c r="U2280" i="11"/>
  <c r="V2280" i="11"/>
  <c r="S2276" i="11"/>
  <c r="T2276" i="11"/>
  <c r="U2276" i="11"/>
  <c r="V2276" i="11"/>
  <c r="S2274" i="11"/>
  <c r="T2274" i="11"/>
  <c r="U2274" i="11"/>
  <c r="V2274" i="11"/>
  <c r="S2272" i="11"/>
  <c r="T2272" i="11"/>
  <c r="U2272" i="11"/>
  <c r="V2272" i="11"/>
  <c r="S2268" i="11"/>
  <c r="T2268" i="11"/>
  <c r="U2268" i="11"/>
  <c r="V2268" i="11"/>
  <c r="S2263" i="11"/>
  <c r="T2263" i="11"/>
  <c r="U2263" i="11"/>
  <c r="V2263" i="11"/>
  <c r="S2195" i="11"/>
  <c r="T2195" i="11"/>
  <c r="U2195" i="11"/>
  <c r="V2195" i="11"/>
  <c r="S2189" i="11"/>
  <c r="T2189" i="11"/>
  <c r="U2189" i="11"/>
  <c r="V2189" i="11"/>
  <c r="S2158" i="11"/>
  <c r="T2158" i="11"/>
  <c r="U2158" i="11"/>
  <c r="V2158" i="11"/>
  <c r="S2153" i="11"/>
  <c r="T2153" i="11"/>
  <c r="U2153" i="11"/>
  <c r="V2153" i="11"/>
  <c r="S2151" i="11"/>
  <c r="T2151" i="11"/>
  <c r="U2151" i="11"/>
  <c r="V2151" i="11"/>
  <c r="S2147" i="11"/>
  <c r="T2147" i="11"/>
  <c r="U2147" i="11"/>
  <c r="V2147" i="11"/>
  <c r="S2144" i="11"/>
  <c r="T2144" i="11"/>
  <c r="U2144" i="11"/>
  <c r="V2144" i="11"/>
  <c r="S2141" i="11"/>
  <c r="T2141" i="11"/>
  <c r="U2141" i="11"/>
  <c r="V2141" i="11"/>
  <c r="S2138" i="11"/>
  <c r="T2138" i="11"/>
  <c r="U2138" i="11"/>
  <c r="V2138" i="11"/>
  <c r="S2132" i="11"/>
  <c r="T2132" i="11"/>
  <c r="U2132" i="11"/>
  <c r="V2132" i="11"/>
  <c r="S2133" i="11"/>
  <c r="T2133" i="11"/>
  <c r="U2133" i="11"/>
  <c r="V2133" i="11"/>
  <c r="S2130" i="11"/>
  <c r="T2130" i="11"/>
  <c r="U2130" i="11"/>
  <c r="V2130" i="11"/>
  <c r="S2127" i="11"/>
  <c r="T2127" i="11"/>
  <c r="U2127" i="11"/>
  <c r="V2127" i="11"/>
  <c r="S2124" i="11"/>
  <c r="T2124" i="11"/>
  <c r="U2124" i="11"/>
  <c r="V2124" i="11"/>
  <c r="S2125" i="11"/>
  <c r="T2125" i="11"/>
  <c r="U2125" i="11"/>
  <c r="V2125" i="11"/>
  <c r="S2120" i="11"/>
  <c r="T2120" i="11"/>
  <c r="U2120" i="11"/>
  <c r="V2120" i="11"/>
  <c r="S2118" i="11"/>
  <c r="T2118" i="11"/>
  <c r="U2118" i="11"/>
  <c r="V2118" i="11"/>
  <c r="S2114" i="11"/>
  <c r="T2114" i="11"/>
  <c r="U2114" i="11"/>
  <c r="V2114" i="11"/>
  <c r="S2082" i="11"/>
  <c r="T2082" i="11"/>
  <c r="U2082" i="11"/>
  <c r="V2082" i="11"/>
  <c r="S2083" i="11"/>
  <c r="T2083" i="11"/>
  <c r="U2083" i="11"/>
  <c r="V2083" i="11"/>
  <c r="S2080" i="11"/>
  <c r="T2080" i="11"/>
  <c r="U2080" i="11"/>
  <c r="V2080" i="11"/>
  <c r="S2078" i="11"/>
  <c r="T2078" i="11"/>
  <c r="U2078" i="11"/>
  <c r="V2078" i="11"/>
  <c r="S2064" i="11"/>
  <c r="T2064" i="11"/>
  <c r="U2064" i="11"/>
  <c r="V2064" i="11"/>
  <c r="S2052" i="11"/>
  <c r="T2052" i="11"/>
  <c r="U2052" i="11"/>
  <c r="V2052" i="11"/>
  <c r="S2046" i="11"/>
  <c r="T2046" i="11"/>
  <c r="U2046" i="11"/>
  <c r="V2046" i="11"/>
  <c r="S2047" i="11"/>
  <c r="T2047" i="11"/>
  <c r="U2047" i="11"/>
  <c r="V2047" i="11"/>
  <c r="S2034" i="11"/>
  <c r="T2034" i="11"/>
  <c r="U2034" i="11"/>
  <c r="V2034" i="11"/>
  <c r="S2035" i="11"/>
  <c r="T2035" i="11"/>
  <c r="U2035" i="11"/>
  <c r="V2035" i="11"/>
  <c r="S2027" i="11"/>
  <c r="T2027" i="11"/>
  <c r="U2027" i="11"/>
  <c r="V2027" i="11"/>
  <c r="S2028" i="11"/>
  <c r="T2028" i="11"/>
  <c r="U2028" i="11"/>
  <c r="V2028" i="11"/>
  <c r="S2029" i="11"/>
  <c r="T2029" i="11"/>
  <c r="U2029" i="11"/>
  <c r="V2029" i="11"/>
  <c r="S2030" i="11"/>
  <c r="T2030" i="11"/>
  <c r="U2030" i="11"/>
  <c r="V2030" i="11"/>
  <c r="S2024" i="11"/>
  <c r="T2024" i="11"/>
  <c r="U2024" i="11"/>
  <c r="V2024" i="11"/>
  <c r="S2018" i="11"/>
  <c r="T2018" i="11"/>
  <c r="U2018" i="11"/>
  <c r="V2018" i="11"/>
  <c r="S2019" i="11"/>
  <c r="T2019" i="11"/>
  <c r="U2019" i="11"/>
  <c r="V2019" i="11"/>
  <c r="S2020" i="11"/>
  <c r="T2020" i="11"/>
  <c r="U2020" i="11"/>
  <c r="V2020" i="11"/>
  <c r="S2021" i="11"/>
  <c r="T2021" i="11"/>
  <c r="U2021" i="11"/>
  <c r="V2021" i="11"/>
  <c r="S2015" i="11"/>
  <c r="T2015" i="11"/>
  <c r="U2015" i="11"/>
  <c r="V2015" i="11"/>
  <c r="S2016" i="11"/>
  <c r="T2016" i="11"/>
  <c r="U2016" i="11"/>
  <c r="V2016" i="11"/>
  <c r="S2013" i="11"/>
  <c r="T2013" i="11"/>
  <c r="U2013" i="11"/>
  <c r="V2013" i="11"/>
  <c r="S2008" i="11"/>
  <c r="T2008" i="11"/>
  <c r="U2008" i="11"/>
  <c r="V2008" i="11"/>
  <c r="S2005" i="11"/>
  <c r="T2005" i="11"/>
  <c r="U2005" i="11"/>
  <c r="V2005" i="11"/>
  <c r="S1999" i="11"/>
  <c r="T1999" i="11"/>
  <c r="U1999" i="11"/>
  <c r="V1999" i="11"/>
  <c r="S1996" i="11"/>
  <c r="T1996" i="11"/>
  <c r="U1996" i="11"/>
  <c r="V1996" i="11"/>
  <c r="S1986" i="11"/>
  <c r="T1986" i="11"/>
  <c r="U1986" i="11"/>
  <c r="V1986" i="11"/>
  <c r="S1987" i="11"/>
  <c r="T1987" i="11"/>
  <c r="U1987" i="11"/>
  <c r="V1987" i="11"/>
  <c r="S1988" i="11"/>
  <c r="T1988" i="11"/>
  <c r="U1988" i="11"/>
  <c r="V1988" i="11"/>
  <c r="S1989" i="11"/>
  <c r="T1989" i="11"/>
  <c r="U1989" i="11"/>
  <c r="V1989" i="11"/>
  <c r="S1983" i="11"/>
  <c r="T1983" i="11"/>
  <c r="U1983" i="11"/>
  <c r="V1983" i="11"/>
  <c r="S1984" i="11"/>
  <c r="T1984" i="11"/>
  <c r="U1984" i="11"/>
  <c r="V1984" i="11"/>
  <c r="S1978" i="11"/>
  <c r="T1978" i="11"/>
  <c r="U1978" i="11"/>
  <c r="V1978" i="11"/>
  <c r="S1974" i="11"/>
  <c r="T1974" i="11"/>
  <c r="U1974" i="11"/>
  <c r="V1974" i="11"/>
  <c r="S1972" i="11"/>
  <c r="T1972" i="11"/>
  <c r="U1972" i="11"/>
  <c r="V1972" i="11"/>
  <c r="S1970" i="11"/>
  <c r="T1970" i="11"/>
  <c r="U1970" i="11"/>
  <c r="V1970" i="11"/>
  <c r="S1968" i="11"/>
  <c r="T1968" i="11"/>
  <c r="U1968" i="11"/>
  <c r="V1968" i="11"/>
  <c r="S1959" i="11"/>
  <c r="T1959" i="11"/>
  <c r="U1959" i="11"/>
  <c r="V1959" i="11"/>
  <c r="S1956" i="11"/>
  <c r="T1956" i="11"/>
  <c r="U1956" i="11"/>
  <c r="V1956" i="11"/>
  <c r="S1934" i="11"/>
  <c r="T1934" i="11"/>
  <c r="U1934" i="11"/>
  <c r="V1934" i="11"/>
  <c r="S1932" i="11"/>
  <c r="T1932" i="11"/>
  <c r="U1932" i="11"/>
  <c r="V1932" i="11"/>
  <c r="S1920" i="11"/>
  <c r="T1920" i="11"/>
  <c r="U1920" i="11"/>
  <c r="V1920" i="11"/>
  <c r="S1915" i="11"/>
  <c r="T1915" i="11"/>
  <c r="U1915" i="11"/>
  <c r="V1915" i="11"/>
  <c r="S1908" i="11"/>
  <c r="T1908" i="11"/>
  <c r="U1908" i="11"/>
  <c r="V1908" i="11"/>
  <c r="S1904" i="11"/>
  <c r="T1904" i="11"/>
  <c r="U1904" i="11"/>
  <c r="V1904" i="11"/>
  <c r="S1899" i="11"/>
  <c r="T1899" i="11"/>
  <c r="U1899" i="11"/>
  <c r="V1899" i="11"/>
  <c r="S1900" i="11"/>
  <c r="T1900" i="11"/>
  <c r="U1900" i="11"/>
  <c r="V1900" i="11"/>
  <c r="S1901" i="11"/>
  <c r="T1901" i="11"/>
  <c r="U1901" i="11"/>
  <c r="V1901" i="11"/>
  <c r="S1894" i="11"/>
  <c r="T1894" i="11"/>
  <c r="U1894" i="11"/>
  <c r="V1894" i="11"/>
  <c r="S1885" i="11"/>
  <c r="T1885" i="11"/>
  <c r="U1885" i="11"/>
  <c r="V1885" i="11"/>
  <c r="S1882" i="11"/>
  <c r="T1882" i="11"/>
  <c r="U1882" i="11"/>
  <c r="V1882" i="11"/>
  <c r="S1878" i="11"/>
  <c r="T1878" i="11"/>
  <c r="U1878" i="11"/>
  <c r="V1878" i="11"/>
  <c r="S1859" i="11"/>
  <c r="T1859" i="11"/>
  <c r="U1859" i="11"/>
  <c r="V1859" i="11"/>
  <c r="S1847" i="11"/>
  <c r="T1847" i="11"/>
  <c r="U1847" i="11"/>
  <c r="V1847" i="11"/>
  <c r="S1841" i="11"/>
  <c r="T1841" i="11"/>
  <c r="U1841" i="11"/>
  <c r="V1841" i="11"/>
  <c r="S1842" i="11"/>
  <c r="T1842" i="11"/>
  <c r="U1842" i="11"/>
  <c r="V1842" i="11"/>
  <c r="S1843" i="11"/>
  <c r="T1843" i="11"/>
  <c r="U1843" i="11"/>
  <c r="V1843" i="11"/>
  <c r="S1844" i="11"/>
  <c r="T1844" i="11"/>
  <c r="U1844" i="11"/>
  <c r="V1844" i="11"/>
  <c r="S1830" i="11"/>
  <c r="T1830" i="11"/>
  <c r="U1830" i="11"/>
  <c r="V1830" i="11"/>
  <c r="S1828" i="11"/>
  <c r="T1828" i="11"/>
  <c r="U1828" i="11"/>
  <c r="V1828" i="11"/>
  <c r="V1815" i="11"/>
  <c r="U1815" i="11"/>
  <c r="T1815" i="11"/>
  <c r="S1815" i="11"/>
  <c r="T2345" i="11"/>
  <c r="S2345" i="11"/>
  <c r="U2345" i="11"/>
  <c r="V2345" i="11"/>
  <c r="S2338" i="11"/>
  <c r="T2338" i="11"/>
  <c r="U2338" i="11"/>
  <c r="V2338" i="11"/>
  <c r="S2339" i="11"/>
  <c r="T2339" i="11"/>
  <c r="U2339" i="11"/>
  <c r="V2339" i="11"/>
  <c r="S2340" i="11"/>
  <c r="T2340" i="11"/>
  <c r="U2340" i="11"/>
  <c r="V2340" i="11"/>
  <c r="S2341" i="11"/>
  <c r="T2341" i="11"/>
  <c r="U2341" i="11"/>
  <c r="V2341" i="11"/>
  <c r="S2342" i="11"/>
  <c r="T2342" i="11"/>
  <c r="U2342" i="11"/>
  <c r="V2342" i="11"/>
  <c r="S2288" i="11"/>
  <c r="T2288" i="11"/>
  <c r="U2288" i="11"/>
  <c r="V2288" i="11"/>
  <c r="S2289" i="11"/>
  <c r="T2289" i="11"/>
  <c r="U2289" i="11"/>
  <c r="V2289" i="11"/>
  <c r="S2290" i="11"/>
  <c r="T2290" i="11"/>
  <c r="U2290" i="11"/>
  <c r="V2290" i="11"/>
  <c r="S2267" i="11"/>
  <c r="T2267" i="11"/>
  <c r="U2267" i="11"/>
  <c r="V2267" i="11"/>
  <c r="S2264" i="11"/>
  <c r="T2264" i="11"/>
  <c r="U2264" i="11"/>
  <c r="V2264" i="11"/>
  <c r="S2265" i="11"/>
  <c r="T2265" i="11"/>
  <c r="U2265" i="11"/>
  <c r="V2265" i="11"/>
  <c r="S2262" i="11"/>
  <c r="T2262" i="11"/>
  <c r="U2262" i="11"/>
  <c r="V2262" i="11"/>
  <c r="S2260" i="11"/>
  <c r="T2260" i="11"/>
  <c r="U2260" i="11"/>
  <c r="V2260" i="11"/>
  <c r="S2255" i="11"/>
  <c r="T2255" i="11"/>
  <c r="U2255" i="11"/>
  <c r="V2255" i="11"/>
  <c r="S2256" i="11"/>
  <c r="T2256" i="11"/>
  <c r="U2256" i="11"/>
  <c r="V2256" i="11"/>
  <c r="S2257" i="11"/>
  <c r="T2257" i="11"/>
  <c r="U2257" i="11"/>
  <c r="V2257" i="11"/>
  <c r="S2247" i="11"/>
  <c r="T2247" i="11"/>
  <c r="U2247" i="11"/>
  <c r="V2247" i="11"/>
  <c r="S2243" i="11"/>
  <c r="T2243" i="11"/>
  <c r="U2243" i="11"/>
  <c r="V2243" i="11"/>
  <c r="S2244" i="11"/>
  <c r="T2244" i="11"/>
  <c r="U2244" i="11"/>
  <c r="V2244" i="11"/>
  <c r="S2245" i="11"/>
  <c r="T2245" i="11"/>
  <c r="U2245" i="11"/>
  <c r="V2245" i="11"/>
  <c r="S2175" i="11"/>
  <c r="T2175" i="11"/>
  <c r="U2175" i="11"/>
  <c r="V2175" i="11"/>
  <c r="S2171" i="11"/>
  <c r="T2171" i="11"/>
  <c r="U2171" i="11"/>
  <c r="V2171" i="11"/>
  <c r="S2162" i="11"/>
  <c r="T2162" i="11"/>
  <c r="U2162" i="11"/>
  <c r="V2162" i="11"/>
  <c r="S2163" i="11"/>
  <c r="T2163" i="11"/>
  <c r="U2163" i="11"/>
  <c r="V2163" i="11"/>
  <c r="S2164" i="11"/>
  <c r="T2164" i="11"/>
  <c r="U2164" i="11"/>
  <c r="V2164" i="11"/>
  <c r="S2140" i="11"/>
  <c r="T2140" i="11"/>
  <c r="U2140" i="11"/>
  <c r="V2140" i="11"/>
  <c r="S2128" i="11"/>
  <c r="T2128" i="11"/>
  <c r="U2128" i="11"/>
  <c r="V2128" i="11"/>
  <c r="S2126" i="11"/>
  <c r="T2126" i="11"/>
  <c r="U2126" i="11"/>
  <c r="V2126" i="11"/>
  <c r="S2123" i="11"/>
  <c r="T2123" i="11"/>
  <c r="U2123" i="11"/>
  <c r="V2123" i="11"/>
  <c r="S2117" i="11"/>
  <c r="T2117" i="11"/>
  <c r="U2117" i="11"/>
  <c r="V2117" i="11"/>
  <c r="S2101" i="11"/>
  <c r="T2101" i="11"/>
  <c r="U2101" i="11"/>
  <c r="V2101" i="11"/>
  <c r="S2023" i="11"/>
  <c r="T2023" i="11"/>
  <c r="U2023" i="11"/>
  <c r="V2023" i="11"/>
  <c r="S1993" i="11"/>
  <c r="T1993" i="11"/>
  <c r="U1993" i="11"/>
  <c r="V1993" i="11"/>
  <c r="S1977" i="11"/>
  <c r="T1977" i="11"/>
  <c r="U1977" i="11"/>
  <c r="V1977" i="11"/>
  <c r="S1964" i="11"/>
  <c r="T1964" i="11"/>
  <c r="U1964" i="11"/>
  <c r="V1964" i="11"/>
  <c r="S1962" i="11"/>
  <c r="T1962" i="11"/>
  <c r="U1962" i="11"/>
  <c r="V1962" i="11"/>
  <c r="S1943" i="11"/>
  <c r="T1943" i="11"/>
  <c r="U1943" i="11"/>
  <c r="V1943" i="11"/>
  <c r="S1937" i="11"/>
  <c r="T1937" i="11"/>
  <c r="U1937" i="11"/>
  <c r="V1937" i="11"/>
  <c r="S1938" i="11"/>
  <c r="T1938" i="11"/>
  <c r="U1938" i="11"/>
  <c r="V1938" i="11"/>
  <c r="S1897" i="11"/>
  <c r="T1897" i="11"/>
  <c r="U1897" i="11"/>
  <c r="V1897" i="11"/>
  <c r="S1895" i="11"/>
  <c r="T1895" i="11"/>
  <c r="U1895" i="11"/>
  <c r="V1895" i="11"/>
  <c r="S1887" i="11"/>
  <c r="T1887" i="11"/>
  <c r="U1887" i="11"/>
  <c r="V1887" i="11"/>
  <c r="S1877" i="11"/>
  <c r="T1877" i="11"/>
  <c r="U1877" i="11"/>
  <c r="V1877" i="11"/>
  <c r="S1875" i="11"/>
  <c r="T1875" i="11"/>
  <c r="U1875" i="11"/>
  <c r="V1875" i="11"/>
  <c r="S1873" i="11"/>
  <c r="T1873" i="11"/>
  <c r="U1873" i="11"/>
  <c r="V1873" i="11"/>
  <c r="S1869" i="11"/>
  <c r="T1869" i="11"/>
  <c r="U1869" i="11"/>
  <c r="V1869" i="11"/>
  <c r="S1870" i="11"/>
  <c r="T1870" i="11"/>
  <c r="U1870" i="11"/>
  <c r="V1870" i="11"/>
  <c r="S1860" i="11"/>
  <c r="T1860" i="11"/>
  <c r="U1860" i="11"/>
  <c r="V1860" i="11"/>
  <c r="S1861" i="11"/>
  <c r="T1861" i="11"/>
  <c r="U1861" i="11"/>
  <c r="V1861" i="11"/>
  <c r="S1854" i="11"/>
  <c r="T1854" i="11"/>
  <c r="U1854" i="11"/>
  <c r="V1854" i="11"/>
  <c r="S1849" i="11"/>
  <c r="T1849" i="11"/>
  <c r="U1849" i="11"/>
  <c r="V1849" i="11"/>
  <c r="S1846" i="11"/>
  <c r="T1846" i="11"/>
  <c r="U1846" i="11"/>
  <c r="V1846" i="11"/>
  <c r="S1835" i="11"/>
  <c r="T1835" i="11"/>
  <c r="U1835" i="11"/>
  <c r="V1835" i="11"/>
  <c r="S1819" i="11"/>
  <c r="T1819" i="11"/>
  <c r="U1819" i="11"/>
  <c r="V1819" i="11"/>
  <c r="V1810" i="11"/>
  <c r="U1810" i="11"/>
  <c r="T1810" i="11"/>
  <c r="S1810" i="11"/>
  <c r="S1804" i="11"/>
  <c r="T1804" i="11"/>
  <c r="U1804" i="11"/>
  <c r="V1804" i="11"/>
  <c r="S1793" i="11"/>
  <c r="T1793" i="11"/>
  <c r="U1793" i="11"/>
  <c r="V1793" i="11"/>
  <c r="S1790" i="11"/>
  <c r="T1790" i="11"/>
  <c r="U1790" i="11"/>
  <c r="V1790" i="11"/>
  <c r="S1787" i="11"/>
  <c r="T1787" i="11"/>
  <c r="U1787" i="11"/>
  <c r="V1787" i="11"/>
  <c r="S1766" i="11"/>
  <c r="T1766" i="11"/>
  <c r="U1766" i="11"/>
  <c r="V1766" i="11"/>
  <c r="S1762" i="11"/>
  <c r="T1762" i="11"/>
  <c r="U1762" i="11"/>
  <c r="V1762" i="11"/>
  <c r="S1763" i="11"/>
  <c r="T1763" i="11"/>
  <c r="U1763" i="11"/>
  <c r="V1763" i="11"/>
  <c r="S1757" i="11"/>
  <c r="T1757" i="11"/>
  <c r="U1757" i="11"/>
  <c r="V1757" i="11"/>
  <c r="S1758" i="11"/>
  <c r="T1758" i="11"/>
  <c r="U1758" i="11"/>
  <c r="V1758" i="11"/>
  <c r="S1759" i="11"/>
  <c r="T1759" i="11"/>
  <c r="U1759" i="11"/>
  <c r="V1759" i="11"/>
  <c r="S1746" i="11"/>
  <c r="T1746" i="11"/>
  <c r="U1746" i="11"/>
  <c r="V1746" i="11"/>
  <c r="S1742" i="11"/>
  <c r="T1742" i="11"/>
  <c r="U1742" i="11"/>
  <c r="V1742" i="11"/>
  <c r="S1740" i="11"/>
  <c r="T1740" i="11"/>
  <c r="U1740" i="11"/>
  <c r="V1740" i="11"/>
  <c r="S1737" i="11"/>
  <c r="T1737" i="11"/>
  <c r="U1737" i="11"/>
  <c r="V1737" i="11"/>
  <c r="S1729" i="11"/>
  <c r="T1729" i="11"/>
  <c r="U1729" i="11"/>
  <c r="V1729" i="11"/>
  <c r="S1730" i="11"/>
  <c r="T1730" i="11"/>
  <c r="U1730" i="11"/>
  <c r="V1730" i="11"/>
  <c r="S1727" i="11"/>
  <c r="T1727" i="11"/>
  <c r="U1727" i="11"/>
  <c r="V1727" i="11"/>
  <c r="S1724" i="11"/>
  <c r="T1724" i="11"/>
  <c r="U1724" i="11"/>
  <c r="V1724" i="11"/>
  <c r="S1719" i="11"/>
  <c r="T1719" i="11"/>
  <c r="U1719" i="11"/>
  <c r="V1719" i="11"/>
  <c r="S1717" i="11"/>
  <c r="T1717" i="11"/>
  <c r="U1717" i="11"/>
  <c r="V1717" i="11"/>
  <c r="S1710" i="11"/>
  <c r="T1710" i="11"/>
  <c r="U1710" i="11"/>
  <c r="V1710" i="11"/>
  <c r="S1711" i="11"/>
  <c r="T1711" i="11"/>
  <c r="U1711" i="11"/>
  <c r="V1711" i="11"/>
  <c r="S1712" i="11"/>
  <c r="T1712" i="11"/>
  <c r="U1712" i="11"/>
  <c r="V1712" i="11"/>
  <c r="S1713" i="11"/>
  <c r="T1713" i="11"/>
  <c r="U1713" i="11"/>
  <c r="V1713" i="11"/>
  <c r="S1703" i="11"/>
  <c r="T1703" i="11"/>
  <c r="U1703" i="11"/>
  <c r="V1703" i="11"/>
  <c r="S1704" i="11"/>
  <c r="T1704" i="11"/>
  <c r="U1704" i="11"/>
  <c r="V1704" i="11"/>
  <c r="S1705" i="11"/>
  <c r="T1705" i="11"/>
  <c r="U1705" i="11"/>
  <c r="V1705" i="11"/>
  <c r="S1701" i="11"/>
  <c r="T1701" i="11"/>
  <c r="U1701" i="11"/>
  <c r="V1701" i="11"/>
  <c r="S1695" i="11"/>
  <c r="T1695" i="11"/>
  <c r="U1695" i="11"/>
  <c r="V1695" i="11"/>
  <c r="S1686" i="11"/>
  <c r="T1686" i="11"/>
  <c r="U1686" i="11"/>
  <c r="V1686" i="11"/>
  <c r="S1687" i="11"/>
  <c r="T1687" i="11"/>
  <c r="U1687" i="11"/>
  <c r="V1687" i="11"/>
  <c r="S1688" i="11"/>
  <c r="T1688" i="11"/>
  <c r="U1688" i="11"/>
  <c r="V1688" i="11"/>
  <c r="S1681" i="11"/>
  <c r="T1681" i="11"/>
  <c r="U1681" i="11"/>
  <c r="V1681" i="11"/>
  <c r="S1682" i="11"/>
  <c r="T1682" i="11"/>
  <c r="U1682" i="11"/>
  <c r="V1682" i="11"/>
  <c r="S1676" i="11"/>
  <c r="T1676" i="11"/>
  <c r="U1676" i="11"/>
  <c r="V1676" i="11"/>
  <c r="S1677" i="11"/>
  <c r="T1677" i="11"/>
  <c r="U1677" i="11"/>
  <c r="V1677" i="11"/>
  <c r="S1678" i="11"/>
  <c r="T1678" i="11"/>
  <c r="U1678" i="11"/>
  <c r="V1678" i="11"/>
  <c r="S1670" i="11"/>
  <c r="T1670" i="11"/>
  <c r="U1670" i="11"/>
  <c r="V1670" i="11"/>
  <c r="S1671" i="11"/>
  <c r="T1671" i="11"/>
  <c r="U1671" i="11"/>
  <c r="V1671" i="11"/>
  <c r="S1666" i="11"/>
  <c r="T1666" i="11"/>
  <c r="U1666" i="11"/>
  <c r="V1666" i="11"/>
  <c r="S1661" i="11"/>
  <c r="T1661" i="11"/>
  <c r="U1661" i="11"/>
  <c r="V1661" i="11"/>
  <c r="S1659" i="11"/>
  <c r="T1659" i="11"/>
  <c r="U1659" i="11"/>
  <c r="V1659" i="11"/>
  <c r="S1656" i="11"/>
  <c r="T1656" i="11"/>
  <c r="U1656" i="11"/>
  <c r="V1656" i="11"/>
  <c r="S1657" i="11"/>
  <c r="T1657" i="11"/>
  <c r="U1657" i="11"/>
  <c r="V1657" i="11"/>
  <c r="S1652" i="11"/>
  <c r="T1652" i="11"/>
  <c r="U1652" i="11"/>
  <c r="V1652" i="11"/>
  <c r="S1653" i="11"/>
  <c r="T1653" i="11"/>
  <c r="U1653" i="11"/>
  <c r="V1653" i="11"/>
  <c r="S1647" i="11"/>
  <c r="T1647" i="11"/>
  <c r="U1647" i="11"/>
  <c r="V1647" i="11"/>
  <c r="S1648" i="11"/>
  <c r="T1648" i="11"/>
  <c r="U1648" i="11"/>
  <c r="V1648" i="11"/>
  <c r="S1649" i="11"/>
  <c r="T1649" i="11"/>
  <c r="U1649" i="11"/>
  <c r="V1649" i="11"/>
  <c r="S1650" i="11"/>
  <c r="T1650" i="11"/>
  <c r="U1650" i="11"/>
  <c r="V1650" i="11"/>
  <c r="S1644" i="11"/>
  <c r="T1644" i="11"/>
  <c r="U1644" i="11"/>
  <c r="V1644" i="11"/>
  <c r="S1637" i="11"/>
  <c r="T1637" i="11"/>
  <c r="U1637" i="11"/>
  <c r="V1637" i="11"/>
  <c r="S1626" i="11"/>
  <c r="T1626" i="11"/>
  <c r="U1626" i="11"/>
  <c r="V1626" i="11"/>
  <c r="S1623" i="11"/>
  <c r="T1623" i="11"/>
  <c r="U1623" i="11"/>
  <c r="V1623" i="11"/>
  <c r="S1624" i="11"/>
  <c r="T1624" i="11"/>
  <c r="U1624" i="11"/>
  <c r="V1624" i="11"/>
  <c r="S1617" i="11"/>
  <c r="T1617" i="11"/>
  <c r="U1617" i="11"/>
  <c r="V1617" i="11"/>
  <c r="S1613" i="11"/>
  <c r="T1613" i="11"/>
  <c r="U1613" i="11"/>
  <c r="V1613" i="11"/>
  <c r="S1614" i="11"/>
  <c r="T1614" i="11"/>
  <c r="U1614" i="11"/>
  <c r="V1614" i="11"/>
  <c r="S1597" i="11"/>
  <c r="T1597" i="11"/>
  <c r="U1597" i="11"/>
  <c r="V1597" i="11"/>
  <c r="S1591" i="11"/>
  <c r="T1591" i="11"/>
  <c r="U1591" i="11"/>
  <c r="V1591" i="11"/>
  <c r="S1584" i="11"/>
  <c r="T1584" i="11"/>
  <c r="U1584" i="11"/>
  <c r="V1584" i="11"/>
  <c r="S1585" i="11"/>
  <c r="T1585" i="11"/>
  <c r="U1585" i="11"/>
  <c r="V1585" i="11"/>
  <c r="S1580" i="11"/>
  <c r="T1580" i="11"/>
  <c r="U1580" i="11"/>
  <c r="V1580" i="11"/>
  <c r="S1581" i="11"/>
  <c r="T1581" i="11"/>
  <c r="U1581" i="11"/>
  <c r="V1581" i="11"/>
  <c r="S1568" i="11"/>
  <c r="T1568" i="11"/>
  <c r="U1568" i="11"/>
  <c r="V1568" i="11"/>
  <c r="S1569" i="11"/>
  <c r="T1569" i="11"/>
  <c r="U1569" i="11"/>
  <c r="V1569" i="11"/>
  <c r="S1570" i="11"/>
  <c r="T1570" i="11"/>
  <c r="U1570" i="11"/>
  <c r="V1570" i="11"/>
  <c r="S1561" i="11"/>
  <c r="T1561" i="11"/>
  <c r="U1561" i="11"/>
  <c r="V1561" i="11"/>
  <c r="S1559" i="11"/>
  <c r="T1559" i="11"/>
  <c r="U1559" i="11"/>
  <c r="V1559" i="11"/>
  <c r="S1557" i="11"/>
  <c r="T1557" i="11"/>
  <c r="U1557" i="11"/>
  <c r="V1557" i="11"/>
  <c r="S1553" i="11"/>
  <c r="T1553" i="11"/>
  <c r="U1553" i="11"/>
  <c r="V1553" i="11"/>
  <c r="S1549" i="11"/>
  <c r="T1549" i="11"/>
  <c r="U1549" i="11"/>
  <c r="V1549" i="11"/>
  <c r="S1550" i="11"/>
  <c r="T1550" i="11"/>
  <c r="U1550" i="11"/>
  <c r="V1550" i="11"/>
  <c r="S1551" i="11"/>
  <c r="T1551" i="11"/>
  <c r="U1551" i="11"/>
  <c r="V1551" i="11"/>
  <c r="S1544" i="11"/>
  <c r="T1544" i="11"/>
  <c r="U1544" i="11"/>
  <c r="V1544" i="11"/>
  <c r="S1545" i="11"/>
  <c r="T1545" i="11"/>
  <c r="U1545" i="11"/>
  <c r="V1545" i="11"/>
  <c r="S1546" i="11"/>
  <c r="T1546" i="11"/>
  <c r="U1546" i="11"/>
  <c r="V1546" i="11"/>
  <c r="S1547" i="11"/>
  <c r="T1547" i="11"/>
  <c r="U1547" i="11"/>
  <c r="V1547" i="11"/>
  <c r="S1539" i="11"/>
  <c r="T1539" i="11"/>
  <c r="U1539" i="11"/>
  <c r="V1539" i="11"/>
  <c r="S1540" i="11"/>
  <c r="T1540" i="11"/>
  <c r="U1540" i="11"/>
  <c r="V1540" i="11"/>
  <c r="S1535" i="11"/>
  <c r="T1535" i="11"/>
  <c r="U1535" i="11"/>
  <c r="V1535" i="11"/>
  <c r="S1536" i="11"/>
  <c r="T1536" i="11"/>
  <c r="U1536" i="11"/>
  <c r="V1536" i="11"/>
  <c r="S1532" i="11"/>
  <c r="T1532" i="11"/>
  <c r="U1532" i="11"/>
  <c r="V1532" i="11"/>
  <c r="S1521" i="11"/>
  <c r="T1521" i="11"/>
  <c r="U1521" i="11"/>
  <c r="V1521" i="11"/>
  <c r="S1522" i="11"/>
  <c r="T1522" i="11"/>
  <c r="U1522" i="11"/>
  <c r="V1522" i="11"/>
  <c r="S1516" i="11"/>
  <c r="T1516" i="11"/>
  <c r="U1516" i="11"/>
  <c r="V1516" i="11"/>
  <c r="S1510" i="11"/>
  <c r="T1510" i="11"/>
  <c r="U1510" i="11"/>
  <c r="V1510" i="11"/>
  <c r="S1505" i="11"/>
  <c r="T1505" i="11"/>
  <c r="U1505" i="11"/>
  <c r="V1505" i="11"/>
  <c r="S1502" i="11"/>
  <c r="T1502" i="11"/>
  <c r="U1502" i="11"/>
  <c r="V1502" i="11"/>
  <c r="S1503" i="11"/>
  <c r="T1503" i="11"/>
  <c r="U1503" i="11"/>
  <c r="V1503" i="11"/>
  <c r="S1494" i="11"/>
  <c r="T1494" i="11"/>
  <c r="U1494" i="11"/>
  <c r="V1494" i="11"/>
  <c r="S1495" i="11"/>
  <c r="T1495" i="11"/>
  <c r="U1495" i="11"/>
  <c r="V1495" i="11"/>
  <c r="S1496" i="11"/>
  <c r="T1496" i="11"/>
  <c r="U1496" i="11"/>
  <c r="V1496" i="11"/>
  <c r="S1497" i="11"/>
  <c r="T1497" i="11"/>
  <c r="U1497" i="11"/>
  <c r="V1497" i="11"/>
  <c r="S1498" i="11"/>
  <c r="T1498" i="11"/>
  <c r="U1498" i="11"/>
  <c r="V1498" i="11"/>
  <c r="S1499" i="11"/>
  <c r="T1499" i="11"/>
  <c r="U1499" i="11"/>
  <c r="V1499" i="11"/>
  <c r="S1492" i="11"/>
  <c r="T1492" i="11"/>
  <c r="U1492" i="11"/>
  <c r="V1492" i="11"/>
  <c r="S1485" i="11"/>
  <c r="T1485" i="11"/>
  <c r="U1485" i="11"/>
  <c r="V1485" i="11"/>
  <c r="S1486" i="11"/>
  <c r="T1486" i="11"/>
  <c r="U1486" i="11"/>
  <c r="V1486" i="11"/>
  <c r="S1487" i="11"/>
  <c r="T1487" i="11"/>
  <c r="U1487" i="11"/>
  <c r="V1487" i="11"/>
  <c r="S1488" i="11"/>
  <c r="T1488" i="11"/>
  <c r="U1488" i="11"/>
  <c r="V1488" i="11"/>
  <c r="S1446" i="11"/>
  <c r="T1446" i="11"/>
  <c r="U1446" i="11"/>
  <c r="V1446" i="11"/>
  <c r="S1447" i="11"/>
  <c r="T1447" i="11"/>
  <c r="U1447" i="11"/>
  <c r="V1447" i="11"/>
  <c r="S1448" i="11"/>
  <c r="T1448" i="11"/>
  <c r="U1448" i="11"/>
  <c r="V1448" i="11"/>
  <c r="S1442" i="11"/>
  <c r="T1442" i="11"/>
  <c r="U1442" i="11"/>
  <c r="V1442" i="11"/>
  <c r="S1443" i="11"/>
  <c r="T1443" i="11"/>
  <c r="U1443" i="11"/>
  <c r="V1443" i="11"/>
  <c r="S1440" i="11"/>
  <c r="T1440" i="11"/>
  <c r="U1440" i="11"/>
  <c r="V1440" i="11"/>
  <c r="S1435" i="11"/>
  <c r="T1435" i="11"/>
  <c r="U1435" i="11"/>
  <c r="V1435" i="11"/>
  <c r="S1436" i="11"/>
  <c r="T1436" i="11"/>
  <c r="U1436" i="11"/>
  <c r="V1436" i="11"/>
  <c r="S1437" i="11"/>
  <c r="T1437" i="11"/>
  <c r="U1437" i="11"/>
  <c r="V1437" i="11"/>
  <c r="S1428" i="11"/>
  <c r="T1428" i="11"/>
  <c r="U1428" i="11"/>
  <c r="V1428" i="11"/>
  <c r="S1424" i="11"/>
  <c r="T1424" i="11"/>
  <c r="U1424" i="11"/>
  <c r="V1424" i="11"/>
  <c r="S1425" i="11"/>
  <c r="T1425" i="11"/>
  <c r="U1425" i="11"/>
  <c r="V1425" i="11"/>
  <c r="S1426" i="11"/>
  <c r="T1426" i="11"/>
  <c r="U1426" i="11"/>
  <c r="V1426" i="11"/>
  <c r="S1422" i="11"/>
  <c r="T1422" i="11"/>
  <c r="U1422" i="11"/>
  <c r="V1422" i="11"/>
  <c r="S1415" i="11"/>
  <c r="T1415" i="11"/>
  <c r="U1415" i="11"/>
  <c r="V1415" i="11"/>
  <c r="S1412" i="11"/>
  <c r="T1412" i="11"/>
  <c r="U1412" i="11"/>
  <c r="V1412" i="11"/>
  <c r="S1409" i="11"/>
  <c r="T1409" i="11"/>
  <c r="U1409" i="11"/>
  <c r="V1409" i="11"/>
  <c r="S1410" i="11"/>
  <c r="T1410" i="11"/>
  <c r="U1410" i="11"/>
  <c r="V1410" i="11"/>
  <c r="S1401" i="11"/>
  <c r="T1401" i="11"/>
  <c r="U1401" i="11"/>
  <c r="V1401" i="11"/>
  <c r="S1402" i="11"/>
  <c r="T1402" i="11"/>
  <c r="U1402" i="11"/>
  <c r="V1402" i="11"/>
  <c r="S1403" i="11"/>
  <c r="T1403" i="11"/>
  <c r="U1403" i="11"/>
  <c r="V1403" i="11"/>
  <c r="S1399" i="11"/>
  <c r="T1399" i="11"/>
  <c r="U1399" i="11"/>
  <c r="V1399" i="11"/>
  <c r="S1393" i="11"/>
  <c r="T1393" i="11"/>
  <c r="U1393" i="11"/>
  <c r="V1393" i="11"/>
  <c r="S1394" i="11"/>
  <c r="T1394" i="11"/>
  <c r="U1394" i="11"/>
  <c r="V1394" i="11"/>
  <c r="S1388" i="11"/>
  <c r="T1388" i="11"/>
  <c r="U1388" i="11"/>
  <c r="V1388" i="11"/>
  <c r="S1374" i="11"/>
  <c r="T1374" i="11"/>
  <c r="U1374" i="11"/>
  <c r="V1374" i="11"/>
  <c r="S1375" i="11"/>
  <c r="T1375" i="11"/>
  <c r="U1375" i="11"/>
  <c r="V1375" i="11"/>
  <c r="S1371" i="11"/>
  <c r="T1371" i="11"/>
  <c r="U1371" i="11"/>
  <c r="V1371" i="11"/>
  <c r="S1372" i="11"/>
  <c r="T1372" i="11"/>
  <c r="U1372" i="11"/>
  <c r="V1372" i="11"/>
  <c r="S1368" i="11"/>
  <c r="T1368" i="11"/>
  <c r="U1368" i="11"/>
  <c r="V1368" i="11"/>
  <c r="S1369" i="11"/>
  <c r="T1369" i="11"/>
  <c r="U1369" i="11"/>
  <c r="V1369" i="11"/>
  <c r="S1360" i="11"/>
  <c r="T1360" i="11"/>
  <c r="U1360" i="11"/>
  <c r="V1360" i="11"/>
  <c r="S1361" i="11"/>
  <c r="T1361" i="11"/>
  <c r="U1361" i="11"/>
  <c r="V1361" i="11"/>
  <c r="S1362" i="11"/>
  <c r="T1362" i="11"/>
  <c r="U1362" i="11"/>
  <c r="V1362" i="11"/>
  <c r="S1363" i="11"/>
  <c r="T1363" i="11"/>
  <c r="U1363" i="11"/>
  <c r="V1363" i="11"/>
  <c r="S1364" i="11"/>
  <c r="T1364" i="11"/>
  <c r="U1364" i="11"/>
  <c r="V1364" i="11"/>
  <c r="S1357" i="11"/>
  <c r="T1357" i="11"/>
  <c r="U1357" i="11"/>
  <c r="V1357" i="11"/>
  <c r="S1358" i="11"/>
  <c r="T1358" i="11"/>
  <c r="U1358" i="11"/>
  <c r="V1358" i="11"/>
  <c r="S1354" i="11"/>
  <c r="T1354" i="11"/>
  <c r="U1354" i="11"/>
  <c r="V1354" i="11"/>
  <c r="S1355" i="11"/>
  <c r="T1355" i="11"/>
  <c r="U1355" i="11"/>
  <c r="V1355" i="11"/>
  <c r="S1351" i="11"/>
  <c r="T1351" i="11"/>
  <c r="U1351" i="11"/>
  <c r="V1351" i="11"/>
  <c r="S1352" i="11"/>
  <c r="T1352" i="11"/>
  <c r="U1352" i="11"/>
  <c r="V1352" i="11"/>
  <c r="S1348" i="11"/>
  <c r="T1348" i="11"/>
  <c r="U1348" i="11"/>
  <c r="V1348" i="11"/>
  <c r="S1349" i="11"/>
  <c r="T1349" i="11"/>
  <c r="U1349" i="11"/>
  <c r="V1349" i="11"/>
  <c r="S1346" i="11"/>
  <c r="T1346" i="11"/>
  <c r="U1346" i="11"/>
  <c r="V1346" i="11"/>
  <c r="S1339" i="11"/>
  <c r="T1339" i="11"/>
  <c r="U1339" i="11"/>
  <c r="V1339" i="11"/>
  <c r="S1332" i="11"/>
  <c r="T1332" i="11"/>
  <c r="U1332" i="11"/>
  <c r="V1332" i="11"/>
  <c r="S1333" i="11"/>
  <c r="T1333" i="11"/>
  <c r="U1333" i="11"/>
  <c r="V1333" i="11"/>
  <c r="S1334" i="11"/>
  <c r="T1334" i="11"/>
  <c r="U1334" i="11"/>
  <c r="V1334" i="11"/>
  <c r="S1319" i="11"/>
  <c r="T1319" i="11"/>
  <c r="U1319" i="11"/>
  <c r="V1319" i="11"/>
  <c r="S1306" i="11"/>
  <c r="T1306" i="11"/>
  <c r="U1306" i="11"/>
  <c r="V1306" i="11"/>
  <c r="S1302" i="11"/>
  <c r="T1302" i="11"/>
  <c r="U1302" i="11"/>
  <c r="V1302" i="11"/>
  <c r="S1297" i="11"/>
  <c r="T1297" i="11"/>
  <c r="U1297" i="11"/>
  <c r="V1297" i="11"/>
  <c r="S1295" i="11"/>
  <c r="T1295" i="11"/>
  <c r="U1295" i="11"/>
  <c r="V1295" i="11"/>
  <c r="S1292" i="11"/>
  <c r="T1292" i="11"/>
  <c r="U1292" i="11"/>
  <c r="V1292" i="11"/>
  <c r="S1288" i="11"/>
  <c r="T1288" i="11"/>
  <c r="U1288" i="11"/>
  <c r="V1288" i="11"/>
  <c r="S1289" i="11"/>
  <c r="T1289" i="11"/>
  <c r="U1289" i="11"/>
  <c r="V1289" i="11"/>
  <c r="S1284" i="11"/>
  <c r="T1284" i="11"/>
  <c r="U1284" i="11"/>
  <c r="V1284" i="11"/>
  <c r="S1270" i="11"/>
  <c r="T1270" i="11"/>
  <c r="U1270" i="11"/>
  <c r="V1270" i="11"/>
  <c r="S1260" i="11"/>
  <c r="T1260" i="11"/>
  <c r="U1260" i="11"/>
  <c r="V1260" i="11"/>
  <c r="S1251" i="11"/>
  <c r="T1251" i="11"/>
  <c r="U1251" i="11"/>
  <c r="V1251" i="11"/>
  <c r="S1252" i="11"/>
  <c r="T1252" i="11"/>
  <c r="U1252" i="11"/>
  <c r="V1252" i="11"/>
  <c r="S1224" i="11"/>
  <c r="T1224" i="11"/>
  <c r="U1224" i="11"/>
  <c r="V1224" i="11"/>
  <c r="S1213" i="11"/>
  <c r="T1213" i="11"/>
  <c r="U1213" i="11"/>
  <c r="V1213" i="11"/>
  <c r="S1207" i="11"/>
  <c r="T1207" i="11"/>
  <c r="U1207" i="11"/>
  <c r="V1207" i="11"/>
  <c r="S1201" i="11"/>
  <c r="T1201" i="11"/>
  <c r="U1201" i="11"/>
  <c r="V1201" i="11"/>
  <c r="S1202" i="11"/>
  <c r="T1202" i="11"/>
  <c r="U1202" i="11"/>
  <c r="V1202" i="11"/>
  <c r="S1199" i="11"/>
  <c r="T1199" i="11"/>
  <c r="U1199" i="11"/>
  <c r="V1199" i="11"/>
  <c r="S1179" i="11"/>
  <c r="T1179" i="11"/>
  <c r="U1179" i="11"/>
  <c r="V1179" i="11"/>
  <c r="S1180" i="11"/>
  <c r="T1180" i="11"/>
  <c r="U1180" i="11"/>
  <c r="V1180" i="11"/>
  <c r="S1181" i="11"/>
  <c r="T1181" i="11"/>
  <c r="U1181" i="11"/>
  <c r="V1181" i="11"/>
  <c r="S1182" i="11"/>
  <c r="T1182" i="11"/>
  <c r="U1182" i="11"/>
  <c r="V1182" i="11"/>
  <c r="S1183" i="11"/>
  <c r="T1183" i="11"/>
  <c r="U1183" i="11"/>
  <c r="V1183" i="11"/>
  <c r="S1177" i="11"/>
  <c r="T1177" i="11"/>
  <c r="U1177" i="11"/>
  <c r="V1177" i="11"/>
  <c r="S1173" i="11"/>
  <c r="T1173" i="11"/>
  <c r="U1173" i="11"/>
  <c r="V1173" i="11"/>
  <c r="S1166" i="11"/>
  <c r="T1166" i="11"/>
  <c r="U1166" i="11"/>
  <c r="V1166" i="11"/>
  <c r="S1162" i="11"/>
  <c r="T1162" i="11"/>
  <c r="U1162" i="11"/>
  <c r="V1162" i="11"/>
  <c r="S1163" i="11"/>
  <c r="T1163" i="11"/>
  <c r="U1163" i="11"/>
  <c r="V1163" i="11"/>
  <c r="S1164" i="11"/>
  <c r="T1164" i="11"/>
  <c r="U1164" i="11"/>
  <c r="V1164" i="11"/>
  <c r="S1159" i="11"/>
  <c r="T1159" i="11"/>
  <c r="U1159" i="11"/>
  <c r="V1159" i="11"/>
  <c r="S1160" i="11"/>
  <c r="T1160" i="11"/>
  <c r="U1160" i="11"/>
  <c r="V1160" i="11"/>
  <c r="S1155" i="11"/>
  <c r="T1155" i="11"/>
  <c r="U1155" i="11"/>
  <c r="V1155" i="11"/>
  <c r="S1156" i="11"/>
  <c r="T1156" i="11"/>
  <c r="U1156" i="11"/>
  <c r="V1156" i="11"/>
  <c r="S1157" i="11"/>
  <c r="T1157" i="11"/>
  <c r="U1157" i="11"/>
  <c r="V1157" i="11"/>
  <c r="S1151" i="11"/>
  <c r="T1151" i="11"/>
  <c r="U1151" i="11"/>
  <c r="V1151" i="11"/>
  <c r="S1146" i="11"/>
  <c r="T1146" i="11"/>
  <c r="U1146" i="11"/>
  <c r="V1146" i="11"/>
  <c r="S1144" i="11"/>
  <c r="T1144" i="11"/>
  <c r="U1144" i="11"/>
  <c r="V1144" i="11"/>
  <c r="S1142" i="11"/>
  <c r="T1142" i="11"/>
  <c r="U1142" i="11"/>
  <c r="V1142" i="11"/>
  <c r="S1137" i="11"/>
  <c r="T1137" i="11"/>
  <c r="U1137" i="11"/>
  <c r="V1137" i="11"/>
  <c r="S1138" i="11"/>
  <c r="T1138" i="11"/>
  <c r="U1138" i="11"/>
  <c r="V1138" i="11"/>
  <c r="S1133" i="11"/>
  <c r="T1133" i="11"/>
  <c r="U1133" i="11"/>
  <c r="V1133" i="11"/>
  <c r="S1134" i="11"/>
  <c r="T1134" i="11"/>
  <c r="U1134" i="11"/>
  <c r="V1134" i="11"/>
  <c r="S1135" i="11"/>
  <c r="T1135" i="11"/>
  <c r="U1135" i="11"/>
  <c r="V1135" i="11"/>
  <c r="S1128" i="11"/>
  <c r="T1128" i="11"/>
  <c r="U1128" i="11"/>
  <c r="V1128" i="11"/>
  <c r="S1129" i="11"/>
  <c r="T1129" i="11"/>
  <c r="U1129" i="11"/>
  <c r="V1129" i="11"/>
  <c r="S1126" i="11"/>
  <c r="T1126" i="11"/>
  <c r="U1126" i="11"/>
  <c r="V1126" i="11"/>
  <c r="S1113" i="11"/>
  <c r="T1113" i="11"/>
  <c r="U1113" i="11"/>
  <c r="V1113" i="11"/>
  <c r="S1109" i="11"/>
  <c r="T1109" i="11"/>
  <c r="U1109" i="11"/>
  <c r="V1109" i="11"/>
  <c r="S1106" i="11"/>
  <c r="T1106" i="11"/>
  <c r="U1106" i="11"/>
  <c r="V1106" i="11"/>
  <c r="S1102" i="11"/>
  <c r="T1102" i="11"/>
  <c r="U1102" i="11"/>
  <c r="V1102" i="11"/>
  <c r="S1097" i="11"/>
  <c r="T1097" i="11"/>
  <c r="U1097" i="11"/>
  <c r="V1097" i="11"/>
  <c r="S1080" i="11"/>
  <c r="T1080" i="11"/>
  <c r="U1080" i="11"/>
  <c r="V1080" i="11"/>
  <c r="S1077" i="11"/>
  <c r="T1077" i="11"/>
  <c r="U1077" i="11"/>
  <c r="V1077" i="11"/>
  <c r="S1073" i="11"/>
  <c r="T1073" i="11"/>
  <c r="U1073" i="11"/>
  <c r="V1073" i="11"/>
  <c r="S1065" i="11"/>
  <c r="T1065" i="11"/>
  <c r="U1065" i="11"/>
  <c r="V1065" i="11"/>
  <c r="S1061" i="11"/>
  <c r="T1061" i="11"/>
  <c r="U1061" i="11"/>
  <c r="V1061" i="11"/>
  <c r="S1062" i="11"/>
  <c r="T1062" i="11"/>
  <c r="U1062" i="11"/>
  <c r="V1062" i="11"/>
  <c r="S1048" i="11"/>
  <c r="T1048" i="11"/>
  <c r="U1048" i="11"/>
  <c r="V1048" i="11"/>
  <c r="S1049" i="11"/>
  <c r="T1049" i="11"/>
  <c r="U1049" i="11"/>
  <c r="V1049" i="11"/>
  <c r="S1043" i="11"/>
  <c r="T1043" i="11"/>
  <c r="U1043" i="11"/>
  <c r="V1043" i="11"/>
  <c r="S1041" i="11"/>
  <c r="T1041" i="11"/>
  <c r="U1041" i="11"/>
  <c r="V1041" i="11"/>
  <c r="S1030" i="11"/>
  <c r="T1030" i="11"/>
  <c r="U1030" i="11"/>
  <c r="V1030" i="11"/>
  <c r="S1031" i="11"/>
  <c r="T1031" i="11"/>
  <c r="U1031" i="11"/>
  <c r="V1031" i="11"/>
  <c r="S1032" i="11"/>
  <c r="T1032" i="11"/>
  <c r="U1032" i="11"/>
  <c r="V1032" i="11"/>
  <c r="S1014" i="11"/>
  <c r="T1014" i="11"/>
  <c r="U1014" i="11"/>
  <c r="V1014" i="11"/>
  <c r="S1011" i="11"/>
  <c r="T1011" i="11"/>
  <c r="U1011" i="11"/>
  <c r="V1011" i="11"/>
  <c r="S1009" i="11"/>
  <c r="T1009" i="11"/>
  <c r="U1009" i="11"/>
  <c r="V1009" i="11"/>
  <c r="S1003" i="11"/>
  <c r="T1003" i="11"/>
  <c r="U1003" i="11"/>
  <c r="V1003" i="11"/>
  <c r="S1004" i="11"/>
  <c r="T1004" i="11"/>
  <c r="U1004" i="11"/>
  <c r="V1004" i="11"/>
  <c r="S998" i="11"/>
  <c r="T998" i="11"/>
  <c r="U998" i="11"/>
  <c r="V998" i="11"/>
  <c r="S999" i="11"/>
  <c r="T999" i="11"/>
  <c r="U999" i="11"/>
  <c r="V999" i="11"/>
  <c r="S996" i="11"/>
  <c r="T996" i="11"/>
  <c r="U996" i="11"/>
  <c r="V996" i="11"/>
  <c r="S992" i="11"/>
  <c r="T992" i="11"/>
  <c r="U992" i="11"/>
  <c r="V992" i="11"/>
  <c r="S985" i="11"/>
  <c r="T985" i="11"/>
  <c r="U985" i="11"/>
  <c r="V985" i="11"/>
  <c r="S982" i="11"/>
  <c r="T982" i="11"/>
  <c r="U982" i="11"/>
  <c r="V982" i="11"/>
  <c r="S978" i="11"/>
  <c r="T978" i="11"/>
  <c r="U978" i="11"/>
  <c r="V978" i="11"/>
  <c r="S979" i="11"/>
  <c r="T979" i="11"/>
  <c r="U979" i="11"/>
  <c r="V979" i="11"/>
  <c r="S974" i="11"/>
  <c r="T974" i="11"/>
  <c r="U974" i="11"/>
  <c r="V974" i="11"/>
  <c r="S964" i="11"/>
  <c r="V964" i="11"/>
  <c r="S965" i="11"/>
  <c r="T965" i="11"/>
  <c r="U965" i="11"/>
  <c r="V965" i="11"/>
  <c r="S966" i="11"/>
  <c r="T966" i="11"/>
  <c r="U966" i="11"/>
  <c r="V966" i="11"/>
  <c r="S961" i="11"/>
  <c r="T961" i="11"/>
  <c r="U961" i="11"/>
  <c r="V961" i="11"/>
  <c r="S962" i="11"/>
  <c r="T962" i="11"/>
  <c r="U962" i="11"/>
  <c r="V962" i="11"/>
  <c r="V959" i="11"/>
  <c r="U959" i="11"/>
  <c r="T959" i="11"/>
  <c r="S959" i="11"/>
  <c r="U937" i="11"/>
  <c r="U392" i="11"/>
  <c r="S953" i="11"/>
  <c r="T953" i="11"/>
  <c r="U953" i="11"/>
  <c r="V953" i="11"/>
  <c r="S948" i="11"/>
  <c r="T948" i="11"/>
  <c r="U948" i="11"/>
  <c r="V948" i="11"/>
  <c r="S937" i="11"/>
  <c r="T937" i="11"/>
  <c r="V937" i="11"/>
  <c r="S814" i="11"/>
  <c r="T814" i="11"/>
  <c r="U814" i="11"/>
  <c r="V814" i="11"/>
  <c r="S811" i="11"/>
  <c r="T811" i="11"/>
  <c r="U811" i="11"/>
  <c r="V811" i="11"/>
  <c r="S808" i="11"/>
  <c r="T808" i="11"/>
  <c r="U808" i="11"/>
  <c r="V808" i="11"/>
  <c r="S809" i="11"/>
  <c r="T809" i="11"/>
  <c r="U809" i="11"/>
  <c r="V809" i="11"/>
  <c r="S806" i="11"/>
  <c r="T806" i="11"/>
  <c r="U806" i="11"/>
  <c r="V806" i="11"/>
  <c r="S798" i="11"/>
  <c r="T798" i="11"/>
  <c r="U798" i="11"/>
  <c r="V798" i="11"/>
  <c r="S799" i="11"/>
  <c r="T799" i="11"/>
  <c r="U799" i="11"/>
  <c r="V799" i="11"/>
  <c r="S800" i="11"/>
  <c r="T800" i="11"/>
  <c r="U800" i="11"/>
  <c r="V800" i="11"/>
  <c r="S801" i="11"/>
  <c r="T801" i="11"/>
  <c r="U801" i="11"/>
  <c r="V801" i="11"/>
  <c r="S802" i="11"/>
  <c r="T802" i="11"/>
  <c r="U802" i="11"/>
  <c r="V802" i="11"/>
  <c r="S790" i="11"/>
  <c r="T790" i="11"/>
  <c r="U790" i="11"/>
  <c r="V790" i="11"/>
  <c r="S777" i="11"/>
  <c r="T777" i="11"/>
  <c r="U777" i="11"/>
  <c r="V777" i="11"/>
  <c r="S768" i="11"/>
  <c r="T768" i="11"/>
  <c r="U768" i="11"/>
  <c r="V768" i="11"/>
  <c r="S766" i="11"/>
  <c r="T766" i="11"/>
  <c r="U766" i="11"/>
  <c r="V766" i="11"/>
  <c r="S764" i="11"/>
  <c r="T764" i="11"/>
  <c r="U764" i="11"/>
  <c r="V764" i="11"/>
  <c r="S755" i="11"/>
  <c r="T755" i="11"/>
  <c r="U755" i="11"/>
  <c r="V755" i="11"/>
  <c r="S747" i="11"/>
  <c r="T747" i="11"/>
  <c r="U747" i="11"/>
  <c r="V747" i="11"/>
  <c r="S745" i="11"/>
  <c r="T745" i="11"/>
  <c r="U745" i="11"/>
  <c r="V745" i="11"/>
  <c r="S742" i="11"/>
  <c r="T742" i="11"/>
  <c r="U742" i="11"/>
  <c r="V742" i="11"/>
  <c r="S709" i="11"/>
  <c r="T709" i="11"/>
  <c r="U709" i="11"/>
  <c r="V709" i="11"/>
  <c r="S710" i="11"/>
  <c r="T710" i="11"/>
  <c r="U710" i="11"/>
  <c r="V710" i="11"/>
  <c r="S711" i="11"/>
  <c r="T711" i="11"/>
  <c r="U711" i="11"/>
  <c r="V711" i="11"/>
  <c r="S712" i="11"/>
  <c r="T712" i="11"/>
  <c r="U712" i="11"/>
  <c r="V712" i="11"/>
  <c r="S713" i="11"/>
  <c r="T713" i="11"/>
  <c r="U713" i="11"/>
  <c r="V713" i="11"/>
  <c r="S707" i="11"/>
  <c r="T707" i="11"/>
  <c r="U707" i="11"/>
  <c r="V707" i="11"/>
  <c r="S704" i="11"/>
  <c r="T704" i="11"/>
  <c r="U704" i="11"/>
  <c r="V704" i="11"/>
  <c r="S705" i="11"/>
  <c r="T705" i="11"/>
  <c r="U705" i="11"/>
  <c r="V705" i="11"/>
  <c r="S698" i="11"/>
  <c r="T698" i="11"/>
  <c r="U698" i="11"/>
  <c r="V698" i="11"/>
  <c r="S681" i="11"/>
  <c r="T681" i="11"/>
  <c r="U681" i="11"/>
  <c r="V681" i="11"/>
  <c r="S659" i="11"/>
  <c r="T659" i="11"/>
  <c r="U659" i="11"/>
  <c r="V659" i="11"/>
  <c r="S654" i="11"/>
  <c r="T654" i="11"/>
  <c r="U654" i="11"/>
  <c r="V654" i="11"/>
  <c r="S626" i="11"/>
  <c r="T626" i="11"/>
  <c r="U626" i="11"/>
  <c r="V626" i="11"/>
  <c r="S620" i="11"/>
  <c r="T620" i="11"/>
  <c r="U620" i="11"/>
  <c r="V620" i="11"/>
  <c r="S617" i="11"/>
  <c r="T617" i="11"/>
  <c r="U617" i="11"/>
  <c r="V617" i="11"/>
  <c r="S596" i="11"/>
  <c r="T596" i="11"/>
  <c r="U596" i="11"/>
  <c r="V596" i="11"/>
  <c r="S597" i="11"/>
  <c r="T597" i="11"/>
  <c r="U597" i="11"/>
  <c r="V597" i="11"/>
  <c r="S593" i="11"/>
  <c r="T593" i="11"/>
  <c r="U593" i="11"/>
  <c r="V593" i="11"/>
  <c r="S590" i="11"/>
  <c r="T590" i="11"/>
  <c r="U590" i="11"/>
  <c r="V590" i="11"/>
  <c r="S591" i="11"/>
  <c r="T591" i="11"/>
  <c r="U591" i="11"/>
  <c r="V591" i="11"/>
  <c r="S576" i="11"/>
  <c r="T576" i="11"/>
  <c r="U576" i="11"/>
  <c r="V576" i="11"/>
  <c r="S577" i="11"/>
  <c r="T577" i="11"/>
  <c r="U577" i="11"/>
  <c r="V577" i="11"/>
  <c r="S569" i="11"/>
  <c r="T569" i="11"/>
  <c r="U569" i="11"/>
  <c r="V569" i="11"/>
  <c r="S567" i="11"/>
  <c r="T567" i="11"/>
  <c r="U567" i="11"/>
  <c r="V567" i="11"/>
  <c r="S564" i="11"/>
  <c r="T564" i="11"/>
  <c r="U564" i="11"/>
  <c r="V564" i="11"/>
  <c r="S559" i="11"/>
  <c r="T559" i="11"/>
  <c r="U559" i="11"/>
  <c r="V559" i="11"/>
  <c r="S548" i="11"/>
  <c r="T548" i="11"/>
  <c r="U548" i="11"/>
  <c r="V548" i="11"/>
  <c r="S546" i="11"/>
  <c r="T546" i="11"/>
  <c r="U546" i="11"/>
  <c r="V546" i="11"/>
  <c r="S540" i="11"/>
  <c r="T540" i="11"/>
  <c r="U540" i="11"/>
  <c r="V540" i="11"/>
  <c r="S511" i="11"/>
  <c r="T511" i="11"/>
  <c r="U511" i="11"/>
  <c r="V511" i="11"/>
  <c r="S505" i="11"/>
  <c r="T505" i="11"/>
  <c r="U505" i="11"/>
  <c r="V505" i="11"/>
  <c r="S500" i="11"/>
  <c r="T500" i="11"/>
  <c r="U500" i="11"/>
  <c r="V500" i="11"/>
  <c r="S495" i="11"/>
  <c r="T495" i="11"/>
  <c r="U495" i="11"/>
  <c r="V495" i="11"/>
  <c r="S496" i="11"/>
  <c r="T496" i="11"/>
  <c r="U496" i="11"/>
  <c r="V496" i="11"/>
  <c r="S490" i="11"/>
  <c r="T490" i="11"/>
  <c r="U490" i="11"/>
  <c r="V490" i="11"/>
  <c r="S460" i="11"/>
  <c r="T460" i="11"/>
  <c r="U460" i="11"/>
  <c r="V460" i="11"/>
  <c r="S458" i="11"/>
  <c r="T458" i="11"/>
  <c r="U458" i="11"/>
  <c r="V458" i="11"/>
  <c r="S455" i="11"/>
  <c r="T455" i="11"/>
  <c r="U455" i="11"/>
  <c r="V455" i="11"/>
  <c r="S452" i="11"/>
  <c r="T452" i="11"/>
  <c r="U452" i="11"/>
  <c r="V452" i="11"/>
  <c r="S453" i="11"/>
  <c r="T453" i="11"/>
  <c r="U453" i="11"/>
  <c r="V453" i="11"/>
  <c r="S450" i="11"/>
  <c r="T450" i="11"/>
  <c r="U450" i="11"/>
  <c r="V450" i="11"/>
  <c r="S447" i="11"/>
  <c r="T447" i="11"/>
  <c r="U447" i="11"/>
  <c r="V447" i="11"/>
  <c r="S448" i="11"/>
  <c r="T448" i="11"/>
  <c r="U448" i="11"/>
  <c r="V448" i="11"/>
  <c r="S404" i="11"/>
  <c r="T404" i="11"/>
  <c r="U404" i="11"/>
  <c r="V404" i="11"/>
  <c r="S405" i="11"/>
  <c r="T405" i="11"/>
  <c r="U405" i="11"/>
  <c r="V405" i="11"/>
  <c r="S401" i="11"/>
  <c r="T401" i="11"/>
  <c r="U401" i="11"/>
  <c r="V401" i="11"/>
  <c r="S399" i="11"/>
  <c r="T399" i="11"/>
  <c r="U399" i="11"/>
  <c r="V399" i="11"/>
  <c r="S392" i="11"/>
  <c r="T392" i="11"/>
  <c r="V392" i="11"/>
  <c r="S393" i="11"/>
  <c r="T393" i="11"/>
  <c r="U393" i="11"/>
  <c r="V393" i="11"/>
  <c r="V391" i="11"/>
  <c r="U391" i="11"/>
  <c r="T391" i="11"/>
  <c r="S391" i="11"/>
  <c r="T494" i="11"/>
  <c r="S940" i="11"/>
  <c r="T940" i="11"/>
  <c r="U940" i="11"/>
  <c r="V940" i="11"/>
  <c r="S941" i="11"/>
  <c r="T941" i="11"/>
  <c r="U941" i="11"/>
  <c r="V941" i="11"/>
  <c r="S909" i="11"/>
  <c r="T909" i="11"/>
  <c r="U909" i="11"/>
  <c r="V909" i="11"/>
  <c r="S910" i="11"/>
  <c r="T910" i="11"/>
  <c r="U910" i="11"/>
  <c r="V910" i="11"/>
  <c r="S904" i="11"/>
  <c r="T904" i="11"/>
  <c r="U904" i="11"/>
  <c r="V904" i="11"/>
  <c r="S905" i="11"/>
  <c r="T905" i="11"/>
  <c r="U905" i="11"/>
  <c r="V905" i="11"/>
  <c r="S906" i="11"/>
  <c r="T906" i="11"/>
  <c r="U906" i="11"/>
  <c r="V906" i="11"/>
  <c r="S907" i="11"/>
  <c r="T907" i="11"/>
  <c r="U907" i="11"/>
  <c r="V907" i="11"/>
  <c r="S901" i="11"/>
  <c r="T901" i="11"/>
  <c r="U901" i="11"/>
  <c r="V901" i="11"/>
  <c r="S902" i="11"/>
  <c r="T902" i="11"/>
  <c r="U902" i="11"/>
  <c r="V902" i="11"/>
  <c r="S815" i="11"/>
  <c r="T815" i="11"/>
  <c r="U815" i="11"/>
  <c r="V815" i="11"/>
  <c r="S812" i="11"/>
  <c r="T812" i="11"/>
  <c r="U812" i="11"/>
  <c r="V812" i="11"/>
  <c r="S813" i="11"/>
  <c r="T813" i="11"/>
  <c r="U813" i="11"/>
  <c r="V813" i="11"/>
  <c r="S807" i="11"/>
  <c r="T807" i="11"/>
  <c r="U807" i="11"/>
  <c r="V807" i="11"/>
  <c r="S804" i="11"/>
  <c r="T804" i="11"/>
  <c r="U804" i="11"/>
  <c r="V804" i="11"/>
  <c r="S805" i="11"/>
  <c r="T805" i="11"/>
  <c r="U805" i="11"/>
  <c r="V805" i="11"/>
  <c r="S797" i="11"/>
  <c r="T797" i="11"/>
  <c r="U797" i="11"/>
  <c r="V797" i="11"/>
  <c r="S795" i="11"/>
  <c r="T795" i="11"/>
  <c r="U795" i="11"/>
  <c r="V795" i="11"/>
  <c r="S791" i="11"/>
  <c r="T791" i="11"/>
  <c r="U791" i="11"/>
  <c r="V791" i="11"/>
  <c r="S785" i="11"/>
  <c r="T785" i="11"/>
  <c r="U785" i="11"/>
  <c r="V785" i="11"/>
  <c r="S786" i="11"/>
  <c r="T786" i="11"/>
  <c r="U786" i="11"/>
  <c r="V786" i="11"/>
  <c r="S776" i="11"/>
  <c r="T776" i="11"/>
  <c r="U776" i="11"/>
  <c r="V776" i="11"/>
  <c r="S771" i="11"/>
  <c r="T771" i="11"/>
  <c r="U771" i="11"/>
  <c r="V771" i="11"/>
  <c r="S754" i="11"/>
  <c r="T754" i="11"/>
  <c r="U754" i="11"/>
  <c r="V754" i="11"/>
  <c r="S748" i="11"/>
  <c r="T748" i="11"/>
  <c r="U748" i="11"/>
  <c r="V748" i="11"/>
  <c r="S749" i="11"/>
  <c r="T749" i="11"/>
  <c r="U749" i="11"/>
  <c r="V749" i="11"/>
  <c r="S732" i="11"/>
  <c r="T732" i="11"/>
  <c r="U732" i="11"/>
  <c r="V732" i="11"/>
  <c r="S716" i="11"/>
  <c r="T716" i="11"/>
  <c r="U716" i="11"/>
  <c r="V716" i="11"/>
  <c r="S717" i="11"/>
  <c r="T717" i="11"/>
  <c r="U717" i="11"/>
  <c r="V717" i="11"/>
  <c r="S718" i="11"/>
  <c r="T718" i="11"/>
  <c r="U718" i="11"/>
  <c r="V718" i="11"/>
  <c r="S719" i="11"/>
  <c r="T719" i="11"/>
  <c r="U719" i="11"/>
  <c r="V719" i="11"/>
  <c r="S702" i="11"/>
  <c r="T702" i="11"/>
  <c r="U702" i="11"/>
  <c r="V702" i="11"/>
  <c r="S703" i="11"/>
  <c r="T703" i="11"/>
  <c r="U703" i="11"/>
  <c r="V703" i="11"/>
  <c r="S683" i="11"/>
  <c r="T683" i="11"/>
  <c r="U683" i="11"/>
  <c r="V683" i="11"/>
  <c r="S684" i="11"/>
  <c r="T684" i="11"/>
  <c r="U684" i="11"/>
  <c r="V684" i="11"/>
  <c r="S680" i="11"/>
  <c r="T680" i="11"/>
  <c r="U680" i="11"/>
  <c r="V680" i="11"/>
  <c r="S675" i="11"/>
  <c r="T675" i="11"/>
  <c r="U675" i="11"/>
  <c r="V675" i="11"/>
  <c r="S672" i="11"/>
  <c r="T672" i="11"/>
  <c r="U672" i="11"/>
  <c r="V672" i="11"/>
  <c r="S673" i="11"/>
  <c r="T673" i="11"/>
  <c r="U673" i="11"/>
  <c r="V673" i="11"/>
  <c r="S669" i="11"/>
  <c r="T669" i="11"/>
  <c r="U669" i="11"/>
  <c r="V669" i="11"/>
  <c r="S666" i="11"/>
  <c r="T666" i="11"/>
  <c r="U666" i="11"/>
  <c r="V666" i="11"/>
  <c r="S667" i="11"/>
  <c r="T667" i="11"/>
  <c r="U667" i="11"/>
  <c r="V667" i="11"/>
  <c r="S662" i="11"/>
  <c r="T662" i="11"/>
  <c r="U662" i="11"/>
  <c r="V662" i="11"/>
  <c r="S663" i="11"/>
  <c r="T663" i="11"/>
  <c r="U663" i="11"/>
  <c r="V663" i="11"/>
  <c r="S664" i="11"/>
  <c r="T664" i="11"/>
  <c r="U664" i="11"/>
  <c r="V664" i="11"/>
  <c r="S616" i="11"/>
  <c r="T616" i="11"/>
  <c r="U616" i="11"/>
  <c r="V616" i="11"/>
  <c r="S611" i="11"/>
  <c r="T611" i="11"/>
  <c r="U611" i="11"/>
  <c r="V611" i="11"/>
  <c r="S589" i="11"/>
  <c r="T589" i="11"/>
  <c r="U589" i="11"/>
  <c r="V589" i="11"/>
  <c r="S579" i="11"/>
  <c r="T579" i="11"/>
  <c r="U579" i="11"/>
  <c r="V579" i="11"/>
  <c r="S580" i="11"/>
  <c r="T580" i="11"/>
  <c r="U580" i="11"/>
  <c r="V580" i="11"/>
  <c r="S581" i="11"/>
  <c r="T581" i="11"/>
  <c r="U581" i="11"/>
  <c r="V581" i="11"/>
  <c r="S572" i="11"/>
  <c r="T572" i="11"/>
  <c r="U572" i="11"/>
  <c r="V572" i="11"/>
  <c r="S562" i="11"/>
  <c r="T562" i="11"/>
  <c r="U562" i="11"/>
  <c r="V562" i="11"/>
  <c r="S563" i="11"/>
  <c r="T563" i="11"/>
  <c r="U563" i="11"/>
  <c r="V563" i="11"/>
  <c r="S560" i="11"/>
  <c r="T560" i="11"/>
  <c r="U560" i="11"/>
  <c r="V560" i="11"/>
  <c r="S553" i="11"/>
  <c r="T553" i="11"/>
  <c r="U553" i="11"/>
  <c r="V553" i="11"/>
  <c r="S554" i="11"/>
  <c r="T554" i="11"/>
  <c r="U554" i="11"/>
  <c r="V554" i="11"/>
  <c r="S542" i="11"/>
  <c r="T542" i="11"/>
  <c r="U542" i="11"/>
  <c r="V542" i="11"/>
  <c r="S543" i="11"/>
  <c r="T543" i="11"/>
  <c r="U543" i="11"/>
  <c r="V543" i="11"/>
  <c r="S544" i="11"/>
  <c r="T544" i="11"/>
  <c r="U544" i="11"/>
  <c r="V544" i="11"/>
  <c r="S537" i="11"/>
  <c r="T537" i="11"/>
  <c r="U537" i="11"/>
  <c r="V537" i="11"/>
  <c r="S538" i="11"/>
  <c r="T538" i="11"/>
  <c r="U538" i="11"/>
  <c r="V538" i="11"/>
  <c r="S525" i="11"/>
  <c r="T525" i="11"/>
  <c r="U525" i="11"/>
  <c r="V525" i="11"/>
  <c r="S526" i="11"/>
  <c r="T526" i="11"/>
  <c r="U526" i="11"/>
  <c r="V526" i="11"/>
  <c r="S527" i="11"/>
  <c r="T527" i="11"/>
  <c r="U527" i="11"/>
  <c r="V527" i="11"/>
  <c r="S523" i="11"/>
  <c r="T523" i="11"/>
  <c r="U523" i="11"/>
  <c r="V523" i="11"/>
  <c r="S517" i="11"/>
  <c r="T517" i="11"/>
  <c r="U517" i="11"/>
  <c r="V517" i="11"/>
  <c r="S518" i="11"/>
  <c r="T518" i="11"/>
  <c r="U518" i="11"/>
  <c r="V518" i="11"/>
  <c r="S519" i="11"/>
  <c r="T519" i="11"/>
  <c r="U519" i="11"/>
  <c r="V519" i="11"/>
  <c r="S520" i="11"/>
  <c r="T520" i="11"/>
  <c r="U520" i="11"/>
  <c r="V520" i="11"/>
  <c r="S514" i="11"/>
  <c r="T514" i="11"/>
  <c r="U514" i="11"/>
  <c r="V514" i="11"/>
  <c r="S508" i="11"/>
  <c r="T508" i="11"/>
  <c r="U508" i="11"/>
  <c r="V508" i="11"/>
  <c r="S509" i="11"/>
  <c r="T509" i="11"/>
  <c r="U509" i="11"/>
  <c r="V509" i="11"/>
  <c r="S498" i="11"/>
  <c r="T498" i="11"/>
  <c r="U498" i="11"/>
  <c r="V498" i="11"/>
  <c r="S494" i="11"/>
  <c r="U494" i="11"/>
  <c r="V494" i="11"/>
  <c r="S491" i="11"/>
  <c r="T491" i="11"/>
  <c r="U491" i="11"/>
  <c r="V491" i="11"/>
  <c r="S481" i="11"/>
  <c r="T481" i="11"/>
  <c r="U481" i="11"/>
  <c r="V481" i="11"/>
  <c r="S482" i="11"/>
  <c r="T482" i="11"/>
  <c r="U482" i="11"/>
  <c r="V482" i="11"/>
  <c r="S475" i="11"/>
  <c r="T475" i="11"/>
  <c r="U475" i="11"/>
  <c r="V475" i="11"/>
  <c r="S476" i="11"/>
  <c r="T476" i="11"/>
  <c r="U476" i="11"/>
  <c r="V476" i="11"/>
  <c r="S477" i="11"/>
  <c r="T477" i="11"/>
  <c r="U477" i="11"/>
  <c r="V477" i="11"/>
  <c r="S478" i="11"/>
  <c r="T478" i="11"/>
  <c r="U478" i="11"/>
  <c r="V478" i="11"/>
  <c r="S459" i="11"/>
  <c r="T459" i="11"/>
  <c r="U459" i="11"/>
  <c r="V459" i="11"/>
  <c r="S456" i="11"/>
  <c r="T456" i="11"/>
  <c r="U456" i="11"/>
  <c r="V456" i="11"/>
  <c r="S457" i="11"/>
  <c r="T457" i="11"/>
  <c r="U457" i="11"/>
  <c r="V457" i="11"/>
  <c r="S451" i="11"/>
  <c r="T451" i="11"/>
  <c r="U451" i="11"/>
  <c r="V451" i="11"/>
  <c r="S449" i="11"/>
  <c r="T449" i="11"/>
  <c r="U449" i="11"/>
  <c r="V449" i="11"/>
  <c r="S442" i="11"/>
  <c r="T442" i="11"/>
  <c r="U442" i="11"/>
  <c r="V442" i="11"/>
  <c r="S443" i="11"/>
  <c r="T443" i="11"/>
  <c r="U443" i="11"/>
  <c r="V443" i="11"/>
  <c r="S444" i="11"/>
  <c r="T444" i="11"/>
  <c r="U444" i="11"/>
  <c r="V444" i="11"/>
  <c r="S445" i="11"/>
  <c r="T445" i="11"/>
  <c r="U445" i="11"/>
  <c r="V445" i="11"/>
  <c r="S446" i="11"/>
  <c r="T446" i="11"/>
  <c r="U446" i="11"/>
  <c r="V446" i="11"/>
  <c r="S439" i="11"/>
  <c r="T439" i="11"/>
  <c r="U439" i="11"/>
  <c r="V439" i="11"/>
  <c r="S437" i="11"/>
  <c r="T437" i="11"/>
  <c r="U437" i="11"/>
  <c r="V437" i="11"/>
  <c r="S433" i="11"/>
  <c r="T433" i="11"/>
  <c r="U433" i="11"/>
  <c r="V433" i="11"/>
  <c r="S431" i="11"/>
  <c r="T431" i="11"/>
  <c r="U431" i="11"/>
  <c r="V431" i="11"/>
  <c r="S429" i="11"/>
  <c r="T429" i="11"/>
  <c r="U429" i="11"/>
  <c r="V429" i="11"/>
  <c r="S426" i="11"/>
  <c r="T426" i="11"/>
  <c r="U426" i="11"/>
  <c r="V426" i="11"/>
  <c r="S427" i="11"/>
  <c r="T427" i="11"/>
  <c r="U427" i="11"/>
  <c r="V427" i="11"/>
  <c r="S421" i="11"/>
  <c r="T421" i="11"/>
  <c r="U421" i="11"/>
  <c r="V421" i="11"/>
  <c r="S422" i="11"/>
  <c r="T422" i="11"/>
  <c r="U422" i="11"/>
  <c r="V422" i="11"/>
  <c r="S417" i="11"/>
  <c r="T417" i="11"/>
  <c r="U417" i="11"/>
  <c r="V417" i="11"/>
  <c r="S418" i="11"/>
  <c r="T418" i="11"/>
  <c r="U418" i="11"/>
  <c r="V418" i="11"/>
  <c r="S402" i="11"/>
  <c r="T402" i="11"/>
  <c r="U402" i="11"/>
  <c r="V402" i="11"/>
  <c r="S403" i="11"/>
  <c r="T403" i="11"/>
  <c r="U403" i="11"/>
  <c r="V403" i="11"/>
  <c r="S400" i="11"/>
  <c r="T400" i="11"/>
  <c r="U400" i="11"/>
  <c r="V400" i="11"/>
  <c r="S394" i="11"/>
  <c r="T394" i="11"/>
  <c r="U394" i="11"/>
  <c r="V394" i="11"/>
  <c r="S395" i="11"/>
  <c r="T395" i="11"/>
  <c r="U395" i="11"/>
  <c r="V395" i="11"/>
  <c r="S396" i="11"/>
  <c r="T396" i="11"/>
  <c r="U396" i="11"/>
  <c r="V396" i="11"/>
  <c r="S397" i="11"/>
  <c r="T397" i="11"/>
  <c r="U397" i="11"/>
  <c r="V397" i="11"/>
  <c r="S398" i="11"/>
  <c r="T398" i="11"/>
  <c r="U398" i="11"/>
  <c r="V398" i="11"/>
  <c r="V390" i="11"/>
  <c r="U390" i="11"/>
  <c r="T390" i="11"/>
  <c r="S390" i="11"/>
  <c r="S154" i="11"/>
  <c r="T154" i="11"/>
  <c r="U154" i="11"/>
  <c r="V154" i="11"/>
  <c r="S155" i="11"/>
  <c r="T155" i="11"/>
  <c r="U155" i="11"/>
  <c r="V155" i="11"/>
  <c r="S156" i="11"/>
  <c r="T156" i="11"/>
  <c r="U156" i="11"/>
  <c r="V156" i="11"/>
  <c r="S157" i="11"/>
  <c r="T157" i="11"/>
  <c r="U157" i="11"/>
  <c r="V157" i="11"/>
  <c r="S158" i="11"/>
  <c r="T158" i="11"/>
  <c r="U158" i="11"/>
  <c r="V158" i="11"/>
  <c r="S159" i="11"/>
  <c r="T159" i="11"/>
  <c r="U159" i="11"/>
  <c r="V159" i="11"/>
  <c r="S160" i="11"/>
  <c r="T160" i="11"/>
  <c r="U160" i="11"/>
  <c r="V160" i="11"/>
  <c r="S161" i="11"/>
  <c r="T161" i="11"/>
  <c r="U161" i="11"/>
  <c r="V161" i="11"/>
  <c r="S162" i="11"/>
  <c r="T162" i="11"/>
  <c r="U162" i="11"/>
  <c r="V162" i="11"/>
  <c r="S163" i="11"/>
  <c r="T163" i="11"/>
  <c r="U163" i="11"/>
  <c r="V163" i="11"/>
  <c r="S164" i="11"/>
  <c r="T164" i="11"/>
  <c r="U164" i="11"/>
  <c r="V164" i="11"/>
  <c r="S165" i="11"/>
  <c r="T165" i="11"/>
  <c r="U165" i="11"/>
  <c r="V165" i="11"/>
  <c r="S166" i="11"/>
  <c r="T166" i="11"/>
  <c r="U166" i="11"/>
  <c r="V166" i="11"/>
  <c r="S167" i="11"/>
  <c r="T167" i="11"/>
  <c r="U167" i="11"/>
  <c r="V167" i="11"/>
  <c r="S168" i="11"/>
  <c r="T168" i="11"/>
  <c r="U168" i="11"/>
  <c r="V168" i="11"/>
  <c r="S169" i="11"/>
  <c r="T169" i="11"/>
  <c r="U169" i="11"/>
  <c r="V169" i="11"/>
  <c r="S170" i="11"/>
  <c r="T170" i="11"/>
  <c r="U170" i="11"/>
  <c r="V170" i="11"/>
  <c r="S171" i="11"/>
  <c r="T171" i="11"/>
  <c r="U171" i="11"/>
  <c r="V171" i="11"/>
  <c r="S172" i="11"/>
  <c r="T172" i="11"/>
  <c r="U172" i="11"/>
  <c r="V172" i="11"/>
  <c r="S173" i="11"/>
  <c r="T173" i="11"/>
  <c r="U173" i="11"/>
  <c r="V173" i="11"/>
  <c r="S174" i="11"/>
  <c r="T174" i="11"/>
  <c r="U174" i="11"/>
  <c r="V174" i="11"/>
  <c r="S175" i="11"/>
  <c r="T175" i="11"/>
  <c r="U175" i="11"/>
  <c r="V175" i="11"/>
  <c r="S176" i="11"/>
  <c r="T176" i="11"/>
  <c r="U176" i="11"/>
  <c r="V176" i="11"/>
  <c r="S177" i="11"/>
  <c r="T177" i="11"/>
  <c r="U177" i="11"/>
  <c r="V177" i="11"/>
  <c r="S178" i="11"/>
  <c r="T178" i="11"/>
  <c r="U178" i="11"/>
  <c r="V178" i="11"/>
  <c r="S179" i="11"/>
  <c r="T179" i="11"/>
  <c r="U179" i="11"/>
  <c r="V179" i="11"/>
  <c r="S180" i="11"/>
  <c r="T180" i="11"/>
  <c r="U180" i="11"/>
  <c r="V180" i="11"/>
  <c r="S181" i="11"/>
  <c r="T181" i="11"/>
  <c r="U181" i="11"/>
  <c r="V181" i="11"/>
  <c r="S182" i="11"/>
  <c r="T182" i="11"/>
  <c r="U182" i="11"/>
  <c r="V182" i="11"/>
  <c r="S183" i="11"/>
  <c r="T183" i="11"/>
  <c r="U183" i="11"/>
  <c r="V183" i="11"/>
  <c r="S184" i="11"/>
  <c r="T184" i="11"/>
  <c r="U184" i="11"/>
  <c r="V184" i="11"/>
  <c r="S185" i="11"/>
  <c r="T185" i="11"/>
  <c r="U185" i="11"/>
  <c r="V185" i="11"/>
  <c r="S186" i="11"/>
  <c r="T186" i="11"/>
  <c r="U186" i="11"/>
  <c r="V186" i="11"/>
  <c r="S187" i="11"/>
  <c r="T187" i="11"/>
  <c r="U187" i="11"/>
  <c r="V187" i="11"/>
  <c r="S188" i="11"/>
  <c r="T188" i="11"/>
  <c r="U188" i="11"/>
  <c r="V188" i="11"/>
  <c r="S189" i="11"/>
  <c r="T189" i="11"/>
  <c r="U189" i="11"/>
  <c r="V189" i="11"/>
  <c r="S190" i="11"/>
  <c r="T190" i="11"/>
  <c r="U190" i="11"/>
  <c r="V190" i="11"/>
  <c r="S191" i="11"/>
  <c r="T191" i="11"/>
  <c r="U191" i="11"/>
  <c r="V191" i="11"/>
  <c r="S192" i="11"/>
  <c r="T192" i="11"/>
  <c r="U192" i="11"/>
  <c r="V192" i="11"/>
  <c r="S193" i="11"/>
  <c r="T193" i="11"/>
  <c r="U193" i="11"/>
  <c r="V193" i="11"/>
  <c r="S194" i="11"/>
  <c r="T194" i="11"/>
  <c r="U194" i="11"/>
  <c r="V194" i="11"/>
  <c r="S195" i="11"/>
  <c r="T195" i="11"/>
  <c r="U195" i="11"/>
  <c r="V195" i="11"/>
  <c r="S196" i="11"/>
  <c r="T196" i="11"/>
  <c r="U196" i="11"/>
  <c r="V196" i="11"/>
  <c r="S197" i="11"/>
  <c r="T197" i="11"/>
  <c r="U197" i="11"/>
  <c r="V197" i="11"/>
  <c r="S198" i="11"/>
  <c r="T198" i="11"/>
  <c r="U198" i="11"/>
  <c r="V198" i="11"/>
  <c r="S199" i="11"/>
  <c r="T199" i="11"/>
  <c r="U199" i="11"/>
  <c r="V199" i="11"/>
  <c r="S200" i="11"/>
  <c r="T200" i="11"/>
  <c r="U200" i="11"/>
  <c r="V200" i="11"/>
  <c r="S204" i="11"/>
  <c r="T204" i="11"/>
  <c r="U204" i="11"/>
  <c r="V204" i="11"/>
  <c r="S202" i="11"/>
  <c r="T202" i="11"/>
  <c r="U202" i="11"/>
  <c r="V202" i="11"/>
  <c r="S203" i="11"/>
  <c r="T203" i="11"/>
  <c r="U203" i="11"/>
  <c r="V203" i="11"/>
  <c r="S211" i="11"/>
  <c r="T211" i="11"/>
  <c r="U211" i="11"/>
  <c r="V211" i="11"/>
  <c r="S205" i="11"/>
  <c r="T205" i="11"/>
  <c r="U205" i="11"/>
  <c r="V205" i="11"/>
  <c r="S206" i="11"/>
  <c r="T206" i="11"/>
  <c r="U206" i="11"/>
  <c r="V206" i="11"/>
  <c r="S207" i="11"/>
  <c r="T207" i="11"/>
  <c r="U207" i="11"/>
  <c r="V207" i="11"/>
  <c r="S208" i="11"/>
  <c r="T208" i="11"/>
  <c r="U208" i="11"/>
  <c r="V208" i="11"/>
  <c r="S209" i="11"/>
  <c r="T209" i="11"/>
  <c r="U209" i="11"/>
  <c r="V209" i="11"/>
  <c r="S210" i="11"/>
  <c r="T210" i="11"/>
  <c r="U210" i="11"/>
  <c r="V210" i="11"/>
  <c r="S220" i="11"/>
  <c r="T220" i="11"/>
  <c r="U220" i="11"/>
  <c r="V220" i="11"/>
  <c r="S212" i="11"/>
  <c r="T212" i="11"/>
  <c r="U212" i="11"/>
  <c r="V212" i="11"/>
  <c r="S213" i="11"/>
  <c r="T213" i="11"/>
  <c r="U213" i="11"/>
  <c r="V213" i="11"/>
  <c r="S214" i="11"/>
  <c r="T214" i="11"/>
  <c r="U214" i="11"/>
  <c r="V214" i="11"/>
  <c r="S215" i="11"/>
  <c r="T215" i="11"/>
  <c r="U215" i="11"/>
  <c r="V215" i="11"/>
  <c r="S216" i="11"/>
  <c r="T216" i="11"/>
  <c r="U216" i="11"/>
  <c r="V216" i="11"/>
  <c r="S217" i="11"/>
  <c r="T217" i="11"/>
  <c r="U217" i="11"/>
  <c r="V217" i="11"/>
  <c r="S218" i="11"/>
  <c r="T218" i="11"/>
  <c r="U218" i="11"/>
  <c r="V218" i="11"/>
  <c r="S219" i="11"/>
  <c r="T219" i="11"/>
  <c r="U219" i="11"/>
  <c r="V219" i="11"/>
  <c r="S221" i="11"/>
  <c r="T221" i="11"/>
  <c r="U221" i="11"/>
  <c r="V221" i="11"/>
  <c r="S229" i="11"/>
  <c r="T229" i="11"/>
  <c r="U229" i="11"/>
  <c r="V229" i="11"/>
  <c r="S222" i="11"/>
  <c r="T222" i="11"/>
  <c r="U222" i="11"/>
  <c r="V222" i="11"/>
  <c r="S223" i="11"/>
  <c r="T223" i="11"/>
  <c r="U223" i="11"/>
  <c r="V223" i="11"/>
  <c r="S224" i="11"/>
  <c r="T224" i="11"/>
  <c r="U224" i="11"/>
  <c r="V224" i="11"/>
  <c r="S225" i="11"/>
  <c r="T225" i="11"/>
  <c r="U225" i="11"/>
  <c r="V225" i="11"/>
  <c r="S226" i="11"/>
  <c r="T226" i="11"/>
  <c r="U226" i="11"/>
  <c r="V226" i="11"/>
  <c r="S227" i="11"/>
  <c r="T227" i="11"/>
  <c r="U227" i="11"/>
  <c r="V227" i="11"/>
  <c r="S228" i="11"/>
  <c r="T228" i="11"/>
  <c r="U228" i="11"/>
  <c r="V228" i="11"/>
  <c r="S235" i="11"/>
  <c r="T235" i="11"/>
  <c r="U235" i="11"/>
  <c r="V235" i="11"/>
  <c r="S230" i="11"/>
  <c r="T230" i="11"/>
  <c r="U230" i="11"/>
  <c r="V230" i="11"/>
  <c r="S231" i="11"/>
  <c r="T231" i="11"/>
  <c r="U231" i="11"/>
  <c r="V231" i="11"/>
  <c r="S232" i="11"/>
  <c r="T232" i="11"/>
  <c r="U232" i="11"/>
  <c r="V232" i="11"/>
  <c r="S233" i="11"/>
  <c r="T233" i="11"/>
  <c r="U233" i="11"/>
  <c r="V233" i="11"/>
  <c r="S234" i="11"/>
  <c r="T234" i="11"/>
  <c r="U234" i="11"/>
  <c r="V234" i="11"/>
  <c r="S242" i="11"/>
  <c r="T242" i="11"/>
  <c r="U242" i="11"/>
  <c r="V242" i="11"/>
  <c r="S236" i="11"/>
  <c r="T236" i="11"/>
  <c r="U236" i="11"/>
  <c r="V236" i="11"/>
  <c r="S237" i="11"/>
  <c r="T237" i="11"/>
  <c r="U237" i="11"/>
  <c r="V237" i="11"/>
  <c r="S238" i="11"/>
  <c r="T238" i="11"/>
  <c r="U238" i="11"/>
  <c r="V238" i="11"/>
  <c r="S239" i="11"/>
  <c r="T239" i="11"/>
  <c r="U239" i="11"/>
  <c r="V239" i="11"/>
  <c r="S240" i="11"/>
  <c r="T240" i="11"/>
  <c r="U240" i="11"/>
  <c r="V240" i="11"/>
  <c r="S241" i="11"/>
  <c r="T241" i="11"/>
  <c r="U241" i="11"/>
  <c r="V241" i="11"/>
  <c r="S282" i="11"/>
  <c r="T282" i="11"/>
  <c r="U282" i="11"/>
  <c r="V282" i="11"/>
  <c r="S243" i="11"/>
  <c r="T243" i="11"/>
  <c r="U243" i="11"/>
  <c r="V243" i="11"/>
  <c r="S244" i="11"/>
  <c r="T244" i="11"/>
  <c r="U244" i="11"/>
  <c r="V244" i="11"/>
  <c r="S245" i="11"/>
  <c r="T245" i="11"/>
  <c r="U245" i="11"/>
  <c r="V245" i="11"/>
  <c r="S246" i="11"/>
  <c r="T246" i="11"/>
  <c r="U246" i="11"/>
  <c r="V246" i="11"/>
  <c r="S247" i="11"/>
  <c r="T247" i="11"/>
  <c r="U247" i="11"/>
  <c r="V247" i="11"/>
  <c r="S248" i="11"/>
  <c r="T248" i="11"/>
  <c r="U248" i="11"/>
  <c r="V248" i="11"/>
  <c r="S249" i="11"/>
  <c r="T249" i="11"/>
  <c r="U249" i="11"/>
  <c r="V249" i="11"/>
  <c r="S250" i="11"/>
  <c r="T250" i="11"/>
  <c r="U250" i="11"/>
  <c r="V250" i="11"/>
  <c r="S251" i="11"/>
  <c r="T251" i="11"/>
  <c r="U251" i="11"/>
  <c r="V251" i="11"/>
  <c r="S252" i="11"/>
  <c r="T252" i="11"/>
  <c r="U252" i="11"/>
  <c r="V252" i="11"/>
  <c r="S253" i="11"/>
  <c r="T253" i="11"/>
  <c r="U253" i="11"/>
  <c r="V253" i="11"/>
  <c r="S254" i="11"/>
  <c r="T254" i="11"/>
  <c r="U254" i="11"/>
  <c r="V254" i="11"/>
  <c r="S255" i="11"/>
  <c r="T255" i="11"/>
  <c r="U255" i="11"/>
  <c r="V255" i="11"/>
  <c r="S256" i="11"/>
  <c r="T256" i="11"/>
  <c r="U256" i="11"/>
  <c r="V256" i="11"/>
  <c r="S257" i="11"/>
  <c r="T257" i="11"/>
  <c r="U257" i="11"/>
  <c r="V257" i="11"/>
  <c r="S258" i="11"/>
  <c r="T258" i="11"/>
  <c r="U258" i="11"/>
  <c r="V258" i="11"/>
  <c r="S259" i="11"/>
  <c r="T259" i="11"/>
  <c r="U259" i="11"/>
  <c r="V259" i="11"/>
  <c r="S260" i="11"/>
  <c r="T260" i="11"/>
  <c r="U260" i="11"/>
  <c r="V260" i="11"/>
  <c r="S261" i="11"/>
  <c r="T261" i="11"/>
  <c r="U261" i="11"/>
  <c r="V261" i="11"/>
  <c r="S262" i="11"/>
  <c r="T262" i="11"/>
  <c r="U262" i="11"/>
  <c r="V262" i="11"/>
  <c r="S263" i="11"/>
  <c r="T263" i="11"/>
  <c r="U263" i="11"/>
  <c r="V263" i="11"/>
  <c r="S264" i="11"/>
  <c r="T264" i="11"/>
  <c r="U264" i="11"/>
  <c r="V264" i="11"/>
  <c r="S265" i="11"/>
  <c r="T265" i="11"/>
  <c r="U265" i="11"/>
  <c r="V265" i="11"/>
  <c r="S266" i="11"/>
  <c r="T266" i="11"/>
  <c r="U266" i="11"/>
  <c r="V266" i="11"/>
  <c r="S267" i="11"/>
  <c r="T267" i="11"/>
  <c r="U267" i="11"/>
  <c r="V267" i="11"/>
  <c r="S268" i="11"/>
  <c r="T268" i="11"/>
  <c r="U268" i="11"/>
  <c r="V268" i="11"/>
  <c r="S269" i="11"/>
  <c r="T269" i="11"/>
  <c r="U269" i="11"/>
  <c r="V269" i="11"/>
  <c r="S270" i="11"/>
  <c r="T270" i="11"/>
  <c r="U270" i="11"/>
  <c r="V270" i="11"/>
  <c r="S271" i="11"/>
  <c r="T271" i="11"/>
  <c r="U271" i="11"/>
  <c r="V271" i="11"/>
  <c r="S272" i="11"/>
  <c r="T272" i="11"/>
  <c r="U272" i="11"/>
  <c r="V272" i="11"/>
  <c r="S273" i="11"/>
  <c r="T273" i="11"/>
  <c r="U273" i="11"/>
  <c r="V273" i="11"/>
  <c r="S274" i="11"/>
  <c r="T274" i="11"/>
  <c r="U274" i="11"/>
  <c r="V274" i="11"/>
  <c r="S275" i="11"/>
  <c r="T275" i="11"/>
  <c r="U275" i="11"/>
  <c r="V275" i="11"/>
  <c r="S276" i="11"/>
  <c r="T276" i="11"/>
  <c r="U276" i="11"/>
  <c r="V276" i="11"/>
  <c r="S277" i="11"/>
  <c r="T277" i="11"/>
  <c r="U277" i="11"/>
  <c r="V277" i="11"/>
  <c r="S278" i="11"/>
  <c r="T278" i="11"/>
  <c r="U278" i="11"/>
  <c r="V278" i="11"/>
  <c r="S279" i="11"/>
  <c r="T279" i="11"/>
  <c r="U279" i="11"/>
  <c r="V279" i="11"/>
  <c r="S280" i="11"/>
  <c r="T280" i="11"/>
  <c r="U280" i="11"/>
  <c r="V280" i="11"/>
  <c r="S281" i="11"/>
  <c r="T281" i="11"/>
  <c r="U281" i="11"/>
  <c r="V281" i="11"/>
  <c r="S285" i="11"/>
  <c r="T285" i="11"/>
  <c r="U285" i="11"/>
  <c r="V285" i="11"/>
  <c r="S283" i="11"/>
  <c r="T283" i="11"/>
  <c r="U283" i="11"/>
  <c r="V283" i="11"/>
  <c r="S284" i="11"/>
  <c r="T284" i="11"/>
  <c r="U284" i="11"/>
  <c r="V284" i="11"/>
  <c r="S286" i="11"/>
  <c r="T286" i="11"/>
  <c r="U286" i="11"/>
  <c r="V286" i="11"/>
  <c r="S291" i="11"/>
  <c r="T291" i="11"/>
  <c r="U291" i="11"/>
  <c r="V291" i="11"/>
  <c r="S287" i="11"/>
  <c r="T287" i="11"/>
  <c r="U287" i="11"/>
  <c r="V287" i="11"/>
  <c r="S288" i="11"/>
  <c r="T288" i="11"/>
  <c r="U288" i="11"/>
  <c r="V288" i="11"/>
  <c r="S289" i="11"/>
  <c r="T289" i="11"/>
  <c r="U289" i="11"/>
  <c r="V289" i="11"/>
  <c r="S290" i="11"/>
  <c r="T290" i="11"/>
  <c r="U290" i="11"/>
  <c r="V290" i="11"/>
  <c r="S292" i="11"/>
  <c r="T292" i="11"/>
  <c r="U292" i="11"/>
  <c r="V292" i="11"/>
  <c r="S293" i="11"/>
  <c r="T293" i="11"/>
  <c r="U293" i="11"/>
  <c r="V293" i="11"/>
  <c r="S297" i="11"/>
  <c r="T297" i="11"/>
  <c r="U297" i="11"/>
  <c r="V297" i="11"/>
  <c r="S294" i="11"/>
  <c r="T294" i="11"/>
  <c r="U294" i="11"/>
  <c r="V294" i="11"/>
  <c r="S295" i="11"/>
  <c r="T295" i="11"/>
  <c r="U295" i="11"/>
  <c r="V295" i="11"/>
  <c r="S296" i="11"/>
  <c r="T296" i="11"/>
  <c r="U296" i="11"/>
  <c r="V296" i="11"/>
  <c r="S298" i="11"/>
  <c r="T298" i="11"/>
  <c r="U298" i="11"/>
  <c r="V298" i="11"/>
  <c r="S299" i="11"/>
  <c r="T299" i="11"/>
  <c r="U299" i="11"/>
  <c r="V299" i="11"/>
  <c r="S301" i="11"/>
  <c r="T301" i="11"/>
  <c r="U301" i="11"/>
  <c r="V301" i="11"/>
  <c r="S300" i="11"/>
  <c r="T300" i="11"/>
  <c r="U300" i="11"/>
  <c r="V300" i="11"/>
  <c r="S334" i="11"/>
  <c r="T334" i="11"/>
  <c r="U334" i="11"/>
  <c r="V334" i="11"/>
  <c r="S302" i="11"/>
  <c r="T302" i="11"/>
  <c r="U302" i="11"/>
  <c r="V302" i="11"/>
  <c r="S303" i="11"/>
  <c r="T303" i="11"/>
  <c r="U303" i="11"/>
  <c r="V303" i="11"/>
  <c r="S304" i="11"/>
  <c r="T304" i="11"/>
  <c r="U304" i="11"/>
  <c r="V304" i="11"/>
  <c r="S305" i="11"/>
  <c r="T305" i="11"/>
  <c r="U305" i="11"/>
  <c r="V305" i="11"/>
  <c r="S306" i="11"/>
  <c r="T306" i="11"/>
  <c r="U306" i="11"/>
  <c r="V306" i="11"/>
  <c r="S307" i="11"/>
  <c r="T307" i="11"/>
  <c r="U307" i="11"/>
  <c r="V307" i="11"/>
  <c r="S308" i="11"/>
  <c r="T308" i="11"/>
  <c r="U308" i="11"/>
  <c r="V308" i="11"/>
  <c r="S309" i="11"/>
  <c r="T309" i="11"/>
  <c r="U309" i="11"/>
  <c r="V309" i="11"/>
  <c r="S310" i="11"/>
  <c r="T310" i="11"/>
  <c r="U310" i="11"/>
  <c r="V310" i="11"/>
  <c r="S311" i="11"/>
  <c r="T311" i="11"/>
  <c r="U311" i="11"/>
  <c r="V311" i="11"/>
  <c r="S312" i="11"/>
  <c r="T312" i="11"/>
  <c r="U312" i="11"/>
  <c r="V312" i="11"/>
  <c r="S313" i="11"/>
  <c r="T313" i="11"/>
  <c r="U313" i="11"/>
  <c r="V313" i="11"/>
  <c r="S314" i="11"/>
  <c r="T314" i="11"/>
  <c r="U314" i="11"/>
  <c r="V314" i="11"/>
  <c r="S315" i="11"/>
  <c r="T315" i="11"/>
  <c r="U315" i="11"/>
  <c r="V315" i="11"/>
  <c r="S316" i="11"/>
  <c r="T316" i="11"/>
  <c r="U316" i="11"/>
  <c r="V316" i="11"/>
  <c r="S317" i="11"/>
  <c r="T317" i="11"/>
  <c r="U317" i="11"/>
  <c r="V317" i="11"/>
  <c r="S318" i="11"/>
  <c r="T318" i="11"/>
  <c r="U318" i="11"/>
  <c r="V318" i="11"/>
  <c r="S319" i="11"/>
  <c r="T319" i="11"/>
  <c r="U319" i="11"/>
  <c r="V319" i="11"/>
  <c r="S320" i="11"/>
  <c r="T320" i="11"/>
  <c r="U320" i="11"/>
  <c r="V320" i="11"/>
  <c r="S321" i="11"/>
  <c r="T321" i="11"/>
  <c r="U321" i="11"/>
  <c r="V321" i="11"/>
  <c r="S322" i="11"/>
  <c r="T322" i="11"/>
  <c r="U322" i="11"/>
  <c r="V322" i="11"/>
  <c r="S323" i="11"/>
  <c r="T323" i="11"/>
  <c r="U323" i="11"/>
  <c r="V323" i="11"/>
  <c r="S324" i="11"/>
  <c r="T324" i="11"/>
  <c r="U324" i="11"/>
  <c r="V324" i="11"/>
  <c r="S325" i="11"/>
  <c r="T325" i="11"/>
  <c r="U325" i="11"/>
  <c r="V325" i="11"/>
  <c r="S326" i="11"/>
  <c r="T326" i="11"/>
  <c r="U326" i="11"/>
  <c r="V326" i="11"/>
  <c r="S327" i="11"/>
  <c r="T327" i="11"/>
  <c r="U327" i="11"/>
  <c r="V327" i="11"/>
  <c r="S328" i="11"/>
  <c r="T328" i="11"/>
  <c r="U328" i="11"/>
  <c r="V328" i="11"/>
  <c r="S329" i="11"/>
  <c r="T329" i="11"/>
  <c r="U329" i="11"/>
  <c r="V329" i="11"/>
  <c r="S330" i="11"/>
  <c r="T330" i="11"/>
  <c r="U330" i="11"/>
  <c r="V330" i="11"/>
  <c r="S331" i="11"/>
  <c r="T331" i="11"/>
  <c r="U331" i="11"/>
  <c r="V331" i="11"/>
  <c r="S332" i="11"/>
  <c r="T332" i="11"/>
  <c r="U332" i="11"/>
  <c r="V332" i="11"/>
  <c r="S333" i="11"/>
  <c r="T333" i="11"/>
  <c r="U333" i="11"/>
  <c r="V333" i="11"/>
  <c r="S201" i="11"/>
  <c r="T201" i="11"/>
  <c r="U201" i="11"/>
  <c r="V201" i="11"/>
  <c r="S335" i="11"/>
  <c r="T335" i="11"/>
  <c r="U335" i="11"/>
  <c r="V335" i="11"/>
  <c r="S336" i="11"/>
  <c r="T336" i="11"/>
  <c r="U336" i="11"/>
  <c r="V336" i="11"/>
  <c r="S337" i="11"/>
  <c r="T337" i="11"/>
  <c r="U337" i="11"/>
  <c r="V337" i="11"/>
  <c r="S338" i="11"/>
  <c r="T338" i="11"/>
  <c r="U338" i="11"/>
  <c r="V338" i="11"/>
  <c r="S339" i="11"/>
  <c r="T339" i="11"/>
  <c r="U339" i="11"/>
  <c r="V339" i="11"/>
  <c r="S340" i="11"/>
  <c r="T340" i="11"/>
  <c r="U340" i="11"/>
  <c r="V340" i="11"/>
  <c r="S341" i="11"/>
  <c r="T341" i="11"/>
  <c r="U341" i="11"/>
  <c r="V341" i="11"/>
  <c r="S342" i="11"/>
  <c r="T342" i="11"/>
  <c r="U342" i="11"/>
  <c r="V342" i="11"/>
  <c r="S343" i="11"/>
  <c r="T343" i="11"/>
  <c r="U343" i="11"/>
  <c r="V343" i="11"/>
  <c r="S344" i="11"/>
  <c r="T344" i="11"/>
  <c r="U344" i="11"/>
  <c r="V344" i="11"/>
  <c r="S345" i="11"/>
  <c r="T345" i="11"/>
  <c r="U345" i="11"/>
  <c r="V345" i="11"/>
  <c r="S346" i="11"/>
  <c r="T346" i="11"/>
  <c r="U346" i="11"/>
  <c r="V346" i="11"/>
  <c r="S347" i="11"/>
  <c r="T347" i="11"/>
  <c r="U347" i="11"/>
  <c r="V347" i="11"/>
  <c r="S348" i="11"/>
  <c r="T348" i="11"/>
  <c r="U348" i="11"/>
  <c r="V348" i="11"/>
  <c r="S349" i="11"/>
  <c r="T349" i="11"/>
  <c r="U349" i="11"/>
  <c r="V349" i="11"/>
  <c r="S350" i="11"/>
  <c r="T350" i="11"/>
  <c r="U350" i="11"/>
  <c r="V350" i="11"/>
  <c r="S351" i="11"/>
  <c r="T351" i="11"/>
  <c r="U351" i="11"/>
  <c r="V351" i="11"/>
  <c r="S352" i="11"/>
  <c r="T352" i="11"/>
  <c r="U352" i="11"/>
  <c r="V352" i="11"/>
  <c r="S353" i="11"/>
  <c r="T353" i="11"/>
  <c r="U353" i="11"/>
  <c r="V353" i="11"/>
  <c r="S354" i="11"/>
  <c r="T354" i="11"/>
  <c r="U354" i="11"/>
  <c r="V354" i="11"/>
  <c r="S355" i="11"/>
  <c r="T355" i="11"/>
  <c r="U355" i="11"/>
  <c r="V355" i="11"/>
  <c r="S356" i="11"/>
  <c r="T356" i="11"/>
  <c r="U356" i="11"/>
  <c r="V356" i="11"/>
  <c r="S357" i="11"/>
  <c r="T357" i="11"/>
  <c r="U357" i="11"/>
  <c r="V357" i="11"/>
  <c r="S358" i="11"/>
  <c r="T358" i="11"/>
  <c r="U358" i="11"/>
  <c r="V358" i="11"/>
  <c r="S359" i="11"/>
  <c r="T359" i="11"/>
  <c r="U359" i="11"/>
  <c r="V359" i="11"/>
  <c r="S360" i="11"/>
  <c r="T360" i="11"/>
  <c r="U360" i="11"/>
  <c r="V360" i="11"/>
  <c r="S361" i="11"/>
  <c r="T361" i="11"/>
  <c r="U361" i="11"/>
  <c r="V361" i="11"/>
  <c r="S362" i="11"/>
  <c r="T362" i="11"/>
  <c r="U362" i="11"/>
  <c r="V362" i="11"/>
  <c r="S363" i="11"/>
  <c r="T363" i="11"/>
  <c r="U363" i="11"/>
  <c r="V363" i="11"/>
  <c r="S364" i="11"/>
  <c r="T364" i="11"/>
  <c r="U364" i="11"/>
  <c r="V364" i="11"/>
  <c r="S365" i="11"/>
  <c r="T365" i="11"/>
  <c r="U365" i="11"/>
  <c r="V365" i="11"/>
  <c r="S366" i="11"/>
  <c r="T366" i="11"/>
  <c r="U366" i="11"/>
  <c r="V366" i="11"/>
  <c r="S367" i="11"/>
  <c r="T367" i="11"/>
  <c r="U367" i="11"/>
  <c r="V367" i="11"/>
  <c r="S368" i="11"/>
  <c r="T368" i="11"/>
  <c r="U368" i="11"/>
  <c r="V368" i="11"/>
  <c r="S369" i="11"/>
  <c r="T369" i="11"/>
  <c r="U369" i="11"/>
  <c r="V369" i="11"/>
  <c r="S370" i="11"/>
  <c r="T370" i="11"/>
  <c r="U370" i="11"/>
  <c r="V370" i="11"/>
  <c r="S371" i="11"/>
  <c r="T371" i="11"/>
  <c r="U371" i="11"/>
  <c r="V371" i="11"/>
  <c r="S372" i="11"/>
  <c r="T372" i="11"/>
  <c r="U372" i="11"/>
  <c r="V372" i="11"/>
  <c r="S373" i="11"/>
  <c r="T373" i="11"/>
  <c r="U373" i="11"/>
  <c r="V373" i="11"/>
  <c r="S374" i="11"/>
  <c r="T374" i="11"/>
  <c r="U374" i="11"/>
  <c r="V374" i="11"/>
  <c r="S375" i="11"/>
  <c r="T375" i="11"/>
  <c r="U375" i="11"/>
  <c r="V375" i="11"/>
  <c r="S376" i="11"/>
  <c r="T376" i="11"/>
  <c r="U376" i="11"/>
  <c r="V376" i="11"/>
  <c r="S377" i="11"/>
  <c r="T377" i="11"/>
  <c r="U377" i="11"/>
  <c r="V377" i="11"/>
  <c r="S378" i="11"/>
  <c r="T378" i="11"/>
  <c r="U378" i="11"/>
  <c r="V378" i="11"/>
  <c r="S379" i="11"/>
  <c r="T379" i="11"/>
  <c r="U379" i="11"/>
  <c r="V379" i="11"/>
  <c r="S380" i="11"/>
  <c r="T380" i="11"/>
  <c r="U380" i="11"/>
  <c r="V380" i="11"/>
  <c r="S381" i="11"/>
  <c r="T381" i="11"/>
  <c r="U381" i="11"/>
  <c r="V381" i="11"/>
  <c r="S382" i="11"/>
  <c r="T382" i="11"/>
  <c r="U382" i="11"/>
  <c r="V382" i="11"/>
  <c r="S383" i="11"/>
  <c r="T383" i="11"/>
  <c r="U383" i="11"/>
  <c r="V383" i="11"/>
  <c r="S384" i="11"/>
  <c r="T384" i="11"/>
  <c r="U384" i="11"/>
  <c r="V384" i="11"/>
  <c r="S385" i="11"/>
  <c r="T385" i="11"/>
  <c r="U385" i="11"/>
  <c r="V385" i="11"/>
  <c r="S386" i="11"/>
  <c r="T386" i="11"/>
  <c r="U386" i="11"/>
  <c r="V386" i="11"/>
  <c r="S387" i="11"/>
  <c r="T387" i="11"/>
  <c r="U387" i="11"/>
  <c r="V387" i="11"/>
  <c r="S388" i="11"/>
  <c r="T388" i="11"/>
  <c r="U388" i="11"/>
  <c r="V388" i="11"/>
  <c r="S389" i="11"/>
  <c r="T389" i="11"/>
  <c r="U389" i="11"/>
  <c r="V389" i="11"/>
  <c r="V153" i="11"/>
  <c r="U153" i="11"/>
  <c r="T153" i="11"/>
  <c r="S153" i="11"/>
  <c r="S3" i="11"/>
  <c r="T3" i="11"/>
  <c r="U3" i="11"/>
  <c r="V3" i="11"/>
  <c r="S4" i="11"/>
  <c r="T4" i="11"/>
  <c r="U4" i="11"/>
  <c r="V4" i="11"/>
  <c r="S5" i="11"/>
  <c r="T5" i="11"/>
  <c r="U5" i="11"/>
  <c r="V5" i="11"/>
  <c r="S6" i="11"/>
  <c r="T6" i="11"/>
  <c r="U6" i="11"/>
  <c r="V6" i="11"/>
  <c r="S7" i="11"/>
  <c r="T7" i="11"/>
  <c r="U7" i="11"/>
  <c r="V7" i="11"/>
  <c r="S8" i="11"/>
  <c r="T8" i="11"/>
  <c r="U8" i="11"/>
  <c r="V8" i="11"/>
  <c r="S9" i="11"/>
  <c r="T9" i="11"/>
  <c r="U9" i="11"/>
  <c r="V9" i="11"/>
  <c r="T10" i="11"/>
  <c r="S11" i="11"/>
  <c r="T11" i="11"/>
  <c r="U11" i="11"/>
  <c r="V11" i="11"/>
  <c r="S12" i="11"/>
  <c r="T12" i="11"/>
  <c r="U12" i="11"/>
  <c r="V12" i="11"/>
  <c r="S13" i="11"/>
  <c r="T13" i="11"/>
  <c r="U13" i="11"/>
  <c r="V13" i="11"/>
  <c r="S14" i="11"/>
  <c r="T14" i="11"/>
  <c r="U14" i="11"/>
  <c r="V14" i="11"/>
  <c r="S15" i="11"/>
  <c r="T15" i="11"/>
  <c r="U15" i="11"/>
  <c r="V15" i="11"/>
  <c r="S16" i="11"/>
  <c r="T16" i="11"/>
  <c r="U16" i="11"/>
  <c r="V16" i="11"/>
  <c r="S17" i="11"/>
  <c r="T17" i="11"/>
  <c r="U17" i="11"/>
  <c r="V17" i="11"/>
  <c r="S18" i="11"/>
  <c r="T18" i="11"/>
  <c r="U18" i="11"/>
  <c r="V18" i="11"/>
  <c r="S19" i="11"/>
  <c r="T19" i="11"/>
  <c r="U19" i="11"/>
  <c r="V19" i="11"/>
  <c r="S20" i="11"/>
  <c r="T20" i="11"/>
  <c r="U20" i="11"/>
  <c r="V20" i="11"/>
  <c r="S21" i="11"/>
  <c r="T21" i="11"/>
  <c r="U21" i="11"/>
  <c r="V21" i="11"/>
  <c r="S22" i="11"/>
  <c r="T22" i="11"/>
  <c r="U22" i="11"/>
  <c r="V22" i="11"/>
  <c r="S23" i="11"/>
  <c r="T23" i="11"/>
  <c r="U23" i="11"/>
  <c r="V23" i="11"/>
  <c r="S24" i="11"/>
  <c r="T24" i="11"/>
  <c r="U24" i="11"/>
  <c r="V24" i="11"/>
  <c r="S25" i="11"/>
  <c r="T25" i="11"/>
  <c r="U25" i="11"/>
  <c r="V25" i="11"/>
  <c r="S26" i="11"/>
  <c r="T26" i="11"/>
  <c r="U26" i="11"/>
  <c r="V26" i="11"/>
  <c r="S27" i="11"/>
  <c r="T27" i="11"/>
  <c r="U27" i="11"/>
  <c r="V27" i="11"/>
  <c r="S28" i="11"/>
  <c r="T28" i="11"/>
  <c r="U28" i="11"/>
  <c r="V28" i="11"/>
  <c r="S29" i="11"/>
  <c r="T29" i="11"/>
  <c r="U29" i="11"/>
  <c r="V29" i="11"/>
  <c r="S30" i="11"/>
  <c r="T30" i="11"/>
  <c r="U30" i="11"/>
  <c r="V30" i="11"/>
  <c r="S31" i="11"/>
  <c r="T31" i="11"/>
  <c r="U31" i="11"/>
  <c r="V31" i="11"/>
  <c r="S32" i="11"/>
  <c r="T32" i="11"/>
  <c r="U32" i="11"/>
  <c r="V32" i="11"/>
  <c r="S33" i="11"/>
  <c r="T33" i="11"/>
  <c r="U33" i="11"/>
  <c r="V33" i="11"/>
  <c r="T34" i="11"/>
  <c r="S35" i="11"/>
  <c r="T35" i="11"/>
  <c r="U35" i="11"/>
  <c r="V35" i="11"/>
  <c r="S36" i="11"/>
  <c r="T36" i="11"/>
  <c r="U36" i="11"/>
  <c r="V36" i="11"/>
  <c r="S37" i="11"/>
  <c r="T37" i="11"/>
  <c r="U37" i="11"/>
  <c r="V37" i="11"/>
  <c r="S38" i="11"/>
  <c r="T38" i="11"/>
  <c r="U38" i="11"/>
  <c r="V38" i="11"/>
  <c r="S39" i="11"/>
  <c r="T39" i="11"/>
  <c r="U39" i="11"/>
  <c r="V39" i="11"/>
  <c r="S40" i="11"/>
  <c r="T40" i="11"/>
  <c r="U40" i="11"/>
  <c r="V40" i="11"/>
  <c r="S41" i="11"/>
  <c r="T41" i="11"/>
  <c r="U41" i="11"/>
  <c r="V41" i="11"/>
  <c r="S42" i="11"/>
  <c r="T42" i="11"/>
  <c r="U42" i="11"/>
  <c r="V42" i="11"/>
  <c r="S43" i="11"/>
  <c r="T43" i="11"/>
  <c r="U43" i="11"/>
  <c r="V43" i="11"/>
  <c r="S44" i="11"/>
  <c r="T44" i="11"/>
  <c r="U44" i="11"/>
  <c r="V44" i="11"/>
  <c r="S45" i="11"/>
  <c r="T45" i="11"/>
  <c r="U45" i="11"/>
  <c r="V45" i="11"/>
  <c r="S46" i="11"/>
  <c r="T46" i="11"/>
  <c r="U46" i="11"/>
  <c r="V46" i="11"/>
  <c r="S47" i="11"/>
  <c r="T47" i="11"/>
  <c r="U47" i="11"/>
  <c r="V47" i="11"/>
  <c r="S48" i="11"/>
  <c r="T48" i="11"/>
  <c r="U48" i="11"/>
  <c r="V48" i="11"/>
  <c r="S49" i="11"/>
  <c r="T49" i="11"/>
  <c r="U49" i="11"/>
  <c r="V49" i="11"/>
  <c r="S50" i="11"/>
  <c r="T50" i="11"/>
  <c r="U50" i="11"/>
  <c r="V50" i="11"/>
  <c r="S51" i="11"/>
  <c r="T51" i="11"/>
  <c r="U51" i="11"/>
  <c r="V51" i="11"/>
  <c r="S52" i="11"/>
  <c r="T52" i="11"/>
  <c r="U52" i="11"/>
  <c r="V52" i="11"/>
  <c r="S53" i="11"/>
  <c r="T53" i="11"/>
  <c r="U53" i="11"/>
  <c r="V53" i="11"/>
  <c r="T54" i="11"/>
  <c r="T55" i="11"/>
  <c r="S56" i="11"/>
  <c r="T56" i="11"/>
  <c r="U56" i="11"/>
  <c r="V56" i="11"/>
  <c r="S57" i="11"/>
  <c r="T57" i="11"/>
  <c r="U57" i="11"/>
  <c r="V57" i="11"/>
  <c r="S58" i="11"/>
  <c r="T58" i="11"/>
  <c r="U58" i="11"/>
  <c r="V58" i="11"/>
  <c r="S59" i="11"/>
  <c r="T59" i="11"/>
  <c r="U59" i="11"/>
  <c r="V59" i="11"/>
  <c r="S60" i="11"/>
  <c r="T60" i="11"/>
  <c r="U60" i="11"/>
  <c r="V60" i="11"/>
  <c r="S61" i="11"/>
  <c r="T61" i="11"/>
  <c r="U61" i="11"/>
  <c r="V61" i="11"/>
  <c r="T62" i="11"/>
  <c r="S63" i="11"/>
  <c r="T63" i="11"/>
  <c r="U63" i="11"/>
  <c r="V63" i="11"/>
  <c r="S64" i="11"/>
  <c r="T64" i="11"/>
  <c r="U64" i="11"/>
  <c r="V64" i="11"/>
  <c r="S65" i="11"/>
  <c r="T65" i="11"/>
  <c r="U65" i="11"/>
  <c r="V65" i="11"/>
  <c r="S66" i="11"/>
  <c r="T66" i="11"/>
  <c r="U66" i="11"/>
  <c r="V66" i="11"/>
  <c r="S67" i="11"/>
  <c r="T67" i="11"/>
  <c r="U67" i="11"/>
  <c r="V67" i="11"/>
  <c r="T68" i="11"/>
  <c r="S69" i="11"/>
  <c r="T69" i="11"/>
  <c r="U69" i="11"/>
  <c r="V69" i="11"/>
  <c r="S70" i="11"/>
  <c r="T70" i="11"/>
  <c r="U70" i="11"/>
  <c r="V70" i="11"/>
  <c r="S71" i="11"/>
  <c r="T71" i="11"/>
  <c r="U71" i="11"/>
  <c r="V71" i="11"/>
  <c r="S72" i="11"/>
  <c r="T72" i="11"/>
  <c r="U72" i="11"/>
  <c r="V72" i="11"/>
  <c r="S73" i="11"/>
  <c r="T73" i="11"/>
  <c r="U73" i="11"/>
  <c r="V73" i="11"/>
  <c r="S74" i="11"/>
  <c r="T74" i="11"/>
  <c r="U74" i="11"/>
  <c r="V74" i="11"/>
  <c r="S75" i="11"/>
  <c r="T75" i="11"/>
  <c r="U75" i="11"/>
  <c r="V75" i="11"/>
  <c r="S76" i="11"/>
  <c r="T76" i="11"/>
  <c r="U76" i="11"/>
  <c r="V76" i="11"/>
  <c r="S77" i="11"/>
  <c r="T77" i="11"/>
  <c r="U77" i="11"/>
  <c r="V77" i="11"/>
  <c r="S78" i="11"/>
  <c r="T78" i="11"/>
  <c r="U78" i="11"/>
  <c r="V78" i="11"/>
  <c r="S79" i="11"/>
  <c r="T79" i="11"/>
  <c r="U79" i="11"/>
  <c r="V79" i="11"/>
  <c r="S80" i="11"/>
  <c r="T80" i="11"/>
  <c r="U80" i="11"/>
  <c r="V80" i="11"/>
  <c r="S81" i="11"/>
  <c r="T81" i="11"/>
  <c r="U81" i="11"/>
  <c r="V81" i="11"/>
  <c r="S82" i="11"/>
  <c r="T82" i="11"/>
  <c r="U82" i="11"/>
  <c r="V82" i="11"/>
  <c r="S83" i="11"/>
  <c r="T83" i="11"/>
  <c r="U83" i="11"/>
  <c r="V83" i="11"/>
  <c r="S84" i="11"/>
  <c r="T84" i="11"/>
  <c r="U84" i="11"/>
  <c r="V84" i="11"/>
  <c r="S85" i="11"/>
  <c r="T85" i="11"/>
  <c r="U85" i="11"/>
  <c r="V85" i="11"/>
  <c r="S86" i="11"/>
  <c r="T86" i="11"/>
  <c r="U86" i="11"/>
  <c r="V86" i="11"/>
  <c r="S87" i="11"/>
  <c r="T87" i="11"/>
  <c r="U87" i="11"/>
  <c r="V87" i="11"/>
  <c r="T88" i="11"/>
  <c r="S89" i="11"/>
  <c r="T89" i="11"/>
  <c r="U89" i="11"/>
  <c r="V89" i="11"/>
  <c r="S90" i="11"/>
  <c r="T90" i="11"/>
  <c r="U90" i="11"/>
  <c r="V90" i="11"/>
  <c r="S91" i="11"/>
  <c r="T91" i="11"/>
  <c r="U91" i="11"/>
  <c r="V91" i="11"/>
  <c r="S92" i="11"/>
  <c r="T92" i="11"/>
  <c r="U92" i="11"/>
  <c r="V92" i="11"/>
  <c r="S93" i="11"/>
  <c r="T93" i="11"/>
  <c r="U93" i="11"/>
  <c r="V93" i="11"/>
  <c r="S94" i="11"/>
  <c r="T94" i="11"/>
  <c r="U94" i="11"/>
  <c r="V94" i="11"/>
  <c r="S95" i="11"/>
  <c r="T95" i="11"/>
  <c r="U95" i="11"/>
  <c r="V95" i="11"/>
  <c r="S96" i="11"/>
  <c r="T96" i="11"/>
  <c r="U96" i="11"/>
  <c r="V96" i="11"/>
  <c r="S97" i="11"/>
  <c r="T97" i="11"/>
  <c r="U97" i="11"/>
  <c r="V97" i="11"/>
  <c r="S98" i="11"/>
  <c r="T98" i="11"/>
  <c r="U98" i="11"/>
  <c r="V98" i="11"/>
  <c r="S99" i="11"/>
  <c r="T99" i="11"/>
  <c r="U99" i="11"/>
  <c r="V99" i="11"/>
  <c r="S100" i="11"/>
  <c r="T100" i="11"/>
  <c r="U100" i="11"/>
  <c r="V100" i="11"/>
  <c r="S101" i="11"/>
  <c r="T101" i="11"/>
  <c r="U101" i="11"/>
  <c r="V101" i="11"/>
  <c r="S102" i="11"/>
  <c r="T102" i="11"/>
  <c r="U102" i="11"/>
  <c r="V102" i="11"/>
  <c r="S103" i="11"/>
  <c r="T103" i="11"/>
  <c r="U103" i="11"/>
  <c r="V103" i="11"/>
  <c r="S104" i="11"/>
  <c r="T104" i="11"/>
  <c r="U104" i="11"/>
  <c r="V104" i="11"/>
  <c r="S105" i="11"/>
  <c r="T105" i="11"/>
  <c r="U105" i="11"/>
  <c r="V105" i="11"/>
  <c r="S106" i="11"/>
  <c r="T106" i="11"/>
  <c r="U106" i="11"/>
  <c r="V106" i="11"/>
  <c r="S107" i="11"/>
  <c r="T107" i="11"/>
  <c r="U107" i="11"/>
  <c r="V107" i="11"/>
  <c r="S108" i="11"/>
  <c r="T108" i="11"/>
  <c r="U108" i="11"/>
  <c r="V108" i="11"/>
  <c r="S109" i="11"/>
  <c r="T109" i="11"/>
  <c r="U109" i="11"/>
  <c r="V109" i="11"/>
  <c r="S110" i="11"/>
  <c r="T110" i="11"/>
  <c r="U110" i="11"/>
  <c r="V110" i="11"/>
  <c r="S111" i="11"/>
  <c r="T111" i="11"/>
  <c r="U111" i="11"/>
  <c r="V111" i="11"/>
  <c r="S112" i="11"/>
  <c r="T112" i="11"/>
  <c r="U112" i="11"/>
  <c r="V112" i="11"/>
  <c r="S113" i="11"/>
  <c r="T113" i="11"/>
  <c r="U113" i="11"/>
  <c r="V113" i="11"/>
  <c r="S114" i="11"/>
  <c r="T114" i="11"/>
  <c r="U114" i="11"/>
  <c r="V114" i="11"/>
  <c r="S115" i="11"/>
  <c r="T115" i="11"/>
  <c r="U115" i="11"/>
  <c r="V115" i="11"/>
  <c r="S116" i="11"/>
  <c r="T116" i="11"/>
  <c r="U116" i="11"/>
  <c r="V116" i="11"/>
  <c r="S117" i="11"/>
  <c r="T117" i="11"/>
  <c r="U117" i="11"/>
  <c r="V117" i="11"/>
  <c r="S118" i="11"/>
  <c r="T118" i="11"/>
  <c r="U118" i="11"/>
  <c r="V118" i="11"/>
  <c r="S119" i="11"/>
  <c r="T119" i="11"/>
  <c r="U119" i="11"/>
  <c r="V119" i="11"/>
  <c r="S120" i="11"/>
  <c r="T120" i="11"/>
  <c r="U120" i="11"/>
  <c r="V120" i="11"/>
  <c r="S121" i="11"/>
  <c r="T121" i="11"/>
  <c r="U121" i="11"/>
  <c r="V121" i="11"/>
  <c r="S122" i="11"/>
  <c r="T122" i="11"/>
  <c r="U122" i="11"/>
  <c r="V122" i="11"/>
  <c r="S123" i="11"/>
  <c r="T123" i="11"/>
  <c r="U123" i="11"/>
  <c r="V123" i="11"/>
  <c r="S124" i="11"/>
  <c r="T124" i="11"/>
  <c r="U124" i="11"/>
  <c r="V124" i="11"/>
  <c r="S125" i="11"/>
  <c r="T125" i="11"/>
  <c r="U125" i="11"/>
  <c r="V125" i="11"/>
  <c r="S126" i="11"/>
  <c r="T126" i="11"/>
  <c r="U126" i="11"/>
  <c r="V126" i="11"/>
  <c r="S127" i="11"/>
  <c r="T127" i="11"/>
  <c r="U127" i="11"/>
  <c r="V127" i="11"/>
  <c r="S128" i="11"/>
  <c r="T128" i="11"/>
  <c r="U128" i="11"/>
  <c r="V128" i="11"/>
  <c r="S129" i="11"/>
  <c r="T129" i="11"/>
  <c r="U129" i="11"/>
  <c r="V129" i="11"/>
  <c r="S130" i="11"/>
  <c r="T130" i="11"/>
  <c r="U130" i="11"/>
  <c r="V130" i="11"/>
  <c r="S131" i="11"/>
  <c r="T131" i="11"/>
  <c r="U131" i="11"/>
  <c r="V131" i="11"/>
  <c r="S132" i="11"/>
  <c r="T132" i="11"/>
  <c r="U132" i="11"/>
  <c r="V132" i="11"/>
  <c r="S133" i="11"/>
  <c r="T133" i="11"/>
  <c r="U133" i="11"/>
  <c r="V133" i="11"/>
  <c r="S134" i="11"/>
  <c r="T134" i="11"/>
  <c r="U134" i="11"/>
  <c r="V134" i="11"/>
  <c r="T135" i="11"/>
  <c r="S136" i="11"/>
  <c r="T136" i="11"/>
  <c r="U136" i="11"/>
  <c r="V136" i="11"/>
  <c r="S137" i="11"/>
  <c r="T137" i="11"/>
  <c r="U137" i="11"/>
  <c r="V137" i="11"/>
  <c r="S138" i="11"/>
  <c r="T138" i="11"/>
  <c r="U138" i="11"/>
  <c r="V138" i="11"/>
  <c r="S139" i="11"/>
  <c r="T139" i="11"/>
  <c r="U139" i="11"/>
  <c r="V139" i="11"/>
  <c r="S140" i="11"/>
  <c r="T140" i="11"/>
  <c r="U140" i="11"/>
  <c r="V140" i="11"/>
  <c r="S141" i="11"/>
  <c r="T141" i="11"/>
  <c r="U141" i="11"/>
  <c r="V141" i="11"/>
  <c r="S142" i="11"/>
  <c r="T142" i="11"/>
  <c r="U142" i="11"/>
  <c r="V142" i="11"/>
  <c r="S143" i="11"/>
  <c r="T143" i="11"/>
  <c r="U143" i="11"/>
  <c r="V143" i="11"/>
  <c r="S144" i="11"/>
  <c r="T144" i="11"/>
  <c r="U144" i="11"/>
  <c r="V144" i="11"/>
  <c r="S145" i="11"/>
  <c r="T145" i="11"/>
  <c r="U145" i="11"/>
  <c r="V145" i="11"/>
  <c r="S146" i="11"/>
  <c r="T146" i="11"/>
  <c r="U146" i="11"/>
  <c r="V146" i="11"/>
  <c r="S147" i="11"/>
  <c r="T147" i="11"/>
  <c r="U147" i="11"/>
  <c r="V147" i="11"/>
  <c r="S148" i="11"/>
  <c r="T148" i="11"/>
  <c r="U148" i="11"/>
  <c r="V148" i="11"/>
  <c r="S149" i="11"/>
  <c r="T149" i="11"/>
  <c r="U149" i="11"/>
  <c r="V149" i="11"/>
  <c r="S150" i="11"/>
  <c r="T150" i="11"/>
  <c r="U150" i="11"/>
  <c r="V150" i="11"/>
  <c r="S151" i="11"/>
  <c r="T151" i="11"/>
  <c r="U151" i="11"/>
  <c r="V151" i="11"/>
  <c r="S152" i="11"/>
  <c r="T152" i="11"/>
  <c r="U152" i="11"/>
  <c r="V152" i="11"/>
  <c r="S2" i="11"/>
  <c r="T2" i="11"/>
  <c r="U2" i="11"/>
  <c r="V2" i="11"/>
  <c r="U5" i="17"/>
  <c r="T5" i="17"/>
  <c r="T21" i="17"/>
  <c r="U21" i="17"/>
  <c r="U60" i="17"/>
  <c r="T60" i="17"/>
  <c r="AG170" i="2"/>
  <c r="T10" i="17"/>
  <c r="T11" i="17"/>
  <c r="T12" i="17"/>
  <c r="T14" i="17"/>
  <c r="T15" i="17"/>
  <c r="T16" i="17"/>
  <c r="T17" i="17"/>
  <c r="T13" i="17"/>
  <c r="U14" i="17"/>
  <c r="U15" i="17"/>
  <c r="U16" i="17"/>
  <c r="U17" i="17"/>
  <c r="U13" i="17"/>
  <c r="U20" i="17"/>
  <c r="G81" i="24"/>
  <c r="F81" i="24"/>
  <c r="E81" i="24"/>
  <c r="D81" i="24"/>
  <c r="C81" i="24"/>
  <c r="B81" i="24"/>
  <c r="G80" i="24"/>
  <c r="F80" i="24"/>
  <c r="E80" i="24"/>
  <c r="D80" i="24"/>
  <c r="C80" i="24"/>
  <c r="B80" i="24"/>
  <c r="C41" i="24"/>
  <c r="B41" i="24"/>
  <c r="A41" i="24"/>
  <c r="G10" i="24"/>
  <c r="F10" i="24"/>
  <c r="E10" i="24"/>
  <c r="D10" i="24"/>
  <c r="C10" i="24"/>
  <c r="B10" i="24"/>
  <c r="H24" i="8"/>
  <c r="Z10" i="16"/>
  <c r="Z8" i="16"/>
  <c r="Z9" i="16"/>
  <c r="G54" i="24"/>
  <c r="F54" i="24"/>
  <c r="E54" i="24"/>
  <c r="D54" i="24"/>
  <c r="C54" i="24"/>
  <c r="B54" i="24"/>
  <c r="G53" i="24"/>
  <c r="F53" i="24"/>
  <c r="E53" i="24"/>
  <c r="D53" i="24"/>
  <c r="C53" i="24"/>
  <c r="B53" i="24"/>
  <c r="S1592" i="11"/>
  <c r="S1593" i="11"/>
  <c r="S1594" i="11"/>
  <c r="S1595" i="11"/>
  <c r="S1596" i="11"/>
  <c r="AG155" i="2"/>
  <c r="V2413" i="11"/>
  <c r="S2415" i="11"/>
  <c r="T2415" i="11"/>
  <c r="U2415" i="11"/>
  <c r="V2415" i="11"/>
  <c r="H21" i="1"/>
  <c r="AH24" i="1"/>
  <c r="AB17" i="16"/>
  <c r="AC17" i="16"/>
  <c r="S548" i="20"/>
  <c r="T548" i="20"/>
  <c r="T539" i="20"/>
  <c r="T777" i="20"/>
  <c r="T776" i="20"/>
  <c r="T775" i="20"/>
  <c r="T773" i="20"/>
  <c r="T774" i="20"/>
  <c r="S1864" i="20"/>
  <c r="S1871" i="20"/>
  <c r="T1099" i="20"/>
  <c r="U1098" i="20"/>
  <c r="R773" i="20"/>
  <c r="S773" i="20"/>
  <c r="U773" i="20"/>
  <c r="Y29" i="1"/>
  <c r="Y8" i="1"/>
  <c r="W86" i="6"/>
  <c r="U86" i="6"/>
  <c r="T86" i="6"/>
  <c r="AG58" i="2"/>
  <c r="G90" i="7"/>
  <c r="G96" i="7"/>
  <c r="G92" i="7"/>
  <c r="G91" i="7"/>
  <c r="G134" i="7"/>
  <c r="G94" i="7"/>
  <c r="G105" i="7"/>
  <c r="G106" i="7"/>
  <c r="G118" i="17"/>
  <c r="G121" i="17"/>
  <c r="S121" i="17"/>
  <c r="T121" i="17"/>
  <c r="U121" i="17"/>
  <c r="V121" i="17"/>
  <c r="G133" i="17"/>
  <c r="G132" i="17"/>
  <c r="G130" i="17"/>
  <c r="G128" i="17"/>
  <c r="S128" i="17"/>
  <c r="T128" i="17"/>
  <c r="U128" i="17"/>
  <c r="V128" i="17"/>
  <c r="G127" i="17"/>
  <c r="P55" i="19"/>
  <c r="Q55" i="19"/>
  <c r="R55" i="19"/>
  <c r="S55" i="19"/>
  <c r="P56" i="19"/>
  <c r="Q56" i="19"/>
  <c r="R56" i="19"/>
  <c r="S56" i="19"/>
  <c r="P57" i="19"/>
  <c r="Q57" i="19"/>
  <c r="R57" i="19"/>
  <c r="S57" i="19"/>
  <c r="P58" i="19"/>
  <c r="Q58" i="19"/>
  <c r="R58" i="19"/>
  <c r="S58" i="19"/>
  <c r="P59" i="19"/>
  <c r="Q59" i="19"/>
  <c r="S59" i="19"/>
  <c r="P60" i="19"/>
  <c r="Q60" i="19"/>
  <c r="R60" i="19"/>
  <c r="S60" i="19"/>
  <c r="P61" i="19"/>
  <c r="Q61" i="19"/>
  <c r="R61" i="19"/>
  <c r="S61" i="19"/>
  <c r="P62" i="19"/>
  <c r="Q62" i="19"/>
  <c r="R62" i="19"/>
  <c r="S62" i="19"/>
  <c r="P63" i="19"/>
  <c r="Q63" i="19"/>
  <c r="S63" i="19"/>
  <c r="P64" i="19"/>
  <c r="Q64" i="19"/>
  <c r="R64" i="19"/>
  <c r="S64" i="19"/>
  <c r="P65" i="19"/>
  <c r="Q65" i="19"/>
  <c r="R65" i="19"/>
  <c r="S65" i="19"/>
  <c r="P66" i="19"/>
  <c r="Q66" i="19"/>
  <c r="S66" i="19"/>
  <c r="P67" i="19"/>
  <c r="Q67" i="19"/>
  <c r="R67" i="19"/>
  <c r="S67" i="19"/>
  <c r="P68" i="19"/>
  <c r="Q68" i="19"/>
  <c r="R68" i="19"/>
  <c r="S68" i="19"/>
  <c r="U13" i="6"/>
  <c r="T13" i="6"/>
  <c r="W13" i="6"/>
  <c r="R277" i="20"/>
  <c r="R2360" i="20"/>
  <c r="S2360" i="20"/>
  <c r="T2360" i="20"/>
  <c r="U2360" i="20"/>
  <c r="R2358" i="20"/>
  <c r="S2358" i="20"/>
  <c r="T2358" i="20"/>
  <c r="U2358" i="20"/>
  <c r="U2426" i="20"/>
  <c r="T2426" i="20"/>
  <c r="R30" i="20"/>
  <c r="P54" i="19"/>
  <c r="I28" i="23" s="1"/>
  <c r="Q54" i="19"/>
  <c r="S54" i="19"/>
  <c r="S7" i="19"/>
  <c r="AH16" i="1"/>
  <c r="R14" i="22"/>
  <c r="Q14" i="22"/>
  <c r="O14" i="22"/>
  <c r="P70" i="19"/>
  <c r="Q70" i="19"/>
  <c r="R70" i="19"/>
  <c r="S70" i="19"/>
  <c r="G113" i="17"/>
  <c r="G138" i="17"/>
  <c r="G116" i="17"/>
  <c r="G139" i="17"/>
  <c r="G114" i="17"/>
  <c r="R329" i="20"/>
  <c r="C54" i="23" a="1"/>
  <c r="C54" i="23"/>
  <c r="B77" i="23" a="1"/>
  <c r="B77" i="23"/>
  <c r="B76" i="23" a="1"/>
  <c r="B76" i="23"/>
  <c r="B75" i="23" a="1"/>
  <c r="B75" i="23"/>
  <c r="B74" i="23" a="1"/>
  <c r="B74" i="23" s="1"/>
  <c r="B73" i="23" a="1"/>
  <c r="B73" i="23" s="1"/>
  <c r="B72" i="23" a="1"/>
  <c r="B72" i="23" s="1"/>
  <c r="B71" i="23" a="1"/>
  <c r="B71" i="23" s="1"/>
  <c r="B70" i="23" a="1"/>
  <c r="B70" i="23" s="1"/>
  <c r="B69" i="23" a="1"/>
  <c r="B69" i="23" s="1"/>
  <c r="B68" i="23" a="1"/>
  <c r="B68" i="23" s="1"/>
  <c r="B67" i="23" a="1"/>
  <c r="B67" i="23" s="1"/>
  <c r="B66" i="23" a="1"/>
  <c r="B66" i="23" s="1"/>
  <c r="B65" i="23" a="1"/>
  <c r="B65" i="23" s="1"/>
  <c r="B64" i="23" a="1"/>
  <c r="B64" i="23" s="1"/>
  <c r="B63" i="23" a="1"/>
  <c r="B63" i="23" s="1"/>
  <c r="B62" i="23" a="1"/>
  <c r="B62" i="23" s="1"/>
  <c r="B61" i="23" a="1"/>
  <c r="B61" i="23" s="1"/>
  <c r="B60" i="23" a="1"/>
  <c r="B60" i="23" s="1"/>
  <c r="B59" i="23" a="1"/>
  <c r="B59" i="23" s="1"/>
  <c r="B58" i="23" a="1"/>
  <c r="B58" i="23" s="1"/>
  <c r="B57" i="23" a="1"/>
  <c r="B57" i="23" s="1"/>
  <c r="B56" i="23" a="1"/>
  <c r="B56" i="23" s="1"/>
  <c r="B55" i="23" a="1"/>
  <c r="B55" i="23" s="1"/>
  <c r="B54" i="23" a="1"/>
  <c r="B54" i="23" s="1"/>
  <c r="B44" i="23" a="1"/>
  <c r="B44" i="23" s="1"/>
  <c r="B53" i="23" a="1"/>
  <c r="B53" i="23" s="1"/>
  <c r="B52" i="23" a="1"/>
  <c r="B52" i="23" s="1"/>
  <c r="B51" i="23" a="1"/>
  <c r="B51" i="23" s="1"/>
  <c r="B50" i="23" a="1"/>
  <c r="B50" i="23" s="1"/>
  <c r="B49" i="23" a="1"/>
  <c r="B49" i="23" s="1"/>
  <c r="B48" i="23" a="1"/>
  <c r="B48" i="23" s="1"/>
  <c r="B47" i="23" a="1"/>
  <c r="B47" i="23" s="1"/>
  <c r="B46" i="23" a="1"/>
  <c r="B46" i="23" s="1"/>
  <c r="B45" i="23" a="1"/>
  <c r="B45" i="23" s="1"/>
  <c r="G83" i="17"/>
  <c r="G84" i="17"/>
  <c r="G84" i="24"/>
  <c r="G83" i="24"/>
  <c r="G82" i="24" s="1"/>
  <c r="F84" i="24"/>
  <c r="F83" i="24"/>
  <c r="E84" i="24"/>
  <c r="E83" i="24"/>
  <c r="D84" i="24"/>
  <c r="D83" i="24"/>
  <c r="C84" i="24"/>
  <c r="C83" i="24"/>
  <c r="B84" i="24"/>
  <c r="B83" i="24"/>
  <c r="G78" i="24"/>
  <c r="G76" i="24" s="1"/>
  <c r="G77" i="24"/>
  <c r="F78" i="24"/>
  <c r="F76" i="24" s="1"/>
  <c r="F77" i="24"/>
  <c r="F72" i="24"/>
  <c r="E78" i="24"/>
  <c r="E77" i="24"/>
  <c r="E76" i="24" s="1"/>
  <c r="E72" i="24"/>
  <c r="D78" i="24"/>
  <c r="D77" i="24"/>
  <c r="D76" i="24" s="1"/>
  <c r="D66" i="24"/>
  <c r="D64" i="24" s="1"/>
  <c r="C78" i="24"/>
  <c r="C77" i="24"/>
  <c r="C76" i="24" s="1"/>
  <c r="C66" i="24"/>
  <c r="B78" i="24"/>
  <c r="H78" i="24" s="1"/>
  <c r="B77" i="24"/>
  <c r="G66" i="24"/>
  <c r="G65" i="24"/>
  <c r="G64" i="24" s="1"/>
  <c r="F66" i="24"/>
  <c r="F65" i="24"/>
  <c r="F64" i="24" s="1"/>
  <c r="E65" i="24"/>
  <c r="E66" i="24"/>
  <c r="D65" i="24"/>
  <c r="C65" i="24"/>
  <c r="C64" i="24" s="1"/>
  <c r="B66" i="24"/>
  <c r="H66" i="24" s="1"/>
  <c r="B65" i="24"/>
  <c r="H65" i="24" s="1"/>
  <c r="G60" i="24"/>
  <c r="G59" i="24"/>
  <c r="G58" i="24" s="1"/>
  <c r="F60" i="24"/>
  <c r="F59" i="24"/>
  <c r="F58" i="24" s="1"/>
  <c r="E60" i="24"/>
  <c r="E59" i="24"/>
  <c r="E58" i="24" s="1"/>
  <c r="D59" i="24"/>
  <c r="D58" i="24" s="1"/>
  <c r="C60" i="24"/>
  <c r="C59" i="24"/>
  <c r="C58" i="24" s="1"/>
  <c r="D60" i="24"/>
  <c r="B60" i="24"/>
  <c r="H60" i="24" s="1"/>
  <c r="B59" i="24"/>
  <c r="B58" i="24" s="1"/>
  <c r="G57" i="24"/>
  <c r="G56" i="24"/>
  <c r="F57" i="24"/>
  <c r="F56" i="24"/>
  <c r="E57" i="24"/>
  <c r="E56" i="24"/>
  <c r="D57" i="24"/>
  <c r="D56" i="24"/>
  <c r="C57" i="24"/>
  <c r="C56" i="24"/>
  <c r="B57" i="24"/>
  <c r="B56" i="24"/>
  <c r="G55" i="24"/>
  <c r="F55" i="24"/>
  <c r="E55" i="24"/>
  <c r="D55" i="24"/>
  <c r="C55" i="24"/>
  <c r="B55" i="24"/>
  <c r="G52" i="24"/>
  <c r="F52" i="24"/>
  <c r="E52" i="24"/>
  <c r="D52" i="24"/>
  <c r="C52" i="24"/>
  <c r="B52" i="24"/>
  <c r="G79" i="24"/>
  <c r="F79" i="24"/>
  <c r="E79" i="24"/>
  <c r="D79" i="24"/>
  <c r="C79" i="24"/>
  <c r="B79" i="24"/>
  <c r="G74" i="24"/>
  <c r="G73" i="24" s="1"/>
  <c r="F74" i="24"/>
  <c r="F73" i="24" s="1"/>
  <c r="E74" i="24"/>
  <c r="E73" i="24" s="1"/>
  <c r="D74" i="24"/>
  <c r="D73" i="24" s="1"/>
  <c r="C74" i="24"/>
  <c r="C73" i="24" s="1"/>
  <c r="B74" i="24"/>
  <c r="B73" i="24" s="1"/>
  <c r="H73" i="24" s="1"/>
  <c r="B8" i="24"/>
  <c r="H8" i="24" s="1"/>
  <c r="G51" i="24"/>
  <c r="G50" i="24"/>
  <c r="F50" i="24"/>
  <c r="F51" i="24"/>
  <c r="E51" i="24"/>
  <c r="E50" i="24"/>
  <c r="D51" i="24"/>
  <c r="D50" i="24"/>
  <c r="C51" i="24"/>
  <c r="C50" i="24"/>
  <c r="B51" i="24"/>
  <c r="B50" i="24"/>
  <c r="G72" i="24"/>
  <c r="D72" i="24"/>
  <c r="C72" i="24"/>
  <c r="G71" i="24"/>
  <c r="G70" i="24" s="1"/>
  <c r="F71" i="24"/>
  <c r="F70" i="24" s="1"/>
  <c r="E71" i="24"/>
  <c r="E70" i="24" s="1"/>
  <c r="D71" i="24"/>
  <c r="D70" i="24" s="1"/>
  <c r="C71" i="24"/>
  <c r="C70" i="24" s="1"/>
  <c r="B72" i="24"/>
  <c r="H72" i="24" s="1"/>
  <c r="B71" i="24"/>
  <c r="B70" i="24" s="1"/>
  <c r="H70" i="24" s="1"/>
  <c r="G63" i="24"/>
  <c r="G62" i="24"/>
  <c r="F63" i="24"/>
  <c r="F62" i="24"/>
  <c r="F61" i="24" s="1"/>
  <c r="E63" i="24"/>
  <c r="E62" i="24"/>
  <c r="E61" i="24" s="1"/>
  <c r="D63" i="24"/>
  <c r="D61" i="24" s="1"/>
  <c r="D62" i="24"/>
  <c r="C63" i="24"/>
  <c r="H63" i="24" s="1"/>
  <c r="B63" i="24"/>
  <c r="C62" i="24"/>
  <c r="B62" i="24"/>
  <c r="G61" i="24"/>
  <c r="C61" i="24"/>
  <c r="B61" i="24"/>
  <c r="E68" i="24"/>
  <c r="G69" i="24"/>
  <c r="G68" i="24"/>
  <c r="F69" i="24"/>
  <c r="F68" i="24"/>
  <c r="E69" i="24"/>
  <c r="D69" i="24"/>
  <c r="D68" i="24"/>
  <c r="C69" i="24"/>
  <c r="C68" i="24"/>
  <c r="B69" i="24"/>
  <c r="B68" i="24"/>
  <c r="B67" i="24"/>
  <c r="H75" i="24"/>
  <c r="H79" i="24"/>
  <c r="H80" i="24"/>
  <c r="H81" i="24"/>
  <c r="H57" i="24"/>
  <c r="H56" i="24"/>
  <c r="H55" i="24"/>
  <c r="H54" i="24"/>
  <c r="H53" i="24"/>
  <c r="H52" i="24"/>
  <c r="V66" i="7"/>
  <c r="V65" i="7"/>
  <c r="U66" i="7"/>
  <c r="S66" i="7"/>
  <c r="S57" i="7"/>
  <c r="T57" i="7"/>
  <c r="U57" i="7"/>
  <c r="V57" i="7"/>
  <c r="T2890" i="20"/>
  <c r="T1525" i="20"/>
  <c r="P53" i="19"/>
  <c r="Q53" i="19"/>
  <c r="R53" i="19"/>
  <c r="S53" i="19"/>
  <c r="T2894" i="20"/>
  <c r="S2894" i="20"/>
  <c r="V107" i="17"/>
  <c r="Z7" i="16"/>
  <c r="AA7" i="16"/>
  <c r="AC7" i="16"/>
  <c r="G76" i="17"/>
  <c r="G75" i="17"/>
  <c r="P48" i="19"/>
  <c r="Q48" i="19"/>
  <c r="S48" i="19"/>
  <c r="S51" i="19"/>
  <c r="Q51" i="19"/>
  <c r="P51" i="19"/>
  <c r="S49" i="19"/>
  <c r="Q49" i="19"/>
  <c r="P49" i="19"/>
  <c r="S50" i="19"/>
  <c r="R50" i="19"/>
  <c r="Q50" i="19"/>
  <c r="P50" i="19"/>
  <c r="S983" i="20"/>
  <c r="R983" i="20"/>
  <c r="T972" i="20"/>
  <c r="T983" i="20"/>
  <c r="S972" i="20"/>
  <c r="U983" i="20"/>
  <c r="T973" i="20"/>
  <c r="U973" i="20"/>
  <c r="S2022" i="11"/>
  <c r="T117" i="6"/>
  <c r="U80" i="6"/>
  <c r="S52" i="19"/>
  <c r="R52" i="19"/>
  <c r="Q52" i="19"/>
  <c r="P52" i="19"/>
  <c r="S2981" i="11"/>
  <c r="R2985" i="20"/>
  <c r="S2985" i="20"/>
  <c r="T2985" i="20"/>
  <c r="U2985" i="20"/>
  <c r="S109" i="20"/>
  <c r="R119" i="20"/>
  <c r="U92" i="6"/>
  <c r="AH113" i="1"/>
  <c r="AH99" i="1"/>
  <c r="G44" i="17"/>
  <c r="G43" i="17"/>
  <c r="G46" i="17"/>
  <c r="G45" i="17"/>
  <c r="U15" i="6"/>
  <c r="W15" i="6"/>
  <c r="T15" i="6"/>
  <c r="G22" i="17"/>
  <c r="G52" i="17"/>
  <c r="G51" i="17"/>
  <c r="G50" i="17"/>
  <c r="G47" i="17"/>
  <c r="G49" i="17"/>
  <c r="A15" i="24" a="1"/>
  <c r="A15" i="24" s="1"/>
  <c r="H23" i="24"/>
  <c r="G23" i="24"/>
  <c r="F23" i="24"/>
  <c r="E23" i="24"/>
  <c r="D23" i="24"/>
  <c r="C23" i="24"/>
  <c r="H22" i="24"/>
  <c r="G22" i="24"/>
  <c r="F22" i="24"/>
  <c r="E22" i="24"/>
  <c r="D22" i="24"/>
  <c r="C22" i="24"/>
  <c r="H21" i="24"/>
  <c r="G21" i="24"/>
  <c r="F21" i="24"/>
  <c r="E21" i="24"/>
  <c r="D21" i="24"/>
  <c r="C21" i="24"/>
  <c r="H20" i="24"/>
  <c r="G20" i="24"/>
  <c r="F20" i="24"/>
  <c r="E20" i="24"/>
  <c r="D20" i="24"/>
  <c r="C20" i="24"/>
  <c r="H19" i="24"/>
  <c r="G19" i="24"/>
  <c r="F19" i="24"/>
  <c r="E19" i="24"/>
  <c r="D19" i="24"/>
  <c r="C19" i="24"/>
  <c r="H18" i="24"/>
  <c r="G18" i="24"/>
  <c r="F18" i="24"/>
  <c r="E18" i="24"/>
  <c r="D18" i="24"/>
  <c r="C18" i="24"/>
  <c r="H17" i="24"/>
  <c r="H24" i="24" s="1"/>
  <c r="G17" i="24"/>
  <c r="F17" i="24"/>
  <c r="F24" i="24" s="1"/>
  <c r="E17" i="24"/>
  <c r="E24" i="24" s="1"/>
  <c r="D17" i="24"/>
  <c r="C17" i="24"/>
  <c r="G6" i="24"/>
  <c r="F6" i="24"/>
  <c r="E6" i="24"/>
  <c r="D6" i="24"/>
  <c r="C6" i="24"/>
  <c r="B6" i="24"/>
  <c r="T15" i="23"/>
  <c r="T14" i="23"/>
  <c r="T9" i="23"/>
  <c r="T8" i="23"/>
  <c r="D37" i="23"/>
  <c r="D36" i="23"/>
  <c r="D35" i="23"/>
  <c r="D34" i="23"/>
  <c r="D33" i="23"/>
  <c r="D32" i="23"/>
  <c r="D31" i="23"/>
  <c r="D30" i="23"/>
  <c r="D29" i="23"/>
  <c r="D28" i="23"/>
  <c r="D27" i="23"/>
  <c r="D26" i="23"/>
  <c r="D25" i="23"/>
  <c r="D24" i="23"/>
  <c r="D23" i="23"/>
  <c r="D22" i="23"/>
  <c r="D21" i="23"/>
  <c r="D20" i="23"/>
  <c r="D19" i="23"/>
  <c r="D18" i="23"/>
  <c r="D17" i="23"/>
  <c r="D16" i="23"/>
  <c r="D15" i="23"/>
  <c r="D14" i="23"/>
  <c r="D11" i="23"/>
  <c r="D10" i="23"/>
  <c r="D9" i="23"/>
  <c r="D8" i="23"/>
  <c r="D7" i="23"/>
  <c r="D6" i="23"/>
  <c r="D5" i="23"/>
  <c r="D4" i="23"/>
  <c r="H20" i="2"/>
  <c r="H19" i="2"/>
  <c r="H12" i="2"/>
  <c r="V129" i="7"/>
  <c r="U656" i="20"/>
  <c r="T656" i="20"/>
  <c r="S944" i="20"/>
  <c r="U1892" i="20"/>
  <c r="T1892" i="20"/>
  <c r="S1362" i="20"/>
  <c r="S1363" i="20"/>
  <c r="R1362" i="20"/>
  <c r="S1405" i="20"/>
  <c r="S406" i="11"/>
  <c r="T406" i="11"/>
  <c r="U406" i="11"/>
  <c r="V406" i="11"/>
  <c r="U561" i="11"/>
  <c r="U565" i="11"/>
  <c r="U566" i="11"/>
  <c r="G142" i="17"/>
  <c r="G143" i="17"/>
  <c r="G141" i="17"/>
  <c r="G140" i="17"/>
  <c r="S45" i="19"/>
  <c r="Q45" i="19"/>
  <c r="P45" i="19"/>
  <c r="I4" i="16"/>
  <c r="S44" i="19"/>
  <c r="R44" i="19"/>
  <c r="Q44" i="19"/>
  <c r="P44" i="19"/>
  <c r="Q47" i="19"/>
  <c r="S47" i="19"/>
  <c r="R47" i="19"/>
  <c r="P47" i="19"/>
  <c r="W44" i="6"/>
  <c r="R1398" i="20"/>
  <c r="R935" i="20"/>
  <c r="V942" i="11"/>
  <c r="R316" i="20"/>
  <c r="AH115" i="1"/>
  <c r="AH114" i="1"/>
  <c r="U7" i="20"/>
  <c r="T7" i="20"/>
  <c r="AG15" i="2"/>
  <c r="AH117" i="1"/>
  <c r="S2887" i="11"/>
  <c r="G2" i="17"/>
  <c r="S43" i="19"/>
  <c r="Q43" i="19"/>
  <c r="P43" i="19"/>
  <c r="S46" i="19"/>
  <c r="R46" i="19"/>
  <c r="Q46" i="19"/>
  <c r="P46" i="19"/>
  <c r="G82" i="7"/>
  <c r="G144" i="17"/>
  <c r="G111" i="17"/>
  <c r="G110" i="17"/>
  <c r="G102" i="17"/>
  <c r="G107" i="17"/>
  <c r="G109" i="17"/>
  <c r="G108" i="17"/>
  <c r="G101" i="17"/>
  <c r="G100" i="17"/>
  <c r="G89" i="17"/>
  <c r="G97" i="17"/>
  <c r="G104" i="17"/>
  <c r="G99" i="17"/>
  <c r="G103" i="17"/>
  <c r="G106" i="17"/>
  <c r="G88" i="17"/>
  <c r="G87" i="17"/>
  <c r="G136" i="17"/>
  <c r="G135" i="17"/>
  <c r="G95" i="17"/>
  <c r="G94" i="17"/>
  <c r="R27" i="19"/>
  <c r="R7" i="19"/>
  <c r="P27" i="19"/>
  <c r="Q27" i="19"/>
  <c r="S27" i="19"/>
  <c r="S40" i="19"/>
  <c r="Q40" i="19"/>
  <c r="P40" i="19"/>
  <c r="AH109" i="1"/>
  <c r="U99" i="6"/>
  <c r="W97" i="6"/>
  <c r="T4" i="6"/>
  <c r="U4" i="6"/>
  <c r="W4" i="6"/>
  <c r="T5" i="6"/>
  <c r="U5" i="6"/>
  <c r="W5" i="6"/>
  <c r="U6" i="6"/>
  <c r="W6" i="6"/>
  <c r="T8" i="6"/>
  <c r="U8" i="6"/>
  <c r="W8" i="6"/>
  <c r="T9" i="6"/>
  <c r="U9" i="6"/>
  <c r="W9" i="6"/>
  <c r="T10" i="6"/>
  <c r="U10" i="6"/>
  <c r="W10" i="6"/>
  <c r="T11" i="6"/>
  <c r="U11" i="6"/>
  <c r="W11" i="6"/>
  <c r="T12" i="6"/>
  <c r="U12" i="6"/>
  <c r="W12" i="6"/>
  <c r="T14" i="6"/>
  <c r="U14" i="6"/>
  <c r="W14" i="6"/>
  <c r="T17" i="6"/>
  <c r="U17" i="6"/>
  <c r="W17" i="6"/>
  <c r="T16" i="6"/>
  <c r="U16" i="6"/>
  <c r="W16" i="6"/>
  <c r="T18" i="6"/>
  <c r="U18" i="6"/>
  <c r="W18" i="6"/>
  <c r="T19" i="6"/>
  <c r="U19" i="6"/>
  <c r="W19" i="6"/>
  <c r="T21" i="6"/>
  <c r="U21" i="6"/>
  <c r="W21" i="6"/>
  <c r="T22" i="6"/>
  <c r="U22" i="6"/>
  <c r="W22" i="6"/>
  <c r="T23" i="6"/>
  <c r="U23" i="6"/>
  <c r="W23" i="6"/>
  <c r="T24" i="6"/>
  <c r="U24" i="6"/>
  <c r="W24" i="6"/>
  <c r="T25" i="6"/>
  <c r="U25" i="6"/>
  <c r="W25" i="6"/>
  <c r="T26" i="6"/>
  <c r="U26" i="6"/>
  <c r="W26" i="6"/>
  <c r="T27" i="6"/>
  <c r="U27" i="6"/>
  <c r="W27" i="6"/>
  <c r="T28" i="6"/>
  <c r="U28" i="6"/>
  <c r="W28" i="6"/>
  <c r="T29" i="6"/>
  <c r="U29" i="6"/>
  <c r="W29" i="6"/>
  <c r="T30" i="6"/>
  <c r="U30" i="6"/>
  <c r="W30" i="6"/>
  <c r="T31" i="6"/>
  <c r="U31" i="6"/>
  <c r="W31" i="6"/>
  <c r="T32" i="6"/>
  <c r="U32" i="6"/>
  <c r="W32" i="6"/>
  <c r="T33" i="6"/>
  <c r="U33" i="6"/>
  <c r="W33" i="6"/>
  <c r="T34" i="6"/>
  <c r="U34" i="6"/>
  <c r="W34" i="6"/>
  <c r="T35" i="6"/>
  <c r="U35" i="6"/>
  <c r="W35" i="6"/>
  <c r="T36" i="6"/>
  <c r="U36" i="6"/>
  <c r="W36" i="6"/>
  <c r="T37" i="6"/>
  <c r="U37" i="6"/>
  <c r="W37" i="6"/>
  <c r="T38" i="6"/>
  <c r="U38" i="6"/>
  <c r="W38" i="6"/>
  <c r="T44" i="6"/>
  <c r="U44" i="6"/>
  <c r="T39" i="6"/>
  <c r="U39" i="6"/>
  <c r="W39" i="6"/>
  <c r="T40" i="6"/>
  <c r="U40" i="6"/>
  <c r="W40" i="6"/>
  <c r="T41" i="6"/>
  <c r="U41" i="6"/>
  <c r="W41" i="6"/>
  <c r="T42" i="6"/>
  <c r="U42" i="6"/>
  <c r="W42" i="6"/>
  <c r="T43" i="6"/>
  <c r="U43" i="6"/>
  <c r="W43" i="6"/>
  <c r="T45" i="6"/>
  <c r="U45" i="6"/>
  <c r="W45" i="6"/>
  <c r="T46" i="6"/>
  <c r="U46" i="6"/>
  <c r="W46" i="6"/>
  <c r="T47" i="6"/>
  <c r="U47" i="6"/>
  <c r="W47" i="6"/>
  <c r="T48" i="6"/>
  <c r="U48" i="6"/>
  <c r="W48" i="6"/>
  <c r="T49" i="6"/>
  <c r="U49" i="6"/>
  <c r="W49" i="6"/>
  <c r="T50" i="6"/>
  <c r="U50" i="6"/>
  <c r="W50" i="6"/>
  <c r="T51" i="6"/>
  <c r="U51" i="6"/>
  <c r="W51" i="6"/>
  <c r="T52" i="6"/>
  <c r="U52" i="6"/>
  <c r="W52" i="6"/>
  <c r="T53" i="6"/>
  <c r="U53" i="6"/>
  <c r="W53" i="6"/>
  <c r="T54" i="6"/>
  <c r="U54" i="6"/>
  <c r="W54" i="6"/>
  <c r="T55" i="6"/>
  <c r="U55" i="6"/>
  <c r="W55" i="6"/>
  <c r="T56" i="6"/>
  <c r="U56" i="6"/>
  <c r="W56" i="6"/>
  <c r="T57" i="6"/>
  <c r="U57" i="6"/>
  <c r="W57" i="6"/>
  <c r="T58" i="6"/>
  <c r="U58" i="6"/>
  <c r="W58" i="6"/>
  <c r="T59" i="6"/>
  <c r="U59" i="6"/>
  <c r="W59" i="6"/>
  <c r="T60" i="6"/>
  <c r="U60" i="6"/>
  <c r="W60" i="6"/>
  <c r="T61" i="6"/>
  <c r="U61" i="6"/>
  <c r="W61" i="6"/>
  <c r="T62" i="6"/>
  <c r="U62" i="6"/>
  <c r="W62" i="6"/>
  <c r="T63" i="6"/>
  <c r="U63" i="6"/>
  <c r="W63" i="6"/>
  <c r="T64" i="6"/>
  <c r="U64" i="6"/>
  <c r="W64" i="6"/>
  <c r="T65" i="6"/>
  <c r="U65" i="6"/>
  <c r="W65" i="6"/>
  <c r="T66" i="6"/>
  <c r="U66" i="6"/>
  <c r="W66" i="6"/>
  <c r="T67" i="6"/>
  <c r="U67" i="6"/>
  <c r="W67" i="6"/>
  <c r="T68" i="6"/>
  <c r="U68" i="6"/>
  <c r="W68" i="6"/>
  <c r="T76" i="6"/>
  <c r="U76" i="6"/>
  <c r="W76" i="6"/>
  <c r="T69" i="6"/>
  <c r="U69" i="6"/>
  <c r="W69" i="6"/>
  <c r="T70" i="6"/>
  <c r="U70" i="6"/>
  <c r="W70" i="6"/>
  <c r="T71" i="6"/>
  <c r="U71" i="6"/>
  <c r="W71" i="6"/>
  <c r="T72" i="6"/>
  <c r="U72" i="6"/>
  <c r="W72" i="6"/>
  <c r="T73" i="6"/>
  <c r="U73" i="6"/>
  <c r="W73" i="6"/>
  <c r="T74" i="6"/>
  <c r="U74" i="6"/>
  <c r="W74" i="6"/>
  <c r="T75" i="6"/>
  <c r="U75" i="6"/>
  <c r="W75" i="6"/>
  <c r="T77" i="6"/>
  <c r="U77" i="6"/>
  <c r="W77" i="6"/>
  <c r="T78" i="6"/>
  <c r="U78" i="6"/>
  <c r="W78" i="6"/>
  <c r="T79" i="6"/>
  <c r="U79" i="6"/>
  <c r="W79" i="6"/>
  <c r="T80" i="6"/>
  <c r="W80" i="6"/>
  <c r="T81" i="6"/>
  <c r="U81" i="6"/>
  <c r="W81" i="6"/>
  <c r="T82" i="6"/>
  <c r="U82" i="6"/>
  <c r="W82" i="6"/>
  <c r="T83" i="6"/>
  <c r="U83" i="6"/>
  <c r="W83" i="6"/>
  <c r="T84" i="6"/>
  <c r="U84" i="6"/>
  <c r="W84" i="6"/>
  <c r="T85" i="6"/>
  <c r="U85" i="6"/>
  <c r="W85" i="6"/>
  <c r="T87" i="6"/>
  <c r="U87" i="6"/>
  <c r="W87" i="6"/>
  <c r="T88" i="6"/>
  <c r="U88" i="6"/>
  <c r="W88" i="6"/>
  <c r="T89" i="6"/>
  <c r="U89" i="6"/>
  <c r="W89" i="6"/>
  <c r="T90" i="6"/>
  <c r="U90" i="6"/>
  <c r="W90" i="6"/>
  <c r="T91" i="6"/>
  <c r="U91" i="6"/>
  <c r="W91" i="6"/>
  <c r="T92" i="6"/>
  <c r="W92" i="6"/>
  <c r="T93" i="6"/>
  <c r="U93" i="6"/>
  <c r="W93" i="6"/>
  <c r="T94" i="6"/>
  <c r="U94" i="6"/>
  <c r="W94" i="6"/>
  <c r="T95" i="6"/>
  <c r="U95" i="6"/>
  <c r="W95" i="6"/>
  <c r="T99" i="6"/>
  <c r="W99" i="6"/>
  <c r="T96" i="6"/>
  <c r="U96" i="6"/>
  <c r="W96" i="6"/>
  <c r="T98" i="6"/>
  <c r="U98" i="6"/>
  <c r="W98" i="6"/>
  <c r="W100" i="6"/>
  <c r="T101" i="6"/>
  <c r="U101" i="6"/>
  <c r="W101" i="6"/>
  <c r="T102" i="6"/>
  <c r="U102" i="6"/>
  <c r="W102" i="6"/>
  <c r="T7" i="6"/>
  <c r="U7" i="6"/>
  <c r="W7" i="6"/>
  <c r="T103" i="6"/>
  <c r="U103" i="6"/>
  <c r="W103" i="6"/>
  <c r="T104" i="6"/>
  <c r="U104" i="6"/>
  <c r="W104" i="6"/>
  <c r="T105" i="6"/>
  <c r="U105" i="6"/>
  <c r="W105" i="6"/>
  <c r="T106" i="6"/>
  <c r="U106" i="6"/>
  <c r="W106" i="6"/>
  <c r="T107" i="6"/>
  <c r="U107" i="6"/>
  <c r="W107" i="6"/>
  <c r="T108" i="6"/>
  <c r="U108" i="6"/>
  <c r="W108" i="6"/>
  <c r="T109" i="6"/>
  <c r="U109" i="6"/>
  <c r="W109" i="6"/>
  <c r="T110" i="6"/>
  <c r="U110" i="6"/>
  <c r="W110" i="6"/>
  <c r="T111" i="6"/>
  <c r="U111" i="6"/>
  <c r="W111" i="6"/>
  <c r="U112" i="6"/>
  <c r="W112" i="6"/>
  <c r="T113" i="6"/>
  <c r="U113" i="6"/>
  <c r="W113" i="6"/>
  <c r="T114" i="6"/>
  <c r="U114" i="6"/>
  <c r="W114" i="6"/>
  <c r="T115" i="6"/>
  <c r="U115" i="6"/>
  <c r="W115" i="6"/>
  <c r="T116" i="6"/>
  <c r="U116" i="6"/>
  <c r="W116" i="6"/>
  <c r="U117" i="6"/>
  <c r="W117" i="6"/>
  <c r="T118" i="6"/>
  <c r="U118" i="6"/>
  <c r="W118" i="6"/>
  <c r="T119" i="6"/>
  <c r="U119" i="6"/>
  <c r="W119" i="6"/>
  <c r="T120" i="6"/>
  <c r="U120" i="6"/>
  <c r="W120" i="6"/>
  <c r="T121" i="6"/>
  <c r="U121" i="6"/>
  <c r="W121" i="6"/>
  <c r="T122" i="6"/>
  <c r="U122" i="6"/>
  <c r="W122" i="6"/>
  <c r="T123" i="6"/>
  <c r="U123" i="6"/>
  <c r="W123" i="6"/>
  <c r="U124" i="6"/>
  <c r="W124" i="6"/>
  <c r="T125" i="6"/>
  <c r="U125" i="6"/>
  <c r="W125" i="6"/>
  <c r="T126" i="6"/>
  <c r="U126" i="6"/>
  <c r="W126" i="6"/>
  <c r="T127" i="6"/>
  <c r="U127" i="6"/>
  <c r="W127" i="6"/>
  <c r="T128" i="6"/>
  <c r="U128" i="6"/>
  <c r="W128" i="6"/>
  <c r="T129" i="6"/>
  <c r="U129" i="6"/>
  <c r="W129" i="6"/>
  <c r="T130" i="6"/>
  <c r="U130" i="6"/>
  <c r="W130" i="6"/>
  <c r="T131" i="6"/>
  <c r="U131" i="6"/>
  <c r="W131" i="6"/>
  <c r="T132" i="6"/>
  <c r="U132" i="6"/>
  <c r="W132" i="6"/>
  <c r="T133" i="6"/>
  <c r="U133" i="6"/>
  <c r="W133" i="6"/>
  <c r="T134" i="6"/>
  <c r="U134" i="6"/>
  <c r="W134" i="6"/>
  <c r="T135" i="6"/>
  <c r="U135" i="6"/>
  <c r="W135" i="6"/>
  <c r="T136" i="6"/>
  <c r="U136" i="6"/>
  <c r="W136" i="6"/>
  <c r="T97" i="6"/>
  <c r="U97" i="6"/>
  <c r="T3" i="6"/>
  <c r="U3" i="6"/>
  <c r="W3" i="6"/>
  <c r="G26" i="17"/>
  <c r="G25" i="17"/>
  <c r="G4" i="17"/>
  <c r="R7" i="22"/>
  <c r="R20" i="22"/>
  <c r="R519" i="20"/>
  <c r="S519" i="20"/>
  <c r="T519" i="20"/>
  <c r="U519" i="20"/>
  <c r="R42" i="19"/>
  <c r="P42" i="19"/>
  <c r="Q42" i="19"/>
  <c r="S42" i="19"/>
  <c r="R26" i="19"/>
  <c r="S22" i="19"/>
  <c r="R22" i="19"/>
  <c r="Q22" i="19"/>
  <c r="P22" i="19"/>
  <c r="G131" i="7"/>
  <c r="G63" i="17"/>
  <c r="G59" i="17"/>
  <c r="G56" i="17"/>
  <c r="G61" i="17"/>
  <c r="G62" i="17"/>
  <c r="V11" i="17"/>
  <c r="G11" i="17"/>
  <c r="G80" i="17"/>
  <c r="H80" i="1"/>
  <c r="S281" i="20"/>
  <c r="G124" i="17"/>
  <c r="G82" i="17"/>
  <c r="V134" i="17"/>
  <c r="U134" i="17"/>
  <c r="V135" i="17"/>
  <c r="U135" i="17"/>
  <c r="G96" i="17"/>
  <c r="G90" i="17"/>
  <c r="G79" i="17"/>
  <c r="B18" i="23"/>
  <c r="U3008" i="20"/>
  <c r="S41" i="19"/>
  <c r="R41" i="19"/>
  <c r="Q41" i="19"/>
  <c r="P41" i="19"/>
  <c r="S38" i="19"/>
  <c r="R38" i="19"/>
  <c r="Q38" i="19"/>
  <c r="P38" i="19"/>
  <c r="S36" i="19"/>
  <c r="Q36" i="19"/>
  <c r="P36" i="19"/>
  <c r="R2295" i="20"/>
  <c r="T655" i="20"/>
  <c r="U655" i="20"/>
  <c r="S655" i="20"/>
  <c r="R655" i="20"/>
  <c r="U657" i="20"/>
  <c r="T657" i="20"/>
  <c r="S657" i="20"/>
  <c r="R657" i="20"/>
  <c r="V3006" i="11"/>
  <c r="U3006" i="11"/>
  <c r="T3006" i="11"/>
  <c r="S3006" i="11"/>
  <c r="U545" i="11"/>
  <c r="S39" i="19"/>
  <c r="R39" i="19"/>
  <c r="Q39" i="19"/>
  <c r="P39" i="19"/>
  <c r="AH95" i="1"/>
  <c r="S3003" i="11"/>
  <c r="AB30" i="1"/>
  <c r="S2269" i="20"/>
  <c r="T2250" i="20"/>
  <c r="U2263" i="20"/>
  <c r="R2611" i="20"/>
  <c r="AB130" i="1"/>
  <c r="AA130" i="1"/>
  <c r="Y130" i="1"/>
  <c r="AB117" i="1"/>
  <c r="AA117" i="1"/>
  <c r="Y117" i="1"/>
  <c r="AB104" i="1"/>
  <c r="AA104" i="1"/>
  <c r="Y104" i="1"/>
  <c r="AB103" i="1"/>
  <c r="AA103" i="1"/>
  <c r="Y103" i="1"/>
  <c r="AB91" i="1"/>
  <c r="AA91" i="1"/>
  <c r="Y91" i="1"/>
  <c r="AB79" i="1"/>
  <c r="AA79" i="1"/>
  <c r="Y79" i="1"/>
  <c r="AB69" i="1"/>
  <c r="AA69" i="1"/>
  <c r="Y69" i="1"/>
  <c r="AB58" i="1"/>
  <c r="AA58" i="1"/>
  <c r="Y58" i="1"/>
  <c r="AB57" i="1"/>
  <c r="AA57" i="1"/>
  <c r="Y57" i="1"/>
  <c r="AB43" i="1"/>
  <c r="AA43" i="1"/>
  <c r="Y43" i="1"/>
  <c r="AB17" i="1"/>
  <c r="AA17" i="1"/>
  <c r="Y17" i="1"/>
  <c r="AB4" i="1"/>
  <c r="AA4" i="1"/>
  <c r="Y4" i="1"/>
  <c r="AB129" i="1"/>
  <c r="AA129" i="1"/>
  <c r="Y129" i="1"/>
  <c r="AB115" i="1"/>
  <c r="AA115" i="1"/>
  <c r="Y115" i="1"/>
  <c r="AB114" i="1"/>
  <c r="Y114" i="1"/>
  <c r="AB101" i="1"/>
  <c r="AA101" i="1"/>
  <c r="Y101" i="1"/>
  <c r="AB100" i="1"/>
  <c r="Y100" i="1"/>
  <c r="AB128" i="1"/>
  <c r="AA128" i="1"/>
  <c r="Y128" i="1"/>
  <c r="AB90" i="1"/>
  <c r="AA90" i="1"/>
  <c r="Y90" i="1"/>
  <c r="AB78" i="1"/>
  <c r="AA78" i="1"/>
  <c r="Y78" i="1"/>
  <c r="AB68" i="1"/>
  <c r="AA68" i="1"/>
  <c r="Y68" i="1"/>
  <c r="AB56" i="1"/>
  <c r="AA56" i="1"/>
  <c r="Y56" i="1"/>
  <c r="AB55" i="1"/>
  <c r="AA55" i="1"/>
  <c r="Y55" i="1"/>
  <c r="AB116" i="1"/>
  <c r="AA116" i="1"/>
  <c r="Y116" i="1"/>
  <c r="AB102" i="1"/>
  <c r="AA102" i="1"/>
  <c r="Y102" i="1"/>
  <c r="AB41" i="1"/>
  <c r="Y41" i="1"/>
  <c r="AB54" i="1"/>
  <c r="Y54" i="1"/>
  <c r="AB42" i="1"/>
  <c r="Y42" i="1"/>
  <c r="AB28" i="1"/>
  <c r="Y28" i="1"/>
  <c r="AB29" i="1"/>
  <c r="AA29" i="1"/>
  <c r="AB16" i="1"/>
  <c r="AA16" i="1"/>
  <c r="Y16" i="1"/>
  <c r="AB127" i="1"/>
  <c r="Y127" i="1"/>
  <c r="AB126" i="1"/>
  <c r="Y126" i="1"/>
  <c r="AB113" i="1"/>
  <c r="Y113" i="1"/>
  <c r="AB112" i="1"/>
  <c r="Y112" i="1"/>
  <c r="AB99" i="1"/>
  <c r="Y99" i="1"/>
  <c r="AB98" i="1"/>
  <c r="Y98" i="1"/>
  <c r="AB89" i="1"/>
  <c r="Y89" i="1"/>
  <c r="AB88" i="1"/>
  <c r="Y88" i="1"/>
  <c r="AB77" i="1"/>
  <c r="Y77" i="1"/>
  <c r="AB76" i="1"/>
  <c r="Y76" i="1"/>
  <c r="AB67" i="1"/>
  <c r="Y67" i="1"/>
  <c r="AB66" i="1"/>
  <c r="Y66" i="1"/>
  <c r="AB53" i="1"/>
  <c r="Y53" i="1"/>
  <c r="AB52" i="1"/>
  <c r="Y52" i="1"/>
  <c r="AB40" i="1"/>
  <c r="Y40" i="1"/>
  <c r="AB39" i="1"/>
  <c r="Y39" i="1"/>
  <c r="AB27" i="1"/>
  <c r="Y27" i="1"/>
  <c r="AB26" i="1"/>
  <c r="Y26" i="1"/>
  <c r="AB15" i="1"/>
  <c r="Y15" i="1"/>
  <c r="AB2" i="1"/>
  <c r="Y2" i="1"/>
  <c r="AB75" i="1"/>
  <c r="AA75" i="1"/>
  <c r="Y75" i="1"/>
  <c r="AB125" i="1"/>
  <c r="Y125" i="1"/>
  <c r="AB124" i="1"/>
  <c r="Y124" i="1"/>
  <c r="AB123" i="1"/>
  <c r="Y123" i="1"/>
  <c r="AB111" i="1"/>
  <c r="Y111" i="1"/>
  <c r="AB110" i="1"/>
  <c r="Y110" i="1"/>
  <c r="AB109" i="1"/>
  <c r="Y109" i="1"/>
  <c r="AB97" i="1"/>
  <c r="Y97" i="1"/>
  <c r="AB96" i="1"/>
  <c r="Y96" i="1"/>
  <c r="AB95" i="1"/>
  <c r="Y95" i="1"/>
  <c r="AB87" i="1"/>
  <c r="Y87" i="1"/>
  <c r="AB86" i="1"/>
  <c r="Y86" i="1"/>
  <c r="AB85" i="1"/>
  <c r="Y85" i="1"/>
  <c r="AB74" i="1"/>
  <c r="Y74" i="1"/>
  <c r="AB51" i="1"/>
  <c r="Y51" i="1"/>
  <c r="AB65" i="1"/>
  <c r="Y65" i="1"/>
  <c r="AB64" i="1"/>
  <c r="Y64" i="1"/>
  <c r="AB50" i="1"/>
  <c r="Y50" i="1"/>
  <c r="AB49" i="1"/>
  <c r="Y49" i="1"/>
  <c r="AB37" i="1"/>
  <c r="Y37" i="1"/>
  <c r="AB36" i="1"/>
  <c r="Y36" i="1"/>
  <c r="AB35" i="1"/>
  <c r="Y35" i="1"/>
  <c r="AB25" i="1"/>
  <c r="Y25" i="1"/>
  <c r="AB24" i="1"/>
  <c r="Y24" i="1"/>
  <c r="AB23" i="1"/>
  <c r="Y23" i="1"/>
  <c r="AB22" i="1"/>
  <c r="Y22" i="1"/>
  <c r="AB21" i="1"/>
  <c r="Y21" i="1"/>
  <c r="AB38" i="1"/>
  <c r="AA38" i="1"/>
  <c r="Y38" i="1"/>
  <c r="AB14" i="1"/>
  <c r="Y14" i="1"/>
  <c r="AB13" i="1"/>
  <c r="Y13" i="1"/>
  <c r="AB12" i="1"/>
  <c r="Y12" i="1"/>
  <c r="AB11" i="1"/>
  <c r="Y11" i="1"/>
  <c r="AB122" i="1"/>
  <c r="Y122" i="1"/>
  <c r="AB121" i="1"/>
  <c r="Y121" i="1"/>
  <c r="AB108" i="1"/>
  <c r="Y108" i="1"/>
  <c r="AB107" i="1"/>
  <c r="Y107" i="1"/>
  <c r="AB106" i="1"/>
  <c r="Y106" i="1"/>
  <c r="AB94" i="1"/>
  <c r="Y94" i="1"/>
  <c r="AB93" i="1"/>
  <c r="Y93" i="1"/>
  <c r="AB92" i="1"/>
  <c r="Y92" i="1"/>
  <c r="AB84" i="1"/>
  <c r="Y84" i="1"/>
  <c r="AB83" i="1"/>
  <c r="Y83" i="1"/>
  <c r="AB82" i="1"/>
  <c r="Y82" i="1"/>
  <c r="AB73" i="1"/>
  <c r="Y73" i="1"/>
  <c r="AB72" i="1"/>
  <c r="Y72" i="1"/>
  <c r="AB63" i="1"/>
  <c r="Y63" i="1"/>
  <c r="AB62" i="1"/>
  <c r="Y62" i="1"/>
  <c r="AB48" i="1"/>
  <c r="Y48" i="1"/>
  <c r="AB47" i="1"/>
  <c r="Y47" i="1"/>
  <c r="AB46" i="1"/>
  <c r="Y46" i="1"/>
  <c r="AB34" i="1"/>
  <c r="Y34" i="1"/>
  <c r="AB33" i="1"/>
  <c r="Y33" i="1"/>
  <c r="AB20" i="1"/>
  <c r="AB61" i="1"/>
  <c r="Y61" i="1"/>
  <c r="AB8" i="1"/>
  <c r="AB45" i="1"/>
  <c r="Y45" i="1"/>
  <c r="AB7" i="1"/>
  <c r="Y7" i="1"/>
  <c r="AB6" i="1"/>
  <c r="Y6" i="1"/>
  <c r="AB71" i="1"/>
  <c r="Y71" i="1"/>
  <c r="AB81" i="1"/>
  <c r="Y81" i="1"/>
  <c r="AB120" i="1"/>
  <c r="C48" i="23" a="1"/>
  <c r="C48" i="23" s="1"/>
  <c r="Y120" i="1"/>
  <c r="AB32" i="1"/>
  <c r="Y32" i="1"/>
  <c r="AB31" i="1"/>
  <c r="Y31" i="1"/>
  <c r="AB44" i="1"/>
  <c r="AB119" i="1"/>
  <c r="Y119" i="1"/>
  <c r="AB118" i="1"/>
  <c r="Y118" i="1"/>
  <c r="AB105" i="1"/>
  <c r="Y105" i="1"/>
  <c r="AB80" i="1"/>
  <c r="Y80" i="1"/>
  <c r="AB59" i="1"/>
  <c r="Y59" i="1"/>
  <c r="AB19" i="1"/>
  <c r="Y19" i="1"/>
  <c r="AB18" i="1"/>
  <c r="Y18" i="1"/>
  <c r="AB5" i="1"/>
  <c r="Y5" i="1"/>
  <c r="S3048" i="11"/>
  <c r="U787" i="20"/>
  <c r="T787" i="20"/>
  <c r="S787" i="20"/>
  <c r="R787" i="20"/>
  <c r="V2102" i="11"/>
  <c r="R286" i="20"/>
  <c r="T12" i="20"/>
  <c r="S3061" i="11"/>
  <c r="S37" i="19"/>
  <c r="R37" i="19"/>
  <c r="Q37" i="19"/>
  <c r="P37" i="19"/>
  <c r="T2314" i="11"/>
  <c r="S2314" i="11"/>
  <c r="U2314" i="11"/>
  <c r="U2321" i="11"/>
  <c r="T2321" i="11"/>
  <c r="S2321" i="11"/>
  <c r="U2318" i="11"/>
  <c r="T2318" i="11"/>
  <c r="S2318" i="11"/>
  <c r="U2316" i="11"/>
  <c r="T2316" i="11"/>
  <c r="S2316" i="11"/>
  <c r="U2319" i="11"/>
  <c r="T2319" i="11"/>
  <c r="S2319" i="11"/>
  <c r="U2313" i="11"/>
  <c r="T2313" i="11"/>
  <c r="S2313" i="11"/>
  <c r="U2312" i="11"/>
  <c r="T2312" i="11"/>
  <c r="S2312" i="11"/>
  <c r="U2311" i="11"/>
  <c r="T2311" i="11"/>
  <c r="S2311" i="11"/>
  <c r="U2310" i="11"/>
  <c r="T2310" i="11"/>
  <c r="S2310" i="11"/>
  <c r="U2308" i="11"/>
  <c r="T2308" i="11"/>
  <c r="S2308" i="11"/>
  <c r="U2307" i="11"/>
  <c r="T2307" i="11"/>
  <c r="S2307" i="11"/>
  <c r="U2306" i="11"/>
  <c r="T2306" i="11"/>
  <c r="S2306" i="11"/>
  <c r="U2303" i="11"/>
  <c r="T2303" i="11"/>
  <c r="S2303" i="11"/>
  <c r="U2343" i="11"/>
  <c r="T2343" i="11"/>
  <c r="S2343" i="11"/>
  <c r="U2337" i="11"/>
  <c r="T2337" i="11"/>
  <c r="S2337" i="11"/>
  <c r="U2335" i="11"/>
  <c r="T2335" i="11"/>
  <c r="S2335" i="11"/>
  <c r="U2333" i="11"/>
  <c r="T2333" i="11"/>
  <c r="S2333" i="11"/>
  <c r="U2332" i="11"/>
  <c r="T2332" i="11"/>
  <c r="S2332" i="11"/>
  <c r="U2329" i="11"/>
  <c r="T2329" i="11"/>
  <c r="S2329" i="11"/>
  <c r="U2328" i="11"/>
  <c r="T2328" i="11"/>
  <c r="S2328" i="11"/>
  <c r="U2327" i="11"/>
  <c r="T2327" i="11"/>
  <c r="S2327" i="11"/>
  <c r="U2326" i="11"/>
  <c r="T2326" i="11"/>
  <c r="S2326" i="11"/>
  <c r="U2325" i="11"/>
  <c r="T2325" i="11"/>
  <c r="S2325" i="11"/>
  <c r="U2324" i="11"/>
  <c r="T2324" i="11"/>
  <c r="S2324" i="11"/>
  <c r="U2323" i="11"/>
  <c r="T2323" i="11"/>
  <c r="S2323" i="11"/>
  <c r="U2322" i="11"/>
  <c r="T2322" i="11"/>
  <c r="S2322" i="11"/>
  <c r="U2301" i="11"/>
  <c r="T2301" i="11"/>
  <c r="S2301" i="11"/>
  <c r="U2300" i="11"/>
  <c r="T2300" i="11"/>
  <c r="S2300" i="11"/>
  <c r="U2295" i="11"/>
  <c r="T2295" i="11"/>
  <c r="S2295" i="11"/>
  <c r="U2294" i="11"/>
  <c r="T2294" i="11"/>
  <c r="S2294" i="11"/>
  <c r="U2287" i="11"/>
  <c r="T2287" i="11"/>
  <c r="S2287" i="11"/>
  <c r="U2282" i="11"/>
  <c r="T2282" i="11"/>
  <c r="S2282" i="11"/>
  <c r="U2281" i="11"/>
  <c r="T2281" i="11"/>
  <c r="S2281" i="11"/>
  <c r="U2278" i="11"/>
  <c r="T2278" i="11"/>
  <c r="S2278" i="11"/>
  <c r="U2277" i="11"/>
  <c r="T2277" i="11"/>
  <c r="S2277" i="11"/>
  <c r="U2275" i="11"/>
  <c r="T2275" i="11"/>
  <c r="S2275" i="11"/>
  <c r="U2273" i="11"/>
  <c r="T2273" i="11"/>
  <c r="S2273" i="11"/>
  <c r="U1957" i="11"/>
  <c r="T1957" i="11"/>
  <c r="S1957" i="11"/>
  <c r="U1971" i="11"/>
  <c r="T1971" i="11"/>
  <c r="S1971" i="11"/>
  <c r="U1967" i="11"/>
  <c r="T1967" i="11"/>
  <c r="S1967" i="11"/>
  <c r="U1966" i="11"/>
  <c r="T1966" i="11"/>
  <c r="S1966" i="11"/>
  <c r="U1965" i="11"/>
  <c r="T1965" i="11"/>
  <c r="S1965" i="11"/>
  <c r="U1963" i="11"/>
  <c r="T1963" i="11"/>
  <c r="S1963" i="11"/>
  <c r="U1961" i="11"/>
  <c r="T1961" i="11"/>
  <c r="S1961" i="11"/>
  <c r="U1960" i="11"/>
  <c r="T1960" i="11"/>
  <c r="S1960" i="11"/>
  <c r="U1958" i="11"/>
  <c r="T1958" i="11"/>
  <c r="S1958" i="11"/>
  <c r="U1969" i="11"/>
  <c r="T1969" i="11"/>
  <c r="S1969" i="11"/>
  <c r="U1955" i="11"/>
  <c r="T1955" i="11"/>
  <c r="S1955" i="11"/>
  <c r="U1954" i="11"/>
  <c r="T1954" i="11"/>
  <c r="S1954" i="11"/>
  <c r="U1953" i="11"/>
  <c r="T1953" i="11"/>
  <c r="S1953" i="11"/>
  <c r="U1952" i="11"/>
  <c r="T1952" i="11"/>
  <c r="S1952" i="11"/>
  <c r="U1951" i="11"/>
  <c r="T1951" i="11"/>
  <c r="S1951" i="11"/>
  <c r="U1950" i="11"/>
  <c r="T1950" i="11"/>
  <c r="S1950" i="11"/>
  <c r="U1949" i="11"/>
  <c r="T1949" i="11"/>
  <c r="S1949" i="11"/>
  <c r="U1948" i="11"/>
  <c r="T1948" i="11"/>
  <c r="S1948" i="11"/>
  <c r="U1947" i="11"/>
  <c r="T1947" i="11"/>
  <c r="S1947" i="11"/>
  <c r="U1944" i="11"/>
  <c r="T1944" i="11"/>
  <c r="S1944" i="11"/>
  <c r="U1942" i="11"/>
  <c r="T1942" i="11"/>
  <c r="S1942" i="11"/>
  <c r="U1946" i="11"/>
  <c r="T1946" i="11"/>
  <c r="S1946" i="11"/>
  <c r="U1945" i="11"/>
  <c r="T1945" i="11"/>
  <c r="S1945" i="11"/>
  <c r="U1941" i="11"/>
  <c r="T1941" i="11"/>
  <c r="S1941" i="11"/>
  <c r="U1940" i="11"/>
  <c r="T1940" i="11"/>
  <c r="S1940" i="11"/>
  <c r="U1939" i="11"/>
  <c r="T1939" i="11"/>
  <c r="S1939" i="11"/>
  <c r="U2269" i="11"/>
  <c r="T2269" i="11"/>
  <c r="S2269" i="11"/>
  <c r="U2252" i="11"/>
  <c r="T2252" i="11"/>
  <c r="S2252" i="11"/>
  <c r="U2271" i="11"/>
  <c r="T2271" i="11"/>
  <c r="S2271" i="11"/>
  <c r="U2270" i="11"/>
  <c r="T2270" i="11"/>
  <c r="S2270" i="11"/>
  <c r="U2266" i="11"/>
  <c r="T2266" i="11"/>
  <c r="S2266" i="11"/>
  <c r="U2261" i="11"/>
  <c r="T2261" i="11"/>
  <c r="S2261" i="11"/>
  <c r="U2259" i="11"/>
  <c r="T2259" i="11"/>
  <c r="S2259" i="11"/>
  <c r="U2258" i="11"/>
  <c r="T2258" i="11"/>
  <c r="S2258" i="11"/>
  <c r="U2254" i="11"/>
  <c r="T2254" i="11"/>
  <c r="S2254" i="11"/>
  <c r="U2253" i="11"/>
  <c r="T2253" i="11"/>
  <c r="S2253" i="11"/>
  <c r="U2251" i="11"/>
  <c r="T2251" i="11"/>
  <c r="S2251" i="11"/>
  <c r="U2250" i="11"/>
  <c r="T2250" i="11"/>
  <c r="S2250" i="11"/>
  <c r="U2249" i="11"/>
  <c r="T2249" i="11"/>
  <c r="S2249" i="11"/>
  <c r="U2248" i="11"/>
  <c r="T2248" i="11"/>
  <c r="S2248" i="11"/>
  <c r="U2246" i="11"/>
  <c r="T2246" i="11"/>
  <c r="S2246" i="11"/>
  <c r="U2242" i="11"/>
  <c r="T2242" i="11"/>
  <c r="S2242" i="11"/>
  <c r="U2241" i="11"/>
  <c r="T2241" i="11"/>
  <c r="S2241" i="11"/>
  <c r="U2240" i="11"/>
  <c r="T2240" i="11"/>
  <c r="S2240" i="11"/>
  <c r="U2239" i="11"/>
  <c r="T2239" i="11"/>
  <c r="S2239" i="11"/>
  <c r="U2238" i="11"/>
  <c r="T2238" i="11"/>
  <c r="S2238" i="11"/>
  <c r="U2237" i="11"/>
  <c r="T2237" i="11"/>
  <c r="S2237" i="11"/>
  <c r="U2236" i="11"/>
  <c r="T2236" i="11"/>
  <c r="S2236" i="11"/>
  <c r="U2235" i="11"/>
  <c r="T2235" i="11"/>
  <c r="S2235" i="11"/>
  <c r="U2234" i="11"/>
  <c r="T2234" i="11"/>
  <c r="S2234" i="11"/>
  <c r="U2233" i="11"/>
  <c r="T2233" i="11"/>
  <c r="S2233" i="11"/>
  <c r="U2232" i="11"/>
  <c r="T2232" i="11"/>
  <c r="S2232" i="11"/>
  <c r="U2231" i="11"/>
  <c r="T2231" i="11"/>
  <c r="S2231" i="11"/>
  <c r="U2230" i="11"/>
  <c r="T2230" i="11"/>
  <c r="S2230" i="11"/>
  <c r="U2229" i="11"/>
  <c r="T2229" i="11"/>
  <c r="S2229" i="11"/>
  <c r="U2228" i="11"/>
  <c r="T2228" i="11"/>
  <c r="S2228" i="11"/>
  <c r="U2227" i="11"/>
  <c r="T2227" i="11"/>
  <c r="S2227" i="11"/>
  <c r="U2226" i="11"/>
  <c r="T2226" i="11"/>
  <c r="S2226" i="11"/>
  <c r="U2225" i="11"/>
  <c r="T2225" i="11"/>
  <c r="S2225" i="11"/>
  <c r="U2224" i="11"/>
  <c r="T2224" i="11"/>
  <c r="S2224" i="11"/>
  <c r="U2223" i="11"/>
  <c r="T2223" i="11"/>
  <c r="S2223" i="11"/>
  <c r="U2222" i="11"/>
  <c r="T2222" i="11"/>
  <c r="S2222" i="11"/>
  <c r="U2221" i="11"/>
  <c r="T2221" i="11"/>
  <c r="S2221" i="11"/>
  <c r="U2220" i="11"/>
  <c r="T2220" i="11"/>
  <c r="S2220" i="11"/>
  <c r="U2219" i="11"/>
  <c r="T2219" i="11"/>
  <c r="S2219" i="11"/>
  <c r="U2218" i="11"/>
  <c r="T2218" i="11"/>
  <c r="S2218" i="11"/>
  <c r="U2217" i="11"/>
  <c r="T2217" i="11"/>
  <c r="S2217" i="11"/>
  <c r="U2216" i="11"/>
  <c r="T2216" i="11"/>
  <c r="S2216" i="11"/>
  <c r="U2215" i="11"/>
  <c r="T2215" i="11"/>
  <c r="S2215" i="11"/>
  <c r="U2214" i="11"/>
  <c r="T2214" i="11"/>
  <c r="S2214" i="11"/>
  <c r="U2213" i="11"/>
  <c r="T2213" i="11"/>
  <c r="S2213" i="11"/>
  <c r="U2212" i="11"/>
  <c r="T2212" i="11"/>
  <c r="S2212" i="11"/>
  <c r="U2211" i="11"/>
  <c r="T2211" i="11"/>
  <c r="S2211" i="11"/>
  <c r="U2210" i="11"/>
  <c r="T2210" i="11"/>
  <c r="S2210" i="11"/>
  <c r="U2209" i="11"/>
  <c r="T2209" i="11"/>
  <c r="S2209" i="11"/>
  <c r="U2208" i="11"/>
  <c r="T2208" i="11"/>
  <c r="S2208" i="11"/>
  <c r="U2207" i="11"/>
  <c r="T2207" i="11"/>
  <c r="S2207" i="11"/>
  <c r="U2206" i="11"/>
  <c r="T2206" i="11"/>
  <c r="S2206" i="11"/>
  <c r="U2205" i="11"/>
  <c r="T2205" i="11"/>
  <c r="S2205" i="11"/>
  <c r="U2204" i="11"/>
  <c r="T2204" i="11"/>
  <c r="S2204" i="11"/>
  <c r="U2203" i="11"/>
  <c r="T2203" i="11"/>
  <c r="S2203" i="11"/>
  <c r="U2202" i="11"/>
  <c r="T2202" i="11"/>
  <c r="S2202" i="11"/>
  <c r="U2201" i="11"/>
  <c r="T2201" i="11"/>
  <c r="S2201" i="11"/>
  <c r="U2200" i="11"/>
  <c r="T2200" i="11"/>
  <c r="S2200" i="11"/>
  <c r="U2199" i="11"/>
  <c r="T2199" i="11"/>
  <c r="S2199" i="11"/>
  <c r="U2198" i="11"/>
  <c r="T2198" i="11"/>
  <c r="S2198" i="11"/>
  <c r="U2197" i="11"/>
  <c r="T2197" i="11"/>
  <c r="S2197" i="11"/>
  <c r="U2196" i="11"/>
  <c r="T2196" i="11"/>
  <c r="S2196" i="11"/>
  <c r="U2194" i="11"/>
  <c r="T2194" i="11"/>
  <c r="S2194" i="11"/>
  <c r="U2193" i="11"/>
  <c r="T2193" i="11"/>
  <c r="S2193" i="11"/>
  <c r="U2192" i="11"/>
  <c r="T2192" i="11"/>
  <c r="S2192" i="11"/>
  <c r="U2191" i="11"/>
  <c r="T2191" i="11"/>
  <c r="S2191" i="11"/>
  <c r="U2190" i="11"/>
  <c r="T2190" i="11"/>
  <c r="S2190" i="11"/>
  <c r="U2188" i="11"/>
  <c r="T2188" i="11"/>
  <c r="S2188" i="11"/>
  <c r="U2187" i="11"/>
  <c r="T2187" i="11"/>
  <c r="S2187" i="11"/>
  <c r="U2186" i="11"/>
  <c r="T2186" i="11"/>
  <c r="S2186" i="11"/>
  <c r="U2185" i="11"/>
  <c r="T2185" i="11"/>
  <c r="S2185" i="11"/>
  <c r="U2182" i="11"/>
  <c r="T2182" i="11"/>
  <c r="S2182" i="11"/>
  <c r="U2184" i="11"/>
  <c r="T2184" i="11"/>
  <c r="S2184" i="11"/>
  <c r="U2183" i="11"/>
  <c r="T2183" i="11"/>
  <c r="S2183" i="11"/>
  <c r="U2177" i="11"/>
  <c r="T2177" i="11"/>
  <c r="S2177" i="11"/>
  <c r="U2180" i="11"/>
  <c r="T2180" i="11"/>
  <c r="S2180" i="11"/>
  <c r="U2179" i="11"/>
  <c r="T2179" i="11"/>
  <c r="S2179" i="11"/>
  <c r="U2178" i="11"/>
  <c r="T2178" i="11"/>
  <c r="S2178" i="11"/>
  <c r="U2176" i="11"/>
  <c r="T2176" i="11"/>
  <c r="S2176" i="11"/>
  <c r="U2174" i="11"/>
  <c r="T2174" i="11"/>
  <c r="S2174" i="11"/>
  <c r="U2173" i="11"/>
  <c r="T2173" i="11"/>
  <c r="S2173" i="11"/>
  <c r="U2172" i="11"/>
  <c r="T2172" i="11"/>
  <c r="S2172" i="11"/>
  <c r="U2170" i="11"/>
  <c r="T2170" i="11"/>
  <c r="S2170" i="11"/>
  <c r="U2169" i="11"/>
  <c r="T2169" i="11"/>
  <c r="S2169" i="11"/>
  <c r="U2168" i="11"/>
  <c r="T2168" i="11"/>
  <c r="S2168" i="11"/>
  <c r="U2167" i="11"/>
  <c r="T2167" i="11"/>
  <c r="S2167" i="11"/>
  <c r="U2166" i="11"/>
  <c r="T2166" i="11"/>
  <c r="S2166" i="11"/>
  <c r="U2165" i="11"/>
  <c r="T2165" i="11"/>
  <c r="S2165" i="11"/>
  <c r="U2181" i="11"/>
  <c r="T2181" i="11"/>
  <c r="S2181" i="11"/>
  <c r="U2161" i="11"/>
  <c r="T2161" i="11"/>
  <c r="S2161" i="11"/>
  <c r="U2160" i="11"/>
  <c r="T2160" i="11"/>
  <c r="S2160" i="11"/>
  <c r="U2159" i="11"/>
  <c r="T2159" i="11"/>
  <c r="S2159" i="11"/>
  <c r="U2134" i="11"/>
  <c r="T2134" i="11"/>
  <c r="S2134" i="11"/>
  <c r="U2157" i="11"/>
  <c r="T2157" i="11"/>
  <c r="S2157" i="11"/>
  <c r="U2156" i="11"/>
  <c r="T2156" i="11"/>
  <c r="S2156" i="11"/>
  <c r="U2155" i="11"/>
  <c r="T2155" i="11"/>
  <c r="S2155" i="11"/>
  <c r="U2154" i="11"/>
  <c r="T2154" i="11"/>
  <c r="S2154" i="11"/>
  <c r="U2152" i="11"/>
  <c r="T2152" i="11"/>
  <c r="S2152" i="11"/>
  <c r="U2150" i="11"/>
  <c r="T2150" i="11"/>
  <c r="S2150" i="11"/>
  <c r="U2149" i="11"/>
  <c r="T2149" i="11"/>
  <c r="S2149" i="11"/>
  <c r="U2148" i="11"/>
  <c r="T2148" i="11"/>
  <c r="S2148" i="11"/>
  <c r="U2146" i="11"/>
  <c r="T2146" i="11"/>
  <c r="S2146" i="11"/>
  <c r="U2145" i="11"/>
  <c r="T2145" i="11"/>
  <c r="S2145" i="11"/>
  <c r="U2143" i="11"/>
  <c r="T2143" i="11"/>
  <c r="S2143" i="11"/>
  <c r="U2142" i="11"/>
  <c r="T2142" i="11"/>
  <c r="S2142" i="11"/>
  <c r="U2139" i="11"/>
  <c r="T2139" i="11"/>
  <c r="S2139" i="11"/>
  <c r="U2137" i="11"/>
  <c r="T2137" i="11"/>
  <c r="S2137" i="11"/>
  <c r="U2136" i="11"/>
  <c r="T2136" i="11"/>
  <c r="S2136" i="11"/>
  <c r="U2135" i="11"/>
  <c r="T2135" i="11"/>
  <c r="S2135" i="11"/>
  <c r="U2131" i="11"/>
  <c r="T2131" i="11"/>
  <c r="S2131" i="11"/>
  <c r="U2129" i="11"/>
  <c r="T2129" i="11"/>
  <c r="S2129" i="11"/>
  <c r="U2122" i="11"/>
  <c r="T2122" i="11"/>
  <c r="S2122" i="11"/>
  <c r="U2121" i="11"/>
  <c r="T2121" i="11"/>
  <c r="S2121" i="11"/>
  <c r="U2119" i="11"/>
  <c r="T2119" i="11"/>
  <c r="S2119" i="11"/>
  <c r="U2116" i="11"/>
  <c r="T2116" i="11"/>
  <c r="S2116" i="11"/>
  <c r="U2115" i="11"/>
  <c r="T2115" i="11"/>
  <c r="S2115" i="11"/>
  <c r="U2113" i="11"/>
  <c r="T2113" i="11"/>
  <c r="S2113" i="11"/>
  <c r="U2112" i="11"/>
  <c r="T2112" i="11"/>
  <c r="S2112" i="11"/>
  <c r="U2111" i="11"/>
  <c r="T2111" i="11"/>
  <c r="S2111" i="11"/>
  <c r="U2110" i="11"/>
  <c r="T2110" i="11"/>
  <c r="S2110" i="11"/>
  <c r="U2109" i="11"/>
  <c r="T2109" i="11"/>
  <c r="S2109" i="11"/>
  <c r="U2108" i="11"/>
  <c r="T2108" i="11"/>
  <c r="S2108" i="11"/>
  <c r="U2107" i="11"/>
  <c r="T2107" i="11"/>
  <c r="S2107" i="11"/>
  <c r="U2106" i="11"/>
  <c r="T2106" i="11"/>
  <c r="S2106" i="11"/>
  <c r="U2105" i="11"/>
  <c r="T2105" i="11"/>
  <c r="S2105" i="11"/>
  <c r="U2104" i="11"/>
  <c r="T2104" i="11"/>
  <c r="S2104" i="11"/>
  <c r="U2103" i="11"/>
  <c r="T2103" i="11"/>
  <c r="S2103" i="11"/>
  <c r="U2102" i="11"/>
  <c r="T2102" i="11"/>
  <c r="S2102" i="11"/>
  <c r="U2100" i="11"/>
  <c r="T2100" i="11"/>
  <c r="S2100" i="11"/>
  <c r="U2099" i="11"/>
  <c r="T2099" i="11"/>
  <c r="S2099" i="11"/>
  <c r="U2098" i="11"/>
  <c r="T2098" i="11"/>
  <c r="S2098" i="11"/>
  <c r="U2097" i="11"/>
  <c r="T2097" i="11"/>
  <c r="S2097" i="11"/>
  <c r="U2096" i="11"/>
  <c r="T2096" i="11"/>
  <c r="S2096" i="11"/>
  <c r="U2095" i="11"/>
  <c r="T2095" i="11"/>
  <c r="S2095" i="11"/>
  <c r="U2094" i="11"/>
  <c r="T2094" i="11"/>
  <c r="S2094" i="11"/>
  <c r="U2093" i="11"/>
  <c r="T2093" i="11"/>
  <c r="S2093" i="11"/>
  <c r="U2092" i="11"/>
  <c r="T2092" i="11"/>
  <c r="S2092" i="11"/>
  <c r="U2091" i="11"/>
  <c r="T2091" i="11"/>
  <c r="S2091" i="11"/>
  <c r="U2090" i="11"/>
  <c r="T2090" i="11"/>
  <c r="S2090" i="11"/>
  <c r="U2089" i="11"/>
  <c r="T2089" i="11"/>
  <c r="S2089" i="11"/>
  <c r="U2088" i="11"/>
  <c r="T2088" i="11"/>
  <c r="S2088" i="11"/>
  <c r="U2087" i="11"/>
  <c r="T2087" i="11"/>
  <c r="S2087" i="11"/>
  <c r="U2086" i="11"/>
  <c r="T2086" i="11"/>
  <c r="S2086" i="11"/>
  <c r="U2085" i="11"/>
  <c r="T2085" i="11"/>
  <c r="S2085" i="11"/>
  <c r="U2084" i="11"/>
  <c r="T2084" i="11"/>
  <c r="S2084" i="11"/>
  <c r="U2081" i="11"/>
  <c r="T2081" i="11"/>
  <c r="S2081" i="11"/>
  <c r="U2076" i="11"/>
  <c r="T2076" i="11"/>
  <c r="S2076" i="11"/>
  <c r="U2079" i="11"/>
  <c r="T2079" i="11"/>
  <c r="S2079" i="11"/>
  <c r="U2077" i="11"/>
  <c r="T2077" i="11"/>
  <c r="S2077" i="11"/>
  <c r="U2075" i="11"/>
  <c r="T2075" i="11"/>
  <c r="S2075" i="11"/>
  <c r="U2074" i="11"/>
  <c r="T2074" i="11"/>
  <c r="S2074" i="11"/>
  <c r="U2073" i="11"/>
  <c r="T2073" i="11"/>
  <c r="S2073" i="11"/>
  <c r="U2072" i="11"/>
  <c r="T2072" i="11"/>
  <c r="S2072" i="11"/>
  <c r="U2071" i="11"/>
  <c r="T2071" i="11"/>
  <c r="S2071" i="11"/>
  <c r="U2070" i="11"/>
  <c r="T2070" i="11"/>
  <c r="S2070" i="11"/>
  <c r="U2069" i="11"/>
  <c r="T2069" i="11"/>
  <c r="S2069" i="11"/>
  <c r="U2068" i="11"/>
  <c r="T2068" i="11"/>
  <c r="S2068" i="11"/>
  <c r="U2067" i="11"/>
  <c r="T2067" i="11"/>
  <c r="S2067" i="11"/>
  <c r="U2066" i="11"/>
  <c r="T2066" i="11"/>
  <c r="S2066" i="11"/>
  <c r="U2065" i="11"/>
  <c r="T2065" i="11"/>
  <c r="S2065" i="11"/>
  <c r="U2036" i="11"/>
  <c r="T2036" i="11"/>
  <c r="S2036" i="11"/>
  <c r="U2063" i="11"/>
  <c r="T2063" i="11"/>
  <c r="S2063" i="11"/>
  <c r="U2062" i="11"/>
  <c r="T2062" i="11"/>
  <c r="S2062" i="11"/>
  <c r="U2061" i="11"/>
  <c r="T2061" i="11"/>
  <c r="S2061" i="11"/>
  <c r="U2060" i="11"/>
  <c r="T2060" i="11"/>
  <c r="S2060" i="11"/>
  <c r="U2059" i="11"/>
  <c r="T2059" i="11"/>
  <c r="S2059" i="11"/>
  <c r="U2058" i="11"/>
  <c r="T2058" i="11"/>
  <c r="S2058" i="11"/>
  <c r="U2057" i="11"/>
  <c r="T2057" i="11"/>
  <c r="S2057" i="11"/>
  <c r="U2056" i="11"/>
  <c r="T2056" i="11"/>
  <c r="S2056" i="11"/>
  <c r="U2055" i="11"/>
  <c r="T2055" i="11"/>
  <c r="S2055" i="11"/>
  <c r="U2054" i="11"/>
  <c r="T2054" i="11"/>
  <c r="S2054" i="11"/>
  <c r="U2053" i="11"/>
  <c r="T2053" i="11"/>
  <c r="S2053" i="11"/>
  <c r="U2051" i="11"/>
  <c r="T2051" i="11"/>
  <c r="S2051" i="11"/>
  <c r="U2050" i="11"/>
  <c r="T2050" i="11"/>
  <c r="S2050" i="11"/>
  <c r="U2049" i="11"/>
  <c r="T2049" i="11"/>
  <c r="S2049" i="11"/>
  <c r="U2048" i="11"/>
  <c r="T2048" i="11"/>
  <c r="S2048" i="11"/>
  <c r="U2045" i="11"/>
  <c r="T2045" i="11"/>
  <c r="S2045" i="11"/>
  <c r="U2043" i="11"/>
  <c r="T2043" i="11"/>
  <c r="S2043" i="11"/>
  <c r="U2044" i="11"/>
  <c r="T2044" i="11"/>
  <c r="S2044" i="11"/>
  <c r="U2042" i="11"/>
  <c r="T2042" i="11"/>
  <c r="S2042" i="11"/>
  <c r="U2041" i="11"/>
  <c r="T2041" i="11"/>
  <c r="S2041" i="11"/>
  <c r="U2040" i="11"/>
  <c r="T2040" i="11"/>
  <c r="S2040" i="11"/>
  <c r="U2038" i="11"/>
  <c r="T2038" i="11"/>
  <c r="S2038" i="11"/>
  <c r="U2039" i="11"/>
  <c r="T2039" i="11"/>
  <c r="S2039" i="11"/>
  <c r="U2037" i="11"/>
  <c r="T2037" i="11"/>
  <c r="S2037" i="11"/>
  <c r="U2006" i="11"/>
  <c r="T2006" i="11"/>
  <c r="S2006" i="11"/>
  <c r="U2033" i="11"/>
  <c r="T2033" i="11"/>
  <c r="S2033" i="11"/>
  <c r="U2032" i="11"/>
  <c r="T2032" i="11"/>
  <c r="S2032" i="11"/>
  <c r="U2031" i="11"/>
  <c r="T2031" i="11"/>
  <c r="S2031" i="11"/>
  <c r="U2026" i="11"/>
  <c r="T2026" i="11"/>
  <c r="S2026" i="11"/>
  <c r="U2025" i="11"/>
  <c r="T2025" i="11"/>
  <c r="S2025" i="11"/>
  <c r="U2022" i="11"/>
  <c r="T2022" i="11"/>
  <c r="U2017" i="11"/>
  <c r="T2017" i="11"/>
  <c r="S2017" i="11"/>
  <c r="U2014" i="11"/>
  <c r="T2014" i="11"/>
  <c r="S2014" i="11"/>
  <c r="U2012" i="11"/>
  <c r="T2012" i="11"/>
  <c r="S2012" i="11"/>
  <c r="U2011" i="11"/>
  <c r="T2011" i="11"/>
  <c r="S2011" i="11"/>
  <c r="U2010" i="11"/>
  <c r="T2010" i="11"/>
  <c r="S2010" i="11"/>
  <c r="U2009" i="11"/>
  <c r="T2009" i="11"/>
  <c r="S2009" i="11"/>
  <c r="U2007" i="11"/>
  <c r="T2007" i="11"/>
  <c r="S2007" i="11"/>
  <c r="U2004" i="11"/>
  <c r="T2004" i="11"/>
  <c r="S2004" i="11"/>
  <c r="U2003" i="11"/>
  <c r="T2003" i="11"/>
  <c r="S2003" i="11"/>
  <c r="U2001" i="11"/>
  <c r="T2001" i="11"/>
  <c r="S2001" i="11"/>
  <c r="U2000" i="11"/>
  <c r="T2000" i="11"/>
  <c r="S2000" i="11"/>
  <c r="U1998" i="11"/>
  <c r="T1998" i="11"/>
  <c r="S1998" i="11"/>
  <c r="U1997" i="11"/>
  <c r="T1997" i="11"/>
  <c r="S1997" i="11"/>
  <c r="U1995" i="11"/>
  <c r="T1995" i="11"/>
  <c r="S1995" i="11"/>
  <c r="U1994" i="11"/>
  <c r="T1994" i="11"/>
  <c r="S1994" i="11"/>
  <c r="U1992" i="11"/>
  <c r="T1992" i="11"/>
  <c r="S1992" i="11"/>
  <c r="U1991" i="11"/>
  <c r="T1991" i="11"/>
  <c r="S1991" i="11"/>
  <c r="U1990" i="11"/>
  <c r="T1990" i="11"/>
  <c r="S1990" i="11"/>
  <c r="U2002" i="11"/>
  <c r="T2002" i="11"/>
  <c r="S2002" i="11"/>
  <c r="U1985" i="11"/>
  <c r="T1985" i="11"/>
  <c r="S1985" i="11"/>
  <c r="U1982" i="11"/>
  <c r="T1982" i="11"/>
  <c r="S1982" i="11"/>
  <c r="U1981" i="11"/>
  <c r="T1981" i="11"/>
  <c r="S1981" i="11"/>
  <c r="U1980" i="11"/>
  <c r="T1980" i="11"/>
  <c r="S1980" i="11"/>
  <c r="U1979" i="11"/>
  <c r="T1979" i="11"/>
  <c r="S1979" i="11"/>
  <c r="U1976" i="11"/>
  <c r="T1976" i="11"/>
  <c r="S1976" i="11"/>
  <c r="U1975" i="11"/>
  <c r="T1975" i="11"/>
  <c r="S1975" i="11"/>
  <c r="U1973" i="11"/>
  <c r="T1973" i="11"/>
  <c r="S1973" i="11"/>
  <c r="U1936" i="11"/>
  <c r="T1936" i="11"/>
  <c r="S1936" i="11"/>
  <c r="U1935" i="11"/>
  <c r="T1935" i="11"/>
  <c r="S1935" i="11"/>
  <c r="U1933" i="11"/>
  <c r="T1933" i="11"/>
  <c r="S1933" i="11"/>
  <c r="U1931" i="11"/>
  <c r="T1931" i="11"/>
  <c r="S1931" i="11"/>
  <c r="U1930" i="11"/>
  <c r="T1930" i="11"/>
  <c r="S1930" i="11"/>
  <c r="U1929" i="11"/>
  <c r="T1929" i="11"/>
  <c r="S1929" i="11"/>
  <c r="U1928" i="11"/>
  <c r="T1928" i="11"/>
  <c r="S1928" i="11"/>
  <c r="U1927" i="11"/>
  <c r="T1927" i="11"/>
  <c r="S1927" i="11"/>
  <c r="U1926" i="11"/>
  <c r="T1926" i="11"/>
  <c r="S1926" i="11"/>
  <c r="U1925" i="11"/>
  <c r="T1925" i="11"/>
  <c r="S1925" i="11"/>
  <c r="U1924" i="11"/>
  <c r="T1924" i="11"/>
  <c r="S1924" i="11"/>
  <c r="U1923" i="11"/>
  <c r="T1923" i="11"/>
  <c r="S1923" i="11"/>
  <c r="U1922" i="11"/>
  <c r="T1922" i="11"/>
  <c r="S1922" i="11"/>
  <c r="U1921" i="11"/>
  <c r="T1921" i="11"/>
  <c r="S1921" i="11"/>
  <c r="U1919" i="11"/>
  <c r="T1919" i="11"/>
  <c r="S1919" i="11"/>
  <c r="U1918" i="11"/>
  <c r="T1918" i="11"/>
  <c r="S1918" i="11"/>
  <c r="U1917" i="11"/>
  <c r="T1917" i="11"/>
  <c r="S1917" i="11"/>
  <c r="U1916" i="11"/>
  <c r="T1916" i="11"/>
  <c r="S1916" i="11"/>
  <c r="U1914" i="11"/>
  <c r="T1914" i="11"/>
  <c r="S1914" i="11"/>
  <c r="U1913" i="11"/>
  <c r="T1913" i="11"/>
  <c r="S1913" i="11"/>
  <c r="U1912" i="11"/>
  <c r="T1912" i="11"/>
  <c r="S1912" i="11"/>
  <c r="U1911" i="11"/>
  <c r="T1911" i="11"/>
  <c r="S1911" i="11"/>
  <c r="U1910" i="11"/>
  <c r="T1910" i="11"/>
  <c r="S1910" i="11"/>
  <c r="U1909" i="11"/>
  <c r="T1909" i="11"/>
  <c r="S1909" i="11"/>
  <c r="U1907" i="11"/>
  <c r="T1907" i="11"/>
  <c r="S1907" i="11"/>
  <c r="U1906" i="11"/>
  <c r="T1906" i="11"/>
  <c r="S1906" i="11"/>
  <c r="U1905" i="11"/>
  <c r="T1905" i="11"/>
  <c r="S1905" i="11"/>
  <c r="U1902" i="11"/>
  <c r="T1902" i="11"/>
  <c r="S1902" i="11"/>
  <c r="U1898" i="11"/>
  <c r="T1898" i="11"/>
  <c r="S1898" i="11"/>
  <c r="U1896" i="11"/>
  <c r="T1896" i="11"/>
  <c r="S1896" i="11"/>
  <c r="U1893" i="11"/>
  <c r="T1893" i="11"/>
  <c r="S1893" i="11"/>
  <c r="U1892" i="11"/>
  <c r="T1892" i="11"/>
  <c r="S1892" i="11"/>
  <c r="U1891" i="11"/>
  <c r="T1891" i="11"/>
  <c r="S1891" i="11"/>
  <c r="U1889" i="11"/>
  <c r="T1889" i="11"/>
  <c r="S1889" i="11"/>
  <c r="U1886" i="11"/>
  <c r="T1886" i="11"/>
  <c r="S1886" i="11"/>
  <c r="U1884" i="11"/>
  <c r="T1884" i="11"/>
  <c r="S1884" i="11"/>
  <c r="U1883" i="11"/>
  <c r="T1883" i="11"/>
  <c r="S1883" i="11"/>
  <c r="U1881" i="11"/>
  <c r="T1881" i="11"/>
  <c r="S1881" i="11"/>
  <c r="U1880" i="11"/>
  <c r="T1880" i="11"/>
  <c r="S1880" i="11"/>
  <c r="U1867" i="11"/>
  <c r="T1867" i="11"/>
  <c r="S1867" i="11"/>
  <c r="U1858" i="11"/>
  <c r="T1858" i="11"/>
  <c r="S1858" i="11"/>
  <c r="U1879" i="11"/>
  <c r="T1879" i="11"/>
  <c r="S1879" i="11"/>
  <c r="U1876" i="11"/>
  <c r="T1876" i="11"/>
  <c r="S1876" i="11"/>
  <c r="U1874" i="11"/>
  <c r="T1874" i="11"/>
  <c r="S1874" i="11"/>
  <c r="U1872" i="11"/>
  <c r="T1872" i="11"/>
  <c r="S1872" i="11"/>
  <c r="U1871" i="11"/>
  <c r="T1871" i="11"/>
  <c r="S1871" i="11"/>
  <c r="U1868" i="11"/>
  <c r="T1868" i="11"/>
  <c r="S1868" i="11"/>
  <c r="U1866" i="11"/>
  <c r="T1866" i="11"/>
  <c r="S1866" i="11"/>
  <c r="U1865" i="11"/>
  <c r="T1865" i="11"/>
  <c r="S1865" i="11"/>
  <c r="U1864" i="11"/>
  <c r="T1864" i="11"/>
  <c r="S1864" i="11"/>
  <c r="U1863" i="11"/>
  <c r="T1863" i="11"/>
  <c r="S1863" i="11"/>
  <c r="U1862" i="11"/>
  <c r="T1862" i="11"/>
  <c r="S1862" i="11"/>
  <c r="U1857" i="11"/>
  <c r="T1857" i="11"/>
  <c r="S1857" i="11"/>
  <c r="U1856" i="11"/>
  <c r="T1856" i="11"/>
  <c r="S1856" i="11"/>
  <c r="U1855" i="11"/>
  <c r="T1855" i="11"/>
  <c r="S1855" i="11"/>
  <c r="U1853" i="11"/>
  <c r="T1853" i="11"/>
  <c r="S1853" i="11"/>
  <c r="U1852" i="11"/>
  <c r="T1852" i="11"/>
  <c r="S1852" i="11"/>
  <c r="U1851" i="11"/>
  <c r="T1851" i="11"/>
  <c r="S1851" i="11"/>
  <c r="U1850" i="11"/>
  <c r="T1850" i="11"/>
  <c r="S1850" i="11"/>
  <c r="U1848" i="11"/>
  <c r="T1848" i="11"/>
  <c r="S1848" i="11"/>
  <c r="U1845" i="11"/>
  <c r="T1845" i="11"/>
  <c r="S1845" i="11"/>
  <c r="U1823" i="11"/>
  <c r="T1823" i="11"/>
  <c r="S1823" i="11"/>
  <c r="U1809" i="11"/>
  <c r="T1809" i="11"/>
  <c r="S1809" i="11"/>
  <c r="U1840" i="11"/>
  <c r="T1840" i="11"/>
  <c r="S1840" i="11"/>
  <c r="U1839" i="11"/>
  <c r="T1839" i="11"/>
  <c r="S1839" i="11"/>
  <c r="U1838" i="11"/>
  <c r="T1838" i="11"/>
  <c r="S1838" i="11"/>
  <c r="U1837" i="11"/>
  <c r="T1837" i="11"/>
  <c r="S1837" i="11"/>
  <c r="U1836" i="11"/>
  <c r="T1836" i="11"/>
  <c r="S1836" i="11"/>
  <c r="U1834" i="11"/>
  <c r="T1834" i="11"/>
  <c r="S1834" i="11"/>
  <c r="U1833" i="11"/>
  <c r="T1833" i="11"/>
  <c r="S1833" i="11"/>
  <c r="U1832" i="11"/>
  <c r="T1832" i="11"/>
  <c r="S1832" i="11"/>
  <c r="U1831" i="11"/>
  <c r="T1831" i="11"/>
  <c r="S1831" i="11"/>
  <c r="U1829" i="11"/>
  <c r="T1829" i="11"/>
  <c r="S1829" i="11"/>
  <c r="U1826" i="11"/>
  <c r="T1826" i="11"/>
  <c r="S1826" i="11"/>
  <c r="U1827" i="11"/>
  <c r="T1827" i="11"/>
  <c r="S1827" i="11"/>
  <c r="U1825" i="11"/>
  <c r="T1825" i="11"/>
  <c r="S1825" i="11"/>
  <c r="U1824" i="11"/>
  <c r="T1824" i="11"/>
  <c r="S1824" i="11"/>
  <c r="U1822" i="11"/>
  <c r="T1822" i="11"/>
  <c r="S1822" i="11"/>
  <c r="U1821" i="11"/>
  <c r="T1821" i="11"/>
  <c r="S1821" i="11"/>
  <c r="U1820" i="11"/>
  <c r="T1820" i="11"/>
  <c r="S1820" i="11"/>
  <c r="U1818" i="11"/>
  <c r="T1818" i="11"/>
  <c r="S1818" i="11"/>
  <c r="U1817" i="11"/>
  <c r="T1817" i="11"/>
  <c r="S1817" i="11"/>
  <c r="U1816" i="11"/>
  <c r="T1816" i="11"/>
  <c r="S1816" i="11"/>
  <c r="U1814" i="11"/>
  <c r="T1814" i="11"/>
  <c r="S1814" i="11"/>
  <c r="U1813" i="11"/>
  <c r="T1813" i="11"/>
  <c r="S1813" i="11"/>
  <c r="U1812" i="11"/>
  <c r="T1812" i="11"/>
  <c r="S1812" i="11"/>
  <c r="U1811" i="11"/>
  <c r="T1811" i="11"/>
  <c r="S1811" i="11"/>
  <c r="U1808" i="11"/>
  <c r="T1808" i="11"/>
  <c r="S1808" i="11"/>
  <c r="U660" i="11"/>
  <c r="T660" i="11"/>
  <c r="S660" i="11"/>
  <c r="U661" i="11"/>
  <c r="T661" i="11"/>
  <c r="S661" i="11"/>
  <c r="U658" i="11"/>
  <c r="T658" i="11"/>
  <c r="S658" i="11"/>
  <c r="U655" i="11"/>
  <c r="T655" i="11"/>
  <c r="S655" i="11"/>
  <c r="U656" i="11"/>
  <c r="T656" i="11"/>
  <c r="S656" i="11"/>
  <c r="U657" i="11"/>
  <c r="T657" i="11"/>
  <c r="S657" i="11"/>
  <c r="U958" i="11"/>
  <c r="T958" i="11"/>
  <c r="S958" i="11"/>
  <c r="U957" i="11"/>
  <c r="T957" i="11"/>
  <c r="S957" i="11"/>
  <c r="U956" i="11"/>
  <c r="T956" i="11"/>
  <c r="S956" i="11"/>
  <c r="U955" i="11"/>
  <c r="T955" i="11"/>
  <c r="S955" i="11"/>
  <c r="U954" i="11"/>
  <c r="T954" i="11"/>
  <c r="S954" i="11"/>
  <c r="U952" i="11"/>
  <c r="T952" i="11"/>
  <c r="S952" i="11"/>
  <c r="U951" i="11"/>
  <c r="T951" i="11"/>
  <c r="S951" i="11"/>
  <c r="U950" i="11"/>
  <c r="T950" i="11"/>
  <c r="S950" i="11"/>
  <c r="U949" i="11"/>
  <c r="T949" i="11"/>
  <c r="S949" i="11"/>
  <c r="U947" i="11"/>
  <c r="T947" i="11"/>
  <c r="S947" i="11"/>
  <c r="U946" i="11"/>
  <c r="T946" i="11"/>
  <c r="S946" i="11"/>
  <c r="U945" i="11"/>
  <c r="T945" i="11"/>
  <c r="S945" i="11"/>
  <c r="U944" i="11"/>
  <c r="T944" i="11"/>
  <c r="S944" i="11"/>
  <c r="U943" i="11"/>
  <c r="T943" i="11"/>
  <c r="S943" i="11"/>
  <c r="U942" i="11"/>
  <c r="T942" i="11"/>
  <c r="S942" i="11"/>
  <c r="U939" i="11"/>
  <c r="T939" i="11"/>
  <c r="S939" i="11"/>
  <c r="U938" i="11"/>
  <c r="T938" i="11"/>
  <c r="S938" i="11"/>
  <c r="U936" i="11"/>
  <c r="T936" i="11"/>
  <c r="S936" i="11"/>
  <c r="U935" i="11"/>
  <c r="T935" i="11"/>
  <c r="S935" i="11"/>
  <c r="U930" i="11"/>
  <c r="T930" i="11"/>
  <c r="S930" i="11"/>
  <c r="U934" i="11"/>
  <c r="T934" i="11"/>
  <c r="S934" i="11"/>
  <c r="U933" i="11"/>
  <c r="T933" i="11"/>
  <c r="S933" i="11"/>
  <c r="U932" i="11"/>
  <c r="T932" i="11"/>
  <c r="S932" i="11"/>
  <c r="U931" i="11"/>
  <c r="T931" i="11"/>
  <c r="S931" i="11"/>
  <c r="U929" i="11"/>
  <c r="T929" i="11"/>
  <c r="S929" i="11"/>
  <c r="U928" i="11"/>
  <c r="T928" i="11"/>
  <c r="S928" i="11"/>
  <c r="U927" i="11"/>
  <c r="T927" i="11"/>
  <c r="S927" i="11"/>
  <c r="U926" i="11"/>
  <c r="T926" i="11"/>
  <c r="S926" i="11"/>
  <c r="U925" i="11"/>
  <c r="T925" i="11"/>
  <c r="S925" i="11"/>
  <c r="U924" i="11"/>
  <c r="T924" i="11"/>
  <c r="S924" i="11"/>
  <c r="U923" i="11"/>
  <c r="T923" i="11"/>
  <c r="S923" i="11"/>
  <c r="U922" i="11"/>
  <c r="T922" i="11"/>
  <c r="S922" i="11"/>
  <c r="U921" i="11"/>
  <c r="T921" i="11"/>
  <c r="S921" i="11"/>
  <c r="U920" i="11"/>
  <c r="T920" i="11"/>
  <c r="S920" i="11"/>
  <c r="U919" i="11"/>
  <c r="T919" i="11"/>
  <c r="S919" i="11"/>
  <c r="U918" i="11"/>
  <c r="T918" i="11"/>
  <c r="S918" i="11"/>
  <c r="U917" i="11"/>
  <c r="T917" i="11"/>
  <c r="S917" i="11"/>
  <c r="U916" i="11"/>
  <c r="T916" i="11"/>
  <c r="S916" i="11"/>
  <c r="U915" i="11"/>
  <c r="T915" i="11"/>
  <c r="S915" i="11"/>
  <c r="U914" i="11"/>
  <c r="T914" i="11"/>
  <c r="S914" i="11"/>
  <c r="U913" i="11"/>
  <c r="T913" i="11"/>
  <c r="S913" i="11"/>
  <c r="U912" i="11"/>
  <c r="T912" i="11"/>
  <c r="S912" i="11"/>
  <c r="U911" i="11"/>
  <c r="T911" i="11"/>
  <c r="S911" i="11"/>
  <c r="U908" i="11"/>
  <c r="T908" i="11"/>
  <c r="S908" i="11"/>
  <c r="U903" i="11"/>
  <c r="T903" i="11"/>
  <c r="S903" i="11"/>
  <c r="U900" i="11"/>
  <c r="T900" i="11"/>
  <c r="S900" i="11"/>
  <c r="U875" i="11"/>
  <c r="T875" i="11"/>
  <c r="S875" i="11"/>
  <c r="U884" i="11"/>
  <c r="T884" i="11"/>
  <c r="S884" i="11"/>
  <c r="U852" i="11"/>
  <c r="T852" i="11"/>
  <c r="S852" i="11"/>
  <c r="U899" i="11"/>
  <c r="T899" i="11"/>
  <c r="S899" i="11"/>
  <c r="U898" i="11"/>
  <c r="T898" i="11"/>
  <c r="S898" i="11"/>
  <c r="U897" i="11"/>
  <c r="T897" i="11"/>
  <c r="S897" i="11"/>
  <c r="U896" i="11"/>
  <c r="T896" i="11"/>
  <c r="S896" i="11"/>
  <c r="U895" i="11"/>
  <c r="T895" i="11"/>
  <c r="S895" i="11"/>
  <c r="U894" i="11"/>
  <c r="T894" i="11"/>
  <c r="S894" i="11"/>
  <c r="U893" i="11"/>
  <c r="T893" i="11"/>
  <c r="S893" i="11"/>
  <c r="U892" i="11"/>
  <c r="T892" i="11"/>
  <c r="S892" i="11"/>
  <c r="U891" i="11"/>
  <c r="T891" i="11"/>
  <c r="S891" i="11"/>
  <c r="U890" i="11"/>
  <c r="T890" i="11"/>
  <c r="S890" i="11"/>
  <c r="U889" i="11"/>
  <c r="T889" i="11"/>
  <c r="S889" i="11"/>
  <c r="U888" i="11"/>
  <c r="T888" i="11"/>
  <c r="S888" i="11"/>
  <c r="U887" i="11"/>
  <c r="T887" i="11"/>
  <c r="S887" i="11"/>
  <c r="U886" i="11"/>
  <c r="T886" i="11"/>
  <c r="S886" i="11"/>
  <c r="U885" i="11"/>
  <c r="T885" i="11"/>
  <c r="S885" i="11"/>
  <c r="U883" i="11"/>
  <c r="T883" i="11"/>
  <c r="S883" i="11"/>
  <c r="U882" i="11"/>
  <c r="T882" i="11"/>
  <c r="S882" i="11"/>
  <c r="U881" i="11"/>
  <c r="T881" i="11"/>
  <c r="S881" i="11"/>
  <c r="U880" i="11"/>
  <c r="T880" i="11"/>
  <c r="S880" i="11"/>
  <c r="U879" i="11"/>
  <c r="T879" i="11"/>
  <c r="S879" i="11"/>
  <c r="U878" i="11"/>
  <c r="T878" i="11"/>
  <c r="S878" i="11"/>
  <c r="U877" i="11"/>
  <c r="T877" i="11"/>
  <c r="S877" i="11"/>
  <c r="U876" i="11"/>
  <c r="T876" i="11"/>
  <c r="S876" i="11"/>
  <c r="U874" i="11"/>
  <c r="T874" i="11"/>
  <c r="S874" i="11"/>
  <c r="U873" i="11"/>
  <c r="T873" i="11"/>
  <c r="S873" i="11"/>
  <c r="U872" i="11"/>
  <c r="T872" i="11"/>
  <c r="S872" i="11"/>
  <c r="U871" i="11"/>
  <c r="T871" i="11"/>
  <c r="S871" i="11"/>
  <c r="U870" i="11"/>
  <c r="T870" i="11"/>
  <c r="S870" i="11"/>
  <c r="U869" i="11"/>
  <c r="T869" i="11"/>
  <c r="S869" i="11"/>
  <c r="U868" i="11"/>
  <c r="T868" i="11"/>
  <c r="S868" i="11"/>
  <c r="U867" i="11"/>
  <c r="T867" i="11"/>
  <c r="S867" i="11"/>
  <c r="U866" i="11"/>
  <c r="T866" i="11"/>
  <c r="S866" i="11"/>
  <c r="U865" i="11"/>
  <c r="T865" i="11"/>
  <c r="S865" i="11"/>
  <c r="U864" i="11"/>
  <c r="T864" i="11"/>
  <c r="S864" i="11"/>
  <c r="U863" i="11"/>
  <c r="T863" i="11"/>
  <c r="S863" i="11"/>
  <c r="U862" i="11"/>
  <c r="T862" i="11"/>
  <c r="S862" i="11"/>
  <c r="U861" i="11"/>
  <c r="T861" i="11"/>
  <c r="S861" i="11"/>
  <c r="U860" i="11"/>
  <c r="T860" i="11"/>
  <c r="S860" i="11"/>
  <c r="U859" i="11"/>
  <c r="T859" i="11"/>
  <c r="S859" i="11"/>
  <c r="U858" i="11"/>
  <c r="T858" i="11"/>
  <c r="S858" i="11"/>
  <c r="U857" i="11"/>
  <c r="T857" i="11"/>
  <c r="S857" i="11"/>
  <c r="U856" i="11"/>
  <c r="T856" i="11"/>
  <c r="S856" i="11"/>
  <c r="U855" i="11"/>
  <c r="T855" i="11"/>
  <c r="S855" i="11"/>
  <c r="U854" i="11"/>
  <c r="T854" i="11"/>
  <c r="S854" i="11"/>
  <c r="U853" i="11"/>
  <c r="T853" i="11"/>
  <c r="S853" i="11"/>
  <c r="U652" i="11"/>
  <c r="T652" i="11"/>
  <c r="S652" i="11"/>
  <c r="U650" i="11"/>
  <c r="T650" i="11"/>
  <c r="S650" i="11"/>
  <c r="U647" i="11"/>
  <c r="T647" i="11"/>
  <c r="S647" i="11"/>
  <c r="U646" i="11"/>
  <c r="T646" i="11"/>
  <c r="S646" i="11"/>
  <c r="U645" i="11"/>
  <c r="T645" i="11"/>
  <c r="S645" i="11"/>
  <c r="U644" i="11"/>
  <c r="T644" i="11"/>
  <c r="S644" i="11"/>
  <c r="U642" i="11"/>
  <c r="T642" i="11"/>
  <c r="S642" i="11"/>
  <c r="U641" i="11"/>
  <c r="T641" i="11"/>
  <c r="S641" i="11"/>
  <c r="U640" i="11"/>
  <c r="T640" i="11"/>
  <c r="S640" i="11"/>
  <c r="U639" i="11"/>
  <c r="T639" i="11"/>
  <c r="S639" i="11"/>
  <c r="U638" i="11"/>
  <c r="T638" i="11"/>
  <c r="S638" i="11"/>
  <c r="U637" i="11"/>
  <c r="T637" i="11"/>
  <c r="S637" i="11"/>
  <c r="U635" i="11"/>
  <c r="T635" i="11"/>
  <c r="S635" i="11"/>
  <c r="U634" i="11"/>
  <c r="T634" i="11"/>
  <c r="S634" i="11"/>
  <c r="U633" i="11"/>
  <c r="T633" i="11"/>
  <c r="S633" i="11"/>
  <c r="U631" i="11"/>
  <c r="T631" i="11"/>
  <c r="S631" i="11"/>
  <c r="U630" i="11"/>
  <c r="T630" i="11"/>
  <c r="S630" i="11"/>
  <c r="U629" i="11"/>
  <c r="T629" i="11"/>
  <c r="S629" i="11"/>
  <c r="U627" i="11"/>
  <c r="T627" i="11"/>
  <c r="S627" i="11"/>
  <c r="U624" i="11"/>
  <c r="T624" i="11"/>
  <c r="S624" i="11"/>
  <c r="U625" i="11"/>
  <c r="T625" i="11"/>
  <c r="S625" i="11"/>
  <c r="U623" i="11"/>
  <c r="T623" i="11"/>
  <c r="S623" i="11"/>
  <c r="U622" i="11"/>
  <c r="T622" i="11"/>
  <c r="S622" i="11"/>
  <c r="U621" i="11"/>
  <c r="T621" i="11"/>
  <c r="S621" i="11"/>
  <c r="U619" i="11"/>
  <c r="T619" i="11"/>
  <c r="S619" i="11"/>
  <c r="U618" i="11"/>
  <c r="T618" i="11"/>
  <c r="S618" i="11"/>
  <c r="U615" i="11"/>
  <c r="T615" i="11"/>
  <c r="S615" i="11"/>
  <c r="U614" i="11"/>
  <c r="T614" i="11"/>
  <c r="S614" i="11"/>
  <c r="U613" i="11"/>
  <c r="T613" i="11"/>
  <c r="S613" i="11"/>
  <c r="U612" i="11"/>
  <c r="T612" i="11"/>
  <c r="S612" i="11"/>
  <c r="U610" i="11"/>
  <c r="T610" i="11"/>
  <c r="S610" i="11"/>
  <c r="U609" i="11"/>
  <c r="T609" i="11"/>
  <c r="S609" i="11"/>
  <c r="U608" i="11"/>
  <c r="T608" i="11"/>
  <c r="S608" i="11"/>
  <c r="U607" i="11"/>
  <c r="T607" i="11"/>
  <c r="S607" i="11"/>
  <c r="U606" i="11"/>
  <c r="T606" i="11"/>
  <c r="S606" i="11"/>
  <c r="U605" i="11"/>
  <c r="T605" i="11"/>
  <c r="S605" i="11"/>
  <c r="U604" i="11"/>
  <c r="T604" i="11"/>
  <c r="S604" i="11"/>
  <c r="U603" i="11"/>
  <c r="T603" i="11"/>
  <c r="S603" i="11"/>
  <c r="U600" i="11"/>
  <c r="T600" i="11"/>
  <c r="S600" i="11"/>
  <c r="U598" i="11"/>
  <c r="T598" i="11"/>
  <c r="S598" i="11"/>
  <c r="U595" i="11"/>
  <c r="T595" i="11"/>
  <c r="S595" i="11"/>
  <c r="U649" i="11"/>
  <c r="T649" i="11"/>
  <c r="S649" i="11"/>
  <c r="U636" i="11"/>
  <c r="T636" i="11"/>
  <c r="S636" i="11"/>
  <c r="U602" i="11"/>
  <c r="T602" i="11"/>
  <c r="S602" i="11"/>
  <c r="U643" i="11"/>
  <c r="T643" i="11"/>
  <c r="S643" i="11"/>
  <c r="U632" i="11"/>
  <c r="T632" i="11"/>
  <c r="S632" i="11"/>
  <c r="U599" i="11"/>
  <c r="T599" i="11"/>
  <c r="S599" i="11"/>
  <c r="U653" i="11"/>
  <c r="T653" i="11"/>
  <c r="S653" i="11"/>
  <c r="U651" i="11"/>
  <c r="T651" i="11"/>
  <c r="S651" i="11"/>
  <c r="U648" i="11"/>
  <c r="T648" i="11"/>
  <c r="S648" i="11"/>
  <c r="U628" i="11"/>
  <c r="T628" i="11"/>
  <c r="S628" i="11"/>
  <c r="U601" i="11"/>
  <c r="T601" i="11"/>
  <c r="S601" i="11"/>
  <c r="U834" i="11"/>
  <c r="T834" i="11"/>
  <c r="S834" i="11"/>
  <c r="U850" i="11"/>
  <c r="T850" i="11"/>
  <c r="S850" i="11"/>
  <c r="U851" i="11"/>
  <c r="T851" i="11"/>
  <c r="S851" i="11"/>
  <c r="U849" i="11"/>
  <c r="T849" i="11"/>
  <c r="S849" i="11"/>
  <c r="U848" i="11"/>
  <c r="T848" i="11"/>
  <c r="S848" i="11"/>
  <c r="U847" i="11"/>
  <c r="T847" i="11"/>
  <c r="S847" i="11"/>
  <c r="U846" i="11"/>
  <c r="T846" i="11"/>
  <c r="S846" i="11"/>
  <c r="U845" i="11"/>
  <c r="T845" i="11"/>
  <c r="S845" i="11"/>
  <c r="U844" i="11"/>
  <c r="T844" i="11"/>
  <c r="S844" i="11"/>
  <c r="U843" i="11"/>
  <c r="T843" i="11"/>
  <c r="S843" i="11"/>
  <c r="U842" i="11"/>
  <c r="T842" i="11"/>
  <c r="S842" i="11"/>
  <c r="U841" i="11"/>
  <c r="T841" i="11"/>
  <c r="S841" i="11"/>
  <c r="U840" i="11"/>
  <c r="T840" i="11"/>
  <c r="S840" i="11"/>
  <c r="U839" i="11"/>
  <c r="T839" i="11"/>
  <c r="S839" i="11"/>
  <c r="U838" i="11"/>
  <c r="T838" i="11"/>
  <c r="S838" i="11"/>
  <c r="U837" i="11"/>
  <c r="T837" i="11"/>
  <c r="S837" i="11"/>
  <c r="U836" i="11"/>
  <c r="T836" i="11"/>
  <c r="S836" i="11"/>
  <c r="U835" i="11"/>
  <c r="T835" i="11"/>
  <c r="S835" i="11"/>
  <c r="U833" i="11"/>
  <c r="T833" i="11"/>
  <c r="S833" i="11"/>
  <c r="U832" i="11"/>
  <c r="T832" i="11"/>
  <c r="S832" i="11"/>
  <c r="U831" i="11"/>
  <c r="T831" i="11"/>
  <c r="S831" i="11"/>
  <c r="U830" i="11"/>
  <c r="T830" i="11"/>
  <c r="S830" i="11"/>
  <c r="U829" i="11"/>
  <c r="T829" i="11"/>
  <c r="S829" i="11"/>
  <c r="U828" i="11"/>
  <c r="T828" i="11"/>
  <c r="S828" i="11"/>
  <c r="U827" i="11"/>
  <c r="T827" i="11"/>
  <c r="S827" i="11"/>
  <c r="U826" i="11"/>
  <c r="T826" i="11"/>
  <c r="S826" i="11"/>
  <c r="U825" i="11"/>
  <c r="T825" i="11"/>
  <c r="S825" i="11"/>
  <c r="U824" i="11"/>
  <c r="T824" i="11"/>
  <c r="S824" i="11"/>
  <c r="U823" i="11"/>
  <c r="T823" i="11"/>
  <c r="S823" i="11"/>
  <c r="U821" i="11"/>
  <c r="T821" i="11"/>
  <c r="S821" i="11"/>
  <c r="U822" i="11"/>
  <c r="T822" i="11"/>
  <c r="S822" i="11"/>
  <c r="U820" i="11"/>
  <c r="T820" i="11"/>
  <c r="S820" i="11"/>
  <c r="U819" i="11"/>
  <c r="T819" i="11"/>
  <c r="S819" i="11"/>
  <c r="U818" i="11"/>
  <c r="T818" i="11"/>
  <c r="S818" i="11"/>
  <c r="U817" i="11"/>
  <c r="T817" i="11"/>
  <c r="S817" i="11"/>
  <c r="U816" i="11"/>
  <c r="T816" i="11"/>
  <c r="S816" i="11"/>
  <c r="U810" i="11"/>
  <c r="T810" i="11"/>
  <c r="S810" i="11"/>
  <c r="U803" i="11"/>
  <c r="T803" i="11"/>
  <c r="S803" i="11"/>
  <c r="U796" i="11"/>
  <c r="T796" i="11"/>
  <c r="S796" i="11"/>
  <c r="U794" i="11"/>
  <c r="T794" i="11"/>
  <c r="S794" i="11"/>
  <c r="U793" i="11"/>
  <c r="T793" i="11"/>
  <c r="S793" i="11"/>
  <c r="U792" i="11"/>
  <c r="T792" i="11"/>
  <c r="S792" i="11"/>
  <c r="U789" i="11"/>
  <c r="T789" i="11"/>
  <c r="S789" i="11"/>
  <c r="U788" i="11"/>
  <c r="T788" i="11"/>
  <c r="S788" i="11"/>
  <c r="U787" i="11"/>
  <c r="T787" i="11"/>
  <c r="S787" i="11"/>
  <c r="U784" i="11"/>
  <c r="T784" i="11"/>
  <c r="S784" i="11"/>
  <c r="U783" i="11"/>
  <c r="T783" i="11"/>
  <c r="S783" i="11"/>
  <c r="U782" i="11"/>
  <c r="T782" i="11"/>
  <c r="S782" i="11"/>
  <c r="U781" i="11"/>
  <c r="T781" i="11"/>
  <c r="S781" i="11"/>
  <c r="U780" i="11"/>
  <c r="T780" i="11"/>
  <c r="S780" i="11"/>
  <c r="U779" i="11"/>
  <c r="T779" i="11"/>
  <c r="S779" i="11"/>
  <c r="U778" i="11"/>
  <c r="T778" i="11"/>
  <c r="S778" i="11"/>
  <c r="U775" i="11"/>
  <c r="T775" i="11"/>
  <c r="S775" i="11"/>
  <c r="U774" i="11"/>
  <c r="T774" i="11"/>
  <c r="S774" i="11"/>
  <c r="U773" i="11"/>
  <c r="T773" i="11"/>
  <c r="S773" i="11"/>
  <c r="U772" i="11"/>
  <c r="T772" i="11"/>
  <c r="S772" i="11"/>
  <c r="U769" i="11"/>
  <c r="T769" i="11"/>
  <c r="S769" i="11"/>
  <c r="U767" i="11"/>
  <c r="T767" i="11"/>
  <c r="S767" i="11"/>
  <c r="U770" i="11"/>
  <c r="T770" i="11"/>
  <c r="S770" i="11"/>
  <c r="U765" i="11"/>
  <c r="T765" i="11"/>
  <c r="S765" i="11"/>
  <c r="U761" i="11"/>
  <c r="T761" i="11"/>
  <c r="S761" i="11"/>
  <c r="U744" i="11"/>
  <c r="T744" i="11"/>
  <c r="S744" i="11"/>
  <c r="U763" i="11"/>
  <c r="T763" i="11"/>
  <c r="S763" i="11"/>
  <c r="U762" i="11"/>
  <c r="T762" i="11"/>
  <c r="S762" i="11"/>
  <c r="U760" i="11"/>
  <c r="T760" i="11"/>
  <c r="S760" i="11"/>
  <c r="U759" i="11"/>
  <c r="T759" i="11"/>
  <c r="S759" i="11"/>
  <c r="U758" i="11"/>
  <c r="T758" i="11"/>
  <c r="S758" i="11"/>
  <c r="U757" i="11"/>
  <c r="T757" i="11"/>
  <c r="S757" i="11"/>
  <c r="U756" i="11"/>
  <c r="T756" i="11"/>
  <c r="S756" i="11"/>
  <c r="U753" i="11"/>
  <c r="T753" i="11"/>
  <c r="S753" i="11"/>
  <c r="U752" i="11"/>
  <c r="T752" i="11"/>
  <c r="S752" i="11"/>
  <c r="U751" i="11"/>
  <c r="T751" i="11"/>
  <c r="S751" i="11"/>
  <c r="U750" i="11"/>
  <c r="T750" i="11"/>
  <c r="S750" i="11"/>
  <c r="U746" i="11"/>
  <c r="T746" i="11"/>
  <c r="S746" i="11"/>
  <c r="U743" i="11"/>
  <c r="T743" i="11"/>
  <c r="S743" i="11"/>
  <c r="U741" i="11"/>
  <c r="T741" i="11"/>
  <c r="S741" i="11"/>
  <c r="U740" i="11"/>
  <c r="T740" i="11"/>
  <c r="S740" i="11"/>
  <c r="U738" i="11"/>
  <c r="T738" i="11"/>
  <c r="S738" i="11"/>
  <c r="U737" i="11"/>
  <c r="T737" i="11"/>
  <c r="S737" i="11"/>
  <c r="U736" i="11"/>
  <c r="T736" i="11"/>
  <c r="S736" i="11"/>
  <c r="U735" i="11"/>
  <c r="T735" i="11"/>
  <c r="S735" i="11"/>
  <c r="U739" i="11"/>
  <c r="T739" i="11"/>
  <c r="S739" i="11"/>
  <c r="U734" i="11"/>
  <c r="T734" i="11"/>
  <c r="S734" i="11"/>
  <c r="U733" i="11"/>
  <c r="T733" i="11"/>
  <c r="S733" i="11"/>
  <c r="U731" i="11"/>
  <c r="T731" i="11"/>
  <c r="S731" i="11"/>
  <c r="U722" i="11"/>
  <c r="T722" i="11"/>
  <c r="S722" i="11"/>
  <c r="U728" i="11"/>
  <c r="T728" i="11"/>
  <c r="S728" i="11"/>
  <c r="U730" i="11"/>
  <c r="T730" i="11"/>
  <c r="S730" i="11"/>
  <c r="U729" i="11"/>
  <c r="T729" i="11"/>
  <c r="S729" i="11"/>
  <c r="U727" i="11"/>
  <c r="T727" i="11"/>
  <c r="S727" i="11"/>
  <c r="U726" i="11"/>
  <c r="T726" i="11"/>
  <c r="S726" i="11"/>
  <c r="U725" i="11"/>
  <c r="T725" i="11"/>
  <c r="S725" i="11"/>
  <c r="U724" i="11"/>
  <c r="T724" i="11"/>
  <c r="S724" i="11"/>
  <c r="U723" i="11"/>
  <c r="T723" i="11"/>
  <c r="S723" i="11"/>
  <c r="U721" i="11"/>
  <c r="T721" i="11"/>
  <c r="S721" i="11"/>
  <c r="U720" i="11"/>
  <c r="T720" i="11"/>
  <c r="S720" i="11"/>
  <c r="U574" i="11"/>
  <c r="T574" i="11"/>
  <c r="S574" i="11"/>
  <c r="U594" i="11"/>
  <c r="T594" i="11"/>
  <c r="S594" i="11"/>
  <c r="U592" i="11"/>
  <c r="T592" i="11"/>
  <c r="S592" i="11"/>
  <c r="U588" i="11"/>
  <c r="T588" i="11"/>
  <c r="S588" i="11"/>
  <c r="U587" i="11"/>
  <c r="T587" i="11"/>
  <c r="S587" i="11"/>
  <c r="U586" i="11"/>
  <c r="T586" i="11"/>
  <c r="S586" i="11"/>
  <c r="U585" i="11"/>
  <c r="T585" i="11"/>
  <c r="S585" i="11"/>
  <c r="U584" i="11"/>
  <c r="T584" i="11"/>
  <c r="S584" i="11"/>
  <c r="U583" i="11"/>
  <c r="T583" i="11"/>
  <c r="S583" i="11"/>
  <c r="U582" i="11"/>
  <c r="T582" i="11"/>
  <c r="S582" i="11"/>
  <c r="U578" i="11"/>
  <c r="T578" i="11"/>
  <c r="S578" i="11"/>
  <c r="U575" i="11"/>
  <c r="T575" i="11"/>
  <c r="S575" i="11"/>
  <c r="U573" i="11"/>
  <c r="T573" i="11"/>
  <c r="S573" i="11"/>
  <c r="U571" i="11"/>
  <c r="T571" i="11"/>
  <c r="S571" i="11"/>
  <c r="U570" i="11"/>
  <c r="T570" i="11"/>
  <c r="S570" i="11"/>
  <c r="U715" i="11"/>
  <c r="T715" i="11"/>
  <c r="S715" i="11"/>
  <c r="U714" i="11"/>
  <c r="T714" i="11"/>
  <c r="S714" i="11"/>
  <c r="U708" i="11"/>
  <c r="T708" i="11"/>
  <c r="S708" i="11"/>
  <c r="U706" i="11"/>
  <c r="T706" i="11"/>
  <c r="S706" i="11"/>
  <c r="U536" i="11"/>
  <c r="T536" i="11"/>
  <c r="S536" i="11"/>
  <c r="U568" i="11"/>
  <c r="T568" i="11"/>
  <c r="S568" i="11"/>
  <c r="T566" i="11"/>
  <c r="S566" i="11"/>
  <c r="T565" i="11"/>
  <c r="S565" i="11"/>
  <c r="T561" i="11"/>
  <c r="S561" i="11"/>
  <c r="U558" i="11"/>
  <c r="T558" i="11"/>
  <c r="S558" i="11"/>
  <c r="U557" i="11"/>
  <c r="T557" i="11"/>
  <c r="S557" i="11"/>
  <c r="U556" i="11"/>
  <c r="T556" i="11"/>
  <c r="S556" i="11"/>
  <c r="U555" i="11"/>
  <c r="T555" i="11"/>
  <c r="S555" i="11"/>
  <c r="U552" i="11"/>
  <c r="T552" i="11"/>
  <c r="S552" i="11"/>
  <c r="U551" i="11"/>
  <c r="T551" i="11"/>
  <c r="S551" i="11"/>
  <c r="U550" i="11"/>
  <c r="T550" i="11"/>
  <c r="S550" i="11"/>
  <c r="U549" i="11"/>
  <c r="T549" i="11"/>
  <c r="S549" i="11"/>
  <c r="U547" i="11"/>
  <c r="T547" i="11"/>
  <c r="S547" i="11"/>
  <c r="T545" i="11"/>
  <c r="S545" i="11"/>
  <c r="U541" i="11"/>
  <c r="T541" i="11"/>
  <c r="S541" i="11"/>
  <c r="U539" i="11"/>
  <c r="T539" i="11"/>
  <c r="S539" i="11"/>
  <c r="U535" i="11"/>
  <c r="T535" i="11"/>
  <c r="S535" i="11"/>
  <c r="U534" i="11"/>
  <c r="T534" i="11"/>
  <c r="S534" i="11"/>
  <c r="U533" i="11"/>
  <c r="T533" i="11"/>
  <c r="S533" i="11"/>
  <c r="U532" i="11"/>
  <c r="T532" i="11"/>
  <c r="S532" i="11"/>
  <c r="U531" i="11"/>
  <c r="T531" i="11"/>
  <c r="S531" i="11"/>
  <c r="U530" i="11"/>
  <c r="T530" i="11"/>
  <c r="S530" i="11"/>
  <c r="U529" i="11"/>
  <c r="T529" i="11"/>
  <c r="S529" i="11"/>
  <c r="U528" i="11"/>
  <c r="T528" i="11"/>
  <c r="S528" i="11"/>
  <c r="U524" i="11"/>
  <c r="T524" i="11"/>
  <c r="S524" i="11"/>
  <c r="U522" i="11"/>
  <c r="T522" i="11"/>
  <c r="S522" i="11"/>
  <c r="U521" i="11"/>
  <c r="T521" i="11"/>
  <c r="S521" i="11"/>
  <c r="U679" i="11"/>
  <c r="T679" i="11"/>
  <c r="S679" i="11"/>
  <c r="U701" i="11"/>
  <c r="T701" i="11"/>
  <c r="S701" i="11"/>
  <c r="U700" i="11"/>
  <c r="T700" i="11"/>
  <c r="S700" i="11"/>
  <c r="U699" i="11"/>
  <c r="T699" i="11"/>
  <c r="S699" i="11"/>
  <c r="U697" i="11"/>
  <c r="T697" i="11"/>
  <c r="S697" i="11"/>
  <c r="U696" i="11"/>
  <c r="T696" i="11"/>
  <c r="S696" i="11"/>
  <c r="U695" i="11"/>
  <c r="T695" i="11"/>
  <c r="S695" i="11"/>
  <c r="U694" i="11"/>
  <c r="T694" i="11"/>
  <c r="S694" i="11"/>
  <c r="U693" i="11"/>
  <c r="T693" i="11"/>
  <c r="S693" i="11"/>
  <c r="U692" i="11"/>
  <c r="T692" i="11"/>
  <c r="S692" i="11"/>
  <c r="U691" i="11"/>
  <c r="T691" i="11"/>
  <c r="S691" i="11"/>
  <c r="U690" i="11"/>
  <c r="T690" i="11"/>
  <c r="S690" i="11"/>
  <c r="U689" i="11"/>
  <c r="T689" i="11"/>
  <c r="S689" i="11"/>
  <c r="U688" i="11"/>
  <c r="T688" i="11"/>
  <c r="S688" i="11"/>
  <c r="U687" i="11"/>
  <c r="T687" i="11"/>
  <c r="S687" i="11"/>
  <c r="U686" i="11"/>
  <c r="T686" i="11"/>
  <c r="S686" i="11"/>
  <c r="U685" i="11"/>
  <c r="T685" i="11"/>
  <c r="S685" i="11"/>
  <c r="U682" i="11"/>
  <c r="T682" i="11"/>
  <c r="S682" i="11"/>
  <c r="U678" i="11"/>
  <c r="T678" i="11"/>
  <c r="S678" i="11"/>
  <c r="U677" i="11"/>
  <c r="T677" i="11"/>
  <c r="S677" i="11"/>
  <c r="U676" i="11"/>
  <c r="T676" i="11"/>
  <c r="S676" i="11"/>
  <c r="U674" i="11"/>
  <c r="T674" i="11"/>
  <c r="S674" i="11"/>
  <c r="U671" i="11"/>
  <c r="T671" i="11"/>
  <c r="S671" i="11"/>
  <c r="U670" i="11"/>
  <c r="T670" i="11"/>
  <c r="S670" i="11"/>
  <c r="U668" i="11"/>
  <c r="T668" i="11"/>
  <c r="S668" i="11"/>
  <c r="U665" i="11"/>
  <c r="T665" i="11"/>
  <c r="S665" i="11"/>
  <c r="U516" i="11"/>
  <c r="T516" i="11"/>
  <c r="S516" i="11"/>
  <c r="U515" i="11"/>
  <c r="T515" i="11"/>
  <c r="S515" i="11"/>
  <c r="U513" i="11"/>
  <c r="T513" i="11"/>
  <c r="S513" i="11"/>
  <c r="U512" i="11"/>
  <c r="T512" i="11"/>
  <c r="S512" i="11"/>
  <c r="U510" i="11"/>
  <c r="T510" i="11"/>
  <c r="S510" i="11"/>
  <c r="U507" i="11"/>
  <c r="T507" i="11"/>
  <c r="S507" i="11"/>
  <c r="U506" i="11"/>
  <c r="T506" i="11"/>
  <c r="S506" i="11"/>
  <c r="U504" i="11"/>
  <c r="T504" i="11"/>
  <c r="S504" i="11"/>
  <c r="U503" i="11"/>
  <c r="T503" i="11"/>
  <c r="S503" i="11"/>
  <c r="U502" i="11"/>
  <c r="T502" i="11"/>
  <c r="S502" i="11"/>
  <c r="U501" i="11"/>
  <c r="T501" i="11"/>
  <c r="S501" i="11"/>
  <c r="U499" i="11"/>
  <c r="T499" i="11"/>
  <c r="S499" i="11"/>
  <c r="U497" i="11"/>
  <c r="T497" i="11"/>
  <c r="S497" i="11"/>
  <c r="U493" i="11"/>
  <c r="T493" i="11"/>
  <c r="S493" i="11"/>
  <c r="U492" i="11"/>
  <c r="T492" i="11"/>
  <c r="S492" i="11"/>
  <c r="U489" i="11"/>
  <c r="T489" i="11"/>
  <c r="S489" i="11"/>
  <c r="U488" i="11"/>
  <c r="T488" i="11"/>
  <c r="S488" i="11"/>
  <c r="U487" i="11"/>
  <c r="T487" i="11"/>
  <c r="S487" i="11"/>
  <c r="U486" i="11"/>
  <c r="T486" i="11"/>
  <c r="S486" i="11"/>
  <c r="U485" i="11"/>
  <c r="T485" i="11"/>
  <c r="S485" i="11"/>
  <c r="U484" i="11"/>
  <c r="T484" i="11"/>
  <c r="S484" i="11"/>
  <c r="U483" i="11"/>
  <c r="T483" i="11"/>
  <c r="S483" i="11"/>
  <c r="U480" i="11"/>
  <c r="T480" i="11"/>
  <c r="S480" i="11"/>
  <c r="U479" i="11"/>
  <c r="T479" i="11"/>
  <c r="S479" i="11"/>
  <c r="U474" i="11"/>
  <c r="T474" i="11"/>
  <c r="S474" i="11"/>
  <c r="U473" i="11"/>
  <c r="T473" i="11"/>
  <c r="S473" i="11"/>
  <c r="U472" i="11"/>
  <c r="T472" i="11"/>
  <c r="S472" i="11"/>
  <c r="U471" i="11"/>
  <c r="T471" i="11"/>
  <c r="S471" i="11"/>
  <c r="U470" i="11"/>
  <c r="T470" i="11"/>
  <c r="S470" i="11"/>
  <c r="U469" i="11"/>
  <c r="T469" i="11"/>
  <c r="S469" i="11"/>
  <c r="U468" i="11"/>
  <c r="T468" i="11"/>
  <c r="S468" i="11"/>
  <c r="U467" i="11"/>
  <c r="T467" i="11"/>
  <c r="S467" i="11"/>
  <c r="U466" i="11"/>
  <c r="T466" i="11"/>
  <c r="S466" i="11"/>
  <c r="U465" i="11"/>
  <c r="T465" i="11"/>
  <c r="S465" i="11"/>
  <c r="U464" i="11"/>
  <c r="T464" i="11"/>
  <c r="S464" i="11"/>
  <c r="U463" i="11"/>
  <c r="T463" i="11"/>
  <c r="S463" i="11"/>
  <c r="U462" i="11"/>
  <c r="T462" i="11"/>
  <c r="S462" i="11"/>
  <c r="U461" i="11"/>
  <c r="T461" i="11"/>
  <c r="S461" i="11"/>
  <c r="U441" i="11"/>
  <c r="T441" i="11"/>
  <c r="S441" i="11"/>
  <c r="U440" i="11"/>
  <c r="T440" i="11"/>
  <c r="S440" i="11"/>
  <c r="U438" i="11"/>
  <c r="T438" i="11"/>
  <c r="S438" i="11"/>
  <c r="U436" i="11"/>
  <c r="T436" i="11"/>
  <c r="S436" i="11"/>
  <c r="U435" i="11"/>
  <c r="T435" i="11"/>
  <c r="S435" i="11"/>
  <c r="U434" i="11"/>
  <c r="T434" i="11"/>
  <c r="S434" i="11"/>
  <c r="U432" i="11"/>
  <c r="T432" i="11"/>
  <c r="S432" i="11"/>
  <c r="U430" i="11"/>
  <c r="T430" i="11"/>
  <c r="S430" i="11"/>
  <c r="U428" i="11"/>
  <c r="T428" i="11"/>
  <c r="S428" i="11"/>
  <c r="U425" i="11"/>
  <c r="T425" i="11"/>
  <c r="S425" i="11"/>
  <c r="U424" i="11"/>
  <c r="T424" i="11"/>
  <c r="S424" i="11"/>
  <c r="U423" i="11"/>
  <c r="T423" i="11"/>
  <c r="S423" i="11"/>
  <c r="U420" i="11"/>
  <c r="T420" i="11"/>
  <c r="S420" i="11"/>
  <c r="U419" i="11"/>
  <c r="T419" i="11"/>
  <c r="S419" i="11"/>
  <c r="U416" i="11"/>
  <c r="T416" i="11"/>
  <c r="S416" i="11"/>
  <c r="U415" i="11"/>
  <c r="T415" i="11"/>
  <c r="S415" i="11"/>
  <c r="U414" i="11"/>
  <c r="T414" i="11"/>
  <c r="S414" i="11"/>
  <c r="U413" i="11"/>
  <c r="T413" i="11"/>
  <c r="S413" i="11"/>
  <c r="U412" i="11"/>
  <c r="T412" i="11"/>
  <c r="S412" i="11"/>
  <c r="U411" i="11"/>
  <c r="T411" i="11"/>
  <c r="S411" i="11"/>
  <c r="U410" i="11"/>
  <c r="T410" i="11"/>
  <c r="S410" i="11"/>
  <c r="U409" i="11"/>
  <c r="T409" i="11"/>
  <c r="S409" i="11"/>
  <c r="U408" i="11"/>
  <c r="T408" i="11"/>
  <c r="S408" i="11"/>
  <c r="U407" i="11"/>
  <c r="T407" i="11"/>
  <c r="S407" i="11"/>
  <c r="S2859" i="11"/>
  <c r="V3101" i="11"/>
  <c r="U3103" i="11"/>
  <c r="U3102" i="11"/>
  <c r="U3101" i="11"/>
  <c r="U3100" i="11"/>
  <c r="U3099" i="11"/>
  <c r="U3098" i="11"/>
  <c r="U3097" i="11"/>
  <c r="U3096" i="11"/>
  <c r="U3095" i="11"/>
  <c r="U3094" i="11"/>
  <c r="U3093" i="11"/>
  <c r="U3092" i="11"/>
  <c r="U3091" i="11"/>
  <c r="U3090" i="11"/>
  <c r="U3089" i="11"/>
  <c r="U3088" i="11"/>
  <c r="U3068" i="11"/>
  <c r="U3087" i="11"/>
  <c r="U3079" i="11"/>
  <c r="U3081" i="11"/>
  <c r="U3078" i="11"/>
  <c r="U3077" i="11"/>
  <c r="U3076" i="11"/>
  <c r="U3075" i="11"/>
  <c r="U3066" i="11"/>
  <c r="U3064" i="11"/>
  <c r="U3063" i="11"/>
  <c r="U3055" i="11"/>
  <c r="U3062" i="11"/>
  <c r="U3061" i="11"/>
  <c r="U3059" i="11"/>
  <c r="U3058" i="11"/>
  <c r="U3057" i="11"/>
  <c r="U3056" i="11"/>
  <c r="U3054" i="11"/>
  <c r="U3053" i="11"/>
  <c r="U3051" i="11"/>
  <c r="U3050" i="11"/>
  <c r="U3049" i="11"/>
  <c r="U3048" i="11"/>
  <c r="U3047" i="11"/>
  <c r="U3040" i="11"/>
  <c r="U3031" i="11"/>
  <c r="U3045" i="11"/>
  <c r="U3044" i="11"/>
  <c r="U3043" i="11"/>
  <c r="U3038" i="11"/>
  <c r="U3037" i="11"/>
  <c r="U3036" i="11"/>
  <c r="U3035" i="11"/>
  <c r="U3034" i="11"/>
  <c r="U3033" i="11"/>
  <c r="U3032" i="11"/>
  <c r="U3030" i="11"/>
  <c r="U3029" i="11"/>
  <c r="U3028" i="11"/>
  <c r="U3027" i="11"/>
  <c r="U3024" i="11"/>
  <c r="U3022" i="11"/>
  <c r="U3021" i="11"/>
  <c r="U3020" i="11"/>
  <c r="U3019" i="11"/>
  <c r="U3017" i="11"/>
  <c r="U3009" i="11"/>
  <c r="U3015" i="11"/>
  <c r="U3014" i="11"/>
  <c r="U3013" i="11"/>
  <c r="U3012" i="11"/>
  <c r="U3011" i="11"/>
  <c r="U3010" i="11"/>
  <c r="U3008" i="11"/>
  <c r="U3007" i="11"/>
  <c r="U3016" i="11"/>
  <c r="U3005" i="11"/>
  <c r="U3004" i="11"/>
  <c r="U3003" i="11"/>
  <c r="U3001" i="11"/>
  <c r="U3000" i="11"/>
  <c r="U2998" i="11"/>
  <c r="U2997" i="11"/>
  <c r="U3002" i="11"/>
  <c r="U2988" i="11"/>
  <c r="U2996" i="11"/>
  <c r="U2995" i="11"/>
  <c r="U2994" i="11"/>
  <c r="U2990" i="11"/>
  <c r="U2989" i="11"/>
  <c r="U2987" i="11"/>
  <c r="U2985" i="11"/>
  <c r="U2984" i="11"/>
  <c r="U2979" i="11"/>
  <c r="U2983" i="11"/>
  <c r="U2982" i="11"/>
  <c r="U2981" i="11"/>
  <c r="U2980" i="11"/>
  <c r="U2977" i="11"/>
  <c r="U2976" i="11"/>
  <c r="U2975" i="11"/>
  <c r="U2974" i="11"/>
  <c r="U2978" i="11"/>
  <c r="U2973" i="11"/>
  <c r="U2972" i="11"/>
  <c r="U2971" i="11"/>
  <c r="U2970" i="11"/>
  <c r="U2969" i="11"/>
  <c r="U2968" i="11"/>
  <c r="U2967" i="11"/>
  <c r="U2966" i="11"/>
  <c r="U2965" i="11"/>
  <c r="U2964" i="11"/>
  <c r="U2962" i="11"/>
  <c r="U2961" i="11"/>
  <c r="U2960" i="11"/>
  <c r="U2959" i="11"/>
  <c r="U2956" i="11"/>
  <c r="U2947" i="11"/>
  <c r="U2946" i="11"/>
  <c r="U2945" i="11"/>
  <c r="U2951" i="11"/>
  <c r="U2944" i="11"/>
  <c r="U2943" i="11"/>
  <c r="U2948" i="11"/>
  <c r="U2942" i="11"/>
  <c r="U2950" i="11"/>
  <c r="U2953" i="11"/>
  <c r="U2941" i="11"/>
  <c r="U2952" i="11"/>
  <c r="U2949" i="11"/>
  <c r="U2940" i="11"/>
  <c r="U2939" i="11"/>
  <c r="U2938" i="11"/>
  <c r="U2937" i="11"/>
  <c r="U2936" i="11"/>
  <c r="U2935" i="11"/>
  <c r="U2934" i="11"/>
  <c r="U2932" i="11"/>
  <c r="U2931" i="11"/>
  <c r="U2930" i="11"/>
  <c r="U2929" i="11"/>
  <c r="U2928" i="11"/>
  <c r="U2927" i="11"/>
  <c r="U2926" i="11"/>
  <c r="U2925" i="11"/>
  <c r="U2924" i="11"/>
  <c r="U2922" i="11"/>
  <c r="U2919" i="11"/>
  <c r="U2918" i="11"/>
  <c r="U2917" i="11"/>
  <c r="U2916" i="11"/>
  <c r="U2915" i="11"/>
  <c r="U2914" i="11"/>
  <c r="U2912" i="11"/>
  <c r="U2911" i="11"/>
  <c r="U2897" i="11"/>
  <c r="U2908" i="11"/>
  <c r="U2907" i="11"/>
  <c r="U2906" i="11"/>
  <c r="U2904" i="11"/>
  <c r="U2903" i="11"/>
  <c r="U2902" i="11"/>
  <c r="U2901" i="11"/>
  <c r="U2900" i="11"/>
  <c r="U2898" i="11"/>
  <c r="U2895" i="11"/>
  <c r="U2892" i="11"/>
  <c r="U2891" i="11"/>
  <c r="U2890" i="11"/>
  <c r="U2889" i="11"/>
  <c r="U2875" i="11"/>
  <c r="U2873" i="11"/>
  <c r="U2872" i="11"/>
  <c r="U2869" i="11"/>
  <c r="U2864" i="11"/>
  <c r="U2863" i="11"/>
  <c r="U2860" i="11"/>
  <c r="U2857" i="11"/>
  <c r="U2887" i="11"/>
  <c r="U2886" i="11"/>
  <c r="U2885" i="11"/>
  <c r="U2884" i="11"/>
  <c r="U2883" i="11"/>
  <c r="U2882" i="11"/>
  <c r="U2881" i="11"/>
  <c r="U2880" i="11"/>
  <c r="U2879" i="11"/>
  <c r="U2878" i="11"/>
  <c r="U2877" i="11"/>
  <c r="U2876" i="11"/>
  <c r="U2874" i="11"/>
  <c r="U2871" i="11"/>
  <c r="U2870" i="11"/>
  <c r="U2868" i="11"/>
  <c r="U2867" i="11"/>
  <c r="U2865" i="11"/>
  <c r="U2861" i="11"/>
  <c r="U2859" i="11"/>
  <c r="U1807" i="11"/>
  <c r="U1806" i="11"/>
  <c r="U1805" i="11"/>
  <c r="U1803" i="11"/>
  <c r="U1802" i="11"/>
  <c r="U1800" i="11"/>
  <c r="U1799" i="11"/>
  <c r="U1801" i="11"/>
  <c r="U1798" i="11"/>
  <c r="U1797" i="11"/>
  <c r="U1796" i="11"/>
  <c r="U1795" i="11"/>
  <c r="U1794" i="11"/>
  <c r="U1792" i="11"/>
  <c r="U1791" i="11"/>
  <c r="U1789" i="11"/>
  <c r="U1788" i="11"/>
  <c r="U1786" i="11"/>
  <c r="U1785" i="11"/>
  <c r="U1784" i="11"/>
  <c r="U1783" i="11"/>
  <c r="U1782" i="11"/>
  <c r="U1781" i="11"/>
  <c r="U1780" i="11"/>
  <c r="U1779" i="11"/>
  <c r="U1778" i="11"/>
  <c r="U1777" i="11"/>
  <c r="U1776" i="11"/>
  <c r="U1775" i="11"/>
  <c r="U1774" i="11"/>
  <c r="U1773" i="11"/>
  <c r="U1772" i="11"/>
  <c r="U1771" i="11"/>
  <c r="U1770" i="11"/>
  <c r="U1769" i="11"/>
  <c r="U1768" i="11"/>
  <c r="U1767" i="11"/>
  <c r="U1765" i="11"/>
  <c r="U1764" i="11"/>
  <c r="U1761" i="11"/>
  <c r="U1760" i="11"/>
  <c r="U1756" i="11"/>
  <c r="U1755" i="11"/>
  <c r="U1754" i="11"/>
  <c r="U1753" i="11"/>
  <c r="U1752" i="11"/>
  <c r="U1750" i="11"/>
  <c r="U1749" i="11"/>
  <c r="U1748" i="11"/>
  <c r="U1747" i="11"/>
  <c r="U1745" i="11"/>
  <c r="U1744" i="11"/>
  <c r="U1743" i="11"/>
  <c r="U1751" i="11"/>
  <c r="U1741" i="11"/>
  <c r="U1739" i="11"/>
  <c r="U1738" i="11"/>
  <c r="U1736" i="11"/>
  <c r="U1735" i="11"/>
  <c r="U1725" i="11"/>
  <c r="U1721" i="11"/>
  <c r="U1722" i="11"/>
  <c r="U1734" i="11"/>
  <c r="U1733" i="11"/>
  <c r="U1732" i="11"/>
  <c r="U1731" i="11"/>
  <c r="U1728" i="11"/>
  <c r="U1726" i="11"/>
  <c r="U1723" i="11"/>
  <c r="U1720" i="11"/>
  <c r="U1718" i="11"/>
  <c r="U1716" i="11"/>
  <c r="U1715" i="11"/>
  <c r="U1714" i="11"/>
  <c r="U1709" i="11"/>
  <c r="U1708" i="11"/>
  <c r="U1707" i="11"/>
  <c r="U1706" i="11"/>
  <c r="U1702" i="11"/>
  <c r="U1700" i="11"/>
  <c r="U1699" i="11"/>
  <c r="U1698" i="11"/>
  <c r="U1697" i="11"/>
  <c r="U1696" i="11"/>
  <c r="U1694" i="11"/>
  <c r="U1693" i="11"/>
  <c r="U1692" i="11"/>
  <c r="U1691" i="11"/>
  <c r="U1690" i="11"/>
  <c r="U1689" i="11"/>
  <c r="U1685" i="11"/>
  <c r="U1684" i="11"/>
  <c r="U1683" i="11"/>
  <c r="U1680" i="11"/>
  <c r="U1679" i="11"/>
  <c r="U1675" i="11"/>
  <c r="U1674" i="11"/>
  <c r="U1673" i="11"/>
  <c r="U1672" i="11"/>
  <c r="U1669" i="11"/>
  <c r="U1668" i="11"/>
  <c r="U1667" i="11"/>
  <c r="U1665" i="11"/>
  <c r="U1664" i="11"/>
  <c r="U1663" i="11"/>
  <c r="U1662" i="11"/>
  <c r="U1660" i="11"/>
  <c r="U1658" i="11"/>
  <c r="U1655" i="11"/>
  <c r="U1654" i="11"/>
  <c r="U1651" i="11"/>
  <c r="U1643" i="11"/>
  <c r="U1641" i="11"/>
  <c r="U1639" i="11"/>
  <c r="U1636" i="11"/>
  <c r="U1635" i="11"/>
  <c r="U1627" i="11"/>
  <c r="U1625" i="11"/>
  <c r="U1622" i="11"/>
  <c r="U1621" i="11"/>
  <c r="U1620" i="11"/>
  <c r="U1619" i="11"/>
  <c r="U1616" i="11"/>
  <c r="U1615" i="11"/>
  <c r="U1646" i="11"/>
  <c r="U1645" i="11"/>
  <c r="U1642" i="11"/>
  <c r="U1640" i="11"/>
  <c r="U1638" i="11"/>
  <c r="U1634" i="11"/>
  <c r="U1633" i="11"/>
  <c r="U1632" i="11"/>
  <c r="U1631" i="11"/>
  <c r="U1630" i="11"/>
  <c r="U1629" i="11"/>
  <c r="U1628" i="11"/>
  <c r="U1618" i="11"/>
  <c r="U1612" i="11"/>
  <c r="U1611" i="11"/>
  <c r="U1610" i="11"/>
  <c r="U1608" i="11"/>
  <c r="U1607" i="11"/>
  <c r="U1609" i="11"/>
  <c r="U1606" i="11"/>
  <c r="U1605" i="11"/>
  <c r="U1604" i="11"/>
  <c r="U1603" i="11"/>
  <c r="U1602" i="11"/>
  <c r="U1601" i="11"/>
  <c r="U1600" i="11"/>
  <c r="U1599" i="11"/>
  <c r="U1598" i="11"/>
  <c r="U1596" i="11"/>
  <c r="U1595" i="11"/>
  <c r="U1594" i="11"/>
  <c r="U1593" i="11"/>
  <c r="U1589" i="11"/>
  <c r="U1592" i="11"/>
  <c r="U1590" i="11"/>
  <c r="U1588" i="11"/>
  <c r="U1587" i="11"/>
  <c r="U1586" i="11"/>
  <c r="U1583" i="11"/>
  <c r="U1573" i="11"/>
  <c r="U1582" i="11"/>
  <c r="U1579" i="11"/>
  <c r="U1578" i="11"/>
  <c r="U1577" i="11"/>
  <c r="U1576" i="11"/>
  <c r="U1575" i="11"/>
  <c r="U1574" i="11"/>
  <c r="U1572" i="11"/>
  <c r="U1571" i="11"/>
  <c r="U1567" i="11"/>
  <c r="U1566" i="11"/>
  <c r="U1565" i="11"/>
  <c r="U1563" i="11"/>
  <c r="U1564" i="11"/>
  <c r="U1562" i="11"/>
  <c r="U1560" i="11"/>
  <c r="U1558" i="11"/>
  <c r="U1556" i="11"/>
  <c r="U1552" i="11"/>
  <c r="U1548" i="11"/>
  <c r="U1543" i="11"/>
  <c r="U1542" i="11"/>
  <c r="U1541" i="11"/>
  <c r="U1538" i="11"/>
  <c r="U1537" i="11"/>
  <c r="U1533" i="11"/>
  <c r="U1534" i="11"/>
  <c r="U1531" i="11"/>
  <c r="U1530" i="11"/>
  <c r="U1529" i="11"/>
  <c r="U1528" i="11"/>
  <c r="U1527" i="11"/>
  <c r="U1526" i="11"/>
  <c r="U1525" i="11"/>
  <c r="U1524" i="11"/>
  <c r="U1523" i="11"/>
  <c r="U1520" i="11"/>
  <c r="U1519" i="11"/>
  <c r="U1512" i="11"/>
  <c r="U1518" i="11"/>
  <c r="U1517" i="11"/>
  <c r="U1515" i="11"/>
  <c r="U1514" i="11"/>
  <c r="U1513" i="11"/>
  <c r="U1511" i="11"/>
  <c r="U1509" i="11"/>
  <c r="U1508" i="11"/>
  <c r="U1507" i="11"/>
  <c r="U1506" i="11"/>
  <c r="U1504" i="11"/>
  <c r="U1501" i="11"/>
  <c r="U1500" i="11"/>
  <c r="U1491" i="11"/>
  <c r="U1490" i="11"/>
  <c r="U1493" i="11"/>
  <c r="U1489" i="11"/>
  <c r="U1484" i="11"/>
  <c r="U1473" i="11"/>
  <c r="U1483" i="11"/>
  <c r="U1482" i="11"/>
  <c r="U1481" i="11"/>
  <c r="U1480" i="11"/>
  <c r="U1479" i="11"/>
  <c r="U1478" i="11"/>
  <c r="U1477" i="11"/>
  <c r="U1476" i="11"/>
  <c r="U1475" i="11"/>
  <c r="U1474" i="11"/>
  <c r="U1472" i="11"/>
  <c r="U1471" i="11"/>
  <c r="U1470" i="11"/>
  <c r="U1468" i="11"/>
  <c r="U1467" i="11"/>
  <c r="U1466" i="11"/>
  <c r="U1465" i="11"/>
  <c r="U1464" i="11"/>
  <c r="U1463" i="11"/>
  <c r="U1469" i="11"/>
  <c r="U1456" i="11"/>
  <c r="U1462" i="11"/>
  <c r="U1461" i="11"/>
  <c r="U1460" i="11"/>
  <c r="U1459" i="11"/>
  <c r="U1458" i="11"/>
  <c r="U1457" i="11"/>
  <c r="U1455" i="11"/>
  <c r="U1454" i="11"/>
  <c r="U1453" i="11"/>
  <c r="U1452" i="11"/>
  <c r="U1451" i="11"/>
  <c r="U1450" i="11"/>
  <c r="U1449" i="11"/>
  <c r="U1445" i="11"/>
  <c r="U1444" i="11"/>
  <c r="U1441" i="11"/>
  <c r="U1439" i="11"/>
  <c r="U1438" i="11"/>
  <c r="U1433" i="11"/>
  <c r="U1432" i="11"/>
  <c r="U1431" i="11"/>
  <c r="U1434" i="11"/>
  <c r="U1429" i="11"/>
  <c r="U1427" i="11"/>
  <c r="U1406" i="11"/>
  <c r="U1423" i="11"/>
  <c r="U1421" i="11"/>
  <c r="U1420" i="11"/>
  <c r="U1419" i="11"/>
  <c r="U1418" i="11"/>
  <c r="U1405" i="11"/>
  <c r="U1417" i="11"/>
  <c r="U1416" i="11"/>
  <c r="U1414" i="11"/>
  <c r="U1413" i="11"/>
  <c r="U1411" i="11"/>
  <c r="U1408" i="11"/>
  <c r="U1407" i="11"/>
  <c r="U1404" i="11"/>
  <c r="U1392" i="11"/>
  <c r="U1400" i="11"/>
  <c r="U1398" i="11"/>
  <c r="U1397" i="11"/>
  <c r="U1396" i="11"/>
  <c r="U1395" i="11"/>
  <c r="U1385" i="11"/>
  <c r="U1391" i="11"/>
  <c r="U1390" i="11"/>
  <c r="U1389" i="11"/>
  <c r="U1387" i="11"/>
  <c r="U1386" i="11"/>
  <c r="U1384" i="11"/>
  <c r="U1383" i="11"/>
  <c r="U1382" i="11"/>
  <c r="U1381" i="11"/>
  <c r="U1380" i="11"/>
  <c r="U1379" i="11"/>
  <c r="U1378" i="11"/>
  <c r="U1377" i="11"/>
  <c r="U1376" i="11"/>
  <c r="U1373" i="11"/>
  <c r="U1370" i="11"/>
  <c r="U1366" i="11"/>
  <c r="U1365" i="11"/>
  <c r="U1367" i="11"/>
  <c r="U1359" i="11"/>
  <c r="U1356" i="11"/>
  <c r="U1353" i="11"/>
  <c r="U1350" i="11"/>
  <c r="U1347" i="11"/>
  <c r="U1345" i="11"/>
  <c r="U1344" i="11"/>
  <c r="U1343" i="11"/>
  <c r="U1342" i="11"/>
  <c r="U1341" i="11"/>
  <c r="U1340" i="11"/>
  <c r="U1338" i="11"/>
  <c r="U1337" i="11"/>
  <c r="U1336" i="11"/>
  <c r="U1335" i="11"/>
  <c r="U1331" i="11"/>
  <c r="U1330" i="11"/>
  <c r="U1329" i="11"/>
  <c r="U1328" i="11"/>
  <c r="U1327" i="11"/>
  <c r="U1326" i="11"/>
  <c r="U1325" i="11"/>
  <c r="U1324" i="11"/>
  <c r="U1323" i="11"/>
  <c r="U1322" i="11"/>
  <c r="U1321" i="11"/>
  <c r="U1320" i="11"/>
  <c r="U1318" i="11"/>
  <c r="U1317" i="11"/>
  <c r="U1316" i="11"/>
  <c r="U1315" i="11"/>
  <c r="U1314" i="11"/>
  <c r="U1313" i="11"/>
  <c r="U1312" i="11"/>
  <c r="U1311" i="11"/>
  <c r="U1310" i="11"/>
  <c r="U1309" i="11"/>
  <c r="U1308" i="11"/>
  <c r="U1307" i="11"/>
  <c r="U1305" i="11"/>
  <c r="U1304" i="11"/>
  <c r="U1303" i="11"/>
  <c r="U1301" i="11"/>
  <c r="U1300" i="11"/>
  <c r="U1299" i="11"/>
  <c r="U1298" i="11"/>
  <c r="U1296" i="11"/>
  <c r="U1294" i="11"/>
  <c r="U1293" i="11"/>
  <c r="U1291" i="11"/>
  <c r="U1290" i="11"/>
  <c r="U1287" i="11"/>
  <c r="U1286" i="11"/>
  <c r="U1285" i="11"/>
  <c r="U1275" i="11"/>
  <c r="U1282" i="11"/>
  <c r="U1280" i="11"/>
  <c r="U1277" i="11"/>
  <c r="U1281" i="11"/>
  <c r="U1279" i="11"/>
  <c r="U1278" i="11"/>
  <c r="U1283" i="11"/>
  <c r="U1276" i="11"/>
  <c r="U1274" i="11"/>
  <c r="U1273" i="11"/>
  <c r="U1272" i="11"/>
  <c r="U1271" i="11"/>
  <c r="U1269" i="11"/>
  <c r="U1268" i="11"/>
  <c r="U1267" i="11"/>
  <c r="U1266" i="11"/>
  <c r="U1265" i="11"/>
  <c r="U1264" i="11"/>
  <c r="U1263" i="11"/>
  <c r="U1262" i="11"/>
  <c r="U1261" i="11"/>
  <c r="U1259" i="11"/>
  <c r="U1258" i="11"/>
  <c r="U1257" i="11"/>
  <c r="U1256" i="11"/>
  <c r="U1255" i="11"/>
  <c r="U1254" i="11"/>
  <c r="U1253" i="11"/>
  <c r="U1250" i="11"/>
  <c r="U1248" i="11"/>
  <c r="U1249" i="11"/>
  <c r="U1247" i="11"/>
  <c r="U1246" i="11"/>
  <c r="U1245" i="11"/>
  <c r="U1244" i="11"/>
  <c r="U1243" i="11"/>
  <c r="U1242" i="11"/>
  <c r="U1241" i="11"/>
  <c r="U1240" i="11"/>
  <c r="U1239" i="11"/>
  <c r="U1238" i="11"/>
  <c r="U1237" i="11"/>
  <c r="U1236" i="11"/>
  <c r="U1235" i="11"/>
  <c r="U1234" i="11"/>
  <c r="U1233" i="11"/>
  <c r="U1232" i="11"/>
  <c r="U1231" i="11"/>
  <c r="U1230" i="11"/>
  <c r="U1229" i="11"/>
  <c r="U1228" i="11"/>
  <c r="U1227" i="11"/>
  <c r="U1226" i="11"/>
  <c r="U1225" i="11"/>
  <c r="U1223" i="11"/>
  <c r="U1222" i="11"/>
  <c r="U1221" i="11"/>
  <c r="U1220" i="11"/>
  <c r="U1219" i="11"/>
  <c r="U1218" i="11"/>
  <c r="U1217" i="11"/>
  <c r="U1216" i="11"/>
  <c r="U1215" i="11"/>
  <c r="U1214" i="11"/>
  <c r="U1212" i="11"/>
  <c r="U1211" i="11"/>
  <c r="U1210" i="11"/>
  <c r="U1209" i="11"/>
  <c r="U1208" i="11"/>
  <c r="U1206" i="11"/>
  <c r="U1205" i="11"/>
  <c r="U1204" i="11"/>
  <c r="U1203" i="11"/>
  <c r="U1200" i="11"/>
  <c r="U1198" i="11"/>
  <c r="U1197" i="11"/>
  <c r="U1196" i="11"/>
  <c r="U1195" i="11"/>
  <c r="U1193" i="11"/>
  <c r="U1194" i="11"/>
  <c r="U1192" i="11"/>
  <c r="U1191" i="11"/>
  <c r="U1190" i="11"/>
  <c r="U1189" i="11"/>
  <c r="U1188" i="11"/>
  <c r="U1187" i="11"/>
  <c r="U1186" i="11"/>
  <c r="U1185" i="11"/>
  <c r="U1184" i="11"/>
  <c r="U1167" i="11"/>
  <c r="U1174" i="11"/>
  <c r="U1171" i="11"/>
  <c r="U1170" i="11"/>
  <c r="U1169" i="11"/>
  <c r="U1165" i="11"/>
  <c r="U1175" i="11"/>
  <c r="U1178" i="11"/>
  <c r="U1176" i="11"/>
  <c r="U1172" i="11"/>
  <c r="U1168" i="11"/>
  <c r="U1149" i="11"/>
  <c r="U1148" i="11"/>
  <c r="U1143" i="11"/>
  <c r="U1161" i="11"/>
  <c r="U1158" i="11"/>
  <c r="U1154" i="11"/>
  <c r="U1153" i="11"/>
  <c r="U1152" i="11"/>
  <c r="U1150" i="11"/>
  <c r="U1147" i="11"/>
  <c r="U1145" i="11"/>
  <c r="U1131" i="11"/>
  <c r="U1130" i="11"/>
  <c r="U1141" i="11"/>
  <c r="U1140" i="11"/>
  <c r="U1139" i="11"/>
  <c r="U1136" i="11"/>
  <c r="U1132" i="11"/>
  <c r="U1127" i="11"/>
  <c r="U1125" i="11"/>
  <c r="U1121" i="11"/>
  <c r="U1122" i="11"/>
  <c r="U1114" i="11"/>
  <c r="U1112" i="11"/>
  <c r="U1124" i="11"/>
  <c r="U1123" i="11"/>
  <c r="U1120" i="11"/>
  <c r="U1119" i="11"/>
  <c r="U1118" i="11"/>
  <c r="U1117" i="11"/>
  <c r="U1116" i="11"/>
  <c r="U1115" i="11"/>
  <c r="U1111" i="11"/>
  <c r="U1110" i="11"/>
  <c r="U1108" i="11"/>
  <c r="U1107" i="11"/>
  <c r="U1105" i="11"/>
  <c r="U1104" i="11"/>
  <c r="U1103" i="11"/>
  <c r="U1091" i="11"/>
  <c r="U1089" i="11"/>
  <c r="U1063" i="11"/>
  <c r="U1034" i="11"/>
  <c r="U1095" i="11"/>
  <c r="U1093" i="11"/>
  <c r="U1092" i="11"/>
  <c r="U1047" i="11"/>
  <c r="U1015" i="11"/>
  <c r="U1096" i="11"/>
  <c r="U1069" i="11"/>
  <c r="U1067" i="11"/>
  <c r="U1101" i="11"/>
  <c r="U1100" i="11"/>
  <c r="U1099" i="11"/>
  <c r="U1098" i="11"/>
  <c r="U1094" i="11"/>
  <c r="U1090" i="11"/>
  <c r="U1088" i="11"/>
  <c r="U1087" i="11"/>
  <c r="U1086" i="11"/>
  <c r="U1085" i="11"/>
  <c r="U1084" i="11"/>
  <c r="U1083" i="11"/>
  <c r="U1082" i="11"/>
  <c r="U1081" i="11"/>
  <c r="U1079" i="11"/>
  <c r="U1078" i="11"/>
  <c r="U1076" i="11"/>
  <c r="U1075" i="11"/>
  <c r="U1074" i="11"/>
  <c r="U1072" i="11"/>
  <c r="U1071" i="11"/>
  <c r="U1070" i="11"/>
  <c r="U1068" i="11"/>
  <c r="U1066" i="11"/>
  <c r="U1056" i="11"/>
  <c r="U1064" i="11"/>
  <c r="U1060" i="11"/>
  <c r="U1059" i="11"/>
  <c r="U1058" i="11"/>
  <c r="U1057" i="11"/>
  <c r="U1055" i="11"/>
  <c r="U1053" i="11"/>
  <c r="U1052" i="11"/>
  <c r="U1029" i="11"/>
  <c r="U1051" i="11"/>
  <c r="U1050" i="11"/>
  <c r="U1046" i="11"/>
  <c r="U1044" i="11"/>
  <c r="U1045" i="11"/>
  <c r="U1039" i="11"/>
  <c r="U1042" i="11"/>
  <c r="U1040" i="11"/>
  <c r="U1038" i="11"/>
  <c r="U1035" i="11"/>
  <c r="U1037" i="11"/>
  <c r="U1036" i="11"/>
  <c r="U1054" i="11"/>
  <c r="U1033" i="11"/>
  <c r="U1027" i="11"/>
  <c r="U1028" i="11"/>
  <c r="U1025" i="11"/>
  <c r="U1026" i="11"/>
  <c r="U1024" i="11"/>
  <c r="U1023" i="11"/>
  <c r="U1022" i="11"/>
  <c r="U1020" i="11"/>
  <c r="U1021" i="11"/>
  <c r="U1019" i="11"/>
  <c r="U1018" i="11"/>
  <c r="U1016" i="11"/>
  <c r="U1017" i="11"/>
  <c r="U1013" i="11"/>
  <c r="U1012" i="11"/>
  <c r="U1010" i="11"/>
  <c r="U1008" i="11"/>
  <c r="U1007" i="11"/>
  <c r="U1006" i="11"/>
  <c r="U1005" i="11"/>
  <c r="U1002" i="11"/>
  <c r="U1001" i="11"/>
  <c r="U1000" i="11"/>
  <c r="U997" i="11"/>
  <c r="U995" i="11"/>
  <c r="U994" i="11"/>
  <c r="U993" i="11"/>
  <c r="U991" i="11"/>
  <c r="U990" i="11"/>
  <c r="U989" i="11"/>
  <c r="U988" i="11"/>
  <c r="U987" i="11"/>
  <c r="U986" i="11"/>
  <c r="U984" i="11"/>
  <c r="U983" i="11"/>
  <c r="U981" i="11"/>
  <c r="U980" i="11"/>
  <c r="U977" i="11"/>
  <c r="U976" i="11"/>
  <c r="U975" i="11"/>
  <c r="U973" i="11"/>
  <c r="U972" i="11"/>
  <c r="U971" i="11"/>
  <c r="U970" i="11"/>
  <c r="U969" i="11"/>
  <c r="U968" i="11"/>
  <c r="U967" i="11"/>
  <c r="U963" i="11"/>
  <c r="U960" i="11"/>
  <c r="T3103" i="11"/>
  <c r="T3102" i="11"/>
  <c r="T3101" i="11"/>
  <c r="T3100" i="11"/>
  <c r="T3099" i="11"/>
  <c r="T3098" i="11"/>
  <c r="T3097" i="11"/>
  <c r="T3096" i="11"/>
  <c r="T3095" i="11"/>
  <c r="T3094" i="11"/>
  <c r="T3093" i="11"/>
  <c r="T3092" i="11"/>
  <c r="T3091" i="11"/>
  <c r="T3090" i="11"/>
  <c r="T3089" i="11"/>
  <c r="T3088" i="11"/>
  <c r="T3068" i="11"/>
  <c r="T3087" i="11"/>
  <c r="T3079" i="11"/>
  <c r="T3081" i="11"/>
  <c r="T3078" i="11"/>
  <c r="T3077" i="11"/>
  <c r="T3076" i="11"/>
  <c r="T3075" i="11"/>
  <c r="T3066" i="11"/>
  <c r="T3064" i="11"/>
  <c r="T3063" i="11"/>
  <c r="T3055" i="11"/>
  <c r="T3062" i="11"/>
  <c r="T3061" i="11"/>
  <c r="T3059" i="11"/>
  <c r="T3058" i="11"/>
  <c r="T3057" i="11"/>
  <c r="T3056" i="11"/>
  <c r="T3054" i="11"/>
  <c r="T3053" i="11"/>
  <c r="T3051" i="11"/>
  <c r="T3050" i="11"/>
  <c r="T3049" i="11"/>
  <c r="T3048" i="11"/>
  <c r="T3047" i="11"/>
  <c r="T3040" i="11"/>
  <c r="T3031" i="11"/>
  <c r="T3045" i="11"/>
  <c r="T3044" i="11"/>
  <c r="T3043" i="11"/>
  <c r="T3038" i="11"/>
  <c r="T3037" i="11"/>
  <c r="T3036" i="11"/>
  <c r="T3035" i="11"/>
  <c r="T3034" i="11"/>
  <c r="T3033" i="11"/>
  <c r="T3032" i="11"/>
  <c r="T3030" i="11"/>
  <c r="T3029" i="11"/>
  <c r="T3028" i="11"/>
  <c r="T3027" i="11"/>
  <c r="T3024" i="11"/>
  <c r="T3022" i="11"/>
  <c r="T3021" i="11"/>
  <c r="T3020" i="11"/>
  <c r="T3019" i="11"/>
  <c r="T3017" i="11"/>
  <c r="T3009" i="11"/>
  <c r="T3015" i="11"/>
  <c r="T3014" i="11"/>
  <c r="T3013" i="11"/>
  <c r="T3012" i="11"/>
  <c r="T3011" i="11"/>
  <c r="T3010" i="11"/>
  <c r="T3008" i="11"/>
  <c r="T3007" i="11"/>
  <c r="T3016" i="11"/>
  <c r="T3005" i="11"/>
  <c r="T3004" i="11"/>
  <c r="T3003" i="11"/>
  <c r="T3001" i="11"/>
  <c r="T3000" i="11"/>
  <c r="T2998" i="11"/>
  <c r="T2997" i="11"/>
  <c r="T3002" i="11"/>
  <c r="T2988" i="11"/>
  <c r="T2996" i="11"/>
  <c r="T2995" i="11"/>
  <c r="T2994" i="11"/>
  <c r="T2990" i="11"/>
  <c r="T2989" i="11"/>
  <c r="T2987" i="11"/>
  <c r="T2985" i="11"/>
  <c r="T2984" i="11"/>
  <c r="T2979" i="11"/>
  <c r="T2983" i="11"/>
  <c r="T2982" i="11"/>
  <c r="T2981" i="11"/>
  <c r="T2980" i="11"/>
  <c r="T2977" i="11"/>
  <c r="T2976" i="11"/>
  <c r="T2975" i="11"/>
  <c r="T2974" i="11"/>
  <c r="T2978" i="11"/>
  <c r="T2973" i="11"/>
  <c r="T2972" i="11"/>
  <c r="T2971" i="11"/>
  <c r="T2970" i="11"/>
  <c r="T2969" i="11"/>
  <c r="T2968" i="11"/>
  <c r="T2967" i="11"/>
  <c r="T2966" i="11"/>
  <c r="T2965" i="11"/>
  <c r="T2964" i="11"/>
  <c r="T2962" i="11"/>
  <c r="T2961" i="11"/>
  <c r="T2960" i="11"/>
  <c r="T2959" i="11"/>
  <c r="T2956" i="11"/>
  <c r="T2947" i="11"/>
  <c r="T2946" i="11"/>
  <c r="T2945" i="11"/>
  <c r="T2951" i="11"/>
  <c r="T2944" i="11"/>
  <c r="T2943" i="11"/>
  <c r="T2948" i="11"/>
  <c r="T2942" i="11"/>
  <c r="T2950" i="11"/>
  <c r="T2953" i="11"/>
  <c r="T2941" i="11"/>
  <c r="T2952" i="11"/>
  <c r="T2949" i="11"/>
  <c r="T2940" i="11"/>
  <c r="T2939" i="11"/>
  <c r="T2938" i="11"/>
  <c r="T2937" i="11"/>
  <c r="T2936" i="11"/>
  <c r="T2935" i="11"/>
  <c r="T2934" i="11"/>
  <c r="T2932" i="11"/>
  <c r="T2931" i="11"/>
  <c r="T2930" i="11"/>
  <c r="T2929" i="11"/>
  <c r="T2928" i="11"/>
  <c r="T2927" i="11"/>
  <c r="T2926" i="11"/>
  <c r="T2925" i="11"/>
  <c r="T2924" i="11"/>
  <c r="T2922" i="11"/>
  <c r="T2919" i="11"/>
  <c r="T2918" i="11"/>
  <c r="T2917" i="11"/>
  <c r="T2916" i="11"/>
  <c r="T2915" i="11"/>
  <c r="T2914" i="11"/>
  <c r="T2912" i="11"/>
  <c r="T2911" i="11"/>
  <c r="T2897" i="11"/>
  <c r="T2908" i="11"/>
  <c r="T2907" i="11"/>
  <c r="T2906" i="11"/>
  <c r="T2904" i="11"/>
  <c r="T2903" i="11"/>
  <c r="T2902" i="11"/>
  <c r="T2901" i="11"/>
  <c r="T2900" i="11"/>
  <c r="T2898" i="11"/>
  <c r="T2895" i="11"/>
  <c r="T2892" i="11"/>
  <c r="T2891" i="11"/>
  <c r="T2890" i="11"/>
  <c r="T2889" i="11"/>
  <c r="T2875" i="11"/>
  <c r="T2873" i="11"/>
  <c r="T2872" i="11"/>
  <c r="T2869" i="11"/>
  <c r="T2864" i="11"/>
  <c r="T2863" i="11"/>
  <c r="T2860" i="11"/>
  <c r="T2857" i="11"/>
  <c r="T2887" i="11"/>
  <c r="T2886" i="11"/>
  <c r="T2885" i="11"/>
  <c r="T2884" i="11"/>
  <c r="T2883" i="11"/>
  <c r="T2882" i="11"/>
  <c r="T2881" i="11"/>
  <c r="T2880" i="11"/>
  <c r="T2879" i="11"/>
  <c r="T2878" i="11"/>
  <c r="T2877" i="11"/>
  <c r="T2876" i="11"/>
  <c r="T2874" i="11"/>
  <c r="T2871" i="11"/>
  <c r="T2870" i="11"/>
  <c r="T2868" i="11"/>
  <c r="T2867" i="11"/>
  <c r="T2865" i="11"/>
  <c r="T2861" i="11"/>
  <c r="T2859" i="11"/>
  <c r="T1807" i="11"/>
  <c r="T1806" i="11"/>
  <c r="T1805" i="11"/>
  <c r="T1803" i="11"/>
  <c r="T1802" i="11"/>
  <c r="T1800" i="11"/>
  <c r="T1799" i="11"/>
  <c r="T1801" i="11"/>
  <c r="T1798" i="11"/>
  <c r="T1797" i="11"/>
  <c r="T1796" i="11"/>
  <c r="T1795" i="11"/>
  <c r="T1794" i="11"/>
  <c r="T1792" i="11"/>
  <c r="T1791" i="11"/>
  <c r="T1789" i="11"/>
  <c r="T1788" i="11"/>
  <c r="T1786" i="11"/>
  <c r="T1785" i="11"/>
  <c r="T1784" i="11"/>
  <c r="T1783" i="11"/>
  <c r="T1782" i="11"/>
  <c r="T1781" i="11"/>
  <c r="T1780" i="11"/>
  <c r="T1779" i="11"/>
  <c r="T1778" i="11"/>
  <c r="T1777" i="11"/>
  <c r="T1776" i="11"/>
  <c r="T1775" i="11"/>
  <c r="T1774" i="11"/>
  <c r="T1773" i="11"/>
  <c r="T1772" i="11"/>
  <c r="T1771" i="11"/>
  <c r="T1770" i="11"/>
  <c r="T1769" i="11"/>
  <c r="T1768" i="11"/>
  <c r="T1767" i="11"/>
  <c r="T1765" i="11"/>
  <c r="T1764" i="11"/>
  <c r="T1761" i="11"/>
  <c r="T1760" i="11"/>
  <c r="T1756" i="11"/>
  <c r="T1755" i="11"/>
  <c r="T1754" i="11"/>
  <c r="T1753" i="11"/>
  <c r="T1752" i="11"/>
  <c r="T1750" i="11"/>
  <c r="T1749" i="11"/>
  <c r="T1748" i="11"/>
  <c r="T1747" i="11"/>
  <c r="T1745" i="11"/>
  <c r="T1744" i="11"/>
  <c r="T1743" i="11"/>
  <c r="T1751" i="11"/>
  <c r="T1741" i="11"/>
  <c r="T1739" i="11"/>
  <c r="T1738" i="11"/>
  <c r="T1736" i="11"/>
  <c r="T1735" i="11"/>
  <c r="T1725" i="11"/>
  <c r="T1721" i="11"/>
  <c r="T1722" i="11"/>
  <c r="T1734" i="11"/>
  <c r="T1733" i="11"/>
  <c r="T1732" i="11"/>
  <c r="T1731" i="11"/>
  <c r="T1728" i="11"/>
  <c r="T1726" i="11"/>
  <c r="T1723" i="11"/>
  <c r="T1720" i="11"/>
  <c r="T1718" i="11"/>
  <c r="T1716" i="11"/>
  <c r="T1715" i="11"/>
  <c r="T1714" i="11"/>
  <c r="T1709" i="11"/>
  <c r="T1708" i="11"/>
  <c r="T1707" i="11"/>
  <c r="T1706" i="11"/>
  <c r="T1702" i="11"/>
  <c r="T1700" i="11"/>
  <c r="T1699" i="11"/>
  <c r="T1698" i="11"/>
  <c r="T1697" i="11"/>
  <c r="T1696" i="11"/>
  <c r="T1694" i="11"/>
  <c r="T1693" i="11"/>
  <c r="T1692" i="11"/>
  <c r="T1691" i="11"/>
  <c r="T1690" i="11"/>
  <c r="T1689" i="11"/>
  <c r="T1685" i="11"/>
  <c r="T1684" i="11"/>
  <c r="T1683" i="11"/>
  <c r="T1680" i="11"/>
  <c r="T1679" i="11"/>
  <c r="T1675" i="11"/>
  <c r="T1674" i="11"/>
  <c r="T1673" i="11"/>
  <c r="T1672" i="11"/>
  <c r="T1669" i="11"/>
  <c r="T1668" i="11"/>
  <c r="T1667" i="11"/>
  <c r="T1665" i="11"/>
  <c r="T1664" i="11"/>
  <c r="T1663" i="11"/>
  <c r="T1662" i="11"/>
  <c r="T1660" i="11"/>
  <c r="T1658" i="11"/>
  <c r="T1655" i="11"/>
  <c r="T1654" i="11"/>
  <c r="T1651" i="11"/>
  <c r="T1643" i="11"/>
  <c r="T1641" i="11"/>
  <c r="T1639" i="11"/>
  <c r="T1636" i="11"/>
  <c r="T1635" i="11"/>
  <c r="T1627" i="11"/>
  <c r="T1625" i="11"/>
  <c r="T1622" i="11"/>
  <c r="T1621" i="11"/>
  <c r="T1620" i="11"/>
  <c r="T1619" i="11"/>
  <c r="T1616" i="11"/>
  <c r="T1615" i="11"/>
  <c r="T1646" i="11"/>
  <c r="T1645" i="11"/>
  <c r="T1642" i="11"/>
  <c r="T1640" i="11"/>
  <c r="T1638" i="11"/>
  <c r="T1634" i="11"/>
  <c r="T1633" i="11"/>
  <c r="T1632" i="11"/>
  <c r="T1631" i="11"/>
  <c r="T1630" i="11"/>
  <c r="T1629" i="11"/>
  <c r="T1628" i="11"/>
  <c r="T1618" i="11"/>
  <c r="T1612" i="11"/>
  <c r="T1611" i="11"/>
  <c r="T1610" i="11"/>
  <c r="T1608" i="11"/>
  <c r="T1607" i="11"/>
  <c r="T1609" i="11"/>
  <c r="T1606" i="11"/>
  <c r="T1605" i="11"/>
  <c r="T1604" i="11"/>
  <c r="T1603" i="11"/>
  <c r="T1602" i="11"/>
  <c r="T1601" i="11"/>
  <c r="T1600" i="11"/>
  <c r="T1599" i="11"/>
  <c r="T1598" i="11"/>
  <c r="T1596" i="11"/>
  <c r="T1595" i="11"/>
  <c r="T1594" i="11"/>
  <c r="T1593" i="11"/>
  <c r="T1589" i="11"/>
  <c r="T1592" i="11"/>
  <c r="T1590" i="11"/>
  <c r="T1588" i="11"/>
  <c r="T1587" i="11"/>
  <c r="T1586" i="11"/>
  <c r="T1583" i="11"/>
  <c r="T1573" i="11"/>
  <c r="T1582" i="11"/>
  <c r="T1579" i="11"/>
  <c r="T1578" i="11"/>
  <c r="T1577" i="11"/>
  <c r="T1576" i="11"/>
  <c r="T1575" i="11"/>
  <c r="T1574" i="11"/>
  <c r="T1572" i="11"/>
  <c r="T1571" i="11"/>
  <c r="T1567" i="11"/>
  <c r="T1566" i="11"/>
  <c r="T1565" i="11"/>
  <c r="T1563" i="11"/>
  <c r="T1564" i="11"/>
  <c r="T1562" i="11"/>
  <c r="T1560" i="11"/>
  <c r="T1558" i="11"/>
  <c r="T1556" i="11"/>
  <c r="T1552" i="11"/>
  <c r="T1548" i="11"/>
  <c r="T1543" i="11"/>
  <c r="T1542" i="11"/>
  <c r="T1541" i="11"/>
  <c r="T1538" i="11"/>
  <c r="T1537" i="11"/>
  <c r="T1533" i="11"/>
  <c r="T1534" i="11"/>
  <c r="T1531" i="11"/>
  <c r="T1530" i="11"/>
  <c r="T1529" i="11"/>
  <c r="T1528" i="11"/>
  <c r="T1527" i="11"/>
  <c r="T1526" i="11"/>
  <c r="T1525" i="11"/>
  <c r="T1524" i="11"/>
  <c r="T1523" i="11"/>
  <c r="T1520" i="11"/>
  <c r="T1519" i="11"/>
  <c r="T1512" i="11"/>
  <c r="T1518" i="11"/>
  <c r="T1517" i="11"/>
  <c r="T1515" i="11"/>
  <c r="T1514" i="11"/>
  <c r="T1513" i="11"/>
  <c r="T1511" i="11"/>
  <c r="T1509" i="11"/>
  <c r="T1508" i="11"/>
  <c r="T1507" i="11"/>
  <c r="T1506" i="11"/>
  <c r="T1504" i="11"/>
  <c r="T1501" i="11"/>
  <c r="T1500" i="11"/>
  <c r="T1491" i="11"/>
  <c r="T1490" i="11"/>
  <c r="T1493" i="11"/>
  <c r="T1489" i="11"/>
  <c r="T1484" i="11"/>
  <c r="T1473" i="11"/>
  <c r="T1483" i="11"/>
  <c r="T1482" i="11"/>
  <c r="T1481" i="11"/>
  <c r="T1480" i="11"/>
  <c r="T1479" i="11"/>
  <c r="T1478" i="11"/>
  <c r="T1477" i="11"/>
  <c r="T1476" i="11"/>
  <c r="T1475" i="11"/>
  <c r="T1474" i="11"/>
  <c r="T1472" i="11"/>
  <c r="T1471" i="11"/>
  <c r="T1470" i="11"/>
  <c r="T1468" i="11"/>
  <c r="T1467" i="11"/>
  <c r="T1466" i="11"/>
  <c r="T1465" i="11"/>
  <c r="T1464" i="11"/>
  <c r="T1463" i="11"/>
  <c r="T1469" i="11"/>
  <c r="T1456" i="11"/>
  <c r="T1462" i="11"/>
  <c r="T1461" i="11"/>
  <c r="T1460" i="11"/>
  <c r="T1459" i="11"/>
  <c r="T1458" i="11"/>
  <c r="T1457" i="11"/>
  <c r="T1455" i="11"/>
  <c r="T1454" i="11"/>
  <c r="T1453" i="11"/>
  <c r="T1452" i="11"/>
  <c r="T1451" i="11"/>
  <c r="T1450" i="11"/>
  <c r="T1449" i="11"/>
  <c r="T1445" i="11"/>
  <c r="T1444" i="11"/>
  <c r="T1441" i="11"/>
  <c r="T1439" i="11"/>
  <c r="T1438" i="11"/>
  <c r="T1433" i="11"/>
  <c r="T1432" i="11"/>
  <c r="T1431" i="11"/>
  <c r="T1434" i="11"/>
  <c r="T1429" i="11"/>
  <c r="T1427" i="11"/>
  <c r="T1406" i="11"/>
  <c r="T1423" i="11"/>
  <c r="T1421" i="11"/>
  <c r="T1420" i="11"/>
  <c r="T1419" i="11"/>
  <c r="T1418" i="11"/>
  <c r="T1405" i="11"/>
  <c r="T1417" i="11"/>
  <c r="T1416" i="11"/>
  <c r="T1414" i="11"/>
  <c r="T1413" i="11"/>
  <c r="T1411" i="11"/>
  <c r="T1408" i="11"/>
  <c r="T1407" i="11"/>
  <c r="T1404" i="11"/>
  <c r="T1392" i="11"/>
  <c r="T1400" i="11"/>
  <c r="T1398" i="11"/>
  <c r="T1397" i="11"/>
  <c r="T1396" i="11"/>
  <c r="T1395" i="11"/>
  <c r="T1385" i="11"/>
  <c r="T1391" i="11"/>
  <c r="T1390" i="11"/>
  <c r="T1389" i="11"/>
  <c r="T1387" i="11"/>
  <c r="T1386" i="11"/>
  <c r="T1384" i="11"/>
  <c r="T1383" i="11"/>
  <c r="T1382" i="11"/>
  <c r="T1381" i="11"/>
  <c r="T1380" i="11"/>
  <c r="T1379" i="11"/>
  <c r="T1378" i="11"/>
  <c r="T1377" i="11"/>
  <c r="T1376" i="11"/>
  <c r="T1373" i="11"/>
  <c r="T1370" i="11"/>
  <c r="T1366" i="11"/>
  <c r="T1365" i="11"/>
  <c r="T1367" i="11"/>
  <c r="T1359" i="11"/>
  <c r="T1356" i="11"/>
  <c r="T1353" i="11"/>
  <c r="T1350" i="11"/>
  <c r="T1347" i="11"/>
  <c r="T1345" i="11"/>
  <c r="T1344" i="11"/>
  <c r="T1343" i="11"/>
  <c r="T1342" i="11"/>
  <c r="T1341" i="11"/>
  <c r="T1340" i="11"/>
  <c r="T1338" i="11"/>
  <c r="T1337" i="11"/>
  <c r="T1336" i="11"/>
  <c r="T1335" i="11"/>
  <c r="T1331" i="11"/>
  <c r="T1330" i="11"/>
  <c r="T1329" i="11"/>
  <c r="T1328" i="11"/>
  <c r="T1327" i="11"/>
  <c r="T1326" i="11"/>
  <c r="T1325" i="11"/>
  <c r="T1324" i="11"/>
  <c r="T1323" i="11"/>
  <c r="T1322" i="11"/>
  <c r="T1321" i="11"/>
  <c r="T1320" i="11"/>
  <c r="T1318" i="11"/>
  <c r="T1317" i="11"/>
  <c r="T1316" i="11"/>
  <c r="T1315" i="11"/>
  <c r="T1314" i="11"/>
  <c r="T1313" i="11"/>
  <c r="T1312" i="11"/>
  <c r="T1311" i="11"/>
  <c r="T1310" i="11"/>
  <c r="T1309" i="11"/>
  <c r="T1308" i="11"/>
  <c r="T1307" i="11"/>
  <c r="T1305" i="11"/>
  <c r="T1304" i="11"/>
  <c r="T1303" i="11"/>
  <c r="T1301" i="11"/>
  <c r="T1300" i="11"/>
  <c r="T1299" i="11"/>
  <c r="T1298" i="11"/>
  <c r="T1296" i="11"/>
  <c r="T1294" i="11"/>
  <c r="T1293" i="11"/>
  <c r="T1291" i="11"/>
  <c r="T1290" i="11"/>
  <c r="T1287" i="11"/>
  <c r="T1286" i="11"/>
  <c r="T1285" i="11"/>
  <c r="T1275" i="11"/>
  <c r="T1282" i="11"/>
  <c r="T1280" i="11"/>
  <c r="T1277" i="11"/>
  <c r="T1281" i="11"/>
  <c r="T1279" i="11"/>
  <c r="T1278" i="11"/>
  <c r="T1283" i="11"/>
  <c r="T1276" i="11"/>
  <c r="T1274" i="11"/>
  <c r="T1273" i="11"/>
  <c r="T1272" i="11"/>
  <c r="T1271" i="11"/>
  <c r="T1269" i="11"/>
  <c r="T1268" i="11"/>
  <c r="T1267" i="11"/>
  <c r="T1266" i="11"/>
  <c r="T1265" i="11"/>
  <c r="T1264" i="11"/>
  <c r="T1263" i="11"/>
  <c r="T1262" i="11"/>
  <c r="T1261" i="11"/>
  <c r="T1259" i="11"/>
  <c r="T1258" i="11"/>
  <c r="T1257" i="11"/>
  <c r="T1256" i="11"/>
  <c r="T1255" i="11"/>
  <c r="T1254" i="11"/>
  <c r="T1253" i="11"/>
  <c r="T1250" i="11"/>
  <c r="T1248" i="11"/>
  <c r="T1249" i="11"/>
  <c r="T1247" i="11"/>
  <c r="T1246" i="11"/>
  <c r="T1245" i="11"/>
  <c r="T1244" i="11"/>
  <c r="T1243" i="11"/>
  <c r="T1242" i="11"/>
  <c r="T1241" i="11"/>
  <c r="T1240" i="11"/>
  <c r="T1239" i="11"/>
  <c r="T1238" i="11"/>
  <c r="T1237" i="11"/>
  <c r="T1236" i="11"/>
  <c r="T1235" i="11"/>
  <c r="T1234" i="11"/>
  <c r="T1233" i="11"/>
  <c r="T1232" i="11"/>
  <c r="T1231" i="11"/>
  <c r="T1230" i="11"/>
  <c r="T1229" i="11"/>
  <c r="T1228" i="11"/>
  <c r="T1227" i="11"/>
  <c r="T1226" i="11"/>
  <c r="T1225" i="11"/>
  <c r="T1223" i="11"/>
  <c r="T1222" i="11"/>
  <c r="T1221" i="11"/>
  <c r="T1220" i="11"/>
  <c r="T1219" i="11"/>
  <c r="T1218" i="11"/>
  <c r="T1217" i="11"/>
  <c r="T1216" i="11"/>
  <c r="T1215" i="11"/>
  <c r="T1214" i="11"/>
  <c r="T1212" i="11"/>
  <c r="T1211" i="11"/>
  <c r="T1210" i="11"/>
  <c r="T1209" i="11"/>
  <c r="T1208" i="11"/>
  <c r="T1206" i="11"/>
  <c r="T1205" i="11"/>
  <c r="T1204" i="11"/>
  <c r="T1203" i="11"/>
  <c r="T1200" i="11"/>
  <c r="T1198" i="11"/>
  <c r="T1197" i="11"/>
  <c r="T1196" i="11"/>
  <c r="T1195" i="11"/>
  <c r="T1193" i="11"/>
  <c r="T1194" i="11"/>
  <c r="T1192" i="11"/>
  <c r="T1191" i="11"/>
  <c r="T1190" i="11"/>
  <c r="T1189" i="11"/>
  <c r="T1188" i="11"/>
  <c r="T1187" i="11"/>
  <c r="T1186" i="11"/>
  <c r="T1185" i="11"/>
  <c r="T1184" i="11"/>
  <c r="T1167" i="11"/>
  <c r="T1174" i="11"/>
  <c r="T1171" i="11"/>
  <c r="T1170" i="11"/>
  <c r="T1169" i="11"/>
  <c r="T1165" i="11"/>
  <c r="T1175" i="11"/>
  <c r="T1178" i="11"/>
  <c r="T1176" i="11"/>
  <c r="T1172" i="11"/>
  <c r="T1168" i="11"/>
  <c r="T1149" i="11"/>
  <c r="T1148" i="11"/>
  <c r="T1143" i="11"/>
  <c r="T1161" i="11"/>
  <c r="T1158" i="11"/>
  <c r="T1154" i="11"/>
  <c r="T1153" i="11"/>
  <c r="T1152" i="11"/>
  <c r="T1150" i="11"/>
  <c r="T1147" i="11"/>
  <c r="T1145" i="11"/>
  <c r="T1131" i="11"/>
  <c r="T1130" i="11"/>
  <c r="T1141" i="11"/>
  <c r="T1140" i="11"/>
  <c r="T1139" i="11"/>
  <c r="T1136" i="11"/>
  <c r="T1132" i="11"/>
  <c r="T1127" i="11"/>
  <c r="T1125" i="11"/>
  <c r="T1121" i="11"/>
  <c r="T1122" i="11"/>
  <c r="T1114" i="11"/>
  <c r="T1112" i="11"/>
  <c r="T1124" i="11"/>
  <c r="T1123" i="11"/>
  <c r="T1120" i="11"/>
  <c r="T1119" i="11"/>
  <c r="T1118" i="11"/>
  <c r="T1117" i="11"/>
  <c r="T1116" i="11"/>
  <c r="T1115" i="11"/>
  <c r="T1111" i="11"/>
  <c r="T1110" i="11"/>
  <c r="T1108" i="11"/>
  <c r="T1107" i="11"/>
  <c r="T1105" i="11"/>
  <c r="T1104" i="11"/>
  <c r="T1103" i="11"/>
  <c r="T1091" i="11"/>
  <c r="T1089" i="11"/>
  <c r="T1063" i="11"/>
  <c r="T1034" i="11"/>
  <c r="T1095" i="11"/>
  <c r="T1093" i="11"/>
  <c r="T1092" i="11"/>
  <c r="T1047" i="11"/>
  <c r="T1015" i="11"/>
  <c r="T1096" i="11"/>
  <c r="T1069" i="11"/>
  <c r="T1067" i="11"/>
  <c r="T1101" i="11"/>
  <c r="T1100" i="11"/>
  <c r="T1099" i="11"/>
  <c r="T1098" i="11"/>
  <c r="T1094" i="11"/>
  <c r="T1090" i="11"/>
  <c r="T1088" i="11"/>
  <c r="T1087" i="11"/>
  <c r="T1086" i="11"/>
  <c r="T1085" i="11"/>
  <c r="T1084" i="11"/>
  <c r="T1083" i="11"/>
  <c r="T1082" i="11"/>
  <c r="T1081" i="11"/>
  <c r="T1079" i="11"/>
  <c r="T1078" i="11"/>
  <c r="T1076" i="11"/>
  <c r="T1075" i="11"/>
  <c r="T1074" i="11"/>
  <c r="T1072" i="11"/>
  <c r="T1071" i="11"/>
  <c r="T1070" i="11"/>
  <c r="T1068" i="11"/>
  <c r="T1066" i="11"/>
  <c r="T1056" i="11"/>
  <c r="T1064" i="11"/>
  <c r="T1060" i="11"/>
  <c r="T1059" i="11"/>
  <c r="T1058" i="11"/>
  <c r="T1057" i="11"/>
  <c r="T1055" i="11"/>
  <c r="T1053" i="11"/>
  <c r="T1052" i="11"/>
  <c r="T1029" i="11"/>
  <c r="T1051" i="11"/>
  <c r="T1050" i="11"/>
  <c r="T1046" i="11"/>
  <c r="T1044" i="11"/>
  <c r="T1045" i="11"/>
  <c r="T1039" i="11"/>
  <c r="T1042" i="11"/>
  <c r="T1040" i="11"/>
  <c r="T1038" i="11"/>
  <c r="T1035" i="11"/>
  <c r="T1037" i="11"/>
  <c r="T1036" i="11"/>
  <c r="T1054" i="11"/>
  <c r="T1033" i="11"/>
  <c r="T1027" i="11"/>
  <c r="T1028" i="11"/>
  <c r="T1025" i="11"/>
  <c r="T1026" i="11"/>
  <c r="T1024" i="11"/>
  <c r="T1023" i="11"/>
  <c r="T1022" i="11"/>
  <c r="T1020" i="11"/>
  <c r="T1021" i="11"/>
  <c r="T1019" i="11"/>
  <c r="T1018" i="11"/>
  <c r="T1016" i="11"/>
  <c r="T1017" i="11"/>
  <c r="T1013" i="11"/>
  <c r="T1012" i="11"/>
  <c r="T1010" i="11"/>
  <c r="T1008" i="11"/>
  <c r="T1007" i="11"/>
  <c r="T1006" i="11"/>
  <c r="T1005" i="11"/>
  <c r="T1002" i="11"/>
  <c r="T1001" i="11"/>
  <c r="T1000" i="11"/>
  <c r="T997" i="11"/>
  <c r="T995" i="11"/>
  <c r="T994" i="11"/>
  <c r="T993" i="11"/>
  <c r="T991" i="11"/>
  <c r="T990" i="11"/>
  <c r="T989" i="11"/>
  <c r="T988" i="11"/>
  <c r="T987" i="11"/>
  <c r="T986" i="11"/>
  <c r="T984" i="11"/>
  <c r="T983" i="11"/>
  <c r="T981" i="11"/>
  <c r="T980" i="11"/>
  <c r="T977" i="11"/>
  <c r="T976" i="11"/>
  <c r="T975" i="11"/>
  <c r="T973" i="11"/>
  <c r="T972" i="11"/>
  <c r="T971" i="11"/>
  <c r="T970" i="11"/>
  <c r="T969" i="11"/>
  <c r="T968" i="11"/>
  <c r="T967" i="11"/>
  <c r="T963" i="11"/>
  <c r="T960" i="11"/>
  <c r="S3103" i="11"/>
  <c r="S3102" i="11"/>
  <c r="S3101" i="11"/>
  <c r="S3100" i="11"/>
  <c r="S3099" i="11"/>
  <c r="S3098" i="11"/>
  <c r="S3097" i="11"/>
  <c r="S3096" i="11"/>
  <c r="S3095" i="11"/>
  <c r="S3094" i="11"/>
  <c r="S3093" i="11"/>
  <c r="S3092" i="11"/>
  <c r="S3091" i="11"/>
  <c r="S3090" i="11"/>
  <c r="S3089" i="11"/>
  <c r="S3088" i="11"/>
  <c r="S3068" i="11"/>
  <c r="S3087" i="11"/>
  <c r="S3079" i="11"/>
  <c r="S3081" i="11"/>
  <c r="S3078" i="11"/>
  <c r="S3077" i="11"/>
  <c r="S3076" i="11"/>
  <c r="S3075" i="11"/>
  <c r="S3066" i="11"/>
  <c r="S3064" i="11"/>
  <c r="S3063" i="11"/>
  <c r="S3055" i="11"/>
  <c r="S3062" i="11"/>
  <c r="S3059" i="11"/>
  <c r="S3058" i="11"/>
  <c r="S3057" i="11"/>
  <c r="S3056" i="11"/>
  <c r="S3054" i="11"/>
  <c r="S3053" i="11"/>
  <c r="S3051" i="11"/>
  <c r="S3050" i="11"/>
  <c r="S3049" i="11"/>
  <c r="S3047" i="11"/>
  <c r="S3040" i="11"/>
  <c r="S3031" i="11"/>
  <c r="S3045" i="11"/>
  <c r="S3044" i="11"/>
  <c r="S3043" i="11"/>
  <c r="S3038" i="11"/>
  <c r="S3037" i="11"/>
  <c r="S3036" i="11"/>
  <c r="S3035" i="11"/>
  <c r="S3034" i="11"/>
  <c r="S3033" i="11"/>
  <c r="S3032" i="11"/>
  <c r="S3030" i="11"/>
  <c r="S3029" i="11"/>
  <c r="S3028" i="11"/>
  <c r="S3027" i="11"/>
  <c r="S3024" i="11"/>
  <c r="S3022" i="11"/>
  <c r="S3021" i="11"/>
  <c r="S3020" i="11"/>
  <c r="S3019" i="11"/>
  <c r="S3017" i="11"/>
  <c r="S3009" i="11"/>
  <c r="S3015" i="11"/>
  <c r="S3014" i="11"/>
  <c r="S3013" i="11"/>
  <c r="S3012" i="11"/>
  <c r="S3011" i="11"/>
  <c r="S3010" i="11"/>
  <c r="S3008" i="11"/>
  <c r="S3007" i="11"/>
  <c r="S3016" i="11"/>
  <c r="S3005" i="11"/>
  <c r="S3004" i="11"/>
  <c r="S3001" i="11"/>
  <c r="S3000" i="11"/>
  <c r="S2998" i="11"/>
  <c r="S2997" i="11"/>
  <c r="S3002" i="11"/>
  <c r="S2988" i="11"/>
  <c r="S2996" i="11"/>
  <c r="S2995" i="11"/>
  <c r="S2994" i="11"/>
  <c r="S2990" i="11"/>
  <c r="S2989" i="11"/>
  <c r="S2987" i="11"/>
  <c r="S2985" i="11"/>
  <c r="S2984" i="11"/>
  <c r="S2979" i="11"/>
  <c r="S2983" i="11"/>
  <c r="S2982" i="11"/>
  <c r="S2980" i="11"/>
  <c r="S2977" i="11"/>
  <c r="S2976" i="11"/>
  <c r="S2975" i="11"/>
  <c r="S2974" i="11"/>
  <c r="S2978" i="11"/>
  <c r="S2973" i="11"/>
  <c r="S2972" i="11"/>
  <c r="S2971" i="11"/>
  <c r="S2970" i="11"/>
  <c r="S2969" i="11"/>
  <c r="S2968" i="11"/>
  <c r="S2967" i="11"/>
  <c r="S2966" i="11"/>
  <c r="S2965" i="11"/>
  <c r="S2964" i="11"/>
  <c r="S2962" i="11"/>
  <c r="S2961" i="11"/>
  <c r="S2960" i="11"/>
  <c r="S2959" i="11"/>
  <c r="S2956" i="11"/>
  <c r="S2947" i="11"/>
  <c r="S2946" i="11"/>
  <c r="S2945" i="11"/>
  <c r="S2951" i="11"/>
  <c r="S2944" i="11"/>
  <c r="S2943" i="11"/>
  <c r="S2948" i="11"/>
  <c r="S2942" i="11"/>
  <c r="S2950" i="11"/>
  <c r="S2953" i="11"/>
  <c r="S2941" i="11"/>
  <c r="S2952" i="11"/>
  <c r="S2949" i="11"/>
  <c r="S2940" i="11"/>
  <c r="S2939" i="11"/>
  <c r="S2938" i="11"/>
  <c r="S2937" i="11"/>
  <c r="S2936" i="11"/>
  <c r="S2935" i="11"/>
  <c r="S2934" i="11"/>
  <c r="S2932" i="11"/>
  <c r="S2931" i="11"/>
  <c r="S2930" i="11"/>
  <c r="S2929" i="11"/>
  <c r="S2928" i="11"/>
  <c r="S2927" i="11"/>
  <c r="S2926" i="11"/>
  <c r="S2925" i="11"/>
  <c r="S2924" i="11"/>
  <c r="S2922" i="11"/>
  <c r="S2919" i="11"/>
  <c r="S2918" i="11"/>
  <c r="S2917" i="11"/>
  <c r="S2916" i="11"/>
  <c r="S2915" i="11"/>
  <c r="S2914" i="11"/>
  <c r="S2912" i="11"/>
  <c r="S2911" i="11"/>
  <c r="S2897" i="11"/>
  <c r="S2908" i="11"/>
  <c r="S2907" i="11"/>
  <c r="S2906" i="11"/>
  <c r="S2904" i="11"/>
  <c r="S2903" i="11"/>
  <c r="S2902" i="11"/>
  <c r="S2901" i="11"/>
  <c r="S2900" i="11"/>
  <c r="S2898" i="11"/>
  <c r="S2895" i="11"/>
  <c r="S2892" i="11"/>
  <c r="S2891" i="11"/>
  <c r="S2890" i="11"/>
  <c r="S2889" i="11"/>
  <c r="S2875" i="11"/>
  <c r="S2873" i="11"/>
  <c r="S2872" i="11"/>
  <c r="S2869" i="11"/>
  <c r="S2864" i="11"/>
  <c r="S2863" i="11"/>
  <c r="S2860" i="11"/>
  <c r="S2857" i="11"/>
  <c r="S2886" i="11"/>
  <c r="S2885" i="11"/>
  <c r="S2884" i="11"/>
  <c r="S2883" i="11"/>
  <c r="S2882" i="11"/>
  <c r="S2881" i="11"/>
  <c r="S2880" i="11"/>
  <c r="S2879" i="11"/>
  <c r="S2878" i="11"/>
  <c r="S2877" i="11"/>
  <c r="S2876" i="11"/>
  <c r="S2874" i="11"/>
  <c r="S2871" i="11"/>
  <c r="S2870" i="11"/>
  <c r="S2868" i="11"/>
  <c r="S2867" i="11"/>
  <c r="S2865" i="11"/>
  <c r="S2861" i="11"/>
  <c r="S1807" i="11"/>
  <c r="S1806" i="11"/>
  <c r="S1805" i="11"/>
  <c r="S1803" i="11"/>
  <c r="S1802" i="11"/>
  <c r="S1800" i="11"/>
  <c r="S1799" i="11"/>
  <c r="S1801" i="11"/>
  <c r="S1798" i="11"/>
  <c r="S1797" i="11"/>
  <c r="S1796" i="11"/>
  <c r="S1795" i="11"/>
  <c r="S1794" i="11"/>
  <c r="S1792" i="11"/>
  <c r="S1791" i="11"/>
  <c r="S1789" i="11"/>
  <c r="S1788" i="11"/>
  <c r="S1786" i="11"/>
  <c r="S1785" i="11"/>
  <c r="S1784" i="11"/>
  <c r="S1783" i="11"/>
  <c r="S1782" i="11"/>
  <c r="S1781" i="11"/>
  <c r="S1780" i="11"/>
  <c r="S1779" i="11"/>
  <c r="S1778" i="11"/>
  <c r="S1777" i="11"/>
  <c r="S1776" i="11"/>
  <c r="S1775" i="11"/>
  <c r="S1774" i="11"/>
  <c r="S1773" i="11"/>
  <c r="S1772" i="11"/>
  <c r="S1771" i="11"/>
  <c r="S1770" i="11"/>
  <c r="S1769" i="11"/>
  <c r="S1768" i="11"/>
  <c r="S1767" i="11"/>
  <c r="S1765" i="11"/>
  <c r="S1764" i="11"/>
  <c r="S1761" i="11"/>
  <c r="S1760" i="11"/>
  <c r="S1756" i="11"/>
  <c r="S1755" i="11"/>
  <c r="S1754" i="11"/>
  <c r="S1753" i="11"/>
  <c r="S1752" i="11"/>
  <c r="S1750" i="11"/>
  <c r="S1749" i="11"/>
  <c r="S1748" i="11"/>
  <c r="S1747" i="11"/>
  <c r="S1745" i="11"/>
  <c r="S1744" i="11"/>
  <c r="S1743" i="11"/>
  <c r="S1751" i="11"/>
  <c r="S1741" i="11"/>
  <c r="S1739" i="11"/>
  <c r="S1738" i="11"/>
  <c r="S1736" i="11"/>
  <c r="S1735" i="11"/>
  <c r="S1725" i="11"/>
  <c r="S1721" i="11"/>
  <c r="S1722" i="11"/>
  <c r="S1734" i="11"/>
  <c r="S1733" i="11"/>
  <c r="S1732" i="11"/>
  <c r="S1731" i="11"/>
  <c r="S1728" i="11"/>
  <c r="S1726" i="11"/>
  <c r="S1723" i="11"/>
  <c r="S1720" i="11"/>
  <c r="S1718" i="11"/>
  <c r="S1716" i="11"/>
  <c r="S1715" i="11"/>
  <c r="S1714" i="11"/>
  <c r="S1709" i="11"/>
  <c r="S1708" i="11"/>
  <c r="S1707" i="11"/>
  <c r="S1706" i="11"/>
  <c r="S1702" i="11"/>
  <c r="S1700" i="11"/>
  <c r="S1699" i="11"/>
  <c r="S1698" i="11"/>
  <c r="S1697" i="11"/>
  <c r="S1696" i="11"/>
  <c r="S1694" i="11"/>
  <c r="S1693" i="11"/>
  <c r="S1692" i="11"/>
  <c r="S1691" i="11"/>
  <c r="S1690" i="11"/>
  <c r="S1689" i="11"/>
  <c r="S1685" i="11"/>
  <c r="S1684" i="11"/>
  <c r="S1683" i="11"/>
  <c r="S1680" i="11"/>
  <c r="S1679" i="11"/>
  <c r="S1675" i="11"/>
  <c r="S1674" i="11"/>
  <c r="S1673" i="11"/>
  <c r="S1672" i="11"/>
  <c r="S1669" i="11"/>
  <c r="S1668" i="11"/>
  <c r="S1667" i="11"/>
  <c r="S1665" i="11"/>
  <c r="S1664" i="11"/>
  <c r="S1663" i="11"/>
  <c r="S1662" i="11"/>
  <c r="S1660" i="11"/>
  <c r="S1658" i="11"/>
  <c r="S1655" i="11"/>
  <c r="S1654" i="11"/>
  <c r="S1651" i="11"/>
  <c r="S1643" i="11"/>
  <c r="S1641" i="11"/>
  <c r="S1639" i="11"/>
  <c r="S1636" i="11"/>
  <c r="S1635" i="11"/>
  <c r="S1627" i="11"/>
  <c r="S1625" i="11"/>
  <c r="S1622" i="11"/>
  <c r="S1621" i="11"/>
  <c r="S1620" i="11"/>
  <c r="S1619" i="11"/>
  <c r="S1616" i="11"/>
  <c r="S1615" i="11"/>
  <c r="S1646" i="11"/>
  <c r="S1645" i="11"/>
  <c r="S1642" i="11"/>
  <c r="S1640" i="11"/>
  <c r="S1638" i="11"/>
  <c r="S1634" i="11"/>
  <c r="S1633" i="11"/>
  <c r="S1632" i="11"/>
  <c r="S1631" i="11"/>
  <c r="S1630" i="11"/>
  <c r="S1629" i="11"/>
  <c r="S1628" i="11"/>
  <c r="S1618" i="11"/>
  <c r="S1612" i="11"/>
  <c r="S1611" i="11"/>
  <c r="S1610" i="11"/>
  <c r="S1608" i="11"/>
  <c r="S1607" i="11"/>
  <c r="S1609" i="11"/>
  <c r="S1606" i="11"/>
  <c r="S1605" i="11"/>
  <c r="S1604" i="11"/>
  <c r="S1603" i="11"/>
  <c r="S1602" i="11"/>
  <c r="S1601" i="11"/>
  <c r="S1600" i="11"/>
  <c r="S1599" i="11"/>
  <c r="S1598" i="11"/>
  <c r="S1589" i="11"/>
  <c r="S1590" i="11"/>
  <c r="S1588" i="11"/>
  <c r="S1587" i="11"/>
  <c r="S1586" i="11"/>
  <c r="S1583" i="11"/>
  <c r="S1573" i="11"/>
  <c r="S1582" i="11"/>
  <c r="S1579" i="11"/>
  <c r="S1578" i="11"/>
  <c r="S1577" i="11"/>
  <c r="S1576" i="11"/>
  <c r="S1575" i="11"/>
  <c r="S1574" i="11"/>
  <c r="S1572" i="11"/>
  <c r="S1571" i="11"/>
  <c r="S1567" i="11"/>
  <c r="S1566" i="11"/>
  <c r="S1565" i="11"/>
  <c r="S1563" i="11"/>
  <c r="S1564" i="11"/>
  <c r="S1562" i="11"/>
  <c r="S1560" i="11"/>
  <c r="S1558" i="11"/>
  <c r="S1556" i="11"/>
  <c r="S1552" i="11"/>
  <c r="S1548" i="11"/>
  <c r="S1543" i="11"/>
  <c r="S1542" i="11"/>
  <c r="S1541" i="11"/>
  <c r="S1538" i="11"/>
  <c r="S1537" i="11"/>
  <c r="S1533" i="11"/>
  <c r="S1534" i="11"/>
  <c r="S1531" i="11"/>
  <c r="S1530" i="11"/>
  <c r="S1529" i="11"/>
  <c r="S1528" i="11"/>
  <c r="S1527" i="11"/>
  <c r="S1526" i="11"/>
  <c r="S1525" i="11"/>
  <c r="S1524" i="11"/>
  <c r="S1523" i="11"/>
  <c r="S1520" i="11"/>
  <c r="S1519" i="11"/>
  <c r="S1512" i="11"/>
  <c r="S1518" i="11"/>
  <c r="S1517" i="11"/>
  <c r="S1515" i="11"/>
  <c r="S1514" i="11"/>
  <c r="S1513" i="11"/>
  <c r="S1511" i="11"/>
  <c r="S1509" i="11"/>
  <c r="S1508" i="11"/>
  <c r="S1507" i="11"/>
  <c r="S1506" i="11"/>
  <c r="S1504" i="11"/>
  <c r="S1501" i="11"/>
  <c r="S1500" i="11"/>
  <c r="S1491" i="11"/>
  <c r="S1490" i="11"/>
  <c r="S1493" i="11"/>
  <c r="S1489" i="11"/>
  <c r="S1484" i="11"/>
  <c r="S1473" i="11"/>
  <c r="S1483" i="11"/>
  <c r="S1482" i="11"/>
  <c r="S1481" i="11"/>
  <c r="S1480" i="11"/>
  <c r="S1479" i="11"/>
  <c r="S1478" i="11"/>
  <c r="S1477" i="11"/>
  <c r="S1476" i="11"/>
  <c r="S1475" i="11"/>
  <c r="S1474" i="11"/>
  <c r="S1472" i="11"/>
  <c r="S1471" i="11"/>
  <c r="S1470" i="11"/>
  <c r="S1468" i="11"/>
  <c r="S1467" i="11"/>
  <c r="S1466" i="11"/>
  <c r="S1465" i="11"/>
  <c r="S1464" i="11"/>
  <c r="S1463" i="11"/>
  <c r="S1469" i="11"/>
  <c r="S1456" i="11"/>
  <c r="S1462" i="11"/>
  <c r="S1461" i="11"/>
  <c r="S1460" i="11"/>
  <c r="S1459" i="11"/>
  <c r="S1458" i="11"/>
  <c r="S1457" i="11"/>
  <c r="S1455" i="11"/>
  <c r="S1454" i="11"/>
  <c r="S1453" i="11"/>
  <c r="S1452" i="11"/>
  <c r="S1451" i="11"/>
  <c r="S1450" i="11"/>
  <c r="S1449" i="11"/>
  <c r="S1445" i="11"/>
  <c r="S1444" i="11"/>
  <c r="S1441" i="11"/>
  <c r="S1439" i="11"/>
  <c r="S1438" i="11"/>
  <c r="S1433" i="11"/>
  <c r="S1432" i="11"/>
  <c r="S1431" i="11"/>
  <c r="S1434" i="11"/>
  <c r="S1429" i="11"/>
  <c r="S1427" i="11"/>
  <c r="S1406" i="11"/>
  <c r="S1423" i="11"/>
  <c r="S1421" i="11"/>
  <c r="S1420" i="11"/>
  <c r="S1419" i="11"/>
  <c r="S1418" i="11"/>
  <c r="S1405" i="11"/>
  <c r="S1417" i="11"/>
  <c r="S1416" i="11"/>
  <c r="S1414" i="11"/>
  <c r="S1413" i="11"/>
  <c r="S1411" i="11"/>
  <c r="S1408" i="11"/>
  <c r="S1407" i="11"/>
  <c r="S1404" i="11"/>
  <c r="S1392" i="11"/>
  <c r="S1400" i="11"/>
  <c r="S1398" i="11"/>
  <c r="S1397" i="11"/>
  <c r="S1396" i="11"/>
  <c r="S1395" i="11"/>
  <c r="S1385" i="11"/>
  <c r="S1391" i="11"/>
  <c r="S1390" i="11"/>
  <c r="S1389" i="11"/>
  <c r="S1387" i="11"/>
  <c r="S1386" i="11"/>
  <c r="S1384" i="11"/>
  <c r="S1383" i="11"/>
  <c r="S1382" i="11"/>
  <c r="S1381" i="11"/>
  <c r="S1380" i="11"/>
  <c r="S1379" i="11"/>
  <c r="S1378" i="11"/>
  <c r="S1377" i="11"/>
  <c r="S1376" i="11"/>
  <c r="S1373" i="11"/>
  <c r="S1370" i="11"/>
  <c r="S1366" i="11"/>
  <c r="S1365" i="11"/>
  <c r="S1367" i="11"/>
  <c r="S1359" i="11"/>
  <c r="S1356" i="11"/>
  <c r="S1353" i="11"/>
  <c r="S1350" i="11"/>
  <c r="S1347" i="11"/>
  <c r="S1345" i="11"/>
  <c r="S1344" i="11"/>
  <c r="S1343" i="11"/>
  <c r="S1342" i="11"/>
  <c r="S1341" i="11"/>
  <c r="S1340" i="11"/>
  <c r="S1338" i="11"/>
  <c r="S1337" i="11"/>
  <c r="S1336" i="11"/>
  <c r="S1335" i="11"/>
  <c r="S1331" i="11"/>
  <c r="S1330" i="11"/>
  <c r="S1329" i="11"/>
  <c r="S1328" i="11"/>
  <c r="S1327" i="11"/>
  <c r="S1326" i="11"/>
  <c r="S1325" i="11"/>
  <c r="S1324" i="11"/>
  <c r="S1323" i="11"/>
  <c r="S1322" i="11"/>
  <c r="S1321" i="11"/>
  <c r="S1320" i="11"/>
  <c r="S1318" i="11"/>
  <c r="S1317" i="11"/>
  <c r="S1316" i="11"/>
  <c r="S1315" i="11"/>
  <c r="S1314" i="11"/>
  <c r="S1313" i="11"/>
  <c r="S1312" i="11"/>
  <c r="S1311" i="11"/>
  <c r="S1310" i="11"/>
  <c r="S1309" i="11"/>
  <c r="S1308" i="11"/>
  <c r="S1307" i="11"/>
  <c r="S1305" i="11"/>
  <c r="S1304" i="11"/>
  <c r="S1303" i="11"/>
  <c r="S1301" i="11"/>
  <c r="S1300" i="11"/>
  <c r="S1299" i="11"/>
  <c r="S1298" i="11"/>
  <c r="S1296" i="11"/>
  <c r="S1294" i="11"/>
  <c r="S1293" i="11"/>
  <c r="S1291" i="11"/>
  <c r="S1290" i="11"/>
  <c r="S1287" i="11"/>
  <c r="S1286" i="11"/>
  <c r="S1285" i="11"/>
  <c r="S1275" i="11"/>
  <c r="S1282" i="11"/>
  <c r="S1280" i="11"/>
  <c r="S1277" i="11"/>
  <c r="S1281" i="11"/>
  <c r="S1279" i="11"/>
  <c r="S1278" i="11"/>
  <c r="S1283" i="11"/>
  <c r="S1276" i="11"/>
  <c r="S1274" i="11"/>
  <c r="S1273" i="11"/>
  <c r="S1272" i="11"/>
  <c r="S1271" i="11"/>
  <c r="S1269" i="11"/>
  <c r="S1268" i="11"/>
  <c r="S1267" i="11"/>
  <c r="S1266" i="11"/>
  <c r="S1265" i="11"/>
  <c r="S1264" i="11"/>
  <c r="S1263" i="11"/>
  <c r="S1262" i="11"/>
  <c r="S1261" i="11"/>
  <c r="S1259" i="11"/>
  <c r="S1258" i="11"/>
  <c r="S1257" i="11"/>
  <c r="S1256" i="11"/>
  <c r="S1255" i="11"/>
  <c r="S1254" i="11"/>
  <c r="S1253" i="11"/>
  <c r="S1250" i="11"/>
  <c r="S1248" i="11"/>
  <c r="S1249" i="11"/>
  <c r="S1247" i="11"/>
  <c r="S1246" i="11"/>
  <c r="S1245" i="11"/>
  <c r="S1244" i="11"/>
  <c r="S1243" i="11"/>
  <c r="S1242" i="11"/>
  <c r="S1241" i="11"/>
  <c r="S1240" i="11"/>
  <c r="S1239" i="11"/>
  <c r="S1238" i="11"/>
  <c r="S1237" i="11"/>
  <c r="S1236" i="11"/>
  <c r="S1235" i="11"/>
  <c r="S1234" i="11"/>
  <c r="S1233" i="11"/>
  <c r="S1232" i="11"/>
  <c r="S1231" i="11"/>
  <c r="S1230" i="11"/>
  <c r="S1229" i="11"/>
  <c r="S1228" i="11"/>
  <c r="S1227" i="11"/>
  <c r="S1226" i="11"/>
  <c r="S1225" i="11"/>
  <c r="S1223" i="11"/>
  <c r="S1222" i="11"/>
  <c r="S1221" i="11"/>
  <c r="S1220" i="11"/>
  <c r="S1219" i="11"/>
  <c r="S1218" i="11"/>
  <c r="S1217" i="11"/>
  <c r="S1216" i="11"/>
  <c r="S1215" i="11"/>
  <c r="S1214" i="11"/>
  <c r="S1212" i="11"/>
  <c r="S1211" i="11"/>
  <c r="S1210" i="11"/>
  <c r="S1209" i="11"/>
  <c r="S1208" i="11"/>
  <c r="S1206" i="11"/>
  <c r="S1205" i="11"/>
  <c r="S1204" i="11"/>
  <c r="S1203" i="11"/>
  <c r="S1200" i="11"/>
  <c r="S1198" i="11"/>
  <c r="S1197" i="11"/>
  <c r="S1196" i="11"/>
  <c r="S1195" i="11"/>
  <c r="S1193" i="11"/>
  <c r="S1194" i="11"/>
  <c r="S1192" i="11"/>
  <c r="S1191" i="11"/>
  <c r="S1190" i="11"/>
  <c r="S1189" i="11"/>
  <c r="S1188" i="11"/>
  <c r="S1187" i="11"/>
  <c r="S1186" i="11"/>
  <c r="S1185" i="11"/>
  <c r="S1184" i="11"/>
  <c r="S1167" i="11"/>
  <c r="S1174" i="11"/>
  <c r="S1171" i="11"/>
  <c r="S1170" i="11"/>
  <c r="S1169" i="11"/>
  <c r="S1165" i="11"/>
  <c r="S1175" i="11"/>
  <c r="S1178" i="11"/>
  <c r="S1176" i="11"/>
  <c r="S1172" i="11"/>
  <c r="S1168" i="11"/>
  <c r="S1149" i="11"/>
  <c r="S1148" i="11"/>
  <c r="S1143" i="11"/>
  <c r="S1161" i="11"/>
  <c r="S1158" i="11"/>
  <c r="S1154" i="11"/>
  <c r="S1153" i="11"/>
  <c r="S1152" i="11"/>
  <c r="S1150" i="11"/>
  <c r="S1147" i="11"/>
  <c r="S1145" i="11"/>
  <c r="S1131" i="11"/>
  <c r="S1130" i="11"/>
  <c r="S1141" i="11"/>
  <c r="S1140" i="11"/>
  <c r="S1139" i="11"/>
  <c r="S1136" i="11"/>
  <c r="S1132" i="11"/>
  <c r="S1127" i="11"/>
  <c r="S1125" i="11"/>
  <c r="S1121" i="11"/>
  <c r="S1122" i="11"/>
  <c r="S1114" i="11"/>
  <c r="S1112" i="11"/>
  <c r="S1124" i="11"/>
  <c r="S1123" i="11"/>
  <c r="S1120" i="11"/>
  <c r="S1119" i="11"/>
  <c r="S1118" i="11"/>
  <c r="S1117" i="11"/>
  <c r="S1116" i="11"/>
  <c r="S1115" i="11"/>
  <c r="S1111" i="11"/>
  <c r="S1110" i="11"/>
  <c r="S1108" i="11"/>
  <c r="S1107" i="11"/>
  <c r="S1105" i="11"/>
  <c r="S1104" i="11"/>
  <c r="S1103" i="11"/>
  <c r="S1091" i="11"/>
  <c r="S1089" i="11"/>
  <c r="S1063" i="11"/>
  <c r="S1034" i="11"/>
  <c r="S1095" i="11"/>
  <c r="S1093" i="11"/>
  <c r="S1092" i="11"/>
  <c r="S1047" i="11"/>
  <c r="S1015" i="11"/>
  <c r="S1096" i="11"/>
  <c r="S1069" i="11"/>
  <c r="S1067" i="11"/>
  <c r="S1101" i="11"/>
  <c r="S1100" i="11"/>
  <c r="S1099" i="11"/>
  <c r="S1098" i="11"/>
  <c r="S1094" i="11"/>
  <c r="S1090" i="11"/>
  <c r="S1088" i="11"/>
  <c r="S1087" i="11"/>
  <c r="S1086" i="11"/>
  <c r="S1085" i="11"/>
  <c r="S1084" i="11"/>
  <c r="S1083" i="11"/>
  <c r="S1082" i="11"/>
  <c r="S1081" i="11"/>
  <c r="S1079" i="11"/>
  <c r="S1078" i="11"/>
  <c r="S1076" i="11"/>
  <c r="S1075" i="11"/>
  <c r="S1074" i="11"/>
  <c r="S1072" i="11"/>
  <c r="S1071" i="11"/>
  <c r="S1070" i="11"/>
  <c r="S1068" i="11"/>
  <c r="S1066" i="11"/>
  <c r="S1056" i="11"/>
  <c r="S1064" i="11"/>
  <c r="S1060" i="11"/>
  <c r="S1059" i="11"/>
  <c r="S1058" i="11"/>
  <c r="S1057" i="11"/>
  <c r="S1055" i="11"/>
  <c r="S1053" i="11"/>
  <c r="S1052" i="11"/>
  <c r="S1029" i="11"/>
  <c r="S1051" i="11"/>
  <c r="S1050" i="11"/>
  <c r="S1046" i="11"/>
  <c r="S1044" i="11"/>
  <c r="S1045" i="11"/>
  <c r="S1039" i="11"/>
  <c r="S1042" i="11"/>
  <c r="S1040" i="11"/>
  <c r="S1038" i="11"/>
  <c r="S1035" i="11"/>
  <c r="S1037" i="11"/>
  <c r="S1036" i="11"/>
  <c r="S1054" i="11"/>
  <c r="S1033" i="11"/>
  <c r="S1027" i="11"/>
  <c r="S1028" i="11"/>
  <c r="S1025" i="11"/>
  <c r="S1026" i="11"/>
  <c r="S1024" i="11"/>
  <c r="S1023" i="11"/>
  <c r="S1022" i="11"/>
  <c r="S1020" i="11"/>
  <c r="S1021" i="11"/>
  <c r="S1019" i="11"/>
  <c r="S1018" i="11"/>
  <c r="S1016" i="11"/>
  <c r="S1017" i="11"/>
  <c r="S1013" i="11"/>
  <c r="S1012" i="11"/>
  <c r="S1010" i="11"/>
  <c r="S1008" i="11"/>
  <c r="S1007" i="11"/>
  <c r="S1006" i="11"/>
  <c r="S1005" i="11"/>
  <c r="S1002" i="11"/>
  <c r="S1001" i="11"/>
  <c r="S1000" i="11"/>
  <c r="S997" i="11"/>
  <c r="S995" i="11"/>
  <c r="S994" i="11"/>
  <c r="S993" i="11"/>
  <c r="S991" i="11"/>
  <c r="S990" i="11"/>
  <c r="S989" i="11"/>
  <c r="S988" i="11"/>
  <c r="S987" i="11"/>
  <c r="S986" i="11"/>
  <c r="S984" i="11"/>
  <c r="S983" i="11"/>
  <c r="S981" i="11"/>
  <c r="S980" i="11"/>
  <c r="S977" i="11"/>
  <c r="S976" i="11"/>
  <c r="S975" i="11"/>
  <c r="S973" i="11"/>
  <c r="S972" i="11"/>
  <c r="S971" i="11"/>
  <c r="S970" i="11"/>
  <c r="S969" i="11"/>
  <c r="S968" i="11"/>
  <c r="S967" i="11"/>
  <c r="S963" i="11"/>
  <c r="S960" i="11"/>
  <c r="V2715" i="11"/>
  <c r="U2715" i="11"/>
  <c r="U2714" i="11"/>
  <c r="U2712" i="11"/>
  <c r="U2711" i="11"/>
  <c r="U2710" i="11"/>
  <c r="U2709" i="11"/>
  <c r="U2707" i="11"/>
  <c r="U2706" i="11"/>
  <c r="U2705" i="11"/>
  <c r="U2703" i="11"/>
  <c r="U2855" i="11"/>
  <c r="U2853" i="11"/>
  <c r="U2851" i="11"/>
  <c r="U2850" i="11"/>
  <c r="U2844" i="11"/>
  <c r="U2840" i="11"/>
  <c r="U2837" i="11"/>
  <c r="U2836" i="11"/>
  <c r="U2833" i="11"/>
  <c r="U2797" i="11"/>
  <c r="U2829" i="11"/>
  <c r="U2828" i="11"/>
  <c r="U2827" i="11"/>
  <c r="U2826" i="11"/>
  <c r="U2825" i="11"/>
  <c r="U2824" i="11"/>
  <c r="U2823" i="11"/>
  <c r="U2822" i="11"/>
  <c r="U2821" i="11"/>
  <c r="U2818" i="11"/>
  <c r="U2817" i="11"/>
  <c r="U2814" i="11"/>
  <c r="U2813" i="11"/>
  <c r="U2812" i="11"/>
  <c r="U2810" i="11"/>
  <c r="U2808" i="11"/>
  <c r="U2807" i="11"/>
  <c r="U2806" i="11"/>
  <c r="U2805" i="11"/>
  <c r="U2804" i="11"/>
  <c r="U2803" i="11"/>
  <c r="U2802" i="11"/>
  <c r="U2800" i="11"/>
  <c r="U2799" i="11"/>
  <c r="U2798" i="11"/>
  <c r="U2795" i="11"/>
  <c r="U2794" i="11"/>
  <c r="U2793" i="11"/>
  <c r="U2792" i="11"/>
  <c r="U2791" i="11"/>
  <c r="U2790" i="11"/>
  <c r="U2788" i="11"/>
  <c r="U2787" i="11"/>
  <c r="U2756" i="11"/>
  <c r="U2786" i="11"/>
  <c r="U2785" i="11"/>
  <c r="U2784" i="11"/>
  <c r="U2783" i="11"/>
  <c r="U2782" i="11"/>
  <c r="U2781" i="11"/>
  <c r="U2779" i="11"/>
  <c r="U2778" i="11"/>
  <c r="U2777" i="11"/>
  <c r="U2776" i="11"/>
  <c r="U2775" i="11"/>
  <c r="U2774" i="11"/>
  <c r="U2773" i="11"/>
  <c r="U2772" i="11"/>
  <c r="U2771" i="11"/>
  <c r="U2770" i="11"/>
  <c r="U2768" i="11"/>
  <c r="U2767" i="11"/>
  <c r="U2766" i="11"/>
  <c r="U2765" i="11"/>
  <c r="U2764" i="11"/>
  <c r="U2763" i="11"/>
  <c r="U2762" i="11"/>
  <c r="U2761" i="11"/>
  <c r="U2754" i="11"/>
  <c r="U2753" i="11"/>
  <c r="U2752" i="11"/>
  <c r="U2751" i="11"/>
  <c r="U2750" i="11"/>
  <c r="U2749" i="11"/>
  <c r="U2748" i="11"/>
  <c r="U2747" i="11"/>
  <c r="U2746" i="11"/>
  <c r="U2745" i="11"/>
  <c r="U2744" i="11"/>
  <c r="U2743" i="11"/>
  <c r="U2742" i="11"/>
  <c r="U2741" i="11"/>
  <c r="U2736" i="11"/>
  <c r="U2732" i="11"/>
  <c r="U2731" i="11"/>
  <c r="U2727" i="11"/>
  <c r="U2726" i="11"/>
  <c r="U2725" i="11"/>
  <c r="U2724" i="11"/>
  <c r="U2722" i="11"/>
  <c r="U2721" i="11"/>
  <c r="U2717" i="11"/>
  <c r="U2700" i="11"/>
  <c r="U2699" i="11"/>
  <c r="U2697" i="11"/>
  <c r="U2696" i="11"/>
  <c r="U2694" i="11"/>
  <c r="U2693" i="11"/>
  <c r="U2691" i="11"/>
  <c r="U2688" i="11"/>
  <c r="U2686" i="11"/>
  <c r="U2683" i="11"/>
  <c r="U2682" i="11"/>
  <c r="U2678" i="11"/>
  <c r="U2677" i="11"/>
  <c r="U2675" i="11"/>
  <c r="U2674" i="11"/>
  <c r="U2673" i="11"/>
  <c r="U2672" i="11"/>
  <c r="U2671" i="11"/>
  <c r="U2670" i="11"/>
  <c r="U2669" i="11"/>
  <c r="U2666" i="11"/>
  <c r="U2664" i="11"/>
  <c r="U2663" i="11"/>
  <c r="U2662" i="11"/>
  <c r="U2661" i="11"/>
  <c r="U2660" i="11"/>
  <c r="U2659" i="11"/>
  <c r="U2658" i="11"/>
  <c r="U2651" i="11"/>
  <c r="U2649" i="11"/>
  <c r="U2647" i="11"/>
  <c r="U2646" i="11"/>
  <c r="U2644" i="11"/>
  <c r="U2639" i="11"/>
  <c r="U2638" i="11"/>
  <c r="U2637" i="11"/>
  <c r="U2636" i="11"/>
  <c r="U2635" i="11"/>
  <c r="U2629" i="11"/>
  <c r="U2628" i="11"/>
  <c r="U2627" i="11"/>
  <c r="U2626" i="11"/>
  <c r="U2624" i="11"/>
  <c r="U2623" i="11"/>
  <c r="U2622" i="11"/>
  <c r="U2621" i="11"/>
  <c r="U2620" i="11"/>
  <c r="U2618" i="11"/>
  <c r="U2617" i="11"/>
  <c r="U2613" i="11"/>
  <c r="U2610" i="11"/>
  <c r="U2608" i="11"/>
  <c r="U2606" i="11"/>
  <c r="U2603" i="11"/>
  <c r="U2602" i="11"/>
  <c r="U2601" i="11"/>
  <c r="U2599" i="11"/>
  <c r="U2596" i="11"/>
  <c r="U2594" i="11"/>
  <c r="U2592" i="11"/>
  <c r="U2591" i="11"/>
  <c r="U2590" i="11"/>
  <c r="U2589" i="11"/>
  <c r="U2584" i="11"/>
  <c r="U2582" i="11"/>
  <c r="U2580" i="11"/>
  <c r="U2579" i="11"/>
  <c r="U2578" i="11"/>
  <c r="U2576" i="11"/>
  <c r="U2575" i="11"/>
  <c r="U2574" i="11"/>
  <c r="U2573" i="11"/>
  <c r="U2571" i="11"/>
  <c r="U2564" i="11"/>
  <c r="U2563" i="11"/>
  <c r="U2562" i="11"/>
  <c r="U2559" i="11"/>
  <c r="U2557" i="11"/>
  <c r="U2555" i="11"/>
  <c r="U2553" i="11"/>
  <c r="U2548" i="11"/>
  <c r="U2547" i="11"/>
  <c r="U2546" i="11"/>
  <c r="U2545" i="11"/>
  <c r="U2544" i="11"/>
  <c r="U2543" i="11"/>
  <c r="U2540" i="11"/>
  <c r="U2538" i="11"/>
  <c r="U2537" i="11"/>
  <c r="U2536" i="11"/>
  <c r="U2535" i="11"/>
  <c r="U2533" i="11"/>
  <c r="U2532" i="11"/>
  <c r="U2531" i="11"/>
  <c r="U2529" i="11"/>
  <c r="U2528" i="11"/>
  <c r="U2527" i="11"/>
  <c r="U2526" i="11"/>
  <c r="U2524" i="11"/>
  <c r="U2523" i="11"/>
  <c r="U2522" i="11"/>
  <c r="U2521" i="11"/>
  <c r="U2520" i="11"/>
  <c r="U2519" i="11"/>
  <c r="U2518" i="11"/>
  <c r="U2516" i="11"/>
  <c r="U2515" i="11"/>
  <c r="U2513" i="11"/>
  <c r="U2512" i="11"/>
  <c r="U2511" i="11"/>
  <c r="U2510" i="11"/>
  <c r="U2509" i="11"/>
  <c r="U2506" i="11"/>
  <c r="U2505" i="11"/>
  <c r="U2491" i="11"/>
  <c r="U2504" i="11"/>
  <c r="U2503" i="11"/>
  <c r="U2500" i="11"/>
  <c r="U2498" i="11"/>
  <c r="U2497" i="11"/>
  <c r="U2496" i="11"/>
  <c r="U2495" i="11"/>
  <c r="U2494" i="11"/>
  <c r="U2493" i="11"/>
  <c r="U2492" i="11"/>
  <c r="U2490" i="11"/>
  <c r="U2489" i="11"/>
  <c r="U2488" i="11"/>
  <c r="U2487" i="11"/>
  <c r="U2486" i="11"/>
  <c r="U2485" i="11"/>
  <c r="U2484" i="11"/>
  <c r="U2483" i="11"/>
  <c r="U2482" i="11"/>
  <c r="U2481" i="11"/>
  <c r="U2480" i="11"/>
  <c r="U2479" i="11"/>
  <c r="U2478" i="11"/>
  <c r="U2477" i="11"/>
  <c r="U2476" i="11"/>
  <c r="U2475" i="11"/>
  <c r="U2474" i="11"/>
  <c r="U2473" i="11"/>
  <c r="U2472" i="11"/>
  <c r="U2471" i="11"/>
  <c r="U2469" i="11"/>
  <c r="U2468" i="11"/>
  <c r="U2467" i="11"/>
  <c r="U2466" i="11"/>
  <c r="U2465" i="11"/>
  <c r="U2464" i="11"/>
  <c r="U2463" i="11"/>
  <c r="U2461" i="11"/>
  <c r="U2460" i="11"/>
  <c r="U2453" i="11"/>
  <c r="U2451" i="11"/>
  <c r="U2458" i="11"/>
  <c r="U2457" i="11"/>
  <c r="U2455" i="11"/>
  <c r="U2450" i="11"/>
  <c r="U2449" i="11"/>
  <c r="U2448" i="11"/>
  <c r="U2447" i="11"/>
  <c r="U2446" i="11"/>
  <c r="U2444" i="11"/>
  <c r="U2441" i="11"/>
  <c r="U2439" i="11"/>
  <c r="U2438" i="11"/>
  <c r="U2436" i="11"/>
  <c r="U2433" i="11"/>
  <c r="U2421" i="11"/>
  <c r="U2417" i="11"/>
  <c r="U2416" i="11"/>
  <c r="U2413" i="11"/>
  <c r="U2412" i="11"/>
  <c r="U2411" i="11"/>
  <c r="U2410" i="11"/>
  <c r="U2409" i="11"/>
  <c r="U2402" i="11"/>
  <c r="U2400" i="11"/>
  <c r="U2396" i="11"/>
  <c r="U2393" i="11"/>
  <c r="U2386" i="11"/>
  <c r="U2385" i="11"/>
  <c r="U2425" i="11"/>
  <c r="U2383" i="11"/>
  <c r="U2382" i="11"/>
  <c r="U2381" i="11"/>
  <c r="U2376" i="11"/>
  <c r="U2374" i="11"/>
  <c r="U2373" i="11"/>
  <c r="U2378" i="11"/>
  <c r="U2371" i="11"/>
  <c r="U2369" i="11"/>
  <c r="U2368" i="11"/>
  <c r="U2367" i="11"/>
  <c r="U2366" i="11"/>
  <c r="U2365" i="11"/>
  <c r="U2363" i="11"/>
  <c r="U2362" i="11"/>
  <c r="U2361" i="11"/>
  <c r="U2356" i="11"/>
  <c r="U2355" i="11"/>
  <c r="U2354" i="11"/>
  <c r="U2349" i="11"/>
  <c r="U2348" i="11"/>
  <c r="U2347" i="11"/>
  <c r="T2715" i="11"/>
  <c r="T2714" i="11"/>
  <c r="T2712" i="11"/>
  <c r="T2711" i="11"/>
  <c r="T2710" i="11"/>
  <c r="T2709" i="11"/>
  <c r="T2707" i="11"/>
  <c r="T2706" i="11"/>
  <c r="T2705" i="11"/>
  <c r="T2703" i="11"/>
  <c r="T2855" i="11"/>
  <c r="T2853" i="11"/>
  <c r="T2851" i="11"/>
  <c r="T2850" i="11"/>
  <c r="T2844" i="11"/>
  <c r="T2840" i="11"/>
  <c r="T2837" i="11"/>
  <c r="T2836" i="11"/>
  <c r="T2833" i="11"/>
  <c r="T2797" i="11"/>
  <c r="T2829" i="11"/>
  <c r="T2828" i="11"/>
  <c r="T2827" i="11"/>
  <c r="T2826" i="11"/>
  <c r="T2825" i="11"/>
  <c r="T2824" i="11"/>
  <c r="T2823" i="11"/>
  <c r="T2822" i="11"/>
  <c r="T2821" i="11"/>
  <c r="T2818" i="11"/>
  <c r="T2817" i="11"/>
  <c r="T2814" i="11"/>
  <c r="T2813" i="11"/>
  <c r="T2812" i="11"/>
  <c r="T2810" i="11"/>
  <c r="T2808" i="11"/>
  <c r="T2807" i="11"/>
  <c r="T2806" i="11"/>
  <c r="T2805" i="11"/>
  <c r="T2804" i="11"/>
  <c r="T2803" i="11"/>
  <c r="T2802" i="11"/>
  <c r="T2800" i="11"/>
  <c r="T2799" i="11"/>
  <c r="T2798" i="11"/>
  <c r="T2795" i="11"/>
  <c r="T2794" i="11"/>
  <c r="T2793" i="11"/>
  <c r="T2792" i="11"/>
  <c r="T2791" i="11"/>
  <c r="T2790" i="11"/>
  <c r="T2788" i="11"/>
  <c r="T2787" i="11"/>
  <c r="T2756" i="11"/>
  <c r="T2786" i="11"/>
  <c r="T2785" i="11"/>
  <c r="T2784" i="11"/>
  <c r="T2783" i="11"/>
  <c r="T2782" i="11"/>
  <c r="T2781" i="11"/>
  <c r="T2779" i="11"/>
  <c r="T2778" i="11"/>
  <c r="T2777" i="11"/>
  <c r="T2776" i="11"/>
  <c r="T2775" i="11"/>
  <c r="T2774" i="11"/>
  <c r="T2773" i="11"/>
  <c r="T2772" i="11"/>
  <c r="T2771" i="11"/>
  <c r="T2770" i="11"/>
  <c r="T2768" i="11"/>
  <c r="T2767" i="11"/>
  <c r="T2766" i="11"/>
  <c r="T2765" i="11"/>
  <c r="T2764" i="11"/>
  <c r="T2763" i="11"/>
  <c r="T2762" i="11"/>
  <c r="T2761" i="11"/>
  <c r="T2754" i="11"/>
  <c r="T2753" i="11"/>
  <c r="T2752" i="11"/>
  <c r="T2751" i="11"/>
  <c r="T2750" i="11"/>
  <c r="T2749" i="11"/>
  <c r="T2748" i="11"/>
  <c r="T2747" i="11"/>
  <c r="T2746" i="11"/>
  <c r="T2745" i="11"/>
  <c r="T2744" i="11"/>
  <c r="T2743" i="11"/>
  <c r="T2742" i="11"/>
  <c r="T2741" i="11"/>
  <c r="T2736" i="11"/>
  <c r="T2732" i="11"/>
  <c r="T2731" i="11"/>
  <c r="T2727" i="11"/>
  <c r="T2726" i="11"/>
  <c r="T2725" i="11"/>
  <c r="T2724" i="11"/>
  <c r="T2722" i="11"/>
  <c r="T2721" i="11"/>
  <c r="T2717" i="11"/>
  <c r="T2700" i="11"/>
  <c r="T2699" i="11"/>
  <c r="T2697" i="11"/>
  <c r="T2696" i="11"/>
  <c r="T2694" i="11"/>
  <c r="T2693" i="11"/>
  <c r="T2691" i="11"/>
  <c r="T2688" i="11"/>
  <c r="T2686" i="11"/>
  <c r="T2683" i="11"/>
  <c r="T2682" i="11"/>
  <c r="T2678" i="11"/>
  <c r="T2677" i="11"/>
  <c r="T2675" i="11"/>
  <c r="T2674" i="11"/>
  <c r="T2673" i="11"/>
  <c r="T2672" i="11"/>
  <c r="T2671" i="11"/>
  <c r="T2670" i="11"/>
  <c r="T2669" i="11"/>
  <c r="T2666" i="11"/>
  <c r="T2664" i="11"/>
  <c r="T2663" i="11"/>
  <c r="T2662" i="11"/>
  <c r="T2661" i="11"/>
  <c r="T2660" i="11"/>
  <c r="T2659" i="11"/>
  <c r="T2658" i="11"/>
  <c r="T2651" i="11"/>
  <c r="T2649" i="11"/>
  <c r="T2647" i="11"/>
  <c r="T2646" i="11"/>
  <c r="T2644" i="11"/>
  <c r="T2639" i="11"/>
  <c r="T2638" i="11"/>
  <c r="T2637" i="11"/>
  <c r="T2636" i="11"/>
  <c r="T2635" i="11"/>
  <c r="T2629" i="11"/>
  <c r="T2628" i="11"/>
  <c r="T2627" i="11"/>
  <c r="T2626" i="11"/>
  <c r="T2624" i="11"/>
  <c r="T2623" i="11"/>
  <c r="T2622" i="11"/>
  <c r="T2621" i="11"/>
  <c r="T2620" i="11"/>
  <c r="T2618" i="11"/>
  <c r="T2617" i="11"/>
  <c r="T2613" i="11"/>
  <c r="T2610" i="11"/>
  <c r="T2608" i="11"/>
  <c r="T2606" i="11"/>
  <c r="T2603" i="11"/>
  <c r="T2602" i="11"/>
  <c r="T2601" i="11"/>
  <c r="T2599" i="11"/>
  <c r="T2596" i="11"/>
  <c r="T2594" i="11"/>
  <c r="T2592" i="11"/>
  <c r="T2591" i="11"/>
  <c r="T2590" i="11"/>
  <c r="T2589" i="11"/>
  <c r="T2584" i="11"/>
  <c r="T2582" i="11"/>
  <c r="T2580" i="11"/>
  <c r="T2579" i="11"/>
  <c r="T2578" i="11"/>
  <c r="T2576" i="11"/>
  <c r="T2575" i="11"/>
  <c r="T2574" i="11"/>
  <c r="T2573" i="11"/>
  <c r="T2571" i="11"/>
  <c r="T2564" i="11"/>
  <c r="T2563" i="11"/>
  <c r="T2562" i="11"/>
  <c r="T2559" i="11"/>
  <c r="T2557" i="11"/>
  <c r="T2555" i="11"/>
  <c r="T2553" i="11"/>
  <c r="T2548" i="11"/>
  <c r="T2547" i="11"/>
  <c r="T2546" i="11"/>
  <c r="T2545" i="11"/>
  <c r="T2544" i="11"/>
  <c r="T2543" i="11"/>
  <c r="T2540" i="11"/>
  <c r="T2538" i="11"/>
  <c r="T2537" i="11"/>
  <c r="T2536" i="11"/>
  <c r="T2535" i="11"/>
  <c r="T2533" i="11"/>
  <c r="T2532" i="11"/>
  <c r="T2531" i="11"/>
  <c r="T2529" i="11"/>
  <c r="T2528" i="11"/>
  <c r="T2527" i="11"/>
  <c r="T2526" i="11"/>
  <c r="T2524" i="11"/>
  <c r="T2523" i="11"/>
  <c r="T2522" i="11"/>
  <c r="T2521" i="11"/>
  <c r="T2520" i="11"/>
  <c r="T2519" i="11"/>
  <c r="T2518" i="11"/>
  <c r="T2516" i="11"/>
  <c r="T2515" i="11"/>
  <c r="T2513" i="11"/>
  <c r="T2512" i="11"/>
  <c r="T2511" i="11"/>
  <c r="T2510" i="11"/>
  <c r="T2509" i="11"/>
  <c r="T2506" i="11"/>
  <c r="T2505" i="11"/>
  <c r="T2491" i="11"/>
  <c r="T2504" i="11"/>
  <c r="T2503" i="11"/>
  <c r="T2500" i="11"/>
  <c r="T2498" i="11"/>
  <c r="T2497" i="11"/>
  <c r="T2496" i="11"/>
  <c r="T2495" i="11"/>
  <c r="T2494" i="11"/>
  <c r="T2493" i="11"/>
  <c r="T2492" i="11"/>
  <c r="T2490" i="11"/>
  <c r="T2489" i="11"/>
  <c r="T2488" i="11"/>
  <c r="T2487" i="11"/>
  <c r="T2486" i="11"/>
  <c r="T2485" i="11"/>
  <c r="T2484" i="11"/>
  <c r="T2483" i="11"/>
  <c r="T2482" i="11"/>
  <c r="T2481" i="11"/>
  <c r="T2480" i="11"/>
  <c r="T2479" i="11"/>
  <c r="T2478" i="11"/>
  <c r="T2477" i="11"/>
  <c r="T2476" i="11"/>
  <c r="T2475" i="11"/>
  <c r="T2474" i="11"/>
  <c r="T2473" i="11"/>
  <c r="T2472" i="11"/>
  <c r="T2471" i="11"/>
  <c r="T2469" i="11"/>
  <c r="T2468" i="11"/>
  <c r="T2467" i="11"/>
  <c r="T2466" i="11"/>
  <c r="T2465" i="11"/>
  <c r="T2464" i="11"/>
  <c r="T2463" i="11"/>
  <c r="T2461" i="11"/>
  <c r="T2460" i="11"/>
  <c r="T2453" i="11"/>
  <c r="T2451" i="11"/>
  <c r="T2458" i="11"/>
  <c r="T2457" i="11"/>
  <c r="T2455" i="11"/>
  <c r="T2450" i="11"/>
  <c r="T2449" i="11"/>
  <c r="T2448" i="11"/>
  <c r="T2447" i="11"/>
  <c r="T2446" i="11"/>
  <c r="T2444" i="11"/>
  <c r="T2441" i="11"/>
  <c r="T2439" i="11"/>
  <c r="T2438" i="11"/>
  <c r="T2436" i="11"/>
  <c r="T2433" i="11"/>
  <c r="T2421" i="11"/>
  <c r="T2417" i="11"/>
  <c r="T2416" i="11"/>
  <c r="T2413" i="11"/>
  <c r="T2412" i="11"/>
  <c r="T2411" i="11"/>
  <c r="T2410" i="11"/>
  <c r="T2409" i="11"/>
  <c r="T2402" i="11"/>
  <c r="T2400" i="11"/>
  <c r="T2396" i="11"/>
  <c r="T2393" i="11"/>
  <c r="T2386" i="11"/>
  <c r="T2385" i="11"/>
  <c r="T2425" i="11"/>
  <c r="T2383" i="11"/>
  <c r="T2382" i="11"/>
  <c r="T2381" i="11"/>
  <c r="T2376" i="11"/>
  <c r="T2374" i="11"/>
  <c r="T2373" i="11"/>
  <c r="T2378" i="11"/>
  <c r="T2371" i="11"/>
  <c r="T2369" i="11"/>
  <c r="T2368" i="11"/>
  <c r="T2367" i="11"/>
  <c r="T2366" i="11"/>
  <c r="T2365" i="11"/>
  <c r="T2363" i="11"/>
  <c r="T2362" i="11"/>
  <c r="T2361" i="11"/>
  <c r="T2356" i="11"/>
  <c r="T2355" i="11"/>
  <c r="T2354" i="11"/>
  <c r="T2349" i="11"/>
  <c r="T2348" i="11"/>
  <c r="T2347" i="11"/>
  <c r="S2715" i="11"/>
  <c r="S2714" i="11"/>
  <c r="S2712" i="11"/>
  <c r="S2711" i="11"/>
  <c r="S2710" i="11"/>
  <c r="S2709" i="11"/>
  <c r="S2707" i="11"/>
  <c r="S2706" i="11"/>
  <c r="S2705" i="11"/>
  <c r="S2703" i="11"/>
  <c r="S2855" i="11"/>
  <c r="S2853" i="11"/>
  <c r="S2851" i="11"/>
  <c r="S2850" i="11"/>
  <c r="S2844" i="11"/>
  <c r="S2840" i="11"/>
  <c r="S2837" i="11"/>
  <c r="S2836" i="11"/>
  <c r="S2833" i="11"/>
  <c r="S2797" i="11"/>
  <c r="S2829" i="11"/>
  <c r="S2828" i="11"/>
  <c r="S2827" i="11"/>
  <c r="S2826" i="11"/>
  <c r="S2825" i="11"/>
  <c r="S2824" i="11"/>
  <c r="S2823" i="11"/>
  <c r="S2822" i="11"/>
  <c r="S2821" i="11"/>
  <c r="S2818" i="11"/>
  <c r="S2817" i="11"/>
  <c r="S2814" i="11"/>
  <c r="S2813" i="11"/>
  <c r="S2812" i="11"/>
  <c r="S2810" i="11"/>
  <c r="S2808" i="11"/>
  <c r="S2807" i="11"/>
  <c r="S2806" i="11"/>
  <c r="S2805" i="11"/>
  <c r="S2804" i="11"/>
  <c r="S2803" i="11"/>
  <c r="S2802" i="11"/>
  <c r="S2800" i="11"/>
  <c r="S2799" i="11"/>
  <c r="S2798" i="11"/>
  <c r="S2795" i="11"/>
  <c r="S2794" i="11"/>
  <c r="S2793" i="11"/>
  <c r="S2792" i="11"/>
  <c r="S2791" i="11"/>
  <c r="S2790" i="11"/>
  <c r="S2788" i="11"/>
  <c r="S2787" i="11"/>
  <c r="S2756" i="11"/>
  <c r="S2786" i="11"/>
  <c r="S2785" i="11"/>
  <c r="S2784" i="11"/>
  <c r="S2783" i="11"/>
  <c r="S2782" i="11"/>
  <c r="S2781" i="11"/>
  <c r="S2779" i="11"/>
  <c r="S2778" i="11"/>
  <c r="S2777" i="11"/>
  <c r="S2776" i="11"/>
  <c r="S2775" i="11"/>
  <c r="S2774" i="11"/>
  <c r="S2773" i="11"/>
  <c r="S2772" i="11"/>
  <c r="S2771" i="11"/>
  <c r="S2770" i="11"/>
  <c r="S2768" i="11"/>
  <c r="S2767" i="11"/>
  <c r="S2766" i="11"/>
  <c r="S2765" i="11"/>
  <c r="S2764" i="11"/>
  <c r="S2763" i="11"/>
  <c r="S2762" i="11"/>
  <c r="S2761" i="11"/>
  <c r="S2754" i="11"/>
  <c r="S2753" i="11"/>
  <c r="S2752" i="11"/>
  <c r="S2751" i="11"/>
  <c r="S2750" i="11"/>
  <c r="S2749" i="11"/>
  <c r="S2748" i="11"/>
  <c r="S2747" i="11"/>
  <c r="S2746" i="11"/>
  <c r="S2745" i="11"/>
  <c r="S2744" i="11"/>
  <c r="S2743" i="11"/>
  <c r="S2742" i="11"/>
  <c r="S2741" i="11"/>
  <c r="S2736" i="11"/>
  <c r="S2732" i="11"/>
  <c r="S2731" i="11"/>
  <c r="S2727" i="11"/>
  <c r="S2726" i="11"/>
  <c r="S2725" i="11"/>
  <c r="S2724" i="11"/>
  <c r="S2722" i="11"/>
  <c r="S2721" i="11"/>
  <c r="S2717" i="11"/>
  <c r="S2700" i="11"/>
  <c r="S2699" i="11"/>
  <c r="S2697" i="11"/>
  <c r="S2696" i="11"/>
  <c r="S2694" i="11"/>
  <c r="S2693" i="11"/>
  <c r="S2691" i="11"/>
  <c r="S2688" i="11"/>
  <c r="S2686" i="11"/>
  <c r="S2683" i="11"/>
  <c r="S2682" i="11"/>
  <c r="S2678" i="11"/>
  <c r="S2677" i="11"/>
  <c r="S2675" i="11"/>
  <c r="S2674" i="11"/>
  <c r="S2673" i="11"/>
  <c r="S2672" i="11"/>
  <c r="S2671" i="11"/>
  <c r="S2670" i="11"/>
  <c r="S2669" i="11"/>
  <c r="S2666" i="11"/>
  <c r="S2664" i="11"/>
  <c r="S2663" i="11"/>
  <c r="S2662" i="11"/>
  <c r="S2661" i="11"/>
  <c r="S2660" i="11"/>
  <c r="S2659" i="11"/>
  <c r="S2658" i="11"/>
  <c r="S2651" i="11"/>
  <c r="S2649" i="11"/>
  <c r="S2647" i="11"/>
  <c r="S2646" i="11"/>
  <c r="S2644" i="11"/>
  <c r="S2639" i="11"/>
  <c r="S2638" i="11"/>
  <c r="S2637" i="11"/>
  <c r="S2636" i="11"/>
  <c r="S2635" i="11"/>
  <c r="S2629" i="11"/>
  <c r="S2628" i="11"/>
  <c r="S2627" i="11"/>
  <c r="S2626" i="11"/>
  <c r="S2624" i="11"/>
  <c r="S2623" i="11"/>
  <c r="S2622" i="11"/>
  <c r="S2621" i="11"/>
  <c r="S2620" i="11"/>
  <c r="S2618" i="11"/>
  <c r="S2617" i="11"/>
  <c r="S2613" i="11"/>
  <c r="S2610" i="11"/>
  <c r="S2608" i="11"/>
  <c r="S2606" i="11"/>
  <c r="S2603" i="11"/>
  <c r="S2602" i="11"/>
  <c r="S2601" i="11"/>
  <c r="S2599" i="11"/>
  <c r="S2596" i="11"/>
  <c r="S2594" i="11"/>
  <c r="S2592" i="11"/>
  <c r="S2591" i="11"/>
  <c r="S2590" i="11"/>
  <c r="S2589" i="11"/>
  <c r="S2584" i="11"/>
  <c r="S2582" i="11"/>
  <c r="S2580" i="11"/>
  <c r="S2579" i="11"/>
  <c r="S2578" i="11"/>
  <c r="S2576" i="11"/>
  <c r="S2575" i="11"/>
  <c r="S2574" i="11"/>
  <c r="S2573" i="11"/>
  <c r="S2571" i="11"/>
  <c r="S2564" i="11"/>
  <c r="S2563" i="11"/>
  <c r="S2562" i="11"/>
  <c r="S2559" i="11"/>
  <c r="S2557" i="11"/>
  <c r="S2555" i="11"/>
  <c r="S2553" i="11"/>
  <c r="S2548" i="11"/>
  <c r="S2547" i="11"/>
  <c r="S2546" i="11"/>
  <c r="S2545" i="11"/>
  <c r="S2544" i="11"/>
  <c r="S2543" i="11"/>
  <c r="S2540" i="11"/>
  <c r="S2538" i="11"/>
  <c r="S2537" i="11"/>
  <c r="S2536" i="11"/>
  <c r="S2535" i="11"/>
  <c r="S2533" i="11"/>
  <c r="S2532" i="11"/>
  <c r="S2531" i="11"/>
  <c r="S2529" i="11"/>
  <c r="S2528" i="11"/>
  <c r="S2527" i="11"/>
  <c r="S2526" i="11"/>
  <c r="S2524" i="11"/>
  <c r="S2523" i="11"/>
  <c r="S2522" i="11"/>
  <c r="S2521" i="11"/>
  <c r="S2520" i="11"/>
  <c r="S2519" i="11"/>
  <c r="S2518" i="11"/>
  <c r="S2516" i="11"/>
  <c r="S2515" i="11"/>
  <c r="S2513" i="11"/>
  <c r="S2512" i="11"/>
  <c r="S2511" i="11"/>
  <c r="S2510" i="11"/>
  <c r="S2509" i="11"/>
  <c r="S2506" i="11"/>
  <c r="S2505" i="11"/>
  <c r="S2491" i="11"/>
  <c r="S2504" i="11"/>
  <c r="S2503" i="11"/>
  <c r="S2500" i="11"/>
  <c r="S2498" i="11"/>
  <c r="S2497" i="11"/>
  <c r="S2496" i="11"/>
  <c r="S2495" i="11"/>
  <c r="S2494" i="11"/>
  <c r="S2493" i="11"/>
  <c r="S2492" i="11"/>
  <c r="S2490" i="11"/>
  <c r="S2489" i="11"/>
  <c r="S2488" i="11"/>
  <c r="S2487" i="11"/>
  <c r="S2486" i="11"/>
  <c r="S2485" i="11"/>
  <c r="S2484" i="11"/>
  <c r="S2483" i="11"/>
  <c r="S2482" i="11"/>
  <c r="S2481" i="11"/>
  <c r="S2480" i="11"/>
  <c r="S2479" i="11"/>
  <c r="S2478" i="11"/>
  <c r="S2477" i="11"/>
  <c r="S2476" i="11"/>
  <c r="S2475" i="11"/>
  <c r="S2474" i="11"/>
  <c r="S2473" i="11"/>
  <c r="S2472" i="11"/>
  <c r="S2471" i="11"/>
  <c r="S2469" i="11"/>
  <c r="S2468" i="11"/>
  <c r="S2467" i="11"/>
  <c r="S2466" i="11"/>
  <c r="S2465" i="11"/>
  <c r="S2464" i="11"/>
  <c r="S2463" i="11"/>
  <c r="S2461" i="11"/>
  <c r="S2460" i="11"/>
  <c r="S2453" i="11"/>
  <c r="S2451" i="11"/>
  <c r="S2458" i="11"/>
  <c r="S2457" i="11"/>
  <c r="S2455" i="11"/>
  <c r="S2450" i="11"/>
  <c r="S2449" i="11"/>
  <c r="S2448" i="11"/>
  <c r="S2447" i="11"/>
  <c r="S2446" i="11"/>
  <c r="S2444" i="11"/>
  <c r="S2441" i="11"/>
  <c r="S2439" i="11"/>
  <c r="S2438" i="11"/>
  <c r="S2436" i="11"/>
  <c r="S2433" i="11"/>
  <c r="S2421" i="11"/>
  <c r="S2417" i="11"/>
  <c r="S2416" i="11"/>
  <c r="S2413" i="11"/>
  <c r="S2412" i="11"/>
  <c r="S2411" i="11"/>
  <c r="S2410" i="11"/>
  <c r="S2409" i="11"/>
  <c r="S2402" i="11"/>
  <c r="S2400" i="11"/>
  <c r="S2396" i="11"/>
  <c r="S2393" i="11"/>
  <c r="S2386" i="11"/>
  <c r="S2385" i="11"/>
  <c r="S2425" i="11"/>
  <c r="S2383" i="11"/>
  <c r="S2382" i="11"/>
  <c r="S2381" i="11"/>
  <c r="S2376" i="11"/>
  <c r="S2374" i="11"/>
  <c r="S2373" i="11"/>
  <c r="S2378" i="11"/>
  <c r="S2371" i="11"/>
  <c r="S2369" i="11"/>
  <c r="S2368" i="11"/>
  <c r="S2367" i="11"/>
  <c r="S2366" i="11"/>
  <c r="S2365" i="11"/>
  <c r="S2363" i="11"/>
  <c r="S2362" i="11"/>
  <c r="S2361" i="11"/>
  <c r="S2356" i="11"/>
  <c r="S2355" i="11"/>
  <c r="S2354" i="11"/>
  <c r="S2349" i="11"/>
  <c r="S2348" i="11"/>
  <c r="S2347" i="11"/>
  <c r="R9" i="20"/>
  <c r="T16" i="20"/>
  <c r="U35" i="20"/>
  <c r="AB15" i="23"/>
  <c r="AB9" i="23"/>
  <c r="AB8" i="23"/>
  <c r="Z9" i="23"/>
  <c r="X8" i="23"/>
  <c r="X15" i="23"/>
  <c r="L14" i="23"/>
  <c r="L4" i="23"/>
  <c r="H5" i="23"/>
  <c r="F5" i="23"/>
  <c r="B4" i="23"/>
  <c r="U7" i="9"/>
  <c r="S7" i="9"/>
  <c r="V3086" i="11"/>
  <c r="U3086" i="11"/>
  <c r="T3086" i="11"/>
  <c r="S3086" i="11"/>
  <c r="V3085" i="11"/>
  <c r="U3085" i="11"/>
  <c r="T3085" i="11"/>
  <c r="S3085" i="11"/>
  <c r="V3082" i="11"/>
  <c r="U3082" i="11"/>
  <c r="T3082" i="11"/>
  <c r="S3082" i="11"/>
  <c r="V3084" i="11"/>
  <c r="U3084" i="11"/>
  <c r="T3084" i="11"/>
  <c r="S3084" i="11"/>
  <c r="V3083" i="11"/>
  <c r="U3083" i="11"/>
  <c r="T3083" i="11"/>
  <c r="S3083" i="11"/>
  <c r="V3080" i="11"/>
  <c r="U3080" i="11"/>
  <c r="T3080" i="11"/>
  <c r="S3080" i="11"/>
  <c r="V3074" i="11"/>
  <c r="U3074" i="11"/>
  <c r="T3074" i="11"/>
  <c r="S3074" i="11"/>
  <c r="V3073" i="11"/>
  <c r="U3073" i="11"/>
  <c r="T3073" i="11"/>
  <c r="S3073" i="11"/>
  <c r="V3072" i="11"/>
  <c r="U3072" i="11"/>
  <c r="T3072" i="11"/>
  <c r="S3072" i="11"/>
  <c r="V3071" i="11"/>
  <c r="U3071" i="11"/>
  <c r="T3071" i="11"/>
  <c r="S3071" i="11"/>
  <c r="V3070" i="11"/>
  <c r="U3070" i="11"/>
  <c r="T3070" i="11"/>
  <c r="S3070" i="11"/>
  <c r="V3069" i="11"/>
  <c r="U3069" i="11"/>
  <c r="T3069" i="11"/>
  <c r="S3069" i="11"/>
  <c r="V3065" i="11"/>
  <c r="U3065" i="11"/>
  <c r="T3065" i="11"/>
  <c r="S3065" i="11"/>
  <c r="V3067" i="11"/>
  <c r="U3067" i="11"/>
  <c r="T3067" i="11"/>
  <c r="S3067" i="11"/>
  <c r="V3060" i="11"/>
  <c r="U3060" i="11"/>
  <c r="T3060" i="11"/>
  <c r="S3060" i="11"/>
  <c r="V3052" i="11"/>
  <c r="U3052" i="11"/>
  <c r="T3052" i="11"/>
  <c r="S3052" i="11"/>
  <c r="V3046" i="11"/>
  <c r="U3046" i="11"/>
  <c r="T3046" i="11"/>
  <c r="S3046" i="11"/>
  <c r="V3042" i="11"/>
  <c r="U3042" i="11"/>
  <c r="T3042" i="11"/>
  <c r="S3042" i="11"/>
  <c r="V3041" i="11"/>
  <c r="U3041" i="11"/>
  <c r="T3041" i="11"/>
  <c r="S3041" i="11"/>
  <c r="V3039" i="11"/>
  <c r="U3039" i="11"/>
  <c r="T3039" i="11"/>
  <c r="S3039" i="11"/>
  <c r="V3026" i="11"/>
  <c r="U3026" i="11"/>
  <c r="T3026" i="11"/>
  <c r="S3026" i="11"/>
  <c r="V3025" i="11"/>
  <c r="U3025" i="11"/>
  <c r="T3025" i="11"/>
  <c r="S3025" i="11"/>
  <c r="V3023" i="11"/>
  <c r="U3023" i="11"/>
  <c r="T3023" i="11"/>
  <c r="S3023" i="11"/>
  <c r="V3018" i="11"/>
  <c r="U3018" i="11"/>
  <c r="T3018" i="11"/>
  <c r="S3018" i="11"/>
  <c r="V2999" i="11"/>
  <c r="U2999" i="11"/>
  <c r="T2999" i="11"/>
  <c r="S2999" i="11"/>
  <c r="V2993" i="11"/>
  <c r="U2993" i="11"/>
  <c r="T2993" i="11"/>
  <c r="S2993" i="11"/>
  <c r="V2992" i="11"/>
  <c r="U2992" i="11"/>
  <c r="T2992" i="11"/>
  <c r="S2992" i="11"/>
  <c r="V2991" i="11"/>
  <c r="U2991" i="11"/>
  <c r="T2991" i="11"/>
  <c r="S2991" i="11"/>
  <c r="V2986" i="11"/>
  <c r="U2986" i="11"/>
  <c r="T2986" i="11"/>
  <c r="S2986" i="11"/>
  <c r="V2963" i="11"/>
  <c r="U2963" i="11"/>
  <c r="T2963" i="11"/>
  <c r="S2963" i="11"/>
  <c r="V2958" i="11"/>
  <c r="U2958" i="11"/>
  <c r="T2958" i="11"/>
  <c r="S2958" i="11"/>
  <c r="V2957" i="11"/>
  <c r="U2957" i="11"/>
  <c r="T2957" i="11"/>
  <c r="S2957" i="11"/>
  <c r="V2955" i="11"/>
  <c r="U2955" i="11"/>
  <c r="T2955" i="11"/>
  <c r="S2955" i="11"/>
  <c r="V2954" i="11"/>
  <c r="U2954" i="11"/>
  <c r="T2954" i="11"/>
  <c r="S2954" i="11"/>
  <c r="V2933" i="11"/>
  <c r="U2933" i="11"/>
  <c r="T2933" i="11"/>
  <c r="S2933" i="11"/>
  <c r="V2923" i="11"/>
  <c r="U2923" i="11"/>
  <c r="T2923" i="11"/>
  <c r="S2923" i="11"/>
  <c r="V2921" i="11"/>
  <c r="U2921" i="11"/>
  <c r="T2921" i="11"/>
  <c r="S2921" i="11"/>
  <c r="V2920" i="11"/>
  <c r="U2920" i="11"/>
  <c r="T2920" i="11"/>
  <c r="S2920" i="11"/>
  <c r="V2913" i="11"/>
  <c r="U2913" i="11"/>
  <c r="T2913" i="11"/>
  <c r="S2913" i="11"/>
  <c r="V2910" i="11"/>
  <c r="U2910" i="11"/>
  <c r="T2910" i="11"/>
  <c r="S2910" i="11"/>
  <c r="V2909" i="11"/>
  <c r="U2909" i="11"/>
  <c r="T2909" i="11"/>
  <c r="S2909" i="11"/>
  <c r="V2905" i="11"/>
  <c r="U2905" i="11"/>
  <c r="T2905" i="11"/>
  <c r="S2905" i="11"/>
  <c r="V2899" i="11"/>
  <c r="U2899" i="11"/>
  <c r="T2899" i="11"/>
  <c r="S2899" i="11"/>
  <c r="V2896" i="11"/>
  <c r="U2896" i="11"/>
  <c r="T2896" i="11"/>
  <c r="S2896" i="11"/>
  <c r="V2894" i="11"/>
  <c r="U2894" i="11"/>
  <c r="T2894" i="11"/>
  <c r="S2894" i="11"/>
  <c r="V2893" i="11"/>
  <c r="U2893" i="11"/>
  <c r="T2893" i="11"/>
  <c r="S2893" i="11"/>
  <c r="V2888" i="11"/>
  <c r="U2888" i="11"/>
  <c r="T2888" i="11"/>
  <c r="S2888" i="11"/>
  <c r="V2862" i="11"/>
  <c r="U2862" i="11"/>
  <c r="T2862" i="11"/>
  <c r="S2862" i="11"/>
  <c r="V2866" i="11"/>
  <c r="U2866" i="11"/>
  <c r="T2866" i="11"/>
  <c r="S2866" i="11"/>
  <c r="T1903" i="11"/>
  <c r="T1890" i="11"/>
  <c r="T1888" i="11"/>
  <c r="V454" i="11"/>
  <c r="U454" i="11"/>
  <c r="T454" i="11"/>
  <c r="C32" i="23"/>
  <c r="C25" i="23"/>
  <c r="S1555" i="11"/>
  <c r="S1430" i="11"/>
  <c r="V407" i="11"/>
  <c r="V408" i="11"/>
  <c r="V409" i="11"/>
  <c r="V410" i="11"/>
  <c r="V411" i="11"/>
  <c r="V412" i="11"/>
  <c r="V413" i="11"/>
  <c r="V414" i="11"/>
  <c r="V415" i="11"/>
  <c r="V416" i="11"/>
  <c r="V419" i="11"/>
  <c r="V420" i="11"/>
  <c r="V423" i="11"/>
  <c r="V424" i="11"/>
  <c r="V425" i="11"/>
  <c r="V428" i="11"/>
  <c r="V430" i="11"/>
  <c r="V432" i="11"/>
  <c r="V434" i="11"/>
  <c r="V435" i="11"/>
  <c r="V436" i="11"/>
  <c r="V438" i="11"/>
  <c r="V440" i="11"/>
  <c r="V441" i="11"/>
  <c r="V461" i="11"/>
  <c r="V462" i="11"/>
  <c r="V463" i="11"/>
  <c r="V464" i="11"/>
  <c r="V465" i="11"/>
  <c r="V466" i="11"/>
  <c r="V467" i="11"/>
  <c r="V468" i="11"/>
  <c r="V469" i="11"/>
  <c r="V470" i="11"/>
  <c r="V471" i="11"/>
  <c r="V472" i="11"/>
  <c r="V473" i="11"/>
  <c r="V474" i="11"/>
  <c r="V479" i="11"/>
  <c r="V480" i="11"/>
  <c r="V483" i="11"/>
  <c r="V484" i="11"/>
  <c r="V485" i="11"/>
  <c r="V486" i="11"/>
  <c r="V487" i="11"/>
  <c r="V488" i="11"/>
  <c r="V489" i="11"/>
  <c r="V492" i="11"/>
  <c r="V493" i="11"/>
  <c r="V497" i="11"/>
  <c r="V499" i="11"/>
  <c r="V501" i="11"/>
  <c r="V502" i="11"/>
  <c r="V503" i="11"/>
  <c r="V504" i="11"/>
  <c r="V506" i="11"/>
  <c r="V507" i="11"/>
  <c r="V510" i="11"/>
  <c r="V512" i="11"/>
  <c r="V513" i="11"/>
  <c r="V515" i="11"/>
  <c r="V516" i="11"/>
  <c r="V665" i="11"/>
  <c r="V668" i="11"/>
  <c r="V670" i="11"/>
  <c r="V671" i="11"/>
  <c r="V674" i="11"/>
  <c r="V676" i="11"/>
  <c r="V677" i="11"/>
  <c r="V678" i="11"/>
  <c r="V682" i="11"/>
  <c r="V685" i="11"/>
  <c r="V686" i="11"/>
  <c r="V687" i="11"/>
  <c r="V688" i="11"/>
  <c r="V689" i="11"/>
  <c r="V690" i="11"/>
  <c r="V691" i="11"/>
  <c r="V692" i="11"/>
  <c r="V693" i="11"/>
  <c r="V694" i="11"/>
  <c r="V695" i="11"/>
  <c r="V696" i="11"/>
  <c r="V697" i="11"/>
  <c r="V699" i="11"/>
  <c r="V700" i="11"/>
  <c r="V701" i="11"/>
  <c r="V679" i="11"/>
  <c r="V521" i="11"/>
  <c r="V522" i="11"/>
  <c r="V524" i="11"/>
  <c r="V528" i="11"/>
  <c r="V529" i="11"/>
  <c r="V530" i="11"/>
  <c r="V531" i="11"/>
  <c r="V532" i="11"/>
  <c r="V533" i="11"/>
  <c r="V534" i="11"/>
  <c r="V535" i="11"/>
  <c r="V539" i="11"/>
  <c r="V541" i="11"/>
  <c r="V545" i="11"/>
  <c r="V547" i="11"/>
  <c r="V549" i="11"/>
  <c r="V550" i="11"/>
  <c r="V551" i="11"/>
  <c r="V552" i="11"/>
  <c r="V555" i="11"/>
  <c r="V556" i="11"/>
  <c r="V557" i="11"/>
  <c r="V558" i="11"/>
  <c r="V561" i="11"/>
  <c r="V565" i="11"/>
  <c r="V566" i="11"/>
  <c r="V568" i="11"/>
  <c r="V536" i="11"/>
  <c r="V706" i="11"/>
  <c r="V708" i="11"/>
  <c r="V714" i="11"/>
  <c r="V715" i="11"/>
  <c r="V570" i="11"/>
  <c r="V571" i="11"/>
  <c r="V573" i="11"/>
  <c r="V575" i="11"/>
  <c r="V578" i="11"/>
  <c r="V582" i="11"/>
  <c r="V583" i="11"/>
  <c r="V584" i="11"/>
  <c r="V585" i="11"/>
  <c r="V586" i="11"/>
  <c r="V587" i="11"/>
  <c r="V588" i="11"/>
  <c r="V592" i="11"/>
  <c r="V594" i="11"/>
  <c r="V574" i="11"/>
  <c r="V720" i="11"/>
  <c r="V721" i="11"/>
  <c r="V723" i="11"/>
  <c r="V724" i="11"/>
  <c r="V725" i="11"/>
  <c r="V726" i="11"/>
  <c r="V727" i="11"/>
  <c r="V729" i="11"/>
  <c r="V730" i="11"/>
  <c r="V728" i="11"/>
  <c r="V722" i="11"/>
  <c r="V731" i="11"/>
  <c r="V733" i="11"/>
  <c r="V734" i="11"/>
  <c r="V739" i="11"/>
  <c r="V735" i="11"/>
  <c r="V736" i="11"/>
  <c r="V737" i="11"/>
  <c r="V738" i="11"/>
  <c r="V740" i="11"/>
  <c r="V741" i="11"/>
  <c r="V743" i="11"/>
  <c r="V746" i="11"/>
  <c r="V750" i="11"/>
  <c r="V751" i="11"/>
  <c r="V752" i="11"/>
  <c r="V753" i="11"/>
  <c r="V756" i="11"/>
  <c r="V757" i="11"/>
  <c r="V758" i="11"/>
  <c r="V759" i="11"/>
  <c r="V760" i="11"/>
  <c r="V762" i="11"/>
  <c r="V763" i="11"/>
  <c r="V744" i="11"/>
  <c r="V761" i="11"/>
  <c r="V765" i="11"/>
  <c r="V770" i="11"/>
  <c r="V767" i="11"/>
  <c r="V769" i="11"/>
  <c r="V772" i="11"/>
  <c r="V773" i="11"/>
  <c r="V774" i="11"/>
  <c r="V775" i="11"/>
  <c r="V778" i="11"/>
  <c r="V779" i="11"/>
  <c r="V780" i="11"/>
  <c r="V781" i="11"/>
  <c r="V782" i="11"/>
  <c r="V783" i="11"/>
  <c r="V784" i="11"/>
  <c r="V787" i="11"/>
  <c r="V788" i="11"/>
  <c r="V789" i="11"/>
  <c r="V792" i="11"/>
  <c r="V793" i="11"/>
  <c r="V794" i="11"/>
  <c r="V796" i="11"/>
  <c r="V803" i="11"/>
  <c r="V810" i="11"/>
  <c r="V816" i="11"/>
  <c r="V817" i="11"/>
  <c r="V818" i="11"/>
  <c r="V819" i="11"/>
  <c r="V820" i="11"/>
  <c r="V822" i="11"/>
  <c r="V821" i="11"/>
  <c r="V823" i="11"/>
  <c r="V824" i="11"/>
  <c r="V825" i="11"/>
  <c r="V826" i="11"/>
  <c r="V827" i="11"/>
  <c r="V828" i="11"/>
  <c r="V829" i="11"/>
  <c r="V830" i="11"/>
  <c r="V831" i="11"/>
  <c r="V832" i="11"/>
  <c r="V833" i="11"/>
  <c r="V835" i="11"/>
  <c r="V836" i="11"/>
  <c r="V837" i="11"/>
  <c r="V838" i="11"/>
  <c r="V839" i="11"/>
  <c r="V840" i="11"/>
  <c r="V841" i="11"/>
  <c r="V842" i="11"/>
  <c r="V843" i="11"/>
  <c r="V844" i="11"/>
  <c r="V845" i="11"/>
  <c r="V846" i="11"/>
  <c r="V847" i="11"/>
  <c r="V848" i="11"/>
  <c r="V849" i="11"/>
  <c r="V851" i="11"/>
  <c r="V850" i="11"/>
  <c r="V834" i="11"/>
  <c r="V601" i="11"/>
  <c r="V628" i="11"/>
  <c r="V648" i="11"/>
  <c r="V651" i="11"/>
  <c r="V653" i="11"/>
  <c r="V599" i="11"/>
  <c r="V632" i="11"/>
  <c r="V643" i="11"/>
  <c r="V602" i="11"/>
  <c r="V636" i="11"/>
  <c r="V649" i="11"/>
  <c r="V595" i="11"/>
  <c r="V598" i="11"/>
  <c r="V600" i="11"/>
  <c r="V603" i="11"/>
  <c r="V604" i="11"/>
  <c r="V605" i="11"/>
  <c r="V606" i="11"/>
  <c r="V607" i="11"/>
  <c r="V608" i="11"/>
  <c r="V609" i="11"/>
  <c r="V610" i="11"/>
  <c r="V612" i="11"/>
  <c r="V613" i="11"/>
  <c r="V614" i="11"/>
  <c r="V615" i="11"/>
  <c r="V618" i="11"/>
  <c r="V619" i="11"/>
  <c r="V621" i="11"/>
  <c r="V622" i="11"/>
  <c r="V623" i="11"/>
  <c r="V625" i="11"/>
  <c r="V624" i="11"/>
  <c r="V627" i="11"/>
  <c r="V629" i="11"/>
  <c r="V630" i="11"/>
  <c r="V631" i="11"/>
  <c r="V633" i="11"/>
  <c r="V634" i="11"/>
  <c r="V635" i="11"/>
  <c r="V637" i="11"/>
  <c r="V638" i="11"/>
  <c r="V639" i="11"/>
  <c r="V640" i="11"/>
  <c r="V641" i="11"/>
  <c r="V642" i="11"/>
  <c r="V644" i="11"/>
  <c r="V645" i="11"/>
  <c r="V646" i="11"/>
  <c r="V647" i="11"/>
  <c r="V650" i="11"/>
  <c r="V652" i="11"/>
  <c r="V853" i="11"/>
  <c r="V854" i="11"/>
  <c r="V855" i="11"/>
  <c r="V856" i="11"/>
  <c r="V857" i="11"/>
  <c r="V858" i="11"/>
  <c r="V859" i="11"/>
  <c r="V860" i="11"/>
  <c r="V861" i="11"/>
  <c r="V862" i="11"/>
  <c r="V863" i="11"/>
  <c r="V864" i="11"/>
  <c r="V865" i="11"/>
  <c r="V866" i="11"/>
  <c r="V867" i="11"/>
  <c r="V868" i="11"/>
  <c r="V869" i="11"/>
  <c r="V870" i="11"/>
  <c r="V871" i="11"/>
  <c r="V872" i="11"/>
  <c r="V873" i="11"/>
  <c r="V874" i="11"/>
  <c r="V876" i="11"/>
  <c r="V877" i="11"/>
  <c r="V878" i="11"/>
  <c r="V879" i="11"/>
  <c r="V880" i="11"/>
  <c r="V881" i="11"/>
  <c r="V882" i="11"/>
  <c r="V883" i="11"/>
  <c r="V885" i="11"/>
  <c r="V886" i="11"/>
  <c r="V887" i="11"/>
  <c r="V888" i="11"/>
  <c r="V889" i="11"/>
  <c r="V890" i="11"/>
  <c r="V891" i="11"/>
  <c r="V892" i="11"/>
  <c r="V893" i="11"/>
  <c r="V894" i="11"/>
  <c r="V895" i="11"/>
  <c r="V896" i="11"/>
  <c r="V897" i="11"/>
  <c r="V898" i="11"/>
  <c r="V899" i="11"/>
  <c r="V852" i="11"/>
  <c r="V884" i="11"/>
  <c r="V875" i="11"/>
  <c r="V900" i="11"/>
  <c r="V903" i="11"/>
  <c r="V908" i="11"/>
  <c r="V911" i="11"/>
  <c r="V912" i="11"/>
  <c r="V913" i="11"/>
  <c r="V914" i="11"/>
  <c r="V915" i="11"/>
  <c r="V916" i="11"/>
  <c r="V917" i="11"/>
  <c r="V918" i="11"/>
  <c r="V919" i="11"/>
  <c r="V920" i="11"/>
  <c r="V921" i="11"/>
  <c r="V922" i="11"/>
  <c r="V923" i="11"/>
  <c r="V924" i="11"/>
  <c r="V925" i="11"/>
  <c r="V926" i="11"/>
  <c r="V927" i="11"/>
  <c r="V928" i="11"/>
  <c r="V929" i="11"/>
  <c r="V931" i="11"/>
  <c r="V932" i="11"/>
  <c r="V933" i="11"/>
  <c r="V934" i="11"/>
  <c r="V930" i="11"/>
  <c r="V935" i="11"/>
  <c r="V936" i="11"/>
  <c r="V938" i="11"/>
  <c r="V939" i="11"/>
  <c r="V943" i="11"/>
  <c r="V944" i="11"/>
  <c r="V945" i="11"/>
  <c r="V946" i="11"/>
  <c r="V947" i="11"/>
  <c r="V949" i="11"/>
  <c r="V950" i="11"/>
  <c r="V951" i="11"/>
  <c r="V952" i="11"/>
  <c r="V954" i="11"/>
  <c r="V955" i="11"/>
  <c r="V956" i="11"/>
  <c r="V957" i="11"/>
  <c r="V958" i="11"/>
  <c r="V657" i="11"/>
  <c r="V656" i="11"/>
  <c r="V655" i="11"/>
  <c r="V658" i="11"/>
  <c r="V661" i="11"/>
  <c r="V660" i="11"/>
  <c r="V960" i="11"/>
  <c r="V963" i="11"/>
  <c r="V967" i="11"/>
  <c r="V968" i="11"/>
  <c r="V969" i="11"/>
  <c r="V970" i="11"/>
  <c r="V971" i="11"/>
  <c r="V972" i="11"/>
  <c r="V973" i="11"/>
  <c r="V975" i="11"/>
  <c r="V976" i="11"/>
  <c r="V977" i="11"/>
  <c r="V980" i="11"/>
  <c r="V981" i="11"/>
  <c r="V983" i="11"/>
  <c r="V984" i="11"/>
  <c r="V986" i="11"/>
  <c r="V987" i="11"/>
  <c r="V988" i="11"/>
  <c r="V989" i="11"/>
  <c r="V990" i="11"/>
  <c r="V991" i="11"/>
  <c r="V993" i="11"/>
  <c r="V994" i="11"/>
  <c r="V995" i="11"/>
  <c r="V997" i="11"/>
  <c r="V1000" i="11"/>
  <c r="V1001" i="11"/>
  <c r="V1002" i="11"/>
  <c r="V1005" i="11"/>
  <c r="V1006" i="11"/>
  <c r="V1007" i="11"/>
  <c r="V1008" i="11"/>
  <c r="V1010" i="11"/>
  <c r="V1012" i="11"/>
  <c r="V1013" i="11"/>
  <c r="V1017" i="11"/>
  <c r="V1016" i="11"/>
  <c r="V1018" i="11"/>
  <c r="V1019" i="11"/>
  <c r="V1021" i="11"/>
  <c r="V1020" i="11"/>
  <c r="V1022" i="11"/>
  <c r="V1023" i="11"/>
  <c r="V1024" i="11"/>
  <c r="V1026" i="11"/>
  <c r="V1025" i="11"/>
  <c r="V1028" i="11"/>
  <c r="V1027" i="11"/>
  <c r="V1033" i="11"/>
  <c r="V1054" i="11"/>
  <c r="V1036" i="11"/>
  <c r="V1037" i="11"/>
  <c r="V1035" i="11"/>
  <c r="V1038" i="11"/>
  <c r="V1040" i="11"/>
  <c r="V1042" i="11"/>
  <c r="V1039" i="11"/>
  <c r="V1045" i="11"/>
  <c r="V1044" i="11"/>
  <c r="V1046" i="11"/>
  <c r="V1050" i="11"/>
  <c r="V1051" i="11"/>
  <c r="V1029" i="11"/>
  <c r="V1052" i="11"/>
  <c r="V1053" i="11"/>
  <c r="V1055" i="11"/>
  <c r="V1057" i="11"/>
  <c r="V1058" i="11"/>
  <c r="V1059" i="11"/>
  <c r="V1060" i="11"/>
  <c r="V1064" i="11"/>
  <c r="V1056" i="11"/>
  <c r="V1066" i="11"/>
  <c r="V1068" i="11"/>
  <c r="V1070" i="11"/>
  <c r="V1071" i="11"/>
  <c r="V1072" i="11"/>
  <c r="V1074" i="11"/>
  <c r="V1075" i="11"/>
  <c r="V1076" i="11"/>
  <c r="V1078" i="11"/>
  <c r="V1079" i="11"/>
  <c r="V1081" i="11"/>
  <c r="V1082" i="11"/>
  <c r="V1083" i="11"/>
  <c r="V1084" i="11"/>
  <c r="V1085" i="11"/>
  <c r="V1086" i="11"/>
  <c r="V1087" i="11"/>
  <c r="V1088" i="11"/>
  <c r="V1090" i="11"/>
  <c r="V1094" i="11"/>
  <c r="V1098" i="11"/>
  <c r="V1099" i="11"/>
  <c r="V1100" i="11"/>
  <c r="V1101" i="11"/>
  <c r="V1067" i="11"/>
  <c r="V1069" i="11"/>
  <c r="V1096" i="11"/>
  <c r="V1015" i="11"/>
  <c r="V1047" i="11"/>
  <c r="V1092" i="11"/>
  <c r="V1093" i="11"/>
  <c r="V1095" i="11"/>
  <c r="V1034" i="11"/>
  <c r="V1063" i="11"/>
  <c r="V1089" i="11"/>
  <c r="V1091" i="11"/>
  <c r="V1103" i="11"/>
  <c r="V1104" i="11"/>
  <c r="V1105" i="11"/>
  <c r="V1107" i="11"/>
  <c r="V1108" i="11"/>
  <c r="V1110" i="11"/>
  <c r="V1111" i="11"/>
  <c r="V1115" i="11"/>
  <c r="V1116" i="11"/>
  <c r="V1117" i="11"/>
  <c r="V1118" i="11"/>
  <c r="V1119" i="11"/>
  <c r="V1120" i="11"/>
  <c r="V1123" i="11"/>
  <c r="V1124" i="11"/>
  <c r="V1112" i="11"/>
  <c r="V1114" i="11"/>
  <c r="V1122" i="11"/>
  <c r="V1121" i="11"/>
  <c r="V1125" i="11"/>
  <c r="V1127" i="11"/>
  <c r="V1132" i="11"/>
  <c r="V1136" i="11"/>
  <c r="V1139" i="11"/>
  <c r="V1140" i="11"/>
  <c r="V1141" i="11"/>
  <c r="V1130" i="11"/>
  <c r="V1131" i="11"/>
  <c r="V1145" i="11"/>
  <c r="V1147" i="11"/>
  <c r="V1150" i="11"/>
  <c r="V1152" i="11"/>
  <c r="V1153" i="11"/>
  <c r="V1154" i="11"/>
  <c r="V1158" i="11"/>
  <c r="V1161" i="11"/>
  <c r="V1143" i="11"/>
  <c r="V1148" i="11"/>
  <c r="V1149" i="11"/>
  <c r="V1168" i="11"/>
  <c r="V1172" i="11"/>
  <c r="V1176" i="11"/>
  <c r="V1178" i="11"/>
  <c r="V1175" i="11"/>
  <c r="V1165" i="11"/>
  <c r="V1169" i="11"/>
  <c r="V1170" i="11"/>
  <c r="V1171" i="11"/>
  <c r="V1174" i="11"/>
  <c r="V1167" i="11"/>
  <c r="V1184" i="11"/>
  <c r="V1185" i="11"/>
  <c r="V1186" i="11"/>
  <c r="V1187" i="11"/>
  <c r="V1188" i="11"/>
  <c r="V1189" i="11"/>
  <c r="V1190" i="11"/>
  <c r="V1191" i="11"/>
  <c r="V1192" i="11"/>
  <c r="V1194" i="11"/>
  <c r="V1193" i="11"/>
  <c r="V1195" i="11"/>
  <c r="V1196" i="11"/>
  <c r="V1197" i="11"/>
  <c r="V1198" i="11"/>
  <c r="V1200" i="11"/>
  <c r="V1203" i="11"/>
  <c r="V1204" i="11"/>
  <c r="V1205" i="11"/>
  <c r="V1206" i="11"/>
  <c r="V1208" i="11"/>
  <c r="V1209" i="11"/>
  <c r="V1210" i="11"/>
  <c r="V1211" i="11"/>
  <c r="V1212" i="11"/>
  <c r="V1214" i="11"/>
  <c r="V1215" i="11"/>
  <c r="V1216" i="11"/>
  <c r="V1217" i="11"/>
  <c r="V1218" i="11"/>
  <c r="V1219" i="11"/>
  <c r="V1220" i="11"/>
  <c r="V1221" i="11"/>
  <c r="V1222" i="11"/>
  <c r="V1223" i="11"/>
  <c r="V1225" i="11"/>
  <c r="V1226" i="11"/>
  <c r="V1227" i="11"/>
  <c r="V1228" i="11"/>
  <c r="V1229" i="11"/>
  <c r="V1230" i="11"/>
  <c r="V1231" i="11"/>
  <c r="V1232" i="11"/>
  <c r="V1233" i="11"/>
  <c r="V1234" i="11"/>
  <c r="V1235" i="11"/>
  <c r="V1236" i="11"/>
  <c r="V1237" i="11"/>
  <c r="V1238" i="11"/>
  <c r="V1239" i="11"/>
  <c r="V1240" i="11"/>
  <c r="V1241" i="11"/>
  <c r="V1242" i="11"/>
  <c r="V1243" i="11"/>
  <c r="V1244" i="11"/>
  <c r="V1245" i="11"/>
  <c r="V1246" i="11"/>
  <c r="V1247" i="11"/>
  <c r="V1249" i="11"/>
  <c r="V1248" i="11"/>
  <c r="V1250" i="11"/>
  <c r="V1253" i="11"/>
  <c r="V1254" i="11"/>
  <c r="V1255" i="11"/>
  <c r="V1256" i="11"/>
  <c r="V1257" i="11"/>
  <c r="V1258" i="11"/>
  <c r="V1259" i="11"/>
  <c r="V1261" i="11"/>
  <c r="V1262" i="11"/>
  <c r="V1263" i="11"/>
  <c r="V1264" i="11"/>
  <c r="V1265" i="11"/>
  <c r="V1266" i="11"/>
  <c r="V1267" i="11"/>
  <c r="V1268" i="11"/>
  <c r="V1269" i="11"/>
  <c r="V1271" i="11"/>
  <c r="V1272" i="11"/>
  <c r="V1273" i="11"/>
  <c r="V1274" i="11"/>
  <c r="V1276" i="11"/>
  <c r="V1283" i="11"/>
  <c r="V1278" i="11"/>
  <c r="V1279" i="11"/>
  <c r="V1281" i="11"/>
  <c r="V1277" i="11"/>
  <c r="V1280" i="11"/>
  <c r="V1282" i="11"/>
  <c r="V1275" i="11"/>
  <c r="V1285" i="11"/>
  <c r="V1286" i="11"/>
  <c r="V1287" i="11"/>
  <c r="V1290" i="11"/>
  <c r="V1291" i="11"/>
  <c r="V1293" i="11"/>
  <c r="V1294" i="11"/>
  <c r="V1296" i="11"/>
  <c r="V1298" i="11"/>
  <c r="V1299" i="11"/>
  <c r="V1300" i="11"/>
  <c r="V1301" i="11"/>
  <c r="V1303" i="11"/>
  <c r="V1304" i="11"/>
  <c r="V1305" i="11"/>
  <c r="V1307" i="11"/>
  <c r="V1308" i="11"/>
  <c r="V1309" i="11"/>
  <c r="V1310" i="11"/>
  <c r="V1311" i="11"/>
  <c r="V1312" i="11"/>
  <c r="V1313" i="11"/>
  <c r="V1314" i="11"/>
  <c r="V1315" i="11"/>
  <c r="V1316" i="11"/>
  <c r="V1317" i="11"/>
  <c r="V1318" i="11"/>
  <c r="V1320" i="11"/>
  <c r="V1321" i="11"/>
  <c r="V1322" i="11"/>
  <c r="V1323" i="11"/>
  <c r="V1324" i="11"/>
  <c r="V1325" i="11"/>
  <c r="V1326" i="11"/>
  <c r="V1327" i="11"/>
  <c r="V1328" i="11"/>
  <c r="V1329" i="11"/>
  <c r="V1330" i="11"/>
  <c r="V1331" i="11"/>
  <c r="V1335" i="11"/>
  <c r="V1336" i="11"/>
  <c r="V1337" i="11"/>
  <c r="V1338" i="11"/>
  <c r="V1340" i="11"/>
  <c r="V1341" i="11"/>
  <c r="V1342" i="11"/>
  <c r="V1343" i="11"/>
  <c r="V1344" i="11"/>
  <c r="V1345" i="11"/>
  <c r="V1347" i="11"/>
  <c r="V1350" i="11"/>
  <c r="V1353" i="11"/>
  <c r="V1356" i="11"/>
  <c r="V1359" i="11"/>
  <c r="V1367" i="11"/>
  <c r="V1365" i="11"/>
  <c r="V1366" i="11"/>
  <c r="V1370" i="11"/>
  <c r="V1373" i="11"/>
  <c r="V1376" i="11"/>
  <c r="V1377" i="11"/>
  <c r="V1378" i="11"/>
  <c r="V1379" i="11"/>
  <c r="V1380" i="11"/>
  <c r="V1381" i="11"/>
  <c r="V1382" i="11"/>
  <c r="V1383" i="11"/>
  <c r="V1384" i="11"/>
  <c r="V1386" i="11"/>
  <c r="V1387" i="11"/>
  <c r="V1389" i="11"/>
  <c r="V1390" i="11"/>
  <c r="V1391" i="11"/>
  <c r="V1385" i="11"/>
  <c r="V1395" i="11"/>
  <c r="V1396" i="11"/>
  <c r="V1397" i="11"/>
  <c r="V1398" i="11"/>
  <c r="V1400" i="11"/>
  <c r="V1392" i="11"/>
  <c r="V1404" i="11"/>
  <c r="V1407" i="11"/>
  <c r="V1408" i="11"/>
  <c r="V1411" i="11"/>
  <c r="V1413" i="11"/>
  <c r="V1414" i="11"/>
  <c r="V1416" i="11"/>
  <c r="V1417" i="11"/>
  <c r="V1405" i="11"/>
  <c r="V1418" i="11"/>
  <c r="V1419" i="11"/>
  <c r="V1420" i="11"/>
  <c r="V1421" i="11"/>
  <c r="V1423" i="11"/>
  <c r="V1406" i="11"/>
  <c r="V1427" i="11"/>
  <c r="V1429" i="11"/>
  <c r="V1434" i="11"/>
  <c r="V1430" i="11"/>
  <c r="V1431" i="11"/>
  <c r="V1432" i="11"/>
  <c r="V1433" i="11"/>
  <c r="V1438" i="11"/>
  <c r="V1439" i="11"/>
  <c r="V1441" i="11"/>
  <c r="V1444" i="11"/>
  <c r="V1445" i="11"/>
  <c r="V1449" i="11"/>
  <c r="V1450" i="11"/>
  <c r="V1451" i="11"/>
  <c r="V1452" i="11"/>
  <c r="V1453" i="11"/>
  <c r="V1454" i="11"/>
  <c r="V1455" i="11"/>
  <c r="V1457" i="11"/>
  <c r="V1458" i="11"/>
  <c r="V1459" i="11"/>
  <c r="V1460" i="11"/>
  <c r="V1461" i="11"/>
  <c r="V1462" i="11"/>
  <c r="V1456" i="11"/>
  <c r="V1469" i="11"/>
  <c r="V1463" i="11"/>
  <c r="V1464" i="11"/>
  <c r="V1465" i="11"/>
  <c r="V1466" i="11"/>
  <c r="V1467" i="11"/>
  <c r="V1468" i="11"/>
  <c r="V1470" i="11"/>
  <c r="V1471" i="11"/>
  <c r="V1472" i="11"/>
  <c r="V1474" i="11"/>
  <c r="V1475" i="11"/>
  <c r="V1476" i="11"/>
  <c r="V1477" i="11"/>
  <c r="V1478" i="11"/>
  <c r="V1479" i="11"/>
  <c r="V1480" i="11"/>
  <c r="V1481" i="11"/>
  <c r="V1482" i="11"/>
  <c r="V1483" i="11"/>
  <c r="V1473" i="11"/>
  <c r="V1484" i="11"/>
  <c r="V1489" i="11"/>
  <c r="V1493" i="11"/>
  <c r="V1490" i="11"/>
  <c r="V1491" i="11"/>
  <c r="V1500" i="11"/>
  <c r="V1501" i="11"/>
  <c r="V1504" i="11"/>
  <c r="V1506" i="11"/>
  <c r="V1507" i="11"/>
  <c r="V1508" i="11"/>
  <c r="V1509" i="11"/>
  <c r="V1511" i="11"/>
  <c r="V1513" i="11"/>
  <c r="V1514" i="11"/>
  <c r="V1515" i="11"/>
  <c r="V1517" i="11"/>
  <c r="V1518" i="11"/>
  <c r="V1512" i="11"/>
  <c r="V1519" i="11"/>
  <c r="V1520" i="11"/>
  <c r="V1523" i="11"/>
  <c r="V1524" i="11"/>
  <c r="V1525" i="11"/>
  <c r="V1526" i="11"/>
  <c r="V1527" i="11"/>
  <c r="V1528" i="11"/>
  <c r="V1529" i="11"/>
  <c r="V1530" i="11"/>
  <c r="V1531" i="11"/>
  <c r="V1534" i="11"/>
  <c r="V1533" i="11"/>
  <c r="V1537" i="11"/>
  <c r="V1538" i="11"/>
  <c r="V1541" i="11"/>
  <c r="V1542" i="11"/>
  <c r="V1543" i="11"/>
  <c r="V1548" i="11"/>
  <c r="V1552" i="11"/>
  <c r="V1555" i="11"/>
  <c r="V1556" i="11"/>
  <c r="V1558" i="11"/>
  <c r="V1560" i="11"/>
  <c r="V1562" i="11"/>
  <c r="V1564" i="11"/>
  <c r="V1563" i="11"/>
  <c r="V1565" i="11"/>
  <c r="V1566" i="11"/>
  <c r="V1567" i="11"/>
  <c r="V1571" i="11"/>
  <c r="V1572" i="11"/>
  <c r="V1574" i="11"/>
  <c r="V1575" i="11"/>
  <c r="V1576" i="11"/>
  <c r="V1577" i="11"/>
  <c r="V1578" i="11"/>
  <c r="V1579" i="11"/>
  <c r="V1582" i="11"/>
  <c r="V1573" i="11"/>
  <c r="V1583" i="11"/>
  <c r="V1586" i="11"/>
  <c r="V1587" i="11"/>
  <c r="V1588" i="11"/>
  <c r="V1590" i="11"/>
  <c r="V1592" i="11"/>
  <c r="V1589" i="11"/>
  <c r="V1593" i="11"/>
  <c r="V1594" i="11"/>
  <c r="V1595" i="11"/>
  <c r="V1596" i="11"/>
  <c r="V1598" i="11"/>
  <c r="V1599" i="11"/>
  <c r="V1600" i="11"/>
  <c r="V1601" i="11"/>
  <c r="V1602" i="11"/>
  <c r="V1603" i="11"/>
  <c r="V1604" i="11"/>
  <c r="V1605" i="11"/>
  <c r="V1606" i="11"/>
  <c r="V1609" i="11"/>
  <c r="V1607" i="11"/>
  <c r="V1608" i="11"/>
  <c r="V1610" i="11"/>
  <c r="V1611" i="11"/>
  <c r="V1612" i="11"/>
  <c r="V1618" i="11"/>
  <c r="V1628" i="11"/>
  <c r="V1629" i="11"/>
  <c r="V1630" i="11"/>
  <c r="V1631" i="11"/>
  <c r="V1632" i="11"/>
  <c r="V1633" i="11"/>
  <c r="V1634" i="11"/>
  <c r="V1638" i="11"/>
  <c r="V1640" i="11"/>
  <c r="V1642" i="11"/>
  <c r="V1645" i="11"/>
  <c r="V1646" i="11"/>
  <c r="V1615" i="11"/>
  <c r="V1616" i="11"/>
  <c r="V1619" i="11"/>
  <c r="V1620" i="11"/>
  <c r="V1621" i="11"/>
  <c r="V1622" i="11"/>
  <c r="V1625" i="11"/>
  <c r="V1627" i="11"/>
  <c r="V1635" i="11"/>
  <c r="V1636" i="11"/>
  <c r="V1639" i="11"/>
  <c r="V1641" i="11"/>
  <c r="V1643" i="11"/>
  <c r="V1651" i="11"/>
  <c r="V1654" i="11"/>
  <c r="V1655" i="11"/>
  <c r="V1658" i="11"/>
  <c r="V1660" i="11"/>
  <c r="V1662" i="11"/>
  <c r="V1663" i="11"/>
  <c r="V1664" i="11"/>
  <c r="V1665" i="11"/>
  <c r="V1667" i="11"/>
  <c r="V1668" i="11"/>
  <c r="V1669" i="11"/>
  <c r="V1672" i="11"/>
  <c r="V1673" i="11"/>
  <c r="V1674" i="11"/>
  <c r="V1675" i="11"/>
  <c r="V1679" i="11"/>
  <c r="V1680" i="11"/>
  <c r="V1683" i="11"/>
  <c r="V1684" i="11"/>
  <c r="V1685" i="11"/>
  <c r="V1689" i="11"/>
  <c r="V1690" i="11"/>
  <c r="V1691" i="11"/>
  <c r="V1692" i="11"/>
  <c r="V1693" i="11"/>
  <c r="V1694" i="11"/>
  <c r="V1696" i="11"/>
  <c r="V1697" i="11"/>
  <c r="V1698" i="11"/>
  <c r="V1699" i="11"/>
  <c r="V1700" i="11"/>
  <c r="V1702" i="11"/>
  <c r="V1706" i="11"/>
  <c r="V1707" i="11"/>
  <c r="V1708" i="11"/>
  <c r="V1709" i="11"/>
  <c r="V1714" i="11"/>
  <c r="V1715" i="11"/>
  <c r="V1716" i="11"/>
  <c r="V1718" i="11"/>
  <c r="V1720" i="11"/>
  <c r="V1723" i="11"/>
  <c r="V1726" i="11"/>
  <c r="V1728" i="11"/>
  <c r="V1731" i="11"/>
  <c r="V1732" i="11"/>
  <c r="V1733" i="11"/>
  <c r="V1734" i="11"/>
  <c r="V1722" i="11"/>
  <c r="V1721" i="11"/>
  <c r="V1725" i="11"/>
  <c r="V1735" i="11"/>
  <c r="V1736" i="11"/>
  <c r="V1738" i="11"/>
  <c r="V1739" i="11"/>
  <c r="V1741" i="11"/>
  <c r="V1751" i="11"/>
  <c r="V1743" i="11"/>
  <c r="V1744" i="11"/>
  <c r="V1745" i="11"/>
  <c r="V1747" i="11"/>
  <c r="V1748" i="11"/>
  <c r="V1749" i="11"/>
  <c r="V1750" i="11"/>
  <c r="V1752" i="11"/>
  <c r="V1753" i="11"/>
  <c r="V1754" i="11"/>
  <c r="V1755" i="11"/>
  <c r="V1756" i="11"/>
  <c r="V1760" i="11"/>
  <c r="V1761" i="11"/>
  <c r="V1764" i="11"/>
  <c r="V1765" i="11"/>
  <c r="V1767" i="11"/>
  <c r="V1768" i="11"/>
  <c r="V1769" i="11"/>
  <c r="V1770" i="11"/>
  <c r="V1771" i="11"/>
  <c r="V1772" i="11"/>
  <c r="V1773" i="11"/>
  <c r="V1774" i="11"/>
  <c r="V1775" i="11"/>
  <c r="V1776" i="11"/>
  <c r="V1777" i="11"/>
  <c r="V1778" i="11"/>
  <c r="V1779" i="11"/>
  <c r="V1780" i="11"/>
  <c r="V1781" i="11"/>
  <c r="V1782" i="11"/>
  <c r="V1783" i="11"/>
  <c r="V1784" i="11"/>
  <c r="V1785" i="11"/>
  <c r="V1786" i="11"/>
  <c r="V1788" i="11"/>
  <c r="V1789" i="11"/>
  <c r="V1791" i="11"/>
  <c r="V1792" i="11"/>
  <c r="V1794" i="11"/>
  <c r="V1795" i="11"/>
  <c r="V1796" i="11"/>
  <c r="V1797" i="11"/>
  <c r="V1798" i="11"/>
  <c r="V1801" i="11"/>
  <c r="V1799" i="11"/>
  <c r="V1800" i="11"/>
  <c r="V1802" i="11"/>
  <c r="V1803" i="11"/>
  <c r="V1805" i="11"/>
  <c r="V1806" i="11"/>
  <c r="V1807" i="11"/>
  <c r="V1808" i="11"/>
  <c r="V1811" i="11"/>
  <c r="V1812" i="11"/>
  <c r="V1813" i="11"/>
  <c r="V1814" i="11"/>
  <c r="V1816" i="11"/>
  <c r="V1817" i="11"/>
  <c r="V1818" i="11"/>
  <c r="V1820" i="11"/>
  <c r="V1821" i="11"/>
  <c r="V1822" i="11"/>
  <c r="V1824" i="11"/>
  <c r="V1825" i="11"/>
  <c r="V1827" i="11"/>
  <c r="V1826" i="11"/>
  <c r="V1829" i="11"/>
  <c r="V1831" i="11"/>
  <c r="V1832" i="11"/>
  <c r="V1833" i="11"/>
  <c r="V1834" i="11"/>
  <c r="V1836" i="11"/>
  <c r="V1837" i="11"/>
  <c r="V1838" i="11"/>
  <c r="V1839" i="11"/>
  <c r="V1840" i="11"/>
  <c r="V1809" i="11"/>
  <c r="V1823" i="11"/>
  <c r="V1845" i="11"/>
  <c r="V1848" i="11"/>
  <c r="V1850" i="11"/>
  <c r="V1851" i="11"/>
  <c r="V1852" i="11"/>
  <c r="V1853" i="11"/>
  <c r="V1855" i="11"/>
  <c r="V1856" i="11"/>
  <c r="V1857" i="11"/>
  <c r="V1862" i="11"/>
  <c r="V1863" i="11"/>
  <c r="V1864" i="11"/>
  <c r="V1865" i="11"/>
  <c r="V1866" i="11"/>
  <c r="V1868" i="11"/>
  <c r="V1871" i="11"/>
  <c r="V1872" i="11"/>
  <c r="V1874" i="11"/>
  <c r="V1876" i="11"/>
  <c r="V1879" i="11"/>
  <c r="V1858" i="11"/>
  <c r="V1867" i="11"/>
  <c r="V1880" i="11"/>
  <c r="V1881" i="11"/>
  <c r="V1883" i="11"/>
  <c r="V1884" i="11"/>
  <c r="V1886" i="11"/>
  <c r="V1889" i="11"/>
  <c r="V1891" i="11"/>
  <c r="V1892" i="11"/>
  <c r="V1893" i="11"/>
  <c r="V1896" i="11"/>
  <c r="V1898" i="11"/>
  <c r="V1902" i="11"/>
  <c r="V1905" i="11"/>
  <c r="V1906" i="11"/>
  <c r="V1907" i="11"/>
  <c r="V1909" i="11"/>
  <c r="V1910" i="11"/>
  <c r="V1911" i="11"/>
  <c r="V1912" i="11"/>
  <c r="V1913" i="11"/>
  <c r="V1914" i="11"/>
  <c r="V1916" i="11"/>
  <c r="V1917" i="11"/>
  <c r="V1918" i="11"/>
  <c r="V1919" i="11"/>
  <c r="V1921" i="11"/>
  <c r="V1922" i="11"/>
  <c r="V1923" i="11"/>
  <c r="V1924" i="11"/>
  <c r="V1925" i="11"/>
  <c r="V1926" i="11"/>
  <c r="V1927" i="11"/>
  <c r="V1928" i="11"/>
  <c r="V1929" i="11"/>
  <c r="V1930" i="11"/>
  <c r="V1931" i="11"/>
  <c r="V1933" i="11"/>
  <c r="V1935" i="11"/>
  <c r="V1936" i="11"/>
  <c r="V1973" i="11"/>
  <c r="V1975" i="11"/>
  <c r="V1976" i="11"/>
  <c r="V1979" i="11"/>
  <c r="V1980" i="11"/>
  <c r="V1981" i="11"/>
  <c r="V1982" i="11"/>
  <c r="V1985" i="11"/>
  <c r="V2002" i="11"/>
  <c r="V1990" i="11"/>
  <c r="V1991" i="11"/>
  <c r="V1992" i="11"/>
  <c r="V1994" i="11"/>
  <c r="V1995" i="11"/>
  <c r="V1997" i="11"/>
  <c r="V1998" i="11"/>
  <c r="V2000" i="11"/>
  <c r="V2001" i="11"/>
  <c r="V2003" i="11"/>
  <c r="V2004" i="11"/>
  <c r="V2007" i="11"/>
  <c r="V2009" i="11"/>
  <c r="V2010" i="11"/>
  <c r="V2011" i="11"/>
  <c r="V2012" i="11"/>
  <c r="V2014" i="11"/>
  <c r="V2017" i="11"/>
  <c r="V2022" i="11"/>
  <c r="V2025" i="11"/>
  <c r="V2026" i="11"/>
  <c r="V2031" i="11"/>
  <c r="V2032" i="11"/>
  <c r="V2033" i="11"/>
  <c r="V2006" i="11"/>
  <c r="V2037" i="11"/>
  <c r="V2039" i="11"/>
  <c r="V2038" i="11"/>
  <c r="V2040" i="11"/>
  <c r="V2041" i="11"/>
  <c r="V2042" i="11"/>
  <c r="V2044" i="11"/>
  <c r="V2043" i="11"/>
  <c r="V2045" i="11"/>
  <c r="V2048" i="11"/>
  <c r="V2049" i="11"/>
  <c r="V2050" i="11"/>
  <c r="V2051" i="11"/>
  <c r="V2053" i="11"/>
  <c r="V2054" i="11"/>
  <c r="V2055" i="11"/>
  <c r="V2056" i="11"/>
  <c r="V2057" i="11"/>
  <c r="V2058" i="11"/>
  <c r="V2059" i="11"/>
  <c r="V2060" i="11"/>
  <c r="V2061" i="11"/>
  <c r="V2062" i="11"/>
  <c r="V2063" i="11"/>
  <c r="V2036" i="11"/>
  <c r="V2065" i="11"/>
  <c r="V2066" i="11"/>
  <c r="V2067" i="11"/>
  <c r="V2068" i="11"/>
  <c r="V2069" i="11"/>
  <c r="V2070" i="11"/>
  <c r="V2071" i="11"/>
  <c r="V2072" i="11"/>
  <c r="V2073" i="11"/>
  <c r="V2074" i="11"/>
  <c r="V2075" i="11"/>
  <c r="V2077" i="11"/>
  <c r="V2079" i="11"/>
  <c r="V2076" i="11"/>
  <c r="V2081" i="11"/>
  <c r="V2084" i="11"/>
  <c r="V2085" i="11"/>
  <c r="V2086" i="11"/>
  <c r="V2087" i="11"/>
  <c r="V2088" i="11"/>
  <c r="V2089" i="11"/>
  <c r="V2090" i="11"/>
  <c r="V2091" i="11"/>
  <c r="V2092" i="11"/>
  <c r="V2093" i="11"/>
  <c r="V2094" i="11"/>
  <c r="V2095" i="11"/>
  <c r="V2096" i="11"/>
  <c r="V2097" i="11"/>
  <c r="V2098" i="11"/>
  <c r="V2099" i="11"/>
  <c r="V2100" i="11"/>
  <c r="V2103" i="11"/>
  <c r="V2104" i="11"/>
  <c r="V2105" i="11"/>
  <c r="V2106" i="11"/>
  <c r="V2107" i="11"/>
  <c r="V2108" i="11"/>
  <c r="V2109" i="11"/>
  <c r="V2110" i="11"/>
  <c r="V2111" i="11"/>
  <c r="V2112" i="11"/>
  <c r="V2113" i="11"/>
  <c r="V2115" i="11"/>
  <c r="V2116" i="11"/>
  <c r="V2119" i="11"/>
  <c r="V2121" i="11"/>
  <c r="V2122" i="11"/>
  <c r="V2129" i="11"/>
  <c r="V2131" i="11"/>
  <c r="V2135" i="11"/>
  <c r="V2136" i="11"/>
  <c r="V2137" i="11"/>
  <c r="V2139" i="11"/>
  <c r="V2142" i="11"/>
  <c r="V2143" i="11"/>
  <c r="V2145" i="11"/>
  <c r="V2146" i="11"/>
  <c r="V2148" i="11"/>
  <c r="V2149" i="11"/>
  <c r="V2150" i="11"/>
  <c r="V2152" i="11"/>
  <c r="V2154" i="11"/>
  <c r="V2155" i="11"/>
  <c r="V2156" i="11"/>
  <c r="V2157" i="11"/>
  <c r="V2134" i="11"/>
  <c r="V2159" i="11"/>
  <c r="V2160" i="11"/>
  <c r="V2161" i="11"/>
  <c r="V2181" i="11"/>
  <c r="V2165" i="11"/>
  <c r="V2166" i="11"/>
  <c r="V2167" i="11"/>
  <c r="V2168" i="11"/>
  <c r="V2169" i="11"/>
  <c r="V2170" i="11"/>
  <c r="V2172" i="11"/>
  <c r="V2173" i="11"/>
  <c r="V2174" i="11"/>
  <c r="V2176" i="11"/>
  <c r="V2178" i="11"/>
  <c r="V2179" i="11"/>
  <c r="V2180" i="11"/>
  <c r="V2177" i="11"/>
  <c r="V2183" i="11"/>
  <c r="V2184" i="11"/>
  <c r="V2182" i="11"/>
  <c r="V2185" i="11"/>
  <c r="V2186" i="11"/>
  <c r="V2187" i="11"/>
  <c r="V2188" i="11"/>
  <c r="V2190" i="11"/>
  <c r="V2191" i="11"/>
  <c r="V2192" i="11"/>
  <c r="V2193" i="11"/>
  <c r="V2194" i="11"/>
  <c r="V2196" i="11"/>
  <c r="V2197" i="11"/>
  <c r="V2198" i="11"/>
  <c r="V2199" i="11"/>
  <c r="V2200" i="11"/>
  <c r="V2201" i="11"/>
  <c r="V2202" i="11"/>
  <c r="V2203" i="11"/>
  <c r="V2204" i="11"/>
  <c r="V2205" i="11"/>
  <c r="V2206" i="11"/>
  <c r="V2207" i="11"/>
  <c r="V2208" i="11"/>
  <c r="V2209" i="11"/>
  <c r="V2210" i="11"/>
  <c r="V2211" i="11"/>
  <c r="V2212" i="11"/>
  <c r="V2213" i="11"/>
  <c r="V2214" i="11"/>
  <c r="V2215" i="11"/>
  <c r="V2216" i="11"/>
  <c r="V2217" i="11"/>
  <c r="V2218" i="11"/>
  <c r="V2219" i="11"/>
  <c r="V2220" i="11"/>
  <c r="V2221" i="11"/>
  <c r="V2222" i="11"/>
  <c r="V2223" i="11"/>
  <c r="V2224" i="11"/>
  <c r="V2225" i="11"/>
  <c r="V2226" i="11"/>
  <c r="V2227" i="11"/>
  <c r="V2228" i="11"/>
  <c r="V2229" i="11"/>
  <c r="V2230" i="11"/>
  <c r="V2231" i="11"/>
  <c r="V2232" i="11"/>
  <c r="V2233" i="11"/>
  <c r="V2234" i="11"/>
  <c r="V2235" i="11"/>
  <c r="V2236" i="11"/>
  <c r="V2237" i="11"/>
  <c r="V2238" i="11"/>
  <c r="V2239" i="11"/>
  <c r="V2240" i="11"/>
  <c r="V2241" i="11"/>
  <c r="V2242" i="11"/>
  <c r="V2246" i="11"/>
  <c r="V2248" i="11"/>
  <c r="V2249" i="11"/>
  <c r="V2250" i="11"/>
  <c r="V2251" i="11"/>
  <c r="V2253" i="11"/>
  <c r="V2254" i="11"/>
  <c r="V2258" i="11"/>
  <c r="V2259" i="11"/>
  <c r="V2261" i="11"/>
  <c r="V2266" i="11"/>
  <c r="V2270" i="11"/>
  <c r="V2271" i="11"/>
  <c r="V2252" i="11"/>
  <c r="V2269" i="11"/>
  <c r="V1939" i="11"/>
  <c r="V1940" i="11"/>
  <c r="V1941" i="11"/>
  <c r="V1945" i="11"/>
  <c r="V1946" i="11"/>
  <c r="V1942" i="11"/>
  <c r="V1944" i="11"/>
  <c r="V1947" i="11"/>
  <c r="V1948" i="11"/>
  <c r="V1949" i="11"/>
  <c r="V1950" i="11"/>
  <c r="V1951" i="11"/>
  <c r="V1952" i="11"/>
  <c r="V1953" i="11"/>
  <c r="V1954" i="11"/>
  <c r="V1955" i="11"/>
  <c r="V1969" i="11"/>
  <c r="V1958" i="11"/>
  <c r="V1960" i="11"/>
  <c r="V1961" i="11"/>
  <c r="V1963" i="11"/>
  <c r="V1965" i="11"/>
  <c r="V1966" i="11"/>
  <c r="V1967" i="11"/>
  <c r="V1971" i="11"/>
  <c r="V1957" i="11"/>
  <c r="V2273" i="11"/>
  <c r="V2275" i="11"/>
  <c r="V2277" i="11"/>
  <c r="V2278" i="11"/>
  <c r="V2281" i="11"/>
  <c r="V2282" i="11"/>
  <c r="V2287" i="11"/>
  <c r="V2294" i="11"/>
  <c r="V2295" i="11"/>
  <c r="V2300" i="11"/>
  <c r="V2301" i="11"/>
  <c r="V2322" i="11"/>
  <c r="V2323" i="11"/>
  <c r="V2324" i="11"/>
  <c r="V2325" i="11"/>
  <c r="V2326" i="11"/>
  <c r="V2327" i="11"/>
  <c r="V2328" i="11"/>
  <c r="V2329" i="11"/>
  <c r="V2332" i="11"/>
  <c r="V2333" i="11"/>
  <c r="V2335" i="11"/>
  <c r="V2337" i="11"/>
  <c r="V2343" i="11"/>
  <c r="V2303" i="11"/>
  <c r="V2306" i="11"/>
  <c r="V2307" i="11"/>
  <c r="V2308" i="11"/>
  <c r="V2310" i="11"/>
  <c r="V2311" i="11"/>
  <c r="V2312" i="11"/>
  <c r="V2313" i="11"/>
  <c r="V2319" i="11"/>
  <c r="V2316" i="11"/>
  <c r="V2318" i="11"/>
  <c r="V2321" i="11"/>
  <c r="V2314" i="11"/>
  <c r="V2347" i="11"/>
  <c r="V2348" i="11"/>
  <c r="V2349" i="11"/>
  <c r="V2354" i="11"/>
  <c r="V2355" i="11"/>
  <c r="V2356" i="11"/>
  <c r="V2361" i="11"/>
  <c r="V2362" i="11"/>
  <c r="V2363" i="11"/>
  <c r="V2365" i="11"/>
  <c r="V2366" i="11"/>
  <c r="V2367" i="11"/>
  <c r="V2368" i="11"/>
  <c r="V2369" i="11"/>
  <c r="V2371" i="11"/>
  <c r="V2378" i="11"/>
  <c r="V2373" i="11"/>
  <c r="V2374" i="11"/>
  <c r="V2376" i="11"/>
  <c r="V2381" i="11"/>
  <c r="V2382" i="11"/>
  <c r="V2383" i="11"/>
  <c r="V2425" i="11"/>
  <c r="V2385" i="11"/>
  <c r="V2386" i="11"/>
  <c r="V2393" i="11"/>
  <c r="V2396" i="11"/>
  <c r="V2400" i="11"/>
  <c r="V2402" i="11"/>
  <c r="V2409" i="11"/>
  <c r="V2410" i="11"/>
  <c r="V2411" i="11"/>
  <c r="V2412" i="11"/>
  <c r="V2416" i="11"/>
  <c r="V2417" i="11"/>
  <c r="V2421" i="11"/>
  <c r="V2433" i="11"/>
  <c r="V2436" i="11"/>
  <c r="V2438" i="11"/>
  <c r="V2439" i="11"/>
  <c r="V2441" i="11"/>
  <c r="V2444" i="11"/>
  <c r="V2446" i="11"/>
  <c r="V2447" i="11"/>
  <c r="V2448" i="11"/>
  <c r="V2449" i="11"/>
  <c r="V2450" i="11"/>
  <c r="V2455" i="11"/>
  <c r="V2457" i="11"/>
  <c r="V2458" i="11"/>
  <c r="V2451" i="11"/>
  <c r="V2453" i="11"/>
  <c r="V2460" i="11"/>
  <c r="V2461" i="11"/>
  <c r="V2463" i="11"/>
  <c r="V2464" i="11"/>
  <c r="V2465" i="11"/>
  <c r="V2466" i="11"/>
  <c r="V2467" i="11"/>
  <c r="V2468" i="11"/>
  <c r="V2469" i="11"/>
  <c r="V2471" i="11"/>
  <c r="V2472" i="11"/>
  <c r="V2473" i="11"/>
  <c r="V2474" i="11"/>
  <c r="V2475" i="11"/>
  <c r="V2476" i="11"/>
  <c r="V2477" i="11"/>
  <c r="V2478" i="11"/>
  <c r="V2479" i="11"/>
  <c r="V2480" i="11"/>
  <c r="V2481" i="11"/>
  <c r="V2482" i="11"/>
  <c r="V2483" i="11"/>
  <c r="V2484" i="11"/>
  <c r="V2485" i="11"/>
  <c r="V2486" i="11"/>
  <c r="V2487" i="11"/>
  <c r="V2488" i="11"/>
  <c r="V2489" i="11"/>
  <c r="V2490" i="11"/>
  <c r="V2492" i="11"/>
  <c r="V2493" i="11"/>
  <c r="V2494" i="11"/>
  <c r="V2495" i="11"/>
  <c r="V2496" i="11"/>
  <c r="V2497" i="11"/>
  <c r="V2498" i="11"/>
  <c r="V2500" i="11"/>
  <c r="V2503" i="11"/>
  <c r="V2504" i="11"/>
  <c r="V2491" i="11"/>
  <c r="V2505" i="11"/>
  <c r="V2506" i="11"/>
  <c r="V2509" i="11"/>
  <c r="V2510" i="11"/>
  <c r="V2511" i="11"/>
  <c r="V2512" i="11"/>
  <c r="V2513" i="11"/>
  <c r="V2515" i="11"/>
  <c r="V2516" i="11"/>
  <c r="V2518" i="11"/>
  <c r="V2519" i="11"/>
  <c r="V2520" i="11"/>
  <c r="V2521" i="11"/>
  <c r="V2522" i="11"/>
  <c r="V2523" i="11"/>
  <c r="V2524" i="11"/>
  <c r="V2526" i="11"/>
  <c r="V2527" i="11"/>
  <c r="V2528" i="11"/>
  <c r="V2529" i="11"/>
  <c r="V2531" i="11"/>
  <c r="V2532" i="11"/>
  <c r="V2533" i="11"/>
  <c r="V2535" i="11"/>
  <c r="V2536" i="11"/>
  <c r="V2537" i="11"/>
  <c r="V2538" i="11"/>
  <c r="V2540" i="11"/>
  <c r="V2543" i="11"/>
  <c r="V2544" i="11"/>
  <c r="V2545" i="11"/>
  <c r="V2546" i="11"/>
  <c r="V2547" i="11"/>
  <c r="V2548" i="11"/>
  <c r="V2553" i="11"/>
  <c r="V2555" i="11"/>
  <c r="V2557" i="11"/>
  <c r="V2559" i="11"/>
  <c r="V2562" i="11"/>
  <c r="V2563" i="11"/>
  <c r="V2564" i="11"/>
  <c r="V2571" i="11"/>
  <c r="V2573" i="11"/>
  <c r="V2574" i="11"/>
  <c r="V2575" i="11"/>
  <c r="V2576" i="11"/>
  <c r="V2578" i="11"/>
  <c r="V2579" i="11"/>
  <c r="V2580" i="11"/>
  <c r="V2582" i="11"/>
  <c r="V2584" i="11"/>
  <c r="V2589" i="11"/>
  <c r="V2590" i="11"/>
  <c r="V2591" i="11"/>
  <c r="V2592" i="11"/>
  <c r="V2594" i="11"/>
  <c r="V2596" i="11"/>
  <c r="V2599" i="11"/>
  <c r="V2601" i="11"/>
  <c r="V2602" i="11"/>
  <c r="V2603" i="11"/>
  <c r="V2606" i="11"/>
  <c r="V2608" i="11"/>
  <c r="V2610" i="11"/>
  <c r="V2613" i="11"/>
  <c r="V2617" i="11"/>
  <c r="V2618" i="11"/>
  <c r="V2620" i="11"/>
  <c r="V2621" i="11"/>
  <c r="V2622" i="11"/>
  <c r="V2623" i="11"/>
  <c r="V2624" i="11"/>
  <c r="V2626" i="11"/>
  <c r="V2627" i="11"/>
  <c r="V2628" i="11"/>
  <c r="V2629" i="11"/>
  <c r="V2635" i="11"/>
  <c r="V2636" i="11"/>
  <c r="V2637" i="11"/>
  <c r="V2638" i="11"/>
  <c r="V2639" i="11"/>
  <c r="V2644" i="11"/>
  <c r="V2646" i="11"/>
  <c r="V2647" i="11"/>
  <c r="V2649" i="11"/>
  <c r="V2651" i="11"/>
  <c r="V2658" i="11"/>
  <c r="V2659" i="11"/>
  <c r="V2660" i="11"/>
  <c r="V2661" i="11"/>
  <c r="V2662" i="11"/>
  <c r="V2663" i="11"/>
  <c r="V2664" i="11"/>
  <c r="V2666" i="11"/>
  <c r="V2669" i="11"/>
  <c r="V2670" i="11"/>
  <c r="V2671" i="11"/>
  <c r="V2672" i="11"/>
  <c r="V2673" i="11"/>
  <c r="V2674" i="11"/>
  <c r="V2675" i="11"/>
  <c r="V2677" i="11"/>
  <c r="V2678" i="11"/>
  <c r="V2682" i="11"/>
  <c r="V2683" i="11"/>
  <c r="V2686" i="11"/>
  <c r="V2688" i="11"/>
  <c r="V2691" i="11"/>
  <c r="V2693" i="11"/>
  <c r="V2694" i="11"/>
  <c r="V2696" i="11"/>
  <c r="V2697" i="11"/>
  <c r="V2699" i="11"/>
  <c r="V2700" i="11"/>
  <c r="V2717" i="11"/>
  <c r="V2721" i="11"/>
  <c r="V2722" i="11"/>
  <c r="V2724" i="11"/>
  <c r="V2725" i="11"/>
  <c r="V2726" i="11"/>
  <c r="V2727" i="11"/>
  <c r="V2731" i="11"/>
  <c r="V2732" i="11"/>
  <c r="V2736" i="11"/>
  <c r="V2741" i="11"/>
  <c r="V2742" i="11"/>
  <c r="V2743" i="11"/>
  <c r="V2744" i="11"/>
  <c r="V2745" i="11"/>
  <c r="V2746" i="11"/>
  <c r="V2747" i="11"/>
  <c r="V2748" i="11"/>
  <c r="V2749" i="11"/>
  <c r="V2750" i="11"/>
  <c r="V2751" i="11"/>
  <c r="V2752" i="11"/>
  <c r="V2753" i="11"/>
  <c r="V2754" i="11"/>
  <c r="V2761" i="11"/>
  <c r="V2762" i="11"/>
  <c r="V2763" i="11"/>
  <c r="V2764" i="11"/>
  <c r="V2765" i="11"/>
  <c r="V2766" i="11"/>
  <c r="V2767" i="11"/>
  <c r="V2768" i="11"/>
  <c r="V2770" i="11"/>
  <c r="V2771" i="11"/>
  <c r="V2772" i="11"/>
  <c r="V2773" i="11"/>
  <c r="V2774" i="11"/>
  <c r="V2775" i="11"/>
  <c r="V2776" i="11"/>
  <c r="V2777" i="11"/>
  <c r="V2778" i="11"/>
  <c r="V2779" i="11"/>
  <c r="V2781" i="11"/>
  <c r="V2782" i="11"/>
  <c r="V2783" i="11"/>
  <c r="V2784" i="11"/>
  <c r="V2785" i="11"/>
  <c r="V2786" i="11"/>
  <c r="V2756" i="11"/>
  <c r="V2787" i="11"/>
  <c r="V2788" i="11"/>
  <c r="V2790" i="11"/>
  <c r="V2791" i="11"/>
  <c r="V2792" i="11"/>
  <c r="V2793" i="11"/>
  <c r="V2794" i="11"/>
  <c r="V2795" i="11"/>
  <c r="V2798" i="11"/>
  <c r="V2799" i="11"/>
  <c r="V2800" i="11"/>
  <c r="V2802" i="11"/>
  <c r="V2803" i="11"/>
  <c r="V2804" i="11"/>
  <c r="V2805" i="11"/>
  <c r="V2806" i="11"/>
  <c r="V2807" i="11"/>
  <c r="V2808" i="11"/>
  <c r="V2810" i="11"/>
  <c r="V2812" i="11"/>
  <c r="V2813" i="11"/>
  <c r="V2814" i="11"/>
  <c r="V2817" i="11"/>
  <c r="V2818" i="11"/>
  <c r="V2821" i="11"/>
  <c r="V2822" i="11"/>
  <c r="V2823" i="11"/>
  <c r="V2824" i="11"/>
  <c r="V2825" i="11"/>
  <c r="V2826" i="11"/>
  <c r="V2827" i="11"/>
  <c r="V2828" i="11"/>
  <c r="V2829" i="11"/>
  <c r="V2797" i="11"/>
  <c r="V2833" i="11"/>
  <c r="V2836" i="11"/>
  <c r="V2837" i="11"/>
  <c r="V2840" i="11"/>
  <c r="V2844" i="11"/>
  <c r="V2850" i="11"/>
  <c r="V2851" i="11"/>
  <c r="V2853" i="11"/>
  <c r="V2855" i="11"/>
  <c r="V2703" i="11"/>
  <c r="V2705" i="11"/>
  <c r="V2706" i="11"/>
  <c r="V2707" i="11"/>
  <c r="V2709" i="11"/>
  <c r="V2710" i="11"/>
  <c r="V2711" i="11"/>
  <c r="V2712" i="11"/>
  <c r="V2714" i="11"/>
  <c r="V2859" i="11"/>
  <c r="V2861" i="11"/>
  <c r="V2865" i="11"/>
  <c r="V2867" i="11"/>
  <c r="V2868" i="11"/>
  <c r="V2870" i="11"/>
  <c r="V2871" i="11"/>
  <c r="V2874" i="11"/>
  <c r="V2876" i="11"/>
  <c r="V2877" i="11"/>
  <c r="V2878" i="11"/>
  <c r="V2879" i="11"/>
  <c r="V2880" i="11"/>
  <c r="V2881" i="11"/>
  <c r="V2882" i="11"/>
  <c r="V2883" i="11"/>
  <c r="V2884" i="11"/>
  <c r="V2885" i="11"/>
  <c r="V2886" i="11"/>
  <c r="V2887" i="11"/>
  <c r="V2857" i="11"/>
  <c r="V2860" i="11"/>
  <c r="V2863" i="11"/>
  <c r="V2864" i="11"/>
  <c r="V2869" i="11"/>
  <c r="V2872" i="11"/>
  <c r="V2873" i="11"/>
  <c r="V2875" i="11"/>
  <c r="V2889" i="11"/>
  <c r="V2890" i="11"/>
  <c r="V2891" i="11"/>
  <c r="V2892" i="11"/>
  <c r="V2895" i="11"/>
  <c r="V2898" i="11"/>
  <c r="V2900" i="11"/>
  <c r="V2901" i="11"/>
  <c r="V2902" i="11"/>
  <c r="V2903" i="11"/>
  <c r="V2904" i="11"/>
  <c r="V2906" i="11"/>
  <c r="V2907" i="11"/>
  <c r="V2908" i="11"/>
  <c r="V2897" i="11"/>
  <c r="V2911" i="11"/>
  <c r="V2912" i="11"/>
  <c r="V2914" i="11"/>
  <c r="V2915" i="11"/>
  <c r="V2916" i="11"/>
  <c r="V2917" i="11"/>
  <c r="V2918" i="11"/>
  <c r="V2919" i="11"/>
  <c r="V2922" i="11"/>
  <c r="V2924" i="11"/>
  <c r="V2925" i="11"/>
  <c r="V2926" i="11"/>
  <c r="V2927" i="11"/>
  <c r="V2928" i="11"/>
  <c r="V2929" i="11"/>
  <c r="V2930" i="11"/>
  <c r="V2931" i="11"/>
  <c r="V2932" i="11"/>
  <c r="V2934" i="11"/>
  <c r="V2935" i="11"/>
  <c r="V2936" i="11"/>
  <c r="V2937" i="11"/>
  <c r="V2938" i="11"/>
  <c r="V2939" i="11"/>
  <c r="V2940" i="11"/>
  <c r="V2949" i="11"/>
  <c r="V2952" i="11"/>
  <c r="V2941" i="11"/>
  <c r="V2953" i="11"/>
  <c r="V2950" i="11"/>
  <c r="V2942" i="11"/>
  <c r="V2948" i="11"/>
  <c r="V2943" i="11"/>
  <c r="V2944" i="11"/>
  <c r="V2951" i="11"/>
  <c r="V2945" i="11"/>
  <c r="V2946" i="11"/>
  <c r="V2947" i="11"/>
  <c r="V2956" i="11"/>
  <c r="V2959" i="11"/>
  <c r="V2960" i="11"/>
  <c r="V2961" i="11"/>
  <c r="V2962" i="11"/>
  <c r="V2964" i="11"/>
  <c r="V2965" i="11"/>
  <c r="V2966" i="11"/>
  <c r="V2967" i="11"/>
  <c r="V2968" i="11"/>
  <c r="V2969" i="11"/>
  <c r="V2970" i="11"/>
  <c r="V2971" i="11"/>
  <c r="V2972" i="11"/>
  <c r="V2973" i="11"/>
  <c r="V2978" i="11"/>
  <c r="V2974" i="11"/>
  <c r="V2975" i="11"/>
  <c r="V2976" i="11"/>
  <c r="V2977" i="11"/>
  <c r="V2980" i="11"/>
  <c r="V2981" i="11"/>
  <c r="V2982" i="11"/>
  <c r="V2983" i="11"/>
  <c r="V2979" i="11"/>
  <c r="V2984" i="11"/>
  <c r="V2985" i="11"/>
  <c r="V2987" i="11"/>
  <c r="V2989" i="11"/>
  <c r="V2990" i="11"/>
  <c r="V2994" i="11"/>
  <c r="V2995" i="11"/>
  <c r="V2996" i="11"/>
  <c r="V2988" i="11"/>
  <c r="V3002" i="11"/>
  <c r="V2997" i="11"/>
  <c r="V2998" i="11"/>
  <c r="V3000" i="11"/>
  <c r="V3001" i="11"/>
  <c r="V3003" i="11"/>
  <c r="V3004" i="11"/>
  <c r="V3005" i="11"/>
  <c r="V3016" i="11"/>
  <c r="V3007" i="11"/>
  <c r="V3008" i="11"/>
  <c r="V3010" i="11"/>
  <c r="V3011" i="11"/>
  <c r="V3012" i="11"/>
  <c r="V3013" i="11"/>
  <c r="V3014" i="11"/>
  <c r="V3015" i="11"/>
  <c r="V3009" i="11"/>
  <c r="V3017" i="11"/>
  <c r="V3019" i="11"/>
  <c r="V3020" i="11"/>
  <c r="V3021" i="11"/>
  <c r="V3022" i="11"/>
  <c r="V3024" i="11"/>
  <c r="V3027" i="11"/>
  <c r="V3028" i="11"/>
  <c r="V3029" i="11"/>
  <c r="V3030" i="11"/>
  <c r="V3032" i="11"/>
  <c r="V3033" i="11"/>
  <c r="V3034" i="11"/>
  <c r="V3035" i="11"/>
  <c r="V3036" i="11"/>
  <c r="V3037" i="11"/>
  <c r="V3038" i="11"/>
  <c r="V3043" i="11"/>
  <c r="V3044" i="11"/>
  <c r="V3045" i="11"/>
  <c r="V3031" i="11"/>
  <c r="V3040" i="11"/>
  <c r="V3047" i="11"/>
  <c r="V3048" i="11"/>
  <c r="V3049" i="11"/>
  <c r="V3050" i="11"/>
  <c r="V3051" i="11"/>
  <c r="V3053" i="11"/>
  <c r="V3054" i="11"/>
  <c r="V3056" i="11"/>
  <c r="V3057" i="11"/>
  <c r="V3058" i="11"/>
  <c r="V3059" i="11"/>
  <c r="V3061" i="11"/>
  <c r="V3062" i="11"/>
  <c r="V3055" i="11"/>
  <c r="V3063" i="11"/>
  <c r="V3064" i="11"/>
  <c r="V3066" i="11"/>
  <c r="V3075" i="11"/>
  <c r="V3076" i="11"/>
  <c r="V3077" i="11"/>
  <c r="V3078" i="11"/>
  <c r="V3081" i="11"/>
  <c r="V3079" i="11"/>
  <c r="V3087" i="11"/>
  <c r="V3068" i="11"/>
  <c r="V3088" i="11"/>
  <c r="V3089" i="11"/>
  <c r="V3090" i="11"/>
  <c r="V3091" i="11"/>
  <c r="V3092" i="11"/>
  <c r="V3093" i="11"/>
  <c r="V3094" i="11"/>
  <c r="V3095" i="11"/>
  <c r="V3096" i="11"/>
  <c r="V3097" i="11"/>
  <c r="V3098" i="11"/>
  <c r="V3099" i="11"/>
  <c r="V3100" i="11"/>
  <c r="V3102" i="11"/>
  <c r="V3103" i="11"/>
  <c r="Q3" i="22"/>
  <c r="Q4" i="22"/>
  <c r="Q5" i="22"/>
  <c r="Q6" i="22"/>
  <c r="Q7" i="22"/>
  <c r="Q8" i="22"/>
  <c r="Q9" i="22"/>
  <c r="Q10" i="22"/>
  <c r="Q11" i="22"/>
  <c r="Q12" i="22"/>
  <c r="Q13" i="22"/>
  <c r="Q18" i="22"/>
  <c r="Q19" i="22"/>
  <c r="Q20" i="22"/>
  <c r="Q15" i="22"/>
  <c r="Q16" i="22"/>
  <c r="Q17" i="22"/>
  <c r="Q21" i="22"/>
  <c r="Q2" i="22"/>
  <c r="K7" i="23" s="1"/>
  <c r="P2" i="22"/>
  <c r="O2" i="22"/>
  <c r="R3" i="19"/>
  <c r="R4" i="19"/>
  <c r="R5" i="19"/>
  <c r="R6" i="19"/>
  <c r="R8" i="19"/>
  <c r="R9" i="19"/>
  <c r="R10" i="19"/>
  <c r="R11" i="19"/>
  <c r="R12" i="19"/>
  <c r="R13" i="19"/>
  <c r="R14" i="19"/>
  <c r="R15" i="19"/>
  <c r="R16" i="19"/>
  <c r="R17" i="19"/>
  <c r="R18" i="19"/>
  <c r="R19" i="19"/>
  <c r="R20" i="19"/>
  <c r="R21" i="19"/>
  <c r="R23" i="19"/>
  <c r="R24" i="19"/>
  <c r="R25" i="19"/>
  <c r="R28" i="19"/>
  <c r="R29" i="19"/>
  <c r="R30" i="19"/>
  <c r="R31" i="19"/>
  <c r="R32" i="19"/>
  <c r="R33" i="19"/>
  <c r="R34" i="19"/>
  <c r="R35" i="19"/>
  <c r="R2" i="19"/>
  <c r="Q2" i="19"/>
  <c r="C3" i="23"/>
  <c r="T3" i="20"/>
  <c r="T4" i="20"/>
  <c r="T5" i="20"/>
  <c r="T6" i="20"/>
  <c r="T8" i="20"/>
  <c r="T9" i="20"/>
  <c r="T10" i="20"/>
  <c r="T11" i="20"/>
  <c r="T13" i="20"/>
  <c r="T14" i="20"/>
  <c r="T15" i="20"/>
  <c r="T17" i="20"/>
  <c r="T18" i="20"/>
  <c r="T19" i="20"/>
  <c r="T20" i="20"/>
  <c r="T21" i="20"/>
  <c r="T22" i="20"/>
  <c r="T23" i="20"/>
  <c r="T24" i="20"/>
  <c r="T25" i="20"/>
  <c r="T26" i="20"/>
  <c r="T27" i="20"/>
  <c r="T28" i="20"/>
  <c r="T29" i="20"/>
  <c r="T30" i="20"/>
  <c r="T31" i="20"/>
  <c r="T32" i="20"/>
  <c r="T33" i="20"/>
  <c r="T34" i="20"/>
  <c r="T35" i="20"/>
  <c r="T36" i="20"/>
  <c r="T37" i="20"/>
  <c r="T38" i="20"/>
  <c r="T39" i="20"/>
  <c r="T40" i="20"/>
  <c r="T41" i="20"/>
  <c r="T42" i="20"/>
  <c r="T43" i="20"/>
  <c r="T44" i="20"/>
  <c r="T45" i="20"/>
  <c r="T46" i="20"/>
  <c r="T47" i="20"/>
  <c r="T48" i="20"/>
  <c r="T49" i="20"/>
  <c r="T50" i="20"/>
  <c r="T51" i="20"/>
  <c r="T52" i="20"/>
  <c r="T53" i="20"/>
  <c r="T54" i="20"/>
  <c r="T55" i="20"/>
  <c r="T56" i="20"/>
  <c r="T57" i="20"/>
  <c r="T58" i="20"/>
  <c r="T59" i="20"/>
  <c r="T60" i="20"/>
  <c r="T61" i="20"/>
  <c r="T62" i="20"/>
  <c r="T63" i="20"/>
  <c r="T64" i="20"/>
  <c r="T65" i="20"/>
  <c r="T66" i="20"/>
  <c r="T67" i="20"/>
  <c r="T68" i="20"/>
  <c r="T69" i="20"/>
  <c r="T70" i="20"/>
  <c r="T71" i="20"/>
  <c r="T72" i="20"/>
  <c r="T73" i="20"/>
  <c r="T74" i="20"/>
  <c r="T75" i="20"/>
  <c r="T76" i="20"/>
  <c r="T77" i="20"/>
  <c r="T78" i="20"/>
  <c r="T79" i="20"/>
  <c r="T80" i="20"/>
  <c r="T81" i="20"/>
  <c r="T82" i="20"/>
  <c r="T83" i="20"/>
  <c r="T84" i="20"/>
  <c r="T85" i="20"/>
  <c r="T86" i="20"/>
  <c r="T87" i="20"/>
  <c r="T88" i="20"/>
  <c r="T89" i="20"/>
  <c r="T90" i="20"/>
  <c r="T91" i="20"/>
  <c r="T92" i="20"/>
  <c r="T93" i="20"/>
  <c r="T94" i="20"/>
  <c r="T95" i="20"/>
  <c r="T96" i="20"/>
  <c r="T97" i="20"/>
  <c r="T98" i="20"/>
  <c r="T99" i="20"/>
  <c r="T100" i="20"/>
  <c r="T101" i="20"/>
  <c r="T102" i="20"/>
  <c r="T103" i="20"/>
  <c r="T104" i="20"/>
  <c r="T105" i="20"/>
  <c r="T106" i="20"/>
  <c r="T107" i="20"/>
  <c r="T108" i="20"/>
  <c r="T109" i="20"/>
  <c r="T110" i="20"/>
  <c r="T111" i="20"/>
  <c r="T112" i="20"/>
  <c r="T113" i="20"/>
  <c r="T114" i="20"/>
  <c r="T115" i="20"/>
  <c r="T116" i="20"/>
  <c r="T117" i="20"/>
  <c r="T118" i="20"/>
  <c r="T119" i="20"/>
  <c r="T120" i="20"/>
  <c r="T121" i="20"/>
  <c r="T122" i="20"/>
  <c r="T123" i="20"/>
  <c r="T124" i="20"/>
  <c r="T125" i="20"/>
  <c r="T126" i="20"/>
  <c r="T127" i="20"/>
  <c r="T128" i="20"/>
  <c r="T129" i="20"/>
  <c r="T130" i="20"/>
  <c r="T131" i="20"/>
  <c r="T132" i="20"/>
  <c r="T133" i="20"/>
  <c r="T134" i="20"/>
  <c r="T135" i="20"/>
  <c r="T136" i="20"/>
  <c r="T137" i="20"/>
  <c r="T138" i="20"/>
  <c r="T139" i="20"/>
  <c r="T140" i="20"/>
  <c r="T141" i="20"/>
  <c r="T142" i="20"/>
  <c r="T143" i="20"/>
  <c r="T144" i="20"/>
  <c r="T145" i="20"/>
  <c r="T146" i="20"/>
  <c r="T147" i="20"/>
  <c r="T148" i="20"/>
  <c r="T149" i="20"/>
  <c r="T150" i="20"/>
  <c r="T151" i="20"/>
  <c r="T152" i="20"/>
  <c r="T159" i="20"/>
  <c r="T164" i="20"/>
  <c r="T165" i="20"/>
  <c r="T376" i="20"/>
  <c r="T377" i="20"/>
  <c r="T167" i="20"/>
  <c r="T199" i="20"/>
  <c r="T170" i="20"/>
  <c r="T378" i="20"/>
  <c r="T202" i="20"/>
  <c r="T203" i="20"/>
  <c r="T204" i="20"/>
  <c r="T355" i="20"/>
  <c r="T356" i="20"/>
  <c r="T379" i="20"/>
  <c r="T357" i="20"/>
  <c r="T208" i="20"/>
  <c r="T209" i="20"/>
  <c r="T358" i="20"/>
  <c r="T360" i="20"/>
  <c r="T211" i="20"/>
  <c r="T361" i="20"/>
  <c r="T359" i="20"/>
  <c r="T183" i="20"/>
  <c r="T174" i="20"/>
  <c r="T185" i="20"/>
  <c r="T186" i="20"/>
  <c r="T175" i="20"/>
  <c r="T155" i="20"/>
  <c r="T188" i="20"/>
  <c r="T219" i="20"/>
  <c r="T189" i="20"/>
  <c r="T228" i="20"/>
  <c r="T234" i="20"/>
  <c r="T172" i="20"/>
  <c r="T190" i="20"/>
  <c r="T184" i="20"/>
  <c r="T191" i="20"/>
  <c r="T156" i="20"/>
  <c r="T244" i="20"/>
  <c r="T192" i="20"/>
  <c r="T193" i="20"/>
  <c r="T194" i="20"/>
  <c r="T177" i="20"/>
  <c r="T173" i="20"/>
  <c r="T178" i="20"/>
  <c r="T197" i="20"/>
  <c r="T180" i="20"/>
  <c r="T214" i="20"/>
  <c r="T215" i="20"/>
  <c r="T268" i="20"/>
  <c r="T217" i="20"/>
  <c r="T218" i="20"/>
  <c r="T269" i="20"/>
  <c r="T252" i="20"/>
  <c r="T220" i="20"/>
  <c r="T221" i="20"/>
  <c r="T288" i="20"/>
  <c r="T222" i="20"/>
  <c r="T253" i="20"/>
  <c r="T254" i="20"/>
  <c r="T223" i="20"/>
  <c r="T255" i="20"/>
  <c r="T224" i="20"/>
  <c r="T289" i="20"/>
  <c r="T225" i="20"/>
  <c r="T283" i="20"/>
  <c r="T284" i="20"/>
  <c r="T226" i="20"/>
  <c r="T227" i="20"/>
  <c r="T258" i="20"/>
  <c r="T290" i="20"/>
  <c r="T291" i="20"/>
  <c r="T270" i="20"/>
  <c r="T229" i="20"/>
  <c r="T230" i="20"/>
  <c r="T285" i="20"/>
  <c r="T231" i="20"/>
  <c r="T232" i="20"/>
  <c r="T233" i="20"/>
  <c r="T260" i="20"/>
  <c r="T261" i="20"/>
  <c r="T287" i="20"/>
  <c r="T235" i="20"/>
  <c r="T236" i="20"/>
  <c r="T237" i="20"/>
  <c r="T238" i="20"/>
  <c r="T262" i="20"/>
  <c r="T239" i="20"/>
  <c r="T286" i="20"/>
  <c r="T265" i="20"/>
  <c r="T240" i="20"/>
  <c r="T241" i="20"/>
  <c r="T242" i="20"/>
  <c r="T271" i="20"/>
  <c r="T312" i="20"/>
  <c r="T275" i="20"/>
  <c r="T296" i="20"/>
  <c r="T277" i="20"/>
  <c r="T306" i="20"/>
  <c r="T272" i="20"/>
  <c r="T298" i="20"/>
  <c r="T273" i="20"/>
  <c r="T299" i="20"/>
  <c r="T300" i="20"/>
  <c r="T274" i="20"/>
  <c r="T301" i="20"/>
  <c r="T292" i="20"/>
  <c r="T302" i="20"/>
  <c r="T293" i="20"/>
  <c r="T279" i="20"/>
  <c r="T264" i="20"/>
  <c r="T305" i="20"/>
  <c r="T307" i="20"/>
  <c r="T311" i="20"/>
  <c r="T294" i="20"/>
  <c r="T281" i="20"/>
  <c r="T163" i="20"/>
  <c r="T276" i="20"/>
  <c r="T157" i="20"/>
  <c r="T160" i="20"/>
  <c r="T158" i="20"/>
  <c r="T166" i="20"/>
  <c r="T278" i="20"/>
  <c r="T154" i="20"/>
  <c r="T267" i="20"/>
  <c r="T196" i="20"/>
  <c r="T198" i="20"/>
  <c r="T168" i="20"/>
  <c r="T169" i="20"/>
  <c r="T352" i="20"/>
  <c r="T348" i="20"/>
  <c r="T171" i="20"/>
  <c r="T353" i="20"/>
  <c r="T365" i="20"/>
  <c r="T295" i="20"/>
  <c r="T362" i="20"/>
  <c r="T380" i="20"/>
  <c r="T354" i="20"/>
  <c r="T368" i="20"/>
  <c r="T374" i="20"/>
  <c r="T363" i="20"/>
  <c r="T297" i="20"/>
  <c r="T364" i="20"/>
  <c r="T350" i="20"/>
  <c r="T381" i="20"/>
  <c r="T303" i="20"/>
  <c r="T382" i="20"/>
  <c r="T176" i="20"/>
  <c r="T304" i="20"/>
  <c r="T375" i="20"/>
  <c r="T313" i="20"/>
  <c r="T322" i="20"/>
  <c r="T324" i="20"/>
  <c r="T330" i="20"/>
  <c r="T332" i="20"/>
  <c r="T335" i="20"/>
  <c r="T338" i="20"/>
  <c r="T187" i="20"/>
  <c r="T325" i="20"/>
  <c r="T314" i="20"/>
  <c r="T280" i="20"/>
  <c r="T315" i="20"/>
  <c r="T316" i="20"/>
  <c r="T308" i="20"/>
  <c r="T317" i="20"/>
  <c r="T318" i="20"/>
  <c r="T319" i="20"/>
  <c r="T320" i="20"/>
  <c r="T321" i="20"/>
  <c r="T327" i="20"/>
  <c r="T339" i="20"/>
  <c r="T323" i="20"/>
  <c r="T328" i="20"/>
  <c r="T340" i="20"/>
  <c r="T309" i="20"/>
  <c r="T329" i="20"/>
  <c r="T282" i="20"/>
  <c r="T326" i="20"/>
  <c r="T310" i="20"/>
  <c r="T216" i="20"/>
  <c r="T331" i="20"/>
  <c r="T200" i="20"/>
  <c r="T206" i="20"/>
  <c r="T207" i="20"/>
  <c r="T243" i="20"/>
  <c r="T210" i="20"/>
  <c r="T345" i="20"/>
  <c r="T245" i="20"/>
  <c r="T346" i="20"/>
  <c r="T347" i="20"/>
  <c r="T333" i="20"/>
  <c r="T212" i="20"/>
  <c r="T349" i="20"/>
  <c r="T213" i="20"/>
  <c r="T351" i="20"/>
  <c r="T334" i="20"/>
  <c r="T201" i="20"/>
  <c r="T336" i="20"/>
  <c r="T337" i="20"/>
  <c r="T246" i="20"/>
  <c r="T205" i="20"/>
  <c r="T247" i="20"/>
  <c r="T179" i="20"/>
  <c r="T248" i="20"/>
  <c r="T366" i="20"/>
  <c r="T367" i="20"/>
  <c r="T257" i="20"/>
  <c r="T249" i="20"/>
  <c r="T263" i="20"/>
  <c r="T161" i="20"/>
  <c r="T181" i="20"/>
  <c r="T369" i="20"/>
  <c r="T259" i="20"/>
  <c r="T162" i="20"/>
  <c r="T371" i="20"/>
  <c r="T250" i="20"/>
  <c r="T251" i="20"/>
  <c r="T182" i="20"/>
  <c r="T256" i="20"/>
  <c r="T266" i="20"/>
  <c r="T372" i="20"/>
  <c r="T383" i="20"/>
  <c r="T341" i="20"/>
  <c r="T384" i="20"/>
  <c r="T342" i="20"/>
  <c r="T385" i="20"/>
  <c r="T343" i="20"/>
  <c r="T195" i="20"/>
  <c r="T386" i="20"/>
  <c r="T344" i="20"/>
  <c r="T387" i="20"/>
  <c r="T370" i="20"/>
  <c r="T388" i="20"/>
  <c r="T373" i="20"/>
  <c r="T389" i="20"/>
  <c r="T395" i="20"/>
  <c r="T396" i="20"/>
  <c r="T404" i="20"/>
  <c r="T400" i="20"/>
  <c r="T405" i="20"/>
  <c r="T391" i="20"/>
  <c r="T392" i="20"/>
  <c r="T402" i="20"/>
  <c r="T403" i="20"/>
  <c r="T401" i="20"/>
  <c r="T394" i="20"/>
  <c r="T410" i="20"/>
  <c r="T411" i="20"/>
  <c r="T414" i="20"/>
  <c r="T412" i="20"/>
  <c r="T409" i="20"/>
  <c r="T413" i="20"/>
  <c r="T407" i="20"/>
  <c r="T406" i="20"/>
  <c r="T415" i="20"/>
  <c r="T416" i="20"/>
  <c r="T417" i="20"/>
  <c r="T418" i="20"/>
  <c r="T419" i="20"/>
  <c r="T420" i="20"/>
  <c r="T421" i="20"/>
  <c r="T422" i="20"/>
  <c r="T423" i="20"/>
  <c r="T424" i="20"/>
  <c r="T425" i="20"/>
  <c r="T426" i="20"/>
  <c r="T427" i="20"/>
  <c r="T428" i="20"/>
  <c r="T429" i="20"/>
  <c r="T430" i="20"/>
  <c r="T431" i="20"/>
  <c r="T432" i="20"/>
  <c r="T433" i="20"/>
  <c r="T434" i="20"/>
  <c r="T435" i="20"/>
  <c r="T436" i="20"/>
  <c r="T437" i="20"/>
  <c r="T438" i="20"/>
  <c r="T439" i="20"/>
  <c r="T440" i="20"/>
  <c r="T441" i="20"/>
  <c r="T453" i="20"/>
  <c r="T446" i="20"/>
  <c r="T459" i="20"/>
  <c r="T442" i="20"/>
  <c r="T447" i="20"/>
  <c r="T443" i="20"/>
  <c r="T460" i="20"/>
  <c r="T448" i="20"/>
  <c r="T454" i="20"/>
  <c r="T449" i="20"/>
  <c r="T444" i="20"/>
  <c r="T445" i="20"/>
  <c r="T450" i="20"/>
  <c r="T455" i="20"/>
  <c r="T456" i="20"/>
  <c r="T451" i="20"/>
  <c r="T457" i="20"/>
  <c r="T458" i="20"/>
  <c r="T452" i="20"/>
  <c r="T462" i="20"/>
  <c r="T461" i="20"/>
  <c r="T463" i="20"/>
  <c r="T465" i="20"/>
  <c r="T464" i="20"/>
  <c r="T466" i="20"/>
  <c r="T467" i="20"/>
  <c r="T468" i="20"/>
  <c r="T469" i="20"/>
  <c r="T470" i="20"/>
  <c r="T471" i="20"/>
  <c r="T472" i="20"/>
  <c r="T473" i="20"/>
  <c r="T474" i="20"/>
  <c r="T480" i="20"/>
  <c r="T475" i="20"/>
  <c r="T481" i="20"/>
  <c r="T482" i="20"/>
  <c r="T483" i="20"/>
  <c r="T488" i="20"/>
  <c r="T484" i="20"/>
  <c r="T476" i="20"/>
  <c r="T485" i="20"/>
  <c r="T486" i="20"/>
  <c r="T477" i="20"/>
  <c r="T478" i="20"/>
  <c r="T479" i="20"/>
  <c r="T487" i="20"/>
  <c r="T489" i="20"/>
  <c r="T490" i="20"/>
  <c r="T491" i="20"/>
  <c r="T499" i="20"/>
  <c r="T500" i="20"/>
  <c r="T501" i="20"/>
  <c r="T492" i="20"/>
  <c r="T493" i="20"/>
  <c r="T502" i="20"/>
  <c r="T494" i="20"/>
  <c r="T503" i="20"/>
  <c r="T495" i="20"/>
  <c r="T504" i="20"/>
  <c r="T505" i="20"/>
  <c r="T506" i="20"/>
  <c r="T507" i="20"/>
  <c r="T496" i="20"/>
  <c r="T508" i="20"/>
  <c r="T509" i="20"/>
  <c r="T497" i="20"/>
  <c r="T510" i="20"/>
  <c r="T511" i="20"/>
  <c r="T498" i="20"/>
  <c r="T512" i="20"/>
  <c r="T513" i="20"/>
  <c r="T514" i="20"/>
  <c r="T515" i="20"/>
  <c r="T516" i="20"/>
  <c r="T517" i="20"/>
  <c r="T521" i="20"/>
  <c r="T522" i="20"/>
  <c r="T534" i="20"/>
  <c r="T535" i="20"/>
  <c r="T536" i="20"/>
  <c r="T537" i="20"/>
  <c r="T538" i="20"/>
  <c r="T568" i="20"/>
  <c r="T523" i="20"/>
  <c r="T524" i="20"/>
  <c r="T518" i="20"/>
  <c r="T540" i="20"/>
  <c r="T541" i="20"/>
  <c r="T542" i="20"/>
  <c r="T525" i="20"/>
  <c r="T543" i="20"/>
  <c r="T544" i="20"/>
  <c r="T565" i="20"/>
  <c r="T545" i="20"/>
  <c r="T526" i="20"/>
  <c r="T546" i="20"/>
  <c r="T547" i="20"/>
  <c r="T549" i="20"/>
  <c r="T550" i="20"/>
  <c r="T527" i="20"/>
  <c r="T551" i="20"/>
  <c r="T520" i="20"/>
  <c r="T552" i="20"/>
  <c r="T553" i="20"/>
  <c r="T554" i="20"/>
  <c r="T555" i="20"/>
  <c r="T533" i="20"/>
  <c r="T567" i="20"/>
  <c r="T556" i="20"/>
  <c r="T528" i="20"/>
  <c r="T557" i="20"/>
  <c r="T529" i="20"/>
  <c r="T530" i="20"/>
  <c r="T558" i="20"/>
  <c r="T566" i="20"/>
  <c r="T559" i="20"/>
  <c r="T560" i="20"/>
  <c r="T561" i="20"/>
  <c r="T531" i="20"/>
  <c r="T562" i="20"/>
  <c r="T563" i="20"/>
  <c r="T532" i="20"/>
  <c r="T564" i="20"/>
  <c r="T584" i="20"/>
  <c r="T569" i="20"/>
  <c r="T570" i="20"/>
  <c r="T585" i="20"/>
  <c r="T590" i="20"/>
  <c r="T591" i="20"/>
  <c r="T592" i="20"/>
  <c r="T571" i="20"/>
  <c r="T572" i="20"/>
  <c r="T573" i="20"/>
  <c r="T574" i="20"/>
  <c r="T575" i="20"/>
  <c r="T586" i="20"/>
  <c r="T593" i="20"/>
  <c r="T576" i="20"/>
  <c r="T577" i="20"/>
  <c r="T578" i="20"/>
  <c r="T579" i="20"/>
  <c r="T587" i="20"/>
  <c r="T580" i="20"/>
  <c r="T594" i="20"/>
  <c r="T588" i="20"/>
  <c r="T581" i="20"/>
  <c r="T582" i="20"/>
  <c r="T583" i="20"/>
  <c r="T589" i="20"/>
  <c r="T606" i="20"/>
  <c r="T602" i="20"/>
  <c r="T603" i="20"/>
  <c r="T604" i="20"/>
  <c r="T607" i="20"/>
  <c r="T608" i="20"/>
  <c r="T609" i="20"/>
  <c r="T610" i="20"/>
  <c r="T611" i="20"/>
  <c r="T612" i="20"/>
  <c r="T613" i="20"/>
  <c r="T614" i="20"/>
  <c r="T615" i="20"/>
  <c r="T616" i="20"/>
  <c r="T617" i="20"/>
  <c r="T618" i="20"/>
  <c r="T595" i="20"/>
  <c r="T619" i="20"/>
  <c r="T620" i="20"/>
  <c r="T596" i="20"/>
  <c r="T621" i="20"/>
  <c r="T597" i="20"/>
  <c r="T605" i="20"/>
  <c r="T622" i="20"/>
  <c r="T623" i="20"/>
  <c r="T598" i="20"/>
  <c r="T624" i="20"/>
  <c r="T625" i="20"/>
  <c r="T626" i="20"/>
  <c r="T599" i="20"/>
  <c r="T627" i="20"/>
  <c r="T600" i="20"/>
  <c r="T628" i="20"/>
  <c r="T629" i="20"/>
  <c r="T601" i="20"/>
  <c r="T630" i="20"/>
  <c r="T631" i="20"/>
  <c r="T632" i="20"/>
  <c r="T633" i="20"/>
  <c r="T634" i="20"/>
  <c r="T635" i="20"/>
  <c r="T636" i="20"/>
  <c r="T637" i="20"/>
  <c r="T638" i="20"/>
  <c r="T639" i="20"/>
  <c r="T640" i="20"/>
  <c r="T641" i="20"/>
  <c r="T642" i="20"/>
  <c r="T643" i="20"/>
  <c r="T644" i="20"/>
  <c r="T645" i="20"/>
  <c r="T646" i="20"/>
  <c r="T647" i="20"/>
  <c r="T648" i="20"/>
  <c r="T649" i="20"/>
  <c r="T650" i="20"/>
  <c r="T651" i="20"/>
  <c r="T652" i="20"/>
  <c r="T653" i="20"/>
  <c r="T654" i="20"/>
  <c r="T658" i="20"/>
  <c r="T659" i="20"/>
  <c r="T660" i="20"/>
  <c r="T661" i="20"/>
  <c r="T662" i="20"/>
  <c r="T663" i="20"/>
  <c r="T670" i="20"/>
  <c r="T671" i="20"/>
  <c r="T664" i="20"/>
  <c r="T672" i="20"/>
  <c r="T668" i="20"/>
  <c r="T673" i="20"/>
  <c r="T674" i="20"/>
  <c r="T675" i="20"/>
  <c r="T665" i="20"/>
  <c r="T676" i="20"/>
  <c r="T669" i="20"/>
  <c r="T666" i="20"/>
  <c r="T667" i="20"/>
  <c r="T677" i="20"/>
  <c r="T678" i="20"/>
  <c r="T679" i="20"/>
  <c r="T680" i="20"/>
  <c r="T681" i="20"/>
  <c r="T682" i="20"/>
  <c r="T687" i="20"/>
  <c r="T684" i="20"/>
  <c r="T685" i="20"/>
  <c r="T688" i="20"/>
  <c r="T689" i="20"/>
  <c r="T690" i="20"/>
  <c r="T691" i="20"/>
  <c r="T692" i="20"/>
  <c r="T693" i="20"/>
  <c r="T694" i="20"/>
  <c r="T686" i="20"/>
  <c r="T695" i="20"/>
  <c r="T696" i="20"/>
  <c r="T697" i="20"/>
  <c r="T698" i="20"/>
  <c r="T699" i="20"/>
  <c r="T683" i="20"/>
  <c r="T700" i="20"/>
  <c r="T701" i="20"/>
  <c r="T702" i="20"/>
  <c r="T703" i="20"/>
  <c r="T704" i="20"/>
  <c r="T705" i="20"/>
  <c r="T706" i="20"/>
  <c r="T707" i="20"/>
  <c r="T708" i="20"/>
  <c r="T716" i="20"/>
  <c r="T709" i="20"/>
  <c r="T710" i="20"/>
  <c r="T711" i="20"/>
  <c r="T712" i="20"/>
  <c r="T713" i="20"/>
  <c r="T717" i="20"/>
  <c r="T718" i="20"/>
  <c r="T714" i="20"/>
  <c r="T715" i="20"/>
  <c r="T723" i="20"/>
  <c r="T724" i="20"/>
  <c r="T719" i="20"/>
  <c r="T720" i="20"/>
  <c r="T725" i="20"/>
  <c r="T721" i="20"/>
  <c r="T722" i="20"/>
  <c r="T726" i="20"/>
  <c r="T727" i="20"/>
  <c r="T728" i="20"/>
  <c r="T729" i="20"/>
  <c r="T730" i="20"/>
  <c r="T731" i="20"/>
  <c r="T735" i="20"/>
  <c r="T733" i="20"/>
  <c r="T736" i="20"/>
  <c r="T737" i="20"/>
  <c r="T734" i="20"/>
  <c r="T738" i="20"/>
  <c r="T739" i="20"/>
  <c r="T740" i="20"/>
  <c r="T741" i="20"/>
  <c r="T742" i="20"/>
  <c r="T732" i="20"/>
  <c r="T743" i="20"/>
  <c r="T744" i="20"/>
  <c r="T752" i="20"/>
  <c r="T745" i="20"/>
  <c r="T746" i="20"/>
  <c r="T747" i="20"/>
  <c r="T748" i="20"/>
  <c r="T749" i="20"/>
  <c r="T753" i="20"/>
  <c r="T754" i="20"/>
  <c r="T755" i="20"/>
  <c r="T756" i="20"/>
  <c r="T750" i="20"/>
  <c r="T751" i="20"/>
  <c r="T757" i="20"/>
  <c r="T758" i="20"/>
  <c r="T759" i="20"/>
  <c r="T760" i="20"/>
  <c r="T761" i="20"/>
  <c r="T762" i="20"/>
  <c r="T763" i="20"/>
  <c r="T764" i="20"/>
  <c r="T765" i="20"/>
  <c r="T778" i="20"/>
  <c r="T766" i="20"/>
  <c r="T767" i="20"/>
  <c r="T768" i="20"/>
  <c r="T769" i="20"/>
  <c r="T770" i="20"/>
  <c r="T771" i="20"/>
  <c r="T772" i="20"/>
  <c r="T779" i="20"/>
  <c r="T780" i="20"/>
  <c r="T792" i="20"/>
  <c r="T793" i="20"/>
  <c r="T794" i="20"/>
  <c r="T781" i="20"/>
  <c r="T782" i="20"/>
  <c r="T783" i="20"/>
  <c r="T790" i="20"/>
  <c r="T795" i="20"/>
  <c r="T796" i="20"/>
  <c r="T784" i="20"/>
  <c r="T797" i="20"/>
  <c r="T785" i="20"/>
  <c r="T786" i="20"/>
  <c r="T788" i="20"/>
  <c r="T789" i="20"/>
  <c r="T791" i="20"/>
  <c r="T803" i="20"/>
  <c r="T804" i="20"/>
  <c r="T805" i="20"/>
  <c r="T806" i="20"/>
  <c r="T807" i="20"/>
  <c r="T808" i="20"/>
  <c r="T813" i="20"/>
  <c r="T814" i="20"/>
  <c r="T798" i="20"/>
  <c r="T815" i="20"/>
  <c r="T799" i="20"/>
  <c r="T809" i="20"/>
  <c r="T800" i="20"/>
  <c r="T816" i="20"/>
  <c r="T802" i="20"/>
  <c r="T810" i="20"/>
  <c r="T811" i="20"/>
  <c r="T801" i="20"/>
  <c r="T812" i="20"/>
  <c r="T835" i="20"/>
  <c r="T836" i="20"/>
  <c r="T817" i="20"/>
  <c r="T837" i="20"/>
  <c r="T818" i="20"/>
  <c r="T819" i="20"/>
  <c r="T838" i="20"/>
  <c r="T839" i="20"/>
  <c r="T840" i="20"/>
  <c r="T820" i="20"/>
  <c r="T821" i="20"/>
  <c r="T841" i="20"/>
  <c r="T822" i="20"/>
  <c r="T823" i="20"/>
  <c r="T824" i="20"/>
  <c r="T825" i="20"/>
  <c r="T826" i="20"/>
  <c r="T827" i="20"/>
  <c r="T842" i="20"/>
  <c r="T828" i="20"/>
  <c r="T843" i="20"/>
  <c r="T829" i="20"/>
  <c r="T844" i="20"/>
  <c r="T830" i="20"/>
  <c r="T831" i="20"/>
  <c r="T845" i="20"/>
  <c r="T832" i="20"/>
  <c r="T846" i="20"/>
  <c r="T847" i="20"/>
  <c r="T848" i="20"/>
  <c r="T849" i="20"/>
  <c r="T833" i="20"/>
  <c r="T834" i="20"/>
  <c r="T850" i="20"/>
  <c r="T851" i="20"/>
  <c r="T852" i="20"/>
  <c r="T853" i="20"/>
  <c r="T854" i="20"/>
  <c r="T855" i="20"/>
  <c r="T856" i="20"/>
  <c r="T857" i="20"/>
  <c r="T858" i="20"/>
  <c r="T859" i="20"/>
  <c r="T860" i="20"/>
  <c r="T861" i="20"/>
  <c r="T862" i="20"/>
  <c r="T863" i="20"/>
  <c r="T864" i="20"/>
  <c r="T865" i="20"/>
  <c r="T866" i="20"/>
  <c r="T867" i="20"/>
  <c r="T868" i="20"/>
  <c r="T869" i="20"/>
  <c r="T870" i="20"/>
  <c r="T871" i="20"/>
  <c r="T872" i="20"/>
  <c r="T873" i="20"/>
  <c r="T874" i="20"/>
  <c r="T875" i="20"/>
  <c r="T876" i="20"/>
  <c r="T877" i="20"/>
  <c r="T878" i="20"/>
  <c r="T879" i="20"/>
  <c r="T880" i="20"/>
  <c r="T881" i="20"/>
  <c r="T882" i="20"/>
  <c r="T883" i="20"/>
  <c r="T884" i="20"/>
  <c r="T885" i="20"/>
  <c r="T886" i="20"/>
  <c r="T887" i="20"/>
  <c r="T888" i="20"/>
  <c r="T889" i="20"/>
  <c r="T890" i="20"/>
  <c r="T891" i="20"/>
  <c r="T892" i="20"/>
  <c r="T893" i="20"/>
  <c r="T894" i="20"/>
  <c r="T895" i="20"/>
  <c r="T896" i="20"/>
  <c r="T897" i="20"/>
  <c r="T898" i="20"/>
  <c r="T899" i="20"/>
  <c r="T900" i="20"/>
  <c r="T901" i="20"/>
  <c r="T902" i="20"/>
  <c r="T903" i="20"/>
  <c r="T904" i="20"/>
  <c r="T905" i="20"/>
  <c r="T906" i="20"/>
  <c r="T907" i="20"/>
  <c r="T908" i="20"/>
  <c r="T909" i="20"/>
  <c r="T910" i="20"/>
  <c r="T911" i="20"/>
  <c r="T912" i="20"/>
  <c r="T913" i="20"/>
  <c r="T914" i="20"/>
  <c r="T915" i="20"/>
  <c r="T916" i="20"/>
  <c r="T917" i="20"/>
  <c r="T918" i="20"/>
  <c r="T919" i="20"/>
  <c r="T920" i="20"/>
  <c r="T921" i="20"/>
  <c r="T922" i="20"/>
  <c r="T923" i="20"/>
  <c r="T924" i="20"/>
  <c r="T925" i="20"/>
  <c r="T926" i="20"/>
  <c r="T927" i="20"/>
  <c r="T928" i="20"/>
  <c r="T929" i="20"/>
  <c r="T930" i="20"/>
  <c r="T931" i="20"/>
  <c r="T932" i="20"/>
  <c r="T933" i="20"/>
  <c r="T934" i="20"/>
  <c r="T935" i="20"/>
  <c r="T949" i="20"/>
  <c r="T950" i="20"/>
  <c r="T938" i="20"/>
  <c r="T951" i="20"/>
  <c r="T952" i="20"/>
  <c r="T936" i="20"/>
  <c r="T947" i="20"/>
  <c r="T953" i="20"/>
  <c r="T954" i="20"/>
  <c r="T939" i="20"/>
  <c r="T940" i="20"/>
  <c r="T948" i="20"/>
  <c r="T941" i="20"/>
  <c r="T942" i="20"/>
  <c r="T959" i="20"/>
  <c r="T943" i="20"/>
  <c r="T937" i="20"/>
  <c r="T944" i="20"/>
  <c r="T945" i="20"/>
  <c r="T946" i="20"/>
  <c r="T955" i="20"/>
  <c r="T956" i="20"/>
  <c r="T957" i="20"/>
  <c r="T958" i="20"/>
  <c r="T960" i="20"/>
  <c r="T961" i="20"/>
  <c r="T962" i="20"/>
  <c r="T963" i="20"/>
  <c r="T982" i="20"/>
  <c r="T964" i="20"/>
  <c r="T971" i="20"/>
  <c r="T965" i="20"/>
  <c r="T974" i="20"/>
  <c r="T975" i="20"/>
  <c r="T984" i="20"/>
  <c r="T976" i="20"/>
  <c r="T977" i="20"/>
  <c r="T966" i="20"/>
  <c r="T967" i="20"/>
  <c r="T978" i="20"/>
  <c r="T985" i="20"/>
  <c r="T979" i="20"/>
  <c r="T968" i="20"/>
  <c r="T969" i="20"/>
  <c r="T980" i="20"/>
  <c r="T981" i="20"/>
  <c r="T970" i="20"/>
  <c r="T995" i="20"/>
  <c r="T996" i="20"/>
  <c r="T997" i="20"/>
  <c r="T998" i="20"/>
  <c r="T999" i="20"/>
  <c r="T1000" i="20"/>
  <c r="T1001" i="20"/>
  <c r="T1002" i="20"/>
  <c r="T1003" i="20"/>
  <c r="T1004" i="20"/>
  <c r="T991" i="20"/>
  <c r="T1005" i="20"/>
  <c r="T1006" i="20"/>
  <c r="T992" i="20"/>
  <c r="T993" i="20"/>
  <c r="T1007" i="20"/>
  <c r="T1008" i="20"/>
  <c r="T986" i="20"/>
  <c r="T987" i="20"/>
  <c r="T1009" i="20"/>
  <c r="T1010" i="20"/>
  <c r="T988" i="20"/>
  <c r="T1011" i="20"/>
  <c r="T989" i="20"/>
  <c r="T994" i="20"/>
  <c r="T1012" i="20"/>
  <c r="T990" i="20"/>
  <c r="T1013" i="20"/>
  <c r="T1018" i="20"/>
  <c r="T1040" i="20"/>
  <c r="T1041" i="20"/>
  <c r="T1042" i="20"/>
  <c r="T1043" i="20"/>
  <c r="T1044" i="20"/>
  <c r="T1045" i="20"/>
  <c r="T1017" i="20"/>
  <c r="T1046" i="20"/>
  <c r="T1047" i="20"/>
  <c r="T1048" i="20"/>
  <c r="T1019" i="20"/>
  <c r="T1020" i="20"/>
  <c r="T1049" i="20"/>
  <c r="T1050" i="20"/>
  <c r="T1051" i="20"/>
  <c r="T1021" i="20"/>
  <c r="T1022" i="20"/>
  <c r="T1023" i="20"/>
  <c r="T1052" i="20"/>
  <c r="T1053" i="20"/>
  <c r="T1054" i="20"/>
  <c r="T1055" i="20"/>
  <c r="T1056" i="20"/>
  <c r="T1057" i="20"/>
  <c r="T1058" i="20"/>
  <c r="T1102" i="20"/>
  <c r="T1014" i="20"/>
  <c r="T1015" i="20"/>
  <c r="T1059" i="20"/>
  <c r="T1060" i="20"/>
  <c r="T1024" i="20"/>
  <c r="T1061" i="20"/>
  <c r="T1062" i="20"/>
  <c r="T1063" i="20"/>
  <c r="T1064" i="20"/>
  <c r="T1025" i="20"/>
  <c r="T1065" i="20"/>
  <c r="T1066" i="20"/>
  <c r="T1067" i="20"/>
  <c r="T1068" i="20"/>
  <c r="T1069" i="20"/>
  <c r="T1070" i="20"/>
  <c r="T1026" i="20"/>
  <c r="T1027" i="20"/>
  <c r="T1028" i="20"/>
  <c r="T1071" i="20"/>
  <c r="T1029" i="20"/>
  <c r="T1030" i="20"/>
  <c r="T1072" i="20"/>
  <c r="T1073" i="20"/>
  <c r="T1031" i="20"/>
  <c r="T1032" i="20"/>
  <c r="T1074" i="20"/>
  <c r="T1075" i="20"/>
  <c r="T1076" i="20"/>
  <c r="T1077" i="20"/>
  <c r="T1078" i="20"/>
  <c r="T1016" i="20"/>
  <c r="T1079" i="20"/>
  <c r="T1080" i="20"/>
  <c r="T1081" i="20"/>
  <c r="T1082" i="20"/>
  <c r="T1083" i="20"/>
  <c r="T1033" i="20"/>
  <c r="T1084" i="20"/>
  <c r="T1034" i="20"/>
  <c r="T1085" i="20"/>
  <c r="T1086" i="20"/>
  <c r="T1087" i="20"/>
  <c r="T1088" i="20"/>
  <c r="T1089" i="20"/>
  <c r="T1090" i="20"/>
  <c r="T1091" i="20"/>
  <c r="T1092" i="20"/>
  <c r="T1093" i="20"/>
  <c r="T1094" i="20"/>
  <c r="T1035" i="20"/>
  <c r="T1095" i="20"/>
  <c r="T1036" i="20"/>
  <c r="T1037" i="20"/>
  <c r="T1096" i="20"/>
  <c r="T1097" i="20"/>
  <c r="T1098" i="20"/>
  <c r="T1038" i="20"/>
  <c r="T1100" i="20"/>
  <c r="T1101" i="20"/>
  <c r="T1039" i="20"/>
  <c r="T1107" i="20"/>
  <c r="T1108" i="20"/>
  <c r="T1109" i="20"/>
  <c r="T1110" i="20"/>
  <c r="T1103" i="20"/>
  <c r="T1111" i="20"/>
  <c r="T1112" i="20"/>
  <c r="T1124" i="20"/>
  <c r="T1113" i="20"/>
  <c r="T1125" i="20"/>
  <c r="T1114" i="20"/>
  <c r="T1115" i="20"/>
  <c r="T1104" i="20"/>
  <c r="T1116" i="20"/>
  <c r="T1105" i="20"/>
  <c r="T1117" i="20"/>
  <c r="T1118" i="20"/>
  <c r="T1119" i="20"/>
  <c r="T1120" i="20"/>
  <c r="T1121" i="20"/>
  <c r="T1122" i="20"/>
  <c r="T1106" i="20"/>
  <c r="T1123" i="20"/>
  <c r="T1126" i="20"/>
  <c r="T1127" i="20"/>
  <c r="T1135" i="20"/>
  <c r="T1136" i="20"/>
  <c r="T1128" i="20"/>
  <c r="T1129" i="20"/>
  <c r="T1130" i="20"/>
  <c r="T1131" i="20"/>
  <c r="T1132" i="20"/>
  <c r="T1137" i="20"/>
  <c r="T1138" i="20"/>
  <c r="T1139" i="20"/>
  <c r="T1140" i="20"/>
  <c r="T1141" i="20"/>
  <c r="T1142" i="20"/>
  <c r="T1133" i="20"/>
  <c r="T1134" i="20"/>
  <c r="T1143" i="20"/>
  <c r="T1144" i="20"/>
  <c r="T1145" i="20"/>
  <c r="T1165" i="20"/>
  <c r="T1146" i="20"/>
  <c r="T1147" i="20"/>
  <c r="T1148" i="20"/>
  <c r="T1149" i="20"/>
  <c r="T1150" i="20"/>
  <c r="T1151" i="20"/>
  <c r="T1152" i="20"/>
  <c r="T1153" i="20"/>
  <c r="T1154" i="20"/>
  <c r="T1155" i="20"/>
  <c r="T1156" i="20"/>
  <c r="T1157" i="20"/>
  <c r="T1158" i="20"/>
  <c r="T1159" i="20"/>
  <c r="T1160" i="20"/>
  <c r="T1161" i="20"/>
  <c r="T1162" i="20"/>
  <c r="T1163" i="20"/>
  <c r="T1164" i="20"/>
  <c r="T1176" i="20"/>
  <c r="T1166" i="20"/>
  <c r="T1177" i="20"/>
  <c r="T1178" i="20"/>
  <c r="T1167" i="20"/>
  <c r="T1179" i="20"/>
  <c r="T1180" i="20"/>
  <c r="T1168" i="20"/>
  <c r="T1169" i="20"/>
  <c r="T1181" i="20"/>
  <c r="T1170" i="20"/>
  <c r="T1182" i="20"/>
  <c r="T1171" i="20"/>
  <c r="T1183" i="20"/>
  <c r="T1172" i="20"/>
  <c r="T1173" i="20"/>
  <c r="T1174" i="20"/>
  <c r="T1175" i="20"/>
  <c r="T1184" i="20"/>
  <c r="T1188" i="20"/>
  <c r="T1189" i="20"/>
  <c r="T1190" i="20"/>
  <c r="T1191" i="20"/>
  <c r="T1192" i="20"/>
  <c r="T1193" i="20"/>
  <c r="T1194" i="20"/>
  <c r="T1195" i="20"/>
  <c r="T1196" i="20"/>
  <c r="T1197" i="20"/>
  <c r="T1198" i="20"/>
  <c r="T1199" i="20"/>
  <c r="T1200" i="20"/>
  <c r="T1201" i="20"/>
  <c r="T1202" i="20"/>
  <c r="T1203" i="20"/>
  <c r="T1204" i="20"/>
  <c r="T1185" i="20"/>
  <c r="T1186" i="20"/>
  <c r="T1205" i="20"/>
  <c r="T1206" i="20"/>
  <c r="T1207" i="20"/>
  <c r="T1208" i="20"/>
  <c r="T1187" i="20"/>
  <c r="T1209" i="20"/>
  <c r="T1210" i="20"/>
  <c r="T1211" i="20"/>
  <c r="T1212" i="20"/>
  <c r="T1213" i="20"/>
  <c r="T1214" i="20"/>
  <c r="T1215" i="20"/>
  <c r="T1216" i="20"/>
  <c r="T1217" i="20"/>
  <c r="T1218" i="20"/>
  <c r="T1219" i="20"/>
  <c r="T1220" i="20"/>
  <c r="T1221" i="20"/>
  <c r="T1222" i="20"/>
  <c r="T1223" i="20"/>
  <c r="T1224" i="20"/>
  <c r="T1225" i="20"/>
  <c r="T1226" i="20"/>
  <c r="T1227" i="20"/>
  <c r="T1228" i="20"/>
  <c r="T1229" i="20"/>
  <c r="T1230" i="20"/>
  <c r="T1231" i="20"/>
  <c r="T1232" i="20"/>
  <c r="T1233" i="20"/>
  <c r="T1234" i="20"/>
  <c r="T1235" i="20"/>
  <c r="T1236" i="20"/>
  <c r="T1237" i="20"/>
  <c r="T1238" i="20"/>
  <c r="T1239" i="20"/>
  <c r="T1240" i="20"/>
  <c r="T1241" i="20"/>
  <c r="T1242" i="20"/>
  <c r="T1243" i="20"/>
  <c r="T1244" i="20"/>
  <c r="T1245" i="20"/>
  <c r="T1246" i="20"/>
  <c r="T1247" i="20"/>
  <c r="T1248" i="20"/>
  <c r="T1249" i="20"/>
  <c r="T1250" i="20"/>
  <c r="T1251" i="20"/>
  <c r="T1252" i="20"/>
  <c r="T1253" i="20"/>
  <c r="T1258" i="20"/>
  <c r="T1254" i="20"/>
  <c r="T1259" i="20"/>
  <c r="T1260" i="20"/>
  <c r="T1261" i="20"/>
  <c r="T1262" i="20"/>
  <c r="T1263" i="20"/>
  <c r="T1255" i="20"/>
  <c r="T1264" i="20"/>
  <c r="T1265" i="20"/>
  <c r="T1266" i="20"/>
  <c r="T1256" i="20"/>
  <c r="T1267" i="20"/>
  <c r="T1268" i="20"/>
  <c r="T1269" i="20"/>
  <c r="T1270" i="20"/>
  <c r="T1271" i="20"/>
  <c r="T1257" i="20"/>
  <c r="T1275" i="20"/>
  <c r="T1276" i="20"/>
  <c r="T1277" i="20"/>
  <c r="T1272" i="20"/>
  <c r="T1278" i="20"/>
  <c r="T1279" i="20"/>
  <c r="T1280" i="20"/>
  <c r="T1281" i="20"/>
  <c r="T1273" i="20"/>
  <c r="T1282" i="20"/>
  <c r="T1283" i="20"/>
  <c r="T1274" i="20"/>
  <c r="T1284" i="20"/>
  <c r="T1296" i="20"/>
  <c r="T1297" i="20"/>
  <c r="T1298" i="20"/>
  <c r="T1285" i="20"/>
  <c r="T1299" i="20"/>
  <c r="T1300" i="20"/>
  <c r="T1301" i="20"/>
  <c r="T1286" i="20"/>
  <c r="T1302" i="20"/>
  <c r="T1303" i="20"/>
  <c r="T1287" i="20"/>
  <c r="T1304" i="20"/>
  <c r="T1288" i="20"/>
  <c r="T1305" i="20"/>
  <c r="T1306" i="20"/>
  <c r="T1307" i="20"/>
  <c r="T1308" i="20"/>
  <c r="T1289" i="20"/>
  <c r="T1309" i="20"/>
  <c r="T1310" i="20"/>
  <c r="T1311" i="20"/>
  <c r="T1312" i="20"/>
  <c r="T1313" i="20"/>
  <c r="T1314" i="20"/>
  <c r="T1315" i="20"/>
  <c r="T1316" i="20"/>
  <c r="T1317" i="20"/>
  <c r="T1318" i="20"/>
  <c r="T1319" i="20"/>
  <c r="T1320" i="20"/>
  <c r="T1321" i="20"/>
  <c r="T1322" i="20"/>
  <c r="T1323" i="20"/>
  <c r="T1324" i="20"/>
  <c r="T1290" i="20"/>
  <c r="T1325" i="20"/>
  <c r="T1326" i="20"/>
  <c r="T1327" i="20"/>
  <c r="T1328" i="20"/>
  <c r="T1329" i="20"/>
  <c r="T1330" i="20"/>
  <c r="T1331" i="20"/>
  <c r="T1332" i="20"/>
  <c r="T1333" i="20"/>
  <c r="T1334" i="20"/>
  <c r="T1335" i="20"/>
  <c r="T1291" i="20"/>
  <c r="T1336" i="20"/>
  <c r="T1292" i="20"/>
  <c r="T1293" i="20"/>
  <c r="T1294" i="20"/>
  <c r="T1337" i="20"/>
  <c r="T1338" i="20"/>
  <c r="T1339" i="20"/>
  <c r="T1340" i="20"/>
  <c r="T1295" i="20"/>
  <c r="T1341" i="20"/>
  <c r="T1342" i="20"/>
  <c r="T1343" i="20"/>
  <c r="T1344" i="20"/>
  <c r="T1345" i="20"/>
  <c r="T1346" i="20"/>
  <c r="T1347" i="20"/>
  <c r="T1348" i="20"/>
  <c r="T1365" i="20"/>
  <c r="T1350" i="20"/>
  <c r="T1351" i="20"/>
  <c r="T1366" i="20"/>
  <c r="T1352" i="20"/>
  <c r="T1367" i="20"/>
  <c r="T1353" i="20"/>
  <c r="T1349" i="20"/>
  <c r="T1354" i="20"/>
  <c r="T1355" i="20"/>
  <c r="T1368" i="20"/>
  <c r="T1369" i="20"/>
  <c r="T1356" i="20"/>
  <c r="T1370" i="20"/>
  <c r="T1357" i="20"/>
  <c r="T1371" i="20"/>
  <c r="T1358" i="20"/>
  <c r="T1359" i="20"/>
  <c r="T1360" i="20"/>
  <c r="T1372" i="20"/>
  <c r="T1361" i="20"/>
  <c r="T1373" i="20"/>
  <c r="T1374" i="20"/>
  <c r="T1362" i="20"/>
  <c r="T1363" i="20"/>
  <c r="T1364" i="20"/>
  <c r="T1375" i="20"/>
  <c r="T1381" i="20"/>
  <c r="T1382" i="20"/>
  <c r="T1383" i="20"/>
  <c r="T1384" i="20"/>
  <c r="T1385" i="20"/>
  <c r="T1386" i="20"/>
  <c r="T1387" i="20"/>
  <c r="T1388" i="20"/>
  <c r="T1389" i="20"/>
  <c r="T1376" i="20"/>
  <c r="T1390" i="20"/>
  <c r="T1377" i="20"/>
  <c r="T1391" i="20"/>
  <c r="T1378" i="20"/>
  <c r="T1392" i="20"/>
  <c r="T1379" i="20"/>
  <c r="T1380" i="20"/>
  <c r="T1401" i="20"/>
  <c r="T1393" i="20"/>
  <c r="T1394" i="20"/>
  <c r="T1402" i="20"/>
  <c r="T1395" i="20"/>
  <c r="T1396" i="20"/>
  <c r="T1397" i="20"/>
  <c r="T1403" i="20"/>
  <c r="T1398" i="20"/>
  <c r="T1399" i="20"/>
  <c r="T1400" i="20"/>
  <c r="T1416" i="20"/>
  <c r="T1410" i="20"/>
  <c r="T1417" i="20"/>
  <c r="T1411" i="20"/>
  <c r="T1404" i="20"/>
  <c r="T1405" i="20"/>
  <c r="T1418" i="20"/>
  <c r="T1406" i="20"/>
  <c r="T1407" i="20"/>
  <c r="T1419" i="20"/>
  <c r="T1412" i="20"/>
  <c r="T1420" i="20"/>
  <c r="T1408" i="20"/>
  <c r="T1425" i="20"/>
  <c r="T1413" i="20"/>
  <c r="T1421" i="20"/>
  <c r="T1414" i="20"/>
  <c r="T1422" i="20"/>
  <c r="T1423" i="20"/>
  <c r="T1415" i="20"/>
  <c r="T1409" i="20"/>
  <c r="T1424" i="20"/>
  <c r="T1426" i="20"/>
  <c r="T1440" i="20"/>
  <c r="T1427" i="20"/>
  <c r="T1441" i="20"/>
  <c r="T1428" i="20"/>
  <c r="T1442" i="20"/>
  <c r="T1443" i="20"/>
  <c r="T1444" i="20"/>
  <c r="T1445" i="20"/>
  <c r="T1429" i="20"/>
  <c r="T1446" i="20"/>
  <c r="T1430" i="20"/>
  <c r="T1431" i="20"/>
  <c r="T1432" i="20"/>
  <c r="T1433" i="20"/>
  <c r="T1434" i="20"/>
  <c r="T1435" i="20"/>
  <c r="T1436" i="20"/>
  <c r="T1437" i="20"/>
  <c r="T1447" i="20"/>
  <c r="T1448" i="20"/>
  <c r="T1438" i="20"/>
  <c r="T1439" i="20"/>
  <c r="T1449" i="20"/>
  <c r="T1450" i="20"/>
  <c r="T1451" i="20"/>
  <c r="T1452" i="20"/>
  <c r="T1453" i="20"/>
  <c r="T1454" i="20"/>
  <c r="T1455" i="20"/>
  <c r="T1456" i="20"/>
  <c r="T1457" i="20"/>
  <c r="T1458" i="20"/>
  <c r="T1459" i="20"/>
  <c r="T1460" i="20"/>
  <c r="T1461" i="20"/>
  <c r="T1462" i="20"/>
  <c r="T1463" i="20"/>
  <c r="T1464" i="20"/>
  <c r="T1465" i="20"/>
  <c r="T1466" i="20"/>
  <c r="T1467" i="20"/>
  <c r="T1468" i="20"/>
  <c r="T1469" i="20"/>
  <c r="T1470" i="20"/>
  <c r="T1471" i="20"/>
  <c r="T1472" i="20"/>
  <c r="T1473" i="20"/>
  <c r="T1474" i="20"/>
  <c r="T1475" i="20"/>
  <c r="T1476" i="20"/>
  <c r="T1477" i="20"/>
  <c r="T1478" i="20"/>
  <c r="T1479" i="20"/>
  <c r="T1480" i="20"/>
  <c r="T1481" i="20"/>
  <c r="T1482" i="20"/>
  <c r="T1483" i="20"/>
  <c r="T1484" i="20"/>
  <c r="T1485" i="20"/>
  <c r="T1486" i="20"/>
  <c r="T1487" i="20"/>
  <c r="T1488" i="20"/>
  <c r="T1489" i="20"/>
  <c r="T1490" i="20"/>
  <c r="T1491" i="20"/>
  <c r="T1492" i="20"/>
  <c r="T1493" i="20"/>
  <c r="T1494" i="20"/>
  <c r="T1501" i="20"/>
  <c r="T1502" i="20"/>
  <c r="T1495" i="20"/>
  <c r="T1503" i="20"/>
  <c r="T1497" i="20"/>
  <c r="T1498" i="20"/>
  <c r="T1499" i="20"/>
  <c r="T1510" i="20"/>
  <c r="T1504" i="20"/>
  <c r="T1505" i="20"/>
  <c r="T1506" i="20"/>
  <c r="T1500" i="20"/>
  <c r="T1496" i="20"/>
  <c r="T1507" i="20"/>
  <c r="T1508" i="20"/>
  <c r="T1509" i="20"/>
  <c r="T1516" i="20"/>
  <c r="T1517" i="20"/>
  <c r="T1526" i="20"/>
  <c r="T1527" i="20"/>
  <c r="T1511" i="20"/>
  <c r="T1528" i="20"/>
  <c r="T1518" i="20"/>
  <c r="T1529" i="20"/>
  <c r="T1530" i="20"/>
  <c r="T1512" i="20"/>
  <c r="T1519" i="20"/>
  <c r="T1531" i="20"/>
  <c r="T1532" i="20"/>
  <c r="T1533" i="20"/>
  <c r="T1520" i="20"/>
  <c r="T1513" i="20"/>
  <c r="T1514" i="20"/>
  <c r="T1521" i="20"/>
  <c r="T1515" i="20"/>
  <c r="T1534" i="20"/>
  <c r="T1522" i="20"/>
  <c r="T1523" i="20"/>
  <c r="T1535" i="20"/>
  <c r="T1536" i="20"/>
  <c r="T1524" i="20"/>
  <c r="T1538" i="20"/>
  <c r="T1539" i="20"/>
  <c r="T1540" i="20"/>
  <c r="T1541" i="20"/>
  <c r="T1542" i="20"/>
  <c r="T1543" i="20"/>
  <c r="T1544" i="20"/>
  <c r="T1545" i="20"/>
  <c r="T1546" i="20"/>
  <c r="T1537" i="20"/>
  <c r="T1552" i="20"/>
  <c r="T1547" i="20"/>
  <c r="T1548" i="20"/>
  <c r="T1549" i="20"/>
  <c r="T1550" i="20"/>
  <c r="T1551" i="20"/>
  <c r="T1553" i="20"/>
  <c r="T1560" i="20"/>
  <c r="T1556" i="20"/>
  <c r="T1557" i="20"/>
  <c r="T1558" i="20"/>
  <c r="T1559" i="20"/>
  <c r="T1554" i="20"/>
  <c r="T1561" i="20"/>
  <c r="T1555" i="20"/>
  <c r="T1575" i="20"/>
  <c r="T1564" i="20"/>
  <c r="T1565" i="20"/>
  <c r="T1576" i="20"/>
  <c r="T1566" i="20"/>
  <c r="T1577" i="20"/>
  <c r="T1567" i="20"/>
  <c r="T1568" i="20"/>
  <c r="T1578" i="20"/>
  <c r="T1579" i="20"/>
  <c r="T1580" i="20"/>
  <c r="T1569" i="20"/>
  <c r="T1562" i="20"/>
  <c r="T1581" i="20"/>
  <c r="T1570" i="20"/>
  <c r="T1582" i="20"/>
  <c r="T1563" i="20"/>
  <c r="T1583" i="20"/>
  <c r="T1571" i="20"/>
  <c r="T1572" i="20"/>
  <c r="T1573" i="20"/>
  <c r="T1584" i="20"/>
  <c r="T1585" i="20"/>
  <c r="T1586" i="20"/>
  <c r="T1587" i="20"/>
  <c r="T1588" i="20"/>
  <c r="T1589" i="20"/>
  <c r="T1590" i="20"/>
  <c r="T1591" i="20"/>
  <c r="T1574" i="20"/>
  <c r="T1592" i="20"/>
  <c r="T1593" i="20"/>
  <c r="T1594" i="20"/>
  <c r="T1595" i="20"/>
  <c r="T1596" i="20"/>
  <c r="T1597" i="20"/>
  <c r="T1598" i="20"/>
  <c r="T1599" i="20"/>
  <c r="T1602" i="20"/>
  <c r="T1603" i="20"/>
  <c r="T1604" i="20"/>
  <c r="T1600" i="20"/>
  <c r="T1605" i="20"/>
  <c r="T1606" i="20"/>
  <c r="T1607" i="20"/>
  <c r="T1608" i="20"/>
  <c r="T1609" i="20"/>
  <c r="T1610" i="20"/>
  <c r="T1611" i="20"/>
  <c r="T1612" i="20"/>
  <c r="T1601" i="20"/>
  <c r="T1613" i="20"/>
  <c r="T1614" i="20"/>
  <c r="T1618" i="20"/>
  <c r="T1619" i="20"/>
  <c r="T1616" i="20"/>
  <c r="T1620" i="20"/>
  <c r="T1621" i="20"/>
  <c r="T1622" i="20"/>
  <c r="T1623" i="20"/>
  <c r="T1624" i="20"/>
  <c r="T1625" i="20"/>
  <c r="T1647" i="20"/>
  <c r="T1626" i="20"/>
  <c r="T1627" i="20"/>
  <c r="T1628" i="20"/>
  <c r="T1629" i="20"/>
  <c r="T1630" i="20"/>
  <c r="T1631" i="20"/>
  <c r="T1632" i="20"/>
  <c r="T1633" i="20"/>
  <c r="T1634" i="20"/>
  <c r="T1635" i="20"/>
  <c r="T1636" i="20"/>
  <c r="T1637" i="20"/>
  <c r="T1638" i="20"/>
  <c r="T1615" i="20"/>
  <c r="T1639" i="20"/>
  <c r="T1640" i="20"/>
  <c r="T1641" i="20"/>
  <c r="T1642" i="20"/>
  <c r="T1643" i="20"/>
  <c r="T1644" i="20"/>
  <c r="T1645" i="20"/>
  <c r="T1617" i="20"/>
  <c r="T1646" i="20"/>
  <c r="T1649" i="20"/>
  <c r="T1650" i="20"/>
  <c r="T1651" i="20"/>
  <c r="T1652" i="20"/>
  <c r="T1660" i="20"/>
  <c r="T1653" i="20"/>
  <c r="T1661" i="20"/>
  <c r="T1654" i="20"/>
  <c r="T1662" i="20"/>
  <c r="T1655" i="20"/>
  <c r="T1656" i="20"/>
  <c r="T1663" i="20"/>
  <c r="T1664" i="20"/>
  <c r="T1657" i="20"/>
  <c r="T1658" i="20"/>
  <c r="T1665" i="20"/>
  <c r="T1666" i="20"/>
  <c r="T1667" i="20"/>
  <c r="T1668" i="20"/>
  <c r="T1669" i="20"/>
  <c r="T1670" i="20"/>
  <c r="T1671" i="20"/>
  <c r="T1659" i="20"/>
  <c r="T1648" i="20"/>
  <c r="T1687" i="20"/>
  <c r="T1688" i="20"/>
  <c r="T1689" i="20"/>
  <c r="T1690" i="20"/>
  <c r="T1691" i="20"/>
  <c r="T1672" i="20"/>
  <c r="T1676" i="20"/>
  <c r="T1677" i="20"/>
  <c r="T1692" i="20"/>
  <c r="T1693" i="20"/>
  <c r="T1678" i="20"/>
  <c r="T1673" i="20"/>
  <c r="T1679" i="20"/>
  <c r="T1694" i="20"/>
  <c r="T1695" i="20"/>
  <c r="T1696" i="20"/>
  <c r="T1680" i="20"/>
  <c r="T1697" i="20"/>
  <c r="T1681" i="20"/>
  <c r="T1698" i="20"/>
  <c r="T1699" i="20"/>
  <c r="T1700" i="20"/>
  <c r="T1701" i="20"/>
  <c r="T1702" i="20"/>
  <c r="T1682" i="20"/>
  <c r="T1683" i="20"/>
  <c r="T1703" i="20"/>
  <c r="T1704" i="20"/>
  <c r="T1705" i="20"/>
  <c r="T1706" i="20"/>
  <c r="T1674" i="20"/>
  <c r="T1707" i="20"/>
  <c r="T1684" i="20"/>
  <c r="T1685" i="20"/>
  <c r="T1675" i="20"/>
  <c r="T1686" i="20"/>
  <c r="T1708" i="20"/>
  <c r="T1709" i="20"/>
  <c r="T1734" i="20"/>
  <c r="T1710" i="20"/>
  <c r="T1711" i="20"/>
  <c r="T1712" i="20"/>
  <c r="T1735" i="20"/>
  <c r="T1736" i="20"/>
  <c r="T1737" i="20"/>
  <c r="T1713" i="20"/>
  <c r="T1738" i="20"/>
  <c r="T1714" i="20"/>
  <c r="T1739" i="20"/>
  <c r="T1740" i="20"/>
  <c r="T1741" i="20"/>
  <c r="T1742" i="20"/>
  <c r="T1715" i="20"/>
  <c r="T1743" i="20"/>
  <c r="T1744" i="20"/>
  <c r="T1745" i="20"/>
  <c r="T1716" i="20"/>
  <c r="T1746" i="20"/>
  <c r="T1747" i="20"/>
  <c r="T1717" i="20"/>
  <c r="T1718" i="20"/>
  <c r="T1719" i="20"/>
  <c r="T1720" i="20"/>
  <c r="T1748" i="20"/>
  <c r="T1721" i="20"/>
  <c r="T1722" i="20"/>
  <c r="T1749" i="20"/>
  <c r="T1723" i="20"/>
  <c r="T1724" i="20"/>
  <c r="T1725" i="20"/>
  <c r="T1750" i="20"/>
  <c r="T1751" i="20"/>
  <c r="T1752" i="20"/>
  <c r="T1726" i="20"/>
  <c r="T1727" i="20"/>
  <c r="T1753" i="20"/>
  <c r="T1754" i="20"/>
  <c r="T1755" i="20"/>
  <c r="T1756" i="20"/>
  <c r="T1728" i="20"/>
  <c r="T1729" i="20"/>
  <c r="T1730" i="20"/>
  <c r="T1757" i="20"/>
  <c r="T1758" i="20"/>
  <c r="T1759" i="20"/>
  <c r="T1731" i="20"/>
  <c r="T1760" i="20"/>
  <c r="T1732" i="20"/>
  <c r="T1761" i="20"/>
  <c r="T1733" i="20"/>
  <c r="T1763" i="20"/>
  <c r="T1764" i="20"/>
  <c r="T1762" i="20"/>
  <c r="T1765" i="20"/>
  <c r="T1766" i="20"/>
  <c r="T1767" i="20"/>
  <c r="T1768" i="20"/>
  <c r="T1769" i="20"/>
  <c r="T1770" i="20"/>
  <c r="T1771" i="20"/>
  <c r="T1772" i="20"/>
  <c r="T1773" i="20"/>
  <c r="T1774" i="20"/>
  <c r="T1775" i="20"/>
  <c r="T1776" i="20"/>
  <c r="T1777" i="20"/>
  <c r="T1778" i="20"/>
  <c r="T1779" i="20"/>
  <c r="T1780" i="20"/>
  <c r="T1781" i="20"/>
  <c r="T1782" i="20"/>
  <c r="T1783" i="20"/>
  <c r="T1784" i="20"/>
  <c r="T1785" i="20"/>
  <c r="T1786" i="20"/>
  <c r="T1787" i="20"/>
  <c r="T1788" i="20"/>
  <c r="T1789" i="20"/>
  <c r="T1793" i="20"/>
  <c r="T1791" i="20"/>
  <c r="T1794" i="20"/>
  <c r="T1795" i="20"/>
  <c r="T1792" i="20"/>
  <c r="T1796" i="20"/>
  <c r="T1797" i="20"/>
  <c r="T1798" i="20"/>
  <c r="T1799" i="20"/>
  <c r="T1800" i="20"/>
  <c r="T1801" i="20"/>
  <c r="T1802" i="20"/>
  <c r="T1803" i="20"/>
  <c r="T1804" i="20"/>
  <c r="T1805" i="20"/>
  <c r="T1790" i="20"/>
  <c r="T1806" i="20"/>
  <c r="T1807" i="20"/>
  <c r="T1808" i="20"/>
  <c r="T1818" i="20"/>
  <c r="T1819" i="20"/>
  <c r="T1814" i="20"/>
  <c r="T1820" i="20"/>
  <c r="T1821" i="20"/>
  <c r="T1822" i="20"/>
  <c r="T1815" i="20"/>
  <c r="T1816" i="20"/>
  <c r="T1823" i="20"/>
  <c r="T1824" i="20"/>
  <c r="T1825" i="20"/>
  <c r="T1826" i="20"/>
  <c r="T1827" i="20"/>
  <c r="T1809" i="20"/>
  <c r="T1828" i="20"/>
  <c r="T1829" i="20"/>
  <c r="T1830" i="20"/>
  <c r="T1831" i="20"/>
  <c r="T1832" i="20"/>
  <c r="T1833" i="20"/>
  <c r="T1810" i="20"/>
  <c r="T1834" i="20"/>
  <c r="T1817" i="20"/>
  <c r="T1835" i="20"/>
  <c r="T1836" i="20"/>
  <c r="T1837" i="20"/>
  <c r="T1838" i="20"/>
  <c r="T1811" i="20"/>
  <c r="T1812" i="20"/>
  <c r="T1839" i="20"/>
  <c r="T1840" i="20"/>
  <c r="T1841" i="20"/>
  <c r="T1813" i="20"/>
  <c r="T1843" i="20"/>
  <c r="T1844" i="20"/>
  <c r="T1842" i="20"/>
  <c r="T1848" i="20"/>
  <c r="T1845" i="20"/>
  <c r="T1846" i="20"/>
  <c r="T1849" i="20"/>
  <c r="T1847" i="20"/>
  <c r="T1850" i="20"/>
  <c r="T1851" i="20"/>
  <c r="T1852" i="20"/>
  <c r="T1853" i="20"/>
  <c r="T1854" i="20"/>
  <c r="T1855" i="20"/>
  <c r="T1856" i="20"/>
  <c r="T1857" i="20"/>
  <c r="T1858" i="20"/>
  <c r="T1859" i="20"/>
  <c r="T1860" i="20"/>
  <c r="T1861" i="20"/>
  <c r="T1862" i="20"/>
  <c r="T1863" i="20"/>
  <c r="T1874" i="20"/>
  <c r="T1864" i="20"/>
  <c r="T1865" i="20"/>
  <c r="T1866" i="20"/>
  <c r="T1867" i="20"/>
  <c r="T1868" i="20"/>
  <c r="T1869" i="20"/>
  <c r="T1875" i="20"/>
  <c r="T1876" i="20"/>
  <c r="T1870" i="20"/>
  <c r="T1877" i="20"/>
  <c r="T1878" i="20"/>
  <c r="T1879" i="20"/>
  <c r="T1880" i="20"/>
  <c r="T1871" i="20"/>
  <c r="T1881" i="20"/>
  <c r="T1882" i="20"/>
  <c r="T1872" i="20"/>
  <c r="T1883" i="20"/>
  <c r="T1873" i="20"/>
  <c r="T1893" i="20"/>
  <c r="T1894" i="20"/>
  <c r="T1895" i="20"/>
  <c r="E10" i="23" s="1"/>
  <c r="T1884" i="20"/>
  <c r="T1885" i="20"/>
  <c r="T1886" i="20"/>
  <c r="T1887" i="20"/>
  <c r="T1896" i="20"/>
  <c r="T1897" i="20"/>
  <c r="T1888" i="20"/>
  <c r="T1898" i="20"/>
  <c r="T1904" i="20"/>
  <c r="T1899" i="20"/>
  <c r="T1889" i="20"/>
  <c r="T1900" i="20"/>
  <c r="T1890" i="20"/>
  <c r="T1901" i="20"/>
  <c r="T1902" i="20"/>
  <c r="T1903" i="20"/>
  <c r="T1891" i="20"/>
  <c r="T1908" i="20"/>
  <c r="T1909" i="20"/>
  <c r="T1910" i="20"/>
  <c r="T1911" i="20"/>
  <c r="T1912" i="20"/>
  <c r="T1913" i="20"/>
  <c r="T1914" i="20"/>
  <c r="T1915" i="20"/>
  <c r="T1916" i="20"/>
  <c r="T1917" i="20"/>
  <c r="T1918" i="20"/>
  <c r="T1919" i="20"/>
  <c r="T1905" i="20"/>
  <c r="T1920" i="20"/>
  <c r="T1907" i="20"/>
  <c r="T1921" i="20"/>
  <c r="T1922" i="20"/>
  <c r="T1923" i="20"/>
  <c r="T1924" i="20"/>
  <c r="T1925" i="20"/>
  <c r="T1926" i="20"/>
  <c r="T1927" i="20"/>
  <c r="T1928" i="20"/>
  <c r="T1929" i="20"/>
  <c r="T1930" i="20"/>
  <c r="T1906" i="20"/>
  <c r="T1931" i="20"/>
  <c r="T1932" i="20"/>
  <c r="T1933" i="20"/>
  <c r="T1934" i="20"/>
  <c r="T1935" i="20"/>
  <c r="T1936" i="20"/>
  <c r="T1937" i="20"/>
  <c r="T1948" i="20"/>
  <c r="T1949" i="20"/>
  <c r="T1950" i="20"/>
  <c r="T1951" i="20"/>
  <c r="T1938" i="20"/>
  <c r="T1952" i="20"/>
  <c r="T1939" i="20"/>
  <c r="T1953" i="20"/>
  <c r="T1945" i="20"/>
  <c r="T1954" i="20"/>
  <c r="T1955" i="20"/>
  <c r="T1956" i="20"/>
  <c r="T1957" i="20"/>
  <c r="T1940" i="20"/>
  <c r="T1958" i="20"/>
  <c r="T1959" i="20"/>
  <c r="T1941" i="20"/>
  <c r="T1960" i="20"/>
  <c r="T1946" i="20"/>
  <c r="T1961" i="20"/>
  <c r="T1962" i="20"/>
  <c r="T1947" i="20"/>
  <c r="T1963" i="20"/>
  <c r="T1964" i="20"/>
  <c r="T1942" i="20"/>
  <c r="T1943" i="20"/>
  <c r="T1965" i="20"/>
  <c r="T1966" i="20"/>
  <c r="T1967" i="20"/>
  <c r="T1968" i="20"/>
  <c r="T1969" i="20"/>
  <c r="T1970" i="20"/>
  <c r="T1971" i="20"/>
  <c r="T1944" i="20"/>
  <c r="T1972" i="20"/>
  <c r="T1973" i="20"/>
  <c r="T1974" i="20"/>
  <c r="T1975" i="20"/>
  <c r="T1976" i="20"/>
  <c r="T1977" i="20"/>
  <c r="T1978" i="20"/>
  <c r="T1979" i="20"/>
  <c r="T1980" i="20"/>
  <c r="T1981" i="20"/>
  <c r="T1982" i="20"/>
  <c r="T1983" i="20"/>
  <c r="T1984" i="20"/>
  <c r="T1985" i="20"/>
  <c r="T1986" i="20"/>
  <c r="T1987" i="20"/>
  <c r="T1988" i="20"/>
  <c r="T1989" i="20"/>
  <c r="T1990" i="20"/>
  <c r="T1991" i="20"/>
  <c r="T1992" i="20"/>
  <c r="T1993" i="20"/>
  <c r="T1994" i="20"/>
  <c r="T1995" i="20"/>
  <c r="T1996" i="20"/>
  <c r="T1997" i="20"/>
  <c r="T1998" i="20"/>
  <c r="T1999" i="20"/>
  <c r="T2000" i="20"/>
  <c r="T2001" i="20"/>
  <c r="T2002" i="20"/>
  <c r="T2003" i="20"/>
  <c r="T2004" i="20"/>
  <c r="T2005" i="20"/>
  <c r="T2011" i="20"/>
  <c r="T2012" i="20"/>
  <c r="T2006" i="20"/>
  <c r="T2013" i="20"/>
  <c r="T2014" i="20"/>
  <c r="T2015" i="20"/>
  <c r="T2016" i="20"/>
  <c r="T2030" i="20"/>
  <c r="T2017" i="20"/>
  <c r="T2007" i="20"/>
  <c r="T2018" i="20"/>
  <c r="T2019" i="20"/>
  <c r="T2031" i="20"/>
  <c r="T2008" i="20"/>
  <c r="T2032" i="20"/>
  <c r="T2020" i="20"/>
  <c r="T2021" i="20"/>
  <c r="T2009" i="20"/>
  <c r="T2022" i="20"/>
  <c r="T2023" i="20"/>
  <c r="T2024" i="20"/>
  <c r="T2033" i="20"/>
  <c r="T2034" i="20"/>
  <c r="T2035" i="20"/>
  <c r="T2010" i="20"/>
  <c r="T2025" i="20"/>
  <c r="T2036" i="20"/>
  <c r="T2026" i="20"/>
  <c r="T2027" i="20"/>
  <c r="T2028" i="20"/>
  <c r="T2029" i="20"/>
  <c r="T2050" i="20"/>
  <c r="T2051" i="20"/>
  <c r="T2052" i="20"/>
  <c r="T2053" i="20"/>
  <c r="T2037" i="20"/>
  <c r="T2054" i="20"/>
  <c r="T2055" i="20"/>
  <c r="T2056" i="20"/>
  <c r="T2038" i="20"/>
  <c r="T2047" i="20"/>
  <c r="T2048" i="20"/>
  <c r="T2057" i="20"/>
  <c r="T2058" i="20"/>
  <c r="T2059" i="20"/>
  <c r="T2060" i="20"/>
  <c r="T2039" i="20"/>
  <c r="T2061" i="20"/>
  <c r="T2062" i="20"/>
  <c r="T2063" i="20"/>
  <c r="T2064" i="20"/>
  <c r="T2040" i="20"/>
  <c r="T2065" i="20"/>
  <c r="T2041" i="20"/>
  <c r="T2066" i="20"/>
  <c r="T2067" i="20"/>
  <c r="T2068" i="20"/>
  <c r="T2046" i="20"/>
  <c r="T2042" i="20"/>
  <c r="T2069" i="20"/>
  <c r="T2043" i="20"/>
  <c r="T2070" i="20"/>
  <c r="T2071" i="20"/>
  <c r="T2072" i="20"/>
  <c r="T2073" i="20"/>
  <c r="T2074" i="20"/>
  <c r="T2075" i="20"/>
  <c r="T2076" i="20"/>
  <c r="T2077" i="20"/>
  <c r="T2078" i="20"/>
  <c r="T2079" i="20"/>
  <c r="T2080" i="20"/>
  <c r="T2044" i="20"/>
  <c r="T2049" i="20"/>
  <c r="T2045" i="20"/>
  <c r="T2084" i="20"/>
  <c r="T2082" i="20"/>
  <c r="T2083" i="20"/>
  <c r="T2085" i="20"/>
  <c r="T2086" i="20"/>
  <c r="T2087" i="20"/>
  <c r="T2088" i="20"/>
  <c r="T2089" i="20"/>
  <c r="T2090" i="20"/>
  <c r="T2091" i="20"/>
  <c r="T2092" i="20"/>
  <c r="T2093" i="20"/>
  <c r="T2094" i="20"/>
  <c r="T2095" i="20"/>
  <c r="T2096" i="20"/>
  <c r="T2097" i="20"/>
  <c r="T2098" i="20"/>
  <c r="T2099" i="20"/>
  <c r="T2100" i="20"/>
  <c r="T2101" i="20"/>
  <c r="T2102" i="20"/>
  <c r="T2081" i="20"/>
  <c r="T2103" i="20"/>
  <c r="T2104" i="20"/>
  <c r="T2105" i="20"/>
  <c r="T2106" i="20"/>
  <c r="T2107" i="20"/>
  <c r="T2113" i="20"/>
  <c r="T2114" i="20"/>
  <c r="T2115" i="20"/>
  <c r="T2116" i="20"/>
  <c r="T2117" i="20"/>
  <c r="T2118" i="20"/>
  <c r="T2119" i="20"/>
  <c r="T2120" i="20"/>
  <c r="T2121" i="20"/>
  <c r="T2122" i="20"/>
  <c r="T2109" i="20"/>
  <c r="T2123" i="20"/>
  <c r="T2124" i="20"/>
  <c r="T2125" i="20"/>
  <c r="T2126" i="20"/>
  <c r="T2127" i="20"/>
  <c r="T2110" i="20"/>
  <c r="T2128" i="20"/>
  <c r="T2129" i="20"/>
  <c r="T2111" i="20"/>
  <c r="T2130" i="20"/>
  <c r="T2112" i="20"/>
  <c r="T2131" i="20"/>
  <c r="T2108" i="20"/>
  <c r="T2132" i="20"/>
  <c r="T2133" i="20"/>
  <c r="T2145" i="20"/>
  <c r="T2146" i="20"/>
  <c r="T2134" i="20"/>
  <c r="T2147" i="20"/>
  <c r="T2148" i="20"/>
  <c r="T2149" i="20"/>
  <c r="T2135" i="20"/>
  <c r="T2140" i="20"/>
  <c r="T2150" i="20"/>
  <c r="T2151" i="20"/>
  <c r="T2141" i="20"/>
  <c r="T2152" i="20"/>
  <c r="T2153" i="20"/>
  <c r="T2142" i="20"/>
  <c r="T2143" i="20"/>
  <c r="T2136" i="20"/>
  <c r="T2154" i="20"/>
  <c r="T2155" i="20"/>
  <c r="T2137" i="20"/>
  <c r="T2138" i="20"/>
  <c r="T2156" i="20"/>
  <c r="T2157" i="20"/>
  <c r="T2158" i="20"/>
  <c r="T2139" i="20"/>
  <c r="T2144" i="20"/>
  <c r="T2159" i="20"/>
  <c r="T2166" i="20"/>
  <c r="T2167" i="20"/>
  <c r="T2168" i="20"/>
  <c r="T2163" i="20"/>
  <c r="T2164" i="20"/>
  <c r="T2165" i="20"/>
  <c r="T2169" i="20"/>
  <c r="T2170" i="20"/>
  <c r="T2171" i="20"/>
  <c r="T2172" i="20"/>
  <c r="T2162" i="20"/>
  <c r="T2173" i="20"/>
  <c r="T2160" i="20"/>
  <c r="T2174" i="20"/>
  <c r="T2175" i="20"/>
  <c r="T2176" i="20"/>
  <c r="T2161" i="20"/>
  <c r="T2177" i="20"/>
  <c r="T2178" i="20"/>
  <c r="T2179" i="20"/>
  <c r="T2180" i="20"/>
  <c r="T2181" i="20"/>
  <c r="T2182" i="20"/>
  <c r="T2183" i="20"/>
  <c r="T2184" i="20"/>
  <c r="T2185" i="20"/>
  <c r="T2193" i="20"/>
  <c r="T2188" i="20"/>
  <c r="T2186" i="20"/>
  <c r="T2194" i="20"/>
  <c r="T2195" i="20"/>
  <c r="T2196" i="20"/>
  <c r="T2197" i="20"/>
  <c r="T2198" i="20"/>
  <c r="T2189" i="20"/>
  <c r="T2199" i="20"/>
  <c r="T2190" i="20"/>
  <c r="T2200" i="20"/>
  <c r="T2201" i="20"/>
  <c r="T2202" i="20"/>
  <c r="T2203" i="20"/>
  <c r="T2204" i="20"/>
  <c r="T2205" i="20"/>
  <c r="T2206" i="20"/>
  <c r="T2207" i="20"/>
  <c r="T2208" i="20"/>
  <c r="T2209" i="20"/>
  <c r="T2191" i="20"/>
  <c r="T2210" i="20"/>
  <c r="T2211" i="20"/>
  <c r="T2212" i="20"/>
  <c r="T2213" i="20"/>
  <c r="T2214" i="20"/>
  <c r="T2215" i="20"/>
  <c r="T2216" i="20"/>
  <c r="T2217" i="20"/>
  <c r="T2218" i="20"/>
  <c r="T2219" i="20"/>
  <c r="T2220" i="20"/>
  <c r="T2221" i="20"/>
  <c r="T2192" i="20"/>
  <c r="T2222" i="20"/>
  <c r="T2223" i="20"/>
  <c r="T2224" i="20"/>
  <c r="T2225" i="20"/>
  <c r="T2187" i="20"/>
  <c r="T2226" i="20"/>
  <c r="T2227" i="20"/>
  <c r="T2228" i="20"/>
  <c r="T2229" i="20"/>
  <c r="T2230" i="20"/>
  <c r="T2231" i="20"/>
  <c r="T2232" i="20"/>
  <c r="T2233" i="20"/>
  <c r="T2234" i="20"/>
  <c r="T2235" i="20"/>
  <c r="T2236" i="20"/>
  <c r="T2237" i="20"/>
  <c r="T2238" i="20"/>
  <c r="T2239" i="20"/>
  <c r="T2242" i="20"/>
  <c r="T2240" i="20"/>
  <c r="T2241" i="20"/>
  <c r="T2243" i="20"/>
  <c r="T2249" i="20"/>
  <c r="T2244" i="20"/>
  <c r="T2252" i="20"/>
  <c r="T2253" i="20"/>
  <c r="T2254" i="20"/>
  <c r="T2245" i="20"/>
  <c r="T2255" i="20"/>
  <c r="T2256" i="20"/>
  <c r="T2257" i="20"/>
  <c r="T2246" i="20"/>
  <c r="T2258" i="20"/>
  <c r="T2247" i="20"/>
  <c r="T2259" i="20"/>
  <c r="T2268" i="20"/>
  <c r="T2269" i="20"/>
  <c r="T2270" i="20"/>
  <c r="T2260" i="20"/>
  <c r="T2248" i="20"/>
  <c r="T2261" i="20"/>
  <c r="T2262" i="20"/>
  <c r="T2271" i="20"/>
  <c r="T2272" i="20"/>
  <c r="T2251" i="20"/>
  <c r="T2263" i="20"/>
  <c r="T2264" i="20"/>
  <c r="T2265" i="20"/>
  <c r="T2266" i="20"/>
  <c r="T2267" i="20"/>
  <c r="T2273" i="20"/>
  <c r="T2274" i="20"/>
  <c r="T2278" i="20"/>
  <c r="T2285" i="20"/>
  <c r="T2275" i="20"/>
  <c r="T2280" i="20"/>
  <c r="T2276" i="20"/>
  <c r="T2286" i="20"/>
  <c r="T2277" i="20"/>
  <c r="T2287" i="20"/>
  <c r="T2281" i="20"/>
  <c r="T2279" i="20"/>
  <c r="T2282" i="20"/>
  <c r="T2288" i="20"/>
  <c r="T2283" i="20"/>
  <c r="T2284" i="20"/>
  <c r="T2289" i="20"/>
  <c r="T2291" i="20"/>
  <c r="T2292" i="20"/>
  <c r="T2302" i="20"/>
  <c r="T2303" i="20"/>
  <c r="T2293" i="20"/>
  <c r="T2294" i="20"/>
  <c r="T2295" i="20"/>
  <c r="T2296" i="20"/>
  <c r="T2297" i="20"/>
  <c r="T2298" i="20"/>
  <c r="T2299" i="20"/>
  <c r="T2300" i="20"/>
  <c r="T2290" i="20"/>
  <c r="T2301" i="20"/>
  <c r="T2307" i="20"/>
  <c r="T2304" i="20"/>
  <c r="T2305" i="20"/>
  <c r="T2308" i="20"/>
  <c r="T2309" i="20"/>
  <c r="T2310" i="20"/>
  <c r="T2306" i="20"/>
  <c r="T2313" i="20"/>
  <c r="T2314" i="20"/>
  <c r="T2315" i="20"/>
  <c r="T2316" i="20"/>
  <c r="T2317" i="20"/>
  <c r="T2312" i="20"/>
  <c r="T2318" i="20"/>
  <c r="T2319" i="20"/>
  <c r="T2320" i="20"/>
  <c r="T2311" i="20"/>
  <c r="T2321" i="20"/>
  <c r="T2322" i="20"/>
  <c r="T2327" i="20"/>
  <c r="T2328" i="20"/>
  <c r="T2329" i="20"/>
  <c r="T2330" i="20"/>
  <c r="T2331" i="20"/>
  <c r="T2332" i="20"/>
  <c r="T2333" i="20"/>
  <c r="T2334" i="20"/>
  <c r="T2326" i="20"/>
  <c r="T2323" i="20"/>
  <c r="T2335" i="20"/>
  <c r="T2336" i="20"/>
  <c r="T2324" i="20"/>
  <c r="T2325" i="20"/>
  <c r="T2337" i="20"/>
  <c r="T2338" i="20"/>
  <c r="T2339" i="20"/>
  <c r="T2340" i="20"/>
  <c r="T2341" i="20"/>
  <c r="T2342" i="20"/>
  <c r="T2343" i="20"/>
  <c r="T2344" i="20"/>
  <c r="T2345" i="20"/>
  <c r="T2346" i="20"/>
  <c r="T2359" i="20"/>
  <c r="T2349" i="20"/>
  <c r="T2347" i="20"/>
  <c r="T2350" i="20"/>
  <c r="T2348" i="20"/>
  <c r="T2351" i="20"/>
  <c r="T2361" i="20"/>
  <c r="T2357" i="20"/>
  <c r="T2352" i="20"/>
  <c r="T2353" i="20"/>
  <c r="T2354" i="20"/>
  <c r="T2355" i="20"/>
  <c r="T2356" i="20"/>
  <c r="T2362" i="20"/>
  <c r="T2363" i="20"/>
  <c r="T2364" i="20"/>
  <c r="T2366" i="20"/>
  <c r="T2370" i="20"/>
  <c r="T2371" i="20"/>
  <c r="T2372" i="20"/>
  <c r="T2373" i="20"/>
  <c r="T2374" i="20"/>
  <c r="T2367" i="20"/>
  <c r="T2375" i="20"/>
  <c r="T2368" i="20"/>
  <c r="T2376" i="20"/>
  <c r="T2377" i="20"/>
  <c r="T2369" i="20"/>
  <c r="T2378" i="20"/>
  <c r="T2365" i="20"/>
  <c r="T2379" i="20"/>
  <c r="T2387" i="20"/>
  <c r="T2388" i="20"/>
  <c r="T2420" i="20"/>
  <c r="T2380" i="20"/>
  <c r="T2421" i="20"/>
  <c r="T2389" i="20"/>
  <c r="T2383" i="20"/>
  <c r="T2422" i="20"/>
  <c r="T2390" i="20"/>
  <c r="T2391" i="20"/>
  <c r="T2392" i="20"/>
  <c r="T2393" i="20"/>
  <c r="T2384" i="20"/>
  <c r="T2394" i="20"/>
  <c r="T2423" i="20"/>
  <c r="T2424" i="20"/>
  <c r="T2425" i="20"/>
  <c r="T2427" i="20"/>
  <c r="T2395" i="20"/>
  <c r="T2396" i="20"/>
  <c r="T2428" i="20"/>
  <c r="T2397" i="20"/>
  <c r="T2429" i="20"/>
  <c r="T2398" i="20"/>
  <c r="T2399" i="20"/>
  <c r="T2400" i="20"/>
  <c r="T2401" i="20"/>
  <c r="T2402" i="20"/>
  <c r="T2403" i="20"/>
  <c r="T2404" i="20"/>
  <c r="T2405" i="20"/>
  <c r="T2430" i="20"/>
  <c r="T2381" i="20"/>
  <c r="T2431" i="20"/>
  <c r="T2432" i="20"/>
  <c r="T2433" i="20"/>
  <c r="T2434" i="20"/>
  <c r="T2435" i="20"/>
  <c r="T2406" i="20"/>
  <c r="T2407" i="20"/>
  <c r="T2408" i="20"/>
  <c r="T2409" i="20"/>
  <c r="T2410" i="20"/>
  <c r="T2411" i="20"/>
  <c r="T2412" i="20"/>
  <c r="T2382" i="20"/>
  <c r="T2413" i="20"/>
  <c r="T2414" i="20"/>
  <c r="T2415" i="20"/>
  <c r="T2416" i="20"/>
  <c r="T2417" i="20"/>
  <c r="T2436" i="20"/>
  <c r="T2385" i="20"/>
  <c r="T2437" i="20"/>
  <c r="T2418" i="20"/>
  <c r="T2386" i="20"/>
  <c r="T2438" i="20"/>
  <c r="T2419" i="20"/>
  <c r="T2439" i="20"/>
  <c r="T2440" i="20"/>
  <c r="T2447" i="20"/>
  <c r="T2448" i="20"/>
  <c r="T2441" i="20"/>
  <c r="T2442" i="20"/>
  <c r="T2449" i="20"/>
  <c r="T2459" i="20"/>
  <c r="T2443" i="20"/>
  <c r="T2450" i="20"/>
  <c r="T2451" i="20"/>
  <c r="T2452" i="20"/>
  <c r="T2453" i="20"/>
  <c r="T2444" i="20"/>
  <c r="T2445" i="20"/>
  <c r="T2446" i="20"/>
  <c r="T2460" i="20"/>
  <c r="T2461" i="20"/>
  <c r="T2475" i="20"/>
  <c r="T2462" i="20"/>
  <c r="T2476" i="20"/>
  <c r="T2463" i="20"/>
  <c r="T2477" i="20"/>
  <c r="T2464" i="20"/>
  <c r="T2478" i="20"/>
  <c r="T2479" i="20"/>
  <c r="T2465" i="20"/>
  <c r="T2466" i="20"/>
  <c r="T2480" i="20"/>
  <c r="T2481" i="20"/>
  <c r="T2482" i="20"/>
  <c r="T2483" i="20"/>
  <c r="T2484" i="20"/>
  <c r="T2485" i="20"/>
  <c r="T2486" i="20"/>
  <c r="T2487" i="20"/>
  <c r="T2488" i="20"/>
  <c r="T2467" i="20"/>
  <c r="T2468" i="20"/>
  <c r="T2489" i="20"/>
  <c r="T2490" i="20"/>
  <c r="T2491" i="20"/>
  <c r="T2492" i="20"/>
  <c r="T2493" i="20"/>
  <c r="T2494" i="20"/>
  <c r="T2495" i="20"/>
  <c r="T2469" i="20"/>
  <c r="T2496" i="20"/>
  <c r="T2497" i="20"/>
  <c r="T2498" i="20"/>
  <c r="T2499" i="20"/>
  <c r="T2500" i="20"/>
  <c r="T2501" i="20"/>
  <c r="T2470" i="20"/>
  <c r="T2502" i="20"/>
  <c r="T2503" i="20"/>
  <c r="T2471" i="20"/>
  <c r="T2504" i="20"/>
  <c r="T2472" i="20"/>
  <c r="T2473" i="20"/>
  <c r="T2505" i="20"/>
  <c r="T2474" i="20"/>
  <c r="T2506" i="20"/>
  <c r="T2518" i="20"/>
  <c r="T2509" i="20"/>
  <c r="T2510" i="20"/>
  <c r="T2519" i="20"/>
  <c r="T2520" i="20"/>
  <c r="T2521" i="20"/>
  <c r="T2522" i="20"/>
  <c r="T2523" i="20"/>
  <c r="T2516" i="20"/>
  <c r="T2524" i="20"/>
  <c r="T2525" i="20"/>
  <c r="T2517" i="20"/>
  <c r="T2526" i="20"/>
  <c r="T2527" i="20"/>
  <c r="T2528" i="20"/>
  <c r="T2529" i="20"/>
  <c r="T2530" i="20"/>
  <c r="T2531" i="20"/>
  <c r="T2532" i="20"/>
  <c r="T2508" i="20"/>
  <c r="T2507" i="20"/>
  <c r="T2533" i="20"/>
  <c r="T2534" i="20"/>
  <c r="T2535" i="20"/>
  <c r="T2511" i="20"/>
  <c r="T2536" i="20"/>
  <c r="T2537" i="20"/>
  <c r="T2538" i="20"/>
  <c r="T2512" i="20"/>
  <c r="T2539" i="20"/>
  <c r="T2540" i="20"/>
  <c r="T2541" i="20"/>
  <c r="T2542" i="20"/>
  <c r="T2513" i="20"/>
  <c r="T2543" i="20"/>
  <c r="T2514" i="20"/>
  <c r="T2515" i="20"/>
  <c r="T2544" i="20"/>
  <c r="T2545" i="20"/>
  <c r="T2546" i="20"/>
  <c r="T2547" i="20"/>
  <c r="T2548" i="20"/>
  <c r="T2549" i="20"/>
  <c r="T2556" i="20"/>
  <c r="T2554" i="20"/>
  <c r="T2557" i="20"/>
  <c r="T2562" i="20"/>
  <c r="T2558" i="20"/>
  <c r="T2550" i="20"/>
  <c r="T2559" i="20"/>
  <c r="T2551" i="20"/>
  <c r="T2555" i="20"/>
  <c r="T2552" i="20"/>
  <c r="T2560" i="20"/>
  <c r="T2561" i="20"/>
  <c r="T2563" i="20"/>
  <c r="T2553" i="20"/>
  <c r="T2564" i="20"/>
  <c r="T2565" i="20"/>
  <c r="T2566" i="20"/>
  <c r="T2567" i="20"/>
  <c r="T2568" i="20"/>
  <c r="T2569" i="20"/>
  <c r="T2570" i="20"/>
  <c r="T2571" i="20"/>
  <c r="T2578" i="20"/>
  <c r="T2579" i="20"/>
  <c r="T2580" i="20"/>
  <c r="T2581" i="20"/>
  <c r="T2572" i="20"/>
  <c r="T2577" i="20"/>
  <c r="T2573" i="20"/>
  <c r="T2582" i="20"/>
  <c r="T2583" i="20"/>
  <c r="T2584" i="20"/>
  <c r="T2585" i="20"/>
  <c r="T2586" i="20"/>
  <c r="T2587" i="20"/>
  <c r="T2588" i="20"/>
  <c r="T2589" i="20"/>
  <c r="T2590" i="20"/>
  <c r="T2591" i="20"/>
  <c r="T2574" i="20"/>
  <c r="T2575" i="20"/>
  <c r="T2592" i="20"/>
  <c r="T2593" i="20"/>
  <c r="T2576" i="20"/>
  <c r="T2594" i="20"/>
  <c r="T2595" i="20"/>
  <c r="T2605" i="20"/>
  <c r="T2601" i="20"/>
  <c r="T2617" i="20"/>
  <c r="T2599" i="20"/>
  <c r="T2596" i="20"/>
  <c r="T2618" i="20"/>
  <c r="T2619" i="20"/>
  <c r="T2620" i="20"/>
  <c r="T2621" i="20"/>
  <c r="T2622" i="20"/>
  <c r="T2623" i="20"/>
  <c r="T2597" i="20"/>
  <c r="T2624" i="20"/>
  <c r="T2606" i="20"/>
  <c r="T2625" i="20"/>
  <c r="T2607" i="20"/>
  <c r="T2602" i="20"/>
  <c r="T2612" i="20"/>
  <c r="T2608" i="20"/>
  <c r="T2626" i="20"/>
  <c r="T2609" i="20"/>
  <c r="T2613" i="20"/>
  <c r="T2614" i="20"/>
  <c r="T2627" i="20"/>
  <c r="T2628" i="20"/>
  <c r="T2610" i="20"/>
  <c r="T2629" i="20"/>
  <c r="T2630" i="20"/>
  <c r="T2600" i="20"/>
  <c r="T2603" i="20"/>
  <c r="T2631" i="20"/>
  <c r="T2615" i="20"/>
  <c r="T2632" i="20"/>
  <c r="T2611" i="20"/>
  <c r="T2616" i="20"/>
  <c r="T2598" i="20"/>
  <c r="T2604" i="20"/>
  <c r="T2634" i="20"/>
  <c r="T2635" i="20"/>
  <c r="T2636" i="20"/>
  <c r="T2637" i="20"/>
  <c r="T2648" i="20"/>
  <c r="T2649" i="20"/>
  <c r="T2650" i="20"/>
  <c r="T2651" i="20"/>
  <c r="T2652" i="20"/>
  <c r="T2639" i="20"/>
  <c r="T2653" i="20"/>
  <c r="T2654" i="20"/>
  <c r="T2640" i="20"/>
  <c r="T2655" i="20"/>
  <c r="T2633" i="20"/>
  <c r="T2642" i="20"/>
  <c r="T2656" i="20"/>
  <c r="T2657" i="20"/>
  <c r="T2643" i="20"/>
  <c r="T2658" i="20"/>
  <c r="T2659" i="20"/>
  <c r="T2644" i="20"/>
  <c r="T2645" i="20"/>
  <c r="T2646" i="20"/>
  <c r="T2638" i="20"/>
  <c r="T2660" i="20"/>
  <c r="T2641" i="20"/>
  <c r="T2647" i="20"/>
  <c r="T2661" i="20"/>
  <c r="T2662" i="20"/>
  <c r="T2663" i="20"/>
  <c r="T2664" i="20"/>
  <c r="T2665" i="20"/>
  <c r="T2666" i="20"/>
  <c r="T2667" i="20"/>
  <c r="T2675" i="20"/>
  <c r="T2672" i="20"/>
  <c r="T2674" i="20"/>
  <c r="T2676" i="20"/>
  <c r="T2669" i="20"/>
  <c r="T2677" i="20"/>
  <c r="T2668" i="20"/>
  <c r="T2670" i="20"/>
  <c r="T2678" i="20"/>
  <c r="T2679" i="20"/>
  <c r="T2680" i="20"/>
  <c r="T2671" i="20"/>
  <c r="T2681" i="20"/>
  <c r="T2682" i="20"/>
  <c r="T2683" i="20"/>
  <c r="T2673" i="20"/>
  <c r="T2689" i="20"/>
  <c r="T2690" i="20"/>
  <c r="T2686" i="20"/>
  <c r="T2691" i="20"/>
  <c r="T2687" i="20"/>
  <c r="T2688" i="20"/>
  <c r="T2684" i="20"/>
  <c r="T2685" i="20"/>
  <c r="T2692" i="20"/>
  <c r="T2697" i="20"/>
  <c r="T2696" i="20"/>
  <c r="T2698" i="20"/>
  <c r="T2699" i="20"/>
  <c r="T2700" i="20"/>
  <c r="T2693" i="20"/>
  <c r="T2694" i="20"/>
  <c r="T2701" i="20"/>
  <c r="T2702" i="20"/>
  <c r="T2703" i="20"/>
  <c r="T2695" i="20"/>
  <c r="T2704" i="20"/>
  <c r="T2707" i="20"/>
  <c r="T2708" i="20"/>
  <c r="T2709" i="20"/>
  <c r="T2710" i="20"/>
  <c r="T2711" i="20"/>
  <c r="T2706" i="20"/>
  <c r="T2712" i="20"/>
  <c r="T2713" i="20"/>
  <c r="T2705" i="20"/>
  <c r="T2714" i="20"/>
  <c r="T2715" i="20"/>
  <c r="T2716" i="20"/>
  <c r="T2717" i="20"/>
  <c r="T2718" i="20"/>
  <c r="T2727" i="20"/>
  <c r="T2720" i="20"/>
  <c r="T2728" i="20"/>
  <c r="T2719" i="20"/>
  <c r="T2729" i="20"/>
  <c r="T2721" i="20"/>
  <c r="T2730" i="20"/>
  <c r="T2723" i="20"/>
  <c r="T2724" i="20"/>
  <c r="T2731" i="20"/>
  <c r="T2732" i="20"/>
  <c r="T2725" i="20"/>
  <c r="T2726" i="20"/>
  <c r="T2722" i="20"/>
  <c r="T2734" i="20"/>
  <c r="T2735" i="20"/>
  <c r="T2736" i="20"/>
  <c r="T2737" i="20"/>
  <c r="T2738" i="20"/>
  <c r="T2743" i="20"/>
  <c r="T2739" i="20"/>
  <c r="T2740" i="20"/>
  <c r="T2741" i="20"/>
  <c r="T2733" i="20"/>
  <c r="T2744" i="20"/>
  <c r="T2745" i="20"/>
  <c r="T2746" i="20"/>
  <c r="T2747" i="20"/>
  <c r="T2748" i="20"/>
  <c r="T2749" i="20"/>
  <c r="T2750" i="20"/>
  <c r="T2751" i="20"/>
  <c r="T2752" i="20"/>
  <c r="T2753" i="20"/>
  <c r="T2754" i="20"/>
  <c r="T2755" i="20"/>
  <c r="T2756" i="20"/>
  <c r="T2742" i="20"/>
  <c r="T2767" i="20"/>
  <c r="T2768" i="20"/>
  <c r="T2769" i="20"/>
  <c r="T2770" i="20"/>
  <c r="T2771" i="20"/>
  <c r="T2772" i="20"/>
  <c r="T2773" i="20"/>
  <c r="T2774" i="20"/>
  <c r="T2760" i="20"/>
  <c r="T2775" i="20"/>
  <c r="T2776" i="20"/>
  <c r="T2777" i="20"/>
  <c r="T2778" i="20"/>
  <c r="T2779" i="20"/>
  <c r="T2780" i="20"/>
  <c r="T2781" i="20"/>
  <c r="T2782" i="20"/>
  <c r="T2783" i="20"/>
  <c r="T2784" i="20"/>
  <c r="T2785" i="20"/>
  <c r="T2786" i="20"/>
  <c r="T2787" i="20"/>
  <c r="T2788" i="20"/>
  <c r="T2831" i="20"/>
  <c r="T2789" i="20"/>
  <c r="T2790" i="20"/>
  <c r="T2761" i="20"/>
  <c r="T2762" i="20"/>
  <c r="T2791" i="20"/>
  <c r="T2792" i="20"/>
  <c r="T2793" i="20"/>
  <c r="T2829" i="20"/>
  <c r="T2794" i="20"/>
  <c r="T2795" i="20"/>
  <c r="T2796" i="20"/>
  <c r="T2797" i="20"/>
  <c r="T2798" i="20"/>
  <c r="T2799" i="20"/>
  <c r="T2800" i="20"/>
  <c r="T2801" i="20"/>
  <c r="T2802" i="20"/>
  <c r="T2803" i="20"/>
  <c r="T2804" i="20"/>
  <c r="T2757" i="20"/>
  <c r="T2805" i="20"/>
  <c r="T2806" i="20"/>
  <c r="T2807" i="20"/>
  <c r="T2808" i="20"/>
  <c r="T2809" i="20"/>
  <c r="T2810" i="20"/>
  <c r="T2811" i="20"/>
  <c r="T2763" i="20"/>
  <c r="T2812" i="20"/>
  <c r="T2764" i="20"/>
  <c r="T2813" i="20"/>
  <c r="T2814" i="20"/>
  <c r="T2815" i="20"/>
  <c r="T2758" i="20"/>
  <c r="T2759" i="20"/>
  <c r="T2816" i="20"/>
  <c r="T2817" i="20"/>
  <c r="T2818" i="20"/>
  <c r="T2832" i="20"/>
  <c r="T2830" i="20"/>
  <c r="T2819" i="20"/>
  <c r="T2820" i="20"/>
  <c r="T2821" i="20"/>
  <c r="T2822" i="20"/>
  <c r="T2823" i="20"/>
  <c r="T2824" i="20"/>
  <c r="T2765" i="20"/>
  <c r="T2825" i="20"/>
  <c r="T2826" i="20"/>
  <c r="T2827" i="20"/>
  <c r="T2828" i="20"/>
  <c r="T2766" i="20"/>
  <c r="T2840" i="20"/>
  <c r="T2841" i="20"/>
  <c r="T2833" i="20"/>
  <c r="T2850" i="20"/>
  <c r="T2852" i="20"/>
  <c r="T2842" i="20"/>
  <c r="T2843" i="20"/>
  <c r="T2844" i="20"/>
  <c r="T2834" i="20"/>
  <c r="T2835" i="20"/>
  <c r="T2845" i="20"/>
  <c r="T2836" i="20"/>
  <c r="T2846" i="20"/>
  <c r="T2847" i="20"/>
  <c r="T2837" i="20"/>
  <c r="T2858" i="20"/>
  <c r="T2853" i="20"/>
  <c r="T2851" i="20"/>
  <c r="T2854" i="20"/>
  <c r="T2838" i="20"/>
  <c r="T2855" i="20"/>
  <c r="T2848" i="20"/>
  <c r="T2839" i="20"/>
  <c r="T2849" i="20"/>
  <c r="T2856" i="20"/>
  <c r="T2857" i="20"/>
  <c r="T2879" i="20"/>
  <c r="T2880" i="20"/>
  <c r="T2881" i="20"/>
  <c r="T2874" i="20"/>
  <c r="T2882" i="20"/>
  <c r="T2868" i="20"/>
  <c r="T2883" i="20"/>
  <c r="T2884" i="20"/>
  <c r="T2885" i="20"/>
  <c r="T2869" i="20"/>
  <c r="T2886" i="20"/>
  <c r="T2887" i="20"/>
  <c r="T2859" i="20"/>
  <c r="T2864" i="20"/>
  <c r="T2875" i="20"/>
  <c r="T2872" i="20"/>
  <c r="T2876" i="20"/>
  <c r="T2870" i="20"/>
  <c r="T2877" i="20"/>
  <c r="T2860" i="20"/>
  <c r="T2888" i="20"/>
  <c r="T2865" i="20"/>
  <c r="T2873" i="20"/>
  <c r="T2889" i="20"/>
  <c r="T2866" i="20"/>
  <c r="T2861" i="20"/>
  <c r="T2871" i="20"/>
  <c r="T2862" i="20"/>
  <c r="T2867" i="20"/>
  <c r="T2863" i="20"/>
  <c r="T2878" i="20"/>
  <c r="T2896" i="20"/>
  <c r="T2897" i="20"/>
  <c r="T2907" i="20"/>
  <c r="T2910" i="20"/>
  <c r="T2898" i="20"/>
  <c r="T2899" i="20"/>
  <c r="T2891" i="20"/>
  <c r="T2900" i="20"/>
  <c r="T2892" i="20"/>
  <c r="T2893" i="20"/>
  <c r="T2901" i="20"/>
  <c r="T2908" i="20"/>
  <c r="T2902" i="20"/>
  <c r="T2909" i="20"/>
  <c r="T2895" i="20"/>
  <c r="T2903" i="20"/>
  <c r="T2911" i="20"/>
  <c r="T2904" i="20"/>
  <c r="T2905" i="20"/>
  <c r="T2906" i="20"/>
  <c r="T2912" i="20"/>
  <c r="T2920" i="20"/>
  <c r="T2921" i="20"/>
  <c r="T2913" i="20"/>
  <c r="T2914" i="20"/>
  <c r="T2915" i="20"/>
  <c r="T2922" i="20"/>
  <c r="T2923" i="20"/>
  <c r="T2916" i="20"/>
  <c r="T2924" i="20"/>
  <c r="T2917" i="20"/>
  <c r="T2918" i="20"/>
  <c r="T2925" i="20"/>
  <c r="T2919" i="20"/>
  <c r="T2926" i="20"/>
  <c r="T2927" i="20"/>
  <c r="T2928" i="20"/>
  <c r="T2929" i="20"/>
  <c r="T2931" i="20"/>
  <c r="T2932" i="20"/>
  <c r="T2930" i="20"/>
  <c r="T2933" i="20"/>
  <c r="T2934" i="20"/>
  <c r="T2935" i="20"/>
  <c r="T2936" i="20"/>
  <c r="T2937" i="20"/>
  <c r="T2938" i="20"/>
  <c r="T2939" i="20"/>
  <c r="T2940" i="20"/>
  <c r="T2941" i="20"/>
  <c r="T2942" i="20"/>
  <c r="T2943" i="20"/>
  <c r="T2944" i="20"/>
  <c r="T2949" i="20"/>
  <c r="T2947" i="20"/>
  <c r="T2945" i="20"/>
  <c r="T2946" i="20"/>
  <c r="T2948" i="20"/>
  <c r="T2950" i="20"/>
  <c r="T2951" i="20"/>
  <c r="T2952" i="20"/>
  <c r="T2953" i="20"/>
  <c r="T2954" i="20"/>
  <c r="T2955" i="20"/>
  <c r="T2967" i="20"/>
  <c r="T2964" i="20"/>
  <c r="T2956" i="20"/>
  <c r="T2963" i="20"/>
  <c r="T2965" i="20"/>
  <c r="T2961" i="20"/>
  <c r="T2957" i="20"/>
  <c r="T2968" i="20"/>
  <c r="T2958" i="20"/>
  <c r="T2966" i="20"/>
  <c r="T2962" i="20"/>
  <c r="T2959" i="20"/>
  <c r="T2960" i="20"/>
  <c r="T2969" i="20"/>
  <c r="T2970" i="20"/>
  <c r="T2971" i="20"/>
  <c r="T2972" i="20"/>
  <c r="T2973" i="20"/>
  <c r="T2974" i="20"/>
  <c r="T2975" i="20"/>
  <c r="T2976" i="20"/>
  <c r="T2977" i="20"/>
  <c r="T2978" i="20"/>
  <c r="T2979" i="20"/>
  <c r="T2980" i="20"/>
  <c r="T2981" i="20"/>
  <c r="T2982" i="20"/>
  <c r="T2983" i="20"/>
  <c r="T2984" i="20"/>
  <c r="T2994" i="20"/>
  <c r="T2995" i="20"/>
  <c r="T3002" i="20"/>
  <c r="T2986" i="20"/>
  <c r="T2990" i="20"/>
  <c r="T2991" i="20"/>
  <c r="T2987" i="20"/>
  <c r="T2996" i="20"/>
  <c r="T3000" i="20"/>
  <c r="T2997" i="20"/>
  <c r="T3003" i="20"/>
  <c r="T3004" i="20"/>
  <c r="T2988" i="20"/>
  <c r="T2989" i="20"/>
  <c r="T2992" i="20"/>
  <c r="T3001" i="20"/>
  <c r="T2998" i="20"/>
  <c r="T2999" i="20"/>
  <c r="T2993" i="20"/>
  <c r="T3005" i="20"/>
  <c r="T3011" i="20"/>
  <c r="T3012" i="20"/>
  <c r="T3006" i="20"/>
  <c r="T3013" i="20"/>
  <c r="T3009" i="20"/>
  <c r="T3014" i="20"/>
  <c r="T3007" i="20"/>
  <c r="T3015" i="20"/>
  <c r="T3016" i="20"/>
  <c r="T3010" i="20"/>
  <c r="T3008" i="20"/>
  <c r="T3017" i="20"/>
  <c r="T3018" i="20"/>
  <c r="T3022" i="20"/>
  <c r="T3019" i="20"/>
  <c r="T3023" i="20"/>
  <c r="T3024" i="20"/>
  <c r="T3025" i="20"/>
  <c r="T3026" i="20"/>
  <c r="T3027" i="20"/>
  <c r="T3028" i="20"/>
  <c r="T3020" i="20"/>
  <c r="T3021" i="20"/>
  <c r="T3029" i="20"/>
  <c r="T3030" i="20"/>
  <c r="T3031" i="20"/>
  <c r="T3032" i="20"/>
  <c r="T3033" i="20"/>
  <c r="T3034" i="20"/>
  <c r="T3035" i="20"/>
  <c r="T3036" i="20"/>
  <c r="T3037" i="20"/>
  <c r="T3038" i="20"/>
  <c r="T3039" i="20"/>
  <c r="T3040" i="20"/>
  <c r="T3041" i="20"/>
  <c r="T3042" i="20"/>
  <c r="T3043" i="20"/>
  <c r="T3044" i="20"/>
  <c r="T3045" i="20"/>
  <c r="T3046" i="20"/>
  <c r="T3047" i="20"/>
  <c r="T3048" i="20"/>
  <c r="T3057" i="20"/>
  <c r="T3049" i="20"/>
  <c r="T3058" i="20"/>
  <c r="T3059" i="20"/>
  <c r="T3060" i="20"/>
  <c r="T3050" i="20"/>
  <c r="T3061" i="20"/>
  <c r="T3051" i="20"/>
  <c r="T3062" i="20"/>
  <c r="T3063" i="20"/>
  <c r="T3055" i="20"/>
  <c r="T3056" i="20"/>
  <c r="T3052" i="20"/>
  <c r="T3053" i="20"/>
  <c r="T3054" i="20"/>
  <c r="T3064" i="20"/>
  <c r="T3066" i="20"/>
  <c r="T3067" i="20"/>
  <c r="T3068" i="20"/>
  <c r="T3069" i="20"/>
  <c r="T3070" i="20"/>
  <c r="T3071" i="20"/>
  <c r="T3072" i="20"/>
  <c r="T3073" i="20"/>
  <c r="T3065" i="20"/>
  <c r="T3087" i="20"/>
  <c r="T3074" i="20"/>
  <c r="T3088" i="20"/>
  <c r="T3075" i="20"/>
  <c r="T3076" i="20"/>
  <c r="T3077" i="20"/>
  <c r="T3078" i="20"/>
  <c r="T3079" i="20"/>
  <c r="T3080" i="20"/>
  <c r="T3081" i="20"/>
  <c r="T3089" i="20"/>
  <c r="T3082" i="20"/>
  <c r="T3083" i="20"/>
  <c r="T3084" i="20"/>
  <c r="T3085" i="20"/>
  <c r="T3086" i="20"/>
  <c r="T3090" i="20"/>
  <c r="T3091" i="20"/>
  <c r="T3092" i="20"/>
  <c r="T3093" i="20"/>
  <c r="T3094" i="20"/>
  <c r="T3095" i="20"/>
  <c r="T3096" i="20"/>
  <c r="T3097" i="20"/>
  <c r="T3098" i="20"/>
  <c r="T3099" i="20"/>
  <c r="T3100" i="20"/>
  <c r="T3101" i="20"/>
  <c r="T3102" i="20"/>
  <c r="T3103" i="20"/>
  <c r="T3104" i="20"/>
  <c r="T3105" i="20"/>
  <c r="U3" i="17"/>
  <c r="U4" i="17"/>
  <c r="U7" i="17"/>
  <c r="U8" i="17"/>
  <c r="U6" i="17"/>
  <c r="U9" i="17"/>
  <c r="U10" i="17"/>
  <c r="U11" i="17"/>
  <c r="U12" i="17"/>
  <c r="U22" i="17"/>
  <c r="U19" i="17"/>
  <c r="U24" i="17"/>
  <c r="U27" i="17"/>
  <c r="U25" i="17"/>
  <c r="U26" i="17"/>
  <c r="U34" i="17"/>
  <c r="U32" i="17"/>
  <c r="U30" i="17"/>
  <c r="U33" i="17"/>
  <c r="U29" i="17"/>
  <c r="U41" i="17"/>
  <c r="U35" i="17"/>
  <c r="U40" i="17"/>
  <c r="U38" i="17"/>
  <c r="U36" i="17"/>
  <c r="U37" i="17"/>
  <c r="U39" i="17"/>
  <c r="U43" i="17"/>
  <c r="U44" i="17"/>
  <c r="U45" i="17"/>
  <c r="U46" i="17"/>
  <c r="U50" i="17"/>
  <c r="U51" i="17"/>
  <c r="U52" i="17"/>
  <c r="U47" i="17"/>
  <c r="U48" i="17"/>
  <c r="U49" i="17"/>
  <c r="U54" i="17"/>
  <c r="U55" i="17"/>
  <c r="U53" i="17"/>
  <c r="U59" i="17"/>
  <c r="U56" i="17"/>
  <c r="U61" i="17"/>
  <c r="U62" i="17"/>
  <c r="U57" i="17"/>
  <c r="U58" i="17"/>
  <c r="U67" i="17"/>
  <c r="U66" i="17"/>
  <c r="U64" i="17"/>
  <c r="U65" i="17"/>
  <c r="U73" i="17"/>
  <c r="U72" i="17"/>
  <c r="U69" i="17"/>
  <c r="U70" i="17"/>
  <c r="U71" i="17"/>
  <c r="U68" i="17"/>
  <c r="U74" i="17"/>
  <c r="U76" i="17"/>
  <c r="U75" i="17"/>
  <c r="U77" i="17"/>
  <c r="U78" i="17"/>
  <c r="U79" i="17"/>
  <c r="U82" i="17"/>
  <c r="U80" i="17"/>
  <c r="U81" i="17"/>
  <c r="U83" i="17"/>
  <c r="U85" i="17"/>
  <c r="U86" i="17"/>
  <c r="U105" i="17"/>
  <c r="U96" i="17"/>
  <c r="U98" i="17"/>
  <c r="U94" i="17"/>
  <c r="U95" i="17"/>
  <c r="U91" i="17"/>
  <c r="U93" i="17"/>
  <c r="U92" i="17"/>
  <c r="U90" i="17"/>
  <c r="U87" i="17"/>
  <c r="U88" i="17"/>
  <c r="U106" i="17"/>
  <c r="U103" i="17"/>
  <c r="U99" i="17"/>
  <c r="U104" i="17"/>
  <c r="U97" i="17"/>
  <c r="U89" i="17"/>
  <c r="U100" i="17"/>
  <c r="U101" i="17"/>
  <c r="U108" i="17"/>
  <c r="U109" i="17"/>
  <c r="U107" i="17"/>
  <c r="U102" i="17"/>
  <c r="U110" i="17"/>
  <c r="U111" i="17"/>
  <c r="U112" i="17"/>
  <c r="U117" i="17"/>
  <c r="U113" i="17"/>
  <c r="U114" i="17"/>
  <c r="U115" i="17"/>
  <c r="U116" i="17"/>
  <c r="U118" i="17"/>
  <c r="U119" i="17"/>
  <c r="U120" i="17"/>
  <c r="U123" i="17"/>
  <c r="U124" i="17"/>
  <c r="U122" i="17"/>
  <c r="U127" i="17"/>
  <c r="U129" i="17"/>
  <c r="U125" i="17"/>
  <c r="U132" i="17"/>
  <c r="U130" i="17"/>
  <c r="U126" i="17"/>
  <c r="U131" i="17"/>
  <c r="U133" i="17"/>
  <c r="U136" i="17"/>
  <c r="U137" i="17"/>
  <c r="U138" i="17"/>
  <c r="U139" i="17"/>
  <c r="U141" i="17"/>
  <c r="U142" i="17"/>
  <c r="U140" i="17"/>
  <c r="U143" i="17"/>
  <c r="U144" i="17"/>
  <c r="U2" i="17"/>
  <c r="T2" i="17"/>
  <c r="S2" i="17"/>
  <c r="S46" i="17"/>
  <c r="U4" i="7"/>
  <c r="U55" i="7"/>
  <c r="U7" i="7"/>
  <c r="U8" i="7"/>
  <c r="U5" i="7"/>
  <c r="U6" i="7"/>
  <c r="U9" i="7"/>
  <c r="U12" i="7"/>
  <c r="U11" i="7"/>
  <c r="U131" i="7"/>
  <c r="U14" i="7"/>
  <c r="U15" i="7"/>
  <c r="U16" i="7"/>
  <c r="U17" i="7"/>
  <c r="U13" i="7"/>
  <c r="U20" i="7"/>
  <c r="U21" i="7"/>
  <c r="U22" i="7"/>
  <c r="U23" i="7"/>
  <c r="U18" i="7"/>
  <c r="U19" i="7"/>
  <c r="U24" i="7"/>
  <c r="U27" i="7"/>
  <c r="U25" i="7"/>
  <c r="U26" i="7"/>
  <c r="U34" i="7"/>
  <c r="U30" i="7"/>
  <c r="U32" i="7"/>
  <c r="U31" i="7"/>
  <c r="U33" i="7"/>
  <c r="U29" i="7"/>
  <c r="U28" i="7"/>
  <c r="U41" i="7"/>
  <c r="U35" i="7"/>
  <c r="U40" i="7"/>
  <c r="U38" i="7"/>
  <c r="U36" i="7"/>
  <c r="U37" i="7"/>
  <c r="U39" i="7"/>
  <c r="U43" i="7"/>
  <c r="U44" i="7"/>
  <c r="U42" i="7"/>
  <c r="U45" i="7"/>
  <c r="U46" i="7"/>
  <c r="U50" i="7"/>
  <c r="U51" i="7"/>
  <c r="U52" i="7"/>
  <c r="U49" i="7"/>
  <c r="U105" i="7"/>
  <c r="U106" i="7"/>
  <c r="U54" i="7"/>
  <c r="U48" i="7"/>
  <c r="U2" i="7"/>
  <c r="U59" i="7"/>
  <c r="U56" i="7"/>
  <c r="U58" i="7"/>
  <c r="U61" i="7"/>
  <c r="U62" i="7"/>
  <c r="U63" i="7"/>
  <c r="U60" i="7"/>
  <c r="U67" i="7"/>
  <c r="U64" i="7"/>
  <c r="U65" i="7"/>
  <c r="U73" i="7"/>
  <c r="U72" i="7"/>
  <c r="U69" i="7"/>
  <c r="U70" i="7"/>
  <c r="M6" i="23" s="1"/>
  <c r="U71" i="7"/>
  <c r="U68" i="7"/>
  <c r="U74" i="7"/>
  <c r="U76" i="7"/>
  <c r="U75" i="7"/>
  <c r="U77" i="7"/>
  <c r="U78" i="7"/>
  <c r="U79" i="7"/>
  <c r="U82" i="7"/>
  <c r="U80" i="7"/>
  <c r="U81" i="7"/>
  <c r="U83" i="7"/>
  <c r="U84" i="7"/>
  <c r="U85" i="7"/>
  <c r="U86" i="7"/>
  <c r="U10" i="7"/>
  <c r="U53" i="7"/>
  <c r="U103" i="7"/>
  <c r="U96" i="7"/>
  <c r="U98" i="7"/>
  <c r="U93" i="7"/>
  <c r="U47" i="7"/>
  <c r="U99" i="7"/>
  <c r="U94" i="7"/>
  <c r="U95" i="7"/>
  <c r="U90" i="7"/>
  <c r="U91" i="7"/>
  <c r="U92" i="7"/>
  <c r="U104" i="7"/>
  <c r="U97" i="7"/>
  <c r="U87" i="7"/>
  <c r="U100" i="7"/>
  <c r="U101" i="7"/>
  <c r="U108" i="7"/>
  <c r="U109" i="7"/>
  <c r="U107" i="7"/>
  <c r="U102" i="7"/>
  <c r="U110" i="7"/>
  <c r="U111" i="7"/>
  <c r="U112" i="7"/>
  <c r="U117" i="7"/>
  <c r="U116" i="7"/>
  <c r="U113" i="7"/>
  <c r="U114" i="7"/>
  <c r="U115" i="7"/>
  <c r="U118" i="7"/>
  <c r="U119" i="7"/>
  <c r="U120" i="7"/>
  <c r="U121" i="7"/>
  <c r="U123" i="7"/>
  <c r="U124" i="7"/>
  <c r="U122" i="7"/>
  <c r="U129" i="7"/>
  <c r="U127" i="7"/>
  <c r="U132" i="7"/>
  <c r="U133" i="7"/>
  <c r="U130" i="7"/>
  <c r="U88" i="7"/>
  <c r="U128" i="7"/>
  <c r="U126" i="7"/>
  <c r="U125" i="7"/>
  <c r="U134" i="7"/>
  <c r="U135" i="7"/>
  <c r="U136" i="7"/>
  <c r="U137" i="7"/>
  <c r="U138" i="7"/>
  <c r="U139" i="7"/>
  <c r="U141" i="7"/>
  <c r="U142" i="7"/>
  <c r="U140" i="7"/>
  <c r="U143" i="7"/>
  <c r="U144" i="7"/>
  <c r="U89" i="7"/>
  <c r="U3" i="7"/>
  <c r="U2" i="9"/>
  <c r="AB3" i="16"/>
  <c r="AB4" i="16"/>
  <c r="AB5" i="16"/>
  <c r="AB6" i="16"/>
  <c r="AB10" i="16"/>
  <c r="AB11" i="16"/>
  <c r="AB12" i="16"/>
  <c r="AB13" i="16"/>
  <c r="AB14" i="16"/>
  <c r="AB15" i="16"/>
  <c r="AB16" i="16"/>
  <c r="AB18" i="16"/>
  <c r="AB19" i="16"/>
  <c r="AB20" i="16"/>
  <c r="AB21" i="16"/>
  <c r="AB22" i="16"/>
  <c r="AB2" i="16"/>
  <c r="AA2" i="12"/>
  <c r="AA2" i="16"/>
  <c r="Z2" i="16"/>
  <c r="AA21" i="12"/>
  <c r="AA22" i="12"/>
  <c r="AA13" i="12"/>
  <c r="AA3" i="12"/>
  <c r="AA4" i="12"/>
  <c r="AA5" i="12"/>
  <c r="AA6" i="12"/>
  <c r="AA7" i="12"/>
  <c r="AA8" i="12"/>
  <c r="AA9" i="12"/>
  <c r="AA10" i="12"/>
  <c r="AA11" i="12"/>
  <c r="AA12" i="12"/>
  <c r="AA14" i="12"/>
  <c r="AA15" i="12"/>
  <c r="AA16" i="12"/>
  <c r="AA17" i="12"/>
  <c r="AA18" i="12"/>
  <c r="AA19" i="12"/>
  <c r="AA20" i="12"/>
  <c r="Z2" i="12"/>
  <c r="Y2" i="12"/>
  <c r="V3" i="9"/>
  <c r="V4" i="9"/>
  <c r="V5" i="9"/>
  <c r="V6" i="9"/>
  <c r="V7" i="9"/>
  <c r="V8" i="9"/>
  <c r="V9" i="9"/>
  <c r="V10" i="9"/>
  <c r="V11" i="9"/>
  <c r="V12" i="9"/>
  <c r="V13" i="9"/>
  <c r="V14" i="9"/>
  <c r="V15" i="9"/>
  <c r="V2" i="9"/>
  <c r="O3" i="23" s="1"/>
  <c r="S3" i="9"/>
  <c r="S4" i="9"/>
  <c r="S5" i="9"/>
  <c r="S6" i="9"/>
  <c r="S8" i="9"/>
  <c r="O31" i="23" s="1"/>
  <c r="S9" i="9"/>
  <c r="S10" i="9"/>
  <c r="S11" i="9"/>
  <c r="S12" i="9"/>
  <c r="S13" i="9"/>
  <c r="O30" i="23" s="1"/>
  <c r="S14" i="9"/>
  <c r="S15" i="9"/>
  <c r="S2" i="9"/>
  <c r="T3" i="9"/>
  <c r="T4" i="9"/>
  <c r="T5" i="9"/>
  <c r="T6" i="9"/>
  <c r="T7" i="9"/>
  <c r="T8" i="9"/>
  <c r="T9" i="9"/>
  <c r="T10" i="9"/>
  <c r="T11" i="9"/>
  <c r="O15" i="23" s="1"/>
  <c r="T12" i="9"/>
  <c r="T13" i="9"/>
  <c r="T14" i="9"/>
  <c r="T15" i="9"/>
  <c r="T2" i="9"/>
  <c r="U15" i="9"/>
  <c r="U3" i="9"/>
  <c r="O9" i="23" s="1"/>
  <c r="U4" i="9"/>
  <c r="U5" i="9"/>
  <c r="U6" i="9"/>
  <c r="U8" i="9"/>
  <c r="U9" i="9"/>
  <c r="U10" i="9"/>
  <c r="U11" i="9"/>
  <c r="U12" i="9"/>
  <c r="O6" i="23"/>
  <c r="U13" i="9"/>
  <c r="O5" i="23" s="1"/>
  <c r="U14" i="9"/>
  <c r="S4" i="20"/>
  <c r="R1601" i="20"/>
  <c r="R1617" i="20"/>
  <c r="R1616" i="20"/>
  <c r="S3" i="19"/>
  <c r="S4" i="19"/>
  <c r="S5" i="19"/>
  <c r="S6" i="19"/>
  <c r="S8" i="19"/>
  <c r="S9" i="19"/>
  <c r="S10" i="19"/>
  <c r="S11" i="19"/>
  <c r="S12" i="19"/>
  <c r="S13" i="19"/>
  <c r="S14" i="19"/>
  <c r="S15" i="19"/>
  <c r="S16" i="19"/>
  <c r="S17" i="19"/>
  <c r="S18" i="19"/>
  <c r="S19" i="19"/>
  <c r="S20" i="19"/>
  <c r="S21" i="19"/>
  <c r="S23" i="19"/>
  <c r="S24" i="19"/>
  <c r="S25" i="19"/>
  <c r="S26" i="19"/>
  <c r="S28" i="19"/>
  <c r="S29" i="19"/>
  <c r="S30" i="19"/>
  <c r="S31" i="19"/>
  <c r="S32" i="19"/>
  <c r="S33" i="19"/>
  <c r="S34" i="19"/>
  <c r="S35" i="19"/>
  <c r="Q4" i="19"/>
  <c r="Q5" i="19"/>
  <c r="Q6" i="19"/>
  <c r="Q7" i="19"/>
  <c r="Q8" i="19"/>
  <c r="Q9" i="19"/>
  <c r="Q10" i="19"/>
  <c r="Q11" i="19"/>
  <c r="Q12" i="19"/>
  <c r="Q13" i="19"/>
  <c r="Q14" i="19"/>
  <c r="Q15" i="19"/>
  <c r="Q16" i="19"/>
  <c r="Q17" i="19"/>
  <c r="Q18" i="19"/>
  <c r="Q19" i="19"/>
  <c r="Q20" i="19"/>
  <c r="Q21" i="19"/>
  <c r="Q23" i="19"/>
  <c r="Q24" i="19"/>
  <c r="Q25" i="19"/>
  <c r="Q26" i="19"/>
  <c r="Q28" i="19"/>
  <c r="Q29" i="19"/>
  <c r="Q30" i="19"/>
  <c r="Q31" i="19"/>
  <c r="Q32" i="19"/>
  <c r="Q33" i="19"/>
  <c r="Q34" i="19"/>
  <c r="Q35" i="19"/>
  <c r="Q3" i="19"/>
  <c r="P13" i="19"/>
  <c r="P14" i="19"/>
  <c r="P15" i="19"/>
  <c r="I33" i="23" s="1"/>
  <c r="P16" i="19"/>
  <c r="P17" i="19"/>
  <c r="I35" i="23" s="1"/>
  <c r="P18" i="19"/>
  <c r="I17" i="23" s="1"/>
  <c r="P19" i="19"/>
  <c r="I20" i="23" s="1"/>
  <c r="P20" i="19"/>
  <c r="P21" i="19"/>
  <c r="P23" i="19"/>
  <c r="P24" i="19"/>
  <c r="P25" i="19"/>
  <c r="P26" i="19"/>
  <c r="P28" i="19"/>
  <c r="P29" i="19"/>
  <c r="P30" i="19"/>
  <c r="P31" i="19"/>
  <c r="P32" i="19"/>
  <c r="I24" i="23" s="1"/>
  <c r="P33" i="19"/>
  <c r="I34" i="23" s="1"/>
  <c r="P34" i="19"/>
  <c r="P35" i="19"/>
  <c r="P3" i="19"/>
  <c r="P4" i="19"/>
  <c r="P5" i="19"/>
  <c r="I18" i="23" s="1"/>
  <c r="P6" i="19"/>
  <c r="I22" i="23" s="1"/>
  <c r="P7" i="19"/>
  <c r="P8" i="19"/>
  <c r="P9" i="19"/>
  <c r="I37" i="23" s="1"/>
  <c r="P10" i="19"/>
  <c r="P11" i="19"/>
  <c r="P12" i="19"/>
  <c r="S2" i="19"/>
  <c r="P2" i="19"/>
  <c r="I32" i="23" s="1"/>
  <c r="R3" i="22"/>
  <c r="R4" i="22"/>
  <c r="R5" i="22"/>
  <c r="K3" i="23" s="1"/>
  <c r="R6" i="22"/>
  <c r="R8" i="22"/>
  <c r="R9" i="22"/>
  <c r="R10" i="22"/>
  <c r="R11" i="22"/>
  <c r="R12" i="22"/>
  <c r="R13" i="22"/>
  <c r="R18" i="22"/>
  <c r="R19" i="22"/>
  <c r="R15" i="22"/>
  <c r="R16" i="22"/>
  <c r="R17" i="22"/>
  <c r="R21" i="22"/>
  <c r="P3" i="22"/>
  <c r="P4" i="22"/>
  <c r="P5" i="22"/>
  <c r="P6" i="22"/>
  <c r="P7" i="22"/>
  <c r="P8" i="22"/>
  <c r="P9" i="22"/>
  <c r="P10" i="22"/>
  <c r="P11" i="22"/>
  <c r="P12" i="22"/>
  <c r="P13" i="22"/>
  <c r="P18" i="22"/>
  <c r="P19" i="22"/>
  <c r="P20" i="22"/>
  <c r="P15" i="22"/>
  <c r="P16" i="22"/>
  <c r="P17" i="22"/>
  <c r="P14" i="22"/>
  <c r="P21" i="22"/>
  <c r="O3" i="22"/>
  <c r="O4" i="22"/>
  <c r="O5" i="22"/>
  <c r="O6" i="22"/>
  <c r="K19" i="23" s="1"/>
  <c r="O7" i="22"/>
  <c r="O8" i="22"/>
  <c r="K28" i="23" s="1"/>
  <c r="O9" i="22"/>
  <c r="O10" i="22"/>
  <c r="O11" i="22"/>
  <c r="O12" i="22"/>
  <c r="O13" i="22"/>
  <c r="O18" i="22"/>
  <c r="O19" i="22"/>
  <c r="O20" i="22"/>
  <c r="O15" i="22"/>
  <c r="O16" i="22"/>
  <c r="O17" i="22"/>
  <c r="O21" i="22"/>
  <c r="R2" i="22"/>
  <c r="U3" i="20"/>
  <c r="U4" i="20"/>
  <c r="U5" i="20"/>
  <c r="U6" i="20"/>
  <c r="U8" i="20"/>
  <c r="U9" i="20"/>
  <c r="U10" i="20"/>
  <c r="U11" i="20"/>
  <c r="U12" i="20"/>
  <c r="U13" i="20"/>
  <c r="U14" i="20"/>
  <c r="U15" i="20"/>
  <c r="U16" i="20"/>
  <c r="U17" i="20"/>
  <c r="U18" i="20"/>
  <c r="U19" i="20"/>
  <c r="U20" i="20"/>
  <c r="U21" i="20"/>
  <c r="U22" i="20"/>
  <c r="U23" i="20"/>
  <c r="U24" i="20"/>
  <c r="U25" i="20"/>
  <c r="U26" i="20"/>
  <c r="U27" i="20"/>
  <c r="U28" i="20"/>
  <c r="U29" i="20"/>
  <c r="U30" i="20"/>
  <c r="U31" i="20"/>
  <c r="U32" i="20"/>
  <c r="U33" i="20"/>
  <c r="U34" i="20"/>
  <c r="U36" i="20"/>
  <c r="U37" i="20"/>
  <c r="U38" i="20"/>
  <c r="U39" i="20"/>
  <c r="U40" i="20"/>
  <c r="U41" i="20"/>
  <c r="U42" i="20"/>
  <c r="U43" i="20"/>
  <c r="U44" i="20"/>
  <c r="U45" i="20"/>
  <c r="U46" i="20"/>
  <c r="U47" i="20"/>
  <c r="U48" i="20"/>
  <c r="U49" i="20"/>
  <c r="U50" i="20"/>
  <c r="U51" i="20"/>
  <c r="U52" i="20"/>
  <c r="U53" i="20"/>
  <c r="U54" i="20"/>
  <c r="U55" i="20"/>
  <c r="U56" i="20"/>
  <c r="U57" i="20"/>
  <c r="U58" i="20"/>
  <c r="U59" i="20"/>
  <c r="U60" i="20"/>
  <c r="U61" i="20"/>
  <c r="U62" i="20"/>
  <c r="U63" i="20"/>
  <c r="U64" i="20"/>
  <c r="U65" i="20"/>
  <c r="U66" i="20"/>
  <c r="U67" i="20"/>
  <c r="U68" i="20"/>
  <c r="U69" i="20"/>
  <c r="U70" i="20"/>
  <c r="U71" i="20"/>
  <c r="U72" i="20"/>
  <c r="U73" i="20"/>
  <c r="U74" i="20"/>
  <c r="U75" i="20"/>
  <c r="U76" i="20"/>
  <c r="U77" i="20"/>
  <c r="U78" i="20"/>
  <c r="U79" i="20"/>
  <c r="U80" i="20"/>
  <c r="U81" i="20"/>
  <c r="U82" i="20"/>
  <c r="U83" i="20"/>
  <c r="U84" i="20"/>
  <c r="U85" i="20"/>
  <c r="U86" i="20"/>
  <c r="U87" i="20"/>
  <c r="U88" i="20"/>
  <c r="U89" i="20"/>
  <c r="U90" i="20"/>
  <c r="U91" i="20"/>
  <c r="U92" i="20"/>
  <c r="U93" i="20"/>
  <c r="U94" i="20"/>
  <c r="U95" i="20"/>
  <c r="U96" i="20"/>
  <c r="U97" i="20"/>
  <c r="U98" i="20"/>
  <c r="U99" i="20"/>
  <c r="U100" i="20"/>
  <c r="U101" i="20"/>
  <c r="U102" i="20"/>
  <c r="U103" i="20"/>
  <c r="U104" i="20"/>
  <c r="U105" i="20"/>
  <c r="U106" i="20"/>
  <c r="U107" i="20"/>
  <c r="U108" i="20"/>
  <c r="U109" i="20"/>
  <c r="U110" i="20"/>
  <c r="U111" i="20"/>
  <c r="U112" i="20"/>
  <c r="U113" i="20"/>
  <c r="U114" i="20"/>
  <c r="U115" i="20"/>
  <c r="U116" i="20"/>
  <c r="U117" i="20"/>
  <c r="U118" i="20"/>
  <c r="U119" i="20"/>
  <c r="U120" i="20"/>
  <c r="U121" i="20"/>
  <c r="U122" i="20"/>
  <c r="U123" i="20"/>
  <c r="U124" i="20"/>
  <c r="U125" i="20"/>
  <c r="U126" i="20"/>
  <c r="U127" i="20"/>
  <c r="U128" i="20"/>
  <c r="U129" i="20"/>
  <c r="U130" i="20"/>
  <c r="U131" i="20"/>
  <c r="U132" i="20"/>
  <c r="U133" i="20"/>
  <c r="U134" i="20"/>
  <c r="U135" i="20"/>
  <c r="U136" i="20"/>
  <c r="U137" i="20"/>
  <c r="U138" i="20"/>
  <c r="U139" i="20"/>
  <c r="U140" i="20"/>
  <c r="U141" i="20"/>
  <c r="U142" i="20"/>
  <c r="U143" i="20"/>
  <c r="U144" i="20"/>
  <c r="U145" i="20"/>
  <c r="U146" i="20"/>
  <c r="U147" i="20"/>
  <c r="U148" i="20"/>
  <c r="U149" i="20"/>
  <c r="U150" i="20"/>
  <c r="U151" i="20"/>
  <c r="U152" i="20"/>
  <c r="U159" i="20"/>
  <c r="U164" i="20"/>
  <c r="U165" i="20"/>
  <c r="U376" i="20"/>
  <c r="U377" i="20"/>
  <c r="U167" i="20"/>
  <c r="U199" i="20"/>
  <c r="U170" i="20"/>
  <c r="U378" i="20"/>
  <c r="U202" i="20"/>
  <c r="U203" i="20"/>
  <c r="U204" i="20"/>
  <c r="U355" i="20"/>
  <c r="U356" i="20"/>
  <c r="U379" i="20"/>
  <c r="U357" i="20"/>
  <c r="U208" i="20"/>
  <c r="U209" i="20"/>
  <c r="U358" i="20"/>
  <c r="U360" i="20"/>
  <c r="U211" i="20"/>
  <c r="U361" i="20"/>
  <c r="U359" i="20"/>
  <c r="U183" i="20"/>
  <c r="U174" i="20"/>
  <c r="U185" i="20"/>
  <c r="U186" i="20"/>
  <c r="U175" i="20"/>
  <c r="U155" i="20"/>
  <c r="U188" i="20"/>
  <c r="U219" i="20"/>
  <c r="U189" i="20"/>
  <c r="U228" i="20"/>
  <c r="U234" i="20"/>
  <c r="U172" i="20"/>
  <c r="U190" i="20"/>
  <c r="U184" i="20"/>
  <c r="U191" i="20"/>
  <c r="U156" i="20"/>
  <c r="U244" i="20"/>
  <c r="U192" i="20"/>
  <c r="U193" i="20"/>
  <c r="U194" i="20"/>
  <c r="U177" i="20"/>
  <c r="U173" i="20"/>
  <c r="U178" i="20"/>
  <c r="U197" i="20"/>
  <c r="U180" i="20"/>
  <c r="U214" i="20"/>
  <c r="U215" i="20"/>
  <c r="U268" i="20"/>
  <c r="U217" i="20"/>
  <c r="U218" i="20"/>
  <c r="U269" i="20"/>
  <c r="U252" i="20"/>
  <c r="U220" i="20"/>
  <c r="U221" i="20"/>
  <c r="U288" i="20"/>
  <c r="U222" i="20"/>
  <c r="U253" i="20"/>
  <c r="U254" i="20"/>
  <c r="U223" i="20"/>
  <c r="U255" i="20"/>
  <c r="U224" i="20"/>
  <c r="U289" i="20"/>
  <c r="U225" i="20"/>
  <c r="U283" i="20"/>
  <c r="U284" i="20"/>
  <c r="U226" i="20"/>
  <c r="U227" i="20"/>
  <c r="U258" i="20"/>
  <c r="U290" i="20"/>
  <c r="U291" i="20"/>
  <c r="U270" i="20"/>
  <c r="U229" i="20"/>
  <c r="U230" i="20"/>
  <c r="U285" i="20"/>
  <c r="U231" i="20"/>
  <c r="U232" i="20"/>
  <c r="U233" i="20"/>
  <c r="U260" i="20"/>
  <c r="U261" i="20"/>
  <c r="U287" i="20"/>
  <c r="U235" i="20"/>
  <c r="U236" i="20"/>
  <c r="U237" i="20"/>
  <c r="U238" i="20"/>
  <c r="U262" i="20"/>
  <c r="U239" i="20"/>
  <c r="U286" i="20"/>
  <c r="U265" i="20"/>
  <c r="U240" i="20"/>
  <c r="U241" i="20"/>
  <c r="U242" i="20"/>
  <c r="U271" i="20"/>
  <c r="U312" i="20"/>
  <c r="U275" i="20"/>
  <c r="U296" i="20"/>
  <c r="U277" i="20"/>
  <c r="U306" i="20"/>
  <c r="U272" i="20"/>
  <c r="U298" i="20"/>
  <c r="U273" i="20"/>
  <c r="U299" i="20"/>
  <c r="U300" i="20"/>
  <c r="U274" i="20"/>
  <c r="U301" i="20"/>
  <c r="U292" i="20"/>
  <c r="U302" i="20"/>
  <c r="U293" i="20"/>
  <c r="U279" i="20"/>
  <c r="U264" i="20"/>
  <c r="U305" i="20"/>
  <c r="U307" i="20"/>
  <c r="U311" i="20"/>
  <c r="U294" i="20"/>
  <c r="U281" i="20"/>
  <c r="U163" i="20"/>
  <c r="U276" i="20"/>
  <c r="U157" i="20"/>
  <c r="U160" i="20"/>
  <c r="U158" i="20"/>
  <c r="U166" i="20"/>
  <c r="U278" i="20"/>
  <c r="U153" i="20"/>
  <c r="U154" i="20"/>
  <c r="U267" i="20"/>
  <c r="U196" i="20"/>
  <c r="U198" i="20"/>
  <c r="U168" i="20"/>
  <c r="U169" i="20"/>
  <c r="U352" i="20"/>
  <c r="U348" i="20"/>
  <c r="U171" i="20"/>
  <c r="U353" i="20"/>
  <c r="U365" i="20"/>
  <c r="U295" i="20"/>
  <c r="U362" i="20"/>
  <c r="U380" i="20"/>
  <c r="U354" i="20"/>
  <c r="U368" i="20"/>
  <c r="U374" i="20"/>
  <c r="U363" i="20"/>
  <c r="U297" i="20"/>
  <c r="U364" i="20"/>
  <c r="U350" i="20"/>
  <c r="U381" i="20"/>
  <c r="U303" i="20"/>
  <c r="U382" i="20"/>
  <c r="U176" i="20"/>
  <c r="U304" i="20"/>
  <c r="U375" i="20"/>
  <c r="U313" i="20"/>
  <c r="U322" i="20"/>
  <c r="U324" i="20"/>
  <c r="U330" i="20"/>
  <c r="U332" i="20"/>
  <c r="U335" i="20"/>
  <c r="U338" i="20"/>
  <c r="U187" i="20"/>
  <c r="U325" i="20"/>
  <c r="U314" i="20"/>
  <c r="U280" i="20"/>
  <c r="U315" i="20"/>
  <c r="U316" i="20"/>
  <c r="U308" i="20"/>
  <c r="U317" i="20"/>
  <c r="U318" i="20"/>
  <c r="U319" i="20"/>
  <c r="U320" i="20"/>
  <c r="U321" i="20"/>
  <c r="U327" i="20"/>
  <c r="U339" i="20"/>
  <c r="U323" i="20"/>
  <c r="U328" i="20"/>
  <c r="U340" i="20"/>
  <c r="U309" i="20"/>
  <c r="U329" i="20"/>
  <c r="U282" i="20"/>
  <c r="U326" i="20"/>
  <c r="U310" i="20"/>
  <c r="U216" i="20"/>
  <c r="U331" i="20"/>
  <c r="U200" i="20"/>
  <c r="U206" i="20"/>
  <c r="U207" i="20"/>
  <c r="U243" i="20"/>
  <c r="U210" i="20"/>
  <c r="U345" i="20"/>
  <c r="U245" i="20"/>
  <c r="U346" i="20"/>
  <c r="U347" i="20"/>
  <c r="U333" i="20"/>
  <c r="U212" i="20"/>
  <c r="U349" i="20"/>
  <c r="U213" i="20"/>
  <c r="U351" i="20"/>
  <c r="U334" i="20"/>
  <c r="U201" i="20"/>
  <c r="U336" i="20"/>
  <c r="U337" i="20"/>
  <c r="U246" i="20"/>
  <c r="U205" i="20"/>
  <c r="U247" i="20"/>
  <c r="U179" i="20"/>
  <c r="U248" i="20"/>
  <c r="U366" i="20"/>
  <c r="U367" i="20"/>
  <c r="U257" i="20"/>
  <c r="U249" i="20"/>
  <c r="U263" i="20"/>
  <c r="U161" i="20"/>
  <c r="U181" i="20"/>
  <c r="U369" i="20"/>
  <c r="U259" i="20"/>
  <c r="U162" i="20"/>
  <c r="U371" i="20"/>
  <c r="U250" i="20"/>
  <c r="U251" i="20"/>
  <c r="U182" i="20"/>
  <c r="U256" i="20"/>
  <c r="U266" i="20"/>
  <c r="U372" i="20"/>
  <c r="U383" i="20"/>
  <c r="U341" i="20"/>
  <c r="U384" i="20"/>
  <c r="U342" i="20"/>
  <c r="U385" i="20"/>
  <c r="U343" i="20"/>
  <c r="U195" i="20"/>
  <c r="U386" i="20"/>
  <c r="U344" i="20"/>
  <c r="U387" i="20"/>
  <c r="U370" i="20"/>
  <c r="U388" i="20"/>
  <c r="U373" i="20"/>
  <c r="U389" i="20"/>
  <c r="U395" i="20"/>
  <c r="U396" i="20"/>
  <c r="U390" i="20"/>
  <c r="U404" i="20"/>
  <c r="U397" i="20"/>
  <c r="U398" i="20"/>
  <c r="U400" i="20"/>
  <c r="U405" i="20"/>
  <c r="U391" i="20"/>
  <c r="U392" i="20"/>
  <c r="U402" i="20"/>
  <c r="U403" i="20"/>
  <c r="U401" i="20"/>
  <c r="U394" i="20"/>
  <c r="U410" i="20"/>
  <c r="U411" i="20"/>
  <c r="U414" i="20"/>
  <c r="U412" i="20"/>
  <c r="U409" i="20"/>
  <c r="U413" i="20"/>
  <c r="U407" i="20"/>
  <c r="U406" i="20"/>
  <c r="U408" i="20"/>
  <c r="U415" i="20"/>
  <c r="U416" i="20"/>
  <c r="U417" i="20"/>
  <c r="U418" i="20"/>
  <c r="U419" i="20"/>
  <c r="U420" i="20"/>
  <c r="U421" i="20"/>
  <c r="U422" i="20"/>
  <c r="U423" i="20"/>
  <c r="U424" i="20"/>
  <c r="U425" i="20"/>
  <c r="U426" i="20"/>
  <c r="U427" i="20"/>
  <c r="U428" i="20"/>
  <c r="U429" i="20"/>
  <c r="U430" i="20"/>
  <c r="U431" i="20"/>
  <c r="U432" i="20"/>
  <c r="U433" i="20"/>
  <c r="U434" i="20"/>
  <c r="U435" i="20"/>
  <c r="U436" i="20"/>
  <c r="U437" i="20"/>
  <c r="U438" i="20"/>
  <c r="U439" i="20"/>
  <c r="U440" i="20"/>
  <c r="U441" i="20"/>
  <c r="U453" i="20"/>
  <c r="U446" i="20"/>
  <c r="U459" i="20"/>
  <c r="U442" i="20"/>
  <c r="U447" i="20"/>
  <c r="U443" i="20"/>
  <c r="U460" i="20"/>
  <c r="U448" i="20"/>
  <c r="U454" i="20"/>
  <c r="U449" i="20"/>
  <c r="U444" i="20"/>
  <c r="U445" i="20"/>
  <c r="U450" i="20"/>
  <c r="U455" i="20"/>
  <c r="U456" i="20"/>
  <c r="U451" i="20"/>
  <c r="U457" i="20"/>
  <c r="U458" i="20"/>
  <c r="U452" i="20"/>
  <c r="U462" i="20"/>
  <c r="U461" i="20"/>
  <c r="U463" i="20"/>
  <c r="U465" i="20"/>
  <c r="U464" i="20"/>
  <c r="U466" i="20"/>
  <c r="U467" i="20"/>
  <c r="U468" i="20"/>
  <c r="U469" i="20"/>
  <c r="U470" i="20"/>
  <c r="U471" i="20"/>
  <c r="U472" i="20"/>
  <c r="U473" i="20"/>
  <c r="U474" i="20"/>
  <c r="U480" i="20"/>
  <c r="U475" i="20"/>
  <c r="U481" i="20"/>
  <c r="U482" i="20"/>
  <c r="U483" i="20"/>
  <c r="U488" i="20"/>
  <c r="U484" i="20"/>
  <c r="U476" i="20"/>
  <c r="U485" i="20"/>
  <c r="U486" i="20"/>
  <c r="U477" i="20"/>
  <c r="U478" i="20"/>
  <c r="U479" i="20"/>
  <c r="U487" i="20"/>
  <c r="U489" i="20"/>
  <c r="U490" i="20"/>
  <c r="U491" i="20"/>
  <c r="U499" i="20"/>
  <c r="U500" i="20"/>
  <c r="U501" i="20"/>
  <c r="U492" i="20"/>
  <c r="U493" i="20"/>
  <c r="U502" i="20"/>
  <c r="U494" i="20"/>
  <c r="U503" i="20"/>
  <c r="U495" i="20"/>
  <c r="U504" i="20"/>
  <c r="U505" i="20"/>
  <c r="U506" i="20"/>
  <c r="U507" i="20"/>
  <c r="U496" i="20"/>
  <c r="U508" i="20"/>
  <c r="U509" i="20"/>
  <c r="U497" i="20"/>
  <c r="U510" i="20"/>
  <c r="U511" i="20"/>
  <c r="U498" i="20"/>
  <c r="U512" i="20"/>
  <c r="U513" i="20"/>
  <c r="U514" i="20"/>
  <c r="U515" i="20"/>
  <c r="U516" i="20"/>
  <c r="U517" i="20"/>
  <c r="U521" i="20"/>
  <c r="U522" i="20"/>
  <c r="U534" i="20"/>
  <c r="U535" i="20"/>
  <c r="U536" i="20"/>
  <c r="U537" i="20"/>
  <c r="U538" i="20"/>
  <c r="U539" i="20"/>
  <c r="U568" i="20"/>
  <c r="U523" i="20"/>
  <c r="U524" i="20"/>
  <c r="U518" i="20"/>
  <c r="U540" i="20"/>
  <c r="U541" i="20"/>
  <c r="U542" i="20"/>
  <c r="U525" i="20"/>
  <c r="U543" i="20"/>
  <c r="U544" i="20"/>
  <c r="U565" i="20"/>
  <c r="U545" i="20"/>
  <c r="U526" i="20"/>
  <c r="U546" i="20"/>
  <c r="U547" i="20"/>
  <c r="U548" i="20"/>
  <c r="U549" i="20"/>
  <c r="U550" i="20"/>
  <c r="U527" i="20"/>
  <c r="U551" i="20"/>
  <c r="U520" i="20"/>
  <c r="U552" i="20"/>
  <c r="U553" i="20"/>
  <c r="U554" i="20"/>
  <c r="U555" i="20"/>
  <c r="U533" i="20"/>
  <c r="U567" i="20"/>
  <c r="U556" i="20"/>
  <c r="U528" i="20"/>
  <c r="U557" i="20"/>
  <c r="U529" i="20"/>
  <c r="U530" i="20"/>
  <c r="U558" i="20"/>
  <c r="U566" i="20"/>
  <c r="U559" i="20"/>
  <c r="U560" i="20"/>
  <c r="U561" i="20"/>
  <c r="U531" i="20"/>
  <c r="U562" i="20"/>
  <c r="U563" i="20"/>
  <c r="U532" i="20"/>
  <c r="U564" i="20"/>
  <c r="U584" i="20"/>
  <c r="U569" i="20"/>
  <c r="U570" i="20"/>
  <c r="U585" i="20"/>
  <c r="U590" i="20"/>
  <c r="U591" i="20"/>
  <c r="U592" i="20"/>
  <c r="U571" i="20"/>
  <c r="U572" i="20"/>
  <c r="U573" i="20"/>
  <c r="U574" i="20"/>
  <c r="U575" i="20"/>
  <c r="U586" i="20"/>
  <c r="U593" i="20"/>
  <c r="U576" i="20"/>
  <c r="U577" i="20"/>
  <c r="U578" i="20"/>
  <c r="U579" i="20"/>
  <c r="U587" i="20"/>
  <c r="U580" i="20"/>
  <c r="U594" i="20"/>
  <c r="U588" i="20"/>
  <c r="U581" i="20"/>
  <c r="U582" i="20"/>
  <c r="U583" i="20"/>
  <c r="U589" i="20"/>
  <c r="U606" i="20"/>
  <c r="U602" i="20"/>
  <c r="U603" i="20"/>
  <c r="U604" i="20"/>
  <c r="U607" i="20"/>
  <c r="U608" i="20"/>
  <c r="U609" i="20"/>
  <c r="U610" i="20"/>
  <c r="U611" i="20"/>
  <c r="U612" i="20"/>
  <c r="U613" i="20"/>
  <c r="U614" i="20"/>
  <c r="U615" i="20"/>
  <c r="U616" i="20"/>
  <c r="U617" i="20"/>
  <c r="U618" i="20"/>
  <c r="U595" i="20"/>
  <c r="U619" i="20"/>
  <c r="U620" i="20"/>
  <c r="U596" i="20"/>
  <c r="U621" i="20"/>
  <c r="U597" i="20"/>
  <c r="U605" i="20"/>
  <c r="U622" i="20"/>
  <c r="U623" i="20"/>
  <c r="U598" i="20"/>
  <c r="U624" i="20"/>
  <c r="U625" i="20"/>
  <c r="U626" i="20"/>
  <c r="U599" i="20"/>
  <c r="U627" i="20"/>
  <c r="U600" i="20"/>
  <c r="U628" i="20"/>
  <c r="U629" i="20"/>
  <c r="U601" i="20"/>
  <c r="U630" i="20"/>
  <c r="U631" i="20"/>
  <c r="U632" i="20"/>
  <c r="U633" i="20"/>
  <c r="U634" i="20"/>
  <c r="U635" i="20"/>
  <c r="U636" i="20"/>
  <c r="U637" i="20"/>
  <c r="U638" i="20"/>
  <c r="U639" i="20"/>
  <c r="U640" i="20"/>
  <c r="U641" i="20"/>
  <c r="U642" i="20"/>
  <c r="U643" i="20"/>
  <c r="U644" i="20"/>
  <c r="U645" i="20"/>
  <c r="U646" i="20"/>
  <c r="U647" i="20"/>
  <c r="U648" i="20"/>
  <c r="U649" i="20"/>
  <c r="U650" i="20"/>
  <c r="U651" i="20"/>
  <c r="U652" i="20"/>
  <c r="U653" i="20"/>
  <c r="U654" i="20"/>
  <c r="U658" i="20"/>
  <c r="U659" i="20"/>
  <c r="U660" i="20"/>
  <c r="U661" i="20"/>
  <c r="U662" i="20"/>
  <c r="U663" i="20"/>
  <c r="U670" i="20"/>
  <c r="U671" i="20"/>
  <c r="U664" i="20"/>
  <c r="U672" i="20"/>
  <c r="U668" i="20"/>
  <c r="U673" i="20"/>
  <c r="U674" i="20"/>
  <c r="U675" i="20"/>
  <c r="U665" i="20"/>
  <c r="U676" i="20"/>
  <c r="U669" i="20"/>
  <c r="U666" i="20"/>
  <c r="U667" i="20"/>
  <c r="U677" i="20"/>
  <c r="U678" i="20"/>
  <c r="U679" i="20"/>
  <c r="U680" i="20"/>
  <c r="U681" i="20"/>
  <c r="U682" i="20"/>
  <c r="U687" i="20"/>
  <c r="U684" i="20"/>
  <c r="U685" i="20"/>
  <c r="U688" i="20"/>
  <c r="U689" i="20"/>
  <c r="U690" i="20"/>
  <c r="U691" i="20"/>
  <c r="U692" i="20"/>
  <c r="U693" i="20"/>
  <c r="U694" i="20"/>
  <c r="U686" i="20"/>
  <c r="U695" i="20"/>
  <c r="U696" i="20"/>
  <c r="U697" i="20"/>
  <c r="U698" i="20"/>
  <c r="U699" i="20"/>
  <c r="U683" i="20"/>
  <c r="U700" i="20"/>
  <c r="U701" i="20"/>
  <c r="U702" i="20"/>
  <c r="U703" i="20"/>
  <c r="U704" i="20"/>
  <c r="U705" i="20"/>
  <c r="U706" i="20"/>
  <c r="U707" i="20"/>
  <c r="U708" i="20"/>
  <c r="U716" i="20"/>
  <c r="U709" i="20"/>
  <c r="U710" i="20"/>
  <c r="U711" i="20"/>
  <c r="U712" i="20"/>
  <c r="U713" i="20"/>
  <c r="U717" i="20"/>
  <c r="U718" i="20"/>
  <c r="U714" i="20"/>
  <c r="U715" i="20"/>
  <c r="U723" i="20"/>
  <c r="U724" i="20"/>
  <c r="U719" i="20"/>
  <c r="U720" i="20"/>
  <c r="U725" i="20"/>
  <c r="U721" i="20"/>
  <c r="U722" i="20"/>
  <c r="U726" i="20"/>
  <c r="U727" i="20"/>
  <c r="U728" i="20"/>
  <c r="U729" i="20"/>
  <c r="U730" i="20"/>
  <c r="U731" i="20"/>
  <c r="U735" i="20"/>
  <c r="U733" i="20"/>
  <c r="U736" i="20"/>
  <c r="U737" i="20"/>
  <c r="U734" i="20"/>
  <c r="U738" i="20"/>
  <c r="U739" i="20"/>
  <c r="U740" i="20"/>
  <c r="U741" i="20"/>
  <c r="U742" i="20"/>
  <c r="U732" i="20"/>
  <c r="U743" i="20"/>
  <c r="U744" i="20"/>
  <c r="U752" i="20"/>
  <c r="U745" i="20"/>
  <c r="U746" i="20"/>
  <c r="U747" i="20"/>
  <c r="U748" i="20"/>
  <c r="U749" i="20"/>
  <c r="U753" i="20"/>
  <c r="U754" i="20"/>
  <c r="U755" i="20"/>
  <c r="U756" i="20"/>
  <c r="U750" i="20"/>
  <c r="U751" i="20"/>
  <c r="U757" i="20"/>
  <c r="U758" i="20"/>
  <c r="U759" i="20"/>
  <c r="U760" i="20"/>
  <c r="U761" i="20"/>
  <c r="U762" i="20"/>
  <c r="U763" i="20"/>
  <c r="U764" i="20"/>
  <c r="U765" i="20"/>
  <c r="U774" i="20"/>
  <c r="U775" i="20"/>
  <c r="U778" i="20"/>
  <c r="U766" i="20"/>
  <c r="U767" i="20"/>
  <c r="U768" i="20"/>
  <c r="U776" i="20"/>
  <c r="U769" i="20"/>
  <c r="U770" i="20"/>
  <c r="U777" i="20"/>
  <c r="U771" i="20"/>
  <c r="U772" i="20"/>
  <c r="U779" i="20"/>
  <c r="U780" i="20"/>
  <c r="U792" i="20"/>
  <c r="U793" i="20"/>
  <c r="U794" i="20"/>
  <c r="U781" i="20"/>
  <c r="U782" i="20"/>
  <c r="U783" i="20"/>
  <c r="U790" i="20"/>
  <c r="U795" i="20"/>
  <c r="U796" i="20"/>
  <c r="U784" i="20"/>
  <c r="U797" i="20"/>
  <c r="U785" i="20"/>
  <c r="U786" i="20"/>
  <c r="U788" i="20"/>
  <c r="U789" i="20"/>
  <c r="U791" i="20"/>
  <c r="U803" i="20"/>
  <c r="U804" i="20"/>
  <c r="U805" i="20"/>
  <c r="U806" i="20"/>
  <c r="U807" i="20"/>
  <c r="U808" i="20"/>
  <c r="U813" i="20"/>
  <c r="U814" i="20"/>
  <c r="U798" i="20"/>
  <c r="U815" i="20"/>
  <c r="U799" i="20"/>
  <c r="U809" i="20"/>
  <c r="U800" i="20"/>
  <c r="U816" i="20"/>
  <c r="U802" i="20"/>
  <c r="U810" i="20"/>
  <c r="U811" i="20"/>
  <c r="U801" i="20"/>
  <c r="U812" i="20"/>
  <c r="U835" i="20"/>
  <c r="U836" i="20"/>
  <c r="U817" i="20"/>
  <c r="U837" i="20"/>
  <c r="U818" i="20"/>
  <c r="U819" i="20"/>
  <c r="U838" i="20"/>
  <c r="U839" i="20"/>
  <c r="U840" i="20"/>
  <c r="U820" i="20"/>
  <c r="U821" i="20"/>
  <c r="U841" i="20"/>
  <c r="U822" i="20"/>
  <c r="U823" i="20"/>
  <c r="U824" i="20"/>
  <c r="U825" i="20"/>
  <c r="U826" i="20"/>
  <c r="U827" i="20"/>
  <c r="U842" i="20"/>
  <c r="U828" i="20"/>
  <c r="U843" i="20"/>
  <c r="U829" i="20"/>
  <c r="U844" i="20"/>
  <c r="U830" i="20"/>
  <c r="U831" i="20"/>
  <c r="U845" i="20"/>
  <c r="U832" i="20"/>
  <c r="U846" i="20"/>
  <c r="U847" i="20"/>
  <c r="U848" i="20"/>
  <c r="U849" i="20"/>
  <c r="U833" i="20"/>
  <c r="U834" i="20"/>
  <c r="U850" i="20"/>
  <c r="U851" i="20"/>
  <c r="U852" i="20"/>
  <c r="U853" i="20"/>
  <c r="U854" i="20"/>
  <c r="U855" i="20"/>
  <c r="U856" i="20"/>
  <c r="U857" i="20"/>
  <c r="U858" i="20"/>
  <c r="U859" i="20"/>
  <c r="U860" i="20"/>
  <c r="U861" i="20"/>
  <c r="U862" i="20"/>
  <c r="U863" i="20"/>
  <c r="U864" i="20"/>
  <c r="U865" i="20"/>
  <c r="U866" i="20"/>
  <c r="U867" i="20"/>
  <c r="U868" i="20"/>
  <c r="U869" i="20"/>
  <c r="U870" i="20"/>
  <c r="U871" i="20"/>
  <c r="U872" i="20"/>
  <c r="U873" i="20"/>
  <c r="U874" i="20"/>
  <c r="U875" i="20"/>
  <c r="U876" i="20"/>
  <c r="U877" i="20"/>
  <c r="U878" i="20"/>
  <c r="U879" i="20"/>
  <c r="U880" i="20"/>
  <c r="U881" i="20"/>
  <c r="U882" i="20"/>
  <c r="U883" i="20"/>
  <c r="U884" i="20"/>
  <c r="U885" i="20"/>
  <c r="U886" i="20"/>
  <c r="U887" i="20"/>
  <c r="U888" i="20"/>
  <c r="U889" i="20"/>
  <c r="U890" i="20"/>
  <c r="U891" i="20"/>
  <c r="U892" i="20"/>
  <c r="U893" i="20"/>
  <c r="U894" i="20"/>
  <c r="U895" i="20"/>
  <c r="U896" i="20"/>
  <c r="U897" i="20"/>
  <c r="U898" i="20"/>
  <c r="U899" i="20"/>
  <c r="U900" i="20"/>
  <c r="U901" i="20"/>
  <c r="U902" i="20"/>
  <c r="U903" i="20"/>
  <c r="U904" i="20"/>
  <c r="U905" i="20"/>
  <c r="U906" i="20"/>
  <c r="U907" i="20"/>
  <c r="U908" i="20"/>
  <c r="U909" i="20"/>
  <c r="U910" i="20"/>
  <c r="U911" i="20"/>
  <c r="U912" i="20"/>
  <c r="U913" i="20"/>
  <c r="U914" i="20"/>
  <c r="U915" i="20"/>
  <c r="U916" i="20"/>
  <c r="U917" i="20"/>
  <c r="U918" i="20"/>
  <c r="U919" i="20"/>
  <c r="U920" i="20"/>
  <c r="U921" i="20"/>
  <c r="U922" i="20"/>
  <c r="U923" i="20"/>
  <c r="U924" i="20"/>
  <c r="U925" i="20"/>
  <c r="U926" i="20"/>
  <c r="U927" i="20"/>
  <c r="U928" i="20"/>
  <c r="U929" i="20"/>
  <c r="U930" i="20"/>
  <c r="U931" i="20"/>
  <c r="U932" i="20"/>
  <c r="U933" i="20"/>
  <c r="U934" i="20"/>
  <c r="U935" i="20"/>
  <c r="U949" i="20"/>
  <c r="U950" i="20"/>
  <c r="U938" i="20"/>
  <c r="U951" i="20"/>
  <c r="U952" i="20"/>
  <c r="U936" i="20"/>
  <c r="U947" i="20"/>
  <c r="U953" i="20"/>
  <c r="U954" i="20"/>
  <c r="U939" i="20"/>
  <c r="U940" i="20"/>
  <c r="U948" i="20"/>
  <c r="U941" i="20"/>
  <c r="U942" i="20"/>
  <c r="U959" i="20"/>
  <c r="U943" i="20"/>
  <c r="U937" i="20"/>
  <c r="U944" i="20"/>
  <c r="U945" i="20"/>
  <c r="U946" i="20"/>
  <c r="U955" i="20"/>
  <c r="U956" i="20"/>
  <c r="U957" i="20"/>
  <c r="U958" i="20"/>
  <c r="U960" i="20"/>
  <c r="U961" i="20"/>
  <c r="U962" i="20"/>
  <c r="U963" i="20"/>
  <c r="U982" i="20"/>
  <c r="U964" i="20"/>
  <c r="U971" i="20"/>
  <c r="U965" i="20"/>
  <c r="U972" i="20"/>
  <c r="U974" i="20"/>
  <c r="U975" i="20"/>
  <c r="U984" i="20"/>
  <c r="U976" i="20"/>
  <c r="U977" i="20"/>
  <c r="U966" i="20"/>
  <c r="U967" i="20"/>
  <c r="U978" i="20"/>
  <c r="U985" i="20"/>
  <c r="U979" i="20"/>
  <c r="U968" i="20"/>
  <c r="U969" i="20"/>
  <c r="U980" i="20"/>
  <c r="U981" i="20"/>
  <c r="U970" i="20"/>
  <c r="U995" i="20"/>
  <c r="U996" i="20"/>
  <c r="U997" i="20"/>
  <c r="U998" i="20"/>
  <c r="U999" i="20"/>
  <c r="U1000" i="20"/>
  <c r="U1001" i="20"/>
  <c r="U1002" i="20"/>
  <c r="U1003" i="20"/>
  <c r="U1004" i="20"/>
  <c r="U991" i="20"/>
  <c r="U1005" i="20"/>
  <c r="U1006" i="20"/>
  <c r="U992" i="20"/>
  <c r="U993" i="20"/>
  <c r="U1007" i="20"/>
  <c r="U1008" i="20"/>
  <c r="U986" i="20"/>
  <c r="U987" i="20"/>
  <c r="U1009" i="20"/>
  <c r="U1010" i="20"/>
  <c r="U988" i="20"/>
  <c r="U1011" i="20"/>
  <c r="U989" i="20"/>
  <c r="U994" i="20"/>
  <c r="U1012" i="20"/>
  <c r="U990" i="20"/>
  <c r="U1013" i="20"/>
  <c r="U1018" i="20"/>
  <c r="U1040" i="20"/>
  <c r="U1041" i="20"/>
  <c r="U1042" i="20"/>
  <c r="U1043" i="20"/>
  <c r="U1044" i="20"/>
  <c r="U1045" i="20"/>
  <c r="U1017" i="20"/>
  <c r="U1046" i="20"/>
  <c r="U1047" i="20"/>
  <c r="U1048" i="20"/>
  <c r="U1019" i="20"/>
  <c r="U1020" i="20"/>
  <c r="U1049" i="20"/>
  <c r="U1050" i="20"/>
  <c r="U1051" i="20"/>
  <c r="U1021" i="20"/>
  <c r="U1022" i="20"/>
  <c r="U1023" i="20"/>
  <c r="U1052" i="20"/>
  <c r="U1053" i="20"/>
  <c r="U1054" i="20"/>
  <c r="U1055" i="20"/>
  <c r="U1056" i="20"/>
  <c r="U1057" i="20"/>
  <c r="U1058" i="20"/>
  <c r="U1102" i="20"/>
  <c r="U1014" i="20"/>
  <c r="U1015" i="20"/>
  <c r="U1059" i="20"/>
  <c r="U1060" i="20"/>
  <c r="U1024" i="20"/>
  <c r="U1061" i="20"/>
  <c r="U1062" i="20"/>
  <c r="U1063" i="20"/>
  <c r="U1064" i="20"/>
  <c r="U1025" i="20"/>
  <c r="U1065" i="20"/>
  <c r="U1066" i="20"/>
  <c r="U1067" i="20"/>
  <c r="U1068" i="20"/>
  <c r="U1069" i="20"/>
  <c r="U1070" i="20"/>
  <c r="U1026" i="20"/>
  <c r="U1027" i="20"/>
  <c r="U1028" i="20"/>
  <c r="U1071" i="20"/>
  <c r="U1029" i="20"/>
  <c r="U1030" i="20"/>
  <c r="U1072" i="20"/>
  <c r="U1073" i="20"/>
  <c r="U1031" i="20"/>
  <c r="U1032" i="20"/>
  <c r="U1074" i="20"/>
  <c r="U1075" i="20"/>
  <c r="U1076" i="20"/>
  <c r="U1077" i="20"/>
  <c r="U1078" i="20"/>
  <c r="U1016" i="20"/>
  <c r="U1079" i="20"/>
  <c r="U1080" i="20"/>
  <c r="U1081" i="20"/>
  <c r="U1082" i="20"/>
  <c r="U1083" i="20"/>
  <c r="U1033" i="20"/>
  <c r="U1084" i="20"/>
  <c r="U1034" i="20"/>
  <c r="U1085" i="20"/>
  <c r="U1086" i="20"/>
  <c r="U1087" i="20"/>
  <c r="U1088" i="20"/>
  <c r="U1089" i="20"/>
  <c r="U1090" i="20"/>
  <c r="U1091" i="20"/>
  <c r="U1092" i="20"/>
  <c r="U1093" i="20"/>
  <c r="U1094" i="20"/>
  <c r="U1035" i="20"/>
  <c r="U1095" i="20"/>
  <c r="U1036" i="20"/>
  <c r="U1037" i="20"/>
  <c r="U1096" i="20"/>
  <c r="U1097" i="20"/>
  <c r="U1038" i="20"/>
  <c r="U1099" i="20"/>
  <c r="U1100" i="20"/>
  <c r="U1101" i="20"/>
  <c r="U1039" i="20"/>
  <c r="U1107" i="20"/>
  <c r="U1108" i="20"/>
  <c r="U1109" i="20"/>
  <c r="U1110" i="20"/>
  <c r="U1103" i="20"/>
  <c r="U1111" i="20"/>
  <c r="U1112" i="20"/>
  <c r="U1124" i="20"/>
  <c r="U1113" i="20"/>
  <c r="U1125" i="20"/>
  <c r="U1114" i="20"/>
  <c r="U1115" i="20"/>
  <c r="U1104" i="20"/>
  <c r="U1116" i="20"/>
  <c r="U1105" i="20"/>
  <c r="U1117" i="20"/>
  <c r="U1118" i="20"/>
  <c r="U1119" i="20"/>
  <c r="U1120" i="20"/>
  <c r="U1121" i="20"/>
  <c r="U1122" i="20"/>
  <c r="U1106" i="20"/>
  <c r="U1123" i="20"/>
  <c r="U1126" i="20"/>
  <c r="U1127" i="20"/>
  <c r="U1135" i="20"/>
  <c r="U1136" i="20"/>
  <c r="U1128" i="20"/>
  <c r="U1129" i="20"/>
  <c r="U1130" i="20"/>
  <c r="U1131" i="20"/>
  <c r="U1132" i="20"/>
  <c r="U1137" i="20"/>
  <c r="U1138" i="20"/>
  <c r="U1139" i="20"/>
  <c r="U1140" i="20"/>
  <c r="U1141" i="20"/>
  <c r="U1142" i="20"/>
  <c r="U1133" i="20"/>
  <c r="U1134" i="20"/>
  <c r="U1143" i="20"/>
  <c r="U1144" i="20"/>
  <c r="U1145" i="20"/>
  <c r="U1165" i="20"/>
  <c r="U1146" i="20"/>
  <c r="U1147" i="20"/>
  <c r="U1148" i="20"/>
  <c r="U1149" i="20"/>
  <c r="U1150" i="20"/>
  <c r="U1151" i="20"/>
  <c r="U1152" i="20"/>
  <c r="U1153" i="20"/>
  <c r="U1154" i="20"/>
  <c r="U1155" i="20"/>
  <c r="U1156" i="20"/>
  <c r="U1157" i="20"/>
  <c r="U1158" i="20"/>
  <c r="U1159" i="20"/>
  <c r="U1160" i="20"/>
  <c r="U1161" i="20"/>
  <c r="U1162" i="20"/>
  <c r="U1163" i="20"/>
  <c r="U1164" i="20"/>
  <c r="U1176" i="20"/>
  <c r="U1166" i="20"/>
  <c r="U1177" i="20"/>
  <c r="U1178" i="20"/>
  <c r="U1167" i="20"/>
  <c r="U1179" i="20"/>
  <c r="U1180" i="20"/>
  <c r="U1168" i="20"/>
  <c r="U1169" i="20"/>
  <c r="U1181" i="20"/>
  <c r="U1170" i="20"/>
  <c r="U1182" i="20"/>
  <c r="U1171" i="20"/>
  <c r="U1183" i="20"/>
  <c r="U1172" i="20"/>
  <c r="U1173" i="20"/>
  <c r="U1174" i="20"/>
  <c r="U1175" i="20"/>
  <c r="U1184" i="20"/>
  <c r="U1188" i="20"/>
  <c r="U1189" i="20"/>
  <c r="U1190" i="20"/>
  <c r="U1191" i="20"/>
  <c r="U1192" i="20"/>
  <c r="U1193" i="20"/>
  <c r="U1194" i="20"/>
  <c r="U1195" i="20"/>
  <c r="U1196" i="20"/>
  <c r="U1197" i="20"/>
  <c r="U1198" i="20"/>
  <c r="U1199" i="20"/>
  <c r="U1200" i="20"/>
  <c r="U1201" i="20"/>
  <c r="U1202" i="20"/>
  <c r="U1203" i="20"/>
  <c r="U1204" i="20"/>
  <c r="U1185" i="20"/>
  <c r="U1186" i="20"/>
  <c r="U1205" i="20"/>
  <c r="U1206" i="20"/>
  <c r="U1207" i="20"/>
  <c r="U1208" i="20"/>
  <c r="U1187" i="20"/>
  <c r="U1209" i="20"/>
  <c r="U1210" i="20"/>
  <c r="U1211" i="20"/>
  <c r="U1212" i="20"/>
  <c r="U1213" i="20"/>
  <c r="U1214" i="20"/>
  <c r="U1215" i="20"/>
  <c r="U1216" i="20"/>
  <c r="U1217" i="20"/>
  <c r="U1218" i="20"/>
  <c r="U1219" i="20"/>
  <c r="U1220" i="20"/>
  <c r="U1221" i="20"/>
  <c r="U1222" i="20"/>
  <c r="U1223" i="20"/>
  <c r="U1224" i="20"/>
  <c r="U1225" i="20"/>
  <c r="U1226" i="20"/>
  <c r="U1227" i="20"/>
  <c r="U1228" i="20"/>
  <c r="U1229" i="20"/>
  <c r="U1230" i="20"/>
  <c r="U1231" i="20"/>
  <c r="U1232" i="20"/>
  <c r="U1233" i="20"/>
  <c r="U1234" i="20"/>
  <c r="U1235" i="20"/>
  <c r="U1236" i="20"/>
  <c r="U1237" i="20"/>
  <c r="U1238" i="20"/>
  <c r="U1239" i="20"/>
  <c r="U1240" i="20"/>
  <c r="U1241" i="20"/>
  <c r="U1242" i="20"/>
  <c r="U1243" i="20"/>
  <c r="U1244" i="20"/>
  <c r="U1245" i="20"/>
  <c r="U1246" i="20"/>
  <c r="U1247" i="20"/>
  <c r="U1248" i="20"/>
  <c r="U1249" i="20"/>
  <c r="U1250" i="20"/>
  <c r="U1251" i="20"/>
  <c r="U1252" i="20"/>
  <c r="U1253" i="20"/>
  <c r="U1258" i="20"/>
  <c r="U1254" i="20"/>
  <c r="U1259" i="20"/>
  <c r="U1260" i="20"/>
  <c r="U1261" i="20"/>
  <c r="U1262" i="20"/>
  <c r="U1263" i="20"/>
  <c r="U1255" i="20"/>
  <c r="U1264" i="20"/>
  <c r="U1265" i="20"/>
  <c r="U1266" i="20"/>
  <c r="U1256" i="20"/>
  <c r="U1267" i="20"/>
  <c r="U1268" i="20"/>
  <c r="U1269" i="20"/>
  <c r="U1270" i="20"/>
  <c r="U1271" i="20"/>
  <c r="U1257" i="20"/>
  <c r="U1275" i="20"/>
  <c r="U1276" i="20"/>
  <c r="U1277" i="20"/>
  <c r="U1272" i="20"/>
  <c r="U1278" i="20"/>
  <c r="U1279" i="20"/>
  <c r="U1280" i="20"/>
  <c r="U1281" i="20"/>
  <c r="U1273" i="20"/>
  <c r="U1282" i="20"/>
  <c r="U1283" i="20"/>
  <c r="U1274" i="20"/>
  <c r="U1284" i="20"/>
  <c r="U1296" i="20"/>
  <c r="U1297" i="20"/>
  <c r="U1298" i="20"/>
  <c r="U1285" i="20"/>
  <c r="U1299" i="20"/>
  <c r="U1300" i="20"/>
  <c r="U1301" i="20"/>
  <c r="U1286" i="20"/>
  <c r="U1302" i="20"/>
  <c r="U1303" i="20"/>
  <c r="U1287" i="20"/>
  <c r="U1304" i="20"/>
  <c r="U1288" i="20"/>
  <c r="U1305" i="20"/>
  <c r="U1306" i="20"/>
  <c r="U1307" i="20"/>
  <c r="U1308" i="20"/>
  <c r="U1289" i="20"/>
  <c r="U1309" i="20"/>
  <c r="U1310" i="20"/>
  <c r="U1311" i="20"/>
  <c r="U1312" i="20"/>
  <c r="U1313" i="20"/>
  <c r="U1314" i="20"/>
  <c r="U1315" i="20"/>
  <c r="U1316" i="20"/>
  <c r="U1317" i="20"/>
  <c r="U1318" i="20"/>
  <c r="U1319" i="20"/>
  <c r="U1320" i="20"/>
  <c r="U1321" i="20"/>
  <c r="U1322" i="20"/>
  <c r="U1323" i="20"/>
  <c r="U1324" i="20"/>
  <c r="U1290" i="20"/>
  <c r="U1325" i="20"/>
  <c r="U1326" i="20"/>
  <c r="U1327" i="20"/>
  <c r="U1328" i="20"/>
  <c r="U1329" i="20"/>
  <c r="U1330" i="20"/>
  <c r="U1331" i="20"/>
  <c r="U1332" i="20"/>
  <c r="U1333" i="20"/>
  <c r="U1334" i="20"/>
  <c r="U1335" i="20"/>
  <c r="U1291" i="20"/>
  <c r="U1336" i="20"/>
  <c r="U1292" i="20"/>
  <c r="U1293" i="20"/>
  <c r="U1294" i="20"/>
  <c r="U1337" i="20"/>
  <c r="U1338" i="20"/>
  <c r="U1339" i="20"/>
  <c r="U1340" i="20"/>
  <c r="U1295" i="20"/>
  <c r="U1341" i="20"/>
  <c r="U1342" i="20"/>
  <c r="U1343" i="20"/>
  <c r="U1344" i="20"/>
  <c r="U1345" i="20"/>
  <c r="U1346" i="20"/>
  <c r="U1347" i="20"/>
  <c r="U1348" i="20"/>
  <c r="U1365" i="20"/>
  <c r="U1350" i="20"/>
  <c r="U1351" i="20"/>
  <c r="U1366" i="20"/>
  <c r="U1352" i="20"/>
  <c r="U1367" i="20"/>
  <c r="U1353" i="20"/>
  <c r="U1349" i="20"/>
  <c r="U1354" i="20"/>
  <c r="U1355" i="20"/>
  <c r="U1368" i="20"/>
  <c r="U1369" i="20"/>
  <c r="U1356" i="20"/>
  <c r="U1370" i="20"/>
  <c r="U1357" i="20"/>
  <c r="U1371" i="20"/>
  <c r="U1358" i="20"/>
  <c r="U1359" i="20"/>
  <c r="U1360" i="20"/>
  <c r="U1372" i="20"/>
  <c r="U1361" i="20"/>
  <c r="U1373" i="20"/>
  <c r="U1374" i="20"/>
  <c r="U1362" i="20"/>
  <c r="U1363" i="20"/>
  <c r="U1364" i="20"/>
  <c r="U1375" i="20"/>
  <c r="U1381" i="20"/>
  <c r="U1382" i="20"/>
  <c r="U1383" i="20"/>
  <c r="U1384" i="20"/>
  <c r="U1385" i="20"/>
  <c r="U1386" i="20"/>
  <c r="U1387" i="20"/>
  <c r="U1388" i="20"/>
  <c r="U1389" i="20"/>
  <c r="U1376" i="20"/>
  <c r="U1390" i="20"/>
  <c r="U1377" i="20"/>
  <c r="U1391" i="20"/>
  <c r="U1378" i="20"/>
  <c r="U1392" i="20"/>
  <c r="U1379" i="20"/>
  <c r="U1380" i="20"/>
  <c r="U1401" i="20"/>
  <c r="U1393" i="20"/>
  <c r="U1394" i="20"/>
  <c r="U1402" i="20"/>
  <c r="U1395" i="20"/>
  <c r="U1396" i="20"/>
  <c r="U1397" i="20"/>
  <c r="U1403" i="20"/>
  <c r="U1398" i="20"/>
  <c r="U1399" i="20"/>
  <c r="U1400" i="20"/>
  <c r="U1416" i="20"/>
  <c r="U1410" i="20"/>
  <c r="U1417" i="20"/>
  <c r="U1411" i="20"/>
  <c r="U1404" i="20"/>
  <c r="U1405" i="20"/>
  <c r="U1418" i="20"/>
  <c r="U1406" i="20"/>
  <c r="U1407" i="20"/>
  <c r="U1419" i="20"/>
  <c r="U1412" i="20"/>
  <c r="U1420" i="20"/>
  <c r="U1408" i="20"/>
  <c r="U1425" i="20"/>
  <c r="U1413" i="20"/>
  <c r="U1421" i="20"/>
  <c r="U1414" i="20"/>
  <c r="U1422" i="20"/>
  <c r="U1423" i="20"/>
  <c r="U1415" i="20"/>
  <c r="U1409" i="20"/>
  <c r="U1424" i="20"/>
  <c r="U1426" i="20"/>
  <c r="U1440" i="20"/>
  <c r="U1427" i="20"/>
  <c r="U1441" i="20"/>
  <c r="U1428" i="20"/>
  <c r="U1442" i="20"/>
  <c r="U1443" i="20"/>
  <c r="U1444" i="20"/>
  <c r="U1445" i="20"/>
  <c r="U1429" i="20"/>
  <c r="U1446" i="20"/>
  <c r="U1430" i="20"/>
  <c r="U1431" i="20"/>
  <c r="U1432" i="20"/>
  <c r="U1433" i="20"/>
  <c r="U1434" i="20"/>
  <c r="U1435" i="20"/>
  <c r="U1436" i="20"/>
  <c r="U1437" i="20"/>
  <c r="U1447" i="20"/>
  <c r="U1448" i="20"/>
  <c r="U1438" i="20"/>
  <c r="U1439" i="20"/>
  <c r="U1449" i="20"/>
  <c r="U1450" i="20"/>
  <c r="U1451" i="20"/>
  <c r="U1452" i="20"/>
  <c r="U1453" i="20"/>
  <c r="U1454" i="20"/>
  <c r="U1455" i="20"/>
  <c r="U1456" i="20"/>
  <c r="U1457" i="20"/>
  <c r="U1458" i="20"/>
  <c r="U1459" i="20"/>
  <c r="U1460" i="20"/>
  <c r="U1461" i="20"/>
  <c r="U1462" i="20"/>
  <c r="U1463" i="20"/>
  <c r="U1464" i="20"/>
  <c r="U1465" i="20"/>
  <c r="U1466" i="20"/>
  <c r="U1467" i="20"/>
  <c r="U1468" i="20"/>
  <c r="U1469" i="20"/>
  <c r="U1470" i="20"/>
  <c r="U1471" i="20"/>
  <c r="U1472" i="20"/>
  <c r="U1473" i="20"/>
  <c r="U1474" i="20"/>
  <c r="U1475" i="20"/>
  <c r="U1476" i="20"/>
  <c r="U1477" i="20"/>
  <c r="U1478" i="20"/>
  <c r="U1479" i="20"/>
  <c r="U1480" i="20"/>
  <c r="U1481" i="20"/>
  <c r="U1482" i="20"/>
  <c r="U1483" i="20"/>
  <c r="U1484" i="20"/>
  <c r="U1485" i="20"/>
  <c r="U1486" i="20"/>
  <c r="U1487" i="20"/>
  <c r="U1488" i="20"/>
  <c r="U1489" i="20"/>
  <c r="U1490" i="20"/>
  <c r="U1491" i="20"/>
  <c r="U1492" i="20"/>
  <c r="U1493" i="20"/>
  <c r="U1494" i="20"/>
  <c r="U1501" i="20"/>
  <c r="U1502" i="20"/>
  <c r="U1495" i="20"/>
  <c r="U1503" i="20"/>
  <c r="U1497" i="20"/>
  <c r="U1498" i="20"/>
  <c r="U1499" i="20"/>
  <c r="U1510" i="20"/>
  <c r="U1504" i="20"/>
  <c r="U1505" i="20"/>
  <c r="U1506" i="20"/>
  <c r="U1500" i="20"/>
  <c r="U1496" i="20"/>
  <c r="U1507" i="20"/>
  <c r="U1508" i="20"/>
  <c r="U1509" i="20"/>
  <c r="U1516" i="20"/>
  <c r="U1525" i="20"/>
  <c r="U1517" i="20"/>
  <c r="U1526" i="20"/>
  <c r="U1527" i="20"/>
  <c r="U1511" i="20"/>
  <c r="U1528" i="20"/>
  <c r="U1518" i="20"/>
  <c r="U1529" i="20"/>
  <c r="U1530" i="20"/>
  <c r="U1512" i="20"/>
  <c r="U1519" i="20"/>
  <c r="U1531" i="20"/>
  <c r="U1532" i="20"/>
  <c r="U1533" i="20"/>
  <c r="U1520" i="20"/>
  <c r="U1513" i="20"/>
  <c r="U1514" i="20"/>
  <c r="U1521" i="20"/>
  <c r="U1515" i="20"/>
  <c r="U1534" i="20"/>
  <c r="U1522" i="20"/>
  <c r="U1523" i="20"/>
  <c r="U1535" i="20"/>
  <c r="U1536" i="20"/>
  <c r="U1524" i="20"/>
  <c r="U1538" i="20"/>
  <c r="U1539" i="20"/>
  <c r="U1540" i="20"/>
  <c r="U1541" i="20"/>
  <c r="U1542" i="20"/>
  <c r="U1543" i="20"/>
  <c r="U1544" i="20"/>
  <c r="U1545" i="20"/>
  <c r="U1546" i="20"/>
  <c r="U1537" i="20"/>
  <c r="U1552" i="20"/>
  <c r="U1547" i="20"/>
  <c r="U1548" i="20"/>
  <c r="U1549" i="20"/>
  <c r="U1550" i="20"/>
  <c r="U1551" i="20"/>
  <c r="U1553" i="20"/>
  <c r="U1560" i="20"/>
  <c r="U1556" i="20"/>
  <c r="U1557" i="20"/>
  <c r="U1558" i="20"/>
  <c r="U1559" i="20"/>
  <c r="U1554" i="20"/>
  <c r="U1561" i="20"/>
  <c r="U1555" i="20"/>
  <c r="U1575" i="20"/>
  <c r="U1564" i="20"/>
  <c r="U1565" i="20"/>
  <c r="U1576" i="20"/>
  <c r="U1566" i="20"/>
  <c r="U1577" i="20"/>
  <c r="U1567" i="20"/>
  <c r="U1568" i="20"/>
  <c r="U1578" i="20"/>
  <c r="U1579" i="20"/>
  <c r="U1580" i="20"/>
  <c r="U1569" i="20"/>
  <c r="U1562" i="20"/>
  <c r="U1581" i="20"/>
  <c r="U1570" i="20"/>
  <c r="U1582" i="20"/>
  <c r="U1563" i="20"/>
  <c r="U1583" i="20"/>
  <c r="U1571" i="20"/>
  <c r="U1572" i="20"/>
  <c r="U1573" i="20"/>
  <c r="U1584" i="20"/>
  <c r="U1585" i="20"/>
  <c r="U1586" i="20"/>
  <c r="U1587" i="20"/>
  <c r="U1588" i="20"/>
  <c r="U1589" i="20"/>
  <c r="U1590" i="20"/>
  <c r="U1591" i="20"/>
  <c r="U1574" i="20"/>
  <c r="U1592" i="20"/>
  <c r="U1593" i="20"/>
  <c r="U1594" i="20"/>
  <c r="U1595" i="20"/>
  <c r="U1596" i="20"/>
  <c r="U1597" i="20"/>
  <c r="U1598" i="20"/>
  <c r="U1599" i="20"/>
  <c r="U1602" i="20"/>
  <c r="U1603" i="20"/>
  <c r="U1604" i="20"/>
  <c r="U1600" i="20"/>
  <c r="U1605" i="20"/>
  <c r="U1606" i="20"/>
  <c r="U1607" i="20"/>
  <c r="U1608" i="20"/>
  <c r="U1609" i="20"/>
  <c r="U1610" i="20"/>
  <c r="U1611" i="20"/>
  <c r="U1612" i="20"/>
  <c r="U1601" i="20"/>
  <c r="U1613" i="20"/>
  <c r="U1614" i="20"/>
  <c r="U1618" i="20"/>
  <c r="U1619" i="20"/>
  <c r="U1616" i="20"/>
  <c r="U1620" i="20"/>
  <c r="U1621" i="20"/>
  <c r="U1622" i="20"/>
  <c r="U1623" i="20"/>
  <c r="U1624" i="20"/>
  <c r="U1625" i="20"/>
  <c r="U1647" i="20"/>
  <c r="U1626" i="20"/>
  <c r="U1627" i="20"/>
  <c r="U1628" i="20"/>
  <c r="U1629" i="20"/>
  <c r="U1630" i="20"/>
  <c r="U1631" i="20"/>
  <c r="U1632" i="20"/>
  <c r="U1633" i="20"/>
  <c r="U1634" i="20"/>
  <c r="U1635" i="20"/>
  <c r="U1636" i="20"/>
  <c r="U1637" i="20"/>
  <c r="U1638" i="20"/>
  <c r="U1615" i="20"/>
  <c r="U1639" i="20"/>
  <c r="U1640" i="20"/>
  <c r="U1641" i="20"/>
  <c r="U1642" i="20"/>
  <c r="U1643" i="20"/>
  <c r="U1644" i="20"/>
  <c r="U1645" i="20"/>
  <c r="U1617" i="20"/>
  <c r="U1646" i="20"/>
  <c r="U1649" i="20"/>
  <c r="U1650" i="20"/>
  <c r="U1651" i="20"/>
  <c r="U1652" i="20"/>
  <c r="U1660" i="20"/>
  <c r="U1653" i="20"/>
  <c r="U1661" i="20"/>
  <c r="U1654" i="20"/>
  <c r="U1662" i="20"/>
  <c r="U1655" i="20"/>
  <c r="U1656" i="20"/>
  <c r="U1663" i="20"/>
  <c r="U1664" i="20"/>
  <c r="U1657" i="20"/>
  <c r="U1658" i="20"/>
  <c r="U1665" i="20"/>
  <c r="U1666" i="20"/>
  <c r="U1667" i="20"/>
  <c r="U1668" i="20"/>
  <c r="U1669" i="20"/>
  <c r="U1670" i="20"/>
  <c r="U1671" i="20"/>
  <c r="U1659" i="20"/>
  <c r="U1648" i="20"/>
  <c r="U1687" i="20"/>
  <c r="U1688" i="20"/>
  <c r="U1689" i="20"/>
  <c r="U1690" i="20"/>
  <c r="U1691" i="20"/>
  <c r="U1672" i="20"/>
  <c r="U1676" i="20"/>
  <c r="U1677" i="20"/>
  <c r="U1692" i="20"/>
  <c r="U1693" i="20"/>
  <c r="U1678" i="20"/>
  <c r="U1673" i="20"/>
  <c r="U1679" i="20"/>
  <c r="U1694" i="20"/>
  <c r="U1695" i="20"/>
  <c r="U1696" i="20"/>
  <c r="U1680" i="20"/>
  <c r="U1697" i="20"/>
  <c r="U1681" i="20"/>
  <c r="U1698" i="20"/>
  <c r="U1699" i="20"/>
  <c r="U1700" i="20"/>
  <c r="U1701" i="20"/>
  <c r="U1702" i="20"/>
  <c r="U1682" i="20"/>
  <c r="U1683" i="20"/>
  <c r="U1703" i="20"/>
  <c r="U1704" i="20"/>
  <c r="U1705" i="20"/>
  <c r="U1706" i="20"/>
  <c r="U1674" i="20"/>
  <c r="U1707" i="20"/>
  <c r="U1684" i="20"/>
  <c r="U1685" i="20"/>
  <c r="U1675" i="20"/>
  <c r="U1686" i="20"/>
  <c r="U1708" i="20"/>
  <c r="U1709" i="20"/>
  <c r="U1734" i="20"/>
  <c r="U1710" i="20"/>
  <c r="U1711" i="20"/>
  <c r="U1712" i="20"/>
  <c r="U1735" i="20"/>
  <c r="U1736" i="20"/>
  <c r="U1737" i="20"/>
  <c r="U1713" i="20"/>
  <c r="U1738" i="20"/>
  <c r="U1714" i="20"/>
  <c r="U1739" i="20"/>
  <c r="U1740" i="20"/>
  <c r="U1741" i="20"/>
  <c r="U1742" i="20"/>
  <c r="U1715" i="20"/>
  <c r="U1743" i="20"/>
  <c r="U1744" i="20"/>
  <c r="U1745" i="20"/>
  <c r="U1716" i="20"/>
  <c r="U1746" i="20"/>
  <c r="U1747" i="20"/>
  <c r="U1717" i="20"/>
  <c r="U1718" i="20"/>
  <c r="U1719" i="20"/>
  <c r="U1720" i="20"/>
  <c r="U1748" i="20"/>
  <c r="U1721" i="20"/>
  <c r="U1722" i="20"/>
  <c r="U1749" i="20"/>
  <c r="U1723" i="20"/>
  <c r="U1724" i="20"/>
  <c r="U1725" i="20"/>
  <c r="U1750" i="20"/>
  <c r="U1751" i="20"/>
  <c r="U1752" i="20"/>
  <c r="U1726" i="20"/>
  <c r="U1727" i="20"/>
  <c r="U1753" i="20"/>
  <c r="U1754" i="20"/>
  <c r="U1755" i="20"/>
  <c r="U1756" i="20"/>
  <c r="U1728" i="20"/>
  <c r="U1729" i="20"/>
  <c r="U1730" i="20"/>
  <c r="U1757" i="20"/>
  <c r="U1758" i="20"/>
  <c r="U1759" i="20"/>
  <c r="U1731" i="20"/>
  <c r="U1760" i="20"/>
  <c r="U1732" i="20"/>
  <c r="U1761" i="20"/>
  <c r="U1733" i="20"/>
  <c r="U1763" i="20"/>
  <c r="U1764" i="20"/>
  <c r="U1762" i="20"/>
  <c r="U1765" i="20"/>
  <c r="U1766" i="20"/>
  <c r="U1767" i="20"/>
  <c r="U1768" i="20"/>
  <c r="U1769" i="20"/>
  <c r="U1770" i="20"/>
  <c r="U1771" i="20"/>
  <c r="U1772" i="20"/>
  <c r="U1773" i="20"/>
  <c r="U1774" i="20"/>
  <c r="U1775" i="20"/>
  <c r="U1776" i="20"/>
  <c r="U1777" i="20"/>
  <c r="U1778" i="20"/>
  <c r="U1779" i="20"/>
  <c r="U1780" i="20"/>
  <c r="U1781" i="20"/>
  <c r="U1782" i="20"/>
  <c r="U1783" i="20"/>
  <c r="U1784" i="20"/>
  <c r="U1785" i="20"/>
  <c r="U1786" i="20"/>
  <c r="U1787" i="20"/>
  <c r="U1788" i="20"/>
  <c r="U1789" i="20"/>
  <c r="U1793" i="20"/>
  <c r="U1791" i="20"/>
  <c r="U1794" i="20"/>
  <c r="U1795" i="20"/>
  <c r="U1792" i="20"/>
  <c r="U1796" i="20"/>
  <c r="U1797" i="20"/>
  <c r="U1798" i="20"/>
  <c r="U1799" i="20"/>
  <c r="U1800" i="20"/>
  <c r="U1801" i="20"/>
  <c r="U1802" i="20"/>
  <c r="U1803" i="20"/>
  <c r="U1804" i="20"/>
  <c r="U1805" i="20"/>
  <c r="U1790" i="20"/>
  <c r="U1806" i="20"/>
  <c r="U1807" i="20"/>
  <c r="U1808" i="20"/>
  <c r="U1818" i="20"/>
  <c r="U1819" i="20"/>
  <c r="U1814" i="20"/>
  <c r="U1820" i="20"/>
  <c r="U1821" i="20"/>
  <c r="U1822" i="20"/>
  <c r="U1815" i="20"/>
  <c r="U1816" i="20"/>
  <c r="U1823" i="20"/>
  <c r="U1824" i="20"/>
  <c r="U1825" i="20"/>
  <c r="U1826" i="20"/>
  <c r="U1827" i="20"/>
  <c r="U1809" i="20"/>
  <c r="U1828" i="20"/>
  <c r="U1829" i="20"/>
  <c r="U1830" i="20"/>
  <c r="U1831" i="20"/>
  <c r="U1832" i="20"/>
  <c r="U1833" i="20"/>
  <c r="U1810" i="20"/>
  <c r="U1834" i="20"/>
  <c r="U1817" i="20"/>
  <c r="U1835" i="20"/>
  <c r="U1836" i="20"/>
  <c r="U1837" i="20"/>
  <c r="U1838" i="20"/>
  <c r="U1811" i="20"/>
  <c r="U1812" i="20"/>
  <c r="U1839" i="20"/>
  <c r="U1840" i="20"/>
  <c r="U1841" i="20"/>
  <c r="U1813" i="20"/>
  <c r="U1843" i="20"/>
  <c r="U1844" i="20"/>
  <c r="U1842" i="20"/>
  <c r="U1848" i="20"/>
  <c r="U1845" i="20"/>
  <c r="U1846" i="20"/>
  <c r="U1849" i="20"/>
  <c r="U1847" i="20"/>
  <c r="U1850" i="20"/>
  <c r="U1851" i="20"/>
  <c r="U1852" i="20"/>
  <c r="U1853" i="20"/>
  <c r="U1854" i="20"/>
  <c r="U1855" i="20"/>
  <c r="U1856" i="20"/>
  <c r="U1857" i="20"/>
  <c r="U1858" i="20"/>
  <c r="U1859" i="20"/>
  <c r="U1860" i="20"/>
  <c r="U1861" i="20"/>
  <c r="U1862" i="20"/>
  <c r="U1863" i="20"/>
  <c r="U1874" i="20"/>
  <c r="U1864" i="20"/>
  <c r="U1865" i="20"/>
  <c r="U1866" i="20"/>
  <c r="U1867" i="20"/>
  <c r="U1868" i="20"/>
  <c r="U1869" i="20"/>
  <c r="U1875" i="20"/>
  <c r="U1876" i="20"/>
  <c r="U1870" i="20"/>
  <c r="U1877" i="20"/>
  <c r="U1878" i="20"/>
  <c r="U1879" i="20"/>
  <c r="U1880" i="20"/>
  <c r="U1871" i="20"/>
  <c r="U1881" i="20"/>
  <c r="U1882" i="20"/>
  <c r="U1872" i="20"/>
  <c r="U1883" i="20"/>
  <c r="U1873" i="20"/>
  <c r="U1893" i="20"/>
  <c r="U1894" i="20"/>
  <c r="U1895" i="20"/>
  <c r="U1884" i="20"/>
  <c r="U1885" i="20"/>
  <c r="U1886" i="20"/>
  <c r="U1887" i="20"/>
  <c r="U1896" i="20"/>
  <c r="U1897" i="20"/>
  <c r="U1888" i="20"/>
  <c r="U1898" i="20"/>
  <c r="U1904" i="20"/>
  <c r="U1899" i="20"/>
  <c r="U1889" i="20"/>
  <c r="U1900" i="20"/>
  <c r="U1890" i="20"/>
  <c r="U1901" i="20"/>
  <c r="U1902" i="20"/>
  <c r="U1903" i="20"/>
  <c r="U1891" i="20"/>
  <c r="U1908" i="20"/>
  <c r="U1909" i="20"/>
  <c r="U1910" i="20"/>
  <c r="U1911" i="20"/>
  <c r="U1912" i="20"/>
  <c r="U1913" i="20"/>
  <c r="U1914" i="20"/>
  <c r="U1915" i="20"/>
  <c r="U1916" i="20"/>
  <c r="U1917" i="20"/>
  <c r="U1918" i="20"/>
  <c r="U1919" i="20"/>
  <c r="U1905" i="20"/>
  <c r="U1920" i="20"/>
  <c r="U1907" i="20"/>
  <c r="U1921" i="20"/>
  <c r="U1922" i="20"/>
  <c r="U1923" i="20"/>
  <c r="U1924" i="20"/>
  <c r="U1925" i="20"/>
  <c r="U1926" i="20"/>
  <c r="U1927" i="20"/>
  <c r="U1928" i="20"/>
  <c r="U1929" i="20"/>
  <c r="U1930" i="20"/>
  <c r="U1906" i="20"/>
  <c r="U1931" i="20"/>
  <c r="U1932" i="20"/>
  <c r="U1933" i="20"/>
  <c r="U1934" i="20"/>
  <c r="U1935" i="20"/>
  <c r="U1936" i="20"/>
  <c r="U1937" i="20"/>
  <c r="U1948" i="20"/>
  <c r="U1949" i="20"/>
  <c r="U1950" i="20"/>
  <c r="U1951" i="20"/>
  <c r="U1938" i="20"/>
  <c r="U1952" i="20"/>
  <c r="U1939" i="20"/>
  <c r="U1953" i="20"/>
  <c r="U1945" i="20"/>
  <c r="U1954" i="20"/>
  <c r="U1955" i="20"/>
  <c r="U1956" i="20"/>
  <c r="U1957" i="20"/>
  <c r="U1940" i="20"/>
  <c r="U1958" i="20"/>
  <c r="U1959" i="20"/>
  <c r="U1941" i="20"/>
  <c r="U1960" i="20"/>
  <c r="U1946" i="20"/>
  <c r="U1961" i="20"/>
  <c r="U1962" i="20"/>
  <c r="U1947" i="20"/>
  <c r="U1963" i="20"/>
  <c r="U1964" i="20"/>
  <c r="U1942" i="20"/>
  <c r="U1943" i="20"/>
  <c r="U1965" i="20"/>
  <c r="U1966" i="20"/>
  <c r="U1967" i="20"/>
  <c r="U1968" i="20"/>
  <c r="U1969" i="20"/>
  <c r="U1970" i="20"/>
  <c r="U1971" i="20"/>
  <c r="U1944" i="20"/>
  <c r="U1972" i="20"/>
  <c r="U1973" i="20"/>
  <c r="U1974" i="20"/>
  <c r="U1975" i="20"/>
  <c r="U1976" i="20"/>
  <c r="U1977" i="20"/>
  <c r="U1978" i="20"/>
  <c r="U1979" i="20"/>
  <c r="U1980" i="20"/>
  <c r="U1981" i="20"/>
  <c r="U1982" i="20"/>
  <c r="U1983" i="20"/>
  <c r="U1984" i="20"/>
  <c r="U1985" i="20"/>
  <c r="U1986" i="20"/>
  <c r="U1987" i="20"/>
  <c r="U1988" i="20"/>
  <c r="U1989" i="20"/>
  <c r="U1990" i="20"/>
  <c r="U1991" i="20"/>
  <c r="U1992" i="20"/>
  <c r="U1993" i="20"/>
  <c r="U1994" i="20"/>
  <c r="U1995" i="20"/>
  <c r="U1996" i="20"/>
  <c r="U1997" i="20"/>
  <c r="U1998" i="20"/>
  <c r="U1999" i="20"/>
  <c r="U2000" i="20"/>
  <c r="U2001" i="20"/>
  <c r="U2002" i="20"/>
  <c r="U2003" i="20"/>
  <c r="U2004" i="20"/>
  <c r="U2005" i="20"/>
  <c r="U2011" i="20"/>
  <c r="U2012" i="20"/>
  <c r="U2006" i="20"/>
  <c r="U2013" i="20"/>
  <c r="U2014" i="20"/>
  <c r="U2015" i="20"/>
  <c r="U2016" i="20"/>
  <c r="U2030" i="20"/>
  <c r="U2017" i="20"/>
  <c r="U2007" i="20"/>
  <c r="U2018" i="20"/>
  <c r="U2019" i="20"/>
  <c r="U2031" i="20"/>
  <c r="U2008" i="20"/>
  <c r="U2032" i="20"/>
  <c r="U2020" i="20"/>
  <c r="U2021" i="20"/>
  <c r="U2009" i="20"/>
  <c r="U2022" i="20"/>
  <c r="U2023" i="20"/>
  <c r="U2024" i="20"/>
  <c r="U2033" i="20"/>
  <c r="U2034" i="20"/>
  <c r="U2035" i="20"/>
  <c r="U2010" i="20"/>
  <c r="U2025" i="20"/>
  <c r="U2036" i="20"/>
  <c r="U2026" i="20"/>
  <c r="U2027" i="20"/>
  <c r="U2028" i="20"/>
  <c r="U2029" i="20"/>
  <c r="U2050" i="20"/>
  <c r="U2051" i="20"/>
  <c r="U2052" i="20"/>
  <c r="U2053" i="20"/>
  <c r="U2037" i="20"/>
  <c r="U2054" i="20"/>
  <c r="U2055" i="20"/>
  <c r="U2056" i="20"/>
  <c r="U2038" i="20"/>
  <c r="U2047" i="20"/>
  <c r="U2048" i="20"/>
  <c r="U2057" i="20"/>
  <c r="U2058" i="20"/>
  <c r="U2059" i="20"/>
  <c r="U2060" i="20"/>
  <c r="U2039" i="20"/>
  <c r="U2061" i="20"/>
  <c r="U2062" i="20"/>
  <c r="U2063" i="20"/>
  <c r="U2064" i="20"/>
  <c r="U2040" i="20"/>
  <c r="U2065" i="20"/>
  <c r="U2041" i="20"/>
  <c r="U2066" i="20"/>
  <c r="U2067" i="20"/>
  <c r="U2068" i="20"/>
  <c r="U2046" i="20"/>
  <c r="U2042" i="20"/>
  <c r="U2069" i="20"/>
  <c r="U2043" i="20"/>
  <c r="U2070" i="20"/>
  <c r="U2071" i="20"/>
  <c r="U2072" i="20"/>
  <c r="U2073" i="20"/>
  <c r="U2074" i="20"/>
  <c r="U2075" i="20"/>
  <c r="U2076" i="20"/>
  <c r="U2077" i="20"/>
  <c r="U2078" i="20"/>
  <c r="U2079" i="20"/>
  <c r="U2080" i="20"/>
  <c r="U2044" i="20"/>
  <c r="U2049" i="20"/>
  <c r="U2045" i="20"/>
  <c r="U2084" i="20"/>
  <c r="U2082" i="20"/>
  <c r="U2083" i="20"/>
  <c r="U2085" i="20"/>
  <c r="U2086" i="20"/>
  <c r="U2087" i="20"/>
  <c r="U2088" i="20"/>
  <c r="U2089" i="20"/>
  <c r="U2090" i="20"/>
  <c r="U2091" i="20"/>
  <c r="U2092" i="20"/>
  <c r="U2093" i="20"/>
  <c r="U2094" i="20"/>
  <c r="U2095" i="20"/>
  <c r="U2096" i="20"/>
  <c r="U2097" i="20"/>
  <c r="U2098" i="20"/>
  <c r="U2099" i="20"/>
  <c r="U2100" i="20"/>
  <c r="U2101" i="20"/>
  <c r="U2102" i="20"/>
  <c r="U2081" i="20"/>
  <c r="U2103" i="20"/>
  <c r="U2104" i="20"/>
  <c r="U2105" i="20"/>
  <c r="U2106" i="20"/>
  <c r="U2107" i="20"/>
  <c r="U2113" i="20"/>
  <c r="U2114" i="20"/>
  <c r="U2115" i="20"/>
  <c r="U2116" i="20"/>
  <c r="U2117" i="20"/>
  <c r="U2118" i="20"/>
  <c r="U2119" i="20"/>
  <c r="U2120" i="20"/>
  <c r="U2121" i="20"/>
  <c r="U2122" i="20"/>
  <c r="U2109" i="20"/>
  <c r="U2123" i="20"/>
  <c r="U2124" i="20"/>
  <c r="U2125" i="20"/>
  <c r="U2126" i="20"/>
  <c r="U2127" i="20"/>
  <c r="U2110" i="20"/>
  <c r="U2128" i="20"/>
  <c r="U2129" i="20"/>
  <c r="U2111" i="20"/>
  <c r="U2130" i="20"/>
  <c r="U2112" i="20"/>
  <c r="U2131" i="20"/>
  <c r="U2108" i="20"/>
  <c r="U2132" i="20"/>
  <c r="U2133" i="20"/>
  <c r="U2145" i="20"/>
  <c r="U2146" i="20"/>
  <c r="U2134" i="20"/>
  <c r="U2147" i="20"/>
  <c r="U2148" i="20"/>
  <c r="U2149" i="20"/>
  <c r="U2135" i="20"/>
  <c r="U2140" i="20"/>
  <c r="U2150" i="20"/>
  <c r="U2151" i="20"/>
  <c r="U2141" i="20"/>
  <c r="U2152" i="20"/>
  <c r="U2153" i="20"/>
  <c r="U2142" i="20"/>
  <c r="U2143" i="20"/>
  <c r="U2136" i="20"/>
  <c r="U2154" i="20"/>
  <c r="U2155" i="20"/>
  <c r="U2137" i="20"/>
  <c r="U2138" i="20"/>
  <c r="U2156" i="20"/>
  <c r="U2157" i="20"/>
  <c r="U2158" i="20"/>
  <c r="U2139" i="20"/>
  <c r="U2144" i="20"/>
  <c r="U2159" i="20"/>
  <c r="U2166" i="20"/>
  <c r="U2167" i="20"/>
  <c r="U2168" i="20"/>
  <c r="U2163" i="20"/>
  <c r="U2164" i="20"/>
  <c r="U2165" i="20"/>
  <c r="U2169" i="20"/>
  <c r="U2170" i="20"/>
  <c r="U2171" i="20"/>
  <c r="U2172" i="20"/>
  <c r="U2162" i="20"/>
  <c r="U2173" i="20"/>
  <c r="U2160" i="20"/>
  <c r="U2174" i="20"/>
  <c r="U2175" i="20"/>
  <c r="U2176" i="20"/>
  <c r="U2161" i="20"/>
  <c r="U2177" i="20"/>
  <c r="U2178" i="20"/>
  <c r="U2179" i="20"/>
  <c r="U2180" i="20"/>
  <c r="U2181" i="20"/>
  <c r="U2182" i="20"/>
  <c r="U2183" i="20"/>
  <c r="U2184" i="20"/>
  <c r="U2185" i="20"/>
  <c r="U2193" i="20"/>
  <c r="U2188" i="20"/>
  <c r="U2186" i="20"/>
  <c r="U2194" i="20"/>
  <c r="U2195" i="20"/>
  <c r="U2196" i="20"/>
  <c r="U2197" i="20"/>
  <c r="U2198" i="20"/>
  <c r="U2189" i="20"/>
  <c r="U2199" i="20"/>
  <c r="U2190" i="20"/>
  <c r="U2200" i="20"/>
  <c r="U2201" i="20"/>
  <c r="U2202" i="20"/>
  <c r="U2203" i="20"/>
  <c r="U2204" i="20"/>
  <c r="U2205" i="20"/>
  <c r="U2206" i="20"/>
  <c r="U2207" i="20"/>
  <c r="U2208" i="20"/>
  <c r="U2209" i="20"/>
  <c r="U2191" i="20"/>
  <c r="U2210" i="20"/>
  <c r="U2211" i="20"/>
  <c r="U2212" i="20"/>
  <c r="U2213" i="20"/>
  <c r="U2214" i="20"/>
  <c r="U2215" i="20"/>
  <c r="U2216" i="20"/>
  <c r="U2217" i="20"/>
  <c r="U2218" i="20"/>
  <c r="U2219" i="20"/>
  <c r="U2220" i="20"/>
  <c r="U2221" i="20"/>
  <c r="U2192" i="20"/>
  <c r="U2222" i="20"/>
  <c r="U2223" i="20"/>
  <c r="U2224" i="20"/>
  <c r="U2225" i="20"/>
  <c r="U2187" i="20"/>
  <c r="U2226" i="20"/>
  <c r="U2227" i="20"/>
  <c r="U2228" i="20"/>
  <c r="U2229" i="20"/>
  <c r="U2230" i="20"/>
  <c r="U2231" i="20"/>
  <c r="U2232" i="20"/>
  <c r="U2233" i="20"/>
  <c r="U2234" i="20"/>
  <c r="U2235" i="20"/>
  <c r="U2236" i="20"/>
  <c r="U2237" i="20"/>
  <c r="U2238" i="20"/>
  <c r="U2239" i="20"/>
  <c r="U2242" i="20"/>
  <c r="U2240" i="20"/>
  <c r="U2241" i="20"/>
  <c r="U2243" i="20"/>
  <c r="U2249" i="20"/>
  <c r="U2244" i="20"/>
  <c r="U2252" i="20"/>
  <c r="U2253" i="20"/>
  <c r="U2254" i="20"/>
  <c r="U2245" i="20"/>
  <c r="U2255" i="20"/>
  <c r="U2256" i="20"/>
  <c r="U2257" i="20"/>
  <c r="U2246" i="20"/>
  <c r="U2258" i="20"/>
  <c r="U2247" i="20"/>
  <c r="U2259" i="20"/>
  <c r="U2268" i="20"/>
  <c r="U2269" i="20"/>
  <c r="U2270" i="20"/>
  <c r="U2260" i="20"/>
  <c r="U2248" i="20"/>
  <c r="U2261" i="20"/>
  <c r="U2250" i="20"/>
  <c r="U2262" i="20"/>
  <c r="U2271" i="20"/>
  <c r="U2272" i="20"/>
  <c r="U2251" i="20"/>
  <c r="U2264" i="20"/>
  <c r="U2265" i="20"/>
  <c r="U2266" i="20"/>
  <c r="U2267" i="20"/>
  <c r="U2273" i="20"/>
  <c r="U2274" i="20"/>
  <c r="U2278" i="20"/>
  <c r="U2285" i="20"/>
  <c r="U2275" i="20"/>
  <c r="U2280" i="20"/>
  <c r="U2276" i="20"/>
  <c r="U2286" i="20"/>
  <c r="U2277" i="20"/>
  <c r="U2287" i="20"/>
  <c r="U2281" i="20"/>
  <c r="U2279" i="20"/>
  <c r="U2282" i="20"/>
  <c r="U2288" i="20"/>
  <c r="U2283" i="20"/>
  <c r="U2284" i="20"/>
  <c r="U2289" i="20"/>
  <c r="U2291" i="20"/>
  <c r="U2292" i="20"/>
  <c r="U2302" i="20"/>
  <c r="U2303" i="20"/>
  <c r="U2293" i="20"/>
  <c r="U2294" i="20"/>
  <c r="U2295" i="20"/>
  <c r="U2296" i="20"/>
  <c r="U2297" i="20"/>
  <c r="U2298" i="20"/>
  <c r="U2299" i="20"/>
  <c r="U2300" i="20"/>
  <c r="U2290" i="20"/>
  <c r="U2301" i="20"/>
  <c r="U2307" i="20"/>
  <c r="U2304" i="20"/>
  <c r="U2305" i="20"/>
  <c r="U2308" i="20"/>
  <c r="U2309" i="20"/>
  <c r="U2310" i="20"/>
  <c r="U2306" i="20"/>
  <c r="U2313" i="20"/>
  <c r="U2314" i="20"/>
  <c r="U2315" i="20"/>
  <c r="U2316" i="20"/>
  <c r="U2317" i="20"/>
  <c r="U2312" i="20"/>
  <c r="U2318" i="20"/>
  <c r="U2319" i="20"/>
  <c r="U2320" i="20"/>
  <c r="U2311" i="20"/>
  <c r="U2321" i="20"/>
  <c r="U2322" i="20"/>
  <c r="U2327" i="20"/>
  <c r="U2328" i="20"/>
  <c r="U2329" i="20"/>
  <c r="U2330" i="20"/>
  <c r="U2331" i="20"/>
  <c r="U2332" i="20"/>
  <c r="U2333" i="20"/>
  <c r="U2334" i="20"/>
  <c r="U2326" i="20"/>
  <c r="U2323" i="20"/>
  <c r="U2335" i="20"/>
  <c r="U2336" i="20"/>
  <c r="U2324" i="20"/>
  <c r="U2325" i="20"/>
  <c r="U2337" i="20"/>
  <c r="U2338" i="20"/>
  <c r="U2339" i="20"/>
  <c r="U2340" i="20"/>
  <c r="U2341" i="20"/>
  <c r="U2342" i="20"/>
  <c r="U2343" i="20"/>
  <c r="U2344" i="20"/>
  <c r="U2345" i="20"/>
  <c r="U2346" i="20"/>
  <c r="U2359" i="20"/>
  <c r="U2349" i="20"/>
  <c r="U2347" i="20"/>
  <c r="U2350" i="20"/>
  <c r="U2348" i="20"/>
  <c r="U2351" i="20"/>
  <c r="U2361" i="20"/>
  <c r="U2357" i="20"/>
  <c r="U2352" i="20"/>
  <c r="U2353" i="20"/>
  <c r="U2354" i="20"/>
  <c r="U2355" i="20"/>
  <c r="U2356" i="20"/>
  <c r="U2362" i="20"/>
  <c r="U2363" i="20"/>
  <c r="U2364" i="20"/>
  <c r="U2366" i="20"/>
  <c r="U2370" i="20"/>
  <c r="U2371" i="20"/>
  <c r="U2372" i="20"/>
  <c r="U2373" i="20"/>
  <c r="U2374" i="20"/>
  <c r="U2367" i="20"/>
  <c r="U2375" i="20"/>
  <c r="U2368" i="20"/>
  <c r="U2376" i="20"/>
  <c r="U2377" i="20"/>
  <c r="U2369" i="20"/>
  <c r="U2378" i="20"/>
  <c r="U2365" i="20"/>
  <c r="U2379" i="20"/>
  <c r="U2387" i="20"/>
  <c r="U2388" i="20"/>
  <c r="U2420" i="20"/>
  <c r="U2380" i="20"/>
  <c r="U2421" i="20"/>
  <c r="U2389" i="20"/>
  <c r="U2383" i="20"/>
  <c r="U2422" i="20"/>
  <c r="U2390" i="20"/>
  <c r="U2391" i="20"/>
  <c r="U2392" i="20"/>
  <c r="U2393" i="20"/>
  <c r="U2384" i="20"/>
  <c r="U2394" i="20"/>
  <c r="U2423" i="20"/>
  <c r="U2424" i="20"/>
  <c r="U2425" i="20"/>
  <c r="U2427" i="20"/>
  <c r="U2395" i="20"/>
  <c r="U2396" i="20"/>
  <c r="U2428" i="20"/>
  <c r="U2397" i="20"/>
  <c r="U2429" i="20"/>
  <c r="U2398" i="20"/>
  <c r="U2399" i="20"/>
  <c r="U2400" i="20"/>
  <c r="U2401" i="20"/>
  <c r="U2402" i="20"/>
  <c r="U2403" i="20"/>
  <c r="U2404" i="20"/>
  <c r="U2405" i="20"/>
  <c r="U2430" i="20"/>
  <c r="U2381" i="20"/>
  <c r="U2431" i="20"/>
  <c r="U2432" i="20"/>
  <c r="U2433" i="20"/>
  <c r="U2434" i="20"/>
  <c r="U2435" i="20"/>
  <c r="U2406" i="20"/>
  <c r="U2407" i="20"/>
  <c r="U2408" i="20"/>
  <c r="U2409" i="20"/>
  <c r="U2410" i="20"/>
  <c r="U2411" i="20"/>
  <c r="U2412" i="20"/>
  <c r="U2382" i="20"/>
  <c r="U2413" i="20"/>
  <c r="U2414" i="20"/>
  <c r="U2415" i="20"/>
  <c r="U2416" i="20"/>
  <c r="U2417" i="20"/>
  <c r="U2436" i="20"/>
  <c r="U2385" i="20"/>
  <c r="U2437" i="20"/>
  <c r="U2418" i="20"/>
  <c r="U2386" i="20"/>
  <c r="U2438" i="20"/>
  <c r="U2419" i="20"/>
  <c r="U2439" i="20"/>
  <c r="U2440" i="20"/>
  <c r="U2447" i="20"/>
  <c r="U2448" i="20"/>
  <c r="U2441" i="20"/>
  <c r="U2442" i="20"/>
  <c r="U2449" i="20"/>
  <c r="U2459" i="20"/>
  <c r="U2443" i="20"/>
  <c r="U2450" i="20"/>
  <c r="U2451" i="20"/>
  <c r="U2452" i="20"/>
  <c r="U2453" i="20"/>
  <c r="U2444" i="20"/>
  <c r="U2445" i="20"/>
  <c r="U2454" i="20"/>
  <c r="U2446" i="20"/>
  <c r="U2455" i="20"/>
  <c r="U2456" i="20"/>
  <c r="U2457" i="20"/>
  <c r="U2458" i="20"/>
  <c r="U2460" i="20"/>
  <c r="U2461" i="20"/>
  <c r="U2475" i="20"/>
  <c r="U2462" i="20"/>
  <c r="U2476" i="20"/>
  <c r="U2463" i="20"/>
  <c r="U2477" i="20"/>
  <c r="U2464" i="20"/>
  <c r="U2478" i="20"/>
  <c r="U2479" i="20"/>
  <c r="U2465" i="20"/>
  <c r="U2466" i="20"/>
  <c r="U2480" i="20"/>
  <c r="U2481" i="20"/>
  <c r="U2482" i="20"/>
  <c r="U2483" i="20"/>
  <c r="U2484" i="20"/>
  <c r="U2485" i="20"/>
  <c r="U2486" i="20"/>
  <c r="U2487" i="20"/>
  <c r="U2488" i="20"/>
  <c r="U2467" i="20"/>
  <c r="U2468" i="20"/>
  <c r="U2489" i="20"/>
  <c r="U2490" i="20"/>
  <c r="U2491" i="20"/>
  <c r="U2492" i="20"/>
  <c r="U2493" i="20"/>
  <c r="U2494" i="20"/>
  <c r="U2495" i="20"/>
  <c r="U2469" i="20"/>
  <c r="U2496" i="20"/>
  <c r="U2497" i="20"/>
  <c r="U2498" i="20"/>
  <c r="U2499" i="20"/>
  <c r="U2500" i="20"/>
  <c r="U2501" i="20"/>
  <c r="U2470" i="20"/>
  <c r="U2502" i="20"/>
  <c r="U2503" i="20"/>
  <c r="U2471" i="20"/>
  <c r="U2504" i="20"/>
  <c r="U2472" i="20"/>
  <c r="U2473" i="20"/>
  <c r="U2505" i="20"/>
  <c r="U2474" i="20"/>
  <c r="U2506" i="20"/>
  <c r="U2518" i="20"/>
  <c r="U2509" i="20"/>
  <c r="U2510" i="20"/>
  <c r="U2519" i="20"/>
  <c r="U2520" i="20"/>
  <c r="U2521" i="20"/>
  <c r="U2522" i="20"/>
  <c r="U2523" i="20"/>
  <c r="U2516" i="20"/>
  <c r="U2524" i="20"/>
  <c r="U2525" i="20"/>
  <c r="U2517" i="20"/>
  <c r="U2526" i="20"/>
  <c r="U2527" i="20"/>
  <c r="U2528" i="20"/>
  <c r="U2529" i="20"/>
  <c r="U2530" i="20"/>
  <c r="U2531" i="20"/>
  <c r="U2532" i="20"/>
  <c r="U2508" i="20"/>
  <c r="U2507" i="20"/>
  <c r="U2533" i="20"/>
  <c r="U2534" i="20"/>
  <c r="U2535" i="20"/>
  <c r="U2511" i="20"/>
  <c r="U2536" i="20"/>
  <c r="U2537" i="20"/>
  <c r="U2538" i="20"/>
  <c r="U2512" i="20"/>
  <c r="U2539" i="20"/>
  <c r="U2540" i="20"/>
  <c r="U2541" i="20"/>
  <c r="U2542" i="20"/>
  <c r="U2513" i="20"/>
  <c r="U2543" i="20"/>
  <c r="U2514" i="20"/>
  <c r="U2515" i="20"/>
  <c r="U2544" i="20"/>
  <c r="U2545" i="20"/>
  <c r="U2546" i="20"/>
  <c r="U2547" i="20"/>
  <c r="U2548" i="20"/>
  <c r="U2549" i="20"/>
  <c r="U2556" i="20"/>
  <c r="U2554" i="20"/>
  <c r="U2557" i="20"/>
  <c r="U2562" i="20"/>
  <c r="U2558" i="20"/>
  <c r="U2550" i="20"/>
  <c r="U2559" i="20"/>
  <c r="U2551" i="20"/>
  <c r="U2555" i="20"/>
  <c r="U2552" i="20"/>
  <c r="U2560" i="20"/>
  <c r="U2561" i="20"/>
  <c r="U2563" i="20"/>
  <c r="U2553" i="20"/>
  <c r="U2564" i="20"/>
  <c r="U2565" i="20"/>
  <c r="U2566" i="20"/>
  <c r="U2567" i="20"/>
  <c r="U2568" i="20"/>
  <c r="U2569" i="20"/>
  <c r="U2570" i="20"/>
  <c r="U2571" i="20"/>
  <c r="U2578" i="20"/>
  <c r="U2579" i="20"/>
  <c r="U2580" i="20"/>
  <c r="U2581" i="20"/>
  <c r="U2572" i="20"/>
  <c r="U2577" i="20"/>
  <c r="U2573" i="20"/>
  <c r="U2582" i="20"/>
  <c r="U2583" i="20"/>
  <c r="U2584" i="20"/>
  <c r="U2585" i="20"/>
  <c r="U2586" i="20"/>
  <c r="U2587" i="20"/>
  <c r="U2588" i="20"/>
  <c r="U2589" i="20"/>
  <c r="U2590" i="20"/>
  <c r="U2591" i="20"/>
  <c r="U2574" i="20"/>
  <c r="U2575" i="20"/>
  <c r="U2592" i="20"/>
  <c r="U2593" i="20"/>
  <c r="U2576" i="20"/>
  <c r="U2594" i="20"/>
  <c r="U2595" i="20"/>
  <c r="U2605" i="20"/>
  <c r="U2601" i="20"/>
  <c r="U2617" i="20"/>
  <c r="U2599" i="20"/>
  <c r="U2596" i="20"/>
  <c r="U2618" i="20"/>
  <c r="U2619" i="20"/>
  <c r="U2620" i="20"/>
  <c r="U2621" i="20"/>
  <c r="U2622" i="20"/>
  <c r="U2623" i="20"/>
  <c r="U2597" i="20"/>
  <c r="U2624" i="20"/>
  <c r="U2606" i="20"/>
  <c r="U2625" i="20"/>
  <c r="U2607" i="20"/>
  <c r="U2602" i="20"/>
  <c r="U2612" i="20"/>
  <c r="U2608" i="20"/>
  <c r="U2626" i="20"/>
  <c r="U2609" i="20"/>
  <c r="U2613" i="20"/>
  <c r="U2614" i="20"/>
  <c r="U2627" i="20"/>
  <c r="U2628" i="20"/>
  <c r="U2610" i="20"/>
  <c r="U2629" i="20"/>
  <c r="U2630" i="20"/>
  <c r="U2600" i="20"/>
  <c r="U2603" i="20"/>
  <c r="U2631" i="20"/>
  <c r="U2615" i="20"/>
  <c r="U2632" i="20"/>
  <c r="U2611" i="20"/>
  <c r="U2616" i="20"/>
  <c r="U2598" i="20"/>
  <c r="U2604" i="20"/>
  <c r="U2634" i="20"/>
  <c r="U2635" i="20"/>
  <c r="U2636" i="20"/>
  <c r="U2637" i="20"/>
  <c r="U2648" i="20"/>
  <c r="U2649" i="20"/>
  <c r="U2650" i="20"/>
  <c r="U2651" i="20"/>
  <c r="U2652" i="20"/>
  <c r="U2639" i="20"/>
  <c r="U2653" i="20"/>
  <c r="U2654" i="20"/>
  <c r="U2640" i="20"/>
  <c r="U2655" i="20"/>
  <c r="U2633" i="20"/>
  <c r="U2642" i="20"/>
  <c r="U2656" i="20"/>
  <c r="U2657" i="20"/>
  <c r="U2643" i="20"/>
  <c r="U2658" i="20"/>
  <c r="U2659" i="20"/>
  <c r="U2644" i="20"/>
  <c r="U2645" i="20"/>
  <c r="U2646" i="20"/>
  <c r="U2638" i="20"/>
  <c r="U2660" i="20"/>
  <c r="U2641" i="20"/>
  <c r="U2647" i="20"/>
  <c r="U2661" i="20"/>
  <c r="U2662" i="20"/>
  <c r="U2663" i="20"/>
  <c r="U2664" i="20"/>
  <c r="U2665" i="20"/>
  <c r="U2666" i="20"/>
  <c r="U2667" i="20"/>
  <c r="U2675" i="20"/>
  <c r="U2672" i="20"/>
  <c r="U2674" i="20"/>
  <c r="U2676" i="20"/>
  <c r="U2669" i="20"/>
  <c r="U2677" i="20"/>
  <c r="U2668" i="20"/>
  <c r="U2670" i="20"/>
  <c r="U2678" i="20"/>
  <c r="U2679" i="20"/>
  <c r="U2680" i="20"/>
  <c r="U2671" i="20"/>
  <c r="U2681" i="20"/>
  <c r="U2682" i="20"/>
  <c r="U2683" i="20"/>
  <c r="U2673" i="20"/>
  <c r="U2689" i="20"/>
  <c r="U2690" i="20"/>
  <c r="U2686" i="20"/>
  <c r="U2691" i="20"/>
  <c r="U2687" i="20"/>
  <c r="U2688" i="20"/>
  <c r="U2684" i="20"/>
  <c r="U2685" i="20"/>
  <c r="U2692" i="20"/>
  <c r="U2697" i="20"/>
  <c r="U2696" i="20"/>
  <c r="U2698" i="20"/>
  <c r="U2699" i="20"/>
  <c r="U2700" i="20"/>
  <c r="U2693" i="20"/>
  <c r="U2694" i="20"/>
  <c r="U2701" i="20"/>
  <c r="U2702" i="20"/>
  <c r="U2703" i="20"/>
  <c r="U2695" i="20"/>
  <c r="U2704" i="20"/>
  <c r="U2707" i="20"/>
  <c r="U2708" i="20"/>
  <c r="U2709" i="20"/>
  <c r="U2710" i="20"/>
  <c r="U2711" i="20"/>
  <c r="U2706" i="20"/>
  <c r="U2712" i="20"/>
  <c r="U2713" i="20"/>
  <c r="U2705" i="20"/>
  <c r="U2714" i="20"/>
  <c r="U2715" i="20"/>
  <c r="U2716" i="20"/>
  <c r="U2717" i="20"/>
  <c r="U2718" i="20"/>
  <c r="U2727" i="20"/>
  <c r="U2720" i="20"/>
  <c r="U2728" i="20"/>
  <c r="U2719" i="20"/>
  <c r="U2729" i="20"/>
  <c r="U2721" i="20"/>
  <c r="U2730" i="20"/>
  <c r="U2723" i="20"/>
  <c r="U2724" i="20"/>
  <c r="U2731" i="20"/>
  <c r="U2732" i="20"/>
  <c r="U2725" i="20"/>
  <c r="U2726" i="20"/>
  <c r="U2722" i="20"/>
  <c r="U2734" i="20"/>
  <c r="U2735" i="20"/>
  <c r="U2736" i="20"/>
  <c r="U2737" i="20"/>
  <c r="U2738" i="20"/>
  <c r="U2743" i="20"/>
  <c r="U2739" i="20"/>
  <c r="U2740" i="20"/>
  <c r="U2741" i="20"/>
  <c r="U2733" i="20"/>
  <c r="U2744" i="20"/>
  <c r="U2745" i="20"/>
  <c r="U2746" i="20"/>
  <c r="U2747" i="20"/>
  <c r="U2748" i="20"/>
  <c r="U2749" i="20"/>
  <c r="U2750" i="20"/>
  <c r="U2751" i="20"/>
  <c r="U2752" i="20"/>
  <c r="U2753" i="20"/>
  <c r="U2754" i="20"/>
  <c r="U2755" i="20"/>
  <c r="U2756" i="20"/>
  <c r="U2742" i="20"/>
  <c r="U2767" i="20"/>
  <c r="U2768" i="20"/>
  <c r="U2769" i="20"/>
  <c r="U2770" i="20"/>
  <c r="U2771" i="20"/>
  <c r="U2772" i="20"/>
  <c r="U2773" i="20"/>
  <c r="U2774" i="20"/>
  <c r="U2760" i="20"/>
  <c r="U2775" i="20"/>
  <c r="U2776" i="20"/>
  <c r="U2777" i="20"/>
  <c r="U2778" i="20"/>
  <c r="U2779" i="20"/>
  <c r="U2780" i="20"/>
  <c r="U2781" i="20"/>
  <c r="U2782" i="20"/>
  <c r="U2783" i="20"/>
  <c r="U2784" i="20"/>
  <c r="U2785" i="20"/>
  <c r="U2786" i="20"/>
  <c r="U2787" i="20"/>
  <c r="U2788" i="20"/>
  <c r="U2831" i="20"/>
  <c r="U2789" i="20"/>
  <c r="U2790" i="20"/>
  <c r="U2761" i="20"/>
  <c r="U2762" i="20"/>
  <c r="U2791" i="20"/>
  <c r="U2792" i="20"/>
  <c r="U2793" i="20"/>
  <c r="U2829" i="20"/>
  <c r="U2794" i="20"/>
  <c r="U2795" i="20"/>
  <c r="U2796" i="20"/>
  <c r="U2797" i="20"/>
  <c r="U2798" i="20"/>
  <c r="U2799" i="20"/>
  <c r="U2800" i="20"/>
  <c r="U2801" i="20"/>
  <c r="U2802" i="20"/>
  <c r="U2803" i="20"/>
  <c r="U2804" i="20"/>
  <c r="U2757" i="20"/>
  <c r="U2805" i="20"/>
  <c r="U2806" i="20"/>
  <c r="U2807" i="20"/>
  <c r="U2808" i="20"/>
  <c r="U2809" i="20"/>
  <c r="U2810" i="20"/>
  <c r="U2811" i="20"/>
  <c r="U2763" i="20"/>
  <c r="U2812" i="20"/>
  <c r="U2764" i="20"/>
  <c r="U2813" i="20"/>
  <c r="U2814" i="20"/>
  <c r="U2815" i="20"/>
  <c r="U2758" i="20"/>
  <c r="U2759" i="20"/>
  <c r="U2816" i="20"/>
  <c r="U2817" i="20"/>
  <c r="U2818" i="20"/>
  <c r="U2832" i="20"/>
  <c r="U2830" i="20"/>
  <c r="U2819" i="20"/>
  <c r="U2820" i="20"/>
  <c r="U2821" i="20"/>
  <c r="U2822" i="20"/>
  <c r="U2823" i="20"/>
  <c r="U2824" i="20"/>
  <c r="U2765" i="20"/>
  <c r="U2825" i="20"/>
  <c r="U2826" i="20"/>
  <c r="U2827" i="20"/>
  <c r="U2828" i="20"/>
  <c r="U2766" i="20"/>
  <c r="U2840" i="20"/>
  <c r="U2841" i="20"/>
  <c r="U2833" i="20"/>
  <c r="U2850" i="20"/>
  <c r="U2852" i="20"/>
  <c r="U2842" i="20"/>
  <c r="U2843" i="20"/>
  <c r="U2844" i="20"/>
  <c r="U2834" i="20"/>
  <c r="U2835" i="20"/>
  <c r="U2845" i="20"/>
  <c r="U2836" i="20"/>
  <c r="U2846" i="20"/>
  <c r="U2847" i="20"/>
  <c r="U2837" i="20"/>
  <c r="U2858" i="20"/>
  <c r="U2853" i="20"/>
  <c r="U2851" i="20"/>
  <c r="U2854" i="20"/>
  <c r="U2838" i="20"/>
  <c r="U2855" i="20"/>
  <c r="U2848" i="20"/>
  <c r="U2839" i="20"/>
  <c r="U2849" i="20"/>
  <c r="U2856" i="20"/>
  <c r="U2857" i="20"/>
  <c r="U2879" i="20"/>
  <c r="U2880" i="20"/>
  <c r="U2881" i="20"/>
  <c r="U2874" i="20"/>
  <c r="U2882" i="20"/>
  <c r="U2868" i="20"/>
  <c r="U2883" i="20"/>
  <c r="U2884" i="20"/>
  <c r="U2885" i="20"/>
  <c r="U2869" i="20"/>
  <c r="U2886" i="20"/>
  <c r="U2887" i="20"/>
  <c r="U2859" i="20"/>
  <c r="U2864" i="20"/>
  <c r="U2875" i="20"/>
  <c r="U2872" i="20"/>
  <c r="U2876" i="20"/>
  <c r="U2870" i="20"/>
  <c r="U2877" i="20"/>
  <c r="U2860" i="20"/>
  <c r="U2888" i="20"/>
  <c r="U2865" i="20"/>
  <c r="U2873" i="20"/>
  <c r="U2889" i="20"/>
  <c r="U2866" i="20"/>
  <c r="U2861" i="20"/>
  <c r="U2871" i="20"/>
  <c r="U2862" i="20"/>
  <c r="U2867" i="20"/>
  <c r="U2863" i="20"/>
  <c r="U2878" i="20"/>
  <c r="U2896" i="20"/>
  <c r="U2897" i="20"/>
  <c r="U2890" i="20"/>
  <c r="U2907" i="20"/>
  <c r="U2910" i="20"/>
  <c r="U2898" i="20"/>
  <c r="U2899" i="20"/>
  <c r="U2891" i="20"/>
  <c r="U2900" i="20"/>
  <c r="U2892" i="20"/>
  <c r="U2893" i="20"/>
  <c r="U2901" i="20"/>
  <c r="U2908" i="20"/>
  <c r="U2902" i="20"/>
  <c r="U2894" i="20"/>
  <c r="U2909" i="20"/>
  <c r="U2895" i="20"/>
  <c r="U2903" i="20"/>
  <c r="U2911" i="20"/>
  <c r="U2904" i="20"/>
  <c r="U2905" i="20"/>
  <c r="U2906" i="20"/>
  <c r="U2912" i="20"/>
  <c r="U2920" i="20"/>
  <c r="U2921" i="20"/>
  <c r="U2913" i="20"/>
  <c r="U2914" i="20"/>
  <c r="U2915" i="20"/>
  <c r="U2922" i="20"/>
  <c r="U2923" i="20"/>
  <c r="U2916" i="20"/>
  <c r="U2924" i="20"/>
  <c r="U2917" i="20"/>
  <c r="U2918" i="20"/>
  <c r="U2925" i="20"/>
  <c r="U2919" i="20"/>
  <c r="U2926" i="20"/>
  <c r="U2927" i="20"/>
  <c r="U2928" i="20"/>
  <c r="U2929" i="20"/>
  <c r="U2931" i="20"/>
  <c r="U2932" i="20"/>
  <c r="U2930" i="20"/>
  <c r="U2933" i="20"/>
  <c r="U2934" i="20"/>
  <c r="U2935" i="20"/>
  <c r="U2936" i="20"/>
  <c r="U2937" i="20"/>
  <c r="U2938" i="20"/>
  <c r="U2939" i="20"/>
  <c r="U2940" i="20"/>
  <c r="U2941" i="20"/>
  <c r="U2942" i="20"/>
  <c r="U2943" i="20"/>
  <c r="U2944" i="20"/>
  <c r="U2949" i="20"/>
  <c r="U2947" i="20"/>
  <c r="U2945" i="20"/>
  <c r="U2946" i="20"/>
  <c r="U2948" i="20"/>
  <c r="U2950" i="20"/>
  <c r="U2951" i="20"/>
  <c r="U2952" i="20"/>
  <c r="U2953" i="20"/>
  <c r="U2954" i="20"/>
  <c r="U2955" i="20"/>
  <c r="U2967" i="20"/>
  <c r="U2964" i="20"/>
  <c r="U2956" i="20"/>
  <c r="U2963" i="20"/>
  <c r="U2965" i="20"/>
  <c r="U2961" i="20"/>
  <c r="U2957" i="20"/>
  <c r="U2968" i="20"/>
  <c r="U2958" i="20"/>
  <c r="U2966" i="20"/>
  <c r="U2962" i="20"/>
  <c r="U2959" i="20"/>
  <c r="U2960" i="20"/>
  <c r="U2969" i="20"/>
  <c r="U2970" i="20"/>
  <c r="U2971" i="20"/>
  <c r="U2972" i="20"/>
  <c r="U2973" i="20"/>
  <c r="U2974" i="20"/>
  <c r="U2975" i="20"/>
  <c r="U2976" i="20"/>
  <c r="U2977" i="20"/>
  <c r="U2978" i="20"/>
  <c r="U2979" i="20"/>
  <c r="U2980" i="20"/>
  <c r="U2981" i="20"/>
  <c r="U2982" i="20"/>
  <c r="U2983" i="20"/>
  <c r="U2984" i="20"/>
  <c r="U2994" i="20"/>
  <c r="U2995" i="20"/>
  <c r="U3002" i="20"/>
  <c r="U2986" i="20"/>
  <c r="U2990" i="20"/>
  <c r="U2991" i="20"/>
  <c r="U2987" i="20"/>
  <c r="U2996" i="20"/>
  <c r="U3000" i="20"/>
  <c r="U2997" i="20"/>
  <c r="U3003" i="20"/>
  <c r="U3004" i="20"/>
  <c r="U2988" i="20"/>
  <c r="U2989" i="20"/>
  <c r="U2992" i="20"/>
  <c r="U3001" i="20"/>
  <c r="U2998" i="20"/>
  <c r="U2999" i="20"/>
  <c r="U2993" i="20"/>
  <c r="U3005" i="20"/>
  <c r="U3011" i="20"/>
  <c r="U3012" i="20"/>
  <c r="U3006" i="20"/>
  <c r="U3013" i="20"/>
  <c r="U3009" i="20"/>
  <c r="U3014" i="20"/>
  <c r="U3007" i="20"/>
  <c r="U3015" i="20"/>
  <c r="U3016" i="20"/>
  <c r="U3010" i="20"/>
  <c r="U3017" i="20"/>
  <c r="U3018" i="20"/>
  <c r="U3022" i="20"/>
  <c r="U3019" i="20"/>
  <c r="U3023" i="20"/>
  <c r="U3024" i="20"/>
  <c r="U3025" i="20"/>
  <c r="U3026" i="20"/>
  <c r="U3027" i="20"/>
  <c r="U3028" i="20"/>
  <c r="U3020" i="20"/>
  <c r="U3021" i="20"/>
  <c r="U3029" i="20"/>
  <c r="U3030" i="20"/>
  <c r="U3031" i="20"/>
  <c r="U3032" i="20"/>
  <c r="U3033" i="20"/>
  <c r="U3034" i="20"/>
  <c r="U3035" i="20"/>
  <c r="U3036" i="20"/>
  <c r="U3037" i="20"/>
  <c r="U3038" i="20"/>
  <c r="U3039" i="20"/>
  <c r="U3040" i="20"/>
  <c r="U3041" i="20"/>
  <c r="U3042" i="20"/>
  <c r="U3043" i="20"/>
  <c r="U3044" i="20"/>
  <c r="U3045" i="20"/>
  <c r="U3046" i="20"/>
  <c r="U3047" i="20"/>
  <c r="U3048" i="20"/>
  <c r="U3057" i="20"/>
  <c r="U3049" i="20"/>
  <c r="U3058" i="20"/>
  <c r="U3059" i="20"/>
  <c r="U3060" i="20"/>
  <c r="U3050" i="20"/>
  <c r="U3061" i="20"/>
  <c r="U3051" i="20"/>
  <c r="U3062" i="20"/>
  <c r="U3063" i="20"/>
  <c r="U3055" i="20"/>
  <c r="U3056" i="20"/>
  <c r="U3052" i="20"/>
  <c r="U3053" i="20"/>
  <c r="U3054" i="20"/>
  <c r="U3064" i="20"/>
  <c r="U3066" i="20"/>
  <c r="U3067" i="20"/>
  <c r="U3068" i="20"/>
  <c r="U3069" i="20"/>
  <c r="U3070" i="20"/>
  <c r="U3071" i="20"/>
  <c r="U3072" i="20"/>
  <c r="U3073" i="20"/>
  <c r="U3065" i="20"/>
  <c r="U3087" i="20"/>
  <c r="U3074" i="20"/>
  <c r="U3088" i="20"/>
  <c r="U3075" i="20"/>
  <c r="U3076" i="20"/>
  <c r="U3077" i="20"/>
  <c r="U3078" i="20"/>
  <c r="U3079" i="20"/>
  <c r="U3080" i="20"/>
  <c r="U3081" i="20"/>
  <c r="U3089" i="20"/>
  <c r="U3082" i="20"/>
  <c r="U3083" i="20"/>
  <c r="U3084" i="20"/>
  <c r="U3085" i="20"/>
  <c r="U3086" i="20"/>
  <c r="U3090" i="20"/>
  <c r="U3091" i="20"/>
  <c r="U3092" i="20"/>
  <c r="U3093" i="20"/>
  <c r="U3094" i="20"/>
  <c r="U3095" i="20"/>
  <c r="U3096" i="20"/>
  <c r="U3097" i="20"/>
  <c r="U3098" i="20"/>
  <c r="U3099" i="20"/>
  <c r="U3100" i="20"/>
  <c r="U3101" i="20"/>
  <c r="U3102" i="20"/>
  <c r="U3103" i="20"/>
  <c r="U3104" i="20"/>
  <c r="U3105" i="20"/>
  <c r="S6" i="20"/>
  <c r="S7" i="20"/>
  <c r="S8" i="20"/>
  <c r="S9" i="20"/>
  <c r="S10" i="20"/>
  <c r="S11" i="20"/>
  <c r="S12" i="20"/>
  <c r="S13" i="20"/>
  <c r="S14" i="20"/>
  <c r="S15" i="20"/>
  <c r="S16" i="20"/>
  <c r="S17" i="20"/>
  <c r="S18" i="20"/>
  <c r="S19" i="20"/>
  <c r="S20" i="20"/>
  <c r="S21" i="20"/>
  <c r="S22" i="20"/>
  <c r="S23" i="20"/>
  <c r="S24" i="20"/>
  <c r="S25" i="20"/>
  <c r="S26" i="20"/>
  <c r="S27" i="20"/>
  <c r="S28" i="20"/>
  <c r="S29" i="20"/>
  <c r="S30" i="20"/>
  <c r="S31" i="20"/>
  <c r="S32" i="20"/>
  <c r="S33" i="20"/>
  <c r="S34" i="20"/>
  <c r="S35" i="20"/>
  <c r="S36" i="20"/>
  <c r="S37" i="20"/>
  <c r="S38" i="20"/>
  <c r="S39" i="20"/>
  <c r="S40" i="20"/>
  <c r="S41" i="20"/>
  <c r="S42" i="20"/>
  <c r="S43" i="20"/>
  <c r="S44" i="20"/>
  <c r="S45" i="20"/>
  <c r="S46" i="20"/>
  <c r="S47" i="20"/>
  <c r="S48" i="20"/>
  <c r="S49" i="20"/>
  <c r="S50" i="20"/>
  <c r="S51" i="20"/>
  <c r="S52" i="20"/>
  <c r="S53" i="20"/>
  <c r="S54" i="20"/>
  <c r="S55" i="20"/>
  <c r="S56" i="20"/>
  <c r="S57" i="20"/>
  <c r="S58" i="20"/>
  <c r="S59" i="20"/>
  <c r="S60" i="20"/>
  <c r="S61" i="20"/>
  <c r="S62" i="20"/>
  <c r="S63" i="20"/>
  <c r="S64" i="20"/>
  <c r="S65" i="20"/>
  <c r="S66" i="20"/>
  <c r="S67" i="20"/>
  <c r="S68" i="20"/>
  <c r="S69" i="20"/>
  <c r="S70" i="20"/>
  <c r="S71" i="20"/>
  <c r="S72" i="20"/>
  <c r="S73" i="20"/>
  <c r="S74" i="20"/>
  <c r="S75" i="20"/>
  <c r="S76" i="20"/>
  <c r="S77" i="20"/>
  <c r="S78" i="20"/>
  <c r="S79" i="20"/>
  <c r="S80" i="20"/>
  <c r="S81" i="20"/>
  <c r="S82" i="20"/>
  <c r="S83" i="20"/>
  <c r="S84" i="20"/>
  <c r="S85" i="20"/>
  <c r="S86" i="20"/>
  <c r="S87" i="20"/>
  <c r="S88" i="20"/>
  <c r="S89" i="20"/>
  <c r="S90" i="20"/>
  <c r="S91" i="20"/>
  <c r="S92" i="20"/>
  <c r="S93" i="20"/>
  <c r="S94" i="20"/>
  <c r="S95" i="20"/>
  <c r="S96" i="20"/>
  <c r="S97" i="20"/>
  <c r="S98" i="20"/>
  <c r="S99" i="20"/>
  <c r="S100" i="20"/>
  <c r="S101" i="20"/>
  <c r="S102" i="20"/>
  <c r="S103" i="20"/>
  <c r="S104" i="20"/>
  <c r="S105" i="20"/>
  <c r="S106" i="20"/>
  <c r="S107" i="20"/>
  <c r="S108" i="20"/>
  <c r="S110" i="20"/>
  <c r="S111" i="20"/>
  <c r="S112" i="20"/>
  <c r="S113" i="20"/>
  <c r="S114" i="20"/>
  <c r="S115" i="20"/>
  <c r="S116" i="20"/>
  <c r="S117" i="20"/>
  <c r="S118" i="20"/>
  <c r="S119" i="20"/>
  <c r="S120" i="20"/>
  <c r="S121" i="20"/>
  <c r="S122" i="20"/>
  <c r="S123" i="20"/>
  <c r="S124" i="20"/>
  <c r="S125" i="20"/>
  <c r="S126" i="20"/>
  <c r="S127" i="20"/>
  <c r="S128" i="20"/>
  <c r="S129" i="20"/>
  <c r="S130" i="20"/>
  <c r="S131" i="20"/>
  <c r="S132" i="20"/>
  <c r="S133" i="20"/>
  <c r="S134" i="20"/>
  <c r="S135" i="20"/>
  <c r="S136" i="20"/>
  <c r="S137" i="20"/>
  <c r="S138" i="20"/>
  <c r="S139" i="20"/>
  <c r="S140" i="20"/>
  <c r="S141" i="20"/>
  <c r="S142" i="20"/>
  <c r="S143" i="20"/>
  <c r="S144" i="20"/>
  <c r="S145" i="20"/>
  <c r="S146" i="20"/>
  <c r="S147" i="20"/>
  <c r="S148" i="20"/>
  <c r="S149" i="20"/>
  <c r="S150" i="20"/>
  <c r="S151" i="20"/>
  <c r="S152" i="20"/>
  <c r="S159" i="20"/>
  <c r="S164" i="20"/>
  <c r="S165" i="20"/>
  <c r="S376" i="20"/>
  <c r="S377" i="20"/>
  <c r="S167" i="20"/>
  <c r="S199" i="20"/>
  <c r="S170" i="20"/>
  <c r="S378" i="20"/>
  <c r="S202" i="20"/>
  <c r="S203" i="20"/>
  <c r="S204" i="20"/>
  <c r="S355" i="20"/>
  <c r="S356" i="20"/>
  <c r="S379" i="20"/>
  <c r="S357" i="20"/>
  <c r="S208" i="20"/>
  <c r="S209" i="20"/>
  <c r="S358" i="20"/>
  <c r="S360" i="20"/>
  <c r="S211" i="20"/>
  <c r="S361" i="20"/>
  <c r="S359" i="20"/>
  <c r="S183" i="20"/>
  <c r="S174" i="20"/>
  <c r="S185" i="20"/>
  <c r="S186" i="20"/>
  <c r="S175" i="20"/>
  <c r="S155" i="20"/>
  <c r="S188" i="20"/>
  <c r="S219" i="20"/>
  <c r="S189" i="20"/>
  <c r="S228" i="20"/>
  <c r="S234" i="20"/>
  <c r="S172" i="20"/>
  <c r="S190" i="20"/>
  <c r="S184" i="20"/>
  <c r="S191" i="20"/>
  <c r="S156" i="20"/>
  <c r="S244" i="20"/>
  <c r="S192" i="20"/>
  <c r="S193" i="20"/>
  <c r="S194" i="20"/>
  <c r="S177" i="20"/>
  <c r="S173" i="20"/>
  <c r="S178" i="20"/>
  <c r="S197" i="20"/>
  <c r="S180" i="20"/>
  <c r="S214" i="20"/>
  <c r="S215" i="20"/>
  <c r="S268" i="20"/>
  <c r="S217" i="20"/>
  <c r="S218" i="20"/>
  <c r="S269" i="20"/>
  <c r="S252" i="20"/>
  <c r="S220" i="20"/>
  <c r="S221" i="20"/>
  <c r="S288" i="20"/>
  <c r="S222" i="20"/>
  <c r="S253" i="20"/>
  <c r="S254" i="20"/>
  <c r="S223" i="20"/>
  <c r="S255" i="20"/>
  <c r="S224" i="20"/>
  <c r="S289" i="20"/>
  <c r="S225" i="20"/>
  <c r="S283" i="20"/>
  <c r="S284" i="20"/>
  <c r="S226" i="20"/>
  <c r="S227" i="20"/>
  <c r="S258" i="20"/>
  <c r="S290" i="20"/>
  <c r="S291" i="20"/>
  <c r="S270" i="20"/>
  <c r="S229" i="20"/>
  <c r="S230" i="20"/>
  <c r="S285" i="20"/>
  <c r="S231" i="20"/>
  <c r="S232" i="20"/>
  <c r="S233" i="20"/>
  <c r="S260" i="20"/>
  <c r="S261" i="20"/>
  <c r="S287" i="20"/>
  <c r="S235" i="20"/>
  <c r="S236" i="20"/>
  <c r="S237" i="20"/>
  <c r="S238" i="20"/>
  <c r="S262" i="20"/>
  <c r="S239" i="20"/>
  <c r="S286" i="20"/>
  <c r="S265" i="20"/>
  <c r="S240" i="20"/>
  <c r="S241" i="20"/>
  <c r="S242" i="20"/>
  <c r="S271" i="20"/>
  <c r="S312" i="20"/>
  <c r="S275" i="20"/>
  <c r="S296" i="20"/>
  <c r="S277" i="20"/>
  <c r="S306" i="20"/>
  <c r="S272" i="20"/>
  <c r="S298" i="20"/>
  <c r="S273" i="20"/>
  <c r="S299" i="20"/>
  <c r="S300" i="20"/>
  <c r="S274" i="20"/>
  <c r="S301" i="20"/>
  <c r="S292" i="20"/>
  <c r="S302" i="20"/>
  <c r="S293" i="20"/>
  <c r="S279" i="20"/>
  <c r="S264" i="20"/>
  <c r="S305" i="20"/>
  <c r="S307" i="20"/>
  <c r="S311" i="20"/>
  <c r="S294" i="20"/>
  <c r="S163" i="20"/>
  <c r="S276" i="20"/>
  <c r="S157" i="20"/>
  <c r="S160" i="20"/>
  <c r="S158" i="20"/>
  <c r="S166" i="20"/>
  <c r="S278" i="20"/>
  <c r="S153" i="20"/>
  <c r="S154" i="20"/>
  <c r="S267" i="20"/>
  <c r="S196" i="20"/>
  <c r="S198" i="20"/>
  <c r="S168" i="20"/>
  <c r="S169" i="20"/>
  <c r="S352" i="20"/>
  <c r="S348" i="20"/>
  <c r="S171" i="20"/>
  <c r="S353" i="20"/>
  <c r="S365" i="20"/>
  <c r="S295" i="20"/>
  <c r="S362" i="20"/>
  <c r="S380" i="20"/>
  <c r="S354" i="20"/>
  <c r="S368" i="20"/>
  <c r="S374" i="20"/>
  <c r="S363" i="20"/>
  <c r="S297" i="20"/>
  <c r="S364" i="20"/>
  <c r="S350" i="20"/>
  <c r="S381" i="20"/>
  <c r="S303" i="20"/>
  <c r="S382" i="20"/>
  <c r="S176" i="20"/>
  <c r="S304" i="20"/>
  <c r="S375" i="20"/>
  <c r="S313" i="20"/>
  <c r="S322" i="20"/>
  <c r="S324" i="20"/>
  <c r="S330" i="20"/>
  <c r="S332" i="20"/>
  <c r="S335" i="20"/>
  <c r="S338" i="20"/>
  <c r="S187" i="20"/>
  <c r="S325" i="20"/>
  <c r="S314" i="20"/>
  <c r="S280" i="20"/>
  <c r="S315" i="20"/>
  <c r="S316" i="20"/>
  <c r="S308" i="20"/>
  <c r="S317" i="20"/>
  <c r="S318" i="20"/>
  <c r="S319" i="20"/>
  <c r="S320" i="20"/>
  <c r="S321" i="20"/>
  <c r="S327" i="20"/>
  <c r="S339" i="20"/>
  <c r="S323" i="20"/>
  <c r="S328" i="20"/>
  <c r="S340" i="20"/>
  <c r="S309" i="20"/>
  <c r="S329" i="20"/>
  <c r="S282" i="20"/>
  <c r="S326" i="20"/>
  <c r="S310" i="20"/>
  <c r="S216" i="20"/>
  <c r="S331" i="20"/>
  <c r="S200" i="20"/>
  <c r="S206" i="20"/>
  <c r="S207" i="20"/>
  <c r="S243" i="20"/>
  <c r="S210" i="20"/>
  <c r="S345" i="20"/>
  <c r="S245" i="20"/>
  <c r="S346" i="20"/>
  <c r="S347" i="20"/>
  <c r="S333" i="20"/>
  <c r="S212" i="20"/>
  <c r="S349" i="20"/>
  <c r="S213" i="20"/>
  <c r="S351" i="20"/>
  <c r="S334" i="20"/>
  <c r="S201" i="20"/>
  <c r="S336" i="20"/>
  <c r="S337" i="20"/>
  <c r="S246" i="20"/>
  <c r="S205" i="20"/>
  <c r="S247" i="20"/>
  <c r="S179" i="20"/>
  <c r="S248" i="20"/>
  <c r="S366" i="20"/>
  <c r="S367" i="20"/>
  <c r="S257" i="20"/>
  <c r="S249" i="20"/>
  <c r="S263" i="20"/>
  <c r="S161" i="20"/>
  <c r="S181" i="20"/>
  <c r="S369" i="20"/>
  <c r="S259" i="20"/>
  <c r="S162" i="20"/>
  <c r="S371" i="20"/>
  <c r="S250" i="20"/>
  <c r="S251" i="20"/>
  <c r="S182" i="20"/>
  <c r="S256" i="20"/>
  <c r="S266" i="20"/>
  <c r="S372" i="20"/>
  <c r="S383" i="20"/>
  <c r="S341" i="20"/>
  <c r="S384" i="20"/>
  <c r="S342" i="20"/>
  <c r="S385" i="20"/>
  <c r="S343" i="20"/>
  <c r="S195" i="20"/>
  <c r="S386" i="20"/>
  <c r="S344" i="20"/>
  <c r="S387" i="20"/>
  <c r="S370" i="20"/>
  <c r="S388" i="20"/>
  <c r="S373" i="20"/>
  <c r="S389" i="20"/>
  <c r="S395" i="20"/>
  <c r="S396" i="20"/>
  <c r="S390" i="20"/>
  <c r="S404" i="20"/>
  <c r="S397" i="20"/>
  <c r="S400" i="20"/>
  <c r="S405" i="20"/>
  <c r="S391" i="20"/>
  <c r="S399" i="20"/>
  <c r="S392" i="20"/>
  <c r="S402" i="20"/>
  <c r="S403" i="20"/>
  <c r="S401" i="20"/>
  <c r="S394" i="20"/>
  <c r="S410" i="20"/>
  <c r="S411" i="20"/>
  <c r="S414" i="20"/>
  <c r="S412" i="20"/>
  <c r="S409" i="20"/>
  <c r="S413" i="20"/>
  <c r="S407" i="20"/>
  <c r="S406" i="20"/>
  <c r="S415" i="20"/>
  <c r="S416" i="20"/>
  <c r="S417" i="20"/>
  <c r="S418" i="20"/>
  <c r="S419" i="20"/>
  <c r="S420" i="20"/>
  <c r="S421" i="20"/>
  <c r="S422" i="20"/>
  <c r="S423" i="20"/>
  <c r="S424" i="20"/>
  <c r="S425" i="20"/>
  <c r="S426" i="20"/>
  <c r="S427" i="20"/>
  <c r="S428" i="20"/>
  <c r="S429" i="20"/>
  <c r="S430" i="20"/>
  <c r="S431" i="20"/>
  <c r="S432" i="20"/>
  <c r="S433" i="20"/>
  <c r="S434" i="20"/>
  <c r="S435" i="20"/>
  <c r="S436" i="20"/>
  <c r="S437" i="20"/>
  <c r="S438" i="20"/>
  <c r="S439" i="20"/>
  <c r="S440" i="20"/>
  <c r="S441" i="20"/>
  <c r="S453" i="20"/>
  <c r="S446" i="20"/>
  <c r="S459" i="20"/>
  <c r="S442" i="20"/>
  <c r="S447" i="20"/>
  <c r="S443" i="20"/>
  <c r="S460" i="20"/>
  <c r="S448" i="20"/>
  <c r="S454" i="20"/>
  <c r="S449" i="20"/>
  <c r="S444" i="20"/>
  <c r="S445" i="20"/>
  <c r="S450" i="20"/>
  <c r="S455" i="20"/>
  <c r="S456" i="20"/>
  <c r="S451" i="20"/>
  <c r="S457" i="20"/>
  <c r="S458" i="20"/>
  <c r="S452" i="20"/>
  <c r="S462" i="20"/>
  <c r="S461" i="20"/>
  <c r="S463" i="20"/>
  <c r="S465" i="20"/>
  <c r="S464" i="20"/>
  <c r="S466" i="20"/>
  <c r="S467" i="20"/>
  <c r="S468" i="20"/>
  <c r="S469" i="20"/>
  <c r="S470" i="20"/>
  <c r="S471" i="20"/>
  <c r="S472" i="20"/>
  <c r="S473" i="20"/>
  <c r="S474" i="20"/>
  <c r="S480" i="20"/>
  <c r="S475" i="20"/>
  <c r="S481" i="20"/>
  <c r="S482" i="20"/>
  <c r="S483" i="20"/>
  <c r="S488" i="20"/>
  <c r="S484" i="20"/>
  <c r="S476" i="20"/>
  <c r="S485" i="20"/>
  <c r="S486" i="20"/>
  <c r="S477" i="20"/>
  <c r="S478" i="20"/>
  <c r="S479" i="20"/>
  <c r="S487" i="20"/>
  <c r="S489" i="20"/>
  <c r="S490" i="20"/>
  <c r="S491" i="20"/>
  <c r="S499" i="20"/>
  <c r="S500" i="20"/>
  <c r="S501" i="20"/>
  <c r="S492" i="20"/>
  <c r="S493" i="20"/>
  <c r="S502" i="20"/>
  <c r="S494" i="20"/>
  <c r="S503" i="20"/>
  <c r="S495" i="20"/>
  <c r="S504" i="20"/>
  <c r="S505" i="20"/>
  <c r="S506" i="20"/>
  <c r="S507" i="20"/>
  <c r="S496" i="20"/>
  <c r="S508" i="20"/>
  <c r="S509" i="20"/>
  <c r="S497" i="20"/>
  <c r="S510" i="20"/>
  <c r="S511" i="20"/>
  <c r="S498" i="20"/>
  <c r="S512" i="20"/>
  <c r="S513" i="20"/>
  <c r="S514" i="20"/>
  <c r="S515" i="20"/>
  <c r="S516" i="20"/>
  <c r="S517" i="20"/>
  <c r="S521" i="20"/>
  <c r="S522" i="20"/>
  <c r="S534" i="20"/>
  <c r="S535" i="20"/>
  <c r="S536" i="20"/>
  <c r="S537" i="20"/>
  <c r="S538" i="20"/>
  <c r="S539" i="20"/>
  <c r="S568" i="20"/>
  <c r="S523" i="20"/>
  <c r="S524" i="20"/>
  <c r="S518" i="20"/>
  <c r="S540" i="20"/>
  <c r="S541" i="20"/>
  <c r="S542" i="20"/>
  <c r="S525" i="20"/>
  <c r="S543" i="20"/>
  <c r="S544" i="20"/>
  <c r="S565" i="20"/>
  <c r="S545" i="20"/>
  <c r="S526" i="20"/>
  <c r="S546" i="20"/>
  <c r="S547" i="20"/>
  <c r="S549" i="20"/>
  <c r="S550" i="20"/>
  <c r="S527" i="20"/>
  <c r="S551" i="20"/>
  <c r="S520" i="20"/>
  <c r="S552" i="20"/>
  <c r="S553" i="20"/>
  <c r="S554" i="20"/>
  <c r="S555" i="20"/>
  <c r="S533" i="20"/>
  <c r="S567" i="20"/>
  <c r="S556" i="20"/>
  <c r="S528" i="20"/>
  <c r="S557" i="20"/>
  <c r="S529" i="20"/>
  <c r="S530" i="20"/>
  <c r="S558" i="20"/>
  <c r="S566" i="20"/>
  <c r="S559" i="20"/>
  <c r="S560" i="20"/>
  <c r="S561" i="20"/>
  <c r="S531" i="20"/>
  <c r="S562" i="20"/>
  <c r="S563" i="20"/>
  <c r="S532" i="20"/>
  <c r="S564" i="20"/>
  <c r="S584" i="20"/>
  <c r="S569" i="20"/>
  <c r="S570" i="20"/>
  <c r="S585" i="20"/>
  <c r="S590" i="20"/>
  <c r="S591" i="20"/>
  <c r="S592" i="20"/>
  <c r="S571" i="20"/>
  <c r="S572" i="20"/>
  <c r="S573" i="20"/>
  <c r="S574" i="20"/>
  <c r="S575" i="20"/>
  <c r="S586" i="20"/>
  <c r="S593" i="20"/>
  <c r="S576" i="20"/>
  <c r="S577" i="20"/>
  <c r="S578" i="20"/>
  <c r="S579" i="20"/>
  <c r="S587" i="20"/>
  <c r="S580" i="20"/>
  <c r="S594" i="20"/>
  <c r="S588" i="20"/>
  <c r="S581" i="20"/>
  <c r="S582" i="20"/>
  <c r="S583" i="20"/>
  <c r="S589" i="20"/>
  <c r="S606" i="20"/>
  <c r="S602" i="20"/>
  <c r="S603" i="20"/>
  <c r="S604" i="20"/>
  <c r="S607" i="20"/>
  <c r="S608" i="20"/>
  <c r="S609" i="20"/>
  <c r="S610" i="20"/>
  <c r="S611" i="20"/>
  <c r="S612" i="20"/>
  <c r="S613" i="20"/>
  <c r="S614" i="20"/>
  <c r="S615" i="20"/>
  <c r="S616" i="20"/>
  <c r="S617" i="20"/>
  <c r="S618" i="20"/>
  <c r="S595" i="20"/>
  <c r="S619" i="20"/>
  <c r="S620" i="20"/>
  <c r="S596" i="20"/>
  <c r="S621" i="20"/>
  <c r="S597" i="20"/>
  <c r="S605" i="20"/>
  <c r="S622" i="20"/>
  <c r="S623" i="20"/>
  <c r="S598" i="20"/>
  <c r="S624" i="20"/>
  <c r="S625" i="20"/>
  <c r="S626" i="20"/>
  <c r="S599" i="20"/>
  <c r="S627" i="20"/>
  <c r="S600" i="20"/>
  <c r="S628" i="20"/>
  <c r="S629" i="20"/>
  <c r="S601" i="20"/>
  <c r="S630" i="20"/>
  <c r="S631" i="20"/>
  <c r="S632" i="20"/>
  <c r="S633" i="20"/>
  <c r="S634" i="20"/>
  <c r="S635" i="20"/>
  <c r="S636" i="20"/>
  <c r="S637" i="20"/>
  <c r="S638" i="20"/>
  <c r="S639" i="20"/>
  <c r="S640" i="20"/>
  <c r="S641" i="20"/>
  <c r="S642" i="20"/>
  <c r="S643" i="20"/>
  <c r="S644" i="20"/>
  <c r="S645" i="20"/>
  <c r="S646" i="20"/>
  <c r="S647" i="20"/>
  <c r="S648" i="20"/>
  <c r="S649" i="20"/>
  <c r="S650" i="20"/>
  <c r="S651" i="20"/>
  <c r="S652" i="20"/>
  <c r="S653" i="20"/>
  <c r="S654" i="20"/>
  <c r="S658" i="20"/>
  <c r="S659" i="20"/>
  <c r="S660" i="20"/>
  <c r="S656" i="20"/>
  <c r="S661" i="20"/>
  <c r="S662" i="20"/>
  <c r="S663" i="20"/>
  <c r="S670" i="20"/>
  <c r="S671" i="20"/>
  <c r="S664" i="20"/>
  <c r="S672" i="20"/>
  <c r="S668" i="20"/>
  <c r="S673" i="20"/>
  <c r="S674" i="20"/>
  <c r="S675" i="20"/>
  <c r="S665" i="20"/>
  <c r="S676" i="20"/>
  <c r="S669" i="20"/>
  <c r="S666" i="20"/>
  <c r="S667" i="20"/>
  <c r="S677" i="20"/>
  <c r="S678" i="20"/>
  <c r="S679" i="20"/>
  <c r="S680" i="20"/>
  <c r="S681" i="20"/>
  <c r="S682" i="20"/>
  <c r="S687" i="20"/>
  <c r="S684" i="20"/>
  <c r="S685" i="20"/>
  <c r="S688" i="20"/>
  <c r="S689" i="20"/>
  <c r="S690" i="20"/>
  <c r="S691" i="20"/>
  <c r="S692" i="20"/>
  <c r="S693" i="20"/>
  <c r="S694" i="20"/>
  <c r="S686" i="20"/>
  <c r="S695" i="20"/>
  <c r="S696" i="20"/>
  <c r="S697" i="20"/>
  <c r="S698" i="20"/>
  <c r="S699" i="20"/>
  <c r="S683" i="20"/>
  <c r="S700" i="20"/>
  <c r="S701" i="20"/>
  <c r="S702" i="20"/>
  <c r="S703" i="20"/>
  <c r="S704" i="20"/>
  <c r="S705" i="20"/>
  <c r="S706" i="20"/>
  <c r="S707" i="20"/>
  <c r="S708" i="20"/>
  <c r="S716" i="20"/>
  <c r="S709" i="20"/>
  <c r="S710" i="20"/>
  <c r="S711" i="20"/>
  <c r="S712" i="20"/>
  <c r="S713" i="20"/>
  <c r="S717" i="20"/>
  <c r="S718" i="20"/>
  <c r="S714" i="20"/>
  <c r="S715" i="20"/>
  <c r="S723" i="20"/>
  <c r="S724" i="20"/>
  <c r="S719" i="20"/>
  <c r="S720" i="20"/>
  <c r="S725" i="20"/>
  <c r="S721" i="20"/>
  <c r="S722" i="20"/>
  <c r="S726" i="20"/>
  <c r="S727" i="20"/>
  <c r="S728" i="20"/>
  <c r="S729" i="20"/>
  <c r="S730" i="20"/>
  <c r="S731" i="20"/>
  <c r="S735" i="20"/>
  <c r="S733" i="20"/>
  <c r="S736" i="20"/>
  <c r="S737" i="20"/>
  <c r="S734" i="20"/>
  <c r="S738" i="20"/>
  <c r="S739" i="20"/>
  <c r="S740" i="20"/>
  <c r="S741" i="20"/>
  <c r="S742" i="20"/>
  <c r="S732" i="20"/>
  <c r="S743" i="20"/>
  <c r="S744" i="20"/>
  <c r="S752" i="20"/>
  <c r="S745" i="20"/>
  <c r="S746" i="20"/>
  <c r="S747" i="20"/>
  <c r="S748" i="20"/>
  <c r="S749" i="20"/>
  <c r="S753" i="20"/>
  <c r="S754" i="20"/>
  <c r="S755" i="20"/>
  <c r="S756" i="20"/>
  <c r="S750" i="20"/>
  <c r="S751" i="20"/>
  <c r="S757" i="20"/>
  <c r="S758" i="20"/>
  <c r="S759" i="20"/>
  <c r="S760" i="20"/>
  <c r="S761" i="20"/>
  <c r="S762" i="20"/>
  <c r="S763" i="20"/>
  <c r="S764" i="20"/>
  <c r="S765" i="20"/>
  <c r="S774" i="20"/>
  <c r="S775" i="20"/>
  <c r="S778" i="20"/>
  <c r="S766" i="20"/>
  <c r="S767" i="20"/>
  <c r="S768" i="20"/>
  <c r="S776" i="20"/>
  <c r="S769" i="20"/>
  <c r="S770" i="20"/>
  <c r="U14" i="23" s="1"/>
  <c r="S777" i="20"/>
  <c r="S771" i="20"/>
  <c r="S772" i="20"/>
  <c r="S779" i="20"/>
  <c r="S780" i="20"/>
  <c r="S792" i="20"/>
  <c r="S793" i="20"/>
  <c r="S794" i="20"/>
  <c r="S781" i="20"/>
  <c r="S782" i="20"/>
  <c r="S783" i="20"/>
  <c r="S790" i="20"/>
  <c r="S795" i="20"/>
  <c r="S796" i="20"/>
  <c r="S784" i="20"/>
  <c r="S797" i="20"/>
  <c r="S785" i="20"/>
  <c r="S786" i="20"/>
  <c r="S788" i="20"/>
  <c r="S789" i="20"/>
  <c r="S791" i="20"/>
  <c r="S803" i="20"/>
  <c r="S804" i="20"/>
  <c r="S805" i="20"/>
  <c r="S806" i="20"/>
  <c r="S807" i="20"/>
  <c r="S808" i="20"/>
  <c r="S813" i="20"/>
  <c r="S814" i="20"/>
  <c r="S798" i="20"/>
  <c r="S815" i="20"/>
  <c r="S799" i="20"/>
  <c r="S809" i="20"/>
  <c r="S800" i="20"/>
  <c r="S816" i="20"/>
  <c r="S802" i="20"/>
  <c r="S810" i="20"/>
  <c r="S811" i="20"/>
  <c r="S801" i="20"/>
  <c r="S812" i="20"/>
  <c r="S835" i="20"/>
  <c r="S836" i="20"/>
  <c r="S817" i="20"/>
  <c r="S837" i="20"/>
  <c r="S818" i="20"/>
  <c r="S819" i="20"/>
  <c r="S838" i="20"/>
  <c r="S839" i="20"/>
  <c r="S840" i="20"/>
  <c r="S820" i="20"/>
  <c r="S821" i="20"/>
  <c r="S841" i="20"/>
  <c r="S822" i="20"/>
  <c r="S823" i="20"/>
  <c r="S824" i="20"/>
  <c r="S825" i="20"/>
  <c r="S826" i="20"/>
  <c r="S827" i="20"/>
  <c r="S842" i="20"/>
  <c r="S828" i="20"/>
  <c r="S843" i="20"/>
  <c r="S829" i="20"/>
  <c r="S844" i="20"/>
  <c r="S830" i="20"/>
  <c r="S831" i="20"/>
  <c r="S845" i="20"/>
  <c r="S832" i="20"/>
  <c r="S846" i="20"/>
  <c r="S847" i="20"/>
  <c r="S848" i="20"/>
  <c r="S849" i="20"/>
  <c r="S833" i="20"/>
  <c r="S834" i="20"/>
  <c r="S850" i="20"/>
  <c r="S851" i="20"/>
  <c r="S852" i="20"/>
  <c r="S853" i="20"/>
  <c r="S854" i="20"/>
  <c r="S855" i="20"/>
  <c r="S856" i="20"/>
  <c r="S857" i="20"/>
  <c r="S858" i="20"/>
  <c r="S859" i="20"/>
  <c r="S860" i="20"/>
  <c r="S861" i="20"/>
  <c r="S862" i="20"/>
  <c r="S863" i="20"/>
  <c r="S864" i="20"/>
  <c r="S865" i="20"/>
  <c r="S866" i="20"/>
  <c r="S867" i="20"/>
  <c r="S868" i="20"/>
  <c r="S869" i="20"/>
  <c r="S870" i="20"/>
  <c r="S871" i="20"/>
  <c r="S872" i="20"/>
  <c r="S873" i="20"/>
  <c r="S874" i="20"/>
  <c r="S875" i="20"/>
  <c r="S876" i="20"/>
  <c r="S877" i="20"/>
  <c r="S878" i="20"/>
  <c r="S879" i="20"/>
  <c r="S880" i="20"/>
  <c r="S881" i="20"/>
  <c r="S882" i="20"/>
  <c r="S883" i="20"/>
  <c r="S884" i="20"/>
  <c r="S885" i="20"/>
  <c r="S886" i="20"/>
  <c r="S887" i="20"/>
  <c r="S888" i="20"/>
  <c r="S889" i="20"/>
  <c r="S890" i="20"/>
  <c r="S891" i="20"/>
  <c r="S892" i="20"/>
  <c r="S893" i="20"/>
  <c r="S894" i="20"/>
  <c r="S895" i="20"/>
  <c r="S896" i="20"/>
  <c r="S897" i="20"/>
  <c r="S898" i="20"/>
  <c r="S899" i="20"/>
  <c r="S900" i="20"/>
  <c r="S901" i="20"/>
  <c r="S902" i="20"/>
  <c r="S903" i="20"/>
  <c r="S904" i="20"/>
  <c r="S905" i="20"/>
  <c r="S906" i="20"/>
  <c r="S907" i="20"/>
  <c r="S908" i="20"/>
  <c r="S909" i="20"/>
  <c r="S910" i="20"/>
  <c r="S911" i="20"/>
  <c r="S912" i="20"/>
  <c r="S913" i="20"/>
  <c r="S914" i="20"/>
  <c r="S915" i="20"/>
  <c r="S916" i="20"/>
  <c r="S917" i="20"/>
  <c r="S918" i="20"/>
  <c r="S919" i="20"/>
  <c r="S920" i="20"/>
  <c r="S921" i="20"/>
  <c r="S922" i="20"/>
  <c r="S923" i="20"/>
  <c r="S924" i="20"/>
  <c r="S925" i="20"/>
  <c r="S926" i="20"/>
  <c r="S927" i="20"/>
  <c r="S928" i="20"/>
  <c r="S929" i="20"/>
  <c r="S930" i="20"/>
  <c r="S931" i="20"/>
  <c r="S932" i="20"/>
  <c r="S933" i="20"/>
  <c r="S934" i="20"/>
  <c r="S935" i="20"/>
  <c r="S949" i="20"/>
  <c r="S950" i="20"/>
  <c r="S938" i="20"/>
  <c r="S951" i="20"/>
  <c r="S952" i="20"/>
  <c r="S936" i="20"/>
  <c r="S947" i="20"/>
  <c r="S953" i="20"/>
  <c r="S954" i="20"/>
  <c r="S939" i="20"/>
  <c r="S940" i="20"/>
  <c r="S948" i="20"/>
  <c r="S941" i="20"/>
  <c r="S942" i="20"/>
  <c r="S959" i="20"/>
  <c r="S943" i="20"/>
  <c r="S937" i="20"/>
  <c r="S945" i="20"/>
  <c r="S946" i="20"/>
  <c r="S955" i="20"/>
  <c r="S956" i="20"/>
  <c r="S957" i="20"/>
  <c r="S958" i="20"/>
  <c r="S960" i="20"/>
  <c r="S961" i="20"/>
  <c r="S962" i="20"/>
  <c r="S963" i="20"/>
  <c r="E11" i="23" s="1"/>
  <c r="S982" i="20"/>
  <c r="S964" i="20"/>
  <c r="S971" i="20"/>
  <c r="S965" i="20"/>
  <c r="S973" i="20"/>
  <c r="S974" i="20"/>
  <c r="S975" i="20"/>
  <c r="S984" i="20"/>
  <c r="S976" i="20"/>
  <c r="S977" i="20"/>
  <c r="S966" i="20"/>
  <c r="S967" i="20"/>
  <c r="S978" i="20"/>
  <c r="S985" i="20"/>
  <c r="S979" i="20"/>
  <c r="S968" i="20"/>
  <c r="S969" i="20"/>
  <c r="S980" i="20"/>
  <c r="S981" i="20"/>
  <c r="S970" i="20"/>
  <c r="S995" i="20"/>
  <c r="S996" i="20"/>
  <c r="S997" i="20"/>
  <c r="S998" i="20"/>
  <c r="S999" i="20"/>
  <c r="S1000" i="20"/>
  <c r="S1001" i="20"/>
  <c r="S1002" i="20"/>
  <c r="S1003" i="20"/>
  <c r="S1004" i="20"/>
  <c r="S991" i="20"/>
  <c r="S1005" i="20"/>
  <c r="S1006" i="20"/>
  <c r="S992" i="20"/>
  <c r="S993" i="20"/>
  <c r="S1007" i="20"/>
  <c r="S1008" i="20"/>
  <c r="S986" i="20"/>
  <c r="S987" i="20"/>
  <c r="S1009" i="20"/>
  <c r="S1010" i="20"/>
  <c r="S988" i="20"/>
  <c r="S1011" i="20"/>
  <c r="S989" i="20"/>
  <c r="S994" i="20"/>
  <c r="S1012" i="20"/>
  <c r="S990" i="20"/>
  <c r="S1013" i="20"/>
  <c r="S1018" i="20"/>
  <c r="S1040" i="20"/>
  <c r="S1041" i="20"/>
  <c r="S1042" i="20"/>
  <c r="S1043" i="20"/>
  <c r="S1044" i="20"/>
  <c r="S1045" i="20"/>
  <c r="S1017" i="20"/>
  <c r="S1046" i="20"/>
  <c r="S1047" i="20"/>
  <c r="S1048" i="20"/>
  <c r="S1019" i="20"/>
  <c r="S1020" i="20"/>
  <c r="S1049" i="20"/>
  <c r="S1050" i="20"/>
  <c r="S1051" i="20"/>
  <c r="S1021" i="20"/>
  <c r="S1022" i="20"/>
  <c r="S1023" i="20"/>
  <c r="S1052" i="20"/>
  <c r="S1053" i="20"/>
  <c r="S1054" i="20"/>
  <c r="S1055" i="20"/>
  <c r="S1056" i="20"/>
  <c r="S1057" i="20"/>
  <c r="S1058" i="20"/>
  <c r="S1102" i="20"/>
  <c r="S1014" i="20"/>
  <c r="S1015" i="20"/>
  <c r="S1059" i="20"/>
  <c r="S1060" i="20"/>
  <c r="S1024" i="20"/>
  <c r="S1061" i="20"/>
  <c r="S1062" i="20"/>
  <c r="S1063" i="20"/>
  <c r="S1064" i="20"/>
  <c r="S1025" i="20"/>
  <c r="S1065" i="20"/>
  <c r="S1066" i="20"/>
  <c r="S1067" i="20"/>
  <c r="S1068" i="20"/>
  <c r="S1069" i="20"/>
  <c r="S1070" i="20"/>
  <c r="S1026" i="20"/>
  <c r="S1027" i="20"/>
  <c r="S1028" i="20"/>
  <c r="S1071" i="20"/>
  <c r="S1029" i="20"/>
  <c r="S1030" i="20"/>
  <c r="S1072" i="20"/>
  <c r="S1073" i="20"/>
  <c r="S1031" i="20"/>
  <c r="S1032" i="20"/>
  <c r="S1074" i="20"/>
  <c r="S1075" i="20"/>
  <c r="S1076" i="20"/>
  <c r="S1077" i="20"/>
  <c r="S1078" i="20"/>
  <c r="S1016" i="20"/>
  <c r="S1079" i="20"/>
  <c r="S1080" i="20"/>
  <c r="S1081" i="20"/>
  <c r="S1082" i="20"/>
  <c r="S1083" i="20"/>
  <c r="S1033" i="20"/>
  <c r="S1084" i="20"/>
  <c r="S1034" i="20"/>
  <c r="S1085" i="20"/>
  <c r="S1086" i="20"/>
  <c r="S1087" i="20"/>
  <c r="S1088" i="20"/>
  <c r="S1089" i="20"/>
  <c r="S1090" i="20"/>
  <c r="S1091" i="20"/>
  <c r="S1092" i="20"/>
  <c r="S1093" i="20"/>
  <c r="S1094" i="20"/>
  <c r="S1035" i="20"/>
  <c r="S1095" i="20"/>
  <c r="S1036" i="20"/>
  <c r="S1037" i="20"/>
  <c r="S1096" i="20"/>
  <c r="S1097" i="20"/>
  <c r="S1098" i="20"/>
  <c r="S1038" i="20"/>
  <c r="S1099" i="20"/>
  <c r="S1100" i="20"/>
  <c r="S1101" i="20"/>
  <c r="S1039" i="20"/>
  <c r="S1107" i="20"/>
  <c r="S1108" i="20"/>
  <c r="S1109" i="20"/>
  <c r="S1110" i="20"/>
  <c r="S1103" i="20"/>
  <c r="S1111" i="20"/>
  <c r="S1112" i="20"/>
  <c r="S1124" i="20"/>
  <c r="S1113" i="20"/>
  <c r="S1125" i="20"/>
  <c r="S1114" i="20"/>
  <c r="S1115" i="20"/>
  <c r="S1104" i="20"/>
  <c r="S1116" i="20"/>
  <c r="S1105" i="20"/>
  <c r="S1117" i="20"/>
  <c r="S1118" i="20"/>
  <c r="S1119" i="20"/>
  <c r="S1120" i="20"/>
  <c r="S1121" i="20"/>
  <c r="S1122" i="20"/>
  <c r="S1106" i="20"/>
  <c r="S1123" i="20"/>
  <c r="S1126" i="20"/>
  <c r="S1127" i="20"/>
  <c r="S1135" i="20"/>
  <c r="S1136" i="20"/>
  <c r="S1128" i="20"/>
  <c r="S1129" i="20"/>
  <c r="S1130" i="20"/>
  <c r="S1131" i="20"/>
  <c r="S1132" i="20"/>
  <c r="S1137" i="20"/>
  <c r="S1138" i="20"/>
  <c r="S1139" i="20"/>
  <c r="S1140" i="20"/>
  <c r="S1141" i="20"/>
  <c r="S1142" i="20"/>
  <c r="S1133" i="20"/>
  <c r="S1134" i="20"/>
  <c r="S1143" i="20"/>
  <c r="S1144" i="20"/>
  <c r="S1145" i="20"/>
  <c r="S1165" i="20"/>
  <c r="S1146" i="20"/>
  <c r="S1147" i="20"/>
  <c r="S1148" i="20"/>
  <c r="S1149" i="20"/>
  <c r="S1150" i="20"/>
  <c r="S1151" i="20"/>
  <c r="S1152" i="20"/>
  <c r="S1153" i="20"/>
  <c r="S1154" i="20"/>
  <c r="S1155" i="20"/>
  <c r="S1156" i="20"/>
  <c r="S1157" i="20"/>
  <c r="S1158" i="20"/>
  <c r="S1159" i="20"/>
  <c r="S1160" i="20"/>
  <c r="S1161" i="20"/>
  <c r="S1162" i="20"/>
  <c r="S1163" i="20"/>
  <c r="S1164" i="20"/>
  <c r="S1176" i="20"/>
  <c r="S1166" i="20"/>
  <c r="S1177" i="20"/>
  <c r="S1178" i="20"/>
  <c r="S1167" i="20"/>
  <c r="S1179" i="20"/>
  <c r="S1180" i="20"/>
  <c r="S1168" i="20"/>
  <c r="S1169" i="20"/>
  <c r="S1181" i="20"/>
  <c r="S1170" i="20"/>
  <c r="S1182" i="20"/>
  <c r="S1171" i="20"/>
  <c r="S1183" i="20"/>
  <c r="S1172" i="20"/>
  <c r="S1173" i="20"/>
  <c r="S1174" i="20"/>
  <c r="S1175" i="20"/>
  <c r="S1184" i="20"/>
  <c r="S1188" i="20"/>
  <c r="S1189" i="20"/>
  <c r="S1190" i="20"/>
  <c r="S1191" i="20"/>
  <c r="S1192" i="20"/>
  <c r="S1193" i="20"/>
  <c r="S1194" i="20"/>
  <c r="S1195" i="20"/>
  <c r="S1196" i="20"/>
  <c r="S1197" i="20"/>
  <c r="S1198" i="20"/>
  <c r="S1199" i="20"/>
  <c r="S1200" i="20"/>
  <c r="S1201" i="20"/>
  <c r="S1202" i="20"/>
  <c r="S1203" i="20"/>
  <c r="S1204" i="20"/>
  <c r="S1185" i="20"/>
  <c r="S1186" i="20"/>
  <c r="S1205" i="20"/>
  <c r="S1206" i="20"/>
  <c r="S1207" i="20"/>
  <c r="S1208" i="20"/>
  <c r="S1187" i="20"/>
  <c r="S1209" i="20"/>
  <c r="S1210" i="20"/>
  <c r="S1211" i="20"/>
  <c r="S1212" i="20"/>
  <c r="S1213" i="20"/>
  <c r="S1214" i="20"/>
  <c r="S1215" i="20"/>
  <c r="S1216" i="20"/>
  <c r="S1217" i="20"/>
  <c r="S1218" i="20"/>
  <c r="S1219" i="20"/>
  <c r="S1220" i="20"/>
  <c r="S1221" i="20"/>
  <c r="S1222" i="20"/>
  <c r="S1223" i="20"/>
  <c r="S1224" i="20"/>
  <c r="S1225" i="20"/>
  <c r="S1226" i="20"/>
  <c r="S1227" i="20"/>
  <c r="S1228" i="20"/>
  <c r="S1229" i="20"/>
  <c r="S1230" i="20"/>
  <c r="S1231" i="20"/>
  <c r="S1232" i="20"/>
  <c r="S1233" i="20"/>
  <c r="S1234" i="20"/>
  <c r="S1235" i="20"/>
  <c r="S1236" i="20"/>
  <c r="S1237" i="20"/>
  <c r="S1238" i="20"/>
  <c r="S1239" i="20"/>
  <c r="S1240" i="20"/>
  <c r="S1241" i="20"/>
  <c r="S1242" i="20"/>
  <c r="S1243" i="20"/>
  <c r="S1244" i="20"/>
  <c r="S1245" i="20"/>
  <c r="S1246" i="20"/>
  <c r="S1247" i="20"/>
  <c r="S1248" i="20"/>
  <c r="S1249" i="20"/>
  <c r="S1250" i="20"/>
  <c r="S1251" i="20"/>
  <c r="S1252" i="20"/>
  <c r="S1253" i="20"/>
  <c r="S1258" i="20"/>
  <c r="S1254" i="20"/>
  <c r="S1259" i="20"/>
  <c r="S1260" i="20"/>
  <c r="S1261" i="20"/>
  <c r="S1262" i="20"/>
  <c r="S1263" i="20"/>
  <c r="S1255" i="20"/>
  <c r="S1264" i="20"/>
  <c r="S1265" i="20"/>
  <c r="S1266" i="20"/>
  <c r="S1256" i="20"/>
  <c r="S1267" i="20"/>
  <c r="S1268" i="20"/>
  <c r="S1269" i="20"/>
  <c r="S1270" i="20"/>
  <c r="S1271" i="20"/>
  <c r="S1257" i="20"/>
  <c r="S1275" i="20"/>
  <c r="S1276" i="20"/>
  <c r="S1277" i="20"/>
  <c r="S1272" i="20"/>
  <c r="S1278" i="20"/>
  <c r="S1279" i="20"/>
  <c r="S1280" i="20"/>
  <c r="S1281" i="20"/>
  <c r="S1273" i="20"/>
  <c r="S1282" i="20"/>
  <c r="S1283" i="20"/>
  <c r="S1274" i="20"/>
  <c r="S1284" i="20"/>
  <c r="S1296" i="20"/>
  <c r="S1297" i="20"/>
  <c r="S1298" i="20"/>
  <c r="S1285" i="20"/>
  <c r="S1299" i="20"/>
  <c r="S1300" i="20"/>
  <c r="S1301" i="20"/>
  <c r="S1286" i="20"/>
  <c r="S1302" i="20"/>
  <c r="S1303" i="20"/>
  <c r="S1287" i="20"/>
  <c r="S1304" i="20"/>
  <c r="S1288" i="20"/>
  <c r="S1305" i="20"/>
  <c r="S1306" i="20"/>
  <c r="S1307" i="20"/>
  <c r="S1308" i="20"/>
  <c r="S1289" i="20"/>
  <c r="S1309" i="20"/>
  <c r="S1310" i="20"/>
  <c r="S1311" i="20"/>
  <c r="S1312" i="20"/>
  <c r="S1313" i="20"/>
  <c r="S1314" i="20"/>
  <c r="S1315" i="20"/>
  <c r="S1316" i="20"/>
  <c r="S1317" i="20"/>
  <c r="S1318" i="20"/>
  <c r="S1319" i="20"/>
  <c r="S1320" i="20"/>
  <c r="S1321" i="20"/>
  <c r="S1322" i="20"/>
  <c r="S1323" i="20"/>
  <c r="S1324" i="20"/>
  <c r="S1290" i="20"/>
  <c r="S1325" i="20"/>
  <c r="S1326" i="20"/>
  <c r="S1327" i="20"/>
  <c r="S1328" i="20"/>
  <c r="S1329" i="20"/>
  <c r="S1330" i="20"/>
  <c r="S1331" i="20"/>
  <c r="S1332" i="20"/>
  <c r="S1333" i="20"/>
  <c r="S1334" i="20"/>
  <c r="S1335" i="20"/>
  <c r="S1291" i="20"/>
  <c r="S1336" i="20"/>
  <c r="S1292" i="20"/>
  <c r="S1293" i="20"/>
  <c r="S1294" i="20"/>
  <c r="S1337" i="20"/>
  <c r="S1338" i="20"/>
  <c r="S1339" i="20"/>
  <c r="S1340" i="20"/>
  <c r="S1295" i="20"/>
  <c r="S1341" i="20"/>
  <c r="S1342" i="20"/>
  <c r="S1343" i="20"/>
  <c r="S1344" i="20"/>
  <c r="S1345" i="20"/>
  <c r="S1346" i="20"/>
  <c r="S1347" i="20"/>
  <c r="S1348" i="20"/>
  <c r="S1365" i="20"/>
  <c r="S1350" i="20"/>
  <c r="S1351" i="20"/>
  <c r="S1366" i="20"/>
  <c r="S1352" i="20"/>
  <c r="S1367" i="20"/>
  <c r="S1353" i="20"/>
  <c r="S1349" i="20"/>
  <c r="S1354" i="20"/>
  <c r="S1355" i="20"/>
  <c r="S1368" i="20"/>
  <c r="S1369" i="20"/>
  <c r="S1356" i="20"/>
  <c r="S1370" i="20"/>
  <c r="S1357" i="20"/>
  <c r="S1371" i="20"/>
  <c r="S1358" i="20"/>
  <c r="S1359" i="20"/>
  <c r="S1360" i="20"/>
  <c r="S1372" i="20"/>
  <c r="S1361" i="20"/>
  <c r="S1373" i="20"/>
  <c r="S1374" i="20"/>
  <c r="S1364" i="20"/>
  <c r="S1375" i="20"/>
  <c r="S1381" i="20"/>
  <c r="S1382" i="20"/>
  <c r="S1383" i="20"/>
  <c r="S1384" i="20"/>
  <c r="S1385" i="20"/>
  <c r="S1386" i="20"/>
  <c r="S1387" i="20"/>
  <c r="S1388" i="20"/>
  <c r="S1389" i="20"/>
  <c r="S1376" i="20"/>
  <c r="S1390" i="20"/>
  <c r="S1377" i="20"/>
  <c r="S1391" i="20"/>
  <c r="S1378" i="20"/>
  <c r="S1392" i="20"/>
  <c r="S1379" i="20"/>
  <c r="S1380" i="20"/>
  <c r="S1401" i="20"/>
  <c r="S1393" i="20"/>
  <c r="S1394" i="20"/>
  <c r="S1402" i="20"/>
  <c r="S1395" i="20"/>
  <c r="S1396" i="20"/>
  <c r="S1397" i="20"/>
  <c r="S1403" i="20"/>
  <c r="S1398" i="20"/>
  <c r="S1399" i="20"/>
  <c r="S1400" i="20"/>
  <c r="S1416" i="20"/>
  <c r="S1410" i="20"/>
  <c r="S1417" i="20"/>
  <c r="S1411" i="20"/>
  <c r="S1404" i="20"/>
  <c r="S1418" i="20"/>
  <c r="S1406" i="20"/>
  <c r="S1407" i="20"/>
  <c r="S1419" i="20"/>
  <c r="S1412" i="20"/>
  <c r="S1420" i="20"/>
  <c r="S1408" i="20"/>
  <c r="S1425" i="20"/>
  <c r="S1413" i="20"/>
  <c r="S1421" i="20"/>
  <c r="S1414" i="20"/>
  <c r="S1422" i="20"/>
  <c r="S1423" i="20"/>
  <c r="S1415" i="20"/>
  <c r="S1409" i="20"/>
  <c r="S1424" i="20"/>
  <c r="S1426" i="20"/>
  <c r="S1440" i="20"/>
  <c r="S1427" i="20"/>
  <c r="S1441" i="20"/>
  <c r="S1428" i="20"/>
  <c r="S1442" i="20"/>
  <c r="S1443" i="20"/>
  <c r="S1444" i="20"/>
  <c r="S1445" i="20"/>
  <c r="S1429" i="20"/>
  <c r="S1446" i="20"/>
  <c r="S1430" i="20"/>
  <c r="S1431" i="20"/>
  <c r="S1432" i="20"/>
  <c r="S1433" i="20"/>
  <c r="S1434" i="20"/>
  <c r="S1435" i="20"/>
  <c r="S1436" i="20"/>
  <c r="S1437" i="20"/>
  <c r="S1447" i="20"/>
  <c r="S1448" i="20"/>
  <c r="S1438" i="20"/>
  <c r="S1439" i="20"/>
  <c r="S1449" i="20"/>
  <c r="S1450" i="20"/>
  <c r="S1451" i="20"/>
  <c r="S1452" i="20"/>
  <c r="S1453" i="20"/>
  <c r="S1454" i="20"/>
  <c r="S1455" i="20"/>
  <c r="S1456" i="20"/>
  <c r="S1457" i="20"/>
  <c r="S1458" i="20"/>
  <c r="S1459" i="20"/>
  <c r="S1460" i="20"/>
  <c r="S1461" i="20"/>
  <c r="S1462" i="20"/>
  <c r="S1463" i="20"/>
  <c r="S1464" i="20"/>
  <c r="S1465" i="20"/>
  <c r="S1466" i="20"/>
  <c r="S1467" i="20"/>
  <c r="S1468" i="20"/>
  <c r="S1469" i="20"/>
  <c r="S1470" i="20"/>
  <c r="S1471" i="20"/>
  <c r="S1472" i="20"/>
  <c r="S1473" i="20"/>
  <c r="S1474" i="20"/>
  <c r="S1475" i="20"/>
  <c r="S1476" i="20"/>
  <c r="S1477" i="20"/>
  <c r="S1478" i="20"/>
  <c r="S1479" i="20"/>
  <c r="S1480" i="20"/>
  <c r="S1481" i="20"/>
  <c r="S1482" i="20"/>
  <c r="S1483" i="20"/>
  <c r="S1484" i="20"/>
  <c r="S1485" i="20"/>
  <c r="S1486" i="20"/>
  <c r="S1487" i="20"/>
  <c r="S1488" i="20"/>
  <c r="S1489" i="20"/>
  <c r="S1490" i="20"/>
  <c r="S1491" i="20"/>
  <c r="S1492" i="20"/>
  <c r="S1493" i="20"/>
  <c r="S1494" i="20"/>
  <c r="S1501" i="20"/>
  <c r="S1502" i="20"/>
  <c r="S1495" i="20"/>
  <c r="S1503" i="20"/>
  <c r="S1497" i="20"/>
  <c r="S1498" i="20"/>
  <c r="S1499" i="20"/>
  <c r="S1510" i="20"/>
  <c r="S1504" i="20"/>
  <c r="S1505" i="20"/>
  <c r="S1506" i="20"/>
  <c r="S1500" i="20"/>
  <c r="S1496" i="20"/>
  <c r="S1507" i="20"/>
  <c r="S1508" i="20"/>
  <c r="S1509" i="20"/>
  <c r="S1516" i="20"/>
  <c r="S1525" i="20"/>
  <c r="S1517" i="20"/>
  <c r="S1526" i="20"/>
  <c r="S1527" i="20"/>
  <c r="S1511" i="20"/>
  <c r="S1528" i="20"/>
  <c r="S1518" i="20"/>
  <c r="S1529" i="20"/>
  <c r="S1530" i="20"/>
  <c r="S1512" i="20"/>
  <c r="S1519" i="20"/>
  <c r="S1531" i="20"/>
  <c r="S1532" i="20"/>
  <c r="S1533" i="20"/>
  <c r="S1520" i="20"/>
  <c r="S1513" i="20"/>
  <c r="S1514" i="20"/>
  <c r="S1521" i="20"/>
  <c r="S1515" i="20"/>
  <c r="S1534" i="20"/>
  <c r="S1522" i="20"/>
  <c r="S1523" i="20"/>
  <c r="S1535" i="20"/>
  <c r="S1536" i="20"/>
  <c r="S1524" i="20"/>
  <c r="S1538" i="20"/>
  <c r="S1539" i="20"/>
  <c r="S1540" i="20"/>
  <c r="S1541" i="20"/>
  <c r="S1542" i="20"/>
  <c r="S1543" i="20"/>
  <c r="S1544" i="20"/>
  <c r="S1545" i="20"/>
  <c r="S1546" i="20"/>
  <c r="S1537" i="20"/>
  <c r="S1552" i="20"/>
  <c r="S1547" i="20"/>
  <c r="S1548" i="20"/>
  <c r="S1549" i="20"/>
  <c r="S1550" i="20"/>
  <c r="S1551" i="20"/>
  <c r="S1553" i="20"/>
  <c r="S1560" i="20"/>
  <c r="S1556" i="20"/>
  <c r="S1557" i="20"/>
  <c r="S1558" i="20"/>
  <c r="S1559" i="20"/>
  <c r="S1554" i="20"/>
  <c r="S1561" i="20"/>
  <c r="S1555" i="20"/>
  <c r="S1575" i="20"/>
  <c r="S1564" i="20"/>
  <c r="S1565" i="20"/>
  <c r="S1576" i="20"/>
  <c r="S1566" i="20"/>
  <c r="S1577" i="20"/>
  <c r="S1567" i="20"/>
  <c r="S1568" i="20"/>
  <c r="S1578" i="20"/>
  <c r="S1579" i="20"/>
  <c r="S1580" i="20"/>
  <c r="S1569" i="20"/>
  <c r="S1562" i="20"/>
  <c r="S1581" i="20"/>
  <c r="S1570" i="20"/>
  <c r="S1582" i="20"/>
  <c r="S1563" i="20"/>
  <c r="S1583" i="20"/>
  <c r="S1571" i="20"/>
  <c r="S1572" i="20"/>
  <c r="S1573" i="20"/>
  <c r="S1584" i="20"/>
  <c r="S1585" i="20"/>
  <c r="S1586" i="20"/>
  <c r="S1587" i="20"/>
  <c r="S1588" i="20"/>
  <c r="S1589" i="20"/>
  <c r="S1590" i="20"/>
  <c r="S1591" i="20"/>
  <c r="S1574" i="20"/>
  <c r="S1592" i="20"/>
  <c r="S1593" i="20"/>
  <c r="S1594" i="20"/>
  <c r="S1595" i="20"/>
  <c r="S1596" i="20"/>
  <c r="S1597" i="20"/>
  <c r="S1598" i="20"/>
  <c r="S1599" i="20"/>
  <c r="S1602" i="20"/>
  <c r="S1603" i="20"/>
  <c r="S1604" i="20"/>
  <c r="S1600" i="20"/>
  <c r="S1605" i="20"/>
  <c r="S1606" i="20"/>
  <c r="S1607" i="20"/>
  <c r="S1608" i="20"/>
  <c r="S1609" i="20"/>
  <c r="S1610" i="20"/>
  <c r="S1611" i="20"/>
  <c r="S1612" i="20"/>
  <c r="S1601" i="20"/>
  <c r="S1613" i="20"/>
  <c r="S1614" i="20"/>
  <c r="S1618" i="20"/>
  <c r="S1619" i="20"/>
  <c r="S1616" i="20"/>
  <c r="S1620" i="20"/>
  <c r="S1621" i="20"/>
  <c r="S1622" i="20"/>
  <c r="S1623" i="20"/>
  <c r="S1624" i="20"/>
  <c r="S1625" i="20"/>
  <c r="S1647" i="20"/>
  <c r="S1626" i="20"/>
  <c r="S1627" i="20"/>
  <c r="S1628" i="20"/>
  <c r="S1629" i="20"/>
  <c r="S1630" i="20"/>
  <c r="S1631" i="20"/>
  <c r="S1632" i="20"/>
  <c r="S1633" i="20"/>
  <c r="S1634" i="20"/>
  <c r="S1635" i="20"/>
  <c r="S1636" i="20"/>
  <c r="S1637" i="20"/>
  <c r="S1638" i="20"/>
  <c r="S1615" i="20"/>
  <c r="S1639" i="20"/>
  <c r="S1640" i="20"/>
  <c r="S1641" i="20"/>
  <c r="S1642" i="20"/>
  <c r="S1643" i="20"/>
  <c r="S1644" i="20"/>
  <c r="S1645" i="20"/>
  <c r="S1617" i="20"/>
  <c r="S1646" i="20"/>
  <c r="S1649" i="20"/>
  <c r="S1650" i="20"/>
  <c r="S1651" i="20"/>
  <c r="S1652" i="20"/>
  <c r="S1660" i="20"/>
  <c r="S1653" i="20"/>
  <c r="S1661" i="20"/>
  <c r="S1654" i="20"/>
  <c r="S1662" i="20"/>
  <c r="S1655" i="20"/>
  <c r="S1656" i="20"/>
  <c r="S1663" i="20"/>
  <c r="S1664" i="20"/>
  <c r="S1657" i="20"/>
  <c r="S1658" i="20"/>
  <c r="S1665" i="20"/>
  <c r="S1666" i="20"/>
  <c r="S1667" i="20"/>
  <c r="S1668" i="20"/>
  <c r="S1669" i="20"/>
  <c r="S1670" i="20"/>
  <c r="S1671" i="20"/>
  <c r="S1659" i="20"/>
  <c r="S1648" i="20"/>
  <c r="S1687" i="20"/>
  <c r="S1688" i="20"/>
  <c r="S1689" i="20"/>
  <c r="S1690" i="20"/>
  <c r="S1691" i="20"/>
  <c r="S1672" i="20"/>
  <c r="S1676" i="20"/>
  <c r="S1677" i="20"/>
  <c r="S1692" i="20"/>
  <c r="S1693" i="20"/>
  <c r="S1678" i="20"/>
  <c r="S1673" i="20"/>
  <c r="S1679" i="20"/>
  <c r="S1694" i="20"/>
  <c r="S1695" i="20"/>
  <c r="S1696" i="20"/>
  <c r="S1680" i="20"/>
  <c r="S1697" i="20"/>
  <c r="S1681" i="20"/>
  <c r="S1698" i="20"/>
  <c r="S1699" i="20"/>
  <c r="S1700" i="20"/>
  <c r="S1701" i="20"/>
  <c r="S1702" i="20"/>
  <c r="S1682" i="20"/>
  <c r="S1683" i="20"/>
  <c r="S1703" i="20"/>
  <c r="S1704" i="20"/>
  <c r="S1705" i="20"/>
  <c r="S1706" i="20"/>
  <c r="S1674" i="20"/>
  <c r="S1707" i="20"/>
  <c r="S1684" i="20"/>
  <c r="S1685" i="20"/>
  <c r="S1675" i="20"/>
  <c r="S1686" i="20"/>
  <c r="S1708" i="20"/>
  <c r="S1709" i="20"/>
  <c r="S1734" i="20"/>
  <c r="S1710" i="20"/>
  <c r="S1711" i="20"/>
  <c r="S1712" i="20"/>
  <c r="S1735" i="20"/>
  <c r="S1736" i="20"/>
  <c r="S1737" i="20"/>
  <c r="S1713" i="20"/>
  <c r="S1738" i="20"/>
  <c r="S1714" i="20"/>
  <c r="S1739" i="20"/>
  <c r="S1740" i="20"/>
  <c r="S1741" i="20"/>
  <c r="S1742" i="20"/>
  <c r="S1715" i="20"/>
  <c r="S1743" i="20"/>
  <c r="S1744" i="20"/>
  <c r="S1745" i="20"/>
  <c r="S1716" i="20"/>
  <c r="S1746" i="20"/>
  <c r="S1747" i="20"/>
  <c r="S1717" i="20"/>
  <c r="S1718" i="20"/>
  <c r="S1719" i="20"/>
  <c r="S1720" i="20"/>
  <c r="S1748" i="20"/>
  <c r="S1721" i="20"/>
  <c r="S1722" i="20"/>
  <c r="S1749" i="20"/>
  <c r="S1723" i="20"/>
  <c r="S1724" i="20"/>
  <c r="S1725" i="20"/>
  <c r="S1750" i="20"/>
  <c r="S1751" i="20"/>
  <c r="S1752" i="20"/>
  <c r="S1726" i="20"/>
  <c r="S1727" i="20"/>
  <c r="S1753" i="20"/>
  <c r="S1754" i="20"/>
  <c r="S1755" i="20"/>
  <c r="S1756" i="20"/>
  <c r="S1728" i="20"/>
  <c r="S1729" i="20"/>
  <c r="S1730" i="20"/>
  <c r="S1757" i="20"/>
  <c r="S1758" i="20"/>
  <c r="S1759" i="20"/>
  <c r="S1731" i="20"/>
  <c r="S1760" i="20"/>
  <c r="S1732" i="20"/>
  <c r="S1761" i="20"/>
  <c r="S1733" i="20"/>
  <c r="S1763" i="20"/>
  <c r="S1764" i="20"/>
  <c r="S1762" i="20"/>
  <c r="S1765" i="20"/>
  <c r="S1766" i="20"/>
  <c r="S1767" i="20"/>
  <c r="S1768" i="20"/>
  <c r="S1769" i="20"/>
  <c r="S1770" i="20"/>
  <c r="S1771" i="20"/>
  <c r="S1772" i="20"/>
  <c r="S1773" i="20"/>
  <c r="S1774" i="20"/>
  <c r="S1775" i="20"/>
  <c r="S1776" i="20"/>
  <c r="S1777" i="20"/>
  <c r="S1778" i="20"/>
  <c r="S1779" i="20"/>
  <c r="S1780" i="20"/>
  <c r="S1781" i="20"/>
  <c r="S1782" i="20"/>
  <c r="S1783" i="20"/>
  <c r="S1784" i="20"/>
  <c r="S1785" i="20"/>
  <c r="S1786" i="20"/>
  <c r="S1787" i="20"/>
  <c r="S1788" i="20"/>
  <c r="S1789" i="20"/>
  <c r="S1793" i="20"/>
  <c r="S1791" i="20"/>
  <c r="S1794" i="20"/>
  <c r="S1795" i="20"/>
  <c r="S1792" i="20"/>
  <c r="S1796" i="20"/>
  <c r="S1797" i="20"/>
  <c r="S1798" i="20"/>
  <c r="S1799" i="20"/>
  <c r="S1800" i="20"/>
  <c r="S1801" i="20"/>
  <c r="S1802" i="20"/>
  <c r="S1803" i="20"/>
  <c r="S1804" i="20"/>
  <c r="S1805" i="20"/>
  <c r="S1790" i="20"/>
  <c r="S1806" i="20"/>
  <c r="S1807" i="20"/>
  <c r="S1808" i="20"/>
  <c r="S1818" i="20"/>
  <c r="S1819" i="20"/>
  <c r="S1814" i="20"/>
  <c r="S1820" i="20"/>
  <c r="S1821" i="20"/>
  <c r="S1822" i="20"/>
  <c r="S1815" i="20"/>
  <c r="S1816" i="20"/>
  <c r="S1823" i="20"/>
  <c r="S1824" i="20"/>
  <c r="S1825" i="20"/>
  <c r="S1826" i="20"/>
  <c r="S1827" i="20"/>
  <c r="S1809" i="20"/>
  <c r="S1828" i="20"/>
  <c r="S1829" i="20"/>
  <c r="S1830" i="20"/>
  <c r="S1831" i="20"/>
  <c r="S1832" i="20"/>
  <c r="S1833" i="20"/>
  <c r="S1810" i="20"/>
  <c r="S1834" i="20"/>
  <c r="S1817" i="20"/>
  <c r="S1835" i="20"/>
  <c r="S1836" i="20"/>
  <c r="S1837" i="20"/>
  <c r="S1838" i="20"/>
  <c r="S1811" i="20"/>
  <c r="S1812" i="20"/>
  <c r="S1839" i="20"/>
  <c r="S1840" i="20"/>
  <c r="S1841" i="20"/>
  <c r="S1813" i="20"/>
  <c r="S1843" i="20"/>
  <c r="S1844" i="20"/>
  <c r="S1842" i="20"/>
  <c r="S1848" i="20"/>
  <c r="S1845" i="20"/>
  <c r="S1846" i="20"/>
  <c r="S1849" i="20"/>
  <c r="S1847" i="20"/>
  <c r="S1850" i="20"/>
  <c r="S1851" i="20"/>
  <c r="S1852" i="20"/>
  <c r="S1853" i="20"/>
  <c r="S1854" i="20"/>
  <c r="S1855" i="20"/>
  <c r="S1856" i="20"/>
  <c r="S1857" i="20"/>
  <c r="S1858" i="20"/>
  <c r="S1859" i="20"/>
  <c r="S1860" i="20"/>
  <c r="S1861" i="20"/>
  <c r="S1862" i="20"/>
  <c r="S1863" i="20"/>
  <c r="S1874" i="20"/>
  <c r="S1865" i="20"/>
  <c r="S1866" i="20"/>
  <c r="S1867" i="20"/>
  <c r="S1868" i="20"/>
  <c r="S1869" i="20"/>
  <c r="S1875" i="20"/>
  <c r="S1876" i="20"/>
  <c r="S1870" i="20"/>
  <c r="S1877" i="20"/>
  <c r="S1878" i="20"/>
  <c r="S1879" i="20"/>
  <c r="S1880" i="20"/>
  <c r="S1881" i="20"/>
  <c r="S1882" i="20"/>
  <c r="S1872" i="20"/>
  <c r="S1883" i="20"/>
  <c r="S1873" i="20"/>
  <c r="S1892" i="20"/>
  <c r="S1893" i="20"/>
  <c r="S1894" i="20"/>
  <c r="S1895" i="20"/>
  <c r="S1884" i="20"/>
  <c r="S1885" i="20"/>
  <c r="S1886" i="20"/>
  <c r="S1887" i="20"/>
  <c r="S1896" i="20"/>
  <c r="S1897" i="20"/>
  <c r="S1888" i="20"/>
  <c r="S1898" i="20"/>
  <c r="S1904" i="20"/>
  <c r="S1899" i="20"/>
  <c r="S1889" i="20"/>
  <c r="S1900" i="20"/>
  <c r="S1890" i="20"/>
  <c r="S1901" i="20"/>
  <c r="S1902" i="20"/>
  <c r="S1903" i="20"/>
  <c r="S1891" i="20"/>
  <c r="S1908" i="20"/>
  <c r="S1909" i="20"/>
  <c r="S1910" i="20"/>
  <c r="S1911" i="20"/>
  <c r="S1912" i="20"/>
  <c r="S1913" i="20"/>
  <c r="S1914" i="20"/>
  <c r="S1915" i="20"/>
  <c r="S1916" i="20"/>
  <c r="S1917" i="20"/>
  <c r="S1918" i="20"/>
  <c r="S1919" i="20"/>
  <c r="S1905" i="20"/>
  <c r="S1920" i="20"/>
  <c r="S1907" i="20"/>
  <c r="S1921" i="20"/>
  <c r="S1922" i="20"/>
  <c r="S1923" i="20"/>
  <c r="S1924" i="20"/>
  <c r="S1925" i="20"/>
  <c r="S1926" i="20"/>
  <c r="S1927" i="20"/>
  <c r="S1928" i="20"/>
  <c r="S1929" i="20"/>
  <c r="S1930" i="20"/>
  <c r="S1906" i="20"/>
  <c r="S1931" i="20"/>
  <c r="S1932" i="20"/>
  <c r="S1933" i="20"/>
  <c r="S1934" i="20"/>
  <c r="S1935" i="20"/>
  <c r="S1936" i="20"/>
  <c r="S1937" i="20"/>
  <c r="S1948" i="20"/>
  <c r="S1949" i="20"/>
  <c r="S1950" i="20"/>
  <c r="S1951" i="20"/>
  <c r="S1938" i="20"/>
  <c r="S1952" i="20"/>
  <c r="S1939" i="20"/>
  <c r="S1953" i="20"/>
  <c r="S1945" i="20"/>
  <c r="S1954" i="20"/>
  <c r="S1955" i="20"/>
  <c r="S1956" i="20"/>
  <c r="S1957" i="20"/>
  <c r="S1940" i="20"/>
  <c r="S1958" i="20"/>
  <c r="S1959" i="20"/>
  <c r="S1941" i="20"/>
  <c r="S1960" i="20"/>
  <c r="S1946" i="20"/>
  <c r="S1961" i="20"/>
  <c r="S1962" i="20"/>
  <c r="S1947" i="20"/>
  <c r="S1963" i="20"/>
  <c r="S1964" i="20"/>
  <c r="S1942" i="20"/>
  <c r="S1943" i="20"/>
  <c r="S1965" i="20"/>
  <c r="S1966" i="20"/>
  <c r="S1967" i="20"/>
  <c r="S1968" i="20"/>
  <c r="S1969" i="20"/>
  <c r="S1970" i="20"/>
  <c r="S1971" i="20"/>
  <c r="S1944" i="20"/>
  <c r="S1972" i="20"/>
  <c r="S1973" i="20"/>
  <c r="S1974" i="20"/>
  <c r="S1975" i="20"/>
  <c r="S1976" i="20"/>
  <c r="S1977" i="20"/>
  <c r="S1978" i="20"/>
  <c r="S1979" i="20"/>
  <c r="S1980" i="20"/>
  <c r="S1981" i="20"/>
  <c r="S1982" i="20"/>
  <c r="S1983" i="20"/>
  <c r="S1984" i="20"/>
  <c r="S1985" i="20"/>
  <c r="S1986" i="20"/>
  <c r="S1987" i="20"/>
  <c r="S1988" i="20"/>
  <c r="S1989" i="20"/>
  <c r="S1990" i="20"/>
  <c r="S1991" i="20"/>
  <c r="S1992" i="20"/>
  <c r="S1993" i="20"/>
  <c r="S1994" i="20"/>
  <c r="S1995" i="20"/>
  <c r="S1996" i="20"/>
  <c r="S1997" i="20"/>
  <c r="S1998" i="20"/>
  <c r="S1999" i="20"/>
  <c r="S2000" i="20"/>
  <c r="S2001" i="20"/>
  <c r="S2002" i="20"/>
  <c r="S2003" i="20"/>
  <c r="S2004" i="20"/>
  <c r="S2005" i="20"/>
  <c r="S2011" i="20"/>
  <c r="S2012" i="20"/>
  <c r="S2006" i="20"/>
  <c r="S2013" i="20"/>
  <c r="S2014" i="20"/>
  <c r="S2015" i="20"/>
  <c r="S2016" i="20"/>
  <c r="S2030" i="20"/>
  <c r="S2017" i="20"/>
  <c r="S2007" i="20"/>
  <c r="S2018" i="20"/>
  <c r="S2019" i="20"/>
  <c r="S2031" i="20"/>
  <c r="S2008" i="20"/>
  <c r="S2032" i="20"/>
  <c r="S2020" i="20"/>
  <c r="S2021" i="20"/>
  <c r="S2009" i="20"/>
  <c r="S2022" i="20"/>
  <c r="S2023" i="20"/>
  <c r="S2024" i="20"/>
  <c r="S2033" i="20"/>
  <c r="S2034" i="20"/>
  <c r="S2035" i="20"/>
  <c r="S2010" i="20"/>
  <c r="S2025" i="20"/>
  <c r="S2036" i="20"/>
  <c r="S2026" i="20"/>
  <c r="S2027" i="20"/>
  <c r="S2028" i="20"/>
  <c r="S2029" i="20"/>
  <c r="S2050" i="20"/>
  <c r="S2051" i="20"/>
  <c r="S2052" i="20"/>
  <c r="S2053" i="20"/>
  <c r="S2037" i="20"/>
  <c r="S2054" i="20"/>
  <c r="S2055" i="20"/>
  <c r="S2056" i="20"/>
  <c r="S2038" i="20"/>
  <c r="S2047" i="20"/>
  <c r="S2048" i="20"/>
  <c r="S2057" i="20"/>
  <c r="S2058" i="20"/>
  <c r="S2059" i="20"/>
  <c r="S2060" i="20"/>
  <c r="S2039" i="20"/>
  <c r="S2061" i="20"/>
  <c r="S2062" i="20"/>
  <c r="S2063" i="20"/>
  <c r="S2064" i="20"/>
  <c r="S2040" i="20"/>
  <c r="S2065" i="20"/>
  <c r="S2041" i="20"/>
  <c r="S2066" i="20"/>
  <c r="S2067" i="20"/>
  <c r="S2068" i="20"/>
  <c r="S2046" i="20"/>
  <c r="S2042" i="20"/>
  <c r="S2069" i="20"/>
  <c r="S2043" i="20"/>
  <c r="S2070" i="20"/>
  <c r="S2071" i="20"/>
  <c r="S2072" i="20"/>
  <c r="S2073" i="20"/>
  <c r="S2074" i="20"/>
  <c r="S2075" i="20"/>
  <c r="S2076" i="20"/>
  <c r="S2077" i="20"/>
  <c r="S2078" i="20"/>
  <c r="S2079" i="20"/>
  <c r="S2080" i="20"/>
  <c r="S2044" i="20"/>
  <c r="S2049" i="20"/>
  <c r="S2045" i="20"/>
  <c r="S2084" i="20"/>
  <c r="S2082" i="20"/>
  <c r="S2083" i="20"/>
  <c r="S2085" i="20"/>
  <c r="S2086" i="20"/>
  <c r="S2087" i="20"/>
  <c r="S2088" i="20"/>
  <c r="S2089" i="20"/>
  <c r="S2090" i="20"/>
  <c r="S2091" i="20"/>
  <c r="S2092" i="20"/>
  <c r="S2093" i="20"/>
  <c r="S2094" i="20"/>
  <c r="S2095" i="20"/>
  <c r="S2096" i="20"/>
  <c r="S2097" i="20"/>
  <c r="S2098" i="20"/>
  <c r="S2099" i="20"/>
  <c r="S2100" i="20"/>
  <c r="S2101" i="20"/>
  <c r="S2102" i="20"/>
  <c r="S2081" i="20"/>
  <c r="S2103" i="20"/>
  <c r="S2104" i="20"/>
  <c r="S2105" i="20"/>
  <c r="S2106" i="20"/>
  <c r="S2107" i="20"/>
  <c r="S2113" i="20"/>
  <c r="S2114" i="20"/>
  <c r="S2115" i="20"/>
  <c r="S2116" i="20"/>
  <c r="S2117" i="20"/>
  <c r="S2118" i="20"/>
  <c r="S2119" i="20"/>
  <c r="S2120" i="20"/>
  <c r="S2121" i="20"/>
  <c r="S2122" i="20"/>
  <c r="S2109" i="20"/>
  <c r="S2123" i="20"/>
  <c r="S2124" i="20"/>
  <c r="S2125" i="20"/>
  <c r="S2126" i="20"/>
  <c r="S2127" i="20"/>
  <c r="S2110" i="20"/>
  <c r="S2128" i="20"/>
  <c r="S2129" i="20"/>
  <c r="S2111" i="20"/>
  <c r="S2130" i="20"/>
  <c r="S2112" i="20"/>
  <c r="S2131" i="20"/>
  <c r="S2108" i="20"/>
  <c r="S2132" i="20"/>
  <c r="S2133" i="20"/>
  <c r="S2145" i="20"/>
  <c r="S2146" i="20"/>
  <c r="S2134" i="20"/>
  <c r="S2147" i="20"/>
  <c r="S2148" i="20"/>
  <c r="S2149" i="20"/>
  <c r="S2135" i="20"/>
  <c r="S2140" i="20"/>
  <c r="S2150" i="20"/>
  <c r="S2151" i="20"/>
  <c r="S2141" i="20"/>
  <c r="S2152" i="20"/>
  <c r="S2153" i="20"/>
  <c r="S2142" i="20"/>
  <c r="S2143" i="20"/>
  <c r="S2136" i="20"/>
  <c r="S2154" i="20"/>
  <c r="S2155" i="20"/>
  <c r="S2137" i="20"/>
  <c r="S2138" i="20"/>
  <c r="S2156" i="20"/>
  <c r="S2157" i="20"/>
  <c r="S2158" i="20"/>
  <c r="S2139" i="20"/>
  <c r="S2144" i="20"/>
  <c r="S2159" i="20"/>
  <c r="S2166" i="20"/>
  <c r="S2167" i="20"/>
  <c r="S2168" i="20"/>
  <c r="S2163" i="20"/>
  <c r="S2164" i="20"/>
  <c r="S2165" i="20"/>
  <c r="S2169" i="20"/>
  <c r="S2170" i="20"/>
  <c r="S2171" i="20"/>
  <c r="S2172" i="20"/>
  <c r="S2162" i="20"/>
  <c r="S2173" i="20"/>
  <c r="S2160" i="20"/>
  <c r="S2174" i="20"/>
  <c r="S2175" i="20"/>
  <c r="S2176" i="20"/>
  <c r="S2161" i="20"/>
  <c r="S2177" i="20"/>
  <c r="S2178" i="20"/>
  <c r="S2179" i="20"/>
  <c r="S2180" i="20"/>
  <c r="S2181" i="20"/>
  <c r="S2182" i="20"/>
  <c r="S2183" i="20"/>
  <c r="S2184" i="20"/>
  <c r="S2185" i="20"/>
  <c r="S2193" i="20"/>
  <c r="S2188" i="20"/>
  <c r="S2186" i="20"/>
  <c r="S2194" i="20"/>
  <c r="S2195" i="20"/>
  <c r="S2196" i="20"/>
  <c r="S2197" i="20"/>
  <c r="S2198" i="20"/>
  <c r="S2189" i="20"/>
  <c r="S2199" i="20"/>
  <c r="S2190" i="20"/>
  <c r="S2200" i="20"/>
  <c r="S2201" i="20"/>
  <c r="S2202" i="20"/>
  <c r="S2203" i="20"/>
  <c r="S2204" i="20"/>
  <c r="S2205" i="20"/>
  <c r="S2206" i="20"/>
  <c r="S2207" i="20"/>
  <c r="S2208" i="20"/>
  <c r="S2209" i="20"/>
  <c r="S2191" i="20"/>
  <c r="S2210" i="20"/>
  <c r="S2211" i="20"/>
  <c r="S2212" i="20"/>
  <c r="S2213" i="20"/>
  <c r="S2214" i="20"/>
  <c r="S2215" i="20"/>
  <c r="S2216" i="20"/>
  <c r="S2217" i="20"/>
  <c r="S2218" i="20"/>
  <c r="S2219" i="20"/>
  <c r="S2220" i="20"/>
  <c r="S2221" i="20"/>
  <c r="S2192" i="20"/>
  <c r="S2222" i="20"/>
  <c r="S2223" i="20"/>
  <c r="S2224" i="20"/>
  <c r="S2225" i="20"/>
  <c r="S2187" i="20"/>
  <c r="S2226" i="20"/>
  <c r="S2227" i="20"/>
  <c r="S2228" i="20"/>
  <c r="S2229" i="20"/>
  <c r="S2230" i="20"/>
  <c r="S2231" i="20"/>
  <c r="S2232" i="20"/>
  <c r="S2233" i="20"/>
  <c r="S2234" i="20"/>
  <c r="S2235" i="20"/>
  <c r="S2236" i="20"/>
  <c r="S2237" i="20"/>
  <c r="S2238" i="20"/>
  <c r="S2239" i="20"/>
  <c r="S2242" i="20"/>
  <c r="S2240" i="20"/>
  <c r="S2241" i="20"/>
  <c r="S2243" i="20"/>
  <c r="S2249" i="20"/>
  <c r="S2244" i="20"/>
  <c r="S2252" i="20"/>
  <c r="S2253" i="20"/>
  <c r="S2254" i="20"/>
  <c r="S2245" i="20"/>
  <c r="S2255" i="20"/>
  <c r="S2256" i="20"/>
  <c r="S2257" i="20"/>
  <c r="S2246" i="20"/>
  <c r="S2258" i="20"/>
  <c r="S2247" i="20"/>
  <c r="S2259" i="20"/>
  <c r="S2268" i="20"/>
  <c r="S2270" i="20"/>
  <c r="S2260" i="20"/>
  <c r="S2248" i="20"/>
  <c r="S2261" i="20"/>
  <c r="S2250" i="20"/>
  <c r="S2262" i="20"/>
  <c r="S2271" i="20"/>
  <c r="S2272" i="20"/>
  <c r="S2251" i="20"/>
  <c r="S2263" i="20"/>
  <c r="S2264" i="20"/>
  <c r="S2265" i="20"/>
  <c r="S2266" i="20"/>
  <c r="S2267" i="20"/>
  <c r="S2273" i="20"/>
  <c r="S2274" i="20"/>
  <c r="S2278" i="20"/>
  <c r="S2285" i="20"/>
  <c r="S2275" i="20"/>
  <c r="S2280" i="20"/>
  <c r="S2276" i="20"/>
  <c r="S2286" i="20"/>
  <c r="S2277" i="20"/>
  <c r="S2287" i="20"/>
  <c r="S2281" i="20"/>
  <c r="S2279" i="20"/>
  <c r="S2282" i="20"/>
  <c r="S2288" i="20"/>
  <c r="S2283" i="20"/>
  <c r="S2284" i="20"/>
  <c r="S2289" i="20"/>
  <c r="S2291" i="20"/>
  <c r="S2292" i="20"/>
  <c r="S2302" i="20"/>
  <c r="S2303" i="20"/>
  <c r="S2293" i="20"/>
  <c r="S2294" i="20"/>
  <c r="S2295" i="20"/>
  <c r="S2296" i="20"/>
  <c r="S2297" i="20"/>
  <c r="S2298" i="20"/>
  <c r="S2299" i="20"/>
  <c r="S2300" i="20"/>
  <c r="S2290" i="20"/>
  <c r="S2301" i="20"/>
  <c r="S2307" i="20"/>
  <c r="S2304" i="20"/>
  <c r="S2305" i="20"/>
  <c r="S2308" i="20"/>
  <c r="S2309" i="20"/>
  <c r="S2310" i="20"/>
  <c r="S2306" i="20"/>
  <c r="S2313" i="20"/>
  <c r="S2314" i="20"/>
  <c r="S2315" i="20"/>
  <c r="S2316" i="20"/>
  <c r="S2317" i="20"/>
  <c r="S2312" i="20"/>
  <c r="S2318" i="20"/>
  <c r="S2319" i="20"/>
  <c r="S2320" i="20"/>
  <c r="S2311" i="20"/>
  <c r="S2321" i="20"/>
  <c r="S2322" i="20"/>
  <c r="S2327" i="20"/>
  <c r="S2328" i="20"/>
  <c r="S2329" i="20"/>
  <c r="S2330" i="20"/>
  <c r="S2331" i="20"/>
  <c r="S2332" i="20"/>
  <c r="S2333" i="20"/>
  <c r="S2334" i="20"/>
  <c r="S2326" i="20"/>
  <c r="S2323" i="20"/>
  <c r="S2335" i="20"/>
  <c r="S2336" i="20"/>
  <c r="S2324" i="20"/>
  <c r="S2325" i="20"/>
  <c r="S2337" i="20"/>
  <c r="S2338" i="20"/>
  <c r="S2339" i="20"/>
  <c r="S2340" i="20"/>
  <c r="S2341" i="20"/>
  <c r="S2342" i="20"/>
  <c r="S2343" i="20"/>
  <c r="S2344" i="20"/>
  <c r="S2345" i="20"/>
  <c r="S2346" i="20"/>
  <c r="S2359" i="20"/>
  <c r="S2349" i="20"/>
  <c r="S2347" i="20"/>
  <c r="S2350" i="20"/>
  <c r="S2348" i="20"/>
  <c r="S2351" i="20"/>
  <c r="S2361" i="20"/>
  <c r="S2357" i="20"/>
  <c r="S2352" i="20"/>
  <c r="S2353" i="20"/>
  <c r="S2354" i="20"/>
  <c r="S2355" i="20"/>
  <c r="S2356" i="20"/>
  <c r="S2362" i="20"/>
  <c r="S2363" i="20"/>
  <c r="S2364" i="20"/>
  <c r="S2366" i="20"/>
  <c r="S2370" i="20"/>
  <c r="S2371" i="20"/>
  <c r="S2372" i="20"/>
  <c r="S2373" i="20"/>
  <c r="S2374" i="20"/>
  <c r="S2367" i="20"/>
  <c r="S2375" i="20"/>
  <c r="S2368" i="20"/>
  <c r="S2376" i="20"/>
  <c r="S2377" i="20"/>
  <c r="S2369" i="20"/>
  <c r="S2378" i="20"/>
  <c r="S2365" i="20"/>
  <c r="S2379" i="20"/>
  <c r="S2387" i="20"/>
  <c r="S2388" i="20"/>
  <c r="S2420" i="20"/>
  <c r="S2380" i="20"/>
  <c r="S2421" i="20"/>
  <c r="S2389" i="20"/>
  <c r="S2383" i="20"/>
  <c r="S2422" i="20"/>
  <c r="S2390" i="20"/>
  <c r="S2391" i="20"/>
  <c r="S2392" i="20"/>
  <c r="S2393" i="20"/>
  <c r="S2384" i="20"/>
  <c r="S2394" i="20"/>
  <c r="S2423" i="20"/>
  <c r="S2424" i="20"/>
  <c r="S2425" i="20"/>
  <c r="S2426" i="20"/>
  <c r="S2427" i="20"/>
  <c r="S2395" i="20"/>
  <c r="S2396" i="20"/>
  <c r="S2428" i="20"/>
  <c r="S2397" i="20"/>
  <c r="S2429" i="20"/>
  <c r="S2398" i="20"/>
  <c r="S2399" i="20"/>
  <c r="S2400" i="20"/>
  <c r="S2401" i="20"/>
  <c r="S2402" i="20"/>
  <c r="S2403" i="20"/>
  <c r="S2404" i="20"/>
  <c r="S2405" i="20"/>
  <c r="S2430" i="20"/>
  <c r="S2381" i="20"/>
  <c r="S2431" i="20"/>
  <c r="S2432" i="20"/>
  <c r="S2433" i="20"/>
  <c r="S2434" i="20"/>
  <c r="S2435" i="20"/>
  <c r="S2406" i="20"/>
  <c r="S2407" i="20"/>
  <c r="S2408" i="20"/>
  <c r="S2409" i="20"/>
  <c r="S2410" i="20"/>
  <c r="S2411" i="20"/>
  <c r="S2412" i="20"/>
  <c r="S2382" i="20"/>
  <c r="S2413" i="20"/>
  <c r="S2414" i="20"/>
  <c r="S2415" i="20"/>
  <c r="S2416" i="20"/>
  <c r="S2417" i="20"/>
  <c r="S2436" i="20"/>
  <c r="S2385" i="20"/>
  <c r="S2437" i="20"/>
  <c r="S2418" i="20"/>
  <c r="S2386" i="20"/>
  <c r="S2438" i="20"/>
  <c r="S2419" i="20"/>
  <c r="S2439" i="20"/>
  <c r="S2440" i="20"/>
  <c r="S2447" i="20"/>
  <c r="S2448" i="20"/>
  <c r="S2441" i="20"/>
  <c r="S2442" i="20"/>
  <c r="S2449" i="20"/>
  <c r="S2459" i="20"/>
  <c r="S2443" i="20"/>
  <c r="S2450" i="20"/>
  <c r="S2451" i="20"/>
  <c r="S2452" i="20"/>
  <c r="S2453" i="20"/>
  <c r="S2444" i="20"/>
  <c r="S2445" i="20"/>
  <c r="S2454" i="20"/>
  <c r="S2446" i="20"/>
  <c r="S2455" i="20"/>
  <c r="S2456" i="20"/>
  <c r="S2457" i="20"/>
  <c r="S2458" i="20"/>
  <c r="S2460" i="20"/>
  <c r="S2461" i="20"/>
  <c r="S2475" i="20"/>
  <c r="S2462" i="20"/>
  <c r="S2476" i="20"/>
  <c r="S2463" i="20"/>
  <c r="S2477" i="20"/>
  <c r="S2464" i="20"/>
  <c r="S2478" i="20"/>
  <c r="S2479" i="20"/>
  <c r="S2465" i="20"/>
  <c r="S2466" i="20"/>
  <c r="S2480" i="20"/>
  <c r="S2481" i="20"/>
  <c r="S2482" i="20"/>
  <c r="S2483" i="20"/>
  <c r="S2484" i="20"/>
  <c r="S2485" i="20"/>
  <c r="S2486" i="20"/>
  <c r="S2487" i="20"/>
  <c r="S2488" i="20"/>
  <c r="S2467" i="20"/>
  <c r="S2468" i="20"/>
  <c r="S2489" i="20"/>
  <c r="S2490" i="20"/>
  <c r="S2491" i="20"/>
  <c r="S2492" i="20"/>
  <c r="S2493" i="20"/>
  <c r="S2494" i="20"/>
  <c r="S2495" i="20"/>
  <c r="S2469" i="20"/>
  <c r="S2496" i="20"/>
  <c r="S2497" i="20"/>
  <c r="S2498" i="20"/>
  <c r="S2499" i="20"/>
  <c r="S2500" i="20"/>
  <c r="S2501" i="20"/>
  <c r="S2470" i="20"/>
  <c r="S2502" i="20"/>
  <c r="S2503" i="20"/>
  <c r="S2471" i="20"/>
  <c r="S2504" i="20"/>
  <c r="S2472" i="20"/>
  <c r="S2473" i="20"/>
  <c r="S2505" i="20"/>
  <c r="S2474" i="20"/>
  <c r="S2506" i="20"/>
  <c r="S2518" i="20"/>
  <c r="S2509" i="20"/>
  <c r="S2510" i="20"/>
  <c r="S2519" i="20"/>
  <c r="S2520" i="20"/>
  <c r="S2521" i="20"/>
  <c r="S2522" i="20"/>
  <c r="S2523" i="20"/>
  <c r="S2516" i="20"/>
  <c r="S2524" i="20"/>
  <c r="S2525" i="20"/>
  <c r="S2517" i="20"/>
  <c r="S2526" i="20"/>
  <c r="S2527" i="20"/>
  <c r="S2528" i="20"/>
  <c r="S2529" i="20"/>
  <c r="S2530" i="20"/>
  <c r="S2531" i="20"/>
  <c r="S2532" i="20"/>
  <c r="S2508" i="20"/>
  <c r="S2507" i="20"/>
  <c r="S2533" i="20"/>
  <c r="S2534" i="20"/>
  <c r="S2535" i="20"/>
  <c r="S2511" i="20"/>
  <c r="S2536" i="20"/>
  <c r="S2537" i="20"/>
  <c r="S2538" i="20"/>
  <c r="S2512" i="20"/>
  <c r="S2539" i="20"/>
  <c r="S2540" i="20"/>
  <c r="S2541" i="20"/>
  <c r="S2542" i="20"/>
  <c r="S2513" i="20"/>
  <c r="S2543" i="20"/>
  <c r="S2514" i="20"/>
  <c r="S2515" i="20"/>
  <c r="S2544" i="20"/>
  <c r="S2545" i="20"/>
  <c r="S2546" i="20"/>
  <c r="S2547" i="20"/>
  <c r="S2548" i="20"/>
  <c r="S2549" i="20"/>
  <c r="S2556" i="20"/>
  <c r="S2554" i="20"/>
  <c r="S2557" i="20"/>
  <c r="S2562" i="20"/>
  <c r="S2558" i="20"/>
  <c r="S2550" i="20"/>
  <c r="S2559" i="20"/>
  <c r="S2551" i="20"/>
  <c r="S2555" i="20"/>
  <c r="S2552" i="20"/>
  <c r="S2560" i="20"/>
  <c r="S2561" i="20"/>
  <c r="S2563" i="20"/>
  <c r="S2553" i="20"/>
  <c r="S2564" i="20"/>
  <c r="S2565" i="20"/>
  <c r="S2566" i="20"/>
  <c r="S2567" i="20"/>
  <c r="S2568" i="20"/>
  <c r="S2569" i="20"/>
  <c r="S2570" i="20"/>
  <c r="S2571" i="20"/>
  <c r="S2578" i="20"/>
  <c r="S2579" i="20"/>
  <c r="S2580" i="20"/>
  <c r="S2581" i="20"/>
  <c r="S2572" i="20"/>
  <c r="S2577" i="20"/>
  <c r="S2573" i="20"/>
  <c r="S2582" i="20"/>
  <c r="S2583" i="20"/>
  <c r="S2584" i="20"/>
  <c r="S2585" i="20"/>
  <c r="S2586" i="20"/>
  <c r="S2587" i="20"/>
  <c r="S2588" i="20"/>
  <c r="S2589" i="20"/>
  <c r="S2590" i="20"/>
  <c r="S2591" i="20"/>
  <c r="S2574" i="20"/>
  <c r="S2575" i="20"/>
  <c r="S2592" i="20"/>
  <c r="S2593" i="20"/>
  <c r="S2576" i="20"/>
  <c r="S2594" i="20"/>
  <c r="S2595" i="20"/>
  <c r="S2605" i="20"/>
  <c r="S2601" i="20"/>
  <c r="S2617" i="20"/>
  <c r="S2599" i="20"/>
  <c r="S2596" i="20"/>
  <c r="S2618" i="20"/>
  <c r="S2619" i="20"/>
  <c r="S2620" i="20"/>
  <c r="S2621" i="20"/>
  <c r="S2622" i="20"/>
  <c r="S2623" i="20"/>
  <c r="S2597" i="20"/>
  <c r="S2624" i="20"/>
  <c r="S2606" i="20"/>
  <c r="S2625" i="20"/>
  <c r="S2607" i="20"/>
  <c r="S2602" i="20"/>
  <c r="S2612" i="20"/>
  <c r="S2608" i="20"/>
  <c r="S2626" i="20"/>
  <c r="S2609" i="20"/>
  <c r="S2613" i="20"/>
  <c r="S2614" i="20"/>
  <c r="S2627" i="20"/>
  <c r="S2628" i="20"/>
  <c r="S2610" i="20"/>
  <c r="S2629" i="20"/>
  <c r="S2630" i="20"/>
  <c r="S2600" i="20"/>
  <c r="S2603" i="20"/>
  <c r="S2631" i="20"/>
  <c r="S2615" i="20"/>
  <c r="S2632" i="20"/>
  <c r="S2611" i="20"/>
  <c r="S2616" i="20"/>
  <c r="S2598" i="20"/>
  <c r="S2604" i="20"/>
  <c r="S2634" i="20"/>
  <c r="S2635" i="20"/>
  <c r="S2636" i="20"/>
  <c r="S2637" i="20"/>
  <c r="S2648" i="20"/>
  <c r="S2649" i="20"/>
  <c r="S2650" i="20"/>
  <c r="S2651" i="20"/>
  <c r="S2652" i="20"/>
  <c r="S2639" i="20"/>
  <c r="S2653" i="20"/>
  <c r="S2654" i="20"/>
  <c r="S2640" i="20"/>
  <c r="S2655" i="20"/>
  <c r="S2633" i="20"/>
  <c r="S2642" i="20"/>
  <c r="S2656" i="20"/>
  <c r="S2657" i="20"/>
  <c r="S2643" i="20"/>
  <c r="S2658" i="20"/>
  <c r="S2659" i="20"/>
  <c r="S2644" i="20"/>
  <c r="S2645" i="20"/>
  <c r="S2646" i="20"/>
  <c r="S2638" i="20"/>
  <c r="S2660" i="20"/>
  <c r="S2641" i="20"/>
  <c r="S2647" i="20"/>
  <c r="S2661" i="20"/>
  <c r="S2662" i="20"/>
  <c r="S2663" i="20"/>
  <c r="S2664" i="20"/>
  <c r="S2665" i="20"/>
  <c r="S2666" i="20"/>
  <c r="S2667" i="20"/>
  <c r="S2675" i="20"/>
  <c r="S2672" i="20"/>
  <c r="S2674" i="20"/>
  <c r="S2676" i="20"/>
  <c r="S2669" i="20"/>
  <c r="S2677" i="20"/>
  <c r="S2668" i="20"/>
  <c r="S2670" i="20"/>
  <c r="S2678" i="20"/>
  <c r="S2679" i="20"/>
  <c r="S2680" i="20"/>
  <c r="S2671" i="20"/>
  <c r="S2681" i="20"/>
  <c r="S2682" i="20"/>
  <c r="S2683" i="20"/>
  <c r="S2673" i="20"/>
  <c r="S2689" i="20"/>
  <c r="S2690" i="20"/>
  <c r="S2686" i="20"/>
  <c r="S2691" i="20"/>
  <c r="S2687" i="20"/>
  <c r="S2688" i="20"/>
  <c r="S2684" i="20"/>
  <c r="S2685" i="20"/>
  <c r="S2692" i="20"/>
  <c r="S2697" i="20"/>
  <c r="S2696" i="20"/>
  <c r="S2698" i="20"/>
  <c r="S2699" i="20"/>
  <c r="S2700" i="20"/>
  <c r="S2693" i="20"/>
  <c r="S2694" i="20"/>
  <c r="S2701" i="20"/>
  <c r="S2702" i="20"/>
  <c r="S2703" i="20"/>
  <c r="S2695" i="20"/>
  <c r="S2704" i="20"/>
  <c r="S2707" i="20"/>
  <c r="S2708" i="20"/>
  <c r="S2709" i="20"/>
  <c r="S2710" i="20"/>
  <c r="S2711" i="20"/>
  <c r="S2706" i="20"/>
  <c r="S2712" i="20"/>
  <c r="S2713" i="20"/>
  <c r="S2705" i="20"/>
  <c r="S2714" i="20"/>
  <c r="S2715" i="20"/>
  <c r="S2716" i="20"/>
  <c r="S2717" i="20"/>
  <c r="S2718" i="20"/>
  <c r="S2727" i="20"/>
  <c r="S2720" i="20"/>
  <c r="S2728" i="20"/>
  <c r="S2719" i="20"/>
  <c r="S2729" i="20"/>
  <c r="S2721" i="20"/>
  <c r="S2730" i="20"/>
  <c r="S2723" i="20"/>
  <c r="S2724" i="20"/>
  <c r="S2731" i="20"/>
  <c r="S2732" i="20"/>
  <c r="S2725" i="20"/>
  <c r="S2726" i="20"/>
  <c r="S2722" i="20"/>
  <c r="S2734" i="20"/>
  <c r="S2735" i="20"/>
  <c r="S2736" i="20"/>
  <c r="S2737" i="20"/>
  <c r="S2738" i="20"/>
  <c r="S2743" i="20"/>
  <c r="S2739" i="20"/>
  <c r="S2740" i="20"/>
  <c r="S2741" i="20"/>
  <c r="S2733" i="20"/>
  <c r="S2744" i="20"/>
  <c r="S2745" i="20"/>
  <c r="S2746" i="20"/>
  <c r="S2747" i="20"/>
  <c r="S2748" i="20"/>
  <c r="S2749" i="20"/>
  <c r="S2750" i="20"/>
  <c r="S2751" i="20"/>
  <c r="S2752" i="20"/>
  <c r="S2753" i="20"/>
  <c r="S2754" i="20"/>
  <c r="S2755" i="20"/>
  <c r="S2756" i="20"/>
  <c r="S2742" i="20"/>
  <c r="S2767" i="20"/>
  <c r="S2768" i="20"/>
  <c r="S2769" i="20"/>
  <c r="S2770" i="20"/>
  <c r="S2771" i="20"/>
  <c r="S2772" i="20"/>
  <c r="S2773" i="20"/>
  <c r="S2774" i="20"/>
  <c r="S2760" i="20"/>
  <c r="S2775" i="20"/>
  <c r="S2776" i="20"/>
  <c r="S2777" i="20"/>
  <c r="S2778" i="20"/>
  <c r="S2779" i="20"/>
  <c r="S2780" i="20"/>
  <c r="S2781" i="20"/>
  <c r="S2782" i="20"/>
  <c r="S2783" i="20"/>
  <c r="S2784" i="20"/>
  <c r="S2785" i="20"/>
  <c r="S2786" i="20"/>
  <c r="S2787" i="20"/>
  <c r="S2788" i="20"/>
  <c r="S2831" i="20"/>
  <c r="S2789" i="20"/>
  <c r="S2790" i="20"/>
  <c r="S2761" i="20"/>
  <c r="S2762" i="20"/>
  <c r="S2791" i="20"/>
  <c r="S2792" i="20"/>
  <c r="S2793" i="20"/>
  <c r="S2829" i="20"/>
  <c r="S2794" i="20"/>
  <c r="S2795" i="20"/>
  <c r="S2796" i="20"/>
  <c r="S2797" i="20"/>
  <c r="S2798" i="20"/>
  <c r="S2799" i="20"/>
  <c r="S2800" i="20"/>
  <c r="S2801" i="20"/>
  <c r="S2802" i="20"/>
  <c r="S2803" i="20"/>
  <c r="S2804" i="20"/>
  <c r="S2757" i="20"/>
  <c r="S2805" i="20"/>
  <c r="S2806" i="20"/>
  <c r="S2807" i="20"/>
  <c r="S2808" i="20"/>
  <c r="S2809" i="20"/>
  <c r="S2810" i="20"/>
  <c r="S2811" i="20"/>
  <c r="S2763" i="20"/>
  <c r="S2812" i="20"/>
  <c r="S2764" i="20"/>
  <c r="S2813" i="20"/>
  <c r="S2814" i="20"/>
  <c r="S2815" i="20"/>
  <c r="S2758" i="20"/>
  <c r="S2759" i="20"/>
  <c r="S2816" i="20"/>
  <c r="S2817" i="20"/>
  <c r="S2818" i="20"/>
  <c r="S2832" i="20"/>
  <c r="S2830" i="20"/>
  <c r="S2819" i="20"/>
  <c r="S2820" i="20"/>
  <c r="S2821" i="20"/>
  <c r="S2822" i="20"/>
  <c r="S2823" i="20"/>
  <c r="S2824" i="20"/>
  <c r="S2765" i="20"/>
  <c r="S2825" i="20"/>
  <c r="S2826" i="20"/>
  <c r="S2827" i="20"/>
  <c r="S2828" i="20"/>
  <c r="S2766" i="20"/>
  <c r="S2840" i="20"/>
  <c r="S2841" i="20"/>
  <c r="S2833" i="20"/>
  <c r="S2850" i="20"/>
  <c r="S2852" i="20"/>
  <c r="S2842" i="20"/>
  <c r="S2843" i="20"/>
  <c r="S2844" i="20"/>
  <c r="S2834" i="20"/>
  <c r="S2835" i="20"/>
  <c r="S2845" i="20"/>
  <c r="S2836" i="20"/>
  <c r="S2846" i="20"/>
  <c r="S2847" i="20"/>
  <c r="S2837" i="20"/>
  <c r="S2858" i="20"/>
  <c r="S2853" i="20"/>
  <c r="S2851" i="20"/>
  <c r="S2854" i="20"/>
  <c r="S2838" i="20"/>
  <c r="S2855" i="20"/>
  <c r="S2848" i="20"/>
  <c r="S2839" i="20"/>
  <c r="S2849" i="20"/>
  <c r="S2856" i="20"/>
  <c r="S2857" i="20"/>
  <c r="S2879" i="20"/>
  <c r="S2880" i="20"/>
  <c r="S2881" i="20"/>
  <c r="S2874" i="20"/>
  <c r="S2882" i="20"/>
  <c r="S2868" i="20"/>
  <c r="S2883" i="20"/>
  <c r="S2884" i="20"/>
  <c r="S2885" i="20"/>
  <c r="S2869" i="20"/>
  <c r="S2886" i="20"/>
  <c r="S2887" i="20"/>
  <c r="S2859" i="20"/>
  <c r="S2864" i="20"/>
  <c r="S2875" i="20"/>
  <c r="S2872" i="20"/>
  <c r="S2876" i="20"/>
  <c r="S2870" i="20"/>
  <c r="S2877" i="20"/>
  <c r="S2860" i="20"/>
  <c r="S2888" i="20"/>
  <c r="S2865" i="20"/>
  <c r="S2873" i="20"/>
  <c r="S2889" i="20"/>
  <c r="S2866" i="20"/>
  <c r="S2861" i="20"/>
  <c r="S2871" i="20"/>
  <c r="U9" i="23" s="1"/>
  <c r="S2862" i="20"/>
  <c r="S2867" i="20"/>
  <c r="S2863" i="20"/>
  <c r="S2878" i="20"/>
  <c r="S2896" i="20"/>
  <c r="S2897" i="20"/>
  <c r="S2890" i="20"/>
  <c r="S2907" i="20"/>
  <c r="S2910" i="20"/>
  <c r="S2898" i="20"/>
  <c r="S2899" i="20"/>
  <c r="S2891" i="20"/>
  <c r="S2900" i="20"/>
  <c r="S2892" i="20"/>
  <c r="S2893" i="20"/>
  <c r="S2901" i="20"/>
  <c r="S2908" i="20"/>
  <c r="S2902" i="20"/>
  <c r="S2909" i="20"/>
  <c r="S2895" i="20"/>
  <c r="S2903" i="20"/>
  <c r="S2911" i="20"/>
  <c r="S2904" i="20"/>
  <c r="S2905" i="20"/>
  <c r="S2906" i="20"/>
  <c r="S2912" i="20"/>
  <c r="S2920" i="20"/>
  <c r="S2921" i="20"/>
  <c r="S2913" i="20"/>
  <c r="S2914" i="20"/>
  <c r="S2915" i="20"/>
  <c r="S2922" i="20"/>
  <c r="S2923" i="20"/>
  <c r="S2916" i="20"/>
  <c r="S2924" i="20"/>
  <c r="S2917" i="20"/>
  <c r="S2918" i="20"/>
  <c r="S2925" i="20"/>
  <c r="S2919" i="20"/>
  <c r="S2926" i="20"/>
  <c r="S2927" i="20"/>
  <c r="S2928" i="20"/>
  <c r="S2929" i="20"/>
  <c r="S2931" i="20"/>
  <c r="S2932" i="20"/>
  <c r="S2930" i="20"/>
  <c r="S2933" i="20"/>
  <c r="S2934" i="20"/>
  <c r="S2935" i="20"/>
  <c r="S2936" i="20"/>
  <c r="S2937" i="20"/>
  <c r="S2938" i="20"/>
  <c r="S2939" i="20"/>
  <c r="S2940" i="20"/>
  <c r="S2941" i="20"/>
  <c r="S2942" i="20"/>
  <c r="S2943" i="20"/>
  <c r="S2944" i="20"/>
  <c r="S2949" i="20"/>
  <c r="S2947" i="20"/>
  <c r="S2945" i="20"/>
  <c r="S2946" i="20"/>
  <c r="S2948" i="20"/>
  <c r="S2950" i="20"/>
  <c r="S2951" i="20"/>
  <c r="S2952" i="20"/>
  <c r="S2953" i="20"/>
  <c r="S2954" i="20"/>
  <c r="S2955" i="20"/>
  <c r="S2967" i="20"/>
  <c r="S2964" i="20"/>
  <c r="S2956" i="20"/>
  <c r="S2963" i="20"/>
  <c r="S2965" i="20"/>
  <c r="S2961" i="20"/>
  <c r="S2957" i="20"/>
  <c r="S2968" i="20"/>
  <c r="S2958" i="20"/>
  <c r="S2966" i="20"/>
  <c r="S2962" i="20"/>
  <c r="S2959" i="20"/>
  <c r="S2960" i="20"/>
  <c r="S2969" i="20"/>
  <c r="S2970" i="20"/>
  <c r="S2971" i="20"/>
  <c r="S2972" i="20"/>
  <c r="S2973" i="20"/>
  <c r="S2974" i="20"/>
  <c r="S2975" i="20"/>
  <c r="S2976" i="20"/>
  <c r="S2977" i="20"/>
  <c r="S2978" i="20"/>
  <c r="S2979" i="20"/>
  <c r="S2980" i="20"/>
  <c r="S2981" i="20"/>
  <c r="S2982" i="20"/>
  <c r="S2983" i="20"/>
  <c r="S2984" i="20"/>
  <c r="S2994" i="20"/>
  <c r="S2995" i="20"/>
  <c r="S3002" i="20"/>
  <c r="S2986" i="20"/>
  <c r="S2990" i="20"/>
  <c r="S2991" i="20"/>
  <c r="S2987" i="20"/>
  <c r="S2996" i="20"/>
  <c r="S3000" i="20"/>
  <c r="S2997" i="20"/>
  <c r="S3003" i="20"/>
  <c r="S3004" i="20"/>
  <c r="S2988" i="20"/>
  <c r="S2989" i="20"/>
  <c r="S2992" i="20"/>
  <c r="S3001" i="20"/>
  <c r="S2998" i="20"/>
  <c r="S2999" i="20"/>
  <c r="S2993" i="20"/>
  <c r="S3005" i="20"/>
  <c r="S3011" i="20"/>
  <c r="S3012" i="20"/>
  <c r="S3006" i="20"/>
  <c r="S3013" i="20"/>
  <c r="S3009" i="20"/>
  <c r="S3014" i="20"/>
  <c r="S3007" i="20"/>
  <c r="S3015" i="20"/>
  <c r="S3016" i="20"/>
  <c r="S3010" i="20"/>
  <c r="S3008" i="20"/>
  <c r="S3017" i="20"/>
  <c r="S3018" i="20"/>
  <c r="S3022" i="20"/>
  <c r="S3019" i="20"/>
  <c r="S3023" i="20"/>
  <c r="S3024" i="20"/>
  <c r="S3025" i="20"/>
  <c r="S3026" i="20"/>
  <c r="S3027" i="20"/>
  <c r="S3028" i="20"/>
  <c r="S3020" i="20"/>
  <c r="S3021" i="20"/>
  <c r="S3029" i="20"/>
  <c r="S3030" i="20"/>
  <c r="S3031" i="20"/>
  <c r="S3032" i="20"/>
  <c r="S3033" i="20"/>
  <c r="S3034" i="20"/>
  <c r="S3035" i="20"/>
  <c r="S3036" i="20"/>
  <c r="S3037" i="20"/>
  <c r="S3038" i="20"/>
  <c r="S3039" i="20"/>
  <c r="S3040" i="20"/>
  <c r="S3041" i="20"/>
  <c r="S3042" i="20"/>
  <c r="S3043" i="20"/>
  <c r="S3044" i="20"/>
  <c r="S3045" i="20"/>
  <c r="S3046" i="20"/>
  <c r="S3047" i="20"/>
  <c r="S3048" i="20"/>
  <c r="S3057" i="20"/>
  <c r="S3049" i="20"/>
  <c r="S3058" i="20"/>
  <c r="S3059" i="20"/>
  <c r="S3060" i="20"/>
  <c r="S3050" i="20"/>
  <c r="S3061" i="20"/>
  <c r="S3051" i="20"/>
  <c r="S3062" i="20"/>
  <c r="S3063" i="20"/>
  <c r="S3055" i="20"/>
  <c r="S3056" i="20"/>
  <c r="S3052" i="20"/>
  <c r="S3053" i="20"/>
  <c r="S3054" i="20"/>
  <c r="S3064" i="20"/>
  <c r="S3066" i="20"/>
  <c r="S3067" i="20"/>
  <c r="S3068" i="20"/>
  <c r="S3069" i="20"/>
  <c r="S3070" i="20"/>
  <c r="S3071" i="20"/>
  <c r="S3072" i="20"/>
  <c r="S3073" i="20"/>
  <c r="S3065" i="20"/>
  <c r="S3087" i="20"/>
  <c r="S3074" i="20"/>
  <c r="S3088" i="20"/>
  <c r="S3075" i="20"/>
  <c r="S3076" i="20"/>
  <c r="S3077" i="20"/>
  <c r="S3078" i="20"/>
  <c r="S3079" i="20"/>
  <c r="S3080" i="20"/>
  <c r="S3081" i="20"/>
  <c r="S3089" i="20"/>
  <c r="S3082" i="20"/>
  <c r="S3083" i="20"/>
  <c r="S3084" i="20"/>
  <c r="S3085" i="20"/>
  <c r="S3086" i="20"/>
  <c r="S3090" i="20"/>
  <c r="S3091" i="20"/>
  <c r="S3092" i="20"/>
  <c r="S3093" i="20"/>
  <c r="S3094" i="20"/>
  <c r="S3095" i="20"/>
  <c r="S3096" i="20"/>
  <c r="S3097" i="20"/>
  <c r="S3098" i="20"/>
  <c r="S3099" i="20"/>
  <c r="S3100" i="20"/>
  <c r="S3101" i="20"/>
  <c r="S3102" i="20"/>
  <c r="S3103" i="20"/>
  <c r="S3104" i="20"/>
  <c r="S3105" i="20"/>
  <c r="S5" i="20"/>
  <c r="S3" i="20"/>
  <c r="R2443" i="20"/>
  <c r="R2450" i="20"/>
  <c r="R2451" i="20"/>
  <c r="R2452" i="20"/>
  <c r="R2453" i="20"/>
  <c r="R2444" i="20"/>
  <c r="R2445" i="20"/>
  <c r="R2454" i="20"/>
  <c r="R2446" i="20"/>
  <c r="R2455" i="20"/>
  <c r="R2456" i="20"/>
  <c r="R2457" i="20"/>
  <c r="R2458" i="20"/>
  <c r="R2460" i="20"/>
  <c r="R2461" i="20"/>
  <c r="R2475" i="20"/>
  <c r="R2462" i="20"/>
  <c r="R2476" i="20"/>
  <c r="R2463" i="20"/>
  <c r="R2477" i="20"/>
  <c r="R2464" i="20"/>
  <c r="R2478" i="20"/>
  <c r="R2479" i="20"/>
  <c r="R2465" i="20"/>
  <c r="R2466" i="20"/>
  <c r="R2480" i="20"/>
  <c r="R2481" i="20"/>
  <c r="R2482" i="20"/>
  <c r="R2483" i="20"/>
  <c r="R2484" i="20"/>
  <c r="R2485" i="20"/>
  <c r="R2486" i="20"/>
  <c r="R2487" i="20"/>
  <c r="R2488" i="20"/>
  <c r="R2467" i="20"/>
  <c r="R2468" i="20"/>
  <c r="R2489" i="20"/>
  <c r="R2490" i="20"/>
  <c r="R2491" i="20"/>
  <c r="R2492" i="20"/>
  <c r="R2493" i="20"/>
  <c r="R2494" i="20"/>
  <c r="R2495" i="20"/>
  <c r="R2469" i="20"/>
  <c r="R2496" i="20"/>
  <c r="R2497" i="20"/>
  <c r="R2498" i="20"/>
  <c r="R2499" i="20"/>
  <c r="R2500" i="20"/>
  <c r="R2501" i="20"/>
  <c r="R2470" i="20"/>
  <c r="R2502" i="20"/>
  <c r="R2503" i="20"/>
  <c r="R2471" i="20"/>
  <c r="R2504" i="20"/>
  <c r="R2472" i="20"/>
  <c r="R2473" i="20"/>
  <c r="R2505" i="20"/>
  <c r="R2474" i="20"/>
  <c r="R2506" i="20"/>
  <c r="E29" i="23" s="1"/>
  <c r="R2518" i="20"/>
  <c r="R2509" i="20"/>
  <c r="R2510" i="20"/>
  <c r="R2519" i="20"/>
  <c r="R2520" i="20"/>
  <c r="R2521" i="20"/>
  <c r="R2522" i="20"/>
  <c r="R2523" i="20"/>
  <c r="R2516" i="20"/>
  <c r="R2524" i="20"/>
  <c r="R2525" i="20"/>
  <c r="R2517" i="20"/>
  <c r="R2526" i="20"/>
  <c r="R2527" i="20"/>
  <c r="R2528" i="20"/>
  <c r="R2529" i="20"/>
  <c r="R2530" i="20"/>
  <c r="R2531" i="20"/>
  <c r="R2532" i="20"/>
  <c r="R2508" i="20"/>
  <c r="R2507" i="20"/>
  <c r="R2533" i="20"/>
  <c r="R2534" i="20"/>
  <c r="R2535" i="20"/>
  <c r="R2511" i="20"/>
  <c r="R2536" i="20"/>
  <c r="R2537" i="20"/>
  <c r="R2538" i="20"/>
  <c r="R2512" i="20"/>
  <c r="R2539" i="20"/>
  <c r="R2540" i="20"/>
  <c r="R2541" i="20"/>
  <c r="R2542" i="20"/>
  <c r="R2513" i="20"/>
  <c r="R2543" i="20"/>
  <c r="R2514" i="20"/>
  <c r="R2515" i="20"/>
  <c r="R2544" i="20"/>
  <c r="R2545" i="20"/>
  <c r="R2546" i="20"/>
  <c r="R2547" i="20"/>
  <c r="R2548" i="20"/>
  <c r="R2549" i="20"/>
  <c r="R2556" i="20"/>
  <c r="R2554" i="20"/>
  <c r="R2557" i="20"/>
  <c r="R2562" i="20"/>
  <c r="R2558" i="20"/>
  <c r="R2550" i="20"/>
  <c r="R2559" i="20"/>
  <c r="R2551" i="20"/>
  <c r="R2555" i="20"/>
  <c r="R2552" i="20"/>
  <c r="R2560" i="20"/>
  <c r="R2561" i="20"/>
  <c r="R2563" i="20"/>
  <c r="R2553" i="20"/>
  <c r="R2564" i="20"/>
  <c r="R2565" i="20"/>
  <c r="R2566" i="20"/>
  <c r="R2567" i="20"/>
  <c r="R2568" i="20"/>
  <c r="R2569" i="20"/>
  <c r="R2570" i="20"/>
  <c r="R2571" i="20"/>
  <c r="R2578" i="20"/>
  <c r="R2579" i="20"/>
  <c r="R2580" i="20"/>
  <c r="R2581" i="20"/>
  <c r="R2572" i="20"/>
  <c r="R2577" i="20"/>
  <c r="R2573" i="20"/>
  <c r="R2582" i="20"/>
  <c r="R2583" i="20"/>
  <c r="R2584" i="20"/>
  <c r="R2585" i="20"/>
  <c r="R2586" i="20"/>
  <c r="R2587" i="20"/>
  <c r="R2588" i="20"/>
  <c r="R2589" i="20"/>
  <c r="R2590" i="20"/>
  <c r="R2591" i="20"/>
  <c r="R2574" i="20"/>
  <c r="R2575" i="20"/>
  <c r="R2592" i="20"/>
  <c r="R2593" i="20"/>
  <c r="R2576" i="20"/>
  <c r="R2594" i="20"/>
  <c r="R2595" i="20"/>
  <c r="R2605" i="20"/>
  <c r="R2601" i="20"/>
  <c r="R2617" i="20"/>
  <c r="R2599" i="20"/>
  <c r="R2596" i="20"/>
  <c r="R2618" i="20"/>
  <c r="R2619" i="20"/>
  <c r="R2620" i="20"/>
  <c r="R2621" i="20"/>
  <c r="R2622" i="20"/>
  <c r="R2623" i="20"/>
  <c r="R2597" i="20"/>
  <c r="R2624" i="20"/>
  <c r="R2606" i="20"/>
  <c r="R2625" i="20"/>
  <c r="R2607" i="20"/>
  <c r="R2602" i="20"/>
  <c r="R2612" i="20"/>
  <c r="R2608" i="20"/>
  <c r="R2626" i="20"/>
  <c r="R2609" i="20"/>
  <c r="R2613" i="20"/>
  <c r="R2614" i="20"/>
  <c r="R2627" i="20"/>
  <c r="R2628" i="20"/>
  <c r="R2610" i="20"/>
  <c r="R2629" i="20"/>
  <c r="R2630" i="20"/>
  <c r="R2600" i="20"/>
  <c r="R2603" i="20"/>
  <c r="R2631" i="20"/>
  <c r="R2615" i="20"/>
  <c r="R2632" i="20"/>
  <c r="R2616" i="20"/>
  <c r="R2598" i="20"/>
  <c r="R2604" i="20"/>
  <c r="R2634" i="20"/>
  <c r="R2635" i="20"/>
  <c r="R2636" i="20"/>
  <c r="R2637" i="20"/>
  <c r="R2648" i="20"/>
  <c r="R2649" i="20"/>
  <c r="R2650" i="20"/>
  <c r="R2651" i="20"/>
  <c r="R2652" i="20"/>
  <c r="R2639" i="20"/>
  <c r="R2653" i="20"/>
  <c r="R2654" i="20"/>
  <c r="R2640" i="20"/>
  <c r="R2655" i="20"/>
  <c r="R2633" i="20"/>
  <c r="R2642" i="20"/>
  <c r="R2656" i="20"/>
  <c r="R2657" i="20"/>
  <c r="R2643" i="20"/>
  <c r="R2658" i="20"/>
  <c r="R2659" i="20"/>
  <c r="R2644" i="20"/>
  <c r="R2645" i="20"/>
  <c r="R2646" i="20"/>
  <c r="R2638" i="20"/>
  <c r="R2660" i="20"/>
  <c r="R2641" i="20"/>
  <c r="R2647" i="20"/>
  <c r="R2661" i="20"/>
  <c r="R2662" i="20"/>
  <c r="R2663" i="20"/>
  <c r="R2664" i="20"/>
  <c r="R2665" i="20"/>
  <c r="R2666" i="20"/>
  <c r="R2667" i="20"/>
  <c r="R2675" i="20"/>
  <c r="R2672" i="20"/>
  <c r="R2674" i="20"/>
  <c r="R2676" i="20"/>
  <c r="R2669" i="20"/>
  <c r="R2677" i="20"/>
  <c r="R2668" i="20"/>
  <c r="R2670" i="20"/>
  <c r="R2678" i="20"/>
  <c r="R2679" i="20"/>
  <c r="R2680" i="20"/>
  <c r="R2671" i="20"/>
  <c r="R2681" i="20"/>
  <c r="R2682" i="20"/>
  <c r="R2683" i="20"/>
  <c r="R2673" i="20"/>
  <c r="R2689" i="20"/>
  <c r="R2690" i="20"/>
  <c r="R2686" i="20"/>
  <c r="R2691" i="20"/>
  <c r="R2687" i="20"/>
  <c r="R2688" i="20"/>
  <c r="R2684" i="20"/>
  <c r="R2685" i="20"/>
  <c r="R2692" i="20"/>
  <c r="R2697" i="20"/>
  <c r="R2696" i="20"/>
  <c r="R2698" i="20"/>
  <c r="R2699" i="20"/>
  <c r="R2700" i="20"/>
  <c r="R2693" i="20"/>
  <c r="R2694" i="20"/>
  <c r="R2701" i="20"/>
  <c r="R2702" i="20"/>
  <c r="R2703" i="20"/>
  <c r="R2695" i="20"/>
  <c r="R2704" i="20"/>
  <c r="R2707" i="20"/>
  <c r="R2708" i="20"/>
  <c r="R2709" i="20"/>
  <c r="R2710" i="20"/>
  <c r="R2711" i="20"/>
  <c r="R2706" i="20"/>
  <c r="R2712" i="20"/>
  <c r="R2713" i="20"/>
  <c r="R2705" i="20"/>
  <c r="R2714" i="20"/>
  <c r="R2715" i="20"/>
  <c r="R2716" i="20"/>
  <c r="R2717" i="20"/>
  <c r="R2718" i="20"/>
  <c r="R2727" i="20"/>
  <c r="R2720" i="20"/>
  <c r="R2728" i="20"/>
  <c r="R2719" i="20"/>
  <c r="R2729" i="20"/>
  <c r="R2721" i="20"/>
  <c r="R2730" i="20"/>
  <c r="R2723" i="20"/>
  <c r="R2724" i="20"/>
  <c r="R2731" i="20"/>
  <c r="R2732" i="20"/>
  <c r="R2725" i="20"/>
  <c r="R2726" i="20"/>
  <c r="R2722" i="20"/>
  <c r="R2734" i="20"/>
  <c r="R2735" i="20"/>
  <c r="R2736" i="20"/>
  <c r="R2737" i="20"/>
  <c r="R2738" i="20"/>
  <c r="R2743" i="20"/>
  <c r="R2739" i="20"/>
  <c r="R2740" i="20"/>
  <c r="R2741" i="20"/>
  <c r="R2733" i="20"/>
  <c r="R2744" i="20"/>
  <c r="R2745" i="20"/>
  <c r="R2746" i="20"/>
  <c r="R2747" i="20"/>
  <c r="R2748" i="20"/>
  <c r="R2749" i="20"/>
  <c r="R2750" i="20"/>
  <c r="R2751" i="20"/>
  <c r="R2752" i="20"/>
  <c r="R2753" i="20"/>
  <c r="R2754" i="20"/>
  <c r="R2755" i="20"/>
  <c r="R2756" i="20"/>
  <c r="R2742" i="20"/>
  <c r="R2767" i="20"/>
  <c r="R2768" i="20"/>
  <c r="R2769" i="20"/>
  <c r="R2770" i="20"/>
  <c r="R2771" i="20"/>
  <c r="R2772" i="20"/>
  <c r="R2773" i="20"/>
  <c r="R2774" i="20"/>
  <c r="R2760" i="20"/>
  <c r="R2775" i="20"/>
  <c r="R2776" i="20"/>
  <c r="R2777" i="20"/>
  <c r="R2778" i="20"/>
  <c r="R2779" i="20"/>
  <c r="R2780" i="20"/>
  <c r="R2781" i="20"/>
  <c r="R2782" i="20"/>
  <c r="R2783" i="20"/>
  <c r="R2784" i="20"/>
  <c r="R2785" i="20"/>
  <c r="R2786" i="20"/>
  <c r="R2787" i="20"/>
  <c r="R2788" i="20"/>
  <c r="R2831" i="20"/>
  <c r="R2789" i="20"/>
  <c r="R2790" i="20"/>
  <c r="R2761" i="20"/>
  <c r="R2762" i="20"/>
  <c r="R2791" i="20"/>
  <c r="R2792" i="20"/>
  <c r="R2793" i="20"/>
  <c r="R2829" i="20"/>
  <c r="R2794" i="20"/>
  <c r="R2795" i="20"/>
  <c r="R2796" i="20"/>
  <c r="R2797" i="20"/>
  <c r="R2798" i="20"/>
  <c r="R2799" i="20"/>
  <c r="R2800" i="20"/>
  <c r="R2801" i="20"/>
  <c r="R2802" i="20"/>
  <c r="R2803" i="20"/>
  <c r="R2804" i="20"/>
  <c r="R2757" i="20"/>
  <c r="R2805" i="20"/>
  <c r="R2806" i="20"/>
  <c r="R2807" i="20"/>
  <c r="R2808" i="20"/>
  <c r="R2809" i="20"/>
  <c r="R2810" i="20"/>
  <c r="R2811" i="20"/>
  <c r="R2763" i="20"/>
  <c r="R2812" i="20"/>
  <c r="R2764" i="20"/>
  <c r="R2813" i="20"/>
  <c r="R2814" i="20"/>
  <c r="R2815" i="20"/>
  <c r="R2758" i="20"/>
  <c r="R2759" i="20"/>
  <c r="R2816" i="20"/>
  <c r="R2817" i="20"/>
  <c r="R2818" i="20"/>
  <c r="R2832" i="20"/>
  <c r="R2830" i="20"/>
  <c r="R2819" i="20"/>
  <c r="R2820" i="20"/>
  <c r="R2821" i="20"/>
  <c r="R2822" i="20"/>
  <c r="R2823" i="20"/>
  <c r="R2824" i="20"/>
  <c r="R2765" i="20"/>
  <c r="R2825" i="20"/>
  <c r="R2826" i="20"/>
  <c r="R2827" i="20"/>
  <c r="R2828" i="20"/>
  <c r="R2766" i="20"/>
  <c r="R2840" i="20"/>
  <c r="R2841" i="20"/>
  <c r="R2833" i="20"/>
  <c r="R2850" i="20"/>
  <c r="R2852" i="20"/>
  <c r="R2842" i="20"/>
  <c r="R2843" i="20"/>
  <c r="R2844" i="20"/>
  <c r="R2834" i="20"/>
  <c r="R2835" i="20"/>
  <c r="R2845" i="20"/>
  <c r="R2836" i="20"/>
  <c r="R2846" i="20"/>
  <c r="R2847" i="20"/>
  <c r="R2837" i="20"/>
  <c r="R2858" i="20"/>
  <c r="R2853" i="20"/>
  <c r="R2851" i="20"/>
  <c r="R2854" i="20"/>
  <c r="R2838" i="20"/>
  <c r="R2855" i="20"/>
  <c r="R2848" i="20"/>
  <c r="R2839" i="20"/>
  <c r="R2849" i="20"/>
  <c r="R2856" i="20"/>
  <c r="R2857" i="20"/>
  <c r="R2879" i="20"/>
  <c r="R2880" i="20"/>
  <c r="R2881" i="20"/>
  <c r="R2874" i="20"/>
  <c r="R2882" i="20"/>
  <c r="R2868" i="20"/>
  <c r="R2883" i="20"/>
  <c r="R2884" i="20"/>
  <c r="R2885" i="20"/>
  <c r="R2869" i="20"/>
  <c r="R2886" i="20"/>
  <c r="R2887" i="20"/>
  <c r="R2859" i="20"/>
  <c r="E30" i="23" s="1"/>
  <c r="R2864" i="20"/>
  <c r="R2875" i="20"/>
  <c r="R2872" i="20"/>
  <c r="R2876" i="20"/>
  <c r="R2870" i="20"/>
  <c r="R2877" i="20"/>
  <c r="R2860" i="20"/>
  <c r="R2888" i="20"/>
  <c r="R2865" i="20"/>
  <c r="R2873" i="20"/>
  <c r="R2889" i="20"/>
  <c r="R2866" i="20"/>
  <c r="R2861" i="20"/>
  <c r="R2871" i="20"/>
  <c r="R2862" i="20"/>
  <c r="R2867" i="20"/>
  <c r="R2863" i="20"/>
  <c r="R2878" i="20"/>
  <c r="R2896" i="20"/>
  <c r="R2897" i="20"/>
  <c r="R2890" i="20"/>
  <c r="R2907" i="20"/>
  <c r="R2910" i="20"/>
  <c r="R2898" i="20"/>
  <c r="R2899" i="20"/>
  <c r="R2891" i="20"/>
  <c r="R2900" i="20"/>
  <c r="R2892" i="20"/>
  <c r="R2893" i="20"/>
  <c r="R2901" i="20"/>
  <c r="R2908" i="20"/>
  <c r="R2902" i="20"/>
  <c r="R2894" i="20"/>
  <c r="R2909" i="20"/>
  <c r="R2895" i="20"/>
  <c r="R2903" i="20"/>
  <c r="R2911" i="20"/>
  <c r="R2904" i="20"/>
  <c r="R2905" i="20"/>
  <c r="R2906" i="20"/>
  <c r="R2912" i="20"/>
  <c r="R2920" i="20"/>
  <c r="R2921" i="20"/>
  <c r="R2913" i="20"/>
  <c r="E36" i="23" s="1"/>
  <c r="R2914" i="20"/>
  <c r="R2915" i="20"/>
  <c r="R2922" i="20"/>
  <c r="R2923" i="20"/>
  <c r="R2916" i="20"/>
  <c r="R2924" i="20"/>
  <c r="R2917" i="20"/>
  <c r="R2918" i="20"/>
  <c r="R2925" i="20"/>
  <c r="R2919" i="20"/>
  <c r="R2926" i="20"/>
  <c r="R2927" i="20"/>
  <c r="R2928" i="20"/>
  <c r="R2929" i="20"/>
  <c r="R2931" i="20"/>
  <c r="R2932" i="20"/>
  <c r="R2930" i="20"/>
  <c r="R2933" i="20"/>
  <c r="R2934" i="20"/>
  <c r="R2935" i="20"/>
  <c r="R2936" i="20"/>
  <c r="R2937" i="20"/>
  <c r="R2938" i="20"/>
  <c r="R2939" i="20"/>
  <c r="R2940" i="20"/>
  <c r="R2941" i="20"/>
  <c r="R2942" i="20"/>
  <c r="R2943" i="20"/>
  <c r="R2944" i="20"/>
  <c r="R2949" i="20"/>
  <c r="R2947" i="20"/>
  <c r="R2945" i="20"/>
  <c r="R2946" i="20"/>
  <c r="R2948" i="20"/>
  <c r="R2950" i="20"/>
  <c r="R2951" i="20"/>
  <c r="R2952" i="20"/>
  <c r="R2953" i="20"/>
  <c r="R2954" i="20"/>
  <c r="R2955" i="20"/>
  <c r="R2967" i="20"/>
  <c r="R2964" i="20"/>
  <c r="R2956" i="20"/>
  <c r="R2963" i="20"/>
  <c r="R2965" i="20"/>
  <c r="R2961" i="20"/>
  <c r="R2957" i="20"/>
  <c r="R2968" i="20"/>
  <c r="R2958" i="20"/>
  <c r="R2966" i="20"/>
  <c r="R2962" i="20"/>
  <c r="R2959" i="20"/>
  <c r="R2960" i="20"/>
  <c r="R2969" i="20"/>
  <c r="R2970" i="20"/>
  <c r="R2971" i="20"/>
  <c r="R2972" i="20"/>
  <c r="R2973" i="20"/>
  <c r="R2974" i="20"/>
  <c r="R2975" i="20"/>
  <c r="R2976" i="20"/>
  <c r="R2977" i="20"/>
  <c r="R2978" i="20"/>
  <c r="R2979" i="20"/>
  <c r="R2980" i="20"/>
  <c r="R2981" i="20"/>
  <c r="R2982" i="20"/>
  <c r="R2983" i="20"/>
  <c r="R2984" i="20"/>
  <c r="R2994" i="20"/>
  <c r="R2995" i="20"/>
  <c r="R3002" i="20"/>
  <c r="R2986" i="20"/>
  <c r="R2990" i="20"/>
  <c r="R2991" i="20"/>
  <c r="R2987" i="20"/>
  <c r="R2996" i="20"/>
  <c r="R3000" i="20"/>
  <c r="R2997" i="20"/>
  <c r="R3003" i="20"/>
  <c r="R3004" i="20"/>
  <c r="R2988" i="20"/>
  <c r="R2989" i="20"/>
  <c r="R2992" i="20"/>
  <c r="R3001" i="20"/>
  <c r="R2998" i="20"/>
  <c r="R2999" i="20"/>
  <c r="R2993" i="20"/>
  <c r="R3005" i="20"/>
  <c r="R3011" i="20"/>
  <c r="R3012" i="20"/>
  <c r="R3006" i="20"/>
  <c r="R3013" i="20"/>
  <c r="R3009" i="20"/>
  <c r="R3014" i="20"/>
  <c r="R3007" i="20"/>
  <c r="R3015" i="20"/>
  <c r="R3016" i="20"/>
  <c r="R3010" i="20"/>
  <c r="R3008" i="20"/>
  <c r="R3017" i="20"/>
  <c r="R3018" i="20"/>
  <c r="R3022" i="20"/>
  <c r="R3019" i="20"/>
  <c r="R3023" i="20"/>
  <c r="R3024" i="20"/>
  <c r="R3025" i="20"/>
  <c r="R3026" i="20"/>
  <c r="R3027" i="20"/>
  <c r="R3028" i="20"/>
  <c r="R3020" i="20"/>
  <c r="R3021" i="20"/>
  <c r="R3029" i="20"/>
  <c r="R3030" i="20"/>
  <c r="R3031" i="20"/>
  <c r="R3032" i="20"/>
  <c r="R3033" i="20"/>
  <c r="R3034" i="20"/>
  <c r="R3035" i="20"/>
  <c r="R3036" i="20"/>
  <c r="R3037" i="20"/>
  <c r="R3038" i="20"/>
  <c r="R3039" i="20"/>
  <c r="R3040" i="20"/>
  <c r="R3041" i="20"/>
  <c r="R3042" i="20"/>
  <c r="R3043" i="20"/>
  <c r="R3044" i="20"/>
  <c r="R3045" i="20"/>
  <c r="R3046" i="20"/>
  <c r="R3047" i="20"/>
  <c r="R3048" i="20"/>
  <c r="R3057" i="20"/>
  <c r="R3049" i="20"/>
  <c r="R3058" i="20"/>
  <c r="R3059" i="20"/>
  <c r="R3060" i="20"/>
  <c r="R3050" i="20"/>
  <c r="R3061" i="20"/>
  <c r="R3051" i="20"/>
  <c r="R3062" i="20"/>
  <c r="R3063" i="20"/>
  <c r="R3055" i="20"/>
  <c r="R3056" i="20"/>
  <c r="R3052" i="20"/>
  <c r="R3053" i="20"/>
  <c r="R3054" i="20"/>
  <c r="R3064" i="20"/>
  <c r="R3066" i="20"/>
  <c r="R3067" i="20"/>
  <c r="R3068" i="20"/>
  <c r="R3069" i="20"/>
  <c r="R3070" i="20"/>
  <c r="R3071" i="20"/>
  <c r="R3072" i="20"/>
  <c r="R3073" i="20"/>
  <c r="R3065" i="20"/>
  <c r="R3087" i="20"/>
  <c r="R3074" i="20"/>
  <c r="R3088" i="20"/>
  <c r="R3075" i="20"/>
  <c r="R3076" i="20"/>
  <c r="R3077" i="20"/>
  <c r="R3078" i="20"/>
  <c r="R3079" i="20"/>
  <c r="R3080" i="20"/>
  <c r="R3081" i="20"/>
  <c r="R3089" i="20"/>
  <c r="R3082" i="20"/>
  <c r="R3083" i="20"/>
  <c r="R3084" i="20"/>
  <c r="R3085" i="20"/>
  <c r="R3086" i="20"/>
  <c r="R3090" i="20"/>
  <c r="R3091" i="20"/>
  <c r="R3092" i="20"/>
  <c r="R3093" i="20"/>
  <c r="R3094" i="20"/>
  <c r="R3095" i="20"/>
  <c r="R3096" i="20"/>
  <c r="R3097" i="20"/>
  <c r="R3098" i="20"/>
  <c r="R3099" i="20"/>
  <c r="R3100" i="20"/>
  <c r="R3101" i="20"/>
  <c r="R3102" i="20"/>
  <c r="R3103" i="20"/>
  <c r="R3104" i="20"/>
  <c r="R3105" i="20"/>
  <c r="R2459" i="20"/>
  <c r="R1730" i="20"/>
  <c r="R1757" i="20"/>
  <c r="R1758" i="20"/>
  <c r="R1759" i="20"/>
  <c r="R1731" i="20"/>
  <c r="R1760" i="20"/>
  <c r="R1732" i="20"/>
  <c r="R1761" i="20"/>
  <c r="R1733" i="20"/>
  <c r="R1763" i="20"/>
  <c r="R1764" i="20"/>
  <c r="R1762" i="20"/>
  <c r="R1765" i="20"/>
  <c r="R1766" i="20"/>
  <c r="R1767" i="20"/>
  <c r="R1768" i="20"/>
  <c r="R1769" i="20"/>
  <c r="R1770" i="20"/>
  <c r="R1771" i="20"/>
  <c r="R1772" i="20"/>
  <c r="R1773" i="20"/>
  <c r="R1774" i="20"/>
  <c r="R1775" i="20"/>
  <c r="R1776" i="20"/>
  <c r="R1777" i="20"/>
  <c r="R1778" i="20"/>
  <c r="R1779" i="20"/>
  <c r="R1780" i="20"/>
  <c r="R1781" i="20"/>
  <c r="R1782" i="20"/>
  <c r="R1783" i="20"/>
  <c r="R1784" i="20"/>
  <c r="R1785" i="20"/>
  <c r="R1786" i="20"/>
  <c r="R1787" i="20"/>
  <c r="R1788" i="20"/>
  <c r="R1789" i="20"/>
  <c r="R1793" i="20"/>
  <c r="R1791" i="20"/>
  <c r="R1794" i="20"/>
  <c r="R1795" i="20"/>
  <c r="R1792" i="20"/>
  <c r="R1796" i="20"/>
  <c r="R1797" i="20"/>
  <c r="R1798" i="20"/>
  <c r="R1799" i="20"/>
  <c r="R1800" i="20"/>
  <c r="R1801" i="20"/>
  <c r="R1802" i="20"/>
  <c r="R1803" i="20"/>
  <c r="R1804" i="20"/>
  <c r="R1805" i="20"/>
  <c r="R1790" i="20"/>
  <c r="R1806" i="20"/>
  <c r="R1807" i="20"/>
  <c r="R1808" i="20"/>
  <c r="R1818" i="20"/>
  <c r="R1819" i="20"/>
  <c r="R1814" i="20"/>
  <c r="R1820" i="20"/>
  <c r="R1821" i="20"/>
  <c r="R1822" i="20"/>
  <c r="R1815" i="20"/>
  <c r="R1816" i="20"/>
  <c r="R1823" i="20"/>
  <c r="R1824" i="20"/>
  <c r="R1825" i="20"/>
  <c r="R1826" i="20"/>
  <c r="R1827" i="20"/>
  <c r="R1809" i="20"/>
  <c r="R1828" i="20"/>
  <c r="R1829" i="20"/>
  <c r="R1830" i="20"/>
  <c r="R1831" i="20"/>
  <c r="R1832" i="20"/>
  <c r="R1833" i="20"/>
  <c r="R1810" i="20"/>
  <c r="R1834" i="20"/>
  <c r="R1817" i="20"/>
  <c r="R1835" i="20"/>
  <c r="R1836" i="20"/>
  <c r="R1837" i="20"/>
  <c r="R1838" i="20"/>
  <c r="R1811" i="20"/>
  <c r="R1812" i="20"/>
  <c r="R1839" i="20"/>
  <c r="R1840" i="20"/>
  <c r="R1841" i="20"/>
  <c r="R1813" i="20"/>
  <c r="R1843" i="20"/>
  <c r="R1844" i="20"/>
  <c r="R1842" i="20"/>
  <c r="R1848" i="20"/>
  <c r="R1845" i="20"/>
  <c r="R1846" i="20"/>
  <c r="R1849" i="20"/>
  <c r="R1847" i="20"/>
  <c r="R1850" i="20"/>
  <c r="R1851" i="20"/>
  <c r="R1852" i="20"/>
  <c r="R1853" i="20"/>
  <c r="R1854" i="20"/>
  <c r="R1855" i="20"/>
  <c r="R1856" i="20"/>
  <c r="R1857" i="20"/>
  <c r="R1858" i="20"/>
  <c r="R1859" i="20"/>
  <c r="R1860" i="20"/>
  <c r="R1861" i="20"/>
  <c r="R1862" i="20"/>
  <c r="R1863" i="20"/>
  <c r="R1874" i="20"/>
  <c r="R1864" i="20"/>
  <c r="R1865" i="20"/>
  <c r="R1866" i="20"/>
  <c r="R1867" i="20"/>
  <c r="R1868" i="20"/>
  <c r="R1869" i="20"/>
  <c r="R1875" i="20"/>
  <c r="R1876" i="20"/>
  <c r="R1870" i="20"/>
  <c r="R1877" i="20"/>
  <c r="R1878" i="20"/>
  <c r="R1879" i="20"/>
  <c r="R1880" i="20"/>
  <c r="R1871" i="20"/>
  <c r="R1881" i="20"/>
  <c r="R1882" i="20"/>
  <c r="R1872" i="20"/>
  <c r="R1883" i="20"/>
  <c r="R1873" i="20"/>
  <c r="R1892" i="20"/>
  <c r="R1893" i="20"/>
  <c r="R1894" i="20"/>
  <c r="R1895" i="20"/>
  <c r="R1884" i="20"/>
  <c r="R1885" i="20"/>
  <c r="R1886" i="20"/>
  <c r="R1887" i="20"/>
  <c r="R1896" i="20"/>
  <c r="R1897" i="20"/>
  <c r="R1888" i="20"/>
  <c r="R1898" i="20"/>
  <c r="R1904" i="20"/>
  <c r="R1899" i="20"/>
  <c r="R1889" i="20"/>
  <c r="R1900" i="20"/>
  <c r="R1890" i="20"/>
  <c r="R1901" i="20"/>
  <c r="R1902" i="20"/>
  <c r="R1903" i="20"/>
  <c r="R1891" i="20"/>
  <c r="R1908" i="20"/>
  <c r="R1909" i="20"/>
  <c r="R1910" i="20"/>
  <c r="R1911" i="20"/>
  <c r="R1912" i="20"/>
  <c r="R1913" i="20"/>
  <c r="R1914" i="20"/>
  <c r="R1915" i="20"/>
  <c r="R1916" i="20"/>
  <c r="R1917" i="20"/>
  <c r="R1918" i="20"/>
  <c r="R1919" i="20"/>
  <c r="R1905" i="20"/>
  <c r="R1920" i="20"/>
  <c r="R1907" i="20"/>
  <c r="R1921" i="20"/>
  <c r="R1922" i="20"/>
  <c r="R1923" i="20"/>
  <c r="R1924" i="20"/>
  <c r="R1925" i="20"/>
  <c r="R1926" i="20"/>
  <c r="R1927" i="20"/>
  <c r="R1928" i="20"/>
  <c r="R1929" i="20"/>
  <c r="R1930" i="20"/>
  <c r="R1906" i="20"/>
  <c r="R1931" i="20"/>
  <c r="R1932" i="20"/>
  <c r="R1933" i="20"/>
  <c r="R1934" i="20"/>
  <c r="R1935" i="20"/>
  <c r="R1936" i="20"/>
  <c r="R1937" i="20"/>
  <c r="R1948" i="20"/>
  <c r="R1949" i="20"/>
  <c r="R1950" i="20"/>
  <c r="R1951" i="20"/>
  <c r="R1938" i="20"/>
  <c r="R1952" i="20"/>
  <c r="R1939" i="20"/>
  <c r="R1953" i="20"/>
  <c r="R1945" i="20"/>
  <c r="R1954" i="20"/>
  <c r="R1955" i="20"/>
  <c r="R1956" i="20"/>
  <c r="R1957" i="20"/>
  <c r="R1940" i="20"/>
  <c r="R1958" i="20"/>
  <c r="R1959" i="20"/>
  <c r="R1941" i="20"/>
  <c r="R1960" i="20"/>
  <c r="R1946" i="20"/>
  <c r="R1961" i="20"/>
  <c r="R1962" i="20"/>
  <c r="R1947" i="20"/>
  <c r="R1963" i="20"/>
  <c r="R1964" i="20"/>
  <c r="R1942" i="20"/>
  <c r="R1943" i="20"/>
  <c r="R1965" i="20"/>
  <c r="R1966" i="20"/>
  <c r="R1967" i="20"/>
  <c r="R1968" i="20"/>
  <c r="R1969" i="20"/>
  <c r="R1970" i="20"/>
  <c r="R1971" i="20"/>
  <c r="R1944" i="20"/>
  <c r="R1972" i="20"/>
  <c r="R1973" i="20"/>
  <c r="R1974" i="20"/>
  <c r="R1975" i="20"/>
  <c r="R1976" i="20"/>
  <c r="R1977" i="20"/>
  <c r="R1978" i="20"/>
  <c r="R1979" i="20"/>
  <c r="R1980" i="20"/>
  <c r="R1981" i="20"/>
  <c r="R1982" i="20"/>
  <c r="R1983" i="20"/>
  <c r="R1984" i="20"/>
  <c r="R1985" i="20"/>
  <c r="R1986" i="20"/>
  <c r="R1987" i="20"/>
  <c r="R1988" i="20"/>
  <c r="R1989" i="20"/>
  <c r="R1990" i="20"/>
  <c r="R1991" i="20"/>
  <c r="R1992" i="20"/>
  <c r="R1993" i="20"/>
  <c r="R1994" i="20"/>
  <c r="R1995" i="20"/>
  <c r="R1996" i="20"/>
  <c r="R1997" i="20"/>
  <c r="R1998" i="20"/>
  <c r="R1999" i="20"/>
  <c r="R2000" i="20"/>
  <c r="R2001" i="20"/>
  <c r="R2002" i="20"/>
  <c r="R2003" i="20"/>
  <c r="R2004" i="20"/>
  <c r="R2005" i="20"/>
  <c r="R2011" i="20"/>
  <c r="R2012" i="20"/>
  <c r="R2006" i="20"/>
  <c r="R2013" i="20"/>
  <c r="R2014" i="20"/>
  <c r="R2015" i="20"/>
  <c r="R2016" i="20"/>
  <c r="R2030" i="20"/>
  <c r="R2017" i="20"/>
  <c r="R2007" i="20"/>
  <c r="R2018" i="20"/>
  <c r="R2019" i="20"/>
  <c r="R2031" i="20"/>
  <c r="R2008" i="20"/>
  <c r="R2032" i="20"/>
  <c r="R2020" i="20"/>
  <c r="R2021" i="20"/>
  <c r="R2009" i="20"/>
  <c r="R2022" i="20"/>
  <c r="R2023" i="20"/>
  <c r="R2024" i="20"/>
  <c r="R2033" i="20"/>
  <c r="R2034" i="20"/>
  <c r="R2035" i="20"/>
  <c r="R2010" i="20"/>
  <c r="R2025" i="20"/>
  <c r="R2036" i="20"/>
  <c r="R2026" i="20"/>
  <c r="R2027" i="20"/>
  <c r="R2028" i="20"/>
  <c r="R2029" i="20"/>
  <c r="R2050" i="20"/>
  <c r="R2051" i="20"/>
  <c r="R2052" i="20"/>
  <c r="R2053" i="20"/>
  <c r="R2037" i="20"/>
  <c r="R2054" i="20"/>
  <c r="R2055" i="20"/>
  <c r="R2056" i="20"/>
  <c r="R2038" i="20"/>
  <c r="R2047" i="20"/>
  <c r="R2048" i="20"/>
  <c r="R2057" i="20"/>
  <c r="R2058" i="20"/>
  <c r="R2059" i="20"/>
  <c r="R2060" i="20"/>
  <c r="R2039" i="20"/>
  <c r="R2061" i="20"/>
  <c r="R2062" i="20"/>
  <c r="R2063" i="20"/>
  <c r="R2064" i="20"/>
  <c r="R2040" i="20"/>
  <c r="R2065" i="20"/>
  <c r="R2041" i="20"/>
  <c r="R2066" i="20"/>
  <c r="R2067" i="20"/>
  <c r="R2068" i="20"/>
  <c r="R2046" i="20"/>
  <c r="R2042" i="20"/>
  <c r="R2069" i="20"/>
  <c r="R2043" i="20"/>
  <c r="R2070" i="20"/>
  <c r="R2071" i="20"/>
  <c r="R2072" i="20"/>
  <c r="R2073" i="20"/>
  <c r="R2074" i="20"/>
  <c r="R2075" i="20"/>
  <c r="R2076" i="20"/>
  <c r="R2077" i="20"/>
  <c r="R2078" i="20"/>
  <c r="R2079" i="20"/>
  <c r="R2080" i="20"/>
  <c r="R2044" i="20"/>
  <c r="R2049" i="20"/>
  <c r="R2045" i="20"/>
  <c r="R2084" i="20"/>
  <c r="R2082" i="20"/>
  <c r="R2083" i="20"/>
  <c r="R2085" i="20"/>
  <c r="R2086" i="20"/>
  <c r="R2087" i="20"/>
  <c r="R2088" i="20"/>
  <c r="R2089" i="20"/>
  <c r="R2090" i="20"/>
  <c r="R2091" i="20"/>
  <c r="R2092" i="20"/>
  <c r="R2093" i="20"/>
  <c r="R2094" i="20"/>
  <c r="R2095" i="20"/>
  <c r="R2096" i="20"/>
  <c r="R2097" i="20"/>
  <c r="R2098" i="20"/>
  <c r="R2099" i="20"/>
  <c r="R2100" i="20"/>
  <c r="R2101" i="20"/>
  <c r="R2102" i="20"/>
  <c r="R2081" i="20"/>
  <c r="R2103" i="20"/>
  <c r="R2104" i="20"/>
  <c r="R2105" i="20"/>
  <c r="R2106" i="20"/>
  <c r="R2107" i="20"/>
  <c r="R2113" i="20"/>
  <c r="R2114" i="20"/>
  <c r="R2115" i="20"/>
  <c r="R2116" i="20"/>
  <c r="R2117" i="20"/>
  <c r="R2118" i="20"/>
  <c r="R2119" i="20"/>
  <c r="R2120" i="20"/>
  <c r="R2121" i="20"/>
  <c r="R2122" i="20"/>
  <c r="R2109" i="20"/>
  <c r="R2123" i="20"/>
  <c r="R2124" i="20"/>
  <c r="R2125" i="20"/>
  <c r="R2126" i="20"/>
  <c r="R2127" i="20"/>
  <c r="R2110" i="20"/>
  <c r="R2128" i="20"/>
  <c r="R2129" i="20"/>
  <c r="R2111" i="20"/>
  <c r="R2130" i="20"/>
  <c r="R2112" i="20"/>
  <c r="R2131" i="20"/>
  <c r="R2108" i="20"/>
  <c r="R2132" i="20"/>
  <c r="R2133" i="20"/>
  <c r="R2145" i="20"/>
  <c r="R2146" i="20"/>
  <c r="R2134" i="20"/>
  <c r="R2147" i="20"/>
  <c r="R2148" i="20"/>
  <c r="R2149" i="20"/>
  <c r="R2135" i="20"/>
  <c r="R2140" i="20"/>
  <c r="R2150" i="20"/>
  <c r="R2151" i="20"/>
  <c r="R2141" i="20"/>
  <c r="R2152" i="20"/>
  <c r="R2153" i="20"/>
  <c r="R2142" i="20"/>
  <c r="R2143" i="20"/>
  <c r="R2136" i="20"/>
  <c r="R2154" i="20"/>
  <c r="R2155" i="20"/>
  <c r="R2137" i="20"/>
  <c r="R2138" i="20"/>
  <c r="R2156" i="20"/>
  <c r="R2157" i="20"/>
  <c r="R2158" i="20"/>
  <c r="R2139" i="20"/>
  <c r="R2144" i="20"/>
  <c r="R2159" i="20"/>
  <c r="R2166" i="20"/>
  <c r="R2167" i="20"/>
  <c r="R2168" i="20"/>
  <c r="R2163" i="20"/>
  <c r="R2164" i="20"/>
  <c r="R2165" i="20"/>
  <c r="R2169" i="20"/>
  <c r="R2170" i="20"/>
  <c r="R2171" i="20"/>
  <c r="R2172" i="20"/>
  <c r="R2162" i="20"/>
  <c r="R2173" i="20"/>
  <c r="R2160" i="20"/>
  <c r="R2174" i="20"/>
  <c r="R2175" i="20"/>
  <c r="R2176" i="20"/>
  <c r="R2161" i="20"/>
  <c r="R2177" i="20"/>
  <c r="R2178" i="20"/>
  <c r="R2179" i="20"/>
  <c r="R2180" i="20"/>
  <c r="R2181" i="20"/>
  <c r="R2182" i="20"/>
  <c r="R2183" i="20"/>
  <c r="R2184" i="20"/>
  <c r="R2185" i="20"/>
  <c r="R2193" i="20"/>
  <c r="R2188" i="20"/>
  <c r="R2186" i="20"/>
  <c r="R2194" i="20"/>
  <c r="R2195" i="20"/>
  <c r="R2196" i="20"/>
  <c r="R2197" i="20"/>
  <c r="R2198" i="20"/>
  <c r="R2189" i="20"/>
  <c r="R2199" i="20"/>
  <c r="R2190" i="20"/>
  <c r="R2200" i="20"/>
  <c r="R2201" i="20"/>
  <c r="R2202" i="20"/>
  <c r="R2203" i="20"/>
  <c r="R2204" i="20"/>
  <c r="R2205" i="20"/>
  <c r="R2206" i="20"/>
  <c r="R2207" i="20"/>
  <c r="R2208" i="20"/>
  <c r="R2209" i="20"/>
  <c r="R2191" i="20"/>
  <c r="R2210" i="20"/>
  <c r="R2211" i="20"/>
  <c r="R2212" i="20"/>
  <c r="R2213" i="20"/>
  <c r="R2214" i="20"/>
  <c r="R2215" i="20"/>
  <c r="R2216" i="20"/>
  <c r="R2217" i="20"/>
  <c r="R2218" i="20"/>
  <c r="R2219" i="20"/>
  <c r="R2220" i="20"/>
  <c r="R2221" i="20"/>
  <c r="R2192" i="20"/>
  <c r="R2222" i="20"/>
  <c r="R2223" i="20"/>
  <c r="R2224" i="20"/>
  <c r="R2225" i="20"/>
  <c r="R2187" i="20"/>
  <c r="R2226" i="20"/>
  <c r="R2227" i="20"/>
  <c r="R2228" i="20"/>
  <c r="R2229" i="20"/>
  <c r="R2230" i="20"/>
  <c r="R2231" i="20"/>
  <c r="R2232" i="20"/>
  <c r="R2233" i="20"/>
  <c r="R2234" i="20"/>
  <c r="R2235" i="20"/>
  <c r="R2236" i="20"/>
  <c r="R2237" i="20"/>
  <c r="R2238" i="20"/>
  <c r="R2239" i="20"/>
  <c r="R2242" i="20"/>
  <c r="R2240" i="20"/>
  <c r="R2241" i="20"/>
  <c r="R2243" i="20"/>
  <c r="R2249" i="20"/>
  <c r="R2244" i="20"/>
  <c r="R2252" i="20"/>
  <c r="R2253" i="20"/>
  <c r="R2254" i="20"/>
  <c r="R2245" i="20"/>
  <c r="R2255" i="20"/>
  <c r="R2256" i="20"/>
  <c r="R2257" i="20"/>
  <c r="R2246" i="20"/>
  <c r="R2258" i="20"/>
  <c r="R2247" i="20"/>
  <c r="R2259" i="20"/>
  <c r="R2268" i="20"/>
  <c r="R2269" i="20"/>
  <c r="R2270" i="20"/>
  <c r="R2260" i="20"/>
  <c r="R2248" i="20"/>
  <c r="R2261" i="20"/>
  <c r="R2250" i="20"/>
  <c r="R2262" i="20"/>
  <c r="R2271" i="20"/>
  <c r="R2272" i="20"/>
  <c r="R2251" i="20"/>
  <c r="R2263" i="20"/>
  <c r="R2264" i="20"/>
  <c r="R2265" i="20"/>
  <c r="R2266" i="20"/>
  <c r="R2267" i="20"/>
  <c r="R2273" i="20"/>
  <c r="R2274" i="20"/>
  <c r="R2278" i="20"/>
  <c r="R2285" i="20"/>
  <c r="R2275" i="20"/>
  <c r="R2280" i="20"/>
  <c r="R2276" i="20"/>
  <c r="R2286" i="20"/>
  <c r="R2277" i="20"/>
  <c r="R2287" i="20"/>
  <c r="R2281" i="20"/>
  <c r="R2279" i="20"/>
  <c r="R2282" i="20"/>
  <c r="R2288" i="20"/>
  <c r="R2283" i="20"/>
  <c r="R2284" i="20"/>
  <c r="R2289" i="20"/>
  <c r="R2291" i="20"/>
  <c r="R2292" i="20"/>
  <c r="R2302" i="20"/>
  <c r="R2303" i="20"/>
  <c r="R2293" i="20"/>
  <c r="R2294" i="20"/>
  <c r="R2296" i="20"/>
  <c r="R2297" i="20"/>
  <c r="R2298" i="20"/>
  <c r="R2299" i="20"/>
  <c r="R2300" i="20"/>
  <c r="R2290" i="20"/>
  <c r="R2301" i="20"/>
  <c r="R2307" i="20"/>
  <c r="R2304" i="20"/>
  <c r="R2305" i="20"/>
  <c r="R2308" i="20"/>
  <c r="R2309" i="20"/>
  <c r="R2310" i="20"/>
  <c r="R2306" i="20"/>
  <c r="R2313" i="20"/>
  <c r="R2314" i="20"/>
  <c r="R2315" i="20"/>
  <c r="R2316" i="20"/>
  <c r="R2317" i="20"/>
  <c r="R2312" i="20"/>
  <c r="R2318" i="20"/>
  <c r="R2319" i="20"/>
  <c r="R2320" i="20"/>
  <c r="R2311" i="20"/>
  <c r="R2321" i="20"/>
  <c r="R2322" i="20"/>
  <c r="R2327" i="20"/>
  <c r="R2328" i="20"/>
  <c r="R2329" i="20"/>
  <c r="R2330" i="20"/>
  <c r="R2331" i="20"/>
  <c r="R2332" i="20"/>
  <c r="R2333" i="20"/>
  <c r="R2334" i="20"/>
  <c r="R2326" i="20"/>
  <c r="R2323" i="20"/>
  <c r="R2335" i="20"/>
  <c r="R2336" i="20"/>
  <c r="R2324" i="20"/>
  <c r="R2325" i="20"/>
  <c r="R2337" i="20"/>
  <c r="R2338" i="20"/>
  <c r="R2339" i="20"/>
  <c r="R2340" i="20"/>
  <c r="R2341" i="20"/>
  <c r="R2342" i="20"/>
  <c r="R2343" i="20"/>
  <c r="R2344" i="20"/>
  <c r="R2345" i="20"/>
  <c r="R2346" i="20"/>
  <c r="R2359" i="20"/>
  <c r="R2349" i="20"/>
  <c r="R2347" i="20"/>
  <c r="R2350" i="20"/>
  <c r="R2348" i="20"/>
  <c r="R2351" i="20"/>
  <c r="R2361" i="20"/>
  <c r="R2357" i="20"/>
  <c r="R2352" i="20"/>
  <c r="R2353" i="20"/>
  <c r="R2354" i="20"/>
  <c r="R2355" i="20"/>
  <c r="R2356" i="20"/>
  <c r="R2362" i="20"/>
  <c r="R2363" i="20"/>
  <c r="R2364" i="20"/>
  <c r="R2366" i="20"/>
  <c r="R2370" i="20"/>
  <c r="R2371" i="20"/>
  <c r="R2372" i="20"/>
  <c r="R2373" i="20"/>
  <c r="R2374" i="20"/>
  <c r="R2367" i="20"/>
  <c r="R2375" i="20"/>
  <c r="R2368" i="20"/>
  <c r="R2376" i="20"/>
  <c r="R2377" i="20"/>
  <c r="R2369" i="20"/>
  <c r="R2378" i="20"/>
  <c r="R2365" i="20"/>
  <c r="R2379" i="20"/>
  <c r="R2387" i="20"/>
  <c r="R2388" i="20"/>
  <c r="R2420" i="20"/>
  <c r="R2380" i="20"/>
  <c r="R2421" i="20"/>
  <c r="R2389" i="20"/>
  <c r="R2383" i="20"/>
  <c r="R2422" i="20"/>
  <c r="R2390" i="20"/>
  <c r="R2391" i="20"/>
  <c r="R2392" i="20"/>
  <c r="R2393" i="20"/>
  <c r="R2384" i="20"/>
  <c r="R2394" i="20"/>
  <c r="R2423" i="20"/>
  <c r="R2424" i="20"/>
  <c r="R2425" i="20"/>
  <c r="R2426" i="20"/>
  <c r="R2427" i="20"/>
  <c r="R2395" i="20"/>
  <c r="R2396" i="20"/>
  <c r="R2428" i="20"/>
  <c r="R2397" i="20"/>
  <c r="R2429" i="20"/>
  <c r="R2398" i="20"/>
  <c r="R2399" i="20"/>
  <c r="R2400" i="20"/>
  <c r="R2401" i="20"/>
  <c r="R2402" i="20"/>
  <c r="R2403" i="20"/>
  <c r="R2404" i="20"/>
  <c r="R2405" i="20"/>
  <c r="R2430" i="20"/>
  <c r="R2381" i="20"/>
  <c r="R2431" i="20"/>
  <c r="R2432" i="20"/>
  <c r="R2433" i="20"/>
  <c r="R2434" i="20"/>
  <c r="R2435" i="20"/>
  <c r="R2406" i="20"/>
  <c r="R2407" i="20"/>
  <c r="R2408" i="20"/>
  <c r="R2409" i="20"/>
  <c r="R2410" i="20"/>
  <c r="R2411" i="20"/>
  <c r="R2412" i="20"/>
  <c r="R2382" i="20"/>
  <c r="R2413" i="20"/>
  <c r="R2414" i="20"/>
  <c r="R2415" i="20"/>
  <c r="R2416" i="20"/>
  <c r="R2417" i="20"/>
  <c r="R2436" i="20"/>
  <c r="R2385" i="20"/>
  <c r="R2437" i="20"/>
  <c r="R2418" i="20"/>
  <c r="R2386" i="20"/>
  <c r="R2438" i="20"/>
  <c r="R2419" i="20"/>
  <c r="R2439" i="20"/>
  <c r="R2440" i="20"/>
  <c r="R2447" i="20"/>
  <c r="R2448" i="20"/>
  <c r="R2441" i="20"/>
  <c r="R2442" i="20"/>
  <c r="R2449" i="20"/>
  <c r="R1729" i="20"/>
  <c r="R3" i="20"/>
  <c r="R4" i="20"/>
  <c r="R5" i="20"/>
  <c r="R6" i="20"/>
  <c r="R7" i="20"/>
  <c r="R8" i="20"/>
  <c r="R10" i="20"/>
  <c r="R11" i="20"/>
  <c r="R12" i="20"/>
  <c r="R13" i="20"/>
  <c r="R14" i="20"/>
  <c r="R15" i="20"/>
  <c r="R16" i="20"/>
  <c r="R17" i="20"/>
  <c r="R18" i="20"/>
  <c r="R19" i="20"/>
  <c r="R20" i="20"/>
  <c r="R21" i="20"/>
  <c r="R22" i="20"/>
  <c r="R23" i="20"/>
  <c r="R24" i="20"/>
  <c r="R25" i="20"/>
  <c r="R26" i="20"/>
  <c r="R27" i="20"/>
  <c r="R28" i="20"/>
  <c r="R29" i="20"/>
  <c r="R31" i="20"/>
  <c r="R32" i="20"/>
  <c r="R33" i="20"/>
  <c r="R34" i="20"/>
  <c r="R35" i="20"/>
  <c r="R36" i="20"/>
  <c r="R37" i="20"/>
  <c r="R38" i="20"/>
  <c r="R39" i="20"/>
  <c r="R40" i="20"/>
  <c r="R41" i="20"/>
  <c r="R42" i="20"/>
  <c r="R43" i="20"/>
  <c r="R44" i="20"/>
  <c r="R45" i="20"/>
  <c r="R46" i="20"/>
  <c r="R47" i="20"/>
  <c r="R48" i="20"/>
  <c r="R49" i="20"/>
  <c r="R50" i="20"/>
  <c r="R51" i="20"/>
  <c r="R52" i="20"/>
  <c r="R53" i="20"/>
  <c r="R54" i="20"/>
  <c r="R55" i="20"/>
  <c r="R56" i="20"/>
  <c r="R57" i="20"/>
  <c r="R58" i="20"/>
  <c r="R59" i="20"/>
  <c r="E32" i="23" s="1"/>
  <c r="R60" i="20"/>
  <c r="R61" i="20"/>
  <c r="R62" i="20"/>
  <c r="R63" i="20"/>
  <c r="R64" i="20"/>
  <c r="R65" i="20"/>
  <c r="R66" i="20"/>
  <c r="R67" i="20"/>
  <c r="R68" i="20"/>
  <c r="R69" i="20"/>
  <c r="R70" i="20"/>
  <c r="R71" i="20"/>
  <c r="R72" i="20"/>
  <c r="R73" i="20"/>
  <c r="R74" i="20"/>
  <c r="R75" i="20"/>
  <c r="R76" i="20"/>
  <c r="R77" i="20"/>
  <c r="R78" i="20"/>
  <c r="R79" i="20"/>
  <c r="R80" i="20"/>
  <c r="R81" i="20"/>
  <c r="R82" i="20"/>
  <c r="R83" i="20"/>
  <c r="R84" i="20"/>
  <c r="R85" i="20"/>
  <c r="R86" i="20"/>
  <c r="R87" i="20"/>
  <c r="R88" i="20"/>
  <c r="R89" i="20"/>
  <c r="R90" i="20"/>
  <c r="R91" i="20"/>
  <c r="R92" i="20"/>
  <c r="R93" i="20"/>
  <c r="R94" i="20"/>
  <c r="R95" i="20"/>
  <c r="R96" i="20"/>
  <c r="R97" i="20"/>
  <c r="R98" i="20"/>
  <c r="R99" i="20"/>
  <c r="R100" i="20"/>
  <c r="R101" i="20"/>
  <c r="R102" i="20"/>
  <c r="R103" i="20"/>
  <c r="R104" i="20"/>
  <c r="R105" i="20"/>
  <c r="R106" i="20"/>
  <c r="R107" i="20"/>
  <c r="R108" i="20"/>
  <c r="R109" i="20"/>
  <c r="R110" i="20"/>
  <c r="R111" i="20"/>
  <c r="R112" i="20"/>
  <c r="R113" i="20"/>
  <c r="R114" i="20"/>
  <c r="R115" i="20"/>
  <c r="R116" i="20"/>
  <c r="R117" i="20"/>
  <c r="R118" i="20"/>
  <c r="R120" i="20"/>
  <c r="R121" i="20"/>
  <c r="R122" i="20"/>
  <c r="R123" i="20"/>
  <c r="R124" i="20"/>
  <c r="R125" i="20"/>
  <c r="R126" i="20"/>
  <c r="R127" i="20"/>
  <c r="R128" i="20"/>
  <c r="R129" i="20"/>
  <c r="R130" i="20"/>
  <c r="R131" i="20"/>
  <c r="R132" i="20"/>
  <c r="R133" i="20"/>
  <c r="R134" i="20"/>
  <c r="R135" i="20"/>
  <c r="R136" i="20"/>
  <c r="R137" i="20"/>
  <c r="R138" i="20"/>
  <c r="R139" i="20"/>
  <c r="R140" i="20"/>
  <c r="R141" i="20"/>
  <c r="R142" i="20"/>
  <c r="R143" i="20"/>
  <c r="R144" i="20"/>
  <c r="R145" i="20"/>
  <c r="R146" i="20"/>
  <c r="R147" i="20"/>
  <c r="R148" i="20"/>
  <c r="R149" i="20"/>
  <c r="R150" i="20"/>
  <c r="R151" i="20"/>
  <c r="R152" i="20"/>
  <c r="R159" i="20"/>
  <c r="R164" i="20"/>
  <c r="R165" i="20"/>
  <c r="R376" i="20"/>
  <c r="R377" i="20"/>
  <c r="R167" i="20"/>
  <c r="R199" i="20"/>
  <c r="R170" i="20"/>
  <c r="R378" i="20"/>
  <c r="R202" i="20"/>
  <c r="R203" i="20"/>
  <c r="R204" i="20"/>
  <c r="R355" i="20"/>
  <c r="R356" i="20"/>
  <c r="R379" i="20"/>
  <c r="R357" i="20"/>
  <c r="R208" i="20"/>
  <c r="R209" i="20"/>
  <c r="R358" i="20"/>
  <c r="R360" i="20"/>
  <c r="R211" i="20"/>
  <c r="R361" i="20"/>
  <c r="R359" i="20"/>
  <c r="R183" i="20"/>
  <c r="R174" i="20"/>
  <c r="R185" i="20"/>
  <c r="R186" i="20"/>
  <c r="R175" i="20"/>
  <c r="R155" i="20"/>
  <c r="R188" i="20"/>
  <c r="R219" i="20"/>
  <c r="R189" i="20"/>
  <c r="R228" i="20"/>
  <c r="R234" i="20"/>
  <c r="R172" i="20"/>
  <c r="R190" i="20"/>
  <c r="R184" i="20"/>
  <c r="R191" i="20"/>
  <c r="R156" i="20"/>
  <c r="R244" i="20"/>
  <c r="R192" i="20"/>
  <c r="R193" i="20"/>
  <c r="R194" i="20"/>
  <c r="R177" i="20"/>
  <c r="R173" i="20"/>
  <c r="R178" i="20"/>
  <c r="R197" i="20"/>
  <c r="R180" i="20"/>
  <c r="R214" i="20"/>
  <c r="R215" i="20"/>
  <c r="R268" i="20"/>
  <c r="R217" i="20"/>
  <c r="R218" i="20"/>
  <c r="R269" i="20"/>
  <c r="R252" i="20"/>
  <c r="R220" i="20"/>
  <c r="R221" i="20"/>
  <c r="R288" i="20"/>
  <c r="R222" i="20"/>
  <c r="R253" i="20"/>
  <c r="R254" i="20"/>
  <c r="R223" i="20"/>
  <c r="R255" i="20"/>
  <c r="R224" i="20"/>
  <c r="R289" i="20"/>
  <c r="R225" i="20"/>
  <c r="R283" i="20"/>
  <c r="R284" i="20"/>
  <c r="R226" i="20"/>
  <c r="R227" i="20"/>
  <c r="R258" i="20"/>
  <c r="R290" i="20"/>
  <c r="R291" i="20"/>
  <c r="R270" i="20"/>
  <c r="R229" i="20"/>
  <c r="R230" i="20"/>
  <c r="R285" i="20"/>
  <c r="R231" i="20"/>
  <c r="R232" i="20"/>
  <c r="R233" i="20"/>
  <c r="R260" i="20"/>
  <c r="R261" i="20"/>
  <c r="R287" i="20"/>
  <c r="R235" i="20"/>
  <c r="R236" i="20"/>
  <c r="R237" i="20"/>
  <c r="R238" i="20"/>
  <c r="R262" i="20"/>
  <c r="R239" i="20"/>
  <c r="R265" i="20"/>
  <c r="R240" i="20"/>
  <c r="R241" i="20"/>
  <c r="R242" i="20"/>
  <c r="R271" i="20"/>
  <c r="R312" i="20"/>
  <c r="R275" i="20"/>
  <c r="R296" i="20"/>
  <c r="R306" i="20"/>
  <c r="R272" i="20"/>
  <c r="R298" i="20"/>
  <c r="R273" i="20"/>
  <c r="R299" i="20"/>
  <c r="R300" i="20"/>
  <c r="R274" i="20"/>
  <c r="R301" i="20"/>
  <c r="R292" i="20"/>
  <c r="R302" i="20"/>
  <c r="R293" i="20"/>
  <c r="R279" i="20"/>
  <c r="R264" i="20"/>
  <c r="R305" i="20"/>
  <c r="R307" i="20"/>
  <c r="R311" i="20"/>
  <c r="R294" i="20"/>
  <c r="R281" i="20"/>
  <c r="R163" i="20"/>
  <c r="R276" i="20"/>
  <c r="R157" i="20"/>
  <c r="R160" i="20"/>
  <c r="R158" i="20"/>
  <c r="R166" i="20"/>
  <c r="R278" i="20"/>
  <c r="R153" i="20"/>
  <c r="R154" i="20"/>
  <c r="R267" i="20"/>
  <c r="R196" i="20"/>
  <c r="R198" i="20"/>
  <c r="R168" i="20"/>
  <c r="R169" i="20"/>
  <c r="R352" i="20"/>
  <c r="R348" i="20"/>
  <c r="R171" i="20"/>
  <c r="R353" i="20"/>
  <c r="R365" i="20"/>
  <c r="R295" i="20"/>
  <c r="R362" i="20"/>
  <c r="R380" i="20"/>
  <c r="R354" i="20"/>
  <c r="R368" i="20"/>
  <c r="R374" i="20"/>
  <c r="R363" i="20"/>
  <c r="R297" i="20"/>
  <c r="R364" i="20"/>
  <c r="R350" i="20"/>
  <c r="R381" i="20"/>
  <c r="R303" i="20"/>
  <c r="R382" i="20"/>
  <c r="R176" i="20"/>
  <c r="E31" i="23" s="1"/>
  <c r="R304" i="20"/>
  <c r="R375" i="20"/>
  <c r="R313" i="20"/>
  <c r="R322" i="20"/>
  <c r="R324" i="20"/>
  <c r="R330" i="20"/>
  <c r="R332" i="20"/>
  <c r="R335" i="20"/>
  <c r="R338" i="20"/>
  <c r="R187" i="20"/>
  <c r="R325" i="20"/>
  <c r="R314" i="20"/>
  <c r="R280" i="20"/>
  <c r="R315" i="20"/>
  <c r="R308" i="20"/>
  <c r="R317" i="20"/>
  <c r="R318" i="20"/>
  <c r="R319" i="20"/>
  <c r="R320" i="20"/>
  <c r="R321" i="20"/>
  <c r="R327" i="20"/>
  <c r="R339" i="20"/>
  <c r="R323" i="20"/>
  <c r="R328" i="20"/>
  <c r="R340" i="20"/>
  <c r="R309" i="20"/>
  <c r="R282" i="20"/>
  <c r="R326" i="20"/>
  <c r="R310" i="20"/>
  <c r="R216" i="20"/>
  <c r="R331" i="20"/>
  <c r="R200" i="20"/>
  <c r="R206" i="20"/>
  <c r="R207" i="20"/>
  <c r="R243" i="20"/>
  <c r="R210" i="20"/>
  <c r="R345" i="20"/>
  <c r="R245" i="20"/>
  <c r="R346" i="20"/>
  <c r="R347" i="20"/>
  <c r="R333" i="20"/>
  <c r="R212" i="20"/>
  <c r="R349" i="20"/>
  <c r="R213" i="20"/>
  <c r="R351" i="20"/>
  <c r="R334" i="20"/>
  <c r="R201" i="20"/>
  <c r="R336" i="20"/>
  <c r="R337" i="20"/>
  <c r="R246" i="20"/>
  <c r="R205" i="20"/>
  <c r="R247" i="20"/>
  <c r="R179" i="20"/>
  <c r="R248" i="20"/>
  <c r="R366" i="20"/>
  <c r="R367" i="20"/>
  <c r="R257" i="20"/>
  <c r="R249" i="20"/>
  <c r="R263" i="20"/>
  <c r="R161" i="20"/>
  <c r="R181" i="20"/>
  <c r="R369" i="20"/>
  <c r="R259" i="20"/>
  <c r="R162" i="20"/>
  <c r="R371" i="20"/>
  <c r="R250" i="20"/>
  <c r="R251" i="20"/>
  <c r="R182" i="20"/>
  <c r="R256" i="20"/>
  <c r="R266" i="20"/>
  <c r="R372" i="20"/>
  <c r="R383" i="20"/>
  <c r="R341" i="20"/>
  <c r="R384" i="20"/>
  <c r="R342" i="20"/>
  <c r="R385" i="20"/>
  <c r="R343" i="20"/>
  <c r="R195" i="20"/>
  <c r="R386" i="20"/>
  <c r="R344" i="20"/>
  <c r="R387" i="20"/>
  <c r="R370" i="20"/>
  <c r="R388" i="20"/>
  <c r="R373" i="20"/>
  <c r="R389" i="20"/>
  <c r="R395" i="20"/>
  <c r="R396" i="20"/>
  <c r="R390" i="20"/>
  <c r="R404" i="20"/>
  <c r="R397" i="20"/>
  <c r="R398" i="20"/>
  <c r="R400" i="20"/>
  <c r="R405" i="20"/>
  <c r="R391" i="20"/>
  <c r="R399" i="20"/>
  <c r="R392" i="20"/>
  <c r="R402" i="20"/>
  <c r="R403" i="20"/>
  <c r="R401" i="20"/>
  <c r="R393" i="20"/>
  <c r="R410" i="20"/>
  <c r="R411" i="20"/>
  <c r="R414" i="20"/>
  <c r="R412" i="20"/>
  <c r="R409" i="20"/>
  <c r="R413" i="20"/>
  <c r="R407" i="20"/>
  <c r="R406" i="20"/>
  <c r="E14" i="23" s="1"/>
  <c r="R408" i="20"/>
  <c r="R415" i="20"/>
  <c r="R416" i="20"/>
  <c r="R417" i="20"/>
  <c r="R418" i="20"/>
  <c r="R419" i="20"/>
  <c r="R420" i="20"/>
  <c r="R421" i="20"/>
  <c r="R422" i="20"/>
  <c r="R423" i="20"/>
  <c r="R424" i="20"/>
  <c r="R425" i="20"/>
  <c r="R426" i="20"/>
  <c r="R427" i="20"/>
  <c r="R428" i="20"/>
  <c r="R429" i="20"/>
  <c r="R430" i="20"/>
  <c r="R431" i="20"/>
  <c r="R432" i="20"/>
  <c r="R433" i="20"/>
  <c r="R434" i="20"/>
  <c r="R435" i="20"/>
  <c r="R436" i="20"/>
  <c r="R437" i="20"/>
  <c r="R438" i="20"/>
  <c r="R439" i="20"/>
  <c r="R440" i="20"/>
  <c r="R441" i="20"/>
  <c r="R446" i="20"/>
  <c r="R459" i="20"/>
  <c r="R442" i="20"/>
  <c r="R447" i="20"/>
  <c r="R443" i="20"/>
  <c r="R460" i="20"/>
  <c r="R448" i="20"/>
  <c r="R454" i="20"/>
  <c r="R449" i="20"/>
  <c r="R444" i="20"/>
  <c r="R445" i="20"/>
  <c r="R450" i="20"/>
  <c r="R455" i="20"/>
  <c r="R456" i="20"/>
  <c r="R451" i="20"/>
  <c r="R457" i="20"/>
  <c r="R458" i="20"/>
  <c r="R452" i="20"/>
  <c r="R462" i="20"/>
  <c r="R461" i="20"/>
  <c r="R463" i="20"/>
  <c r="R465" i="20"/>
  <c r="R464" i="20"/>
  <c r="R466" i="20"/>
  <c r="R467" i="20"/>
  <c r="R468" i="20"/>
  <c r="R469" i="20"/>
  <c r="R470" i="20"/>
  <c r="R471" i="20"/>
  <c r="R472" i="20"/>
  <c r="R473" i="20"/>
  <c r="R474" i="20"/>
  <c r="R480" i="20"/>
  <c r="R475" i="20"/>
  <c r="R481" i="20"/>
  <c r="R482" i="20"/>
  <c r="R483" i="20"/>
  <c r="R488" i="20"/>
  <c r="R484" i="20"/>
  <c r="R476" i="20"/>
  <c r="R485" i="20"/>
  <c r="R486" i="20"/>
  <c r="R477" i="20"/>
  <c r="R478" i="20"/>
  <c r="R479" i="20"/>
  <c r="R487" i="20"/>
  <c r="R489" i="20"/>
  <c r="R490" i="20"/>
  <c r="R491" i="20"/>
  <c r="R499" i="20"/>
  <c r="R500" i="20"/>
  <c r="R501" i="20"/>
  <c r="R492" i="20"/>
  <c r="R493" i="20"/>
  <c r="R502" i="20"/>
  <c r="R494" i="20"/>
  <c r="R503" i="20"/>
  <c r="R495" i="20"/>
  <c r="R504" i="20"/>
  <c r="R505" i="20"/>
  <c r="R506" i="20"/>
  <c r="R507" i="20"/>
  <c r="R496" i="20"/>
  <c r="R508" i="20"/>
  <c r="R509" i="20"/>
  <c r="R497" i="20"/>
  <c r="R510" i="20"/>
  <c r="R511" i="20"/>
  <c r="R498" i="20"/>
  <c r="R512" i="20"/>
  <c r="R513" i="20"/>
  <c r="R514" i="20"/>
  <c r="R515" i="20"/>
  <c r="R516" i="20"/>
  <c r="R517" i="20"/>
  <c r="R521" i="20"/>
  <c r="R522" i="20"/>
  <c r="R534" i="20"/>
  <c r="R535" i="20"/>
  <c r="R536" i="20"/>
  <c r="R537" i="20"/>
  <c r="R538" i="20"/>
  <c r="R539" i="20"/>
  <c r="R568" i="20"/>
  <c r="R523" i="20"/>
  <c r="R524" i="20"/>
  <c r="R518" i="20"/>
  <c r="R540" i="20"/>
  <c r="R541" i="20"/>
  <c r="R542" i="20"/>
  <c r="R525" i="20"/>
  <c r="R543" i="20"/>
  <c r="R544" i="20"/>
  <c r="R565" i="20"/>
  <c r="R545" i="20"/>
  <c r="R526" i="20"/>
  <c r="R546" i="20"/>
  <c r="R547" i="20"/>
  <c r="R548" i="20"/>
  <c r="R549" i="20"/>
  <c r="R550" i="20"/>
  <c r="R527" i="20"/>
  <c r="R551" i="20"/>
  <c r="R520" i="20"/>
  <c r="R552" i="20"/>
  <c r="R553" i="20"/>
  <c r="R554" i="20"/>
  <c r="R555" i="20"/>
  <c r="R533" i="20"/>
  <c r="R567" i="20"/>
  <c r="R556" i="20"/>
  <c r="R528" i="20"/>
  <c r="R557" i="20"/>
  <c r="R529" i="20"/>
  <c r="R530" i="20"/>
  <c r="R558" i="20"/>
  <c r="R566" i="20"/>
  <c r="R559" i="20"/>
  <c r="R560" i="20"/>
  <c r="R561" i="20"/>
  <c r="R531" i="20"/>
  <c r="R562" i="20"/>
  <c r="R563" i="20"/>
  <c r="R532" i="20"/>
  <c r="R564" i="20"/>
  <c r="R584" i="20"/>
  <c r="R569" i="20"/>
  <c r="R570" i="20"/>
  <c r="R585" i="20"/>
  <c r="R590" i="20"/>
  <c r="R591" i="20"/>
  <c r="R592" i="20"/>
  <c r="R571" i="20"/>
  <c r="R572" i="20"/>
  <c r="R573" i="20"/>
  <c r="R574" i="20"/>
  <c r="R575" i="20"/>
  <c r="R586" i="20"/>
  <c r="R593" i="20"/>
  <c r="R576" i="20"/>
  <c r="R577" i="20"/>
  <c r="R578" i="20"/>
  <c r="R579" i="20"/>
  <c r="R587" i="20"/>
  <c r="R580" i="20"/>
  <c r="R594" i="20"/>
  <c r="R588" i="20"/>
  <c r="R581" i="20"/>
  <c r="R582" i="20"/>
  <c r="R583" i="20"/>
  <c r="R589" i="20"/>
  <c r="R606" i="20"/>
  <c r="R602" i="20"/>
  <c r="R603" i="20"/>
  <c r="R604" i="20"/>
  <c r="R607" i="20"/>
  <c r="R608" i="20"/>
  <c r="R609" i="20"/>
  <c r="R610" i="20"/>
  <c r="R611" i="20"/>
  <c r="R612" i="20"/>
  <c r="R613" i="20"/>
  <c r="R614" i="20"/>
  <c r="R615" i="20"/>
  <c r="R616" i="20"/>
  <c r="R617" i="20"/>
  <c r="R618" i="20"/>
  <c r="R595" i="20"/>
  <c r="R619" i="20"/>
  <c r="R620" i="20"/>
  <c r="R596" i="20"/>
  <c r="R621" i="20"/>
  <c r="R597" i="20"/>
  <c r="R605" i="20"/>
  <c r="R622" i="20"/>
  <c r="R623" i="20"/>
  <c r="R598" i="20"/>
  <c r="R624" i="20"/>
  <c r="R625" i="20"/>
  <c r="R626" i="20"/>
  <c r="R599" i="20"/>
  <c r="R627" i="20"/>
  <c r="R600" i="20"/>
  <c r="R628" i="20"/>
  <c r="R629" i="20"/>
  <c r="R601" i="20"/>
  <c r="R630" i="20"/>
  <c r="R631" i="20"/>
  <c r="R632" i="20"/>
  <c r="R633" i="20"/>
  <c r="R634" i="20"/>
  <c r="R635" i="20"/>
  <c r="R636" i="20"/>
  <c r="R637" i="20"/>
  <c r="R638" i="20"/>
  <c r="R639" i="20"/>
  <c r="R640" i="20"/>
  <c r="R641" i="20"/>
  <c r="R642" i="20"/>
  <c r="R643" i="20"/>
  <c r="R644" i="20"/>
  <c r="R645" i="20"/>
  <c r="R646" i="20"/>
  <c r="R647" i="20"/>
  <c r="R648" i="20"/>
  <c r="R649" i="20"/>
  <c r="R650" i="20"/>
  <c r="R651" i="20"/>
  <c r="R652" i="20"/>
  <c r="R653" i="20"/>
  <c r="R654" i="20"/>
  <c r="R658" i="20"/>
  <c r="R659" i="20"/>
  <c r="R660" i="20"/>
  <c r="R656" i="20"/>
  <c r="R661" i="20"/>
  <c r="R662" i="20"/>
  <c r="R663" i="20"/>
  <c r="R670" i="20"/>
  <c r="R671" i="20"/>
  <c r="R664" i="20"/>
  <c r="R672" i="20"/>
  <c r="R668" i="20"/>
  <c r="R673" i="20"/>
  <c r="R674" i="20"/>
  <c r="R675" i="20"/>
  <c r="R665" i="20"/>
  <c r="R676" i="20"/>
  <c r="R669" i="20"/>
  <c r="R666" i="20"/>
  <c r="R667" i="20"/>
  <c r="R677" i="20"/>
  <c r="R678" i="20"/>
  <c r="R679" i="20"/>
  <c r="R680" i="20"/>
  <c r="R681" i="20"/>
  <c r="R682" i="20"/>
  <c r="R687" i="20"/>
  <c r="R684" i="20"/>
  <c r="R685" i="20"/>
  <c r="R688" i="20"/>
  <c r="R689" i="20"/>
  <c r="R690" i="20"/>
  <c r="R691" i="20"/>
  <c r="R692" i="20"/>
  <c r="R693" i="20"/>
  <c r="R694" i="20"/>
  <c r="R686" i="20"/>
  <c r="R695" i="20"/>
  <c r="R696" i="20"/>
  <c r="R697" i="20"/>
  <c r="R698" i="20"/>
  <c r="R699" i="20"/>
  <c r="R683" i="20"/>
  <c r="R700" i="20"/>
  <c r="R701" i="20"/>
  <c r="R702" i="20"/>
  <c r="R703" i="20"/>
  <c r="R704" i="20"/>
  <c r="R705" i="20"/>
  <c r="E26" i="23" s="1"/>
  <c r="R706" i="20"/>
  <c r="R707" i="20"/>
  <c r="R708" i="20"/>
  <c r="R716" i="20"/>
  <c r="R709" i="20"/>
  <c r="R710" i="20"/>
  <c r="R711" i="20"/>
  <c r="R712" i="20"/>
  <c r="R713" i="20"/>
  <c r="R717" i="20"/>
  <c r="R718" i="20"/>
  <c r="R714" i="20"/>
  <c r="R715" i="20"/>
  <c r="R723" i="20"/>
  <c r="R724" i="20"/>
  <c r="R719" i="20"/>
  <c r="R720" i="20"/>
  <c r="R725" i="20"/>
  <c r="R721" i="20"/>
  <c r="R722" i="20"/>
  <c r="R726" i="20"/>
  <c r="R727" i="20"/>
  <c r="R728" i="20"/>
  <c r="R729" i="20"/>
  <c r="R730" i="20"/>
  <c r="R731" i="20"/>
  <c r="R735" i="20"/>
  <c r="R733" i="20"/>
  <c r="R736" i="20"/>
  <c r="R737" i="20"/>
  <c r="R734" i="20"/>
  <c r="R738" i="20"/>
  <c r="R739" i="20"/>
  <c r="R740" i="20"/>
  <c r="R741" i="20"/>
  <c r="R742" i="20"/>
  <c r="R732" i="20"/>
  <c r="R743" i="20"/>
  <c r="R744" i="20"/>
  <c r="R752" i="20"/>
  <c r="R745" i="20"/>
  <c r="R746" i="20"/>
  <c r="R747" i="20"/>
  <c r="R748" i="20"/>
  <c r="R749" i="20"/>
  <c r="R753" i="20"/>
  <c r="R754" i="20"/>
  <c r="R755" i="20"/>
  <c r="R756" i="20"/>
  <c r="R750" i="20"/>
  <c r="R751" i="20"/>
  <c r="R757" i="20"/>
  <c r="R758" i="20"/>
  <c r="R759" i="20"/>
  <c r="R760" i="20"/>
  <c r="R761" i="20"/>
  <c r="R762" i="20"/>
  <c r="R763" i="20"/>
  <c r="R764" i="20"/>
  <c r="R765" i="20"/>
  <c r="R774" i="20"/>
  <c r="R775" i="20"/>
  <c r="R778" i="20"/>
  <c r="R766" i="20"/>
  <c r="R767" i="20"/>
  <c r="R768" i="20"/>
  <c r="R776" i="20"/>
  <c r="R769" i="20"/>
  <c r="R770" i="20"/>
  <c r="R777" i="20"/>
  <c r="R771" i="20"/>
  <c r="R772" i="20"/>
  <c r="R779" i="20"/>
  <c r="R780" i="20"/>
  <c r="R792" i="20"/>
  <c r="R793" i="20"/>
  <c r="R794" i="20"/>
  <c r="R781" i="20"/>
  <c r="R782" i="20"/>
  <c r="R783" i="20"/>
  <c r="R790" i="20"/>
  <c r="R795" i="20"/>
  <c r="R796" i="20"/>
  <c r="R784" i="20"/>
  <c r="R797" i="20"/>
  <c r="R785" i="20"/>
  <c r="R786" i="20"/>
  <c r="R788" i="20"/>
  <c r="R789" i="20"/>
  <c r="R791" i="20"/>
  <c r="R803" i="20"/>
  <c r="R804" i="20"/>
  <c r="R805" i="20"/>
  <c r="R806" i="20"/>
  <c r="R807" i="20"/>
  <c r="R808" i="20"/>
  <c r="R813" i="20"/>
  <c r="R814" i="20"/>
  <c r="R798" i="20"/>
  <c r="R815" i="20"/>
  <c r="R799" i="20"/>
  <c r="R809" i="20"/>
  <c r="R800" i="20"/>
  <c r="R816" i="20"/>
  <c r="R802" i="20"/>
  <c r="R810" i="20"/>
  <c r="R811" i="20"/>
  <c r="R801" i="20"/>
  <c r="R812" i="20"/>
  <c r="R835" i="20"/>
  <c r="R836" i="20"/>
  <c r="R817" i="20"/>
  <c r="R837" i="20"/>
  <c r="R818" i="20"/>
  <c r="R819" i="20"/>
  <c r="R838" i="20"/>
  <c r="R839" i="20"/>
  <c r="R840" i="20"/>
  <c r="R820" i="20"/>
  <c r="R821" i="20"/>
  <c r="R841" i="20"/>
  <c r="R822" i="20"/>
  <c r="R823" i="20"/>
  <c r="R824" i="20"/>
  <c r="R825" i="20"/>
  <c r="R826" i="20"/>
  <c r="R827" i="20"/>
  <c r="R842" i="20"/>
  <c r="R828" i="20"/>
  <c r="R843" i="20"/>
  <c r="R829" i="20"/>
  <c r="R844" i="20"/>
  <c r="R830" i="20"/>
  <c r="R831" i="20"/>
  <c r="R845" i="20"/>
  <c r="R832" i="20"/>
  <c r="R846" i="20"/>
  <c r="R847" i="20"/>
  <c r="R848" i="20"/>
  <c r="R849" i="20"/>
  <c r="R833" i="20"/>
  <c r="R834" i="20"/>
  <c r="R850" i="20"/>
  <c r="R851" i="20"/>
  <c r="R852" i="20"/>
  <c r="R853" i="20"/>
  <c r="R854" i="20"/>
  <c r="R855" i="20"/>
  <c r="R856" i="20"/>
  <c r="R857" i="20"/>
  <c r="R858" i="20"/>
  <c r="R859" i="20"/>
  <c r="R860" i="20"/>
  <c r="R861" i="20"/>
  <c r="R862" i="20"/>
  <c r="R863" i="20"/>
  <c r="R864" i="20"/>
  <c r="R865" i="20"/>
  <c r="R866" i="20"/>
  <c r="R867" i="20"/>
  <c r="R868" i="20"/>
  <c r="R869" i="20"/>
  <c r="R870" i="20"/>
  <c r="R871" i="20"/>
  <c r="R872" i="20"/>
  <c r="R873" i="20"/>
  <c r="R874" i="20"/>
  <c r="R875" i="20"/>
  <c r="R876" i="20"/>
  <c r="R877" i="20"/>
  <c r="R878" i="20"/>
  <c r="R879" i="20"/>
  <c r="R880" i="20"/>
  <c r="R881" i="20"/>
  <c r="R882" i="20"/>
  <c r="R883" i="20"/>
  <c r="R884" i="20"/>
  <c r="R885" i="20"/>
  <c r="R886" i="20"/>
  <c r="R887" i="20"/>
  <c r="R888" i="20"/>
  <c r="R889" i="20"/>
  <c r="R890" i="20"/>
  <c r="R891" i="20"/>
  <c r="R892" i="20"/>
  <c r="R893" i="20"/>
  <c r="R894" i="20"/>
  <c r="R895" i="20"/>
  <c r="R896" i="20"/>
  <c r="R897" i="20"/>
  <c r="R898" i="20"/>
  <c r="R899" i="20"/>
  <c r="R900" i="20"/>
  <c r="R901" i="20"/>
  <c r="R902" i="20"/>
  <c r="R903" i="20"/>
  <c r="R904" i="20"/>
  <c r="R905" i="20"/>
  <c r="R906" i="20"/>
  <c r="R907" i="20"/>
  <c r="R908" i="20"/>
  <c r="R909" i="20"/>
  <c r="R910" i="20"/>
  <c r="R911" i="20"/>
  <c r="R912" i="20"/>
  <c r="R913" i="20"/>
  <c r="R914" i="20"/>
  <c r="R915" i="20"/>
  <c r="R916" i="20"/>
  <c r="R917" i="20"/>
  <c r="R918" i="20"/>
  <c r="R919" i="20"/>
  <c r="R920" i="20"/>
  <c r="R921" i="20"/>
  <c r="R922" i="20"/>
  <c r="R923" i="20"/>
  <c r="R924" i="20"/>
  <c r="R925" i="20"/>
  <c r="R926" i="20"/>
  <c r="R927" i="20"/>
  <c r="R928" i="20"/>
  <c r="R929" i="20"/>
  <c r="R930" i="20"/>
  <c r="R931" i="20"/>
  <c r="R932" i="20"/>
  <c r="R933" i="20"/>
  <c r="R934" i="20"/>
  <c r="R949" i="20"/>
  <c r="R950" i="20"/>
  <c r="R938" i="20"/>
  <c r="R951" i="20"/>
  <c r="R952" i="20"/>
  <c r="R936" i="20"/>
  <c r="R947" i="20"/>
  <c r="R953" i="20"/>
  <c r="R954" i="20"/>
  <c r="R939" i="20"/>
  <c r="R940" i="20"/>
  <c r="R948" i="20"/>
  <c r="R941" i="20"/>
  <c r="R942" i="20"/>
  <c r="R959" i="20"/>
  <c r="R943" i="20"/>
  <c r="R937" i="20"/>
  <c r="R944" i="20"/>
  <c r="R945" i="20"/>
  <c r="R946" i="20"/>
  <c r="R955" i="20"/>
  <c r="R956" i="20"/>
  <c r="R957" i="20"/>
  <c r="R958" i="20"/>
  <c r="R960" i="20"/>
  <c r="E21" i="23" s="1"/>
  <c r="R961" i="20"/>
  <c r="R962" i="20"/>
  <c r="R963" i="20"/>
  <c r="R982" i="20"/>
  <c r="R964" i="20"/>
  <c r="R971" i="20"/>
  <c r="R965" i="20"/>
  <c r="R972" i="20"/>
  <c r="R973" i="20"/>
  <c r="R974" i="20"/>
  <c r="R975" i="20"/>
  <c r="R984" i="20"/>
  <c r="R976" i="20"/>
  <c r="R977" i="20"/>
  <c r="R966" i="20"/>
  <c r="R967" i="20"/>
  <c r="R978" i="20"/>
  <c r="R985" i="20"/>
  <c r="R979" i="20"/>
  <c r="R968" i="20"/>
  <c r="R969" i="20"/>
  <c r="R980" i="20"/>
  <c r="R981" i="20"/>
  <c r="R970" i="20"/>
  <c r="R995" i="20"/>
  <c r="R996" i="20"/>
  <c r="R997" i="20"/>
  <c r="R998" i="20"/>
  <c r="R999" i="20"/>
  <c r="R1000" i="20"/>
  <c r="R1001" i="20"/>
  <c r="R1002" i="20"/>
  <c r="R1003" i="20"/>
  <c r="R1004" i="20"/>
  <c r="R991" i="20"/>
  <c r="R1005" i="20"/>
  <c r="R1006" i="20"/>
  <c r="R992" i="20"/>
  <c r="R993" i="20"/>
  <c r="R1007" i="20"/>
  <c r="R1008" i="20"/>
  <c r="R986" i="20"/>
  <c r="R987" i="20"/>
  <c r="R1009" i="20"/>
  <c r="R1010" i="20"/>
  <c r="R988" i="20"/>
  <c r="R1011" i="20"/>
  <c r="R989" i="20"/>
  <c r="E17" i="23" s="1"/>
  <c r="R994" i="20"/>
  <c r="R1012" i="20"/>
  <c r="R990" i="20"/>
  <c r="R1013" i="20"/>
  <c r="R1018" i="20"/>
  <c r="R1040" i="20"/>
  <c r="R1041" i="20"/>
  <c r="R1042" i="20"/>
  <c r="R1043" i="20"/>
  <c r="R1044" i="20"/>
  <c r="R1045" i="20"/>
  <c r="R1017" i="20"/>
  <c r="R1046" i="20"/>
  <c r="R1047" i="20"/>
  <c r="R1048" i="20"/>
  <c r="R1019" i="20"/>
  <c r="R1020" i="20"/>
  <c r="R1049" i="20"/>
  <c r="R1050" i="20"/>
  <c r="R1051" i="20"/>
  <c r="R1021" i="20"/>
  <c r="R1022" i="20"/>
  <c r="R1023" i="20"/>
  <c r="R1052" i="20"/>
  <c r="R1053" i="20"/>
  <c r="R1054" i="20"/>
  <c r="R1055" i="20"/>
  <c r="R1056" i="20"/>
  <c r="R1057" i="20"/>
  <c r="R1058" i="20"/>
  <c r="R1102" i="20"/>
  <c r="R1014" i="20"/>
  <c r="R1015" i="20"/>
  <c r="R1059" i="20"/>
  <c r="R1060" i="20"/>
  <c r="R1024" i="20"/>
  <c r="R1061" i="20"/>
  <c r="R1062" i="20"/>
  <c r="R1063" i="20"/>
  <c r="R1064" i="20"/>
  <c r="R1025" i="20"/>
  <c r="R1065" i="20"/>
  <c r="R1066" i="20"/>
  <c r="R1067" i="20"/>
  <c r="R1068" i="20"/>
  <c r="R1069" i="20"/>
  <c r="R1070" i="20"/>
  <c r="R1026" i="20"/>
  <c r="R1027" i="20"/>
  <c r="R1028" i="20"/>
  <c r="R1071" i="20"/>
  <c r="R1029" i="20"/>
  <c r="R1030" i="20"/>
  <c r="R1072" i="20"/>
  <c r="R1073" i="20"/>
  <c r="R1031" i="20"/>
  <c r="R1032" i="20"/>
  <c r="R1074" i="20"/>
  <c r="R1075" i="20"/>
  <c r="R1076" i="20"/>
  <c r="R1077" i="20"/>
  <c r="R1078" i="20"/>
  <c r="R1016" i="20"/>
  <c r="R1079" i="20"/>
  <c r="R1080" i="20"/>
  <c r="R1081" i="20"/>
  <c r="R1082" i="20"/>
  <c r="R1083" i="20"/>
  <c r="R1033" i="20"/>
  <c r="R1084" i="20"/>
  <c r="R1034" i="20"/>
  <c r="R1085" i="20"/>
  <c r="R1086" i="20"/>
  <c r="R1087" i="20"/>
  <c r="R1088" i="20"/>
  <c r="R1089" i="20"/>
  <c r="R1090" i="20"/>
  <c r="R1091" i="20"/>
  <c r="R1092" i="20"/>
  <c r="R1093" i="20"/>
  <c r="R1094" i="20"/>
  <c r="R1035" i="20"/>
  <c r="R1095" i="20"/>
  <c r="R1036" i="20"/>
  <c r="R1037" i="20"/>
  <c r="R1096" i="20"/>
  <c r="R1097" i="20"/>
  <c r="R1098" i="20"/>
  <c r="R1038" i="20"/>
  <c r="R1099" i="20"/>
  <c r="R1100" i="20"/>
  <c r="R1101" i="20"/>
  <c r="R1039" i="20"/>
  <c r="R1107" i="20"/>
  <c r="R1108" i="20"/>
  <c r="R1109" i="20"/>
  <c r="R1110" i="20"/>
  <c r="R1103" i="20"/>
  <c r="R1111" i="20"/>
  <c r="R1112" i="20"/>
  <c r="R1124" i="20"/>
  <c r="R1113" i="20"/>
  <c r="R1125" i="20"/>
  <c r="R1114" i="20"/>
  <c r="R1115" i="20"/>
  <c r="R1104" i="20"/>
  <c r="R1116" i="20"/>
  <c r="R1105" i="20"/>
  <c r="R1117" i="20"/>
  <c r="R1118" i="20"/>
  <c r="R1119" i="20"/>
  <c r="R1120" i="20"/>
  <c r="R1121" i="20"/>
  <c r="R1122" i="20"/>
  <c r="R1106" i="20"/>
  <c r="R1123" i="20"/>
  <c r="R1126" i="20"/>
  <c r="R1127" i="20"/>
  <c r="R1135" i="20"/>
  <c r="R1136" i="20"/>
  <c r="R1128" i="20"/>
  <c r="R1129" i="20"/>
  <c r="R1130" i="20"/>
  <c r="R1131" i="20"/>
  <c r="R1132" i="20"/>
  <c r="R1137" i="20"/>
  <c r="R1138" i="20"/>
  <c r="R1139" i="20"/>
  <c r="R1140" i="20"/>
  <c r="R1141" i="20"/>
  <c r="R1142" i="20"/>
  <c r="R1133" i="20"/>
  <c r="R1134" i="20"/>
  <c r="R1143" i="20"/>
  <c r="R1144" i="20"/>
  <c r="R1145" i="20"/>
  <c r="R1165" i="20"/>
  <c r="R1146" i="20"/>
  <c r="R1147" i="20"/>
  <c r="R1148" i="20"/>
  <c r="R1149" i="20"/>
  <c r="R1150" i="20"/>
  <c r="R1151" i="20"/>
  <c r="R1152" i="20"/>
  <c r="R1153" i="20"/>
  <c r="R1154" i="20"/>
  <c r="R1155" i="20"/>
  <c r="R1156" i="20"/>
  <c r="R1157" i="20"/>
  <c r="R1158" i="20"/>
  <c r="R1159" i="20"/>
  <c r="R1160" i="20"/>
  <c r="R1161" i="20"/>
  <c r="R1162" i="20"/>
  <c r="R1163" i="20"/>
  <c r="R1164" i="20"/>
  <c r="R1176" i="20"/>
  <c r="R1166" i="20"/>
  <c r="R1177" i="20"/>
  <c r="R1178" i="20"/>
  <c r="R1167" i="20"/>
  <c r="R1179" i="20"/>
  <c r="R1180" i="20"/>
  <c r="R1168" i="20"/>
  <c r="R1169" i="20"/>
  <c r="R1181" i="20"/>
  <c r="R1170" i="20"/>
  <c r="R1182" i="20"/>
  <c r="R1171" i="20"/>
  <c r="R1183" i="20"/>
  <c r="R1172" i="20"/>
  <c r="R1173" i="20"/>
  <c r="R1174" i="20"/>
  <c r="R1175" i="20"/>
  <c r="R1184" i="20"/>
  <c r="R1188" i="20"/>
  <c r="R1189" i="20"/>
  <c r="R1190" i="20"/>
  <c r="R1191" i="20"/>
  <c r="R1192" i="20"/>
  <c r="R1193" i="20"/>
  <c r="R1194" i="20"/>
  <c r="R1195" i="20"/>
  <c r="R1196" i="20"/>
  <c r="R1197" i="20"/>
  <c r="R1198" i="20"/>
  <c r="R1199" i="20"/>
  <c r="R1200" i="20"/>
  <c r="R1201" i="20"/>
  <c r="R1202" i="20"/>
  <c r="R1203" i="20"/>
  <c r="R1204" i="20"/>
  <c r="R1185" i="20"/>
  <c r="R1186" i="20"/>
  <c r="R1205" i="20"/>
  <c r="R1206" i="20"/>
  <c r="R1207" i="20"/>
  <c r="R1208" i="20"/>
  <c r="R1187" i="20"/>
  <c r="R1209" i="20"/>
  <c r="R1210" i="20"/>
  <c r="R1211" i="20"/>
  <c r="R1212" i="20"/>
  <c r="R1213" i="20"/>
  <c r="R1214" i="20"/>
  <c r="R1215" i="20"/>
  <c r="R1216" i="20"/>
  <c r="R1217" i="20"/>
  <c r="R1218" i="20"/>
  <c r="R1219" i="20"/>
  <c r="R1220" i="20"/>
  <c r="R1221" i="20"/>
  <c r="R1222" i="20"/>
  <c r="R1223" i="20"/>
  <c r="R1224" i="20"/>
  <c r="R1225" i="20"/>
  <c r="R1226" i="20"/>
  <c r="R1227" i="20"/>
  <c r="R1228" i="20"/>
  <c r="R1229" i="20"/>
  <c r="R1230" i="20"/>
  <c r="R1231" i="20"/>
  <c r="R1232" i="20"/>
  <c r="R1233" i="20"/>
  <c r="R1234" i="20"/>
  <c r="R1235" i="20"/>
  <c r="R1236" i="20"/>
  <c r="R1237" i="20"/>
  <c r="R1238" i="20"/>
  <c r="R1239" i="20"/>
  <c r="R1240" i="20"/>
  <c r="R1241" i="20"/>
  <c r="R1242" i="20"/>
  <c r="R1243" i="20"/>
  <c r="R1244" i="20"/>
  <c r="R1245" i="20"/>
  <c r="R1246" i="20"/>
  <c r="R1247" i="20"/>
  <c r="R1248" i="20"/>
  <c r="R1249" i="20"/>
  <c r="R1250" i="20"/>
  <c r="R1251" i="20"/>
  <c r="R1252" i="20"/>
  <c r="R1253" i="20"/>
  <c r="R1258" i="20"/>
  <c r="R1254" i="20"/>
  <c r="R1259" i="20"/>
  <c r="R1260" i="20"/>
  <c r="R1261" i="20"/>
  <c r="R1262" i="20"/>
  <c r="R1263" i="20"/>
  <c r="R1255" i="20"/>
  <c r="E24" i="23" s="1"/>
  <c r="R1264" i="20"/>
  <c r="R1265" i="20"/>
  <c r="R1266" i="20"/>
  <c r="R1256" i="20"/>
  <c r="R1267" i="20"/>
  <c r="R1268" i="20"/>
  <c r="R1269" i="20"/>
  <c r="R1270" i="20"/>
  <c r="R1271" i="20"/>
  <c r="R1257" i="20"/>
  <c r="R1275" i="20"/>
  <c r="R1276" i="20"/>
  <c r="R1277" i="20"/>
  <c r="R1272" i="20"/>
  <c r="R1278" i="20"/>
  <c r="R1279" i="20"/>
  <c r="R1280" i="20"/>
  <c r="R1281" i="20"/>
  <c r="R1273" i="20"/>
  <c r="R1282" i="20"/>
  <c r="R1283" i="20"/>
  <c r="R1274" i="20"/>
  <c r="R1284" i="20"/>
  <c r="R1296" i="20"/>
  <c r="R1297" i="20"/>
  <c r="R1298" i="20"/>
  <c r="R1285" i="20"/>
  <c r="R1299" i="20"/>
  <c r="R1300" i="20"/>
  <c r="R1301" i="20"/>
  <c r="R1286" i="20"/>
  <c r="R1302" i="20"/>
  <c r="R1303" i="20"/>
  <c r="R1287" i="20"/>
  <c r="R1304" i="20"/>
  <c r="R1288" i="20"/>
  <c r="R1305" i="20"/>
  <c r="R1306" i="20"/>
  <c r="R1307" i="20"/>
  <c r="R1308" i="20"/>
  <c r="R1289" i="20"/>
  <c r="R1309" i="20"/>
  <c r="R1310" i="20"/>
  <c r="R1311" i="20"/>
  <c r="R1312" i="20"/>
  <c r="R1313" i="20"/>
  <c r="R1314" i="20"/>
  <c r="R1315" i="20"/>
  <c r="R1316" i="20"/>
  <c r="R1317" i="20"/>
  <c r="R1318" i="20"/>
  <c r="R1319" i="20"/>
  <c r="R1320" i="20"/>
  <c r="R1321" i="20"/>
  <c r="R1322" i="20"/>
  <c r="R1323" i="20"/>
  <c r="R1324" i="20"/>
  <c r="R1290" i="20"/>
  <c r="R1325" i="20"/>
  <c r="R1326" i="20"/>
  <c r="R1327" i="20"/>
  <c r="R1328" i="20"/>
  <c r="R1329" i="20"/>
  <c r="R1330" i="20"/>
  <c r="R1331" i="20"/>
  <c r="R1332" i="20"/>
  <c r="R1333" i="20"/>
  <c r="R1334" i="20"/>
  <c r="R1335" i="20"/>
  <c r="R1291" i="20"/>
  <c r="R1336" i="20"/>
  <c r="R1292" i="20"/>
  <c r="R1293" i="20"/>
  <c r="R1294" i="20"/>
  <c r="R1337" i="20"/>
  <c r="R1338" i="20"/>
  <c r="R1339" i="20"/>
  <c r="R1340" i="20"/>
  <c r="R1295" i="20"/>
  <c r="R1341" i="20"/>
  <c r="R1342" i="20"/>
  <c r="R1343" i="20"/>
  <c r="R1344" i="20"/>
  <c r="R1345" i="20"/>
  <c r="R1346" i="20"/>
  <c r="R1347" i="20"/>
  <c r="R1348" i="20"/>
  <c r="R1365" i="20"/>
  <c r="R1350" i="20"/>
  <c r="R1351" i="20"/>
  <c r="R1366" i="20"/>
  <c r="R1352" i="20"/>
  <c r="R1367" i="20"/>
  <c r="R1353" i="20"/>
  <c r="R1349" i="20"/>
  <c r="R1354" i="20"/>
  <c r="R1355" i="20"/>
  <c r="R1368" i="20"/>
  <c r="R1369" i="20"/>
  <c r="R1356" i="20"/>
  <c r="R1370" i="20"/>
  <c r="R1357" i="20"/>
  <c r="R1371" i="20"/>
  <c r="R1358" i="20"/>
  <c r="R1359" i="20"/>
  <c r="R1360" i="20"/>
  <c r="R1372" i="20"/>
  <c r="R1361" i="20"/>
  <c r="R1373" i="20"/>
  <c r="R1374" i="20"/>
  <c r="R1363" i="20"/>
  <c r="R1364" i="20"/>
  <c r="R1375" i="20"/>
  <c r="R1381" i="20"/>
  <c r="R1382" i="20"/>
  <c r="R1383" i="20"/>
  <c r="R1384" i="20"/>
  <c r="R1385" i="20"/>
  <c r="R1386" i="20"/>
  <c r="R1387" i="20"/>
  <c r="R1388" i="20"/>
  <c r="R1389" i="20"/>
  <c r="R1376" i="20"/>
  <c r="R1390" i="20"/>
  <c r="R1377" i="20"/>
  <c r="R1391" i="20"/>
  <c r="R1378" i="20"/>
  <c r="R1392" i="20"/>
  <c r="R1379" i="20"/>
  <c r="R1380" i="20"/>
  <c r="R1401" i="20"/>
  <c r="R1393" i="20"/>
  <c r="R1394" i="20"/>
  <c r="R1402" i="20"/>
  <c r="R1395" i="20"/>
  <c r="R1396" i="20"/>
  <c r="R1397" i="20"/>
  <c r="R1403" i="20"/>
  <c r="R1399" i="20"/>
  <c r="R1400" i="20"/>
  <c r="R1416" i="20"/>
  <c r="R1410" i="20"/>
  <c r="R1417" i="20"/>
  <c r="R1411" i="20"/>
  <c r="R1404" i="20"/>
  <c r="R1405" i="20"/>
  <c r="R1418" i="20"/>
  <c r="R1406" i="20"/>
  <c r="R1407" i="20"/>
  <c r="R1419" i="20"/>
  <c r="R1412" i="20"/>
  <c r="R1420" i="20"/>
  <c r="R1408" i="20"/>
  <c r="R1425" i="20"/>
  <c r="R1413" i="20"/>
  <c r="R1421" i="20"/>
  <c r="R1414" i="20"/>
  <c r="R1422" i="20"/>
  <c r="R1423" i="20"/>
  <c r="R1415" i="20"/>
  <c r="R1409" i="20"/>
  <c r="R1424" i="20"/>
  <c r="R1426" i="20"/>
  <c r="R1440" i="20"/>
  <c r="R1427" i="20"/>
  <c r="R1441" i="20"/>
  <c r="R1428" i="20"/>
  <c r="R1442" i="20"/>
  <c r="R1443" i="20"/>
  <c r="R1444" i="20"/>
  <c r="R1445" i="20"/>
  <c r="R1429" i="20"/>
  <c r="R1446" i="20"/>
  <c r="R1430" i="20"/>
  <c r="R1431" i="20"/>
  <c r="R1432" i="20"/>
  <c r="R1433" i="20"/>
  <c r="R1434" i="20"/>
  <c r="R1435" i="20"/>
  <c r="R1436" i="20"/>
  <c r="R1437" i="20"/>
  <c r="R1447" i="20"/>
  <c r="R1448" i="20"/>
  <c r="R1438" i="20"/>
  <c r="R1439" i="20"/>
  <c r="R1449" i="20"/>
  <c r="R1450" i="20"/>
  <c r="R1451" i="20"/>
  <c r="R1452" i="20"/>
  <c r="R1453" i="20"/>
  <c r="R1454" i="20"/>
  <c r="R1455" i="20"/>
  <c r="R1456" i="20"/>
  <c r="R1457" i="20"/>
  <c r="R1458" i="20"/>
  <c r="R1459" i="20"/>
  <c r="R1460" i="20"/>
  <c r="R1461" i="20"/>
  <c r="R1462" i="20"/>
  <c r="R1463" i="20"/>
  <c r="R1464" i="20"/>
  <c r="R1465" i="20"/>
  <c r="R1466" i="20"/>
  <c r="R1467" i="20"/>
  <c r="R1468" i="20"/>
  <c r="R1469" i="20"/>
  <c r="R1470" i="20"/>
  <c r="R1471" i="20"/>
  <c r="R1472" i="20"/>
  <c r="R1473" i="20"/>
  <c r="R1474" i="20"/>
  <c r="R1475" i="20"/>
  <c r="R1476" i="20"/>
  <c r="R1477" i="20"/>
  <c r="R1478" i="20"/>
  <c r="R1479" i="20"/>
  <c r="R1480" i="20"/>
  <c r="R1481" i="20"/>
  <c r="R1482" i="20"/>
  <c r="R1483" i="20"/>
  <c r="R1484" i="20"/>
  <c r="R1485" i="20"/>
  <c r="R1486" i="20"/>
  <c r="R1487" i="20"/>
  <c r="R1488" i="20"/>
  <c r="R1489" i="20"/>
  <c r="R1490" i="20"/>
  <c r="R1491" i="20"/>
  <c r="R1492" i="20"/>
  <c r="R1493" i="20"/>
  <c r="R1494" i="20"/>
  <c r="R1501" i="20"/>
  <c r="R1502" i="20"/>
  <c r="R1495" i="20"/>
  <c r="R1503" i="20"/>
  <c r="R1497" i="20"/>
  <c r="R1498" i="20"/>
  <c r="R1499" i="20"/>
  <c r="R1510" i="20"/>
  <c r="R1504" i="20"/>
  <c r="R1505" i="20"/>
  <c r="R1506" i="20"/>
  <c r="R1500" i="20"/>
  <c r="R1496" i="20"/>
  <c r="R1507" i="20"/>
  <c r="R1508" i="20"/>
  <c r="R1509" i="20"/>
  <c r="R1516" i="20"/>
  <c r="R1525" i="20"/>
  <c r="R1517" i="20"/>
  <c r="R1526" i="20"/>
  <c r="R1527" i="20"/>
  <c r="R1511" i="20"/>
  <c r="R1528" i="20"/>
  <c r="R1518" i="20"/>
  <c r="R1529" i="20"/>
  <c r="R1530" i="20"/>
  <c r="R1512" i="20"/>
  <c r="R1519" i="20"/>
  <c r="R1531" i="20"/>
  <c r="R1532" i="20"/>
  <c r="R1533" i="20"/>
  <c r="R1520" i="20"/>
  <c r="R1513" i="20"/>
  <c r="R1514" i="20"/>
  <c r="R1521" i="20"/>
  <c r="R1515" i="20"/>
  <c r="R1534" i="20"/>
  <c r="R1522" i="20"/>
  <c r="R1523" i="20"/>
  <c r="R1535" i="20"/>
  <c r="R1536" i="20"/>
  <c r="R1524" i="20"/>
  <c r="R1538" i="20"/>
  <c r="R1539" i="20"/>
  <c r="R1540" i="20"/>
  <c r="R1541" i="20"/>
  <c r="R1542" i="20"/>
  <c r="R1543" i="20"/>
  <c r="R1544" i="20"/>
  <c r="R1545" i="20"/>
  <c r="R1546" i="20"/>
  <c r="R1537" i="20"/>
  <c r="R1552" i="20"/>
  <c r="R1547" i="20"/>
  <c r="R1548" i="20"/>
  <c r="R1549" i="20"/>
  <c r="R1550" i="20"/>
  <c r="R1551" i="20"/>
  <c r="R1553" i="20"/>
  <c r="R1560" i="20"/>
  <c r="R1556" i="20"/>
  <c r="R1557" i="20"/>
  <c r="R1558" i="20"/>
  <c r="R1559" i="20"/>
  <c r="R1554" i="20"/>
  <c r="R1561" i="20"/>
  <c r="R1555" i="20"/>
  <c r="R1575" i="20"/>
  <c r="R1564" i="20"/>
  <c r="R1565" i="20"/>
  <c r="R1576" i="20"/>
  <c r="R1566" i="20"/>
  <c r="R1577" i="20"/>
  <c r="R1567" i="20"/>
  <c r="R1568" i="20"/>
  <c r="R1578" i="20"/>
  <c r="R1579" i="20"/>
  <c r="R1580" i="20"/>
  <c r="R1569" i="20"/>
  <c r="R1562" i="20"/>
  <c r="R1581" i="20"/>
  <c r="R1570" i="20"/>
  <c r="R1582" i="20"/>
  <c r="R1563" i="20"/>
  <c r="R1583" i="20"/>
  <c r="R1571" i="20"/>
  <c r="R1572" i="20"/>
  <c r="R1573" i="20"/>
  <c r="R1584" i="20"/>
  <c r="R1585" i="20"/>
  <c r="R1586" i="20"/>
  <c r="R1587" i="20"/>
  <c r="R1588" i="20"/>
  <c r="R1589" i="20"/>
  <c r="R1590" i="20"/>
  <c r="R1591" i="20"/>
  <c r="R1574" i="20"/>
  <c r="R1592" i="20"/>
  <c r="R1593" i="20"/>
  <c r="R1594" i="20"/>
  <c r="R1595" i="20"/>
  <c r="R1596" i="20"/>
  <c r="R1597" i="20"/>
  <c r="R1598" i="20"/>
  <c r="R1599" i="20"/>
  <c r="R1602" i="20"/>
  <c r="R1603" i="20"/>
  <c r="R1604" i="20"/>
  <c r="R1600" i="20"/>
  <c r="R1605" i="20"/>
  <c r="R1606" i="20"/>
  <c r="R1607" i="20"/>
  <c r="R1608" i="20"/>
  <c r="R1609" i="20"/>
  <c r="R1610" i="20"/>
  <c r="R1611" i="20"/>
  <c r="R1612" i="20"/>
  <c r="R1613" i="20"/>
  <c r="R1614" i="20"/>
  <c r="R1618" i="20"/>
  <c r="R1619" i="20"/>
  <c r="R1620" i="20"/>
  <c r="R1621" i="20"/>
  <c r="R1622" i="20"/>
  <c r="R1623" i="20"/>
  <c r="R1624" i="20"/>
  <c r="R1625" i="20"/>
  <c r="R1647" i="20"/>
  <c r="R1626" i="20"/>
  <c r="R1627" i="20"/>
  <c r="R1628" i="20"/>
  <c r="R1629" i="20"/>
  <c r="R1630" i="20"/>
  <c r="R1631" i="20"/>
  <c r="R1632" i="20"/>
  <c r="R1633" i="20"/>
  <c r="R1634" i="20"/>
  <c r="R1635" i="20"/>
  <c r="R1636" i="20"/>
  <c r="R1637" i="20"/>
  <c r="R1638" i="20"/>
  <c r="R1615" i="20"/>
  <c r="R1639" i="20"/>
  <c r="R1640" i="20"/>
  <c r="R1641" i="20"/>
  <c r="R1642" i="20"/>
  <c r="R1643" i="20"/>
  <c r="R1644" i="20"/>
  <c r="R1645" i="20"/>
  <c r="R1646" i="20"/>
  <c r="R1649" i="20"/>
  <c r="R1650" i="20"/>
  <c r="R1651" i="20"/>
  <c r="R1652" i="20"/>
  <c r="R1660" i="20"/>
  <c r="R1653" i="20"/>
  <c r="R1661" i="20"/>
  <c r="R1654" i="20"/>
  <c r="R1662" i="20"/>
  <c r="R1655" i="20"/>
  <c r="R1656" i="20"/>
  <c r="R1663" i="20"/>
  <c r="R1664" i="20"/>
  <c r="R1657" i="20"/>
  <c r="R1658" i="20"/>
  <c r="R1665" i="20"/>
  <c r="R1666" i="20"/>
  <c r="R1667" i="20"/>
  <c r="R1668" i="20"/>
  <c r="R1669" i="20"/>
  <c r="R1670" i="20"/>
  <c r="R1671" i="20"/>
  <c r="R1659" i="20"/>
  <c r="R1648" i="20"/>
  <c r="R1687" i="20"/>
  <c r="R1688" i="20"/>
  <c r="R1689" i="20"/>
  <c r="R1690" i="20"/>
  <c r="R1691" i="20"/>
  <c r="R1672" i="20"/>
  <c r="R1676" i="20"/>
  <c r="R1677" i="20"/>
  <c r="R1692" i="20"/>
  <c r="R1693" i="20"/>
  <c r="R1678" i="20"/>
  <c r="R1673" i="20"/>
  <c r="R1679" i="20"/>
  <c r="R1694" i="20"/>
  <c r="R1695" i="20"/>
  <c r="R1696" i="20"/>
  <c r="R1680" i="20"/>
  <c r="R1697" i="20"/>
  <c r="R1681" i="20"/>
  <c r="R1698" i="20"/>
  <c r="R1699" i="20"/>
  <c r="R1700" i="20"/>
  <c r="R1701" i="20"/>
  <c r="R1702" i="20"/>
  <c r="R1682" i="20"/>
  <c r="R1683" i="20"/>
  <c r="R1703" i="20"/>
  <c r="R1704" i="20"/>
  <c r="R1705" i="20"/>
  <c r="R1706" i="20"/>
  <c r="R1674" i="20"/>
  <c r="R1707" i="20"/>
  <c r="R1684" i="20"/>
  <c r="R1685" i="20"/>
  <c r="R1675" i="20"/>
  <c r="R1686" i="20"/>
  <c r="R1708" i="20"/>
  <c r="R1709" i="20"/>
  <c r="R1734" i="20"/>
  <c r="R1710" i="20"/>
  <c r="R1711" i="20"/>
  <c r="R1712" i="20"/>
  <c r="R1735" i="20"/>
  <c r="R1736" i="20"/>
  <c r="R1737" i="20"/>
  <c r="R1713" i="20"/>
  <c r="R1738" i="20"/>
  <c r="R1714" i="20"/>
  <c r="R1739" i="20"/>
  <c r="R1740" i="20"/>
  <c r="R1741" i="20"/>
  <c r="R1742" i="20"/>
  <c r="R1715" i="20"/>
  <c r="R1743" i="20"/>
  <c r="R1744" i="20"/>
  <c r="R1745" i="20"/>
  <c r="R1716" i="20"/>
  <c r="R1746" i="20"/>
  <c r="R1747" i="20"/>
  <c r="R1717" i="20"/>
  <c r="R1718" i="20"/>
  <c r="R1719" i="20"/>
  <c r="R1720" i="20"/>
  <c r="R1748" i="20"/>
  <c r="R1721" i="20"/>
  <c r="R1722" i="20"/>
  <c r="R1749" i="20"/>
  <c r="R1723" i="20"/>
  <c r="R1724" i="20"/>
  <c r="R1725" i="20"/>
  <c r="R1750" i="20"/>
  <c r="R1751" i="20"/>
  <c r="R1752" i="20"/>
  <c r="R1726" i="20"/>
  <c r="R1727" i="20"/>
  <c r="R1753" i="20"/>
  <c r="R1754" i="20"/>
  <c r="R1755" i="20"/>
  <c r="R1756" i="20"/>
  <c r="R1728" i="20"/>
  <c r="U1430" i="11"/>
  <c r="U1555" i="11"/>
  <c r="T1430" i="11"/>
  <c r="T1555" i="11"/>
  <c r="T3104" i="11"/>
  <c r="T3105" i="11"/>
  <c r="T61" i="17"/>
  <c r="V61" i="17"/>
  <c r="V3" i="17"/>
  <c r="V4" i="17"/>
  <c r="V7" i="17"/>
  <c r="V8" i="17"/>
  <c r="V5" i="17"/>
  <c r="V6" i="17"/>
  <c r="V9" i="17"/>
  <c r="V10" i="17"/>
  <c r="V12" i="17"/>
  <c r="V14" i="17"/>
  <c r="V15" i="17"/>
  <c r="V16" i="17"/>
  <c r="V17" i="17"/>
  <c r="V13" i="17"/>
  <c r="V20" i="17"/>
  <c r="V21" i="17"/>
  <c r="V22" i="17"/>
  <c r="V18" i="17"/>
  <c r="V19" i="17"/>
  <c r="V24" i="17"/>
  <c r="V27" i="17"/>
  <c r="V25" i="17"/>
  <c r="V26" i="17"/>
  <c r="V34" i="17"/>
  <c r="V31" i="17"/>
  <c r="V32" i="17"/>
  <c r="V30" i="17"/>
  <c r="V33" i="17"/>
  <c r="V29" i="17"/>
  <c r="V28" i="17"/>
  <c r="V41" i="17"/>
  <c r="V35" i="17"/>
  <c r="V40" i="17"/>
  <c r="V38" i="17"/>
  <c r="V36" i="17"/>
  <c r="V37" i="17"/>
  <c r="V39" i="17"/>
  <c r="V43" i="17"/>
  <c r="V44" i="17"/>
  <c r="V42" i="17"/>
  <c r="V45" i="17"/>
  <c r="V46" i="17"/>
  <c r="V50" i="17"/>
  <c r="V51" i="17"/>
  <c r="V52" i="17"/>
  <c r="V47" i="17"/>
  <c r="V48" i="17"/>
  <c r="V49" i="17"/>
  <c r="V54" i="17"/>
  <c r="V55" i="17"/>
  <c r="V53" i="17"/>
  <c r="V59" i="17"/>
  <c r="V56" i="17"/>
  <c r="V62" i="17"/>
  <c r="V57" i="17"/>
  <c r="V58" i="17"/>
  <c r="V63" i="17"/>
  <c r="V60" i="17"/>
  <c r="V67" i="17"/>
  <c r="V66" i="17"/>
  <c r="V64" i="17"/>
  <c r="V65" i="17"/>
  <c r="V73" i="17"/>
  <c r="V72" i="17"/>
  <c r="V69" i="17"/>
  <c r="V70" i="17"/>
  <c r="V71" i="17"/>
  <c r="V68" i="17"/>
  <c r="V74" i="17"/>
  <c r="V76" i="17"/>
  <c r="V75" i="17"/>
  <c r="V77" i="17"/>
  <c r="V78" i="17"/>
  <c r="V79" i="17"/>
  <c r="V82" i="17"/>
  <c r="V80" i="17"/>
  <c r="V81" i="17"/>
  <c r="V83" i="17"/>
  <c r="V84" i="17"/>
  <c r="V85" i="17"/>
  <c r="V86" i="17"/>
  <c r="V105" i="17"/>
  <c r="V96" i="17"/>
  <c r="V98" i="17"/>
  <c r="V94" i="17"/>
  <c r="V95" i="17"/>
  <c r="V91" i="17"/>
  <c r="V93" i="17"/>
  <c r="V92" i="17"/>
  <c r="V90" i="17"/>
  <c r="V87" i="17"/>
  <c r="V88" i="17"/>
  <c r="V106" i="17"/>
  <c r="V103" i="17"/>
  <c r="V99" i="17"/>
  <c r="V104" i="17"/>
  <c r="V97" i="17"/>
  <c r="V89" i="17"/>
  <c r="V100" i="17"/>
  <c r="V101" i="17"/>
  <c r="V108" i="17"/>
  <c r="V109" i="17"/>
  <c r="V102" i="17"/>
  <c r="V110" i="17"/>
  <c r="V111" i="17"/>
  <c r="V112" i="17"/>
  <c r="V117" i="17"/>
  <c r="V113" i="17"/>
  <c r="V114" i="17"/>
  <c r="V115" i="17"/>
  <c r="V116" i="17"/>
  <c r="V118" i="17"/>
  <c r="V119" i="17"/>
  <c r="V120" i="17"/>
  <c r="V123" i="17"/>
  <c r="V124" i="17"/>
  <c r="V122" i="17"/>
  <c r="V127" i="17"/>
  <c r="V129" i="17"/>
  <c r="V125" i="17"/>
  <c r="V132" i="17"/>
  <c r="V130" i="17"/>
  <c r="V126" i="17"/>
  <c r="V133" i="17"/>
  <c r="V136" i="17"/>
  <c r="V137" i="17"/>
  <c r="V138" i="17"/>
  <c r="V139" i="17"/>
  <c r="V141" i="17"/>
  <c r="V142" i="17"/>
  <c r="V140" i="17"/>
  <c r="V143" i="17"/>
  <c r="V144" i="17"/>
  <c r="T3" i="17"/>
  <c r="T4" i="17"/>
  <c r="T7" i="17"/>
  <c r="T8" i="17"/>
  <c r="T6" i="17"/>
  <c r="T9" i="17"/>
  <c r="T20" i="17"/>
  <c r="T22" i="17"/>
  <c r="T23" i="17"/>
  <c r="T18" i="17"/>
  <c r="T19" i="17"/>
  <c r="T24" i="17"/>
  <c r="T27" i="17"/>
  <c r="T25" i="17"/>
  <c r="T26" i="17"/>
  <c r="T34" i="17"/>
  <c r="T32" i="17"/>
  <c r="T30" i="17"/>
  <c r="T33" i="17"/>
  <c r="T29" i="17"/>
  <c r="T28" i="17"/>
  <c r="T41" i="17"/>
  <c r="T35" i="17"/>
  <c r="T40" i="17"/>
  <c r="T38" i="17"/>
  <c r="T36" i="17"/>
  <c r="T37" i="17"/>
  <c r="T39" i="17"/>
  <c r="T43" i="17"/>
  <c r="T44" i="17"/>
  <c r="T45" i="17"/>
  <c r="T46" i="17"/>
  <c r="T50" i="17"/>
  <c r="T51" i="17"/>
  <c r="T52" i="17"/>
  <c r="T47" i="17"/>
  <c r="T48" i="17"/>
  <c r="T49" i="17"/>
  <c r="T54" i="17"/>
  <c r="T55" i="17"/>
  <c r="T53" i="17"/>
  <c r="T59" i="17"/>
  <c r="T56" i="17"/>
  <c r="T62" i="17"/>
  <c r="T57" i="17"/>
  <c r="T58" i="17"/>
  <c r="T67" i="17"/>
  <c r="T66" i="17"/>
  <c r="T64" i="17"/>
  <c r="T65" i="17"/>
  <c r="T73" i="17"/>
  <c r="T72" i="17"/>
  <c r="T69" i="17"/>
  <c r="T70" i="17"/>
  <c r="T71" i="17"/>
  <c r="T68" i="17"/>
  <c r="T74" i="17"/>
  <c r="T76" i="17"/>
  <c r="T75" i="17"/>
  <c r="T77" i="17"/>
  <c r="T78" i="17"/>
  <c r="T79" i="17"/>
  <c r="T82" i="17"/>
  <c r="T80" i="17"/>
  <c r="T81" i="17"/>
  <c r="T83" i="17"/>
  <c r="T84" i="17"/>
  <c r="T85" i="17"/>
  <c r="T86" i="17"/>
  <c r="T105" i="17"/>
  <c r="T96" i="17"/>
  <c r="T98" i="17"/>
  <c r="T94" i="17"/>
  <c r="T95" i="17"/>
  <c r="T91" i="17"/>
  <c r="T93" i="17"/>
  <c r="T92" i="17"/>
  <c r="T90" i="17"/>
  <c r="T87" i="17"/>
  <c r="T88" i="17"/>
  <c r="T106" i="17"/>
  <c r="T103" i="17"/>
  <c r="T99" i="17"/>
  <c r="T104" i="17"/>
  <c r="T97" i="17"/>
  <c r="T89" i="17"/>
  <c r="T100" i="17"/>
  <c r="T101" i="17"/>
  <c r="T108" i="17"/>
  <c r="T109" i="17"/>
  <c r="T107" i="17"/>
  <c r="T102" i="17"/>
  <c r="T110" i="17"/>
  <c r="T111" i="17"/>
  <c r="T112" i="17"/>
  <c r="T117" i="17"/>
  <c r="T113" i="17"/>
  <c r="T114" i="17"/>
  <c r="T115" i="17"/>
  <c r="T116" i="17"/>
  <c r="T118" i="17"/>
  <c r="T119" i="17"/>
  <c r="T120" i="17"/>
  <c r="T123" i="17"/>
  <c r="T124" i="17"/>
  <c r="T122" i="17"/>
  <c r="T127" i="17"/>
  <c r="T129" i="17"/>
  <c r="T125" i="17"/>
  <c r="T132" i="17"/>
  <c r="T130" i="17"/>
  <c r="T126" i="17"/>
  <c r="T131" i="17"/>
  <c r="T133" i="17"/>
  <c r="T134" i="17"/>
  <c r="T135" i="17"/>
  <c r="T136" i="17"/>
  <c r="T137" i="17"/>
  <c r="T138" i="17"/>
  <c r="T139" i="17"/>
  <c r="T141" i="17"/>
  <c r="T142" i="17"/>
  <c r="T140" i="17"/>
  <c r="T143" i="17"/>
  <c r="T144" i="17"/>
  <c r="S3" i="17"/>
  <c r="S4" i="17"/>
  <c r="S7" i="17"/>
  <c r="S8" i="17"/>
  <c r="S5" i="17"/>
  <c r="S6" i="17"/>
  <c r="S9" i="17"/>
  <c r="S10" i="17"/>
  <c r="S11" i="17"/>
  <c r="S12" i="17"/>
  <c r="S14" i="17"/>
  <c r="S15" i="17"/>
  <c r="S16" i="17"/>
  <c r="S17" i="17"/>
  <c r="S13" i="17"/>
  <c r="S20" i="17"/>
  <c r="S21" i="17"/>
  <c r="S22" i="17"/>
  <c r="S18" i="17"/>
  <c r="S19" i="17"/>
  <c r="S24" i="17"/>
  <c r="S27" i="17"/>
  <c r="S25" i="17"/>
  <c r="S26" i="17"/>
  <c r="S34" i="17"/>
  <c r="S32" i="17"/>
  <c r="S30" i="17"/>
  <c r="S33" i="17"/>
  <c r="S29" i="17"/>
  <c r="S28" i="17"/>
  <c r="S41" i="17"/>
  <c r="S35" i="17"/>
  <c r="S40" i="17"/>
  <c r="S38" i="17"/>
  <c r="S36" i="17"/>
  <c r="S37" i="17"/>
  <c r="S39" i="17"/>
  <c r="S43" i="17"/>
  <c r="S44" i="17"/>
  <c r="S45" i="17"/>
  <c r="S50" i="17"/>
  <c r="S51" i="17"/>
  <c r="S52" i="17"/>
  <c r="S47" i="17"/>
  <c r="S48" i="17"/>
  <c r="S49" i="17"/>
  <c r="S54" i="17"/>
  <c r="S55" i="17"/>
  <c r="S53" i="17"/>
  <c r="S59" i="17"/>
  <c r="S56" i="17"/>
  <c r="S61" i="17"/>
  <c r="S62" i="17"/>
  <c r="S57" i="17"/>
  <c r="S60" i="17"/>
  <c r="S67" i="17"/>
  <c r="S66" i="17"/>
  <c r="S64" i="17"/>
  <c r="S65" i="17"/>
  <c r="S73" i="17"/>
  <c r="S72" i="17"/>
  <c r="S69" i="17"/>
  <c r="S70" i="17"/>
  <c r="S71" i="17"/>
  <c r="S68" i="17"/>
  <c r="S74" i="17"/>
  <c r="S76" i="17"/>
  <c r="S75" i="17"/>
  <c r="S77" i="17"/>
  <c r="S78" i="17"/>
  <c r="S79" i="17"/>
  <c r="S82" i="17"/>
  <c r="S80" i="17"/>
  <c r="S81" i="17"/>
  <c r="S83" i="17"/>
  <c r="S84" i="17"/>
  <c r="S85" i="17"/>
  <c r="S86" i="17"/>
  <c r="S105" i="17"/>
  <c r="S96" i="17"/>
  <c r="S98" i="17"/>
  <c r="S94" i="17"/>
  <c r="S95" i="17"/>
  <c r="S91" i="17"/>
  <c r="S93" i="17"/>
  <c r="S92" i="17"/>
  <c r="S90" i="17"/>
  <c r="S87" i="17"/>
  <c r="S88" i="17"/>
  <c r="S106" i="17"/>
  <c r="S103" i="17"/>
  <c r="S99" i="17"/>
  <c r="S104" i="17"/>
  <c r="S97" i="17"/>
  <c r="S89" i="17"/>
  <c r="S100" i="17"/>
  <c r="S101" i="17"/>
  <c r="S108" i="17"/>
  <c r="S109" i="17"/>
  <c r="S107" i="17"/>
  <c r="S102" i="17"/>
  <c r="S110" i="17"/>
  <c r="S111" i="17"/>
  <c r="S112" i="17"/>
  <c r="S117" i="17"/>
  <c r="S113" i="17"/>
  <c r="S114" i="17"/>
  <c r="S115" i="17"/>
  <c r="S116" i="17"/>
  <c r="S118" i="17"/>
  <c r="S119" i="17"/>
  <c r="S120" i="17"/>
  <c r="S123" i="17"/>
  <c r="S124" i="17"/>
  <c r="S122" i="17"/>
  <c r="S127" i="17"/>
  <c r="S129" i="17"/>
  <c r="S125" i="17"/>
  <c r="S132" i="17"/>
  <c r="S130" i="17"/>
  <c r="S126" i="17"/>
  <c r="S131" i="17"/>
  <c r="S133" i="17"/>
  <c r="S134" i="17"/>
  <c r="S135" i="17"/>
  <c r="S136" i="17"/>
  <c r="S137" i="17"/>
  <c r="S138" i="17"/>
  <c r="S139" i="17"/>
  <c r="S141" i="17"/>
  <c r="S142" i="17"/>
  <c r="S140" i="17"/>
  <c r="S143" i="17"/>
  <c r="S144" i="17"/>
  <c r="V2" i="17"/>
  <c r="V4" i="7"/>
  <c r="V55" i="7"/>
  <c r="V7" i="7"/>
  <c r="V8" i="7"/>
  <c r="V5" i="7"/>
  <c r="V6" i="7"/>
  <c r="V9" i="7"/>
  <c r="V12" i="7"/>
  <c r="V11" i="7"/>
  <c r="V131" i="7"/>
  <c r="V14" i="7"/>
  <c r="V15" i="7"/>
  <c r="V16" i="7"/>
  <c r="V17" i="7"/>
  <c r="V13" i="7"/>
  <c r="V20" i="7"/>
  <c r="V21" i="7"/>
  <c r="V22" i="7"/>
  <c r="V23" i="7"/>
  <c r="V18" i="7"/>
  <c r="V19" i="7"/>
  <c r="V24" i="7"/>
  <c r="V27" i="7"/>
  <c r="V25" i="7"/>
  <c r="V26" i="7"/>
  <c r="V34" i="7"/>
  <c r="V30" i="7"/>
  <c r="V32" i="7"/>
  <c r="V31" i="7"/>
  <c r="V33" i="7"/>
  <c r="V29" i="7"/>
  <c r="V28" i="7"/>
  <c r="V41" i="7"/>
  <c r="V35" i="7"/>
  <c r="V40" i="7"/>
  <c r="V38" i="7"/>
  <c r="V36" i="7"/>
  <c r="V37" i="7"/>
  <c r="V39" i="7"/>
  <c r="V43" i="7"/>
  <c r="V44" i="7"/>
  <c r="V42" i="7"/>
  <c r="V45" i="7"/>
  <c r="V46" i="7"/>
  <c r="V50" i="7"/>
  <c r="V51" i="7"/>
  <c r="V52" i="7"/>
  <c r="V49" i="7"/>
  <c r="V105" i="7"/>
  <c r="V106" i="7"/>
  <c r="V54" i="7"/>
  <c r="V48" i="7"/>
  <c r="V2" i="7"/>
  <c r="V59" i="7"/>
  <c r="V56" i="7"/>
  <c r="V58" i="7"/>
  <c r="V61" i="7"/>
  <c r="V62" i="7"/>
  <c r="V63" i="7"/>
  <c r="V60" i="7"/>
  <c r="V67" i="7"/>
  <c r="V64" i="7"/>
  <c r="V73" i="7"/>
  <c r="V72" i="7"/>
  <c r="V69" i="7"/>
  <c r="V70" i="7"/>
  <c r="V71" i="7"/>
  <c r="V68" i="7"/>
  <c r="V74" i="7"/>
  <c r="V76" i="7"/>
  <c r="V75" i="7"/>
  <c r="V77" i="7"/>
  <c r="V78" i="7"/>
  <c r="V79" i="7"/>
  <c r="V82" i="7"/>
  <c r="V80" i="7"/>
  <c r="V81" i="7"/>
  <c r="V83" i="7"/>
  <c r="V84" i="7"/>
  <c r="V85" i="7"/>
  <c r="V86" i="7"/>
  <c r="V10" i="7"/>
  <c r="V53" i="7"/>
  <c r="V103" i="7"/>
  <c r="V96" i="7"/>
  <c r="V98" i="7"/>
  <c r="V93" i="7"/>
  <c r="V47" i="7"/>
  <c r="V99" i="7"/>
  <c r="V94" i="7"/>
  <c r="V95" i="7"/>
  <c r="V90" i="7"/>
  <c r="V91" i="7"/>
  <c r="V92" i="7"/>
  <c r="V104" i="7"/>
  <c r="V97" i="7"/>
  <c r="V87" i="7"/>
  <c r="V100" i="7"/>
  <c r="V101" i="7"/>
  <c r="V108" i="7"/>
  <c r="V109" i="7"/>
  <c r="V107" i="7"/>
  <c r="V102" i="7"/>
  <c r="V110" i="7"/>
  <c r="V111" i="7"/>
  <c r="V112" i="7"/>
  <c r="V117" i="7"/>
  <c r="V116" i="7"/>
  <c r="V113" i="7"/>
  <c r="V114" i="7"/>
  <c r="V115" i="7"/>
  <c r="V118" i="7"/>
  <c r="V119" i="7"/>
  <c r="V120" i="7"/>
  <c r="V121" i="7"/>
  <c r="V123" i="7"/>
  <c r="V124" i="7"/>
  <c r="V122" i="7"/>
  <c r="V127" i="7"/>
  <c r="V132" i="7"/>
  <c r="V133" i="7"/>
  <c r="V130" i="7"/>
  <c r="V88" i="7"/>
  <c r="V128" i="7"/>
  <c r="V126" i="7"/>
  <c r="V125" i="7"/>
  <c r="V134" i="7"/>
  <c r="V135" i="7"/>
  <c r="V136" i="7"/>
  <c r="V137" i="7"/>
  <c r="V138" i="7"/>
  <c r="V139" i="7"/>
  <c r="V141" i="7"/>
  <c r="V142" i="7"/>
  <c r="V140" i="7"/>
  <c r="V143" i="7"/>
  <c r="V144" i="7"/>
  <c r="V89" i="7"/>
  <c r="T4" i="7"/>
  <c r="T55" i="7"/>
  <c r="T7" i="7"/>
  <c r="T8" i="7"/>
  <c r="T5" i="7"/>
  <c r="T6" i="7"/>
  <c r="T9" i="7"/>
  <c r="T12" i="7"/>
  <c r="T11" i="7"/>
  <c r="T131" i="7"/>
  <c r="T14" i="7"/>
  <c r="T15" i="7"/>
  <c r="T16" i="7"/>
  <c r="T17" i="7"/>
  <c r="T13" i="7"/>
  <c r="T20" i="7"/>
  <c r="T21" i="7"/>
  <c r="T22" i="7"/>
  <c r="T23" i="7"/>
  <c r="T18" i="7"/>
  <c r="T19" i="7"/>
  <c r="T24" i="7"/>
  <c r="T27" i="7"/>
  <c r="T25" i="7"/>
  <c r="T26" i="7"/>
  <c r="T34" i="7"/>
  <c r="T30" i="7"/>
  <c r="T32" i="7"/>
  <c r="T31" i="7"/>
  <c r="T33" i="7"/>
  <c r="T29" i="7"/>
  <c r="T28" i="7"/>
  <c r="T41" i="7"/>
  <c r="T35" i="7"/>
  <c r="T40" i="7"/>
  <c r="T38" i="7"/>
  <c r="T36" i="7"/>
  <c r="T37" i="7"/>
  <c r="T39" i="7"/>
  <c r="T43" i="7"/>
  <c r="T44" i="7"/>
  <c r="T42" i="7"/>
  <c r="T45" i="7"/>
  <c r="T46" i="7"/>
  <c r="T50" i="7"/>
  <c r="T51" i="7"/>
  <c r="T52" i="7"/>
  <c r="T49" i="7"/>
  <c r="T105" i="7"/>
  <c r="T106" i="7"/>
  <c r="T54" i="7"/>
  <c r="T48" i="7"/>
  <c r="T2" i="7"/>
  <c r="T59" i="7"/>
  <c r="T56" i="7"/>
  <c r="T58" i="7"/>
  <c r="T61" i="7"/>
  <c r="T62" i="7"/>
  <c r="T63" i="7"/>
  <c r="T60" i="7"/>
  <c r="T67" i="7"/>
  <c r="T66" i="7"/>
  <c r="T64" i="7"/>
  <c r="T65" i="7"/>
  <c r="T73" i="7"/>
  <c r="T72" i="7"/>
  <c r="T69" i="7"/>
  <c r="T70" i="7"/>
  <c r="Y15" i="23" s="1"/>
  <c r="T71" i="7"/>
  <c r="T68" i="7"/>
  <c r="T74" i="7"/>
  <c r="T76" i="7"/>
  <c r="T75" i="7"/>
  <c r="M11" i="23" s="1"/>
  <c r="T77" i="7"/>
  <c r="T78" i="7"/>
  <c r="T79" i="7"/>
  <c r="T82" i="7"/>
  <c r="T80" i="7"/>
  <c r="T81" i="7"/>
  <c r="T83" i="7"/>
  <c r="T84" i="7"/>
  <c r="T85" i="7"/>
  <c r="T86" i="7"/>
  <c r="T10" i="7"/>
  <c r="T53" i="7"/>
  <c r="T103" i="7"/>
  <c r="T96" i="7"/>
  <c r="T98" i="7"/>
  <c r="T93" i="7"/>
  <c r="T47" i="7"/>
  <c r="T99" i="7"/>
  <c r="T94" i="7"/>
  <c r="T95" i="7"/>
  <c r="T90" i="7"/>
  <c r="T91" i="7"/>
  <c r="T92" i="7"/>
  <c r="T104" i="7"/>
  <c r="T97" i="7"/>
  <c r="T87" i="7"/>
  <c r="T100" i="7"/>
  <c r="T101" i="7"/>
  <c r="T108" i="7"/>
  <c r="T109" i="7"/>
  <c r="T107" i="7"/>
  <c r="T102" i="7"/>
  <c r="T110" i="7"/>
  <c r="T111" i="7"/>
  <c r="T112" i="7"/>
  <c r="T117" i="7"/>
  <c r="T116" i="7"/>
  <c r="T113" i="7"/>
  <c r="T114" i="7"/>
  <c r="T115" i="7"/>
  <c r="T118" i="7"/>
  <c r="T119" i="7"/>
  <c r="T120" i="7"/>
  <c r="T121" i="7"/>
  <c r="T123" i="7"/>
  <c r="T124" i="7"/>
  <c r="T122" i="7"/>
  <c r="T129" i="7"/>
  <c r="T127" i="7"/>
  <c r="T132" i="7"/>
  <c r="T133" i="7"/>
  <c r="T130" i="7"/>
  <c r="T88" i="7"/>
  <c r="T128" i="7"/>
  <c r="T126" i="7"/>
  <c r="T125" i="7"/>
  <c r="T134" i="7"/>
  <c r="T135" i="7"/>
  <c r="T136" i="7"/>
  <c r="T137" i="7"/>
  <c r="T138" i="7"/>
  <c r="T139" i="7"/>
  <c r="T141" i="7"/>
  <c r="T142" i="7"/>
  <c r="T140" i="7"/>
  <c r="T143" i="7"/>
  <c r="T144" i="7"/>
  <c r="T89" i="7"/>
  <c r="S4" i="7"/>
  <c r="S55" i="7"/>
  <c r="S7" i="7"/>
  <c r="S8" i="7"/>
  <c r="S5" i="7"/>
  <c r="S6" i="7"/>
  <c r="S9" i="7"/>
  <c r="S12" i="7"/>
  <c r="S11" i="7"/>
  <c r="S131" i="7"/>
  <c r="S14" i="7"/>
  <c r="S15" i="7"/>
  <c r="S16" i="7"/>
  <c r="S17" i="7"/>
  <c r="S13" i="7"/>
  <c r="S20" i="7"/>
  <c r="S21" i="7"/>
  <c r="S22" i="7"/>
  <c r="S23" i="7"/>
  <c r="S18" i="7"/>
  <c r="S19" i="7"/>
  <c r="S24" i="7"/>
  <c r="S27" i="7"/>
  <c r="S25" i="7"/>
  <c r="S26" i="7"/>
  <c r="S34" i="7"/>
  <c r="S30" i="7"/>
  <c r="S32" i="7"/>
  <c r="S31" i="7"/>
  <c r="S33" i="7"/>
  <c r="S29" i="7"/>
  <c r="S28" i="7"/>
  <c r="S41" i="7"/>
  <c r="S35" i="7"/>
  <c r="S40" i="7"/>
  <c r="S38" i="7"/>
  <c r="S36" i="7"/>
  <c r="S37" i="7"/>
  <c r="S39" i="7"/>
  <c r="S43" i="7"/>
  <c r="S44" i="7"/>
  <c r="S42" i="7"/>
  <c r="S45" i="7"/>
  <c r="S46" i="7"/>
  <c r="S50" i="7"/>
  <c r="S51" i="7"/>
  <c r="S52" i="7"/>
  <c r="S49" i="7"/>
  <c r="S105" i="7"/>
  <c r="S106" i="7"/>
  <c r="S54" i="7"/>
  <c r="S48" i="7"/>
  <c r="S2" i="7"/>
  <c r="S59" i="7"/>
  <c r="S56" i="7"/>
  <c r="S58" i="7"/>
  <c r="S61" i="7"/>
  <c r="S62" i="7"/>
  <c r="S63" i="7"/>
  <c r="S60" i="7"/>
  <c r="S67" i="7"/>
  <c r="S64" i="7"/>
  <c r="S65" i="7"/>
  <c r="S73" i="7"/>
  <c r="S72" i="7"/>
  <c r="S69" i="7"/>
  <c r="S70" i="7"/>
  <c r="S71" i="7"/>
  <c r="S68" i="7"/>
  <c r="S74" i="7"/>
  <c r="S76" i="7"/>
  <c r="S75" i="7"/>
  <c r="S77" i="7"/>
  <c r="S78" i="7"/>
  <c r="S79" i="7"/>
  <c r="S82" i="7"/>
  <c r="S80" i="7"/>
  <c r="S81" i="7"/>
  <c r="S83" i="7"/>
  <c r="S84" i="7"/>
  <c r="S85" i="7"/>
  <c r="S86" i="7"/>
  <c r="S10" i="7"/>
  <c r="M35" i="23" s="1"/>
  <c r="S53" i="7"/>
  <c r="S103" i="7"/>
  <c r="S96" i="7"/>
  <c r="S98" i="7"/>
  <c r="S93" i="7"/>
  <c r="S47" i="7"/>
  <c r="S99" i="7"/>
  <c r="S94" i="7"/>
  <c r="S95" i="7"/>
  <c r="S90" i="7"/>
  <c r="M20" i="23" s="1"/>
  <c r="S91" i="7"/>
  <c r="S92" i="7"/>
  <c r="S104" i="7"/>
  <c r="S97" i="7"/>
  <c r="S87" i="7"/>
  <c r="S100" i="7"/>
  <c r="S101" i="7"/>
  <c r="S108" i="7"/>
  <c r="S109" i="7"/>
  <c r="S107" i="7"/>
  <c r="S102" i="7"/>
  <c r="S110" i="7"/>
  <c r="S111" i="7"/>
  <c r="S112" i="7"/>
  <c r="S117" i="7"/>
  <c r="S116" i="7"/>
  <c r="S113" i="7"/>
  <c r="S114" i="7"/>
  <c r="S115" i="7"/>
  <c r="S118" i="7"/>
  <c r="S119" i="7"/>
  <c r="S120" i="7"/>
  <c r="S121" i="7"/>
  <c r="S123" i="7"/>
  <c r="S124" i="7"/>
  <c r="S122" i="7"/>
  <c r="S129" i="7"/>
  <c r="S127" i="7"/>
  <c r="S132" i="7"/>
  <c r="S133" i="7"/>
  <c r="S130" i="7"/>
  <c r="S88" i="7"/>
  <c r="S128" i="7"/>
  <c r="S126" i="7"/>
  <c r="S125" i="7"/>
  <c r="S134" i="7"/>
  <c r="S135" i="7"/>
  <c r="S136" i="7"/>
  <c r="S137" i="7"/>
  <c r="S138" i="7"/>
  <c r="S139" i="7"/>
  <c r="S141" i="7"/>
  <c r="S142" i="7"/>
  <c r="S140" i="7"/>
  <c r="S143" i="7"/>
  <c r="S144" i="7"/>
  <c r="S89" i="7"/>
  <c r="V3" i="7"/>
  <c r="T3" i="7"/>
  <c r="S3" i="7"/>
  <c r="V2" i="8"/>
  <c r="T2" i="8"/>
  <c r="Q15" i="23"/>
  <c r="S2" i="8"/>
  <c r="Q31" i="23" s="1"/>
  <c r="AC22" i="16"/>
  <c r="AC3" i="16"/>
  <c r="AC4" i="16"/>
  <c r="AC5" i="16"/>
  <c r="AC6" i="16"/>
  <c r="AC8" i="16"/>
  <c r="AC9" i="16"/>
  <c r="AC10" i="16"/>
  <c r="AC11" i="16"/>
  <c r="AC12" i="16"/>
  <c r="AC13" i="16"/>
  <c r="AC14" i="16"/>
  <c r="AC15" i="16"/>
  <c r="AC16" i="16"/>
  <c r="AC18" i="16"/>
  <c r="AC19" i="16"/>
  <c r="AC20" i="16"/>
  <c r="AC21" i="16"/>
  <c r="AA3" i="16"/>
  <c r="AA4" i="16"/>
  <c r="AA5" i="16"/>
  <c r="AA6" i="16"/>
  <c r="AA8" i="16"/>
  <c r="AA9" i="16"/>
  <c r="AA10" i="16"/>
  <c r="AA11" i="16"/>
  <c r="AA12" i="16"/>
  <c r="AA13" i="16"/>
  <c r="AA14" i="16"/>
  <c r="AA15" i="16"/>
  <c r="AA16" i="16"/>
  <c r="AA17" i="16"/>
  <c r="AA18" i="16"/>
  <c r="AA19" i="16"/>
  <c r="AA20" i="16"/>
  <c r="AA21" i="16"/>
  <c r="AA22" i="16"/>
  <c r="Z3" i="16"/>
  <c r="Z4" i="16"/>
  <c r="Z5" i="16"/>
  <c r="Z6" i="16"/>
  <c r="Z11" i="16"/>
  <c r="Z12" i="16"/>
  <c r="Z13" i="16"/>
  <c r="Z14" i="16"/>
  <c r="Z15" i="16"/>
  <c r="Z16" i="16"/>
  <c r="Z17" i="16"/>
  <c r="Z18" i="16"/>
  <c r="Z19" i="16"/>
  <c r="Z20" i="16"/>
  <c r="Z21" i="16"/>
  <c r="Z22" i="16"/>
  <c r="AC2" i="16"/>
  <c r="AB3" i="12"/>
  <c r="AB4" i="12"/>
  <c r="AB5" i="12"/>
  <c r="AB6" i="12"/>
  <c r="AB7" i="12"/>
  <c r="AB8" i="12"/>
  <c r="AB9" i="12"/>
  <c r="AB10" i="12"/>
  <c r="AB11" i="12"/>
  <c r="AB12" i="12"/>
  <c r="AB13" i="12"/>
  <c r="AB14" i="12"/>
  <c r="AB15" i="12"/>
  <c r="AB16" i="12"/>
  <c r="AB17" i="12"/>
  <c r="AB18" i="12"/>
  <c r="AB19" i="12"/>
  <c r="AB20" i="12"/>
  <c r="AB21" i="12"/>
  <c r="AB22" i="12"/>
  <c r="G10" i="23"/>
  <c r="Z3" i="12"/>
  <c r="Z4" i="12"/>
  <c r="Z5" i="12"/>
  <c r="Z6" i="12"/>
  <c r="Z7" i="12"/>
  <c r="Z8" i="12"/>
  <c r="Z9" i="12"/>
  <c r="Z10" i="12"/>
  <c r="Z11" i="12"/>
  <c r="Z12" i="12"/>
  <c r="Z13" i="12"/>
  <c r="Z14" i="12"/>
  <c r="Z15" i="12"/>
  <c r="Z16" i="12"/>
  <c r="Z17" i="12"/>
  <c r="Z18" i="12"/>
  <c r="Z19" i="12"/>
  <c r="Z20" i="12"/>
  <c r="Z21" i="12"/>
  <c r="Z22" i="12"/>
  <c r="Y3" i="12"/>
  <c r="Y4" i="12"/>
  <c r="Y5" i="12"/>
  <c r="Y6" i="12"/>
  <c r="Y7" i="12"/>
  <c r="Y8" i="12"/>
  <c r="G26" i="23"/>
  <c r="Y9" i="12"/>
  <c r="Y10" i="12"/>
  <c r="G17" i="23"/>
  <c r="Y11" i="12"/>
  <c r="Y12" i="12"/>
  <c r="Y13" i="12"/>
  <c r="Y14" i="12"/>
  <c r="Y15" i="12"/>
  <c r="Y16" i="12"/>
  <c r="Y17" i="12"/>
  <c r="Y18" i="12"/>
  <c r="Y19" i="12"/>
  <c r="Y20" i="12"/>
  <c r="Y21" i="12"/>
  <c r="Y22" i="12"/>
  <c r="G30" i="23"/>
  <c r="AB2" i="12"/>
  <c r="O37" i="23"/>
  <c r="Y30" i="1"/>
  <c r="Z187" i="2"/>
  <c r="Z188" i="2"/>
  <c r="Z189" i="2"/>
  <c r="Z190" i="2"/>
  <c r="Z191" i="2"/>
  <c r="Z192" i="2"/>
  <c r="Z194" i="2"/>
  <c r="Z195" i="2"/>
  <c r="Y187" i="2"/>
  <c r="Y188" i="2"/>
  <c r="Y189" i="2"/>
  <c r="Y190" i="2"/>
  <c r="Y191" i="2"/>
  <c r="Y192" i="2"/>
  <c r="Y193" i="2"/>
  <c r="Y194" i="2"/>
  <c r="Y195" i="2"/>
  <c r="X187" i="2"/>
  <c r="X188" i="2"/>
  <c r="X189" i="2"/>
  <c r="X190" i="2"/>
  <c r="X191" i="2"/>
  <c r="X192" i="2"/>
  <c r="X193" i="2"/>
  <c r="X194" i="2"/>
  <c r="X195" i="2"/>
  <c r="W187" i="2"/>
  <c r="W188" i="2"/>
  <c r="W189" i="2"/>
  <c r="W190" i="2"/>
  <c r="W191" i="2"/>
  <c r="W192" i="2"/>
  <c r="W193" i="2"/>
  <c r="W194" i="2"/>
  <c r="W195" i="2"/>
  <c r="W8" i="23"/>
  <c r="V9" i="23"/>
  <c r="V8" i="23"/>
  <c r="S14" i="23"/>
  <c r="R8" i="23"/>
  <c r="H4" i="23"/>
  <c r="H6" i="23"/>
  <c r="H7" i="23"/>
  <c r="H10" i="23"/>
  <c r="H15" i="23"/>
  <c r="I30" i="23"/>
  <c r="G41" i="24"/>
  <c r="F41" i="24"/>
  <c r="E41" i="24"/>
  <c r="H30" i="24"/>
  <c r="G35" i="24"/>
  <c r="F35" i="24"/>
  <c r="E35" i="24"/>
  <c r="D35" i="24"/>
  <c r="C35" i="24"/>
  <c r="G34" i="24"/>
  <c r="F34" i="24"/>
  <c r="H34" i="24" s="1"/>
  <c r="E34" i="24"/>
  <c r="D34" i="24"/>
  <c r="C34" i="24"/>
  <c r="G33" i="24"/>
  <c r="F33" i="24"/>
  <c r="E33" i="24"/>
  <c r="D33" i="24"/>
  <c r="C33" i="24"/>
  <c r="G32" i="24"/>
  <c r="F32" i="24"/>
  <c r="E32" i="24"/>
  <c r="D32" i="24"/>
  <c r="D36" i="24" s="1"/>
  <c r="C32" i="24"/>
  <c r="G31" i="24"/>
  <c r="F31" i="24"/>
  <c r="E31" i="24"/>
  <c r="D31" i="24"/>
  <c r="C31" i="24"/>
  <c r="G29" i="24"/>
  <c r="F29" i="24"/>
  <c r="E29" i="24"/>
  <c r="D29" i="24"/>
  <c r="C29" i="24"/>
  <c r="A28" i="24" a="1"/>
  <c r="A28" i="24" s="1"/>
  <c r="G11" i="24"/>
  <c r="F11" i="24"/>
  <c r="E11" i="24"/>
  <c r="D11" i="24"/>
  <c r="C11" i="24"/>
  <c r="B11" i="24"/>
  <c r="G9" i="24"/>
  <c r="F9" i="24"/>
  <c r="E9" i="24"/>
  <c r="D9" i="24"/>
  <c r="C9" i="24"/>
  <c r="B9" i="24"/>
  <c r="G8" i="24"/>
  <c r="F8" i="24"/>
  <c r="E8" i="24"/>
  <c r="D8" i="24"/>
  <c r="C8" i="24"/>
  <c r="G7" i="24"/>
  <c r="F7" i="24"/>
  <c r="E7" i="24"/>
  <c r="D7" i="24"/>
  <c r="C7" i="24"/>
  <c r="B7" i="24"/>
  <c r="H7" i="24" s="1"/>
  <c r="B5" i="24"/>
  <c r="H5" i="24" s="1"/>
  <c r="G5" i="24"/>
  <c r="E5" i="24"/>
  <c r="D5" i="24"/>
  <c r="C5" i="24"/>
  <c r="F5" i="24"/>
  <c r="G4" i="24"/>
  <c r="F4" i="24"/>
  <c r="E4" i="24"/>
  <c r="D4" i="24"/>
  <c r="C4" i="24"/>
  <c r="B4" i="24"/>
  <c r="H4" i="24" s="1"/>
  <c r="H9" i="23"/>
  <c r="H11" i="23"/>
  <c r="H8" i="23"/>
  <c r="H14" i="23"/>
  <c r="H37" i="23"/>
  <c r="H36" i="23"/>
  <c r="H35" i="23"/>
  <c r="H34" i="23"/>
  <c r="H33" i="23"/>
  <c r="H32" i="23"/>
  <c r="H31" i="23"/>
  <c r="H30" i="23"/>
  <c r="H28" i="23"/>
  <c r="H24" i="23"/>
  <c r="H22" i="23"/>
  <c r="H20" i="23"/>
  <c r="H19" i="23"/>
  <c r="H18" i="23"/>
  <c r="H17" i="23"/>
  <c r="P14" i="23"/>
  <c r="P11" i="23"/>
  <c r="P10" i="23"/>
  <c r="P8" i="23"/>
  <c r="P6" i="23"/>
  <c r="P5" i="23"/>
  <c r="P4" i="23"/>
  <c r="N33" i="23"/>
  <c r="N15" i="23"/>
  <c r="N9" i="23"/>
  <c r="N7" i="23"/>
  <c r="N6" i="23"/>
  <c r="N5" i="23"/>
  <c r="L26" i="23"/>
  <c r="L11" i="23"/>
  <c r="L10" i="23"/>
  <c r="L6" i="23"/>
  <c r="G11" i="23"/>
  <c r="G16" i="23"/>
  <c r="F7" i="23"/>
  <c r="G9" i="23"/>
  <c r="G8" i="23"/>
  <c r="G7" i="23"/>
  <c r="G6" i="23"/>
  <c r="G5" i="23"/>
  <c r="F11" i="23"/>
  <c r="F10" i="23"/>
  <c r="F6" i="23"/>
  <c r="F8" i="23"/>
  <c r="F9" i="23"/>
  <c r="F4" i="23"/>
  <c r="G37" i="23"/>
  <c r="G35" i="23"/>
  <c r="G33" i="23"/>
  <c r="G32" i="23"/>
  <c r="G29" i="23"/>
  <c r="G28" i="23"/>
  <c r="G24" i="23"/>
  <c r="F19" i="23"/>
  <c r="G19" i="23"/>
  <c r="F17" i="23"/>
  <c r="R9" i="23"/>
  <c r="R14" i="23"/>
  <c r="C31" i="23"/>
  <c r="B11" i="23"/>
  <c r="C9" i="23"/>
  <c r="P15" i="23"/>
  <c r="P35" i="23"/>
  <c r="P34" i="23"/>
  <c r="P31" i="23"/>
  <c r="P30" i="23"/>
  <c r="P29" i="23"/>
  <c r="P24" i="23"/>
  <c r="P20" i="23"/>
  <c r="P18" i="23"/>
  <c r="P17" i="23"/>
  <c r="P16" i="23"/>
  <c r="N30" i="23"/>
  <c r="N3" i="23" s="1"/>
  <c r="N31" i="23"/>
  <c r="N37" i="23"/>
  <c r="N17" i="23"/>
  <c r="L35" i="23"/>
  <c r="L34" i="23"/>
  <c r="L25" i="23"/>
  <c r="L22" i="23"/>
  <c r="L20" i="23"/>
  <c r="L18" i="23"/>
  <c r="L17" i="23"/>
  <c r="K31" i="23"/>
  <c r="J7" i="23"/>
  <c r="J31" i="23"/>
  <c r="J28" i="23"/>
  <c r="J19" i="23"/>
  <c r="F37" i="23"/>
  <c r="F35" i="23"/>
  <c r="F33" i="23"/>
  <c r="F32" i="23"/>
  <c r="F30" i="23"/>
  <c r="F29" i="23"/>
  <c r="B25" i="23"/>
  <c r="B17" i="23"/>
  <c r="B10" i="23"/>
  <c r="B9" i="23"/>
  <c r="B8" i="23"/>
  <c r="B7" i="23"/>
  <c r="B6" i="23"/>
  <c r="B5" i="23"/>
  <c r="B35" i="23"/>
  <c r="B14" i="23"/>
  <c r="B15" i="23"/>
  <c r="B21" i="23"/>
  <c r="B37" i="23"/>
  <c r="B36" i="23"/>
  <c r="B34" i="23"/>
  <c r="B33" i="23"/>
  <c r="B32" i="23"/>
  <c r="B31" i="23"/>
  <c r="B30" i="23"/>
  <c r="B29" i="23"/>
  <c r="B28" i="23"/>
  <c r="B27" i="23"/>
  <c r="B26" i="23"/>
  <c r="B24" i="23"/>
  <c r="B23" i="23"/>
  <c r="B22" i="23"/>
  <c r="B20" i="23"/>
  <c r="B19" i="23"/>
  <c r="B16" i="23"/>
  <c r="AH89" i="1"/>
  <c r="AH98" i="1"/>
  <c r="AG137" i="2"/>
  <c r="Q8" i="23"/>
  <c r="Q29" i="23"/>
  <c r="Q34" i="23"/>
  <c r="AG29" i="2"/>
  <c r="AG27" i="2"/>
  <c r="O7" i="23"/>
  <c r="H15" i="2"/>
  <c r="AG133" i="2"/>
  <c r="AH79" i="1"/>
  <c r="AH77" i="1"/>
  <c r="AH75" i="1"/>
  <c r="AG18" i="2"/>
  <c r="AG100" i="2"/>
  <c r="AG101" i="2"/>
  <c r="AH59" i="1"/>
  <c r="AG47" i="2"/>
  <c r="AH56" i="1"/>
  <c r="AH52" i="1"/>
  <c r="H13" i="9"/>
  <c r="S3105" i="11"/>
  <c r="V3105" i="11"/>
  <c r="U3105" i="11"/>
  <c r="AH38" i="1"/>
  <c r="AH91" i="1"/>
  <c r="O33" i="23"/>
  <c r="O17" i="23"/>
  <c r="Q14" i="23"/>
  <c r="Q35" i="23"/>
  <c r="Q18" i="23"/>
  <c r="Q16" i="23"/>
  <c r="Q20" i="23"/>
  <c r="M34" i="23"/>
  <c r="AG3" i="2"/>
  <c r="AG4" i="2"/>
  <c r="AG5" i="2"/>
  <c r="AG6" i="2"/>
  <c r="AG7" i="2"/>
  <c r="AG8" i="2"/>
  <c r="AG9" i="2"/>
  <c r="AG10" i="2"/>
  <c r="AG11" i="2"/>
  <c r="AG48" i="2"/>
  <c r="AG49" i="2"/>
  <c r="AG50" i="2"/>
  <c r="AG51" i="2"/>
  <c r="AG53" i="2"/>
  <c r="AG115" i="2"/>
  <c r="AG116" i="2"/>
  <c r="AG13" i="2"/>
  <c r="AG28" i="2"/>
  <c r="AG30" i="2"/>
  <c r="AG31" i="2"/>
  <c r="AG32" i="2"/>
  <c r="AG14" i="2"/>
  <c r="AG21" i="2"/>
  <c r="AG23" i="2"/>
  <c r="AG25" i="2"/>
  <c r="AG26" i="2"/>
  <c r="AG36" i="2"/>
  <c r="AG37" i="2"/>
  <c r="AG33" i="2"/>
  <c r="AG12" i="2"/>
  <c r="AG19" i="2"/>
  <c r="AG22" i="2"/>
  <c r="AG24" i="2"/>
  <c r="AG16" i="2"/>
  <c r="AG20" i="2"/>
  <c r="AG34" i="2"/>
  <c r="AG35" i="2"/>
  <c r="AG17" i="2"/>
  <c r="AG63" i="2"/>
  <c r="AG64" i="2"/>
  <c r="AG70" i="2"/>
  <c r="AG71" i="2"/>
  <c r="AG75" i="2"/>
  <c r="AG76" i="2"/>
  <c r="AG80" i="2"/>
  <c r="AG82" i="2"/>
  <c r="AG84" i="2"/>
  <c r="AG88" i="2"/>
  <c r="AG96" i="2"/>
  <c r="AG97" i="2"/>
  <c r="AG39" i="2"/>
  <c r="AG55" i="2"/>
  <c r="AG57" i="2"/>
  <c r="AG59" i="2"/>
  <c r="AG60" i="2"/>
  <c r="AG61" i="2"/>
  <c r="AG62" i="2"/>
  <c r="AG67" i="2"/>
  <c r="AG77" i="2"/>
  <c r="AG81" i="2"/>
  <c r="AG83" i="2"/>
  <c r="AG85" i="2"/>
  <c r="AG87" i="2"/>
  <c r="AG90" i="2"/>
  <c r="AG92" i="2"/>
  <c r="AG93" i="2"/>
  <c r="AG95" i="2"/>
  <c r="AG38" i="2"/>
  <c r="AG56" i="2"/>
  <c r="AG65" i="2"/>
  <c r="AG66" i="2"/>
  <c r="AG68" i="2"/>
  <c r="AG69" i="2"/>
  <c r="AG72" i="2"/>
  <c r="AG74" i="2"/>
  <c r="AG79" i="2"/>
  <c r="AG91" i="2"/>
  <c r="AG94" i="2"/>
  <c r="AG78" i="2"/>
  <c r="AG105" i="2"/>
  <c r="AG108" i="2"/>
  <c r="AG117" i="2"/>
  <c r="AG119" i="2"/>
  <c r="AG121" i="2"/>
  <c r="AG122" i="2"/>
  <c r="AG124" i="2"/>
  <c r="AG86" i="2"/>
  <c r="AG126" i="2"/>
  <c r="AG132" i="2"/>
  <c r="AG136" i="2"/>
  <c r="AG98" i="2"/>
  <c r="AG99" i="2"/>
  <c r="AG102" i="2"/>
  <c r="AG103" i="2"/>
  <c r="AG141" i="2"/>
  <c r="AG104" i="2"/>
  <c r="AG118" i="2"/>
  <c r="AG120" i="2"/>
  <c r="AG123" i="2"/>
  <c r="AG147" i="2"/>
  <c r="AG125" i="2"/>
  <c r="AG127" i="2"/>
  <c r="AG128" i="2"/>
  <c r="AG130" i="2"/>
  <c r="AG134" i="2"/>
  <c r="AG135" i="2"/>
  <c r="AG138" i="2"/>
  <c r="AG139" i="2"/>
  <c r="AG140" i="2"/>
  <c r="AG142" i="2"/>
  <c r="AG144" i="2"/>
  <c r="AG148" i="2"/>
  <c r="AG150" i="2"/>
  <c r="AG152" i="2"/>
  <c r="AG153" i="2"/>
  <c r="AG154" i="2"/>
  <c r="AG163" i="2"/>
  <c r="AG165" i="2"/>
  <c r="AG166" i="2"/>
  <c r="AG143" i="2"/>
  <c r="AG145" i="2"/>
  <c r="AG146" i="2"/>
  <c r="AG149" i="2"/>
  <c r="AG151" i="2"/>
  <c r="AG156" i="2"/>
  <c r="AG157" i="2"/>
  <c r="AG158" i="2"/>
  <c r="AG159" i="2"/>
  <c r="AG160" i="2"/>
  <c r="AG161" i="2"/>
  <c r="AG164" i="2"/>
  <c r="AG167" i="2"/>
  <c r="AG168" i="2"/>
  <c r="AG171" i="2"/>
  <c r="AG106" i="2"/>
  <c r="AG172" i="2"/>
  <c r="AG175" i="2"/>
  <c r="AG173" i="2"/>
  <c r="AG174" i="2"/>
  <c r="AG169" i="2"/>
  <c r="AG176" i="2"/>
  <c r="AG177" i="2"/>
  <c r="AG178" i="2"/>
  <c r="AG179" i="2"/>
  <c r="AG180" i="2"/>
  <c r="AG181" i="2"/>
  <c r="AG182" i="2"/>
  <c r="AG184" i="2"/>
  <c r="AG40" i="2"/>
  <c r="AG41" i="2"/>
  <c r="AG42" i="2"/>
  <c r="AG43" i="2"/>
  <c r="AG44" i="2"/>
  <c r="AG45" i="2"/>
  <c r="AG46" i="2"/>
  <c r="AG109" i="2"/>
  <c r="AG110" i="2"/>
  <c r="AG111" i="2"/>
  <c r="AG112" i="2"/>
  <c r="AG113" i="2"/>
  <c r="AG114" i="2"/>
  <c r="AG187" i="2"/>
  <c r="AG188" i="2"/>
  <c r="AG189" i="2"/>
  <c r="AG190" i="2"/>
  <c r="AG191" i="2"/>
  <c r="AG192" i="2"/>
  <c r="AG193" i="2"/>
  <c r="AG194" i="2"/>
  <c r="AG195" i="2"/>
  <c r="AG2" i="2"/>
  <c r="AH80" i="1"/>
  <c r="AH18" i="1"/>
  <c r="AH19" i="1"/>
  <c r="AH105" i="1"/>
  <c r="AH70" i="1"/>
  <c r="AH81" i="1"/>
  <c r="AH6" i="1"/>
  <c r="AH7" i="1"/>
  <c r="AH8" i="1"/>
  <c r="AH122" i="1"/>
  <c r="AH20" i="1"/>
  <c r="AH21" i="1"/>
  <c r="AH11" i="1"/>
  <c r="AH36" i="1"/>
  <c r="AH96" i="1"/>
  <c r="AH97" i="1"/>
  <c r="AH85" i="1"/>
  <c r="AH22" i="1"/>
  <c r="AH74" i="1"/>
  <c r="AH86" i="1"/>
  <c r="AH111" i="1"/>
  <c r="AH23" i="1"/>
  <c r="AH87" i="1"/>
  <c r="AH50" i="1"/>
  <c r="AH12" i="1"/>
  <c r="AH13" i="1"/>
  <c r="AH14" i="1"/>
  <c r="AH25" i="1"/>
  <c r="AH26" i="1"/>
  <c r="AH88" i="1"/>
  <c r="AH27" i="1"/>
  <c r="AH112" i="1"/>
  <c r="AH76" i="1"/>
  <c r="AH67" i="1"/>
  <c r="AH15" i="1"/>
  <c r="AH127" i="1"/>
  <c r="AH40" i="1"/>
  <c r="AH100" i="1"/>
  <c r="AH28" i="1"/>
  <c r="AH128" i="1"/>
  <c r="AH101" i="1"/>
  <c r="AH90" i="1"/>
  <c r="AH129" i="1"/>
  <c r="AH78" i="1"/>
  <c r="AH29" i="1"/>
  <c r="AH102" i="1"/>
  <c r="AH116" i="1"/>
  <c r="I105" i="6"/>
  <c r="I104" i="6"/>
  <c r="I103" i="6"/>
  <c r="I102" i="6"/>
  <c r="I101" i="6"/>
  <c r="I100" i="6"/>
  <c r="I99" i="6"/>
  <c r="I98" i="6"/>
  <c r="I132" i="6"/>
  <c r="I118" i="6"/>
  <c r="I117" i="6"/>
  <c r="I116" i="6"/>
  <c r="I108" i="6"/>
  <c r="I106" i="6"/>
  <c r="I45" i="6"/>
  <c r="I5" i="6"/>
  <c r="I134" i="6"/>
  <c r="I126" i="6"/>
  <c r="I125" i="6"/>
  <c r="I120" i="6"/>
  <c r="I119" i="6"/>
  <c r="I113" i="6"/>
  <c r="I50" i="6"/>
  <c r="I7" i="6"/>
  <c r="I4" i="6"/>
  <c r="I3" i="6"/>
  <c r="I136" i="6"/>
  <c r="I135" i="6"/>
  <c r="I133" i="6"/>
  <c r="I131" i="6"/>
  <c r="I129" i="6"/>
  <c r="I128" i="6"/>
  <c r="I130" i="6"/>
  <c r="I127" i="6"/>
  <c r="I124" i="6"/>
  <c r="I121" i="6"/>
  <c r="I115" i="6"/>
  <c r="I114" i="6"/>
  <c r="I111" i="6"/>
  <c r="I6" i="6"/>
  <c r="I2" i="6"/>
  <c r="I123" i="6"/>
  <c r="I122" i="6"/>
  <c r="I112" i="6"/>
  <c r="I110" i="6"/>
  <c r="I109" i="6"/>
  <c r="I107" i="6"/>
  <c r="I96" i="6"/>
  <c r="I77" i="6"/>
  <c r="I95" i="6"/>
  <c r="I94" i="6"/>
  <c r="I93" i="6"/>
  <c r="I92" i="6"/>
  <c r="I91" i="6"/>
  <c r="I90" i="6"/>
  <c r="I89" i="6"/>
  <c r="I97" i="6"/>
  <c r="I88" i="6"/>
  <c r="I87" i="6"/>
  <c r="I86" i="6"/>
  <c r="I85" i="6"/>
  <c r="I84" i="6"/>
  <c r="I83" i="6"/>
  <c r="I82" i="6"/>
  <c r="I81" i="6"/>
  <c r="I80" i="6"/>
  <c r="I79" i="6"/>
  <c r="I78" i="6"/>
  <c r="I76" i="6"/>
  <c r="I75" i="6"/>
  <c r="I74" i="6"/>
  <c r="I73" i="6"/>
  <c r="I71" i="6"/>
  <c r="I70" i="6"/>
  <c r="I69" i="6"/>
  <c r="I53" i="6"/>
  <c r="I68" i="6"/>
  <c r="I67" i="6"/>
  <c r="I66" i="6"/>
  <c r="I65" i="6"/>
  <c r="I64" i="6"/>
  <c r="I63" i="6"/>
  <c r="I62" i="6"/>
  <c r="I61" i="6"/>
  <c r="I60" i="6"/>
  <c r="I59" i="6"/>
  <c r="I58" i="6"/>
  <c r="I57" i="6"/>
  <c r="I56" i="6"/>
  <c r="I55" i="6"/>
  <c r="I54" i="6"/>
  <c r="I51" i="6"/>
  <c r="I52" i="6"/>
  <c r="I44" i="6"/>
  <c r="I49" i="6"/>
  <c r="I48" i="6"/>
  <c r="I47" i="6"/>
  <c r="I46" i="6"/>
  <c r="I43" i="6"/>
  <c r="I42" i="6"/>
  <c r="I41" i="6"/>
  <c r="I40" i="6"/>
  <c r="I39" i="6"/>
  <c r="I38" i="6"/>
  <c r="I37" i="6"/>
  <c r="I28" i="6"/>
  <c r="I36" i="6"/>
  <c r="I31" i="6"/>
  <c r="I20" i="6"/>
  <c r="I35" i="6"/>
  <c r="I34" i="6"/>
  <c r="I25" i="6"/>
  <c r="I30" i="6"/>
  <c r="I27" i="6"/>
  <c r="I24" i="6"/>
  <c r="I26" i="6"/>
  <c r="I33" i="6"/>
  <c r="I29" i="6"/>
  <c r="I23" i="6"/>
  <c r="I22" i="6"/>
  <c r="I32" i="6"/>
  <c r="I21" i="6"/>
  <c r="I19" i="6"/>
  <c r="I18" i="6"/>
  <c r="I13" i="6"/>
  <c r="I16" i="6"/>
  <c r="I17" i="6"/>
  <c r="I14" i="6"/>
  <c r="I12" i="6"/>
  <c r="I15" i="6"/>
  <c r="I11" i="6"/>
  <c r="I10" i="6"/>
  <c r="I9" i="6"/>
  <c r="I8" i="6"/>
  <c r="H4" i="9"/>
  <c r="H3" i="9"/>
  <c r="H5" i="9"/>
  <c r="H6" i="9"/>
  <c r="H7" i="9"/>
  <c r="H8" i="9"/>
  <c r="H9" i="9"/>
  <c r="H10" i="9"/>
  <c r="H11" i="9"/>
  <c r="H12" i="9"/>
  <c r="H14" i="9"/>
  <c r="H15" i="9"/>
  <c r="H2" i="9"/>
  <c r="H6" i="8"/>
  <c r="H3" i="8"/>
  <c r="H4" i="8"/>
  <c r="H9" i="8"/>
  <c r="H8" i="8"/>
  <c r="H7" i="8"/>
  <c r="H5" i="8"/>
  <c r="H15" i="8"/>
  <c r="H27" i="8"/>
  <c r="H11" i="8"/>
  <c r="H17" i="8"/>
  <c r="H18" i="8"/>
  <c r="H13" i="8"/>
  <c r="H20" i="8"/>
  <c r="H16" i="8"/>
  <c r="H12" i="8"/>
  <c r="H22" i="8"/>
  <c r="H19" i="8"/>
  <c r="H21" i="8"/>
  <c r="H23" i="8"/>
  <c r="H14" i="8"/>
  <c r="H28" i="8"/>
  <c r="H25" i="8"/>
  <c r="H30" i="8"/>
  <c r="H31" i="8"/>
  <c r="H26" i="8"/>
  <c r="H29" i="8"/>
  <c r="H10" i="8"/>
  <c r="H32" i="8"/>
  <c r="H33" i="8"/>
  <c r="H34" i="8"/>
  <c r="H36" i="8"/>
  <c r="H38" i="8"/>
  <c r="H39" i="8"/>
  <c r="H35" i="8"/>
  <c r="H41" i="8"/>
  <c r="H40" i="8"/>
  <c r="H42" i="8"/>
  <c r="H43" i="8"/>
  <c r="H46" i="8"/>
  <c r="H44" i="8"/>
  <c r="H47" i="8"/>
  <c r="H45" i="8"/>
  <c r="H48" i="8"/>
  <c r="H2" i="8"/>
  <c r="BD80" i="1"/>
  <c r="BP80" i="1" s="1"/>
  <c r="BD18" i="1"/>
  <c r="BQ18" i="1" s="1"/>
  <c r="BD118" i="1"/>
  <c r="BP118" i="1" s="1"/>
  <c r="BD19" i="1"/>
  <c r="BQ19" i="1" s="1"/>
  <c r="BD119" i="1"/>
  <c r="BQ119" i="1" s="1"/>
  <c r="BD30" i="1"/>
  <c r="BQ30" i="1" s="1"/>
  <c r="BD5" i="1"/>
  <c r="BP5" i="1" s="1"/>
  <c r="BD105" i="1"/>
  <c r="BQ105" i="1" s="1"/>
  <c r="BD60" i="1"/>
  <c r="BP60" i="1" s="1"/>
  <c r="BD70" i="1"/>
  <c r="BP70" i="1" s="1"/>
  <c r="BD44" i="1"/>
  <c r="BP44" i="1" s="1"/>
  <c r="BD31" i="1"/>
  <c r="BP31" i="1" s="1"/>
  <c r="BD32" i="1"/>
  <c r="BP32" i="1" s="1"/>
  <c r="BD120" i="1"/>
  <c r="BP120" i="1" s="1"/>
  <c r="BD81" i="1"/>
  <c r="BP81" i="1" s="1"/>
  <c r="BD71" i="1"/>
  <c r="BQ71" i="1" s="1"/>
  <c r="BD6" i="1"/>
  <c r="BP6" i="1" s="1"/>
  <c r="BD7" i="1"/>
  <c r="BQ7" i="1" s="1"/>
  <c r="BD45" i="1"/>
  <c r="BP45" i="1" s="1"/>
  <c r="BD8" i="1"/>
  <c r="BQ8" i="1" s="1"/>
  <c r="BD61" i="1"/>
  <c r="BQ61" i="1" s="1"/>
  <c r="BD92" i="1"/>
  <c r="BQ92" i="1" s="1"/>
  <c r="BD121" i="1"/>
  <c r="BQ121" i="1" s="1"/>
  <c r="BD62" i="1"/>
  <c r="BQ62" i="1" s="1"/>
  <c r="BD46" i="1"/>
  <c r="BQ46" i="1" s="1"/>
  <c r="BD63" i="1"/>
  <c r="BP63" i="1" s="1"/>
  <c r="BD33" i="1"/>
  <c r="BQ33" i="1" s="1"/>
  <c r="BD106" i="1"/>
  <c r="BQ106" i="1" s="1"/>
  <c r="BD82" i="1"/>
  <c r="BP82" i="1" s="1"/>
  <c r="BD47" i="1"/>
  <c r="BQ47" i="1" s="1"/>
  <c r="BD34" i="1"/>
  <c r="BP34" i="1" s="1"/>
  <c r="BD72" i="1"/>
  <c r="BP72" i="1" s="1"/>
  <c r="BD73" i="1"/>
  <c r="BQ73" i="1" s="1"/>
  <c r="BD107" i="1"/>
  <c r="BQ107" i="1" s="1"/>
  <c r="BD122" i="1"/>
  <c r="BQ122" i="1" s="1"/>
  <c r="BD93" i="1"/>
  <c r="BQ93" i="1" s="1"/>
  <c r="BD48" i="1"/>
  <c r="BQ48" i="1" s="1"/>
  <c r="BD83" i="1"/>
  <c r="BP83" i="1" s="1"/>
  <c r="BD84" i="1"/>
  <c r="BQ84" i="1" s="1"/>
  <c r="BD9" i="1"/>
  <c r="BQ9" i="1" s="1"/>
  <c r="BD108" i="1"/>
  <c r="BP108" i="1" s="1"/>
  <c r="BD20" i="1"/>
  <c r="BP20" i="1" s="1"/>
  <c r="BD10" i="1"/>
  <c r="BQ10" i="1" s="1"/>
  <c r="BD94" i="1"/>
  <c r="BQ94" i="1" s="1"/>
  <c r="BD123" i="1"/>
  <c r="BQ123" i="1" s="1"/>
  <c r="BD51" i="1"/>
  <c r="BQ51" i="1" s="1"/>
  <c r="BD21" i="1"/>
  <c r="BP21" i="1" s="1"/>
  <c r="BD35" i="1"/>
  <c r="BQ35" i="1" s="1"/>
  <c r="BD11" i="1"/>
  <c r="BP11" i="1" s="1"/>
  <c r="BD75" i="1"/>
  <c r="BP75" i="1" s="1"/>
  <c r="BD95" i="1"/>
  <c r="BQ95" i="1" s="1"/>
  <c r="BD36" i="1"/>
  <c r="BP36" i="1" s="1"/>
  <c r="BD96" i="1"/>
  <c r="BP96" i="1" s="1"/>
  <c r="BD64" i="1"/>
  <c r="BP64" i="1" s="1"/>
  <c r="BD109" i="1"/>
  <c r="BQ109" i="1" s="1"/>
  <c r="BD124" i="1"/>
  <c r="BQ124" i="1" s="1"/>
  <c r="BD97" i="1"/>
  <c r="BQ97" i="1" s="1"/>
  <c r="BD110" i="1"/>
  <c r="BP110" i="1" s="1"/>
  <c r="BD85" i="1"/>
  <c r="BP85" i="1" s="1"/>
  <c r="BD22" i="1"/>
  <c r="BQ22" i="1" s="1"/>
  <c r="BD38" i="1"/>
  <c r="BP38" i="1" s="1"/>
  <c r="BD74" i="1"/>
  <c r="BQ74" i="1" s="1"/>
  <c r="BD86" i="1"/>
  <c r="BQ86" i="1" s="1"/>
  <c r="BD65" i="1"/>
  <c r="BQ65" i="1" s="1"/>
  <c r="BD111" i="1"/>
  <c r="BP111" i="1" s="1"/>
  <c r="BD23" i="1"/>
  <c r="BQ23" i="1" s="1"/>
  <c r="BD24" i="1"/>
  <c r="BQ24" i="1" s="1"/>
  <c r="BD37" i="1"/>
  <c r="BP37" i="1" s="1"/>
  <c r="BD87" i="1"/>
  <c r="BQ87" i="1" s="1"/>
  <c r="BD49" i="1"/>
  <c r="BQ49" i="1" s="1"/>
  <c r="BD50" i="1"/>
  <c r="BP50" i="1" s="1"/>
  <c r="BD12" i="1"/>
  <c r="BQ12" i="1" s="1"/>
  <c r="BD13" i="1"/>
  <c r="BQ13" i="1" s="1"/>
  <c r="BD14" i="1"/>
  <c r="BP14" i="1" s="1"/>
  <c r="BD25" i="1"/>
  <c r="BP25" i="1" s="1"/>
  <c r="BD125" i="1"/>
  <c r="BQ125" i="1" s="1"/>
  <c r="BD26" i="1"/>
  <c r="BQ26" i="1" s="1"/>
  <c r="BD88" i="1"/>
  <c r="BQ88" i="1" s="1"/>
  <c r="BD27" i="1"/>
  <c r="BQ27" i="1" s="1"/>
  <c r="BD2" i="1"/>
  <c r="BP2" i="1" s="1"/>
  <c r="BD112" i="1"/>
  <c r="BQ112" i="1" s="1"/>
  <c r="BD3" i="1"/>
  <c r="BQ3" i="1" s="1"/>
  <c r="BD66" i="1"/>
  <c r="BP66" i="1" s="1"/>
  <c r="BD52" i="1"/>
  <c r="BP52" i="1" s="1"/>
  <c r="BD126" i="1"/>
  <c r="BP126" i="1" s="1"/>
  <c r="BD76" i="1"/>
  <c r="BP76" i="1" s="1"/>
  <c r="BD77" i="1"/>
  <c r="BQ77" i="1" s="1"/>
  <c r="BD89" i="1"/>
  <c r="BP89" i="1" s="1"/>
  <c r="BD113" i="1"/>
  <c r="BP113" i="1" s="1"/>
  <c r="BD39" i="1"/>
  <c r="BQ39" i="1" s="1"/>
  <c r="BD67" i="1"/>
  <c r="BP67" i="1" s="1"/>
  <c r="BD98" i="1"/>
  <c r="BQ98" i="1" s="1"/>
  <c r="BD15" i="1"/>
  <c r="BQ15" i="1" s="1"/>
  <c r="BD53" i="1"/>
  <c r="BQ53" i="1" s="1"/>
  <c r="BD99" i="1"/>
  <c r="BP99" i="1" s="1"/>
  <c r="BD127" i="1"/>
  <c r="BQ127" i="1" s="1"/>
  <c r="BD40" i="1"/>
  <c r="BP40" i="1" s="1"/>
  <c r="BD100" i="1"/>
  <c r="BP100" i="1" s="1"/>
  <c r="BD28" i="1"/>
  <c r="BQ28" i="1" s="1"/>
  <c r="BD41" i="1"/>
  <c r="BP41" i="1" s="1"/>
  <c r="BD42" i="1"/>
  <c r="BQ42" i="1" s="1"/>
  <c r="BD54" i="1"/>
  <c r="BQ54" i="1" s="1"/>
  <c r="BD114" i="1"/>
  <c r="BQ114" i="1" s="1"/>
  <c r="BD128" i="1"/>
  <c r="BP128" i="1" s="1"/>
  <c r="BD16" i="1"/>
  <c r="BQ16" i="1" s="1"/>
  <c r="BD55" i="1"/>
  <c r="BQ55" i="1" s="1"/>
  <c r="BD101" i="1"/>
  <c r="BQ101" i="1" s="1"/>
  <c r="BD90" i="1"/>
  <c r="BP90" i="1" s="1"/>
  <c r="BD115" i="1"/>
  <c r="BQ115" i="1" s="1"/>
  <c r="BD68" i="1"/>
  <c r="BP68" i="1" s="1"/>
  <c r="BD129" i="1"/>
  <c r="BP129" i="1" s="1"/>
  <c r="BD78" i="1"/>
  <c r="BQ78" i="1" s="1"/>
  <c r="BD56" i="1"/>
  <c r="BQ56" i="1" s="1"/>
  <c r="BD29" i="1"/>
  <c r="BQ29" i="1" s="1"/>
  <c r="BD102" i="1"/>
  <c r="BQ102" i="1" s="1"/>
  <c r="BD116" i="1"/>
  <c r="BQ116" i="1" s="1"/>
  <c r="BD103" i="1"/>
  <c r="BQ103" i="1" s="1"/>
  <c r="BD104" i="1"/>
  <c r="BP104" i="1" s="1"/>
  <c r="BD17" i="1"/>
  <c r="BP17" i="1" s="1"/>
  <c r="BD91" i="1"/>
  <c r="BP91" i="1" s="1"/>
  <c r="BD69" i="1"/>
  <c r="BP69" i="1" s="1"/>
  <c r="BD130" i="1"/>
  <c r="BP130" i="1" s="1"/>
  <c r="BD4" i="1"/>
  <c r="BP4" i="1" s="1"/>
  <c r="BD117" i="1"/>
  <c r="BQ117" i="1" s="1"/>
  <c r="BD57" i="1"/>
  <c r="BP57" i="1" s="1"/>
  <c r="BD43" i="1"/>
  <c r="BP43" i="1" s="1"/>
  <c r="BD58" i="1"/>
  <c r="BP58" i="1" s="1"/>
  <c r="BD79" i="1"/>
  <c r="BQ79" i="1" s="1"/>
  <c r="BD59" i="1"/>
  <c r="BQ59" i="1" s="1"/>
  <c r="H195" i="2"/>
  <c r="H89" i="2"/>
  <c r="H85" i="2"/>
  <c r="H48" i="2"/>
  <c r="H49" i="2"/>
  <c r="H50" i="2"/>
  <c r="H52" i="2"/>
  <c r="H51" i="2"/>
  <c r="H53" i="2"/>
  <c r="H33" i="2"/>
  <c r="H34" i="2"/>
  <c r="H35" i="2"/>
  <c r="H17" i="2"/>
  <c r="H39" i="2"/>
  <c r="H55" i="2"/>
  <c r="H57" i="2"/>
  <c r="H59" i="2"/>
  <c r="H60" i="2"/>
  <c r="H61" i="2"/>
  <c r="H62" i="2"/>
  <c r="H67" i="2"/>
  <c r="H77" i="2"/>
  <c r="H81" i="2"/>
  <c r="H83" i="2"/>
  <c r="H87" i="2"/>
  <c r="H90" i="2"/>
  <c r="H92" i="2"/>
  <c r="H93" i="2"/>
  <c r="H95" i="2"/>
  <c r="H100" i="2"/>
  <c r="H78" i="2"/>
  <c r="H105" i="2"/>
  <c r="H108" i="2"/>
  <c r="H117" i="2"/>
  <c r="H119" i="2"/>
  <c r="H121" i="2"/>
  <c r="H122" i="2"/>
  <c r="H124" i="2"/>
  <c r="H86" i="2"/>
  <c r="H126" i="2"/>
  <c r="H129" i="2"/>
  <c r="H131" i="2"/>
  <c r="H132" i="2"/>
  <c r="H136" i="2"/>
  <c r="H142" i="2"/>
  <c r="H144" i="2"/>
  <c r="H148" i="2"/>
  <c r="H150" i="2"/>
  <c r="H152" i="2"/>
  <c r="H153" i="2"/>
  <c r="H154" i="2"/>
  <c r="H163" i="2"/>
  <c r="H165" i="2"/>
  <c r="H166" i="2"/>
  <c r="H167" i="2"/>
  <c r="H168" i="2"/>
  <c r="H170" i="2"/>
  <c r="H171" i="2"/>
  <c r="H106" i="2"/>
  <c r="H172" i="2"/>
  <c r="H175" i="2"/>
  <c r="H109" i="2"/>
  <c r="H110" i="2"/>
  <c r="H111" i="2"/>
  <c r="H112" i="2"/>
  <c r="H113" i="2"/>
  <c r="H114" i="2"/>
  <c r="H2" i="2"/>
  <c r="H3" i="2"/>
  <c r="H4" i="2"/>
  <c r="H5" i="2"/>
  <c r="H6" i="2"/>
  <c r="H7" i="2"/>
  <c r="H8" i="2"/>
  <c r="H9" i="2"/>
  <c r="H10" i="2"/>
  <c r="H11" i="2"/>
  <c r="H13" i="2"/>
  <c r="H28" i="2"/>
  <c r="H30" i="2"/>
  <c r="H31" i="2"/>
  <c r="H32" i="2"/>
  <c r="H14" i="2"/>
  <c r="H21" i="2"/>
  <c r="H18" i="2"/>
  <c r="H23" i="2"/>
  <c r="H25" i="2"/>
  <c r="H26" i="2"/>
  <c r="H27" i="2"/>
  <c r="H36" i="2"/>
  <c r="H37" i="2"/>
  <c r="H63" i="2"/>
  <c r="H64" i="2"/>
  <c r="H70" i="2"/>
  <c r="H71" i="2"/>
  <c r="H73" i="2"/>
  <c r="H75" i="2"/>
  <c r="H76" i="2"/>
  <c r="H80" i="2"/>
  <c r="H82" i="2"/>
  <c r="H84" i="2"/>
  <c r="H88" i="2"/>
  <c r="H96" i="2"/>
  <c r="H97" i="2"/>
  <c r="H40" i="2"/>
  <c r="H41" i="2"/>
  <c r="H42" i="2"/>
  <c r="H43" i="2"/>
  <c r="H44" i="2"/>
  <c r="H45" i="2"/>
  <c r="H46" i="2"/>
  <c r="H115" i="2"/>
  <c r="H116" i="2"/>
  <c r="H22" i="2"/>
  <c r="H24" i="2"/>
  <c r="H16" i="2"/>
  <c r="H38" i="2"/>
  <c r="H56" i="2"/>
  <c r="H65" i="2"/>
  <c r="H66" i="2"/>
  <c r="H68" i="2"/>
  <c r="H69" i="2"/>
  <c r="H72" i="2"/>
  <c r="H74" i="2"/>
  <c r="H79" i="2"/>
  <c r="H91" i="2"/>
  <c r="H94" i="2"/>
  <c r="H98" i="2"/>
  <c r="H99" i="2"/>
  <c r="H101" i="2"/>
  <c r="H102" i="2"/>
  <c r="H103" i="2"/>
  <c r="H141" i="2"/>
  <c r="H104" i="2"/>
  <c r="H107" i="2"/>
  <c r="H118" i="2"/>
  <c r="H120" i="2"/>
  <c r="H123" i="2"/>
  <c r="H147" i="2"/>
  <c r="H125" i="2"/>
  <c r="H127" i="2"/>
  <c r="H128" i="2"/>
  <c r="H130" i="2"/>
  <c r="H133" i="2"/>
  <c r="H134" i="2"/>
  <c r="H135" i="2"/>
  <c r="H137" i="2"/>
  <c r="H138" i="2"/>
  <c r="H139" i="2"/>
  <c r="H140" i="2"/>
  <c r="H143" i="2"/>
  <c r="H145" i="2"/>
  <c r="H146" i="2"/>
  <c r="H149" i="2"/>
  <c r="H155" i="2"/>
  <c r="H156" i="2"/>
  <c r="H157" i="2"/>
  <c r="H158" i="2"/>
  <c r="H159" i="2"/>
  <c r="H160" i="2"/>
  <c r="H161" i="2"/>
  <c r="H164" i="2"/>
  <c r="H173" i="2"/>
  <c r="H174" i="2"/>
  <c r="H169" i="2"/>
  <c r="H176" i="2"/>
  <c r="H177" i="2"/>
  <c r="H178" i="2"/>
  <c r="H179" i="2"/>
  <c r="H180" i="2"/>
  <c r="H181" i="2"/>
  <c r="H182" i="2"/>
  <c r="H184" i="2"/>
  <c r="H187" i="2"/>
  <c r="H188" i="2"/>
  <c r="H189" i="2"/>
  <c r="H190" i="2"/>
  <c r="H191" i="2"/>
  <c r="H192" i="2"/>
  <c r="H193" i="2"/>
  <c r="H194" i="2"/>
  <c r="H47" i="2"/>
  <c r="H18" i="1"/>
  <c r="H118" i="1"/>
  <c r="H19" i="1"/>
  <c r="H119" i="1"/>
  <c r="H30" i="1"/>
  <c r="H5" i="1"/>
  <c r="H105" i="1"/>
  <c r="H60" i="1"/>
  <c r="H70" i="1"/>
  <c r="H44" i="1"/>
  <c r="H31" i="1"/>
  <c r="H32" i="1"/>
  <c r="H120" i="1"/>
  <c r="H81" i="1"/>
  <c r="H71" i="1"/>
  <c r="H6" i="1"/>
  <c r="H7" i="1"/>
  <c r="H45" i="1"/>
  <c r="H8" i="1"/>
  <c r="H61" i="1"/>
  <c r="H92" i="1"/>
  <c r="H121" i="1"/>
  <c r="H62" i="1"/>
  <c r="H46" i="1"/>
  <c r="H63" i="1"/>
  <c r="H33" i="1"/>
  <c r="H106" i="1"/>
  <c r="H82" i="1"/>
  <c r="H47" i="1"/>
  <c r="H34" i="1"/>
  <c r="H72" i="1"/>
  <c r="H73" i="1"/>
  <c r="H107" i="1"/>
  <c r="H122" i="1"/>
  <c r="H93" i="1"/>
  <c r="H48" i="1"/>
  <c r="H83" i="1"/>
  <c r="H84" i="1"/>
  <c r="H9" i="1"/>
  <c r="H108" i="1"/>
  <c r="H20" i="1"/>
  <c r="H10" i="1"/>
  <c r="H94" i="1"/>
  <c r="H123" i="1"/>
  <c r="H51" i="1"/>
  <c r="H35" i="1"/>
  <c r="H11" i="1"/>
  <c r="H75" i="1"/>
  <c r="H95" i="1"/>
  <c r="H36" i="1"/>
  <c r="H96" i="1"/>
  <c r="H64" i="1"/>
  <c r="H109" i="1"/>
  <c r="H124" i="1"/>
  <c r="H97" i="1"/>
  <c r="H110" i="1"/>
  <c r="H85" i="1"/>
  <c r="H22" i="1"/>
  <c r="H38" i="1"/>
  <c r="H74" i="1"/>
  <c r="H86" i="1"/>
  <c r="H65" i="1"/>
  <c r="H111" i="1"/>
  <c r="H23" i="1"/>
  <c r="H24" i="1"/>
  <c r="H37" i="1"/>
  <c r="H87" i="1"/>
  <c r="H49" i="1"/>
  <c r="H50" i="1"/>
  <c r="H12" i="1"/>
  <c r="H13" i="1"/>
  <c r="H14" i="1"/>
  <c r="H25" i="1"/>
  <c r="H125" i="1"/>
  <c r="H26" i="1"/>
  <c r="H88" i="1"/>
  <c r="H27" i="1"/>
  <c r="H2" i="1"/>
  <c r="H112" i="1"/>
  <c r="H3" i="1"/>
  <c r="H66" i="1"/>
  <c r="H52" i="1"/>
  <c r="H126" i="1"/>
  <c r="H76" i="1"/>
  <c r="H77" i="1"/>
  <c r="H89" i="1"/>
  <c r="H113" i="1"/>
  <c r="H39" i="1"/>
  <c r="H67" i="1"/>
  <c r="H98" i="1"/>
  <c r="H15" i="1"/>
  <c r="H53" i="1"/>
  <c r="H99" i="1"/>
  <c r="H127" i="1"/>
  <c r="H40" i="1"/>
  <c r="H100" i="1"/>
  <c r="H28" i="1"/>
  <c r="H41" i="1"/>
  <c r="H42" i="1"/>
  <c r="H54" i="1"/>
  <c r="H114" i="1"/>
  <c r="H128" i="1"/>
  <c r="H16" i="1"/>
  <c r="H55" i="1"/>
  <c r="H101" i="1"/>
  <c r="H90" i="1"/>
  <c r="H115" i="1"/>
  <c r="H68" i="1"/>
  <c r="H129" i="1"/>
  <c r="H78" i="1"/>
  <c r="H56" i="1"/>
  <c r="H29" i="1"/>
  <c r="H102" i="1"/>
  <c r="H116" i="1"/>
  <c r="H103" i="1"/>
  <c r="H104" i="1"/>
  <c r="H17" i="1"/>
  <c r="H91" i="1"/>
  <c r="H69" i="1"/>
  <c r="H130" i="1"/>
  <c r="H4" i="1"/>
  <c r="H117" i="1"/>
  <c r="H57" i="1"/>
  <c r="H43" i="1"/>
  <c r="H58" i="1"/>
  <c r="H79" i="1"/>
  <c r="H59" i="1"/>
  <c r="E9" i="23"/>
  <c r="E64" i="24"/>
  <c r="G67" i="24"/>
  <c r="F67" i="24"/>
  <c r="E67" i="24"/>
  <c r="D67" i="24"/>
  <c r="C67" i="24"/>
  <c r="E35" i="23"/>
  <c r="E5" i="23"/>
  <c r="E6" i="23"/>
  <c r="E4" i="23"/>
  <c r="E7" i="23"/>
  <c r="AC9" i="23"/>
  <c r="AC8" i="23"/>
  <c r="Q5" i="23"/>
  <c r="I19" i="23"/>
  <c r="AA9" i="23"/>
  <c r="Y8" i="23"/>
  <c r="I8" i="23"/>
  <c r="I9" i="23"/>
  <c r="C33" i="23"/>
  <c r="C24" i="23"/>
  <c r="M25" i="23"/>
  <c r="Q3" i="23"/>
  <c r="Q6" i="23"/>
  <c r="Q30" i="23"/>
  <c r="G20" i="23"/>
  <c r="G4" i="23"/>
  <c r="G3" i="23"/>
  <c r="W9" i="23"/>
  <c r="C23" i="23"/>
  <c r="C36" i="23"/>
  <c r="C16" i="23"/>
  <c r="C17" i="23"/>
  <c r="C34" i="23"/>
  <c r="C22" i="23"/>
  <c r="C28" i="23"/>
  <c r="I22" i="24"/>
  <c r="G24" i="24"/>
  <c r="S9" i="23"/>
  <c r="S8" i="23"/>
  <c r="C29" i="23"/>
  <c r="C11" i="23"/>
  <c r="C20" i="23"/>
  <c r="C15" i="23"/>
  <c r="C21" i="23"/>
  <c r="C26" i="23"/>
  <c r="C14" i="23"/>
  <c r="C19" i="23"/>
  <c r="C30" i="23"/>
  <c r="C27" i="23"/>
  <c r="S15" i="23"/>
  <c r="C35" i="23"/>
  <c r="C37" i="23"/>
  <c r="C5" i="23"/>
  <c r="C10" i="23"/>
  <c r="C6" i="23"/>
  <c r="C4" i="23"/>
  <c r="C18" i="23"/>
  <c r="C8" i="23"/>
  <c r="C7" i="23"/>
  <c r="I21" i="24"/>
  <c r="I23" i="24"/>
  <c r="H6" i="24"/>
  <c r="H10" i="24"/>
  <c r="M22" i="23"/>
  <c r="M14" i="23"/>
  <c r="M4" i="23"/>
  <c r="M17" i="23"/>
  <c r="M3" i="23"/>
  <c r="M26" i="23"/>
  <c r="M10" i="23"/>
  <c r="M18" i="23"/>
  <c r="Q4" i="23"/>
  <c r="Q10" i="23"/>
  <c r="Q24" i="23"/>
  <c r="Q17" i="23"/>
  <c r="H33" i="24"/>
  <c r="H31" i="24"/>
  <c r="H29" i="24"/>
  <c r="H35" i="24"/>
  <c r="C36" i="24"/>
  <c r="E36" i="24"/>
  <c r="G36" i="24"/>
  <c r="D24" i="24"/>
  <c r="AG186" i="2"/>
  <c r="F16" i="23"/>
  <c r="F20" i="23"/>
  <c r="F24" i="23"/>
  <c r="F26" i="23"/>
  <c r="F28" i="23"/>
  <c r="H74" i="24" l="1"/>
  <c r="J3" i="23"/>
  <c r="I4" i="23"/>
  <c r="I3" i="23"/>
  <c r="B82" i="24"/>
  <c r="H82" i="24" s="1"/>
  <c r="C82" i="24"/>
  <c r="I14" i="23"/>
  <c r="I11" i="23"/>
  <c r="I10" i="23"/>
  <c r="I31" i="23"/>
  <c r="H84" i="24"/>
  <c r="I5" i="23"/>
  <c r="I15" i="23"/>
  <c r="H11" i="24"/>
  <c r="I7" i="23"/>
  <c r="D82" i="24"/>
  <c r="E82" i="24"/>
  <c r="F82" i="24"/>
  <c r="I36" i="23"/>
  <c r="I6" i="23"/>
  <c r="H83" i="24"/>
  <c r="E22" i="23"/>
  <c r="E16" i="23"/>
  <c r="E18" i="23"/>
  <c r="E25" i="23"/>
  <c r="U15" i="23"/>
  <c r="E15" i="23"/>
  <c r="E19" i="23"/>
  <c r="E33" i="23"/>
  <c r="E37" i="23"/>
  <c r="E34" i="23"/>
  <c r="U8" i="23"/>
  <c r="E3" i="23"/>
  <c r="E28" i="23"/>
  <c r="E23" i="23"/>
  <c r="E20" i="23"/>
  <c r="H68" i="24"/>
  <c r="H69" i="24"/>
  <c r="I20" i="24"/>
  <c r="H61" i="24"/>
  <c r="H32" i="24"/>
  <c r="H62" i="24"/>
  <c r="C13" i="23"/>
  <c r="F36" i="24"/>
  <c r="C12" i="23"/>
  <c r="L3" i="23"/>
  <c r="B64" i="24"/>
  <c r="H64" i="24" s="1"/>
  <c r="H71" i="24"/>
  <c r="B76" i="24"/>
  <c r="H76" i="24" s="1"/>
  <c r="H9" i="24"/>
  <c r="H77" i="24"/>
  <c r="H58" i="24"/>
  <c r="H59" i="24"/>
  <c r="BQ108" i="1"/>
  <c r="BP8" i="1"/>
  <c r="BP101" i="1"/>
  <c r="BQ45" i="1"/>
  <c r="BQ111" i="1"/>
  <c r="BQ57" i="1"/>
  <c r="BP106" i="1"/>
  <c r="BQ67" i="1"/>
  <c r="BQ37" i="1"/>
  <c r="BQ85" i="1"/>
  <c r="BP26" i="1"/>
  <c r="BQ99" i="1"/>
  <c r="BQ68" i="1"/>
  <c r="BP18" i="1"/>
  <c r="BQ34" i="1"/>
  <c r="BQ126" i="1"/>
  <c r="BQ40" i="1"/>
  <c r="BQ130" i="1"/>
  <c r="BQ2" i="1"/>
  <c r="BP119" i="1"/>
  <c r="BP74" i="1"/>
  <c r="BQ14" i="1"/>
  <c r="BP42" i="1"/>
  <c r="BP56" i="1"/>
  <c r="H3" i="23"/>
  <c r="BP35" i="1"/>
  <c r="BQ128" i="1"/>
  <c r="BP116" i="1"/>
  <c r="BQ31" i="1"/>
  <c r="BQ64" i="1"/>
  <c r="BP12" i="1"/>
  <c r="BQ66" i="1"/>
  <c r="BP28" i="1"/>
  <c r="C46" i="23" a="1"/>
  <c r="C46" i="23" s="1"/>
  <c r="C44" i="23" a="1"/>
  <c r="C44" i="23" s="1"/>
  <c r="BP71" i="1"/>
  <c r="BP92" i="1"/>
  <c r="BQ11" i="1"/>
  <c r="BQ110" i="1"/>
  <c r="BP3" i="1"/>
  <c r="BQ89" i="1"/>
  <c r="BP117" i="1"/>
  <c r="BP61" i="1"/>
  <c r="BQ70" i="1"/>
  <c r="BP7" i="1"/>
  <c r="BP46" i="1"/>
  <c r="BP51" i="1"/>
  <c r="BP95" i="1"/>
  <c r="BP39" i="1"/>
  <c r="BQ104" i="1"/>
  <c r="BP16" i="1"/>
  <c r="BQ32" i="1"/>
  <c r="BP47" i="1"/>
  <c r="BP93" i="1"/>
  <c r="BQ20" i="1"/>
  <c r="BP109" i="1"/>
  <c r="BP22" i="1"/>
  <c r="BP77" i="1"/>
  <c r="BQ69" i="1"/>
  <c r="BQ60" i="1"/>
  <c r="BP97" i="1"/>
  <c r="BP62" i="1"/>
  <c r="BP84" i="1"/>
  <c r="BQ52" i="1"/>
  <c r="BQ129" i="1"/>
  <c r="BP29" i="1"/>
  <c r="E13" i="23"/>
  <c r="BP73" i="1"/>
  <c r="BP112" i="1"/>
  <c r="BP123" i="1"/>
  <c r="BQ6" i="1"/>
  <c r="BP121" i="1"/>
  <c r="BQ21" i="1"/>
  <c r="BQ96" i="1"/>
  <c r="BQ38" i="1"/>
  <c r="BP65" i="1"/>
  <c r="BP24" i="1"/>
  <c r="BP88" i="1"/>
  <c r="BP53" i="1"/>
  <c r="BP127" i="1"/>
  <c r="BQ43" i="1"/>
  <c r="BP87" i="1"/>
  <c r="BP94" i="1"/>
  <c r="BP79" i="1"/>
  <c r="BQ118" i="1"/>
  <c r="BQ44" i="1"/>
  <c r="BQ120" i="1"/>
  <c r="BQ63" i="1"/>
  <c r="BP122" i="1"/>
  <c r="BQ83" i="1"/>
  <c r="BQ25" i="1"/>
  <c r="BP54" i="1"/>
  <c r="BP59" i="1"/>
  <c r="BQ100" i="1"/>
  <c r="BP19" i="1"/>
  <c r="BP114" i="1"/>
  <c r="E12" i="23"/>
  <c r="F3" i="23"/>
  <c r="B3" i="23"/>
  <c r="P3" i="23"/>
  <c r="D3" i="23"/>
  <c r="BP103" i="1"/>
  <c r="BQ80" i="1"/>
  <c r="BQ5" i="1"/>
  <c r="BQ81" i="1"/>
  <c r="BQ82" i="1"/>
  <c r="BQ36" i="1"/>
  <c r="BP86" i="1"/>
  <c r="BQ50" i="1"/>
  <c r="BQ76" i="1"/>
  <c r="BQ41" i="1"/>
  <c r="BQ90" i="1"/>
  <c r="BQ91" i="1"/>
  <c r="BQ4" i="1"/>
  <c r="BQ72" i="1"/>
  <c r="C45" i="23" a="1"/>
  <c r="C45" i="23" s="1"/>
  <c r="C52" i="23" a="1"/>
  <c r="C52" i="23" s="1"/>
  <c r="BP15" i="1"/>
  <c r="BP33" i="1"/>
  <c r="BQ75" i="1"/>
  <c r="BP23" i="1"/>
  <c r="BQ113" i="1"/>
  <c r="C55" i="23" a="1"/>
  <c r="C55" i="23" s="1"/>
  <c r="C49" i="23" a="1"/>
  <c r="C49" i="23" s="1"/>
  <c r="F49" i="24"/>
  <c r="BP105" i="1"/>
  <c r="BP124" i="1"/>
  <c r="BP30" i="1"/>
  <c r="BP107" i="1"/>
  <c r="BP48" i="1"/>
  <c r="BP9" i="1"/>
  <c r="BP10" i="1"/>
  <c r="BP49" i="1"/>
  <c r="BP13" i="1"/>
  <c r="BP125" i="1"/>
  <c r="BP27" i="1"/>
  <c r="BP55" i="1"/>
  <c r="BP115" i="1"/>
  <c r="BP78" i="1"/>
  <c r="BP102" i="1"/>
  <c r="C47" i="23" a="1"/>
  <c r="C47" i="23" s="1"/>
  <c r="C51" i="23" a="1"/>
  <c r="C51" i="23" s="1"/>
  <c r="BP98" i="1"/>
  <c r="BQ17" i="1"/>
  <c r="BQ58" i="1"/>
  <c r="C50" i="23" a="1"/>
  <c r="C50" i="23" s="1"/>
  <c r="C53" i="23" a="1"/>
  <c r="C53" i="23" s="1"/>
  <c r="H51" i="24"/>
  <c r="I17" i="24"/>
  <c r="I18" i="24"/>
  <c r="I19" i="24"/>
  <c r="D49" i="24"/>
  <c r="G49" i="24"/>
  <c r="H50" i="24"/>
  <c r="B49" i="24"/>
  <c r="C49" i="24"/>
  <c r="E49" i="24"/>
  <c r="E27" i="23"/>
  <c r="E8" i="23"/>
  <c r="H67" i="24"/>
  <c r="H36" i="24"/>
  <c r="J36" i="24" s="1"/>
  <c r="C24" i="24"/>
  <c r="I24" i="24" s="1"/>
  <c r="H49"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R3SolidwasteMgmt</author>
    <author>R3PISMU</author>
  </authors>
  <commentList>
    <comment ref="B22" authorId="0" shapeId="0" xr:uid="{7ED5CFEE-26D5-48D7-8DEB-08A6D8B44BC5}">
      <text>
        <r>
          <rPr>
            <sz val="11"/>
            <color theme="1"/>
            <rFont val="Calibri"/>
            <family val="2"/>
            <scheme val="minor"/>
          </rPr>
          <t xml:space="preserve">R3SolidwasteMgmt:
</t>
        </r>
      </text>
    </comment>
    <comment ref="Q172" authorId="1" shapeId="0" xr:uid="{C6FE82AE-1D0F-4095-AEDA-813679BBEF94}">
      <text>
        <r>
          <rPr>
            <sz val="11"/>
            <color theme="1"/>
            <rFont val="Calibri"/>
            <family val="2"/>
            <scheme val="minor"/>
          </rPr>
          <t>R3PISMU:
R3-2025-035873</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R3PISMU</author>
  </authors>
  <commentList>
    <comment ref="V5" authorId="0" shapeId="0" xr:uid="{878BED5D-6DAE-45CC-96B3-69563F02B007}">
      <text>
        <r>
          <rPr>
            <sz val="11"/>
            <color theme="1"/>
            <rFont val="Calibri"/>
            <family val="2"/>
            <scheme val="minor"/>
          </rPr>
          <t>R3PISMU:
R3-2025-041850</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R3PISMU</author>
  </authors>
  <commentList>
    <comment ref="O27" authorId="0" shapeId="0" xr:uid="{3D3F9107-0562-4B71-85A2-C3F340E7E800}">
      <text>
        <r>
          <rPr>
            <sz val="11"/>
            <color theme="1"/>
            <rFont val="Calibri"/>
            <family val="2"/>
            <scheme val="minor"/>
          </rPr>
          <t>R3PISMU:
Date Monitored based on the report: February 7 and 14, 2025</t>
        </r>
      </text>
    </comment>
    <comment ref="Y108" authorId="0" shapeId="0" xr:uid="{5CF4D6C1-684D-4620-A67C-28A8F5BA337C}">
      <text>
        <r>
          <rPr>
            <sz val="11"/>
            <color theme="1"/>
            <rFont val="Calibri"/>
            <family val="2"/>
            <scheme val="minor"/>
          </rPr>
          <t>R3PISMU:
not functional</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R3PISMU</author>
  </authors>
  <commentList>
    <comment ref="AC9" authorId="0" shapeId="0" xr:uid="{83690DF2-C86C-4D3D-96D3-0A718CE6B674}">
      <text>
        <r>
          <rPr>
            <sz val="11"/>
            <color theme="1"/>
            <rFont val="Calibri"/>
            <family val="2"/>
            <scheme val="minor"/>
          </rPr>
          <t>R3PISMU:
Florida Blanca Enviro Corp</t>
        </r>
      </text>
    </comment>
    <comment ref="AC27" authorId="0" shapeId="0" xr:uid="{8F570FCE-DCEC-4F40-BEDA-83C3C15566CE}">
      <text>
        <r>
          <rPr>
            <sz val="11"/>
            <color theme="1"/>
            <rFont val="Calibri"/>
            <family val="2"/>
            <scheme val="minor"/>
          </rPr>
          <t>R3PISMU:
Metro Waste Management Corporation</t>
        </r>
      </text>
    </comment>
    <comment ref="C36" authorId="0" shapeId="0" xr:uid="{E2C85E12-93FC-441A-8451-55D60E144345}">
      <text>
        <r>
          <rPr>
            <sz val="11"/>
            <color theme="1"/>
            <rFont val="Calibri"/>
            <family val="2"/>
            <scheme val="minor"/>
          </rPr>
          <t>R3PISMU:
Cayapa</t>
        </r>
      </text>
    </comment>
    <comment ref="AD44" authorId="0" shapeId="0" xr:uid="{CF49B53C-59F1-4BD3-A6C3-003BC143ADC9}">
      <text>
        <r>
          <rPr>
            <sz val="11"/>
            <color theme="1"/>
            <rFont val="Calibri"/>
            <family val="2"/>
            <scheme val="minor"/>
          </rPr>
          <t>R3PISMU:
residual waste to be disposed at Florida Enviro Corp. SLF</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R3PISMU</author>
  </authors>
  <commentList>
    <comment ref="C12" authorId="0" shapeId="0" xr:uid="{A6DEA517-BC63-411E-BF84-91DE4156FA2A}">
      <text>
        <r>
          <rPr>
            <sz val="11"/>
            <color theme="1"/>
            <rFont val="Calibri"/>
            <family val="2"/>
            <scheme val="minor"/>
          </rPr>
          <t>R3PISMU:
Bantug</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R3PISMU</author>
    <author>R3SolidwasteMgmt</author>
  </authors>
  <commentList>
    <comment ref="J36" authorId="0" shapeId="0" xr:uid="{C32BB031-A023-4B23-87E1-B79B0F26D761}">
      <text>
        <r>
          <rPr>
            <sz val="11"/>
            <color theme="1"/>
            <rFont val="Calibri"/>
            <family val="2"/>
            <scheme val="minor"/>
          </rPr>
          <t>R3PISMU:
Based on the IIS, it was submitted by Mr. Ronaldo.</t>
        </r>
      </text>
    </comment>
    <comment ref="J39" authorId="0" shapeId="0" xr:uid="{CF184F5E-6916-4895-B38E-1105A9B023F2}">
      <text>
        <r>
          <rPr>
            <sz val="11"/>
            <color theme="1"/>
            <rFont val="Calibri"/>
            <family val="2"/>
            <scheme val="minor"/>
          </rPr>
          <t>R3PISMU:
Based on the IIS, it was submitted by Mr. Ronaldo.</t>
        </r>
      </text>
    </comment>
    <comment ref="J41" authorId="0" shapeId="0" xr:uid="{08CC0FBE-306D-4EC3-B98D-E1D455F5BCEF}">
      <text>
        <r>
          <rPr>
            <sz val="11"/>
            <color theme="1"/>
            <rFont val="Calibri"/>
            <family val="2"/>
            <scheme val="minor"/>
          </rPr>
          <t>R3PISMU:
Based on the IIS, it was submitted by Ronaldo Roque</t>
        </r>
      </text>
    </comment>
    <comment ref="B57" authorId="1" shapeId="0" xr:uid="{23F2B656-DF8E-45EB-8CA1-20CBBB54EB68}">
      <text>
        <r>
          <rPr>
            <sz val="11"/>
            <color theme="1"/>
            <rFont val="Calibri"/>
            <family val="2"/>
            <scheme val="minor"/>
          </rPr>
          <t xml:space="preserve">R3SolidwasteMgmt:
Change from 
Poblacion - Sta. Rita Matanda to
San Vicente - Sta. Rita Matanda 
(Based on actual monitoring)
</t>
        </r>
      </text>
    </comment>
    <comment ref="B58" authorId="1" shapeId="0" xr:uid="{92A5C9C0-499D-44BF-84CB-41016082D80E}">
      <text>
        <r>
          <rPr>
            <sz val="11"/>
            <color theme="1"/>
            <rFont val="Calibri"/>
            <family val="2"/>
            <scheme val="minor"/>
          </rPr>
          <t xml:space="preserve">R3SolidwasteMgmt:
Change from 
Poblacion - Sta. Rita Matanda to
San Vicente - Sta. Rita Matanda 
(Based on actual monitoring)
</t>
        </r>
      </text>
    </comment>
    <comment ref="B61" authorId="1" shapeId="0" xr:uid="{65F3221B-0B20-4BD2-8951-DC03FF7A34C2}">
      <text>
        <r>
          <rPr>
            <sz val="11"/>
            <color theme="1"/>
            <rFont val="Calibri"/>
            <family val="2"/>
            <scheme val="minor"/>
          </rPr>
          <t>R3SolidwasteMgmt:
Change from 
San Vicente to
Pobalacion -San Juan (Based on actual monitoring)</t>
        </r>
      </text>
    </comment>
    <comment ref="B62" authorId="1" shapeId="0" xr:uid="{ACF4B79C-8E86-4D12-8696-7CE701E0FE5F}">
      <text>
        <r>
          <rPr>
            <sz val="11"/>
            <color theme="1"/>
            <rFont val="Calibri"/>
            <family val="2"/>
            <scheme val="minor"/>
          </rPr>
          <t>R3SolidwasteMgmt:
Change from 
San Vicente to
Pobalacion -San Juan (Based on actual monitoring)</t>
        </r>
      </text>
    </comment>
    <comment ref="AE75" authorId="0" shapeId="0" xr:uid="{AD50AB35-44FB-4ADA-9592-3430250A10DD}">
      <text>
        <r>
          <rPr>
            <sz val="11"/>
            <color theme="1"/>
            <rFont val="Calibri"/>
            <family val="2"/>
            <scheme val="minor"/>
          </rPr>
          <t xml:space="preserve">R3PISMU:
Yes, but the subject only pertains to the records documentation of the trash trap. </t>
        </r>
      </text>
    </comment>
    <comment ref="AE76" authorId="0" shapeId="0" xr:uid="{0EE2DB07-1AD4-4FC8-8E82-45A601C63866}">
      <text>
        <r>
          <rPr>
            <sz val="11"/>
            <color theme="1"/>
            <rFont val="Calibri"/>
            <family val="2"/>
            <scheme val="minor"/>
          </rPr>
          <t>R3PISMU:
The IIS subject to advise letter is within the account of RD Geri</t>
        </r>
      </text>
    </comment>
    <comment ref="AE79" authorId="0" shapeId="0" xr:uid="{295A1A4A-643A-47DE-8E72-5425AA24BCC0}">
      <text>
        <r>
          <rPr>
            <sz val="11"/>
            <color theme="1"/>
            <rFont val="Calibri"/>
            <family val="2"/>
            <scheme val="minor"/>
          </rPr>
          <t>R3PISMU:
Yes. However, upon checking with the transaction, the letter is still in process.</t>
        </r>
      </text>
    </comment>
    <comment ref="M103" authorId="0" shapeId="0" xr:uid="{4C5584F2-AA2C-4FEE-A9F4-6E7FB242CECD}">
      <text>
        <r>
          <rPr>
            <sz val="11"/>
            <color theme="1"/>
            <rFont val="Calibri"/>
            <family val="2"/>
            <scheme val="minor"/>
          </rPr>
          <t>R3-2025-024883</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R3SolidwasteMgmt</author>
    <author>R3PISMU</author>
  </authors>
  <commentList>
    <comment ref="B31" authorId="0" shapeId="0" xr:uid="{F096D059-DE40-4271-9CF0-388DDA1ACCF9}">
      <text>
        <r>
          <rPr>
            <sz val="11"/>
            <color theme="1"/>
            <rFont val="Calibri"/>
            <family val="2"/>
            <scheme val="minor"/>
          </rPr>
          <t>R3SolidwasteMgmt:
Change from Caniogan to Mabolo
(Based on actual monitoring)</t>
        </r>
      </text>
    </comment>
    <comment ref="M56" authorId="1" shapeId="0" xr:uid="{3DA0E0A1-DAFC-460A-9CEC-66E000222390}">
      <text>
        <r>
          <rPr>
            <sz val="11"/>
            <color theme="1"/>
            <rFont val="Calibri"/>
            <family val="2"/>
            <scheme val="minor"/>
          </rPr>
          <t>R3-2025-021080</t>
        </r>
      </text>
    </comment>
    <comment ref="B57" authorId="0" shapeId="0" xr:uid="{994EE3A2-37F9-46F4-A7D4-2F138B1FCF86}">
      <text>
        <r>
          <rPr>
            <sz val="11"/>
            <color theme="1"/>
            <rFont val="Calibri"/>
            <family val="2"/>
            <scheme val="minor"/>
          </rPr>
          <t>R3SolidwasteMgmt:
Change from 
San Vicente to
Pobalacion -San Juan (Based on actual monitoring)</t>
        </r>
      </text>
    </comment>
    <comment ref="B58" authorId="0" shapeId="0" xr:uid="{673E258A-020A-44BF-A91F-DAD476641C1D}">
      <text>
        <r>
          <rPr>
            <sz val="11"/>
            <color theme="1"/>
            <rFont val="Calibri"/>
            <family val="2"/>
            <scheme val="minor"/>
          </rPr>
          <t>R3SolidwasteMgmt:
Change from 
San Vicente to
Pobalacion -San Juan (Based on actual monitoring)</t>
        </r>
      </text>
    </comment>
    <comment ref="M59" authorId="1" shapeId="0" xr:uid="{23D8A61F-1C9E-49F3-8EB4-4D56ACB78E99}">
      <text>
        <r>
          <rPr>
            <sz val="11"/>
            <color theme="1"/>
            <rFont val="Calibri"/>
            <family val="2"/>
            <scheme val="minor"/>
          </rPr>
          <t>R3-2025-021081</t>
        </r>
      </text>
    </comment>
    <comment ref="M60" authorId="1" shapeId="0" xr:uid="{6C2E6C77-B1EC-4D72-9EBF-A4E300BA0875}">
      <text>
        <r>
          <rPr>
            <sz val="11"/>
            <color theme="1"/>
            <rFont val="Calibri"/>
            <family val="2"/>
            <scheme val="minor"/>
          </rPr>
          <t>R3-2025-020811</t>
        </r>
      </text>
    </comment>
    <comment ref="B61" authorId="0" shapeId="0" xr:uid="{97E153D4-56AB-46B9-8CC1-8636A3327656}">
      <text>
        <r>
          <rPr>
            <sz val="11"/>
            <color theme="1"/>
            <rFont val="Calibri"/>
            <family val="2"/>
            <scheme val="minor"/>
          </rPr>
          <t xml:space="preserve">R3SolidwasteMgmt:
Change from 
Poblacion - Sta. Rita Matanda to
San Vicente - Sta. Rita Matanda 
(Based on actual monitoring)
</t>
        </r>
      </text>
    </comment>
    <comment ref="M61" authorId="1" shapeId="0" xr:uid="{2BFC5209-3CF0-4E9A-8933-720EF7AEA153}">
      <text>
        <r>
          <rPr>
            <sz val="11"/>
            <color theme="1"/>
            <rFont val="Calibri"/>
            <family val="2"/>
            <scheme val="minor"/>
          </rPr>
          <t xml:space="preserve">R3-2025-020812
</t>
        </r>
      </text>
    </comment>
    <comment ref="B62" authorId="0" shapeId="0" xr:uid="{D6765625-D9AC-40F3-8816-9C55A9192C62}">
      <text>
        <r>
          <rPr>
            <sz val="11"/>
            <color theme="1"/>
            <rFont val="Calibri"/>
            <family val="2"/>
            <scheme val="minor"/>
          </rPr>
          <t>R3SolidwasteMgmt:
Poblacion - Sta. Rita Matanda to
San Vicente - Sta. Rita Matanda 
(Based on actual monitoring)</t>
        </r>
      </text>
    </comment>
    <comment ref="M62" authorId="1" shapeId="0" xr:uid="{455E737C-FDFC-4B3F-AC48-04D42C8227C2}">
      <text>
        <r>
          <rPr>
            <sz val="11"/>
            <color theme="1"/>
            <rFont val="Calibri"/>
            <family val="2"/>
            <scheme val="minor"/>
          </rPr>
          <t xml:space="preserve">R3-2025-020815
</t>
        </r>
      </text>
    </comment>
    <comment ref="M63" authorId="1" shapeId="0" xr:uid="{A19D80AF-D4AF-4C0C-BC3A-9F9C9082A772}">
      <text>
        <r>
          <rPr>
            <sz val="11"/>
            <color theme="1"/>
            <rFont val="Calibri"/>
            <family val="2"/>
            <scheme val="minor"/>
          </rPr>
          <t>R3-2025-021082</t>
        </r>
      </text>
    </comment>
    <comment ref="M80" authorId="1" shapeId="0" xr:uid="{2B03970B-42A4-418E-9289-ED46C5453F0C}">
      <text>
        <r>
          <rPr>
            <sz val="11"/>
            <color theme="1"/>
            <rFont val="Calibri"/>
            <family val="2"/>
            <scheme val="minor"/>
          </rPr>
          <t>R3PISMU:
R3-2025-020104</t>
        </r>
      </text>
    </comment>
    <comment ref="M81" authorId="1" shapeId="0" xr:uid="{E4B981E9-7951-4A6A-9FCC-A0A064B0FEEB}">
      <text>
        <r>
          <rPr>
            <sz val="11"/>
            <color theme="1"/>
            <rFont val="Calibri"/>
            <family val="2"/>
            <scheme val="minor"/>
          </rPr>
          <t>R3PISMU:
R3-2025-020103</t>
        </r>
      </text>
    </comment>
    <comment ref="M82" authorId="1" shapeId="0" xr:uid="{559E324C-A5C8-4E48-8EEC-619F90C78F2C}">
      <text>
        <r>
          <rPr>
            <sz val="11"/>
            <color theme="1"/>
            <rFont val="Calibri"/>
            <family val="2"/>
            <scheme val="minor"/>
          </rPr>
          <t>R3PISMU:
R3-2025-018655</t>
        </r>
      </text>
    </comment>
    <comment ref="M107" authorId="1" shapeId="0" xr:uid="{84AE60C0-D5BC-453E-882B-CC1C54EBBDD9}">
      <text>
        <r>
          <rPr>
            <sz val="11"/>
            <color theme="1"/>
            <rFont val="Calibri"/>
            <family val="2"/>
            <scheme val="minor"/>
          </rPr>
          <t>R3-2025-018652</t>
        </r>
      </text>
    </comment>
    <comment ref="M113" authorId="1" shapeId="0" xr:uid="{44B4A92E-D85F-423F-97A4-63DAE39BF63B}">
      <text>
        <r>
          <rPr>
            <sz val="11"/>
            <color theme="1"/>
            <rFont val="Calibri"/>
            <family val="2"/>
            <scheme val="minor"/>
          </rPr>
          <t xml:space="preserve">R3-2025-005295
</t>
        </r>
      </text>
    </comment>
    <comment ref="M134" authorId="1" shapeId="0" xr:uid="{3EA0A26D-9D23-4A53-8F63-9D16E72DE2A1}">
      <text>
        <r>
          <rPr>
            <sz val="11"/>
            <color theme="1"/>
            <rFont val="Calibri"/>
            <family val="2"/>
            <scheme val="minor"/>
          </rPr>
          <t>R3PISMU:
R3-2025-018802</t>
        </r>
      </text>
    </comment>
    <comment ref="M135" authorId="1" shapeId="0" xr:uid="{7906A6D7-B965-4DC9-B1D4-0099832FC2A6}">
      <text>
        <r>
          <rPr>
            <sz val="11"/>
            <color theme="1"/>
            <rFont val="Calibri"/>
            <family val="2"/>
            <scheme val="minor"/>
          </rPr>
          <t>R3PISMU:
R3-2025-018803</t>
        </r>
      </text>
    </comment>
    <comment ref="M136" authorId="1" shapeId="0" xr:uid="{3EF33574-B3FE-4523-B2B5-D702113D521A}">
      <text>
        <r>
          <rPr>
            <sz val="11"/>
            <color theme="1"/>
            <rFont val="Calibri"/>
            <family val="2"/>
            <scheme val="minor"/>
          </rPr>
          <t>R3PISMU:
R3-2025-018900</t>
        </r>
      </text>
    </comment>
    <comment ref="M137" authorId="1" shapeId="0" xr:uid="{4AE1479E-C404-4DCA-943D-C35061866EDD}">
      <text>
        <r>
          <rPr>
            <sz val="11"/>
            <color theme="1"/>
            <rFont val="Calibri"/>
            <family val="2"/>
            <scheme val="minor"/>
          </rPr>
          <t>R3PISMU:
R3-2025-019422</t>
        </r>
      </text>
    </comment>
    <comment ref="M139" authorId="1" shapeId="0" xr:uid="{5FBD74AC-0F8E-44CD-B3C9-08868FC72189}">
      <text>
        <r>
          <rPr>
            <sz val="11"/>
            <color theme="1"/>
            <rFont val="Calibri"/>
            <family val="2"/>
            <scheme val="minor"/>
          </rPr>
          <t>R3PISMU:
R3-2025-019424</t>
        </r>
      </text>
    </comment>
    <comment ref="Q155" authorId="0" shapeId="0" xr:uid="{C50B3BFA-FEFB-4E03-A378-3CA97DD133C6}">
      <text>
        <r>
          <rPr>
            <sz val="11"/>
            <color theme="1"/>
            <rFont val="Calibri"/>
            <family val="2"/>
            <scheme val="minor"/>
          </rPr>
          <t xml:space="preserve">R3SolidwasteMgmt: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R3PISMU</author>
  </authors>
  <commentList>
    <comment ref="N45" authorId="0" shapeId="0" xr:uid="{AD91CD7A-CD32-4783-98D9-423C49A34849}">
      <text>
        <r>
          <rPr>
            <sz val="11"/>
            <color theme="1"/>
            <rFont val="Calibri"/>
            <family val="2"/>
            <scheme val="minor"/>
          </rPr>
          <t>R3PISMU:
R3-2025-011093</t>
        </r>
      </text>
    </comment>
    <comment ref="X54" authorId="0" shapeId="0" xr:uid="{172DBE76-7FAA-45D1-AC46-7C0714C4B0CC}">
      <text>
        <r>
          <rPr>
            <sz val="11"/>
            <color theme="1"/>
            <rFont val="Calibri"/>
            <family val="2"/>
            <scheme val="minor"/>
          </rPr>
          <t>R3PISMU:
2024 report indicated that the barangay operationalized an MRF, far different from 2025 report which operationalized an MRS.</t>
        </r>
      </text>
    </comment>
    <comment ref="X88" authorId="0" shapeId="0" xr:uid="{76B8C1A7-CA3F-419C-9735-B46A9289179C}">
      <text>
        <r>
          <rPr>
            <sz val="11"/>
            <color theme="1"/>
            <rFont val="Calibri"/>
            <family val="2"/>
            <scheme val="minor"/>
          </rPr>
          <t>R3PISMU:
According to Barangay Secretary, they don’t have MRF/MRS in the Barangay due to house-to-house collection of garbage from LGU. In addition, the LGU Dipaculo has Category 1 SLF. However, as mandated by RA 9003, every barangay must have an MRF in compliance to the section 32 of the aformentioned law.</t>
        </r>
      </text>
    </comment>
    <comment ref="X135" authorId="0" shapeId="0" xr:uid="{174ABC15-C9B3-4185-9B46-3142CCCECC29}">
      <text>
        <r>
          <rPr>
            <sz val="11"/>
            <color theme="1"/>
            <rFont val="Calibri"/>
            <family val="2"/>
            <scheme val="minor"/>
          </rPr>
          <t>R3PISMU:
2024 report indicated that the barangay operationalized an MRF, far different from 2025 report which operationalized an MRS.</t>
        </r>
      </text>
    </comment>
    <comment ref="Y290" authorId="0" shapeId="0" xr:uid="{1A10A3CB-DF7E-4A68-ADF6-5F65C330D284}">
      <text>
        <r>
          <rPr>
            <sz val="11"/>
            <color theme="1"/>
            <rFont val="Calibri"/>
            <family val="2"/>
            <scheme val="minor"/>
          </rPr>
          <t>R3PISMU:
Under construction</t>
        </r>
      </text>
    </comment>
    <comment ref="B785" authorId="0" shapeId="0" xr:uid="{4A292B1F-E48E-4865-84DE-820BAFECC265}">
      <text>
        <r>
          <rPr>
            <sz val="11"/>
            <color theme="1"/>
            <rFont val="Calibri"/>
            <family val="2"/>
            <scheme val="minor"/>
          </rPr>
          <t>R3PISMU:
Duplicate with cell 733?</t>
        </r>
      </text>
    </comment>
    <comment ref="H1403" authorId="0" shapeId="0" xr:uid="{F09EADB2-1DE3-4BCD-BFDB-84985FB79A29}">
      <text>
        <r>
          <rPr>
            <sz val="11"/>
            <color theme="1"/>
            <rFont val="Calibri"/>
            <family val="2"/>
            <scheme val="minor"/>
          </rPr>
          <t>R3PISMU:
2024</t>
        </r>
      </text>
    </comment>
    <comment ref="I1403" authorId="0" shapeId="0" xr:uid="{96835C1D-F84C-4F3C-BD46-D0E5870186F9}">
      <text>
        <r>
          <rPr>
            <sz val="11"/>
            <color theme="1"/>
            <rFont val="Calibri"/>
            <family val="2"/>
            <scheme val="minor"/>
          </rPr>
          <t>R3PISMU:
7-May-24</t>
        </r>
      </text>
    </comment>
    <comment ref="Y1442" authorId="0" shapeId="0" xr:uid="{08A6ECAB-1C17-46A0-B209-9B013D183937}">
      <text>
        <r>
          <rPr>
            <sz val="11"/>
            <color theme="1"/>
            <rFont val="Calibri"/>
            <family val="2"/>
            <scheme val="minor"/>
          </rPr>
          <t>R3PISMU:
Not operational during the inspection</t>
        </r>
      </text>
    </comment>
    <comment ref="X2508" authorId="0" shapeId="0" xr:uid="{42BAAE76-856E-4304-9F21-F9E8B174E10A}">
      <text>
        <r>
          <rPr>
            <sz val="11"/>
            <color theme="1"/>
            <rFont val="Calibri"/>
            <family val="2"/>
            <scheme val="minor"/>
          </rPr>
          <t>R3PISMU:
1 MRF
6 MRS</t>
        </r>
      </text>
    </comment>
    <comment ref="A2820" authorId="0" shapeId="0" xr:uid="{72FBFEF0-3D19-440A-8E48-58861A755B75}">
      <text>
        <r>
          <rPr>
            <sz val="11"/>
            <color theme="1"/>
            <rFont val="Calibri"/>
            <family val="2"/>
            <scheme val="minor"/>
          </rPr>
          <t xml:space="preserve">R3PISMU:
No Technical Assistance conducted. Rescheduled of TA.
</t>
        </r>
      </text>
    </comment>
    <comment ref="I3006" authorId="0" shapeId="0" xr:uid="{D31C297D-A810-4C4F-ABAB-AD8C008A1730}">
      <text>
        <r>
          <rPr>
            <sz val="11"/>
            <color theme="1"/>
            <rFont val="Calibri"/>
            <family val="2"/>
            <scheme val="minor"/>
          </rPr>
          <t>R3PISMU:
4-Oct-24</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R3PISMU</author>
  </authors>
  <commentList>
    <comment ref="L53" authorId="0" shapeId="0" xr:uid="{5229EAB2-E6DF-4268-B089-0EE390B1CAE6}">
      <text>
        <r>
          <rPr>
            <sz val="11"/>
            <color theme="1"/>
            <rFont val="Calibri"/>
            <family val="2"/>
            <scheme val="minor"/>
          </rPr>
          <t>R3PISMU:
R3-2025-022045
July 3, 2025
July 3, 2025
MRF 
OPERATIONAL</t>
        </r>
      </text>
    </comment>
    <comment ref="W154" authorId="0" shapeId="0" xr:uid="{489C1AA4-C383-4946-BAB3-CEE3CA018D92}">
      <text>
        <r>
          <rPr>
            <sz val="11"/>
            <color theme="1"/>
            <rFont val="Calibri"/>
            <family val="2"/>
            <scheme val="minor"/>
          </rPr>
          <t>R3PISMU:
Barangay townsite</t>
        </r>
      </text>
    </comment>
    <comment ref="X176" authorId="0" shapeId="0" xr:uid="{E400CE3D-9410-413D-BE4D-F52DC8524E16}">
      <text>
        <r>
          <rPr>
            <sz val="11"/>
            <color theme="1"/>
            <rFont val="Calibri"/>
            <family val="2"/>
            <scheme val="minor"/>
          </rPr>
          <t>R3PISMU:
UNDER REHABILITATION</t>
        </r>
      </text>
    </comment>
    <comment ref="AA203" authorId="0" shapeId="0" xr:uid="{9A6498A4-A42D-4490-A983-85D168E648D1}">
      <text>
        <r>
          <rPr>
            <sz val="11"/>
            <color theme="1"/>
            <rFont val="Calibri"/>
            <family val="2"/>
            <scheme val="minor"/>
          </rPr>
          <t>R3PISMU:
Private Hauler</t>
        </r>
      </text>
    </comment>
    <comment ref="W375" authorId="0" shapeId="0" xr:uid="{A458D5C9-7B71-4395-9528-574913B6A8EC}">
      <text>
        <r>
          <rPr>
            <sz val="11"/>
            <color theme="1"/>
            <rFont val="Calibri"/>
            <family val="2"/>
            <scheme val="minor"/>
          </rPr>
          <t>R3PISMU:
Clustering</t>
        </r>
      </text>
    </comment>
    <comment ref="W463" authorId="0" shapeId="0" xr:uid="{E69F4F44-20D9-4B16-8B14-A60FA837F9F5}">
      <text>
        <r>
          <rPr>
            <sz val="11"/>
            <color theme="1"/>
            <rFont val="Calibri"/>
            <family val="2"/>
            <scheme val="minor"/>
          </rPr>
          <t>R3PISMU:
MRF UNDER CONSTRUCTION</t>
        </r>
      </text>
    </comment>
    <comment ref="W663" authorId="0" shapeId="0" xr:uid="{2E4E16EE-3071-4147-B8E4-9AE3734FB795}">
      <text>
        <r>
          <rPr>
            <sz val="11"/>
            <color theme="1"/>
            <rFont val="Calibri"/>
            <family val="2"/>
            <scheme val="minor"/>
          </rPr>
          <t>R3PISMU:
Guiguintu</t>
        </r>
      </text>
    </comment>
    <comment ref="W670" authorId="0" shapeId="0" xr:uid="{4DF12837-7CD5-428C-AD0E-F493D4579FAF}">
      <text>
        <r>
          <rPr>
            <sz val="11"/>
            <color theme="1"/>
            <rFont val="Calibri"/>
            <family val="2"/>
            <scheme val="minor"/>
          </rPr>
          <t>R3PISMU:
Clustered to Guiguintu</t>
        </r>
      </text>
    </comment>
    <comment ref="W671" authorId="0" shapeId="0" xr:uid="{7D14E4D4-981A-4C13-9E58-3B7AB286011E}">
      <text>
        <r>
          <rPr>
            <sz val="11"/>
            <color theme="1"/>
            <rFont val="Calibri"/>
            <family val="2"/>
            <scheme val="minor"/>
          </rPr>
          <t>R3PISMU:
Clustered to Guiguintu</t>
        </r>
      </text>
    </comment>
    <comment ref="W672" authorId="0" shapeId="0" xr:uid="{9B04FB10-C9A5-4EE3-AA85-60956B5FE79D}">
      <text>
        <r>
          <rPr>
            <sz val="11"/>
            <color theme="1"/>
            <rFont val="Calibri"/>
            <family val="2"/>
            <scheme val="minor"/>
          </rPr>
          <t>R3PISMU:
Clustered to Guiguintu</t>
        </r>
      </text>
    </comment>
    <comment ref="W673" authorId="0" shapeId="0" xr:uid="{7C36CD19-B43F-4615-AE27-E55E997FDBD1}">
      <text>
        <r>
          <rPr>
            <sz val="11"/>
            <color theme="1"/>
            <rFont val="Calibri"/>
            <family val="2"/>
            <scheme val="minor"/>
          </rPr>
          <t>R3PISMU:
Clustered to Guiguintu</t>
        </r>
      </text>
    </comment>
    <comment ref="W674" authorId="0" shapeId="0" xr:uid="{6735C8E6-D59E-4F33-A6E5-F78963C2F34D}">
      <text>
        <r>
          <rPr>
            <sz val="11"/>
            <color theme="1"/>
            <rFont val="Calibri"/>
            <family val="2"/>
            <scheme val="minor"/>
          </rPr>
          <t>R3PISMU:
Clustered to Guiguintu</t>
        </r>
      </text>
    </comment>
    <comment ref="AA2412" authorId="0" shapeId="0" xr:uid="{6282D8BC-DEEC-4367-A66B-1EA568B5CBFD}">
      <text>
        <r>
          <rPr>
            <sz val="11"/>
            <color theme="1"/>
            <rFont val="Calibri"/>
            <family val="2"/>
            <scheme val="minor"/>
          </rPr>
          <t>R3PISMU:
The barangay regularly collects waste every Tuesday by the LGU and disposed to Urdaneta Waste Management Corp at Pangasinan</t>
        </r>
      </text>
    </comment>
    <comment ref="W2510" authorId="0" shapeId="0" xr:uid="{C4018230-D10E-4B53-A615-14E93B80F15E}">
      <text>
        <r>
          <rPr>
            <sz val="11"/>
            <color theme="1"/>
            <rFont val="Calibri"/>
            <family val="2"/>
            <scheme val="minor"/>
          </rPr>
          <t>R3PISMU:
1 - MRF
6 - MRS</t>
        </r>
      </text>
    </comment>
    <comment ref="AA2890" authorId="0" shapeId="0" xr:uid="{0538649C-CB51-4C6F-8A19-5F40AB7863FB}">
      <text>
        <r>
          <rPr>
            <sz val="11"/>
            <color theme="1"/>
            <rFont val="Calibri"/>
            <family val="2"/>
            <scheme val="minor"/>
          </rPr>
          <t>R3PISMU:
Hauler: Green Rescue Environmental Solutions and Services, Inc</t>
        </r>
      </text>
    </comment>
    <comment ref="AA2891" authorId="0" shapeId="0" xr:uid="{0214051F-1A0A-4858-A17A-0F8EF5F389F8}">
      <text>
        <r>
          <rPr>
            <sz val="11"/>
            <color theme="1"/>
            <rFont val="Calibri"/>
            <family val="2"/>
            <scheme val="minor"/>
          </rPr>
          <t>R3PISMU:
Hauler: Green Rescue Environmental Solutions and Services, Inc</t>
        </r>
      </text>
    </comment>
    <comment ref="AA2892" authorId="0" shapeId="0" xr:uid="{1127997E-60C9-4343-8D66-A1E9167B4CF7}">
      <text>
        <r>
          <rPr>
            <sz val="11"/>
            <color theme="1"/>
            <rFont val="Calibri"/>
            <family val="2"/>
            <scheme val="minor"/>
          </rPr>
          <t>R3PISMU:
Hauler: Green Rescue Environmental Solutions and Services, Inc</t>
        </r>
      </text>
    </comment>
    <comment ref="AA2893" authorId="0" shapeId="0" xr:uid="{ABF5BDCE-A790-4D36-A93A-75E382AC5AA6}">
      <text>
        <r>
          <rPr>
            <sz val="11"/>
            <color theme="1"/>
            <rFont val="Calibri"/>
            <family val="2"/>
            <scheme val="minor"/>
          </rPr>
          <t>R3PISMU:
Hauler: Green Rescue Environmental Solutions and Services, Inc</t>
        </r>
      </text>
    </comment>
    <comment ref="AA2894" authorId="0" shapeId="0" xr:uid="{0DD68BBC-1D16-4829-8E1D-601CBB7DC100}">
      <text>
        <r>
          <rPr>
            <sz val="11"/>
            <color theme="1"/>
            <rFont val="Calibri"/>
            <family val="2"/>
            <scheme val="minor"/>
          </rPr>
          <t>R3PISMU:
Hauler: Green Rescue Environmental Solutions and Services, Inc</t>
        </r>
      </text>
    </comment>
    <comment ref="AA2895" authorId="0" shapeId="0" xr:uid="{B90B954C-BDC8-49FE-8D58-658CC0DF5A9F}">
      <text>
        <r>
          <rPr>
            <sz val="11"/>
            <color theme="1"/>
            <rFont val="Calibri"/>
            <family val="2"/>
            <scheme val="minor"/>
          </rPr>
          <t>R3PISMU:
Hauler: Green Rescue Environmental Solutions and Services, Inc</t>
        </r>
      </text>
    </comment>
    <comment ref="W2980" authorId="0" shapeId="0" xr:uid="{2EA2B954-7D36-4C35-854F-97EC63C377AD}">
      <text>
        <r>
          <rPr>
            <sz val="11"/>
            <color theme="1"/>
            <rFont val="Calibri"/>
            <family val="2"/>
            <scheme val="minor"/>
          </rPr>
          <t>R3PISMU:
MRF IS UNDERCONSTRUCTION. HOWEVER, IT WAS MENTIONED TO THE TECHNICAL ASSISTANCE REPORT, IT IS USED AS KITCHEN</t>
        </r>
      </text>
    </comment>
    <comment ref="AA2994" authorId="0" shapeId="0" xr:uid="{4094D6B6-FAA3-4D76-B105-45ED4EFBF7BD}">
      <text>
        <r>
          <rPr>
            <sz val="11"/>
            <color theme="1"/>
            <rFont val="Calibri"/>
            <family val="2"/>
            <scheme val="minor"/>
          </rPr>
          <t>R3PISMU:
transferred to an Open Dumpsite</t>
        </r>
      </text>
    </comment>
    <comment ref="AA2995" authorId="0" shapeId="0" xr:uid="{C1C92451-B4B7-403A-A6C1-9527B2328D39}">
      <text>
        <r>
          <rPr>
            <sz val="11"/>
            <color theme="1"/>
            <rFont val="Calibri"/>
            <family val="2"/>
            <scheme val="minor"/>
          </rPr>
          <t>R3PISMU:
transferred to an Open Dumpsite</t>
        </r>
      </text>
    </comment>
    <comment ref="AA2996" authorId="0" shapeId="0" xr:uid="{85F0E33E-B07F-4E29-ADD4-A3B5FA019717}">
      <text>
        <r>
          <rPr>
            <sz val="11"/>
            <color theme="1"/>
            <rFont val="Calibri"/>
            <family val="2"/>
            <scheme val="minor"/>
          </rPr>
          <t>R3PISMU:
transferred to an Open Dumpsite</t>
        </r>
      </text>
    </comment>
    <comment ref="W2997" authorId="0" shapeId="0" xr:uid="{BF1119DA-8069-4A4F-9F7F-D121EF67B8EC}">
      <text>
        <r>
          <rPr>
            <sz val="11"/>
            <color theme="1"/>
            <rFont val="Calibri"/>
            <family val="2"/>
            <scheme val="minor"/>
          </rPr>
          <t>R3PISMU:
Constructed MRF</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R3PISMU</author>
  </authors>
  <commentList>
    <comment ref="U3" authorId="0" shapeId="0" xr:uid="{58ABD752-6222-4DDA-8A61-4D487E1240F7}">
      <text>
        <r>
          <rPr>
            <sz val="11"/>
            <color theme="1"/>
            <rFont val="Calibri"/>
            <family val="2"/>
            <scheme val="minor"/>
          </rPr>
          <t>R3PISMU:
Basic Environmental Systems &amp; Technologies, Inc. (BEST)</t>
        </r>
      </text>
    </comment>
    <comment ref="U8" authorId="0" shapeId="0" xr:uid="{7280BCEA-FBDA-4ECC-AD16-0E6B2A0D55BE}">
      <text>
        <r>
          <rPr>
            <sz val="11"/>
            <color theme="1"/>
            <rFont val="Calibri"/>
            <family val="2"/>
            <scheme val="minor"/>
          </rPr>
          <t>R3PISMU:
Eco Protect Waste Management Corp.</t>
        </r>
      </text>
    </comment>
    <comment ref="U10" authorId="0" shapeId="0" xr:uid="{1E8BC893-FA5A-49C4-9246-303AB4245E7F}">
      <text>
        <r>
          <rPr>
            <sz val="11"/>
            <color theme="1"/>
            <rFont val="Calibri"/>
            <family val="2"/>
            <scheme val="minor"/>
          </rPr>
          <t>R3PISMU:
Basic Environmental Systems &amp; Technologies, Inc. (BEST)</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<sst xmlns="http://schemas.openxmlformats.org/spreadsheetml/2006/main" count="99499" uniqueCount="9646">
  <si>
    <t>No.</t>
  </si>
  <si>
    <t>PROVINCE</t>
  </si>
  <si>
    <t>ENMO</t>
  </si>
  <si>
    <t>10 Year Plan</t>
  </si>
  <si>
    <t>MRF</t>
  </si>
  <si>
    <t>Equipment</t>
  </si>
  <si>
    <t>ODS</t>
  </si>
  <si>
    <t>SLF</t>
  </si>
  <si>
    <t>Transfer Station</t>
  </si>
  <si>
    <t>RCA</t>
  </si>
  <si>
    <t>Trash Trap</t>
  </si>
  <si>
    <t>Preliminary Disinpection Facility</t>
  </si>
  <si>
    <t>AURORA</t>
  </si>
  <si>
    <t>Zaila Mae R. Leander</t>
  </si>
  <si>
    <t>Nikko Jay M. Valenzuela</t>
  </si>
  <si>
    <t>Queenyvel R. Laguisma</t>
  </si>
  <si>
    <t>BATAAN</t>
  </si>
  <si>
    <t>Dennis G. Tolentino</t>
  </si>
  <si>
    <t>John-lester C. Signio</t>
  </si>
  <si>
    <t>Laurence Radasa</t>
  </si>
  <si>
    <t>BULACAN</t>
  </si>
  <si>
    <t>Jasmine Marie J. Nicolas</t>
  </si>
  <si>
    <t>Ronaldo P. Roque Jr.</t>
  </si>
  <si>
    <t>Vacant</t>
  </si>
  <si>
    <t>James Wilson T.  Peña</t>
  </si>
  <si>
    <t>NUEVA ECIJA</t>
  </si>
  <si>
    <t>Hosannah R. Sabio</t>
  </si>
  <si>
    <t>Gem C.  Vicencio</t>
  </si>
  <si>
    <t>Jan Emerson C. Gonzales</t>
  </si>
  <si>
    <t>Aser A. Inocencio, Jr.</t>
  </si>
  <si>
    <t>Christine Ann V. Ramos</t>
  </si>
  <si>
    <t>PAMPANGA</t>
  </si>
  <si>
    <t>Roger T. Encarnacion II</t>
  </si>
  <si>
    <t>Elyza A. Evilla</t>
  </si>
  <si>
    <t>Glaiza S.Gaza</t>
  </si>
  <si>
    <t>Ivy M. Castro</t>
  </si>
  <si>
    <t>TARLAC</t>
  </si>
  <si>
    <t>Joshua A. Capones</t>
  </si>
  <si>
    <t>Jasper Kieht B. Pili</t>
  </si>
  <si>
    <t>Gretzhen M. Apolonio</t>
  </si>
  <si>
    <t>ZAMBALES</t>
  </si>
  <si>
    <t>Larizze A. Santos</t>
  </si>
  <si>
    <t>Ryan Ace R. Angel</t>
  </si>
  <si>
    <t>Type of Plan</t>
  </si>
  <si>
    <t>EQUIPEMENT</t>
  </si>
  <si>
    <t>PDS</t>
  </si>
  <si>
    <t>TRASH TRAP</t>
  </si>
  <si>
    <t>TRANSFER STATION</t>
  </si>
  <si>
    <t>Municipal / City Plan</t>
  </si>
  <si>
    <t>YES</t>
  </si>
  <si>
    <t>OPERATIONAL</t>
  </si>
  <si>
    <t>FULLY REHABILITATED</t>
  </si>
  <si>
    <t>COMPLIANT</t>
  </si>
  <si>
    <t>FACILITY</t>
  </si>
  <si>
    <t>LGU</t>
  </si>
  <si>
    <t>Provincial Plan</t>
  </si>
  <si>
    <t>NO</t>
  </si>
  <si>
    <t>NON-OPERATIONAL</t>
  </si>
  <si>
    <t>PARTIAL REHABILITATED</t>
  </si>
  <si>
    <t>NOT COMPLIANT</t>
  </si>
  <si>
    <t>BIN</t>
  </si>
  <si>
    <t>PRIVATE OWNERSHIP</t>
  </si>
  <si>
    <t>UNDER CONSTRUCTION</t>
  </si>
  <si>
    <t>PLANNING TO TRANSFER</t>
  </si>
  <si>
    <t>NOT YET REHABILITATED</t>
  </si>
  <si>
    <t>OPERATING AS OPEN DUMPSITE</t>
  </si>
  <si>
    <t>PLANNING TO RETURN</t>
  </si>
  <si>
    <t>OTHER</t>
  </si>
  <si>
    <t>Type of MRF</t>
  </si>
  <si>
    <t>N/A</t>
  </si>
  <si>
    <t>EMB FUNDED MRF</t>
  </si>
  <si>
    <t>EMB FUNDED BRGY MRF</t>
  </si>
  <si>
    <t>LGU FUNDED MRF</t>
  </si>
  <si>
    <t>1.January</t>
  </si>
  <si>
    <t>2.February</t>
  </si>
  <si>
    <t>3.March</t>
  </si>
  <si>
    <t>4.April</t>
  </si>
  <si>
    <t>5.May</t>
  </si>
  <si>
    <t>6.June</t>
  </si>
  <si>
    <t>7.July</t>
  </si>
  <si>
    <t>8.August</t>
  </si>
  <si>
    <t>9.September</t>
  </si>
  <si>
    <t>10.October</t>
  </si>
  <si>
    <t>11.November</t>
  </si>
  <si>
    <t>12.December</t>
  </si>
  <si>
    <t>Province</t>
  </si>
  <si>
    <t>Municipality</t>
  </si>
  <si>
    <t>CONCATENATE</t>
  </si>
  <si>
    <t>Manila Bay Area (MBA)</t>
  </si>
  <si>
    <t>Congressional District</t>
  </si>
  <si>
    <t>Long.</t>
  </si>
  <si>
    <t>Lat.</t>
  </si>
  <si>
    <t>Location</t>
  </si>
  <si>
    <t>Type of SWM Plan</t>
  </si>
  <si>
    <t xml:space="preserve">Resolution No. </t>
  </si>
  <si>
    <t>Period Covered</t>
  </si>
  <si>
    <t>Year Approved</t>
  </si>
  <si>
    <t>End Period</t>
  </si>
  <si>
    <t>For Renewal</t>
  </si>
  <si>
    <t>Target Month</t>
  </si>
  <si>
    <t>ENMO Assigned</t>
  </si>
  <si>
    <t xml:space="preserve">ESWM Staff
</t>
  </si>
  <si>
    <t>Focal Person</t>
  </si>
  <si>
    <t>IIS NUMBER</t>
  </si>
  <si>
    <t>Date of Monitoring</t>
  </si>
  <si>
    <t>Date Report Prepared (Submitted to IIS by ENMO)</t>
  </si>
  <si>
    <t>Date Report Reviewed (by ESWM Staff)</t>
  </si>
  <si>
    <t>Date Report Reviewed (by Focal Person)</t>
  </si>
  <si>
    <t>Date Report Approved</t>
  </si>
  <si>
    <t>Total No. of Days (Report prepared)</t>
  </si>
  <si>
    <t>Total No. of Days (Report Reviewed by ESWM Staff)</t>
  </si>
  <si>
    <t>Total No. of Days (Report Reviewed by Focal)</t>
  </si>
  <si>
    <t>Total No. of Days (Report Approved by C, ESWM)</t>
  </si>
  <si>
    <t>Tracking of Reports
(To be filled out by Planning Section)</t>
  </si>
  <si>
    <t>PCG</t>
  </si>
  <si>
    <t>Total Waste Generation</t>
  </si>
  <si>
    <t>Waste Diversion Rate (%)</t>
  </si>
  <si>
    <t>LGU Final Disposal</t>
  </si>
  <si>
    <t>Remarks and Recommendation
(Compliant/ Non-Compliant)</t>
  </si>
  <si>
    <t>a. source reduction activities at source are present</t>
  </si>
  <si>
    <t>b. Collection segregated collection</t>
  </si>
  <si>
    <t>c. Storage and setout (Segregation at source)</t>
  </si>
  <si>
    <t>d. Processing MRF</t>
  </si>
  <si>
    <t>e. Transfer Station</t>
  </si>
  <si>
    <t>f. Disposal Facilities</t>
  </si>
  <si>
    <t>Advise Letter/Notice Date Issued</t>
  </si>
  <si>
    <t>Compliance to Advise/ Letter Issued</t>
  </si>
  <si>
    <t>Remarks</t>
  </si>
  <si>
    <t>Per Capita Per Day</t>
  </si>
  <si>
    <t>Biodegradable Wastes (kg/day)</t>
  </si>
  <si>
    <t>Bio (%)</t>
  </si>
  <si>
    <t>Recyclable Wastes (kg/day)</t>
  </si>
  <si>
    <t>Recyclable (%)</t>
  </si>
  <si>
    <t>Residual with
potential (kg/day)</t>
  </si>
  <si>
    <t>Residual with Potential (%)</t>
  </si>
  <si>
    <t>Residual Wastes for Disposal (kg/day)</t>
  </si>
  <si>
    <t>Residual (%)</t>
  </si>
  <si>
    <t>Special Wastes
(kg/day)</t>
  </si>
  <si>
    <t>Special (%)</t>
  </si>
  <si>
    <t>Waste Diversion
Rate (%)</t>
  </si>
  <si>
    <t>Disposal
Rate (%)</t>
  </si>
  <si>
    <t>BACOLOR</t>
  </si>
  <si>
    <t>PAMPANGA, BACOLOR</t>
  </si>
  <si>
    <t>MBA</t>
  </si>
  <si>
    <t>3rd</t>
  </si>
  <si>
    <t>NSWMC Resolution No. 1638, Series of 2023</t>
  </si>
  <si>
    <t>2022 - 2031</t>
  </si>
  <si>
    <t>Maria Cecilia Pascual</t>
  </si>
  <si>
    <t>Yves Yshmael M. Balagtas</t>
  </si>
  <si>
    <t>R3-2025-001650</t>
  </si>
  <si>
    <t>Received by Planning</t>
  </si>
  <si>
    <t>Compliant</t>
  </si>
  <si>
    <t>CITY OF SAN FERNANDO</t>
  </si>
  <si>
    <t>PAMPANGA, CITY OF SAN FERNANDO</t>
  </si>
  <si>
    <t>167 series 2015</t>
  </si>
  <si>
    <t>2015 - 2024</t>
  </si>
  <si>
    <t>R3-2025-002191</t>
  </si>
  <si>
    <t>OLONGAPO CITY</t>
  </si>
  <si>
    <t>ZAMBALES, OLONGAPO CITY</t>
  </si>
  <si>
    <t>OUTSIDE MBA</t>
  </si>
  <si>
    <t>1st</t>
  </si>
  <si>
    <t>NSWMC Resolution No. 1639, Series of 2023</t>
  </si>
  <si>
    <t>2023 - 2032</t>
  </si>
  <si>
    <t>Ryan Christian R. Nunag</t>
  </si>
  <si>
    <t>Jun D. Guillermo</t>
  </si>
  <si>
    <t>R3-2025-001966</t>
  </si>
  <si>
    <t>LGU SLF</t>
  </si>
  <si>
    <t>PROVINCIAL GOVERNMENT OF AURORA</t>
  </si>
  <si>
    <t>AURORA, PROVINCIAL GOVERNMENT OF AURORA</t>
  </si>
  <si>
    <t>NSWMC RESO NO. 855A SERIES OF 2019</t>
  </si>
  <si>
    <t>2018 - 2028</t>
  </si>
  <si>
    <t>s</t>
  </si>
  <si>
    <t>Zaila Mae Leander</t>
  </si>
  <si>
    <t xml:space="preserve"> R3-2025-033200</t>
  </si>
  <si>
    <t xml:space="preserve">LGU owned SLF (Ma. Aurora, Dingalan and Dipaculao) </t>
  </si>
  <si>
    <t>ORANI</t>
  </si>
  <si>
    <t>BATAAN, ORANI</t>
  </si>
  <si>
    <t>1084 series of 2018</t>
  </si>
  <si>
    <t>2017 - 2028</t>
  </si>
  <si>
    <t>John-lester Signio</t>
  </si>
  <si>
    <t>Christle D. David</t>
  </si>
  <si>
    <t>R3-2025-034269</t>
  </si>
  <si>
    <t>Floridablanca Enviro Corporation</t>
  </si>
  <si>
    <t>ORION</t>
  </si>
  <si>
    <t>BATAAN, ORION</t>
  </si>
  <si>
    <t>2nd</t>
  </si>
  <si>
    <t>nswmc res.974 s2017</t>
  </si>
  <si>
    <t>2015 - 2025</t>
  </si>
  <si>
    <t>Dennis Tolentino</t>
  </si>
  <si>
    <t>R3-2025-034326</t>
  </si>
  <si>
    <t>Pyrolysis Equipment</t>
  </si>
  <si>
    <t>PROVINCIAL GOVERNMENT OF BATAAN</t>
  </si>
  <si>
    <t>BATAAN, PROVINCIAL GOVERNMENT OF BATAAN</t>
  </si>
  <si>
    <t>NSWMC RESO NO. 1460 SERIES OF 2021</t>
  </si>
  <si>
    <t>2020 - 2030</t>
  </si>
  <si>
    <t>R3-2025-035372</t>
  </si>
  <si>
    <t>Bataan Integrated Waste Management Facility</t>
  </si>
  <si>
    <t>SAN ILDEFONSO</t>
  </si>
  <si>
    <t>BULACAN, SAN ILDEFONSO</t>
  </si>
  <si>
    <t>2017 - 2027</t>
  </si>
  <si>
    <t>Ronaldo P. Roque, Jr.</t>
  </si>
  <si>
    <t>Diozelle A. Lazatin</t>
  </si>
  <si>
    <t>R3-2025-034956</t>
  </si>
  <si>
    <t>48,262.64kgs</t>
  </si>
  <si>
    <t>ECO Protect</t>
  </si>
  <si>
    <t>SAN RAFAEL</t>
  </si>
  <si>
    <t>BULACAN, SAN RAFAEL</t>
  </si>
  <si>
    <t>NSWMC RESO NO. 168 SERIES OF 2015</t>
  </si>
  <si>
    <t>R3-2025-034066</t>
  </si>
  <si>
    <t>CARRANGLAN</t>
  </si>
  <si>
    <t>NUEVA ECIJA, CARRANGLAN</t>
  </si>
  <si>
    <t>Jaypee Ordoñez</t>
  </si>
  <si>
    <t>Zosimo P. Suyat</t>
  </si>
  <si>
    <t>R3-2025-035170</t>
  </si>
  <si>
    <t>Primawaste</t>
  </si>
  <si>
    <t>SCIENCE CITY OF MUñOZ</t>
  </si>
  <si>
    <t>NUEVA ECIJA, SCIENCE CITY OF MUñOZ</t>
  </si>
  <si>
    <t>1085 s. 2018</t>
  </si>
  <si>
    <t>2018 - 2027</t>
  </si>
  <si>
    <t>R3-2025-035172</t>
  </si>
  <si>
    <t>Metro Waste</t>
  </si>
  <si>
    <t>STO DOMINGO</t>
  </si>
  <si>
    <t>NUEVA ECIJA, STO DOMINGO</t>
  </si>
  <si>
    <t>NSWMC RESO NO. 588-A SERIES OF 2020</t>
  </si>
  <si>
    <t>Gem C. Vicencio</t>
  </si>
  <si>
    <t>R3-2025-035071</t>
  </si>
  <si>
    <t>TALAVERA</t>
  </si>
  <si>
    <t>NUEVA ECIJA, TALAVERA</t>
  </si>
  <si>
    <t>1063 s. 2018</t>
  </si>
  <si>
    <t>2017 - 2026</t>
  </si>
  <si>
    <t>R3-2025-034954</t>
  </si>
  <si>
    <t>SAN SIMON</t>
  </si>
  <si>
    <t>PAMPANGA, SAN SIMON</t>
  </si>
  <si>
    <t>4th</t>
  </si>
  <si>
    <t>1333 series of 2019</t>
  </si>
  <si>
    <t>R3-2025-034978</t>
  </si>
  <si>
    <t xml:space="preserve">Floridablanca Enviro Corp. </t>
  </si>
  <si>
    <t>MAYANTOC</t>
  </si>
  <si>
    <t>TARLAC, MAYANTOC</t>
  </si>
  <si>
    <t>NSWMC Reso No. 1359 s 2019</t>
  </si>
  <si>
    <t>R3-2025-035011</t>
  </si>
  <si>
    <t>MAA Integraded Waste Solution Corporation</t>
  </si>
  <si>
    <t>CANDELARIA</t>
  </si>
  <si>
    <t>ZAMBALES, CANDELARIA</t>
  </si>
  <si>
    <t>NSWMC RESO NO. 1446 SERIES OF 2021</t>
  </si>
  <si>
    <t>2020 - 2029</t>
  </si>
  <si>
    <t>R3-2025-033415</t>
  </si>
  <si>
    <t>DILASAG</t>
  </si>
  <si>
    <t>AURORA, DILASAG</t>
  </si>
  <si>
    <t>Lone</t>
  </si>
  <si>
    <t>504 A series of 2018</t>
  </si>
  <si>
    <t>Queenyvel Laguisma</t>
  </si>
  <si>
    <t>R3-2025-037356</t>
  </si>
  <si>
    <t>5,260.80 kg/day</t>
  </si>
  <si>
    <t>DINGALAN</t>
  </si>
  <si>
    <t>AURORA, DINGALAN</t>
  </si>
  <si>
    <t>1234 Series 2019</t>
  </si>
  <si>
    <t>R3-2025-037799</t>
  </si>
  <si>
    <t>12, 582.71 kg/day</t>
  </si>
  <si>
    <t>LGU owned SLF</t>
  </si>
  <si>
    <t>SAN MIGUEL</t>
  </si>
  <si>
    <t>BULACAN, SAN MIGUEL</t>
  </si>
  <si>
    <t>NSWMC RESO NO. 179A S 2015</t>
  </si>
  <si>
    <t>R3-2025-037390</t>
  </si>
  <si>
    <t>CABANATUAN</t>
  </si>
  <si>
    <t>NUEVA ECIJA, CABANATUAN</t>
  </si>
  <si>
    <t>NSWMC RESO NO. 1513 SERIES OF 2022</t>
  </si>
  <si>
    <t>Christian Jem L. Buluran</t>
  </si>
  <si>
    <t>R3-2025-037837</t>
  </si>
  <si>
    <t>Prime Waste Solutions Inc.</t>
  </si>
  <si>
    <t>LUPAO</t>
  </si>
  <si>
    <t>NUEVA ECIJA, LUPAO</t>
  </si>
  <si>
    <t>1065 Series of 2018</t>
  </si>
  <si>
    <t>R3-2025-037805</t>
  </si>
  <si>
    <t>RIZAL</t>
  </si>
  <si>
    <t>NUEVA ECIJA, RIZAL</t>
  </si>
  <si>
    <t>1288 SERIES 2019</t>
  </si>
  <si>
    <t>R3-2025-038732</t>
  </si>
  <si>
    <t>SAN ANTONIO</t>
  </si>
  <si>
    <t>NUEVA ECIJA, SAN ANTONIO</t>
  </si>
  <si>
    <t>NSWMC RESO NO. 1490 SERIES OF 2021</t>
  </si>
  <si>
    <t>R3-2025-036611</t>
  </si>
  <si>
    <t>Urdaneta Waste Management</t>
  </si>
  <si>
    <t>TALUGTUG</t>
  </si>
  <si>
    <t>NUEVA ECIJA, TALUGTUG</t>
  </si>
  <si>
    <t>NSWMC RESO NO. 1078 SERIES OF 2018</t>
  </si>
  <si>
    <t>R3-2025-036959</t>
  </si>
  <si>
    <t>Metro Waste Solid Waste Management Corporation</t>
  </si>
  <si>
    <t>ANGELES</t>
  </si>
  <si>
    <t>PAMPANGA, ANGELES</t>
  </si>
  <si>
    <t>NSWMC RESO NO. 196 SERIES OF 2015</t>
  </si>
  <si>
    <t>R3-2025-037819</t>
  </si>
  <si>
    <t>Eco Protect Management Corp.</t>
  </si>
  <si>
    <t>ARAYAT</t>
  </si>
  <si>
    <t>PAMPANGA, ARAYAT</t>
  </si>
  <si>
    <t>1038-A Series of 2019</t>
  </si>
  <si>
    <t>2017 -2028</t>
  </si>
  <si>
    <t>R3-2025-037414</t>
  </si>
  <si>
    <t>94.44!</t>
  </si>
  <si>
    <t>BAMBAN</t>
  </si>
  <si>
    <t>TARLAC, BAMBAN</t>
  </si>
  <si>
    <t>2016 - 2027</t>
  </si>
  <si>
    <t>Sherwin John Loquellano</t>
  </si>
  <si>
    <t>R3-2025-036979</t>
  </si>
  <si>
    <t>M.A.A Waste Integrated Solution Corporation</t>
  </si>
  <si>
    <t>STA IGNACIA</t>
  </si>
  <si>
    <t>TARLAC, STA IGNACIA</t>
  </si>
  <si>
    <t>1334 series of 2019</t>
  </si>
  <si>
    <t>R3-2025-036967</t>
  </si>
  <si>
    <t>INTERNATIONAL SOLID WASTE INTEGRATED MNGT. SPECIALIST INC. (ISWIMS)</t>
  </si>
  <si>
    <t>MARIA AURORA</t>
  </si>
  <si>
    <t>AURORA, MARIA AURORA</t>
  </si>
  <si>
    <t>NSWMC Resolution No. 139, Series of 2015</t>
  </si>
  <si>
    <t>Approved</t>
  </si>
  <si>
    <t>R3-2025-004099</t>
  </si>
  <si>
    <t>On going review of the sumitted PLan</t>
  </si>
  <si>
    <t>DINALUPIHAN</t>
  </si>
  <si>
    <t>BATAAN, DINALUPIHAN</t>
  </si>
  <si>
    <t>149 Series of 2015</t>
  </si>
  <si>
    <t>R3-2025-005077</t>
  </si>
  <si>
    <t>HERMOSA</t>
  </si>
  <si>
    <t>BATAAN, HERMOSA</t>
  </si>
  <si>
    <t>NSWMC Resolution No. 1173</t>
  </si>
  <si>
    <t>R3-2025-005565</t>
  </si>
  <si>
    <t>Hauler = 5-1 Construction Corporation</t>
  </si>
  <si>
    <t>CALUMPIT</t>
  </si>
  <si>
    <t>BULACAN, CALUMPIT</t>
  </si>
  <si>
    <t>1082 series of 2018</t>
  </si>
  <si>
    <t>Rod Ross S. De Jesus</t>
  </si>
  <si>
    <t>R3-2025-005555</t>
  </si>
  <si>
    <t>Eco Protect Management Corporation</t>
  </si>
  <si>
    <t>MALOLOS</t>
  </si>
  <si>
    <t>BULACAN, MALOLOS</t>
  </si>
  <si>
    <t>NSWMC RESO NO. 503-A SERIES OF 2019</t>
  </si>
  <si>
    <t>2018-2028</t>
  </si>
  <si>
    <t>R3-2025-004155</t>
  </si>
  <si>
    <t>CABIAO</t>
  </si>
  <si>
    <t>NUEVA ECIJA, CABIAO</t>
  </si>
  <si>
    <t>1365 series of 2019</t>
  </si>
  <si>
    <t>R3-2025-003758</t>
  </si>
  <si>
    <t>GAPAN CITY</t>
  </si>
  <si>
    <t>NUEVA ECIJA, GAPAN</t>
  </si>
  <si>
    <t>1064 S. 2018</t>
  </si>
  <si>
    <t>R3-2025-004165</t>
  </si>
  <si>
    <t>SAN ISIDRO</t>
  </si>
  <si>
    <t>NUEVA ECIJA, SAN ISIDRO</t>
  </si>
  <si>
    <t>NSWMC RESO NO. 1444SERIES OF 2021</t>
  </si>
  <si>
    <t>R3-2025-004470</t>
  </si>
  <si>
    <t>Primwaste Solutions Inc</t>
  </si>
  <si>
    <t>NAMPICUAN</t>
  </si>
  <si>
    <t>NUEVA ECIJA, NAMPICUAN</t>
  </si>
  <si>
    <t>No. 1406 Series of 2020</t>
  </si>
  <si>
    <t>R3-2025-005766</t>
  </si>
  <si>
    <t>MINALIN</t>
  </si>
  <si>
    <t>PAMPANGA, MINALIN</t>
  </si>
  <si>
    <t>763 s. 2016</t>
  </si>
  <si>
    <t>R3-2025-005288</t>
  </si>
  <si>
    <t>STO TOMAS</t>
  </si>
  <si>
    <t>PAMPANGA, STO TOMAS</t>
  </si>
  <si>
    <t>R3-2025-004396</t>
  </si>
  <si>
    <t>9,658.52 kg</t>
  </si>
  <si>
    <t>Floridablanca Enviro Corp</t>
  </si>
  <si>
    <t>CAMILING</t>
  </si>
  <si>
    <t>TARLAC, CAMILING</t>
  </si>
  <si>
    <t>1090 series of 2018</t>
  </si>
  <si>
    <t>R3-2025-005939</t>
  </si>
  <si>
    <t>MetroWaste Solid Waste Management Corporation</t>
  </si>
  <si>
    <t>Not Compliant</t>
  </si>
  <si>
    <t>CAPAS</t>
  </si>
  <si>
    <t>TARLAC, CAPAS</t>
  </si>
  <si>
    <t>1250 series of 2019</t>
  </si>
  <si>
    <t>R3-2025-004609</t>
  </si>
  <si>
    <t>International Solid Waste
Integrated Management Specialist Inc (ISWIMS)/ GREEN LEAF</t>
  </si>
  <si>
    <t>SAN MARCELINO</t>
  </si>
  <si>
    <t>ZAMBALES, SAN MARCELINO</t>
  </si>
  <si>
    <t xml:space="preserve"> R3-2025-004763 </t>
  </si>
  <si>
    <t>Prime Waste Solutions - Pampanga</t>
  </si>
  <si>
    <t>BALANGA CITY</t>
  </si>
  <si>
    <t>BATAAN, BALANGA CITY</t>
  </si>
  <si>
    <t>482 series of 2016</t>
  </si>
  <si>
    <t>2016 - 2025</t>
  </si>
  <si>
    <t>R3-2025-007105</t>
  </si>
  <si>
    <t>PILAR</t>
  </si>
  <si>
    <t>BATAAN, PILAR</t>
  </si>
  <si>
    <t>NSWMC Res. No. 138 s. 2015</t>
  </si>
  <si>
    <t>R3-2025-008931</t>
  </si>
  <si>
    <t>BULAKAN</t>
  </si>
  <si>
    <t>BULACAN, BULAKAN</t>
  </si>
  <si>
    <t>Jasmin Marie N. Siapco</t>
  </si>
  <si>
    <t>R3-2025-008783</t>
  </si>
  <si>
    <t>ISWIMS SLF, Montalban, Rizal</t>
  </si>
  <si>
    <t>HAGONOY</t>
  </si>
  <si>
    <t>BULACAN, HAGONOY</t>
  </si>
  <si>
    <t>499A</t>
  </si>
  <si>
    <t>R3-2025-007937</t>
  </si>
  <si>
    <t>PAOMBONG</t>
  </si>
  <si>
    <t>BULACAN, PAOMBONG</t>
  </si>
  <si>
    <t>664-A series of 2019</t>
  </si>
  <si>
    <t>R3-2025-008383</t>
  </si>
  <si>
    <t>SAN LEONARDO</t>
  </si>
  <si>
    <t>NUEVA ECIJA, SAN LEONARDO</t>
  </si>
  <si>
    <t>1087 series of 2018</t>
  </si>
  <si>
    <t>R3-2025-009219</t>
  </si>
  <si>
    <t xml:space="preserve">51, 565.92 </t>
  </si>
  <si>
    <t>Prime Waste Solutions</t>
  </si>
  <si>
    <t>SANTA ROSA</t>
  </si>
  <si>
    <t>NUEVA ECIJA, SANTA ROSA</t>
  </si>
  <si>
    <t>No. 1412 Series of 2020</t>
  </si>
  <si>
    <t>R3-2025-009273</t>
  </si>
  <si>
    <t xml:space="preserve">Local Government Unit - Santa Rosa, Nueva Ecija </t>
  </si>
  <si>
    <t>BONGABON</t>
  </si>
  <si>
    <t>NUEVA ECIJA, BONGABON</t>
  </si>
  <si>
    <t>1075 series 2018</t>
  </si>
  <si>
    <t>R3-2025-008214</t>
  </si>
  <si>
    <t>Urdaneta Engineered  Sanitary Landfill</t>
  </si>
  <si>
    <t>GUAGUA</t>
  </si>
  <si>
    <t>PAMPANGA, GUAGUA</t>
  </si>
  <si>
    <t>R3-2025-008781</t>
  </si>
  <si>
    <t>SASMUAN</t>
  </si>
  <si>
    <t>PAMPANGA, SASMUAN</t>
  </si>
  <si>
    <t>NSWMC RESO NO. 1332 SERIES OF 2019</t>
  </si>
  <si>
    <t>R3-2025-008780</t>
  </si>
  <si>
    <t>CONCEPCION</t>
  </si>
  <si>
    <t>TARLAC, CONCEPCION</t>
  </si>
  <si>
    <t>NSWMC RESO NO. 1404SERIES OF 2020</t>
  </si>
  <si>
    <t>R3-2025-007778</t>
  </si>
  <si>
    <t>Green Leaf International</t>
  </si>
  <si>
    <t>MONCADA</t>
  </si>
  <si>
    <t>TARLAC, MONCADA</t>
  </si>
  <si>
    <t>No.237,series of 2015</t>
  </si>
  <si>
    <t>R3-2025-008901</t>
  </si>
  <si>
    <t>25 588.67</t>
  </si>
  <si>
    <t>Metro Waste Management Corporation</t>
  </si>
  <si>
    <t>SAN MANUEL</t>
  </si>
  <si>
    <t>TARLAC, SAN MANUEL</t>
  </si>
  <si>
    <t>Resolution No. 1604, Series of 2023</t>
  </si>
  <si>
    <t>R3-2025-008830</t>
  </si>
  <si>
    <t>6, 176.8</t>
  </si>
  <si>
    <t>SAN FELIPE</t>
  </si>
  <si>
    <t>ZAMBALES, SAN FELIPE</t>
  </si>
  <si>
    <t>Resolution No. 772-A, Series of 2023</t>
  </si>
  <si>
    <t>R3-2025-009159</t>
  </si>
  <si>
    <t>SAN NARCISO</t>
  </si>
  <si>
    <t>ZAMBALES, SAN NARCISO</t>
  </si>
  <si>
    <t>1349 s2019</t>
  </si>
  <si>
    <t>R3-2025-009161</t>
  </si>
  <si>
    <t>BALER</t>
  </si>
  <si>
    <t>AURORA, BALER</t>
  </si>
  <si>
    <t>859 series of 2018</t>
  </si>
  <si>
    <t>R3-2025-012391</t>
  </si>
  <si>
    <t>ABUCAY</t>
  </si>
  <si>
    <t>BATAAN, ABUCAY</t>
  </si>
  <si>
    <t>1252 Series of 2019</t>
  </si>
  <si>
    <t>2017 -2027</t>
  </si>
  <si>
    <t>R3-2025-010093</t>
  </si>
  <si>
    <t>SAMAL</t>
  </si>
  <si>
    <t>BATAAN, SAMAL</t>
  </si>
  <si>
    <t>975 Series of 2017</t>
  </si>
  <si>
    <t>R3-2025-012168</t>
  </si>
  <si>
    <t>BALIWAG</t>
  </si>
  <si>
    <t>BULACAN, BALIWAG</t>
  </si>
  <si>
    <t>653 A Series of 2018</t>
  </si>
  <si>
    <t>R3-2025-013045</t>
  </si>
  <si>
    <t>ISSWIMS SLF, Montalban, Rizal</t>
  </si>
  <si>
    <t>Hauler - JD 218 Trading and construction</t>
  </si>
  <si>
    <t>BUSTOS</t>
  </si>
  <si>
    <t>BULACAN, BUSTOS</t>
  </si>
  <si>
    <t>1325 s.2019</t>
  </si>
  <si>
    <t>R3-2025-013044</t>
  </si>
  <si>
    <t>GEN. TINIO</t>
  </si>
  <si>
    <t>NUEVA ECIJA, GEN. TINIO</t>
  </si>
  <si>
    <t>no.1247 series of 2019</t>
  </si>
  <si>
    <t>R3-2025-013062</t>
  </si>
  <si>
    <t>PEñARANDA</t>
  </si>
  <si>
    <t>NUEVA ECIJA, PEñARANDA</t>
  </si>
  <si>
    <t>1357, Series of 2019</t>
  </si>
  <si>
    <t>R3-2025-012451</t>
  </si>
  <si>
    <t>FLORIDABLANCA</t>
  </si>
  <si>
    <t>PAMPANGA, FLORIDABLANCA</t>
  </si>
  <si>
    <t>NSWMC NO. 684 A S 2018</t>
  </si>
  <si>
    <t>R3-2025-013110</t>
  </si>
  <si>
    <t>PORAC</t>
  </si>
  <si>
    <t>PAMPANGA, PORAC</t>
  </si>
  <si>
    <t>787 A series of 2018</t>
  </si>
  <si>
    <t>R3-2025-012410</t>
  </si>
  <si>
    <t>RAMOS</t>
  </si>
  <si>
    <t>TARLAC, RAMOS</t>
  </si>
  <si>
    <t>NSWMC RESO NO. 1419 SERIES OF 2021</t>
  </si>
  <si>
    <t>R3-2025-011429</t>
  </si>
  <si>
    <t>Metro Waste Solid Waste Management</t>
  </si>
  <si>
    <t>IBA</t>
  </si>
  <si>
    <t>ZAMBALES, IBA</t>
  </si>
  <si>
    <t>NSWMC RESO NO. 1445 SERIES OF 2021</t>
  </si>
  <si>
    <t>R3-2025-010780</t>
  </si>
  <si>
    <t>BAGAC</t>
  </si>
  <si>
    <t>BATAAN, BAGAC</t>
  </si>
  <si>
    <t>975 SERIES OF 2017</t>
  </si>
  <si>
    <t>R3-2025-016785</t>
  </si>
  <si>
    <t>Eco Protect Management Corporation and Floridablanca Enviro Corporation</t>
  </si>
  <si>
    <t>MORONG</t>
  </si>
  <si>
    <t>BATAAN, MORONG</t>
  </si>
  <si>
    <t>NSWMC Res. No. 1083 Series 2017</t>
  </si>
  <si>
    <t xml:space="preserve">R3-2025-016823	</t>
  </si>
  <si>
    <t xml:space="preserve">Eco Protect Management Corporation </t>
  </si>
  <si>
    <t>MARILAO</t>
  </si>
  <si>
    <t>BULACAN, MARILAO</t>
  </si>
  <si>
    <t>No.1427 Series of 2020</t>
  </si>
  <si>
    <t>2019 - 2029</t>
  </si>
  <si>
    <t>James Wilson T. Pena</t>
  </si>
  <si>
    <t>R3-2025-016682</t>
  </si>
  <si>
    <t>MEYCAUAYAN</t>
  </si>
  <si>
    <t>BULACAN, MEYCAUAYAN</t>
  </si>
  <si>
    <t>NSWMC RESO NO. 1326 SERIES OF 2019</t>
  </si>
  <si>
    <t>2018 -2028</t>
  </si>
  <si>
    <t>R3-2025-016522</t>
  </si>
  <si>
    <t>PALAYAN CITY</t>
  </si>
  <si>
    <t>NUEVA ECIJA, PALAYAN CITY</t>
  </si>
  <si>
    <t>1330 series of 2019</t>
  </si>
  <si>
    <t>R3-2025-016842</t>
  </si>
  <si>
    <t>Metro Waste Solid Waste Management Sanitary Landfill</t>
  </si>
  <si>
    <t>CUYAPO</t>
  </si>
  <si>
    <t>NUEVA ECIJA, CUYAPO</t>
  </si>
  <si>
    <t>500-A series of 2019</t>
  </si>
  <si>
    <t>R3-2025-016760</t>
  </si>
  <si>
    <t xml:space="preserve">Urdaneta Engineered Sanitary Landfill </t>
  </si>
  <si>
    <t>MABALACAT</t>
  </si>
  <si>
    <t>PAMPANGA, MABALACAT</t>
  </si>
  <si>
    <t>2014 - 2023</t>
  </si>
  <si>
    <t>R3-2025-016981</t>
  </si>
  <si>
    <t>MAGALANG</t>
  </si>
  <si>
    <t>PAMPANGA, MAGALANG</t>
  </si>
  <si>
    <t>1114s.2018</t>
  </si>
  <si>
    <t>R3-2025-016741</t>
  </si>
  <si>
    <t>Floridablanca Enviro Corp.</t>
  </si>
  <si>
    <t>SAN JOSE</t>
  </si>
  <si>
    <t>TARLAC, SAN JOSE</t>
  </si>
  <si>
    <t>NSWMC RESO NO. 1299 SERIES OF 2019</t>
  </si>
  <si>
    <t>2018 -2027</t>
  </si>
  <si>
    <t>R3-2025-016714</t>
  </si>
  <si>
    <t>International Solid Waste Integrated Management Specialist Inc. (ISWIMS INC.)</t>
  </si>
  <si>
    <t>STA CRUZ</t>
  </si>
  <si>
    <t>ZAMBALES, STA CRUZ</t>
  </si>
  <si>
    <t>NSWMC Resolution No. 1596, Series of 2023</t>
  </si>
  <si>
    <t>R3-2025-016953</t>
  </si>
  <si>
    <t xml:space="preserve">Greentech Total Environmental Solutions Incorporated </t>
  </si>
  <si>
    <t>CASIGURAN</t>
  </si>
  <si>
    <t>AURORA, CASIGURAN</t>
  </si>
  <si>
    <t>R3-2025-020337</t>
  </si>
  <si>
    <t>MARIVELES</t>
  </si>
  <si>
    <t>BATAAN, MARIVELES</t>
  </si>
  <si>
    <t>483 SERIES 2016</t>
  </si>
  <si>
    <t>R3-2025-019721</t>
  </si>
  <si>
    <t>GUIGUINTO</t>
  </si>
  <si>
    <t>BULACAN, GUIGUINTO</t>
  </si>
  <si>
    <t>5th</t>
  </si>
  <si>
    <t>1080 series of 2018</t>
  </si>
  <si>
    <t>R3-2025-019680</t>
  </si>
  <si>
    <t>PLARIDEL</t>
  </si>
  <si>
    <t>BULACAN, PLARIDEL</t>
  </si>
  <si>
    <t>157 Series of 2015</t>
  </si>
  <si>
    <t>R3-2025-020040</t>
  </si>
  <si>
    <t>PULILAN</t>
  </si>
  <si>
    <t>BULACAN, PULILAN</t>
  </si>
  <si>
    <t>1142 Series of 2018</t>
  </si>
  <si>
    <t>R3-2025-019679</t>
  </si>
  <si>
    <t>LLANERA</t>
  </si>
  <si>
    <t>NUEVA ECIJA, LLANERA</t>
  </si>
  <si>
    <t>No. 1411 Series of 2020</t>
  </si>
  <si>
    <t>R3-2025-020168</t>
  </si>
  <si>
    <t>PANTABANGAN</t>
  </si>
  <si>
    <t>NUEVA ECIJA, PANTABANGAN</t>
  </si>
  <si>
    <t>1331 Series of 2019</t>
  </si>
  <si>
    <t>R3-2025-020211</t>
  </si>
  <si>
    <t>Urdaneta Engineered  Sanitary Landfill/Metro Waste Solid Waste Management</t>
  </si>
  <si>
    <t>SAN JOSE CITY</t>
  </si>
  <si>
    <t>NUEVA ECIJA, SAN JOSE CITY</t>
  </si>
  <si>
    <t>R3-2025-020239</t>
  </si>
  <si>
    <t xml:space="preserve">55, 325.98 </t>
  </si>
  <si>
    <t>APALIT</t>
  </si>
  <si>
    <t>PAMPANGA, APALIT</t>
  </si>
  <si>
    <t>R3-2025-019924</t>
  </si>
  <si>
    <t>MASANTOL</t>
  </si>
  <si>
    <t>PAMPANGA, MASANTOL</t>
  </si>
  <si>
    <t>1028-A series of 2019</t>
  </si>
  <si>
    <t>2014 - 2024</t>
  </si>
  <si>
    <t>R3-2025-019923</t>
  </si>
  <si>
    <t>PROVINCIAL GOV. OF TARLAC</t>
  </si>
  <si>
    <t>TARLAC, PROVINCIAL GOV. OF TARLAC</t>
  </si>
  <si>
    <t>NSWMC RESO NO. 793 SERIES OF 2016</t>
  </si>
  <si>
    <t>R3-2025-020365</t>
  </si>
  <si>
    <t>MAA Integrated Solid Waste Solution Corporation, Urdaneta, Pangasinan</t>
  </si>
  <si>
    <t>18 Municipalities Province of Tarlac (Consolidated Data)</t>
  </si>
  <si>
    <t>CASTILLEJOS</t>
  </si>
  <si>
    <t>ZAMBALES, CASTILLEJOS</t>
  </si>
  <si>
    <t>No.1414 Series of 2020</t>
  </si>
  <si>
    <t>R3-2025-018038</t>
  </si>
  <si>
    <t xml:space="preserve">Greentech Total Environmental Solutions Incorporated  </t>
  </si>
  <si>
    <t>ANGAT</t>
  </si>
  <si>
    <t>BULACAN, ANGAT</t>
  </si>
  <si>
    <t>6th</t>
  </si>
  <si>
    <t>1079 Series of 2018</t>
  </si>
  <si>
    <t> R3-2025-023821</t>
  </si>
  <si>
    <t xml:space="preserve">MOA with GENAR 22 </t>
  </si>
  <si>
    <t>PANDI</t>
  </si>
  <si>
    <t>BULACAN, PANDI</t>
  </si>
  <si>
    <t>No. 1403 Series of 2020</t>
  </si>
  <si>
    <t>2019 - 2028</t>
  </si>
  <si>
    <t xml:space="preserve"> R3-2025-022969</t>
  </si>
  <si>
    <t>STA. MARIA</t>
  </si>
  <si>
    <t>BULACAN, STA. MARIA</t>
  </si>
  <si>
    <t>201 s.2015</t>
  </si>
  <si>
    <t>R3-2025-024025</t>
  </si>
  <si>
    <t>Prime Waste Solution</t>
  </si>
  <si>
    <t>yES</t>
  </si>
  <si>
    <t>GABALDON</t>
  </si>
  <si>
    <t>NUEVA ECIJA, GABALDON</t>
  </si>
  <si>
    <t>1246 series of 2019</t>
  </si>
  <si>
    <t>R3-2025-024196</t>
  </si>
  <si>
    <t>GEN. NATIVIDAD</t>
  </si>
  <si>
    <t>NUEVA ECIJA, GEN. NATIVIDAD</t>
  </si>
  <si>
    <t>1076 series 2018</t>
  </si>
  <si>
    <t>R3-2025-023505</t>
  </si>
  <si>
    <t>-</t>
  </si>
  <si>
    <t>LAUR</t>
  </si>
  <si>
    <t>NUEVA ECIJA, LAUR</t>
  </si>
  <si>
    <t>R3-2025-024264</t>
  </si>
  <si>
    <t xml:space="preserve">11, 600.86 </t>
  </si>
  <si>
    <t>SAN LUIS</t>
  </si>
  <si>
    <t>PAMPANGA, SAN LUIS</t>
  </si>
  <si>
    <t>NSWMC RESO NO. 1113 SERIES OF 2018</t>
  </si>
  <si>
    <t>R3-2025-024267</t>
  </si>
  <si>
    <t>STA ANA</t>
  </si>
  <si>
    <t>PAMPANGA, STA ANA</t>
  </si>
  <si>
    <t>1244 of 2019</t>
  </si>
  <si>
    <t>R3-2025-023735</t>
  </si>
  <si>
    <t>Florida Enviro Corp</t>
  </si>
  <si>
    <t>ANAO</t>
  </si>
  <si>
    <t>TARLAC, ANAO</t>
  </si>
  <si>
    <t>1089 s.2018</t>
  </si>
  <si>
    <t>R3-2025-024271</t>
  </si>
  <si>
    <t xml:space="preserve">MAA Integrated Waste Solutions Incorporated </t>
  </si>
  <si>
    <t>PANIQUI</t>
  </si>
  <si>
    <t>TARLAC, PANIQUI</t>
  </si>
  <si>
    <t>1300 series of 2019</t>
  </si>
  <si>
    <t>R3-2025-024129</t>
  </si>
  <si>
    <t>TARLAC CITY</t>
  </si>
  <si>
    <t>TARLAC, TARLAC CITY</t>
  </si>
  <si>
    <t>R3-2025-024405</t>
  </si>
  <si>
    <t>BOTOLAN</t>
  </si>
  <si>
    <t>ZAMBALES, BOTOLAN</t>
  </si>
  <si>
    <t>No. 1415 Series of 2020</t>
  </si>
  <si>
    <t>R3-2025-023888</t>
  </si>
  <si>
    <t>36,921.51 kg/day</t>
  </si>
  <si>
    <t>Compliance</t>
  </si>
  <si>
    <t>CABANGAN</t>
  </si>
  <si>
    <t>ZAMBALES, CABANGAN</t>
  </si>
  <si>
    <t>NSWMC RESO NO. 1492 SERIES OF 2021</t>
  </si>
  <si>
    <t>R3-2025-023846</t>
  </si>
  <si>
    <t>10,996.75 kg/day</t>
  </si>
  <si>
    <t>AURORA, SAN LUIS</t>
  </si>
  <si>
    <t>R3-2025-025703</t>
  </si>
  <si>
    <t>DOñA REMEDIOS TRINIDAD</t>
  </si>
  <si>
    <t>BULACAN, DOñA REMEDIOS TRINIDAD</t>
  </si>
  <si>
    <t>774 A series of 2017</t>
  </si>
  <si>
    <t>R3-2025-027455</t>
  </si>
  <si>
    <t>Prime Waste Solutions Pampanga</t>
  </si>
  <si>
    <t>NORZAGARAY</t>
  </si>
  <si>
    <t>BULACAN, NORZAGARAY</t>
  </si>
  <si>
    <t>1327 SERIES OF 2019</t>
  </si>
  <si>
    <t>R3-2025-027726 </t>
  </si>
  <si>
    <t>ISWIMS SLF- Montalban Rizal</t>
  </si>
  <si>
    <t>SAN JOSE DEL MONTE</t>
  </si>
  <si>
    <t>BULACAN, SAN JOSE DEL MONTE</t>
  </si>
  <si>
    <t>197 Series of 2015</t>
  </si>
  <si>
    <t>R3-2025-027739 </t>
  </si>
  <si>
    <t>San Mateo Rizal.</t>
  </si>
  <si>
    <t>GUIMBA</t>
  </si>
  <si>
    <t>NUEVA ECIJA, GUIMBA</t>
  </si>
  <si>
    <t>R3-2025-027110</t>
  </si>
  <si>
    <t>no data</t>
  </si>
  <si>
    <t>Guimba Sanitary Landfill</t>
  </si>
  <si>
    <t>LICAB</t>
  </si>
  <si>
    <t>NUEVA ECIJA, LICAB</t>
  </si>
  <si>
    <t>1361 Series of 2019</t>
  </si>
  <si>
    <t>R3-2025-027299</t>
  </si>
  <si>
    <t>QUEZON</t>
  </si>
  <si>
    <t>NUEVA ECIJA, QUEZON</t>
  </si>
  <si>
    <t>1086 series of 2018</t>
  </si>
  <si>
    <t>R3-2025-028189</t>
  </si>
  <si>
    <t>CANDABA</t>
  </si>
  <si>
    <t>PAMPANGA, CANDABA</t>
  </si>
  <si>
    <t>240 series of 2015</t>
  </si>
  <si>
    <t>R3-2025-027353</t>
  </si>
  <si>
    <t>MEXICO</t>
  </si>
  <si>
    <t>PAMPANGA, MEXICO</t>
  </si>
  <si>
    <t>1242-2019</t>
  </si>
  <si>
    <t>R3-2025-027149</t>
  </si>
  <si>
    <t>GERONA</t>
  </si>
  <si>
    <t>TARLAC, GERONA</t>
  </si>
  <si>
    <t>685-A series of 2019</t>
  </si>
  <si>
    <t>2016 - 2026</t>
  </si>
  <si>
    <t>R3-2025-027900</t>
  </si>
  <si>
    <t>MAA Integrated Waste Management Corporation</t>
  </si>
  <si>
    <t>PURA</t>
  </si>
  <si>
    <t>TARLAC, PURA</t>
  </si>
  <si>
    <t>1335 series of 2019</t>
  </si>
  <si>
    <t>R3-2025-027901</t>
  </si>
  <si>
    <t>VICTORIA</t>
  </si>
  <si>
    <t>TARLAC, VICTORIA</t>
  </si>
  <si>
    <t>NSWMC RESO NO. 116 SERIES OF 2015</t>
  </si>
  <si>
    <t>R3-2025-026783</t>
  </si>
  <si>
    <t>ZAMBALES, SAN ANTONIO</t>
  </si>
  <si>
    <t>Resolution No. 310-A, Series of 2023</t>
  </si>
  <si>
    <t>R3-2025-027793</t>
  </si>
  <si>
    <t>DINALUNGAN</t>
  </si>
  <si>
    <t>AURORA, DINALUNGAN</t>
  </si>
  <si>
    <t>NSWMC RESO NO. 1368 SERIES OF 2020</t>
  </si>
  <si>
    <t>R3-2025-031518</t>
  </si>
  <si>
    <t>DIPACULAO</t>
  </si>
  <si>
    <t>AURORA, DIPACULAO</t>
  </si>
  <si>
    <t>NSWMC RESO NO. 502 SERIES OF 2018</t>
  </si>
  <si>
    <t>R3-2025-030538</t>
  </si>
  <si>
    <t>LIMAY</t>
  </si>
  <si>
    <t>BATAAN, LIMAY</t>
  </si>
  <si>
    <t>No.501-A Series of 2020</t>
  </si>
  <si>
    <t>R3-2025-031053</t>
  </si>
  <si>
    <t>BALAGTAS</t>
  </si>
  <si>
    <t>BULACAN, BALAGTAS</t>
  </si>
  <si>
    <t>1179 Series of 2018</t>
  </si>
  <si>
    <t>R3-2025-031266</t>
  </si>
  <si>
    <t>Rizal Provincial Sanitary Landfill (ISWIMS)</t>
  </si>
  <si>
    <t>OBANDO</t>
  </si>
  <si>
    <t>BULACAN, OBANDO</t>
  </si>
  <si>
    <t>NSWMC RESO NO. 1328 SERIES OF 2019</t>
  </si>
  <si>
    <t>R3-2025-031268</t>
  </si>
  <si>
    <t>ALIAGA</t>
  </si>
  <si>
    <t>NUEVA ECIJA, ALIAGA</t>
  </si>
  <si>
    <t>R3-2025-031742</t>
  </si>
  <si>
    <t>JAEN</t>
  </si>
  <si>
    <t>NUEVA ECIJA, JAEN</t>
  </si>
  <si>
    <t>760 Series of 2016</t>
  </si>
  <si>
    <t>R3-2025-031580</t>
  </si>
  <si>
    <t>25, 621.02</t>
  </si>
  <si>
    <t>ZARAGOZA</t>
  </si>
  <si>
    <t>NUEVA ECIJA, ZARAGOZA</t>
  </si>
  <si>
    <t>NSWMC RESO NO. 1121 SERIES OF 2018</t>
  </si>
  <si>
    <t>R3-2025-031515</t>
  </si>
  <si>
    <t>Urdaneta Engineered Sanitary Landfill</t>
  </si>
  <si>
    <t>LUBAO</t>
  </si>
  <si>
    <t>PAMPANGA, LUBAO</t>
  </si>
  <si>
    <t>NSWMC RESO NO. 1088 SERIES OF 2018</t>
  </si>
  <si>
    <t>R3-2025-030760</t>
  </si>
  <si>
    <t>STA RITA</t>
  </si>
  <si>
    <t>PAMPANGA, STA RITA</t>
  </si>
  <si>
    <t>NSWMC RESO NO. 200 SERIES OF 2015</t>
  </si>
  <si>
    <t>R3-2025-030800</t>
  </si>
  <si>
    <t>Florida Blanca Enviro Corp.</t>
  </si>
  <si>
    <t>LAPAZ</t>
  </si>
  <si>
    <t>TARLAC, LAPAZ</t>
  </si>
  <si>
    <t>141, series of 2015</t>
  </si>
  <si>
    <t>R3-2025-030911</t>
  </si>
  <si>
    <t>15 937.85</t>
  </si>
  <si>
    <t>M.A.A. Integrated Waste Solution Corporation</t>
  </si>
  <si>
    <t>SAN CLEMENTE</t>
  </si>
  <si>
    <t>TARLAC, SAN CLEMENTE</t>
  </si>
  <si>
    <t>1249 series of 2019</t>
  </si>
  <si>
    <t>R3-2025-030834</t>
  </si>
  <si>
    <t>MASINLOC</t>
  </si>
  <si>
    <t>ZAMBALES, MASINLOC</t>
  </si>
  <si>
    <t>1348 series of 2019</t>
  </si>
  <si>
    <t>R3-2025-031524</t>
  </si>
  <si>
    <t>compliant</t>
  </si>
  <si>
    <t>Count of Manila Bay Area (MBA)</t>
  </si>
  <si>
    <t>Aurora</t>
  </si>
  <si>
    <t>Bataan</t>
  </si>
  <si>
    <t xml:space="preserve">Bataan </t>
  </si>
  <si>
    <t>Bulacan</t>
  </si>
  <si>
    <t>Nueva Ecija</t>
  </si>
  <si>
    <t>Pampanga</t>
  </si>
  <si>
    <t>Tarlac</t>
  </si>
  <si>
    <t>Zambales</t>
  </si>
  <si>
    <t>Grand Total</t>
  </si>
  <si>
    <t>Barangay</t>
  </si>
  <si>
    <t>Lat</t>
  </si>
  <si>
    <t>Long</t>
  </si>
  <si>
    <t>Coordinates</t>
  </si>
  <si>
    <t>No Funding Support</t>
  </si>
  <si>
    <t>Year Granted</t>
  </si>
  <si>
    <t>Amount Granted</t>
  </si>
  <si>
    <t>Tracking of Reports
(To be Filled out by Planning Section)</t>
  </si>
  <si>
    <t>No. of Brgy. Served</t>
  </si>
  <si>
    <t>Equipment used in the Operation of the MRF</t>
  </si>
  <si>
    <t>Type of wastes received</t>
  </si>
  <si>
    <t>Quantity of waste diverted (kg)</t>
  </si>
  <si>
    <t>Total Waste Generation (kg/day)</t>
  </si>
  <si>
    <t>Waste Diversion Rate
(%)</t>
  </si>
  <si>
    <t>Status of MRF</t>
  </si>
  <si>
    <t>Remarks
(If Not Operational)</t>
  </si>
  <si>
    <t>Findings
(If not compliant)</t>
  </si>
  <si>
    <t>Compliance of LGU to Issued Advise/ Letter</t>
  </si>
  <si>
    <t>Docket No. / NOV</t>
  </si>
  <si>
    <t>Violation
(Sec. ___ )</t>
  </si>
  <si>
    <t>Date of Issuance of NOV</t>
  </si>
  <si>
    <t>Date of Technical Conference</t>
  </si>
  <si>
    <t>Commitment/s</t>
  </si>
  <si>
    <t>Baler</t>
  </si>
  <si>
    <t>R3-2025-007935</t>
  </si>
  <si>
    <t>Plastic shredder</t>
  </si>
  <si>
    <t>No Data</t>
  </si>
  <si>
    <t>Non-Compliant</t>
  </si>
  <si>
    <t>No proper recording/ filing
Personnel does not wear PPEs</t>
  </si>
  <si>
    <t>Buhangin</t>
  </si>
  <si>
    <t>R3-2025-007933</t>
  </si>
  <si>
    <t>Obligasyon</t>
  </si>
  <si>
    <t>R3-2025-021989</t>
  </si>
  <si>
    <t>None</t>
  </si>
  <si>
    <t>Used as storage of equipment by the barangay</t>
  </si>
  <si>
    <t xml:space="preserve">Pingit </t>
  </si>
  <si>
    <t>R3-2025-026688</t>
  </si>
  <si>
    <t>Biodegradable waste,Recyclables,Residual Wastes</t>
  </si>
  <si>
    <t>No Records</t>
  </si>
  <si>
    <t>Zabali</t>
  </si>
  <si>
    <t>R3-2025-026694</t>
  </si>
  <si>
    <t>The Facility has been domolished and replaced by constructing the Senior Citizen Building of the LGU</t>
  </si>
  <si>
    <t>The LGU submitted an explanation letter regarding the removal of the EMB Funded MRF and according to the letter the LGU was constructed a new MRF besides the newly constructed Senior Citizen Building.</t>
  </si>
  <si>
    <t>Dingalan</t>
  </si>
  <si>
    <t>Umiray</t>
  </si>
  <si>
    <t>R3-2025-031098</t>
  </si>
  <si>
    <t>Recyclables</t>
  </si>
  <si>
    <t>Dipaculao</t>
  </si>
  <si>
    <t>Dibutonan</t>
  </si>
  <si>
    <t>R3-2025-034214</t>
  </si>
  <si>
    <t>NO Data</t>
  </si>
  <si>
    <t>Dinadiawan</t>
  </si>
  <si>
    <t>R3-2025-034968</t>
  </si>
  <si>
    <t>Gupa</t>
  </si>
  <si>
    <t xml:space="preserve">	R3-2025-036844</t>
  </si>
  <si>
    <t>Weighing Scale</t>
  </si>
  <si>
    <t>Biodegradable, Recyclable, Residual</t>
  </si>
  <si>
    <t>Majires</t>
  </si>
  <si>
    <t xml:space="preserve"> R3-2025-036843</t>
  </si>
  <si>
    <t>•	The barangay still has no MRF record book, resulting in the absence of documented data on waste collection, segregation, and hauling activities.</t>
  </si>
  <si>
    <t>Abucay</t>
  </si>
  <si>
    <t>Capitangan</t>
  </si>
  <si>
    <t>R3-2025-023327</t>
  </si>
  <si>
    <t>Conveyor, Wheel Loader, Biowaste Shredder, Plastic Shredder, Rotary Composter, Plastic Chair Factory, Charcoal Briquetting Machine/ Carbonizer, Electric Power</t>
  </si>
  <si>
    <t>Biodegradable, Recyclables, Special, Residual</t>
  </si>
  <si>
    <t>Operational</t>
  </si>
  <si>
    <t>Bagac</t>
  </si>
  <si>
    <t>Banawang</t>
  </si>
  <si>
    <t>R3-2025-016419</t>
  </si>
  <si>
    <t>Bio, Rcyclable,Residual</t>
  </si>
  <si>
    <t>Used as MRS</t>
  </si>
  <si>
    <t>Balanga City</t>
  </si>
  <si>
    <t>Puerto Rivas Lote</t>
  </si>
  <si>
    <t>R3-2025-027730</t>
  </si>
  <si>
    <t>Boiwaste Shredder, Rotary Composter</t>
  </si>
  <si>
    <t>Biodegrdable, Recyclable,</t>
  </si>
  <si>
    <t>San Jose</t>
  </si>
  <si>
    <t>R3-2025-027729</t>
  </si>
  <si>
    <t>Reyclable</t>
  </si>
  <si>
    <t>Orion</t>
  </si>
  <si>
    <t>General Lim</t>
  </si>
  <si>
    <t>R3-2025-031520</t>
  </si>
  <si>
    <t>Conveyor, Bottle Crusher, Bricks Mixer Machine, Biowaste Shredder, Plastic Shredder, Rotary Composter, Bricks maker/molder</t>
  </si>
  <si>
    <t>Limay</t>
  </si>
  <si>
    <t>San Franciso De Asis</t>
  </si>
  <si>
    <t>R3-2025-031511</t>
  </si>
  <si>
    <t>The LGU is yet to operate the Materials Recovery Facility this 2025 due to the availability of equipment within the facility.</t>
  </si>
  <si>
    <t>Cabog Cabog</t>
  </si>
  <si>
    <t>R3-2025-010730</t>
  </si>
  <si>
    <t>Biowaste Shredder</t>
  </si>
  <si>
    <t>Biodegradable, Recyclables</t>
  </si>
  <si>
    <t>Munting Batangas</t>
  </si>
  <si>
    <t>R3-2025-007106</t>
  </si>
  <si>
    <t>Conveyor, Bricks Mixer Machine, Biowaste Shredder, Plastic Shredder, Rotary Composter, Bricks Maker/Molder</t>
  </si>
  <si>
    <t>Bidegradable, Recyclable, Residual</t>
  </si>
  <si>
    <t>Pilar</t>
  </si>
  <si>
    <t>Alauli</t>
  </si>
  <si>
    <t>R3-2025-034952</t>
  </si>
  <si>
    <t>Biowaste Granulating Machine, Bottle Crusher, Plastic Granulating Machine, Bricks Mixer Machine, Glass shredder/ pulverizer, Rotary composter, Bricks maker/molder</t>
  </si>
  <si>
    <t>Biodegradable, Recyclable, Residual, Special</t>
  </si>
  <si>
    <t>R3-2025-008825</t>
  </si>
  <si>
    <t>Bidegradable, Recyclable</t>
  </si>
  <si>
    <t>Hermosa</t>
  </si>
  <si>
    <t>Mambog</t>
  </si>
  <si>
    <t>R3-2025-027711</t>
  </si>
  <si>
    <t>Biodegrdable, Recyclable, Residual</t>
  </si>
  <si>
    <t>San Jose Proper (Market)</t>
  </si>
  <si>
    <t>R3-2025-008826</t>
  </si>
  <si>
    <t>Biowaste shredder</t>
  </si>
  <si>
    <t>Orani</t>
  </si>
  <si>
    <t>Pag-asa</t>
  </si>
  <si>
    <t>R3-2025-030937</t>
  </si>
  <si>
    <t>Weighing Scale, Conveyor, Bottle Crusher, Bricks Mixer Machine, Biowaste shredder, Plastic shredder, Glass shredder/ pulverizer, Rotary composter, Bricks maker/molder, Electric power</t>
  </si>
  <si>
    <t>Mariveles</t>
  </si>
  <si>
    <t>Alas-Asin</t>
  </si>
  <si>
    <t>R3-2025-018260</t>
  </si>
  <si>
    <t>Alion</t>
  </si>
  <si>
    <t>R3-2025-017932</t>
  </si>
  <si>
    <t>Balon-Anito</t>
  </si>
  <si>
    <t xml:space="preserve">R3-2025-018261	</t>
  </si>
  <si>
    <t>Binuangan</t>
  </si>
  <si>
    <t>R3-2025-022317</t>
  </si>
  <si>
    <t>Recyclable, Residual</t>
  </si>
  <si>
    <t>Ipag</t>
  </si>
  <si>
    <t>14.42460374,120.48033257</t>
  </si>
  <si>
    <t>R3-2025-018264</t>
  </si>
  <si>
    <t xml:space="preserve">Conveyor, Bottle Crusher, Bricks Maker Machine, Biowaste Shredder, Plastic Shredder, Glass shredder/ pulverizer, </t>
  </si>
  <si>
    <t>Pasyawan</t>
  </si>
  <si>
    <t>R3-2025-022318</t>
  </si>
  <si>
    <t xml:space="preserve">Biowaste shredder </t>
  </si>
  <si>
    <t>Quinawan</t>
  </si>
  <si>
    <t>R3-2025-036661</t>
  </si>
  <si>
    <t>San Antonio</t>
  </si>
  <si>
    <t>R3-2025-030071</t>
  </si>
  <si>
    <t>Biodegradable, Recyclables, Residual</t>
  </si>
  <si>
    <t>Samal</t>
  </si>
  <si>
    <t>San Juan</t>
  </si>
  <si>
    <t>2016 &amp; 2021</t>
  </si>
  <si>
    <t>449444&amp; 179444.44</t>
  </si>
  <si>
    <t>R3-2025-004158</t>
  </si>
  <si>
    <t>Weighing Scale, Conveyor, Bottle Crusher, Bricks Mixer Machine, Biowaste Shredder, Plastic Shredder, Glass Shredder/Pulverizer, Rotary Composter, Bricks maker/molder, Charcoal briquetting machine/ Carbonizer</t>
  </si>
  <si>
    <t>Atilano</t>
  </si>
  <si>
    <t>R3-2025-016719</t>
  </si>
  <si>
    <t>Bio Shredder</t>
  </si>
  <si>
    <t>Dinalupihan</t>
  </si>
  <si>
    <t xml:space="preserve">Pagalanggang </t>
  </si>
  <si>
    <t>R3-2025-006070
R3-2025-030867</t>
  </si>
  <si>
    <t xml:space="preserve">Bottle Crusher, Bricks Mixer Machine, Biowaste Shredder, Plastic Shredder, Glss Shredder/Pulverizer, Rotary Composter, Windrows for Composting, Bricks maker/molder, </t>
  </si>
  <si>
    <t>Baseco</t>
  </si>
  <si>
    <t>R3-2025-034287</t>
  </si>
  <si>
    <t>Malaya</t>
  </si>
  <si>
    <t>R3-2025-030922</t>
  </si>
  <si>
    <t>Angat</t>
  </si>
  <si>
    <t>Binagbag</t>
  </si>
  <si>
    <t>R3-2025-037533</t>
  </si>
  <si>
    <t>Mixed Waste</t>
  </si>
  <si>
    <t>Balagtas</t>
  </si>
  <si>
    <t>Borol 1st</t>
  </si>
  <si>
    <t>R3-2025-011680</t>
  </si>
  <si>
    <t>The MRF is demolished and converted to a new building/ fire station of LGU Balagtas.</t>
  </si>
  <si>
    <t>Masinloc</t>
  </si>
  <si>
    <t>Bani</t>
  </si>
  <si>
    <t>R3-2025-019785</t>
  </si>
  <si>
    <t>Bio, Recyclables, Residual</t>
  </si>
  <si>
    <t>No records, no signages</t>
  </si>
  <si>
    <t>North Poblacion</t>
  </si>
  <si>
    <t>R3-2025-016546</t>
  </si>
  <si>
    <t>Due to land ownership problem, the land owner closed the facility and the Barangayhas no access to the MRF.</t>
  </si>
  <si>
    <t>San Lorenzo</t>
  </si>
  <si>
    <t>R3-2025-022311</t>
  </si>
  <si>
    <t>	The EMB Funded MRF is not operational and currently used as storage room for Equipment in the Barangay.</t>
  </si>
  <si>
    <t>No</t>
  </si>
  <si>
    <t>South Poblacion</t>
  </si>
  <si>
    <t>R3-2025-016541</t>
  </si>
  <si>
    <t xml:space="preserve"> </t>
  </si>
  <si>
    <t>Sta. Rita</t>
  </si>
  <si>
    <t>R3-2025-016547</t>
  </si>
  <si>
    <t>•	The barangay MRF is currently used as temporary site for livelihood development projects of the municipality</t>
  </si>
  <si>
    <t>Taltal</t>
  </si>
  <si>
    <t>R3-2025-019784</t>
  </si>
  <si>
    <t>The MRF is currently used as storage room for Equipment in the Barangay.</t>
  </si>
  <si>
    <t>Tapuac</t>
  </si>
  <si>
    <t xml:space="preserve">R3-2025-033416	</t>
  </si>
  <si>
    <t>N/a</t>
  </si>
  <si>
    <t>Pingit</t>
  </si>
  <si>
    <t>R3-2025-012390</t>
  </si>
  <si>
    <t xml:space="preserve">Weighing scale,Conveyor,Rotary Mixer,Biowaste shredder,Plastic shredder,Glass shredder/ pulverizer,Rotary composter
</t>
  </si>
  <si>
    <t>Casiguran</t>
  </si>
  <si>
    <t>Calantas</t>
  </si>
  <si>
    <t xml:space="preserve">R3-2025-020331	</t>
  </si>
  <si>
    <t xml:space="preserve">Weighing scale
Bottle Crusher
Rotary Mixer
 Biowaste shredder 
Plastic shredder
Rotary composter
</t>
  </si>
  <si>
    <t>The LGU has records of waste but not available during monitoring.</t>
  </si>
  <si>
    <t>Dinalungan</t>
  </si>
  <si>
    <t xml:space="preserve">Dibaraybay </t>
  </si>
  <si>
    <t>R3-2025-022138</t>
  </si>
  <si>
    <t>Weighing scale
Glass shredder/ pulverizer
Bricks maker/molder</t>
  </si>
  <si>
    <t>Biodegradable,Recyclable, Residual</t>
  </si>
  <si>
    <t>Toytoyan</t>
  </si>
  <si>
    <t>270000 &amp; 179444.44</t>
  </si>
  <si>
    <t>R3-2025-030541</t>
  </si>
  <si>
    <t>Weighing scale</t>
  </si>
  <si>
    <t>Maria Aurora</t>
  </si>
  <si>
    <t>Bannawag</t>
  </si>
  <si>
    <t xml:space="preserve"> R3-2025-005863</t>
  </si>
  <si>
    <t>Biowaste Shredder / Plastic and Glass Shredder/ Rotary Composter/ Windrows for composting/Bricks Molder</t>
  </si>
  <si>
    <t>San Joaquin</t>
  </si>
  <si>
    <t>2015//2020</t>
  </si>
  <si>
    <t>500000/190,000</t>
  </si>
  <si>
    <t>R3-2025-004694</t>
  </si>
  <si>
    <t xml:space="preserve">•	The MRF was no longer operational along with the rehabilitated Sanitary landfill.
•	LGU-Maria Aurora is already operating new MRF and SLF located at Brgy. Bannawag, Maria Aurora
</t>
  </si>
  <si>
    <t>San Luis</t>
  </si>
  <si>
    <t>L. Pimentel</t>
  </si>
  <si>
    <t>R3-2025-029949</t>
  </si>
  <si>
    <t>No records of waste</t>
  </si>
  <si>
    <t>Dalig</t>
  </si>
  <si>
    <t>14.8475, 120.919</t>
  </si>
  <si>
    <t>R3-2025-023558</t>
  </si>
  <si>
    <t>Bioshredder, Rotary Composter</t>
  </si>
  <si>
    <t xml:space="preserve">As per MENRO Rae Anne Reyes, the MRF is still for improvement and ongoing installation of power supply. </t>
  </si>
  <si>
    <t>To immediately operate the MRF with designated logbook for record keeping.</t>
  </si>
  <si>
    <t>Santol</t>
  </si>
  <si>
    <t>R3-2025-012442</t>
  </si>
  <si>
    <t>Biowaste Shedder</t>
  </si>
  <si>
    <t>Baliwag</t>
  </si>
  <si>
    <t xml:space="preserve">Tarcan </t>
  </si>
  <si>
    <t> R3-2025-024480</t>
  </si>
  <si>
    <t>Bioshredder, Conveyor, Bricks Mixer, Rotary Mixer, Plastic Shredder, Rotary COmposter</t>
  </si>
  <si>
    <t xml:space="preserve">Biodegradable, Recyclable, Residual </t>
  </si>
  <si>
    <t>Partially operational</t>
  </si>
  <si>
    <t>Bocaue</t>
  </si>
  <si>
    <t>Batia</t>
  </si>
  <si>
    <t>2016 &amp; 2017</t>
  </si>
  <si>
    <t>270000 &amp; 460000</t>
  </si>
  <si>
    <t xml:space="preserve">R3-2025-023886 </t>
  </si>
  <si>
    <t>As per MENRO Gomez, the MRF has no power supply and lack of man power from the barangay to fully operate the facility</t>
  </si>
  <si>
    <t>Bulakan</t>
  </si>
  <si>
    <t>Matungao</t>
  </si>
  <si>
    <t>14.8146,120.8814</t>
  </si>
  <si>
    <t>R3-2025-036122</t>
  </si>
  <si>
    <t>none</t>
  </si>
  <si>
    <t>\</t>
  </si>
  <si>
    <t>Bustos</t>
  </si>
  <si>
    <t>Catacte</t>
  </si>
  <si>
    <t>R3-2025-011417</t>
  </si>
  <si>
    <t>Biowaste Shredder, Composter, Plastic Shedder</t>
  </si>
  <si>
    <t>R3-2025-036055</t>
  </si>
  <si>
    <t>Calumpit</t>
  </si>
  <si>
    <t xml:space="preserve"> Calizon</t>
  </si>
  <si>
    <t>R3-2025-004360</t>
  </si>
  <si>
    <t>Rotary Mixer, Wheel Loader, Biowaste Shedder, Rotary Composter and Vermicomposting beds/bins</t>
  </si>
  <si>
    <t>Biodegrable</t>
  </si>
  <si>
    <t>CSJDM</t>
  </si>
  <si>
    <t>Minuyan III</t>
  </si>
  <si>
    <t>2018 &amp; 2018</t>
  </si>
  <si>
    <t>285000 &amp; 285000</t>
  </si>
  <si>
    <t>R3-2025-027456</t>
  </si>
  <si>
    <t>Returned to focal person</t>
  </si>
  <si>
    <t>No data</t>
  </si>
  <si>
    <t xml:space="preserve">Non operational </t>
  </si>
  <si>
    <t>Minuyan Proper</t>
  </si>
  <si>
    <t>R3-2025-027458</t>
  </si>
  <si>
    <t>Weighing scale
☒Biowaste Granulating Machine
☒Bottle Crusher
☒Plastic Granulating Machine
Rotary Mixer 
Biowaste shredder 
☒ Plastic shredder
☒ Glass shredder/ pulverizer
☒ Rotary composter
Bricks maker/molder
Vermicomposting bed/bins</t>
  </si>
  <si>
    <t>Biodegrable, Recyclable and Residual</t>
  </si>
  <si>
    <t>Muzon</t>
  </si>
  <si>
    <t>R3-2025-030544</t>
  </si>
  <si>
    <t>Conveyor, Weighing scale</t>
  </si>
  <si>
    <t>Tungkong Mangga</t>
  </si>
  <si>
    <t>R3-2025-030543</t>
  </si>
  <si>
    <t>Doña Remedios Trinidad</t>
  </si>
  <si>
    <t>Camachile</t>
  </si>
  <si>
    <t>R3-2025-031546</t>
  </si>
  <si>
    <t>Rotary Mixer
Biowaste shredder 
Rotary composter
Windrows for composting</t>
  </si>
  <si>
    <t>Residual waste</t>
  </si>
  <si>
    <t>Guiguinto</t>
  </si>
  <si>
    <t>Poblacion</t>
  </si>
  <si>
    <t>R3-2025-005800</t>
  </si>
  <si>
    <t>Rotary Mixer, Wheel Loader, Biowaste Shedder, Plastic Shedder, Glas Shedder, Windrows for composting, Bricks maker</t>
  </si>
  <si>
    <t>Tuktukan</t>
  </si>
  <si>
    <t>2014 &amp; 2021</t>
  </si>
  <si>
    <t>250000 &amp; 179444.44</t>
  </si>
  <si>
    <t>R3-2025-004436</t>
  </si>
  <si>
    <t>Hagonoy</t>
  </si>
  <si>
    <t>Abulalas</t>
  </si>
  <si>
    <t>R3-2025-008018</t>
  </si>
  <si>
    <t>Biowaste shedder, Plastic Shedder, Rotary Composter</t>
  </si>
  <si>
    <t>Malolos</t>
  </si>
  <si>
    <t>R3-2025-033404</t>
  </si>
  <si>
    <t>Bio, Recyclable, Residual</t>
  </si>
  <si>
    <t>R3-2025-030054</t>
  </si>
  <si>
    <t>Marilao</t>
  </si>
  <si>
    <t>Lambakin</t>
  </si>
  <si>
    <t>R3-2025-016537</t>
  </si>
  <si>
    <t>Converted into a daycare center.</t>
  </si>
  <si>
    <t>Loma de gato</t>
  </si>
  <si>
    <t> R3-2025-024108</t>
  </si>
  <si>
    <t>Biodegradable, Recyclable, Metal, Special, Residual</t>
  </si>
  <si>
    <t>MRS</t>
  </si>
  <si>
    <t>Prenza</t>
  </si>
  <si>
    <t>R3-2025-017073</t>
  </si>
  <si>
    <t>Weighing scale, Heavy-duty weighing scale, Conveyor, Biowaste Granulating Machine, Bottle Crusher, Plastic Granulating Machine, Biowaste shredder, Rotary composter</t>
  </si>
  <si>
    <t>Meycauyan</t>
  </si>
  <si>
    <t>Caingin</t>
  </si>
  <si>
    <t>R3-2025-037447</t>
  </si>
  <si>
    <t>Returned to Focal Person</t>
  </si>
  <si>
    <t>Pajo</t>
  </si>
  <si>
    <t>R3-2025-018061</t>
  </si>
  <si>
    <t>Saluysoy</t>
  </si>
  <si>
    <t>R3-2025-016540</t>
  </si>
  <si>
    <t>Norzagaray</t>
  </si>
  <si>
    <t>Bitungol</t>
  </si>
  <si>
    <t>R3-2025-035134</t>
  </si>
  <si>
    <t>Matictic</t>
  </si>
  <si>
    <t>R3-2025-041845</t>
  </si>
  <si>
    <t>Returned to focal / same report with IIS no. R3-2025-027460</t>
  </si>
  <si>
    <t>Cuyapo</t>
  </si>
  <si>
    <t>Sabit</t>
  </si>
  <si>
    <t>R3-2025-016077</t>
  </si>
  <si>
    <t xml:space="preserve">Plastic Granulating Machine, Bricks Mixer, Bricks Molder,  Glass Shredder, </t>
  </si>
  <si>
    <t>R3-2025-027460</t>
  </si>
  <si>
    <t>Weighing scale, Biowaste shredder, Rotary composter</t>
  </si>
  <si>
    <t>Obando</t>
  </si>
  <si>
    <t xml:space="preserve"> R3-2025-031545 </t>
  </si>
  <si>
    <t>2016 &amp; 2020</t>
  </si>
  <si>
    <t>230000 &amp; 190000</t>
  </si>
  <si>
    <t>R3-2025-008879</t>
  </si>
  <si>
    <t>Panghulo</t>
  </si>
  <si>
    <t>R3-2025-009298</t>
  </si>
  <si>
    <t>No Equipment</t>
  </si>
  <si>
    <t>Compliant based on the compliance checklist, but stated "No logbook for the record of waste &amp;	No proper labeling of type of waste was observed" on the Other Finding and Observation</t>
  </si>
  <si>
    <t>Tawiran</t>
  </si>
  <si>
    <t>R3-2025-008869</t>
  </si>
  <si>
    <t>Weighing Scale, Biowaste Shedder, Rotary Composter</t>
  </si>
  <si>
    <t>Pandi</t>
  </si>
  <si>
    <t>Cacarong Matanda</t>
  </si>
  <si>
    <t>R3-2025-034400</t>
  </si>
  <si>
    <t xml:space="preserve">●	The Barangay-funded MRF was found to be non-operational and is currently being utilized by the barangay as a storage area for various equipment.
●	According to the MENRO, the barangay ceased using the existing MRF facility due to its proximity to residential houses and accessibility issues. The facility is located within a relocation site that has become increasingly dense with residential structures, resulting in narrow roads that restrict vehicle access. Previously, the barangay utilized the site for storing collected recyclables transported using kolong-kolong; however, this practice has been discontinued. MENRO further stated that the barangay is planning to transfer the MRF to a more suitable location.
</t>
  </si>
  <si>
    <t>R3-2025-038923</t>
  </si>
  <si>
    <t>no</t>
  </si>
  <si>
    <t>Nampicuan</t>
  </si>
  <si>
    <t>Jaypee S. Ordoñez</t>
  </si>
  <si>
    <t>R3-2025-005768</t>
  </si>
  <si>
    <t>Mapulang Lupa</t>
  </si>
  <si>
    <t>R3-2025-020201</t>
  </si>
  <si>
    <t>Siling Bata</t>
  </si>
  <si>
    <t>R3-2025-030122</t>
  </si>
  <si>
    <t>Paombong</t>
  </si>
  <si>
    <t>San Isidro II</t>
  </si>
  <si>
    <t>2016 / 2020</t>
  </si>
  <si>
    <t>270000 /  190000</t>
  </si>
  <si>
    <t> R3-2025-005440</t>
  </si>
  <si>
    <t>Biowaste Shredder and Composter</t>
  </si>
  <si>
    <t xml:space="preserve">Plastic
Household Healthcare waste
Residual with potential </t>
  </si>
  <si>
    <t>18,000/day</t>
  </si>
  <si>
    <t>Plaridel</t>
  </si>
  <si>
    <t>Bulihan</t>
  </si>
  <si>
    <t>2014 / 2020</t>
  </si>
  <si>
    <t>500000 / 190000</t>
  </si>
  <si>
    <t>R3-2025-020032</t>
  </si>
  <si>
    <t>Bioshredder, Bio-Composter</t>
  </si>
  <si>
    <t>Pulilan</t>
  </si>
  <si>
    <t xml:space="preserve">Longos </t>
  </si>
  <si>
    <t>R3-2025-020379</t>
  </si>
  <si>
    <t>Shredder</t>
  </si>
  <si>
    <t>Non Compliant</t>
  </si>
  <si>
    <t xml:space="preserve">The subject area is considered as an open dumpsite given that the solid waste dumped directly on the ground and there is no proper storage for solid waste. </t>
  </si>
  <si>
    <t>For issuance for Show Cause Order</t>
  </si>
  <si>
    <t>San Ildefonso</t>
  </si>
  <si>
    <t>Basuit (Pala Pala)</t>
  </si>
  <si>
    <t>R3-2025-023561 </t>
  </si>
  <si>
    <t>San Miguel</t>
  </si>
  <si>
    <t>Biak Na Bato</t>
  </si>
  <si>
    <t>R3-2025-027545</t>
  </si>
  <si>
    <t>Recyclable, Plastic, Residual with potential for recycling</t>
  </si>
  <si>
    <t>San Rafael</t>
  </si>
  <si>
    <t>Coral na bato</t>
  </si>
  <si>
    <t>R3-2025-027682</t>
  </si>
  <si>
    <t>Bio shredder, Composter, Plastic Shredder</t>
  </si>
  <si>
    <t>Biodegradable</t>
  </si>
  <si>
    <t>Sta. Maria</t>
  </si>
  <si>
    <t>Magasawang Sapa</t>
  </si>
  <si>
    <t>R3-2025-037497</t>
  </si>
  <si>
    <t>issued CDO</t>
  </si>
  <si>
    <t>Parada</t>
  </si>
  <si>
    <t>R3-2025-037445</t>
  </si>
  <si>
    <t>San Vicente</t>
  </si>
  <si>
    <t>R3-2025-037446</t>
  </si>
  <si>
    <t>Planned for relocation</t>
  </si>
  <si>
    <t>Aliaga</t>
  </si>
  <si>
    <t>Santiago</t>
  </si>
  <si>
    <t>R3-2025-025517</t>
  </si>
  <si>
    <t>yes</t>
  </si>
  <si>
    <t>Bongabon</t>
  </si>
  <si>
    <t>Pesa</t>
  </si>
  <si>
    <t>R3-2025-008172</t>
  </si>
  <si>
    <t>Cabanatuan City</t>
  </si>
  <si>
    <t>Pagas</t>
  </si>
  <si>
    <t>R3-2025-012757</t>
  </si>
  <si>
    <t>Bio Composter</t>
  </si>
  <si>
    <t>San Isidro</t>
  </si>
  <si>
    <t>R3-2025-011650</t>
  </si>
  <si>
    <t>Bio composter adn Bio Shredder</t>
  </si>
  <si>
    <t>Biodegradabl and Recyclable</t>
  </si>
  <si>
    <t>Cabiao</t>
  </si>
  <si>
    <t>Concepcion</t>
  </si>
  <si>
    <t>R3-2025-022212</t>
  </si>
  <si>
    <t>Bio Sjredder. Bio Composter</t>
  </si>
  <si>
    <t>Recylanle, Residual</t>
  </si>
  <si>
    <t>Carangalan</t>
  </si>
  <si>
    <t>TL Padilla</t>
  </si>
  <si>
    <t>R3-2025-035174</t>
  </si>
  <si>
    <t>Paper, Plastics, Glass, Biodegradable</t>
  </si>
  <si>
    <t>Gabaldon</t>
  </si>
  <si>
    <t>hollow blocks Making Equipment, Glass Pulvirizer, Plastic Shredder, Bio Composter, Bio Shredder</t>
  </si>
  <si>
    <t>Biodegradable, Recyclable, Residual with Potential</t>
  </si>
  <si>
    <t>Only Barangay Pantoc, Gabaldon has an Initiated MRF for monitoring. To be check on cleansing of Accomplishment</t>
  </si>
  <si>
    <t>Pantoc</t>
  </si>
  <si>
    <t>R3-2025-024204</t>
  </si>
  <si>
    <t>Lawacamulag</t>
  </si>
  <si>
    <t>R3-2025-009048</t>
  </si>
  <si>
    <t>MRF was converted as the parking lot for ambulance vehicles and patient’s service.</t>
  </si>
  <si>
    <t>Gapan City</t>
  </si>
  <si>
    <t>Pambuan</t>
  </si>
  <si>
    <t>R3-2025-031582</t>
  </si>
  <si>
    <t>Recyclables, Residual</t>
  </si>
  <si>
    <t>General Natividad</t>
  </si>
  <si>
    <t>Balaring</t>
  </si>
  <si>
    <t>R3-2025-023501
R3-2025-032850</t>
  </si>
  <si>
    <t>Bio composter, Bio Shredder, plastic densifier</t>
  </si>
  <si>
    <t>Botolan</t>
  </si>
  <si>
    <t>Panan</t>
  </si>
  <si>
    <t>Larizze Anne Santos</t>
  </si>
  <si>
    <t>R3-2025-011714</t>
  </si>
  <si>
    <t>Due to land ownership problem, the land owner closed the facility and the LGU has no access to the MRF.</t>
  </si>
  <si>
    <t>Castillejos</t>
  </si>
  <si>
    <t>Nagbayan</t>
  </si>
  <si>
    <t>R3-2025-001961</t>
  </si>
  <si>
    <t>No power supply and currenty used as storage of equipment.</t>
  </si>
  <si>
    <t>FFM</t>
  </si>
  <si>
    <t>Yes</t>
  </si>
  <si>
    <t>Palauig</t>
  </si>
  <si>
    <t>Salaza</t>
  </si>
  <si>
    <t>R3-2025-025654</t>
  </si>
  <si>
    <t>With advise letter (August 27, 2025)</t>
  </si>
  <si>
    <t>San Felipe</t>
  </si>
  <si>
    <t>Apostol</t>
  </si>
  <si>
    <t>R3-2025-005746</t>
  </si>
  <si>
    <t>Mixed</t>
  </si>
  <si>
    <t>n/a</t>
  </si>
  <si>
    <t>No Power Supply and newly constructed</t>
  </si>
  <si>
    <t>•	To conduct a technical conference inviting all concerns to discuss the issue and elicit a formal commitment from the LGU of San Felipe Zambales to improve their MRF and to implement the proper guidelines on Material Recovery Facility (MRF) as stated in Section 32 Establishment of LGU Materials Recovery Facility, and Section 1 (a) and (b) “Operations of a Materials Recovery Facility” under Rule XI “Materials Recovery Facilities and Composting” of IRR (DAO 2001-34) of RA 9003</t>
  </si>
  <si>
    <t>Released - May 13, 2025</t>
  </si>
  <si>
    <t>San Narciso</t>
  </si>
  <si>
    <t>San Pascual</t>
  </si>
  <si>
    <t>2019 &amp; 2021</t>
  </si>
  <si>
    <t>682158.73 / 179444.44</t>
  </si>
  <si>
    <t>R3-2025-005890</t>
  </si>
  <si>
    <t>Biowaste and Plastic Shredder / Bio Composter</t>
  </si>
  <si>
    <t>No records</t>
  </si>
  <si>
    <t>Sta. Cruz</t>
  </si>
  <si>
    <t>Sabang</t>
  </si>
  <si>
    <t>R3-2025-033421</t>
  </si>
  <si>
    <t>Returned funds</t>
  </si>
  <si>
    <t>Dilasag</t>
  </si>
  <si>
    <t>Maligaya</t>
  </si>
  <si>
    <t>R3-2025-038744</t>
  </si>
  <si>
    <t>Biowaste shredder ,Rotary composter</t>
  </si>
  <si>
    <t>Caragsacan</t>
  </si>
  <si>
    <t>R3-2025-026810</t>
  </si>
  <si>
    <t>☒Cartoon Pressing Machine
☒Bricks Mixer Machine
☒ Biowaste shredder 
☒ Rotary composter
☒ Bricks maker/molder
☒ Low maintenance diesel-powered machine</t>
  </si>
  <si>
    <t>Biodegradable waste,Recyclables,Special Waste,Residual Wastes</t>
  </si>
  <si>
    <t>General Tinio</t>
  </si>
  <si>
    <t>San Pedro</t>
  </si>
  <si>
    <t>R3-2025-013203</t>
  </si>
  <si>
    <t>Guimba</t>
  </si>
  <si>
    <t>Lennec</t>
  </si>
  <si>
    <t>R3-2025-027123</t>
  </si>
  <si>
    <t>Bio Composter, Bio Shredder</t>
  </si>
  <si>
    <t>no records</t>
  </si>
  <si>
    <t>•	The LGU Guimba is advised to operationalize its Materials Recovery Facility (MRF) in accordance with Section 32 of Republic Act No. 9003, also known as the Ecological Solid Waste Management Act of 2000 and its Rule XI, Section 1 of its Implementing Rules and Regulations.</t>
  </si>
  <si>
    <t>The LGU Guimba is advised to operationalize its Materials Recovery Facility (MRF) in accordance with Section 32 of Republic Act No. 9003, also known as the Ecological Solid Waste Management Act of 2000 and its Rule XI, Section 1 of its Implementing Rules and Regulations.</t>
  </si>
  <si>
    <t>Jaen</t>
  </si>
  <si>
    <t>Niyugan</t>
  </si>
  <si>
    <t>R3-2025-031579</t>
  </si>
  <si>
    <t>73,184 kg</t>
  </si>
  <si>
    <t>Laur</t>
  </si>
  <si>
    <t>Sagana</t>
  </si>
  <si>
    <t>R3-2025-011647</t>
  </si>
  <si>
    <t>Licab</t>
  </si>
  <si>
    <t>Villa Rosa</t>
  </si>
  <si>
    <t>R3-2025-026217</t>
  </si>
  <si>
    <t>Recylcable, Residual Waste</t>
  </si>
  <si>
    <t>With advise letter (for release)</t>
  </si>
  <si>
    <t>Llanera</t>
  </si>
  <si>
    <t>2014 &amp; 2019 &amp; 2020</t>
  </si>
  <si>
    <t>250000 &amp; 502714.29 &amp; 190000</t>
  </si>
  <si>
    <t>R3-2025-017707</t>
  </si>
  <si>
    <t>Lupao</t>
  </si>
  <si>
    <t>Namulandayan</t>
  </si>
  <si>
    <t>R3-2025-037803</t>
  </si>
  <si>
    <t>R3-2025-037802</t>
  </si>
  <si>
    <t>Palayan City</t>
  </si>
  <si>
    <t>Singalat</t>
  </si>
  <si>
    <t>R3-2025-012163</t>
  </si>
  <si>
    <t>Pantabangan</t>
  </si>
  <si>
    <t>Poblacion East</t>
  </si>
  <si>
    <t>520,714.29 &amp; 179,444.44</t>
  </si>
  <si>
    <t>R3-2025-019900</t>
  </si>
  <si>
    <t xml:space="preserve">Bio composter adn Bio Shredder, Biogas Digester, </t>
  </si>
  <si>
    <t>Bio, Recyclables, Residual with Potential and Spacial Waste</t>
  </si>
  <si>
    <t>Penaranda</t>
  </si>
  <si>
    <t>Callos</t>
  </si>
  <si>
    <t>R3-2025-012454</t>
  </si>
  <si>
    <t xml:space="preserve">Plastic Shredder, </t>
  </si>
  <si>
    <t>Quezon</t>
  </si>
  <si>
    <t>Dos</t>
  </si>
  <si>
    <t>R3-2025-025515</t>
  </si>
  <si>
    <t>R3-2025-035080</t>
  </si>
  <si>
    <t>Rizal</t>
  </si>
  <si>
    <t>San Gregorio</t>
  </si>
  <si>
    <t>502,714.29.00 &amp; 179.444.44</t>
  </si>
  <si>
    <t>R3-2025-037438</t>
  </si>
  <si>
    <t>Sta Cruz</t>
  </si>
  <si>
    <t>R3-2025-038517</t>
  </si>
  <si>
    <t>Tabon</t>
  </si>
  <si>
    <t>R3-2025-004174</t>
  </si>
  <si>
    <t>The LGU was planning to construct a Transfer Station near the MRF</t>
  </si>
  <si>
    <t>Fast Track Hauling of waste and secure fence within the facility</t>
  </si>
  <si>
    <t>San Jose City</t>
  </si>
  <si>
    <t>Sto Tomas</t>
  </si>
  <si>
    <t>2018 &amp; 2021</t>
  </si>
  <si>
    <t>475000 &amp;179,444.44</t>
  </si>
  <si>
    <t>R3-2025-035208</t>
  </si>
  <si>
    <t>San Leonardo</t>
  </si>
  <si>
    <t>Tagumpay</t>
  </si>
  <si>
    <t>R3-2025-009216</t>
  </si>
  <si>
    <t>Science City of Munoz</t>
  </si>
  <si>
    <t>Franza</t>
  </si>
  <si>
    <t>R3-2025-035175</t>
  </si>
  <si>
    <t>Paper, Plastics, Metal, Glass, Biodegradable</t>
  </si>
  <si>
    <t>Sta Rosa</t>
  </si>
  <si>
    <t>Soledad</t>
  </si>
  <si>
    <t>R3-2025-009274</t>
  </si>
  <si>
    <t>Bio Shredder and Bio Composter</t>
  </si>
  <si>
    <t>Sta. Rosa</t>
  </si>
  <si>
    <t>Rahal Norte</t>
  </si>
  <si>
    <t>R3-2025-009232</t>
  </si>
  <si>
    <t>Sto. Domingo</t>
  </si>
  <si>
    <t>R3-2025-018152</t>
  </si>
  <si>
    <t>Bio composter and Bio Shredder</t>
  </si>
  <si>
    <t>Talavera</t>
  </si>
  <si>
    <t>Bagong Silang</t>
  </si>
  <si>
    <t>R3-2025-019465</t>
  </si>
  <si>
    <t>Bio composter and Bio Shredder,
vermicompost pit, bricks maker,
plastic chair molder equipment (LGU Owned)</t>
  </si>
  <si>
    <t>Talugtug</t>
  </si>
  <si>
    <t>Buted</t>
  </si>
  <si>
    <t>R3-2025-036960</t>
  </si>
  <si>
    <t>Zaragosa</t>
  </si>
  <si>
    <t>R3-2025-031304</t>
  </si>
  <si>
    <t>Biowaste Shedder, Composter, Cartoon Processing Machine, Wheel Loader</t>
  </si>
  <si>
    <t>Biodegrable, Recycle, Residual</t>
  </si>
  <si>
    <t>R3-2025-016079</t>
  </si>
  <si>
    <t>Apalit</t>
  </si>
  <si>
    <t>Sulipan</t>
  </si>
  <si>
    <t>Glaiza S. Gaza</t>
  </si>
  <si>
    <t>R3-2025-004425</t>
  </si>
  <si>
    <t>Wheel Loader, Biowaste Shredder, Rotary composer</t>
  </si>
  <si>
    <t>R3-2025-004424</t>
  </si>
  <si>
    <t>Arayat</t>
  </si>
  <si>
    <t>Tabuan (Sto. Nino Tabuan)</t>
  </si>
  <si>
    <t>R3-2025-001606</t>
  </si>
  <si>
    <t>All types of waste</t>
  </si>
  <si>
    <t>Bacolor</t>
  </si>
  <si>
    <t>Talba</t>
  </si>
  <si>
    <t>R3-2025-008775</t>
  </si>
  <si>
    <t>Biowaste shedder, , Rotary Composter</t>
  </si>
  <si>
    <t>Candaba</t>
  </si>
  <si>
    <t>Pansilao</t>
  </si>
  <si>
    <t>R3-2025-037415</t>
  </si>
  <si>
    <t>Bio-shredder, Bio-COmposter</t>
  </si>
  <si>
    <t>R3-2025-005769</t>
  </si>
  <si>
    <t>The MRF will not be utilized as EMB funded MRF is planned for utilization</t>
  </si>
  <si>
    <t>CSFP</t>
  </si>
  <si>
    <t>Del Rosario</t>
  </si>
  <si>
    <t>2012 (2016)</t>
  </si>
  <si>
    <t>R3-2025-001634</t>
  </si>
  <si>
    <t>No equipment within the facility</t>
  </si>
  <si>
    <t>Biodegrable and Recyclable</t>
  </si>
  <si>
    <t>Lara</t>
  </si>
  <si>
    <t>R3-2025-001633</t>
  </si>
  <si>
    <t xml:space="preserve">Wheel Loader, Plastic Shredder, Glass Shredder, Plastic Densifier, Plastic Chair Factory </t>
  </si>
  <si>
    <t>Residual and Biodegrable</t>
  </si>
  <si>
    <t>Floridablanca</t>
  </si>
  <si>
    <t>Carmencita</t>
  </si>
  <si>
    <t>530642.86 &amp; 179444.44</t>
  </si>
  <si>
    <t> R3-2025-013112</t>
  </si>
  <si>
    <t>Pabanlag</t>
  </si>
  <si>
    <t>14.96047,120.46104</t>
  </si>
  <si>
    <t>R3-2025-013111</t>
  </si>
  <si>
    <t>Coveyor, Bio Shredder, Bio Composter, Briquetting Machine, Glass Shredder</t>
  </si>
  <si>
    <t>Guagua</t>
  </si>
  <si>
    <t>R3-2025-008774</t>
  </si>
  <si>
    <t>Lubao</t>
  </si>
  <si>
    <t>Sta. Catalima</t>
  </si>
  <si>
    <t>R3-2025-023118</t>
  </si>
  <si>
    <t>No equipments</t>
  </si>
  <si>
    <t>Mabalacat City</t>
  </si>
  <si>
    <t>Sapang Balen</t>
  </si>
  <si>
    <t>R3-2025-016979</t>
  </si>
  <si>
    <t>Biowaste shredder, Rotary composter</t>
  </si>
  <si>
    <t>Residual</t>
  </si>
  <si>
    <t>Macabebe</t>
  </si>
  <si>
    <t>R3-2025-037398</t>
  </si>
  <si>
    <t>Wheel Loader</t>
  </si>
  <si>
    <t>Magalang</t>
  </si>
  <si>
    <t>Sto. Rosario</t>
  </si>
  <si>
    <t>R3-2025-016738</t>
  </si>
  <si>
    <t xml:space="preserve"> Rotary Composter, Bio Shredder, </t>
  </si>
  <si>
    <t>Recyclable</t>
  </si>
  <si>
    <t>Masantol</t>
  </si>
  <si>
    <t>Bebe anac</t>
  </si>
  <si>
    <t>R3-2025-019739</t>
  </si>
  <si>
    <t>30 386.76</t>
  </si>
  <si>
    <t>Mexico</t>
  </si>
  <si>
    <t>Suclaban</t>
  </si>
  <si>
    <t>R3-2025-001604</t>
  </si>
  <si>
    <t>Rotary Composter, Biowaste shedder and Conveyor</t>
  </si>
  <si>
    <t>approximately 1,500 square meters and a height of 3 meters of mixed waste were covering the area, with some of the wastes are in direct contact with the soil.</t>
  </si>
  <si>
    <t>On Process</t>
  </si>
  <si>
    <t>Section 32 Establishment of LGU Materials Recovery Facility, and Section 1 (a) and (b) “Operations of a Materials Recovery Facility” under Rule XI “Materials Recovery Facilities and Composting” of IRR (DAO 2001-34) of RA 9003.</t>
  </si>
  <si>
    <t>Minalin</t>
  </si>
  <si>
    <t>Sta. Catalina</t>
  </si>
  <si>
    <t>R3-2025-027036</t>
  </si>
  <si>
    <t>Recyclable, Biodegradable, Residual with potential</t>
  </si>
  <si>
    <t>Porac</t>
  </si>
  <si>
    <t>San Jose Mitla</t>
  </si>
  <si>
    <t>R3-2025-012408</t>
  </si>
  <si>
    <t>Wheel Loader, Plastic Shedder, Rotary Composter,</t>
  </si>
  <si>
    <t>So. Tomas</t>
  </si>
  <si>
    <t>R3-2025-031102</t>
  </si>
  <si>
    <t>N.A</t>
  </si>
  <si>
    <t>For issuance of Show Cause Order</t>
  </si>
  <si>
    <t>San Simon</t>
  </si>
  <si>
    <t>Santa Monica</t>
  </si>
  <si>
    <t xml:space="preserve"> 4th</t>
  </si>
  <si>
    <t>14.992,120.7593</t>
  </si>
  <si>
    <t>R3-2025-024198</t>
  </si>
  <si>
    <t>29 482.596</t>
  </si>
  <si>
    <t>Sasmuan</t>
  </si>
  <si>
    <t>Dalan Baba</t>
  </si>
  <si>
    <t>R3-2025-008773</t>
  </si>
  <si>
    <t>Sta Rita</t>
  </si>
  <si>
    <t>Dila dila</t>
  </si>
  <si>
    <t>Ivy Castro</t>
  </si>
  <si>
    <t>R3-2025-033271</t>
  </si>
  <si>
    <t>Recyclable, Biodegrdable, Residual</t>
  </si>
  <si>
    <t>For technical conferece, SIR and letter routed through IIS no. R3-2025-030765</t>
  </si>
  <si>
    <t>Sta. Ana</t>
  </si>
  <si>
    <t>San Nicolas</t>
  </si>
  <si>
    <t>R3-2025-027139</t>
  </si>
  <si>
    <t>Sto. Tomas</t>
  </si>
  <si>
    <t>R3-2025-001637</t>
  </si>
  <si>
    <t>Wheel loader, composter and plastic shedder</t>
  </si>
  <si>
    <t>Biodegrable and Residual</t>
  </si>
  <si>
    <t>Bamban</t>
  </si>
  <si>
    <t>R3-2025-012811</t>
  </si>
  <si>
    <t>Capas</t>
  </si>
  <si>
    <t>Cutcut 1st</t>
  </si>
  <si>
    <t>R3-2025-004766</t>
  </si>
  <si>
    <t>Rotary Mixer, Biowaste Shedder, Rotary Composter and Eco Briks maker</t>
  </si>
  <si>
    <t>R3-2025-008105</t>
  </si>
  <si>
    <t>Composer, Shedder</t>
  </si>
  <si>
    <t>Sherwin John Y. Loquellano</t>
  </si>
  <si>
    <t>R3-2025-037108</t>
  </si>
  <si>
    <t xml:space="preserve">Conveyor, Bio-Shredder, Bio-Composter, </t>
  </si>
  <si>
    <t>Returned Funds</t>
  </si>
  <si>
    <t>Lapaz</t>
  </si>
  <si>
    <t>Sierra</t>
  </si>
  <si>
    <t>R3-2025-030930</t>
  </si>
  <si>
    <t>Weighing scale, Biowaste Granulating Machine, Bottle Crusher, Plastic Granulating Machine, Bricks Mixer Machine, Rotary Mixer, Biowaste shredder, Plastic shredder, Rotary composter, Bricks maker/molder</t>
  </si>
  <si>
    <t>Tarlac City</t>
  </si>
  <si>
    <t>Tibag</t>
  </si>
  <si>
    <t>R3-2025-026781</t>
  </si>
  <si>
    <t>The MRF is not operational; according to staff, its operation is still undefined, but the LGU plans to resume its operation soon. In the meantime, waste is temporarily being collected and brought to an alternative disposal site, while the LGU finalizes operational guidelines for the facility</t>
  </si>
  <si>
    <t>Anao</t>
  </si>
  <si>
    <t>San Jose South</t>
  </si>
  <si>
    <t>R3-2025-024269
R3-2025-030015</t>
  </si>
  <si>
    <t>Rotary Mixer, Biowaste Shedder, Vermicompisting Bed</t>
  </si>
  <si>
    <t>Camiling</t>
  </si>
  <si>
    <t>Bacsay</t>
  </si>
  <si>
    <t>R3-2025-005922</t>
  </si>
  <si>
    <t>`</t>
  </si>
  <si>
    <t>Biodegradble, Recyclable</t>
  </si>
  <si>
    <t>Victoria</t>
  </si>
  <si>
    <t>Bantog</t>
  </si>
  <si>
    <t>502714.29 &amp; 179444.44</t>
  </si>
  <si>
    <t>R3-2025-034347</t>
  </si>
  <si>
    <t>Weigh scale, Converyor, Brix Mixer, Rotary Mixer, Bio waste shreder, Bio Composter, Charcoal Briquetting</t>
  </si>
  <si>
    <t>Biodegradable, recyclable, residual</t>
  </si>
  <si>
    <t>Gerona</t>
  </si>
  <si>
    <t>Tagumbao</t>
  </si>
  <si>
    <t>R3-2025-016673</t>
  </si>
  <si>
    <t>Weighing scale, Biowaste Granulating Machine, Rotary Mixer, Biowaste shredder , Rotary composter</t>
  </si>
  <si>
    <t>•	The Materials Recovery Facility (MRF) processes only biodegradable waste. Residual waste is temporarily stored at the transfer station before being hauled and disposed of at the MAA Integrated Waste Management Corporation’s sanitary landfill.</t>
  </si>
  <si>
    <t>Mayantoc</t>
  </si>
  <si>
    <t>Poblacion Norte</t>
  </si>
  <si>
    <t>R3-2025-005917</t>
  </si>
  <si>
    <t xml:space="preserve"> Biowaste Shedder, Rotary Composter and Eco Briks maker</t>
  </si>
  <si>
    <t>Moncada</t>
  </si>
  <si>
    <t>Burgos</t>
  </si>
  <si>
    <t>R3-2025-031608</t>
  </si>
  <si>
    <t>Weighing scale, Heavy-duty weighing scale, Bottle Crusher, Biowaste shredder, Glass shredder/ pulverizer, Rotary composter, Bricks maker/molder</t>
  </si>
  <si>
    <t>Paniqui</t>
  </si>
  <si>
    <t>Dapdap</t>
  </si>
  <si>
    <t>R3-2025-020272</t>
  </si>
  <si>
    <t>Rotary Mixer, Biowaste Shedder, Rotary Composter</t>
  </si>
  <si>
    <t>The canopy of the Materials Recovery Facility (MRF) is currently under construction to improve the facility's infrastructure.</t>
  </si>
  <si>
    <t>Pura</t>
  </si>
  <si>
    <t>Matindeg</t>
  </si>
  <si>
    <t>R3-2025-034348</t>
  </si>
  <si>
    <t>Weigh scale,  Bio Shredder, Bio Composter, Vermicomposting</t>
  </si>
  <si>
    <t>Ramos</t>
  </si>
  <si>
    <t>Pance</t>
  </si>
  <si>
    <t>R3-2025-011545</t>
  </si>
  <si>
    <t>Bottle Crusher, Rotary Mixer, Biowaste shredder, Rotary composter</t>
  </si>
  <si>
    <t>San Clemente</t>
  </si>
  <si>
    <t>Nagsabaran</t>
  </si>
  <si>
    <t>R3-2025-030077</t>
  </si>
  <si>
    <t>Bio Shredder, Bio Composter, Vermi composting</t>
  </si>
  <si>
    <t>Biodegradable. Recyclable, Residual with Potential</t>
  </si>
  <si>
    <t>San Manuel</t>
  </si>
  <si>
    <t>Lanat</t>
  </si>
  <si>
    <t xml:space="preserve">15.78931,120.60471 </t>
  </si>
  <si>
    <t>R3-2025-027896</t>
  </si>
  <si>
    <t>The Materials Recovery Facility is currently not operational and is scheduled for relocation as per MENRO.</t>
  </si>
  <si>
    <t>Sta Ignacia</t>
  </si>
  <si>
    <t>Poblacion sur</t>
  </si>
  <si>
    <t>R3-2025-036557</t>
  </si>
  <si>
    <t>Bio-shredder, Bio-composter, Vermi composting</t>
  </si>
  <si>
    <t>Palacpalac</t>
  </si>
  <si>
    <t>15.527747,120.706851</t>
  </si>
  <si>
    <t>R3-2025-024306</t>
  </si>
  <si>
    <t>Heavy duty - Weighing Scale, Conveyor, Bricks Mixer Machine, Rotary Mixer, Biowaste Shedder, Rotary Composter, Plastic Molder</t>
  </si>
  <si>
    <t xml:space="preserve">The  Item III. MRF's Daily Records is blank (no provided data), however it is compliant to DAO 2001-34
Rule XI Section 1 (d.1) and stated in the findings that the "Daily logbook records of MRF operations are kept and maintained." </t>
  </si>
  <si>
    <t>Carael</t>
  </si>
  <si>
    <t>Cabangan</t>
  </si>
  <si>
    <t>R3-2025-023489</t>
  </si>
  <si>
    <t>Residual Waste</t>
  </si>
  <si>
    <t>•	There are 4 bins of Green Rescue Environmental Solutions sited in the area. The bins are placed in an open area without proper cover.</t>
  </si>
  <si>
    <t>Released - July 18, 2025</t>
  </si>
  <si>
    <t>Candelaria</t>
  </si>
  <si>
    <t>Pinagrealan</t>
  </si>
  <si>
    <t>R3-2025-019816</t>
  </si>
  <si>
    <t>Biowaste shredder
Plastic shredder
Rotary composter</t>
  </si>
  <si>
    <t>R3-2025-017870</t>
  </si>
  <si>
    <t>Bioshredder, Plastic Shredder</t>
  </si>
  <si>
    <t>Mixed, Recylcable, Residual Waste</t>
  </si>
  <si>
    <t>Released - June 13, 2025</t>
  </si>
  <si>
    <t>Iba</t>
  </si>
  <si>
    <t>Amungan</t>
  </si>
  <si>
    <t>R3-2025-011717</t>
  </si>
  <si>
    <t xml:space="preserve">Conveyor ☐ Biowaste shredder  
☐ Plastic shredder 
Rotary composter </t>
  </si>
  <si>
    <t>Baloganon</t>
  </si>
  <si>
    <t>R3-2025-031096</t>
  </si>
  <si>
    <t xml:space="preserve">Weighing scale
Conveyor
Bottle Crusher
Biowaste shredder
Plastic shredder
 Glass shredder/ pulverizer
Rotary composter
Windrows for composting
</t>
  </si>
  <si>
    <t>Olongapo City</t>
  </si>
  <si>
    <t>New Cabalan</t>
  </si>
  <si>
    <t>R3-2025-017012</t>
  </si>
  <si>
    <t>No updated records for waste diversion</t>
  </si>
  <si>
    <t>Pundaquit</t>
  </si>
  <si>
    <t xml:space="preserve">R3-2025-008286	</t>
  </si>
  <si>
    <t>Biowaste shredder /Conveyor/Bottle Crusher/Bricks Mixer Machine/Rotary Mixer/Plastic shredder/Glass shredder/ pulverizer/Rotary composter</t>
  </si>
  <si>
    <t>Mixed Waste,Biodegradable waste,Recyclables,Residual Wastes</t>
  </si>
  <si>
    <t xml:space="preserve">•	The collected residuals are temporary dumped directly on the gorund at the side of the MRF and hauled by their partner hauler every day (figure 3)
•	According to the MENRO, they used the side of the MRF for temporary sorting area of collected solid waste.
•	No records of waste collected in the MRF. 
</t>
  </si>
  <si>
    <t>Released - April 10, 2025</t>
  </si>
  <si>
    <t>San Marcelino</t>
  </si>
  <si>
    <t>Linasin</t>
  </si>
  <si>
    <t>R3-2025-003489</t>
  </si>
  <si>
    <t>Weighing scale,Cartoon Pressing Machine,Biowaste shredder, Plastic shredder,Rotary composter,Bricks maker/molder,Plastic densifier</t>
  </si>
  <si>
    <t xml:space="preserve">•	Upon entering the premises of the facility, a pungent smell was perceived.
One (1) container bin, which was already fully loaded with garbage, was observed in the MRF.
•	Accumulation of mixed wastes beyond the allowed capacity of the Municipal Materials Recovery Facility with an estimated of around 1537 cubic meters, was observed to have been stored inside the facility without any form of management system. The accumulated mixed waste is approximately 179 square meters with height of approximately 2.5 meters
•	It appeared that no segregation was observed; thus, mixed waste was present inside and outside the facility
•	 EMB-funded equipment that is composter was observed located beside the MRF.
•	An adjacent dumpsite composed of mixed wastes covering approximately 79 square meters and a height of approximately 1.5 meters was observed
•	The solid waste was left exposed, potentially causing environmental and health hazards, and increased leachate generation during rainfall.
•	The solid waste present in the dumpsite is in direct contact with the soil surface, which may cause soil and groundwater contamination
</t>
  </si>
  <si>
    <t>R3-2025-030902</t>
  </si>
  <si>
    <t>Weighing scale,Biowaste shredder, Rotary composter,Vermicomposting bed/bins</t>
  </si>
  <si>
    <t>Mixed waste ,Biodegradable waste,Recyclables,Special Waste,Residual Wastes</t>
  </si>
  <si>
    <t>.</t>
  </si>
  <si>
    <t>BARANGAY</t>
  </si>
  <si>
    <t>Ownership 
(LGU OR PRIVATE)</t>
  </si>
  <si>
    <t>Year Started Operation</t>
  </si>
  <si>
    <t>Category</t>
  </si>
  <si>
    <t>Volume Capacity
(tons/day) Based on ECC</t>
  </si>
  <si>
    <t>No. of LGU Served</t>
  </si>
  <si>
    <t>ECC NO.</t>
  </si>
  <si>
    <t>DISCHARGE PERMIT</t>
  </si>
  <si>
    <t>PERMIT TO OPERATE</t>
  </si>
  <si>
    <t>HAZWASTE GENERATION ID</t>
  </si>
  <si>
    <t>ESWM Staff</t>
  </si>
  <si>
    <t>Total No. of Days (Report Reviewed by Sub Focal)</t>
  </si>
  <si>
    <t>Tracking of Reports
(to be filled out of Planning Section)</t>
  </si>
  <si>
    <t>Status of Sanitary Land Fill</t>
  </si>
  <si>
    <t>Remaining Life Span
(Cell)</t>
  </si>
  <si>
    <t>Actual Residual Waste Received
(Kg/day)</t>
  </si>
  <si>
    <t>Number of Cell</t>
  </si>
  <si>
    <t>Estimated Volume of waste within the cell
(tons)</t>
  </si>
  <si>
    <t>No. of Leachate Pond</t>
  </si>
  <si>
    <t>Number of Gas Vents</t>
  </si>
  <si>
    <t>MRF Estabilished within the Facility
(With or Without)</t>
  </si>
  <si>
    <t>Remarks and
recommendation</t>
  </si>
  <si>
    <t>lone</t>
  </si>
  <si>
    <t>15.38261111,121.3800194</t>
  </si>
  <si>
    <t>4.0 mtons/day</t>
  </si>
  <si>
    <t>ECC-OL-R03-2019-0433</t>
  </si>
  <si>
    <t>R3-2025-034842</t>
  </si>
  <si>
    <t>700kg.day</t>
  </si>
  <si>
    <t>With</t>
  </si>
  <si>
    <t>For Issuance of NOV</t>
  </si>
  <si>
    <t>15.3961,120.0251</t>
  </si>
  <si>
    <t>15 mtons / day</t>
  </si>
  <si>
    <t>03ZA 0710 31 570-120A</t>
  </si>
  <si>
    <t>DP-R03-23-10807</t>
  </si>
  <si>
    <t>OL-GR-R3-71-046459</t>
  </si>
  <si>
    <t>R3-2025-034749</t>
  </si>
  <si>
    <t>Pending</t>
  </si>
  <si>
    <t>1 Year and 5 Months</t>
  </si>
  <si>
    <t>5 tons/Day</t>
  </si>
  <si>
    <t xml:space="preserve">•	The facility  has an approved ECC and Hazwaste Generations ID. 
•	The discharge permit is already expired and the LGU has on going application of permit with the application number 367381.
•	In this view of forgoing, a Notice of Violation is recommended to the LGU for the violation under Environment Compliance Certificate General Conditions No. Five (5);
a.	Failure to secure Discharge Permit for Water Pollution Source/Control Facilities (WSPCF)
</t>
  </si>
  <si>
    <t>15.71451111,120.7461167</t>
  </si>
  <si>
    <t>5 tons/day</t>
  </si>
  <si>
    <t>R03-1304-0208</t>
  </si>
  <si>
    <t>Expired DP, ongoing application for renewal of DP</t>
  </si>
  <si>
    <t>OL-GR R3-49-00030</t>
  </si>
  <si>
    <t>Jay Pee S. Ordonez</t>
  </si>
  <si>
    <t>R3-2025-038718</t>
  </si>
  <si>
    <t>1.5 MT</t>
  </si>
  <si>
    <t>Porac (PWS)</t>
  </si>
  <si>
    <t>Planas</t>
  </si>
  <si>
    <t>PRIVATE (PRIME WASTE SOLUTION)</t>
  </si>
  <si>
    <t>15.048202, 120.481046</t>
  </si>
  <si>
    <t>3,000 tons/.day</t>
  </si>
  <si>
    <t>R03-2408-0012</t>
  </si>
  <si>
    <t>DP-R03-24-06934</t>
  </si>
  <si>
    <t>PTO-OL-R03-2024-09086</t>
  </si>
  <si>
    <t>OL-GR-R3-54-063066</t>
  </si>
  <si>
    <t>R3-2025-038982</t>
  </si>
  <si>
    <t>with</t>
  </si>
  <si>
    <t>Ma. Aurora</t>
  </si>
  <si>
    <t>15.814234, 121.479540</t>
  </si>
  <si>
    <t>15 tons / day</t>
  </si>
  <si>
    <t>ECC-OL-RO3-2020-0520</t>
  </si>
  <si>
    <t>DP-R03-24-02171</t>
  </si>
  <si>
    <t xml:space="preserve">PTO-OL-R03-2024-03143 </t>
  </si>
  <si>
    <t xml:space="preserve">OL-GRR3-77-052035 </t>
  </si>
  <si>
    <t xml:space="preserve">R3-2025-005891	</t>
  </si>
  <si>
    <t>For further monitoirng</t>
  </si>
  <si>
    <t>Abucay (BEST)</t>
  </si>
  <si>
    <t>Provice of Bataan/BEST</t>
  </si>
  <si>
    <t>14.700714,120.486939</t>
  </si>
  <si>
    <t xml:space="preserve">748,422 tons </t>
  </si>
  <si>
    <t>R03-10272021-5152</t>
  </si>
  <si>
    <t>Application No. 374908</t>
  </si>
  <si>
    <t>Application No. 214898</t>
  </si>
  <si>
    <t>R3-2025-004488</t>
  </si>
  <si>
    <t>Ma. Erlinda H. Eugenio</t>
  </si>
  <si>
    <t>Est. 30tpd</t>
  </si>
  <si>
    <t>without</t>
  </si>
  <si>
    <t>Sta.Rosa</t>
  </si>
  <si>
    <t>Brgy. Soledad</t>
  </si>
  <si>
    <t>15.39763611,120.9720361</t>
  </si>
  <si>
    <t>14.5 mtons / day</t>
  </si>
  <si>
    <t>ECC-OL-R03-2019-0434</t>
  </si>
  <si>
    <t>For renewal</t>
  </si>
  <si>
    <t>OL-GR-R3-49-046769</t>
  </si>
  <si>
    <t>R3-2025-009214</t>
  </si>
  <si>
    <t>3 years</t>
  </si>
  <si>
    <t>Gen. Tinio</t>
  </si>
  <si>
    <t>15.38995,121.0623556</t>
  </si>
  <si>
    <t>1.7 tons / day</t>
  </si>
  <si>
    <t>ECC-OL-R03-2019-0068</t>
  </si>
  <si>
    <t>On-process</t>
  </si>
  <si>
    <t>OL-GR-R3-49-030610</t>
  </si>
  <si>
    <t>Christian Jem C. Buluran</t>
  </si>
  <si>
    <t>R3-2025-013080</t>
  </si>
  <si>
    <t>1.7 T</t>
  </si>
  <si>
    <t>With Issued NOV dated June 13, 2025</t>
  </si>
  <si>
    <t>14.8457,120.3343139</t>
  </si>
  <si>
    <t>150 mtons / day</t>
  </si>
  <si>
    <t>R03-1006-0308</t>
  </si>
  <si>
    <t>On- process (248836)</t>
  </si>
  <si>
    <t>OL-GR-R3-71-045719</t>
  </si>
  <si>
    <t>R3-2025-016831</t>
  </si>
  <si>
    <t>15.87683611,121.5255972</t>
  </si>
  <si>
    <t>R03-0904-094-9999</t>
  </si>
  <si>
    <t>R3-2025-019567</t>
  </si>
  <si>
    <t>Porac (Eco Protect)</t>
  </si>
  <si>
    <t>PRIVATE ( Eco Protect Waste Management Corp.)</t>
  </si>
  <si>
    <t>15.08266111,120.5736417</t>
  </si>
  <si>
    <t>2500 tons / day</t>
  </si>
  <si>
    <t>R03-07092018-4509</t>
  </si>
  <si>
    <t>DP-R03-24-00225</t>
  </si>
  <si>
    <t>On Process (Application No. 191266)</t>
  </si>
  <si>
    <t>On Process (Application No. 103600)</t>
  </si>
  <si>
    <t>R3-2025-020195</t>
  </si>
  <si>
    <t>Document and ensure compliance to all the conditions and restrictions stipulated in the Environmental Compliance Certificate (ECC).</t>
  </si>
  <si>
    <t>14.704069,120.487578</t>
  </si>
  <si>
    <t>R03-0908-353-9999</t>
  </si>
  <si>
    <t>R3-2025-023604</t>
  </si>
  <si>
    <t>Floridablanca (Florida Enviro Corp)</t>
  </si>
  <si>
    <t>PRIVATE ( Florida Enviro Corp.)</t>
  </si>
  <si>
    <t>14.9876,120.4544667</t>
  </si>
  <si>
    <t>1000 tons / day</t>
  </si>
  <si>
    <t>R03-11192018-4700</t>
  </si>
  <si>
    <t>DP-R03-23-04789</t>
  </si>
  <si>
    <t>PTO-OL-R03-2023-04394</t>
  </si>
  <si>
    <t>OL-GR-R3-54-006058</t>
  </si>
  <si>
    <t>R3-2025-028232</t>
  </si>
  <si>
    <t>5 years</t>
  </si>
  <si>
    <t>600-700 tons/day</t>
  </si>
  <si>
    <t xml:space="preserve">1.	Ensure that all incoming trucks consistently have covers to prevent waste from being blown out. Continue washing and disinfecting trucks before they exit to maintain hygiene and minimize contamination risks.
2.	Maintain and update records of wastes received, processed and removed.
3.	Maintain proper housekeeping in the Sanitary Landfill.
4.	Ensure proper operation based on the provisions of ECC conditions and under Section 42 of R.A 9003. 
5.	To complete the installation of HDPE liner before utilization to prevent waste from directly in contact with soil and leakage of leachate.
6.	Ensure compliance to all ECC Conditions and proper operation of Sanitary Landfill based on RA 9003.
7.	Continue enforcing the use of PPEs among personnel to ensure workplace safety.
8.	Install gas pipe vents before reaching the maximum capacity of the residual cell to avoid methane accumulation.
9.	Install gas vents in accordance with RA 9003 requirements for sanitary landfills to prevent the accumulation of landfill gases such as methane, which may pose explosion or fire hazards.
10.	Maintain strict prohibition on open burning and ensure that all personnel are aware of Section 48 of RA 9003, which prohibits open burning of solid waste.
11.	Ensure integrity of containment and compaction practices to prevent leachate formation and groundwater contamination. Submit regular monitoring reports as per TSD facility requirements.
12.	Maintain up-to-date records of hazardous waste generation and disposal, and comply with quarterly reporting to EMB.
13.	Document and ensure compliance to all the conditions and restrictions stipulated in the Environmental Compliance Certificate (ECC). </t>
  </si>
  <si>
    <t>15.599997,119.975247</t>
  </si>
  <si>
    <t>10 tons / day</t>
  </si>
  <si>
    <t>R03-02222017-4035</t>
  </si>
  <si>
    <t>R3-2025-027963</t>
  </si>
  <si>
    <t>11 tons</t>
  </si>
  <si>
    <t>Not Visible</t>
  </si>
  <si>
    <t>With MRF</t>
  </si>
  <si>
    <t xml:space="preserve">9.	In this view of forgoing, a Notice of Violation is recommended to the LGU for the violation under Environment Compliance Certificate General Conditions No. Five (5);
a.	Failure to secure Discharge Permit for Water Pollution Source/Control Facilities (WSPCF)
b.	Failure to Register as Hazardous Waste Generator
c.	Failure to submit quarterly Self Monitoring Report (SMR) and Compliance Monitoring Report (CMR).
</t>
  </si>
  <si>
    <t>St. Francis I</t>
  </si>
  <si>
    <t>14.56944444,120.5513889</t>
  </si>
  <si>
    <t>75 tons/day</t>
  </si>
  <si>
    <t>R03-07092021-5106</t>
  </si>
  <si>
    <t>On-process (Application No. 333558)</t>
  </si>
  <si>
    <t>With a letter to EMB R3 requesting for exemption</t>
  </si>
  <si>
    <t>OL-GR-R3-08-027317</t>
  </si>
  <si>
    <t>R3-2025-031542</t>
  </si>
  <si>
    <t>60-70 cubic meters per day</t>
  </si>
  <si>
    <t xml:space="preserve">ECC Condition 17
•	That a Compliance Monitoring Report (CMR) shall be submitted to this Office thru online.emb.gov.ph/cmr for validation within fifteen (15) calendar days after the end of each semester;
ECC Condition 18
•	That the operation of the project shall conform with the applicable provisions of RA 9275 (Philippine Clean Water Act of 2004) and its corresponding Implementing Rules and Regulations (i.e. Secure Discharge Permit Water Pollution Source/Control Facilities, etc.)
ECC Condition 20
•	That the operation of the project shall conform with the applicable provisions of RA 6969 (Toxic Substances and Hazardous and Nuclear Wastes Control Act of 1990) and its corresponding Implementing Rules and Regulations (i.e. Secure Hazardous Waste ID, etc.)
</t>
  </si>
  <si>
    <t>Capas (MCWMC)</t>
  </si>
  <si>
    <t>Cutcut</t>
  </si>
  <si>
    <t>PRIVATE ( Metro Clark Waste Management Corp.)</t>
  </si>
  <si>
    <t>15.298822,120.518358</t>
  </si>
  <si>
    <t>3500 tons /day</t>
  </si>
  <si>
    <t>R03-0012-704-213</t>
  </si>
  <si>
    <t>DP-R03-24-02808</t>
  </si>
  <si>
    <t>PTO-OL-R03-2022-04932</t>
  </si>
  <si>
    <t>On-process based on the HWMS</t>
  </si>
  <si>
    <t>15.58263889,119.9890083</t>
  </si>
  <si>
    <t>R03-2018-0141</t>
  </si>
  <si>
    <t>R3-2025-031436</t>
  </si>
  <si>
    <t xml:space="preserve">Notice of Violation is recommended to the LGU for the violation under Environment Compliance Certificate General Conditions No. Five (5); Failure to secure Discharge Permit for Water Pollution Source/Control Facilities (WSPCF)/Failure to Register as Hazardous Waste Generator/Failure to submit quarterly Self - Monitoring Report (SMR) and Compliance Monitoring Report (CMR).
</t>
  </si>
  <si>
    <t>Type of Equipment</t>
  </si>
  <si>
    <t>Tracking of Reports 
(To be filled out by Planning Section)</t>
  </si>
  <si>
    <t>Status of Bio Shredder</t>
  </si>
  <si>
    <t>Status of Bio Composter</t>
  </si>
  <si>
    <t>Weight of Soil Enhancer Produced (kg)</t>
  </si>
  <si>
    <t>Status of CCTV</t>
  </si>
  <si>
    <t>Status of Plastic Chair Factory</t>
  </si>
  <si>
    <t>No. Plastic Chair Produced</t>
  </si>
  <si>
    <t>Remarks/Reason for the non-operating equipment</t>
  </si>
  <si>
    <t>Advise Letter Issued</t>
  </si>
  <si>
    <t>A-COMPOSTER SET (SUKI)</t>
  </si>
  <si>
    <t>R3-2025-008099</t>
  </si>
  <si>
    <t>The LGU has another shredder to used.</t>
  </si>
  <si>
    <t>B-COMPOSTER SET W/ CCTV (SUKI)</t>
  </si>
  <si>
    <t>R3-2025-020136</t>
  </si>
  <si>
    <t>According to Mr. Nicolas Barnedo Jr., Admin Aide-I of MENR Office Casiguran, some of them already know how to use the equipment, but they can’t use it because it requires a separate electric transformer.</t>
  </si>
  <si>
    <t>R3-2025-030041</t>
  </si>
  <si>
    <t>-No trained operator yet
-	The equipment is stored together with the recyclable waste inside the MRF, and there is still no designated shelter for it.
The CCTV is not installed</t>
  </si>
  <si>
    <t>Dibaraybay</t>
  </si>
  <si>
    <t>C-COMPOSTER SET W/ CCTV (CNG)</t>
  </si>
  <si>
    <t>R3-2025-033246</t>
  </si>
  <si>
    <t>No trained operator</t>
  </si>
  <si>
    <t xml:space="preserve">R3-2025-004540	</t>
  </si>
  <si>
    <t xml:space="preserve">The LGU is waiting for the installation and demonstration from the supplier on how to operate the rotary drum composter. </t>
  </si>
  <si>
    <t>R3-2025-023411</t>
  </si>
  <si>
    <t xml:space="preserve">•	LGU-Dingalan is still requesting for the demonstration on how to operate the equipment.
•	The Solar powered CCTV was not yet installed upon monitoring.
</t>
  </si>
  <si>
    <t>R3-2025-009854</t>
  </si>
  <si>
    <t>*Shredder - As stated by OIC MENRO Llord Vien Baltazar, the equipment is operational. However, its engine was temporarily used in their plastic shredder.
*Composter - The equipment is not operational because there were holes in the body of the equipment.</t>
  </si>
  <si>
    <t>Atilano Ricardo</t>
  </si>
  <si>
    <t>R3-2025-015649</t>
  </si>
  <si>
    <t>*Shredder - As stated by MENRO Keesha Camille Del Rosario, the equipment is operational last BECA to shred coconut husk used by Barangay San Antonio to use in their hydroponic garden.
*Composter - As stated by MENRO Keesha Camille Del Rosario, the equipment is still not operational because there is no power source in the area.</t>
  </si>
  <si>
    <t>R3-2025-007102</t>
  </si>
  <si>
    <t>Pagalanggang</t>
  </si>
  <si>
    <t>R3-2025-006036</t>
  </si>
  <si>
    <t>Shredder - The biodegradable waste shredder is functional but still not operational due to lack of manpower.
It was once used to shred coconut husks for use in spill booms.
According to MENRO Regine, she is planning to lend the shredder to Barangay Colo so that it can be used and further maximize its composting efforts with the help of this shredder.
Composter - According to MENRO Regine Morillo, even she cannot contact the drum composter supplier to ask about the 3-phase electric connection.</t>
  </si>
  <si>
    <t>Alangan</t>
  </si>
  <si>
    <t>R3-2025-030792</t>
  </si>
  <si>
    <t>*Shredder - The equipment is still non-operational upon inspection. Certain parts, especially the pump belt, need to be replaced to make it operational again.
*Composter - The equipment is non-operational. The Barangay is concerned that the equipment's production output is low and the expenses are high, as it operates on a three-phase system.</t>
  </si>
  <si>
    <t>R3-2025-034325</t>
  </si>
  <si>
    <t>Data</t>
  </si>
  <si>
    <t>Shredder - As stated by the LGU Designated MENRO, the equipment is non-operational due to some parts that need to be replaced. The equipment is currently in Barangay Camachile.
Composter - According to Designated MENRO Margarita Pangan, the equipment is non-operational due to the unavailability of electricity in the location.</t>
  </si>
  <si>
    <t>R3-2025-019722</t>
  </si>
  <si>
    <t>*Shredder - As stated by the MENRO staff, the equipment is still non-operational because the battery has not been replaced. When they attempted to operate it manually, it appeared that something was locked inside, preventing it from functioning. As a result, it has remained unusable to this day.
*Composter - As stated by MENRO staff, Ms. Grace Jovillo, the equipment is non-operational due to the lack of a power source at the Central MRF. They are planning to transfer it to Barangay Batangas II, but the main challenge is its size, which makes it difficult to move.</t>
  </si>
  <si>
    <t>R3-2025-027949</t>
  </si>
  <si>
    <t>*Shredder-The shredder is currently not operational but remains functional and in good condition. According to the MRF operator, it was previously used once when the LGU was making a spill boom
*Composter-The Rotary Drum Composter is not operational, and it is not yet certain if it is functional since it has never been used since it was donated, due to the lack of proper training of personnel, as per MENRO. Furthermore, electrical installation has already been set up in the MRF.</t>
  </si>
  <si>
    <t>R3-2025-036556</t>
  </si>
  <si>
    <t>Shredder - According to MENRO Jayde Del Valle, the biodegradable waste shredder is currently not operational due to a lack of manpower. However, the equipment is functional.
Composter - According to MENRO Jayde Del Valle, the Rotary drum composter is currently not operational due to a lack of manpower. However, the equipment is functional.</t>
  </si>
  <si>
    <t>Morong</t>
  </si>
  <si>
    <t>Binaritan</t>
  </si>
  <si>
    <t>R3-2025-036178</t>
  </si>
  <si>
    <t xml:space="preserve">Shredder - According to Mr. Kevin Pastelero, Market staff, one unit of shredder was taken from the site; however, the staff was not aware of its current location.
Composter - Upon monitoring, it was also observed that the buttons of the composter were already damaged. According to the market staff, the buttons of the composter were reportedly damaged after being accidentally hit by a truck.
</t>
  </si>
  <si>
    <t>R3-2025-008823</t>
  </si>
  <si>
    <t xml:space="preserve">*Shredder - The shredder is not operational due to a crooked blade. As stated by LGU MENRO, there is already an approved request, however, they cannot find the needed spare parts for the equipment. 
*Composter - The equipment is properly functioning. However, it is not operational because there is no available material to process in the composter. </t>
  </si>
  <si>
    <t>R3-2025-003742</t>
  </si>
  <si>
    <t>Composter - The rotary drum composter will begin to be operated by SOPCO once the construction of the facility for the composter is completed. Currently, the construction is still ongoing.</t>
  </si>
  <si>
    <t>R3-2025-023887</t>
  </si>
  <si>
    <t>80KG</t>
  </si>
  <si>
    <t>R3-2025-037402</t>
  </si>
  <si>
    <t>BALIUAG</t>
  </si>
  <si>
    <t>Virgen Dela Flores</t>
  </si>
  <si>
    <t>R3-2025-037307</t>
  </si>
  <si>
    <t>BOCAUE</t>
  </si>
  <si>
    <t>Igulot</t>
  </si>
  <si>
    <t>R3-2025-027768</t>
  </si>
  <si>
    <t>The team was not able to see the bio shredder. As per MENRO Staff they will confirm where the shredder have been transferred and will send an update to EMB R3. 
Waiting for installation of power supply and demonstration from Suki Trading</t>
  </si>
  <si>
    <t>DONA REMEDIOS TRINIDAD</t>
  </si>
  <si>
    <t>R3-2025-031547</t>
  </si>
  <si>
    <t>The equipment is currently awaiting installation and demonstration. The MENRO is advised to seek assistance from other LGUs with operational equipment for proper demonstration and installation.</t>
  </si>
  <si>
    <t>MALOLOS CITY (CAPITAL)</t>
  </si>
  <si>
    <t>R3-2025-027681 </t>
  </si>
  <si>
    <t>The central MRF is  under construction.
Composter- No power supply to support the machine operation.
Shredder- The equipment was not used due to its battery missing</t>
  </si>
  <si>
    <t>Calizon</t>
  </si>
  <si>
    <t>Ronaldo Roque, Jr.</t>
  </si>
  <si>
    <t>R3-2025-004347</t>
  </si>
  <si>
    <t>600-700</t>
  </si>
  <si>
    <t> </t>
  </si>
  <si>
    <t>R3-2025-005706</t>
  </si>
  <si>
    <t>50-100</t>
  </si>
  <si>
    <t>No power supply to support the machine operation.</t>
  </si>
  <si>
    <t>R3-2025-005439 </t>
  </si>
  <si>
    <t>50 sacks</t>
  </si>
  <si>
    <t>For the Compsoter, due to the lack of trained personnel, the equipment remains unused.</t>
  </si>
  <si>
    <t>R3-2025-008784</t>
  </si>
  <si>
    <t>The storage for composter and shedder is still under construction. As of to date, the equipment currently stored in the public market.</t>
  </si>
  <si>
    <t>R3-2025-007938</t>
  </si>
  <si>
    <t>According to MENR Officer the Equipment was affected by the flood and is yet to troubleshoot to identify the extent of damage to the equipment
No power supply to support the operation of the equipment.</t>
  </si>
  <si>
    <t>R3-2025-008875</t>
  </si>
  <si>
    <t>Waiting for proper equipment demonstration and training of personnel.</t>
  </si>
  <si>
    <t>BALAGTAS (BIGAA)</t>
  </si>
  <si>
    <t>R3-2025-012850</t>
  </si>
  <si>
    <t xml:space="preserve">Shredder - Lack of man power to operate the equipment.  
Bio-composter - Ongoing installation of power supply in the TS to utilize the composter. </t>
  </si>
  <si>
    <t>Tanawan</t>
  </si>
  <si>
    <t>R3-2025-013043</t>
  </si>
  <si>
    <t>The shredder’s motor was detached from the frame because the frame could no longer support its weight after being in long-term storage. 
No trained personnel to operate and the barangay MRF lacks the capacity to supply the power required for its operation.</t>
  </si>
  <si>
    <t>Prenza I</t>
  </si>
  <si>
    <t>R3-2025-016450</t>
  </si>
  <si>
    <t>MEYCAUAYAN CITY</t>
  </si>
  <si>
    <t>R3-2025-016451</t>
  </si>
  <si>
    <t>Ronaldo Roque</t>
  </si>
  <si>
    <t>R3-2025-019627</t>
  </si>
  <si>
    <t>Waiting for installation of power supply in the Mun. MRF.</t>
  </si>
  <si>
    <t>R3-2025-020034</t>
  </si>
  <si>
    <t>The shredder used for the bio waste such as branches of tree and dried leaves. (50 kg/day) /  The equipment has a problem on the machine (heater). According to MENRO the supplier still not yet visited them to repair the equipment.</t>
  </si>
  <si>
    <t>Longos</t>
  </si>
  <si>
    <t>R3-2025-019681</t>
  </si>
  <si>
    <t>The TS has no power supply. As per MENRO, they planning to transfer the equipment in Barangay Poblacion.</t>
  </si>
  <si>
    <t>Palapala</t>
  </si>
  <si>
    <t>R3-2025-031522</t>
  </si>
  <si>
    <t xml:space="preserve">The motor of the machine was stolen. An incident report was submitted to EMB. </t>
  </si>
  <si>
    <t>SAN JOSE DEL MONTE CITY</t>
  </si>
  <si>
    <t>Maria Cecilia S. Pascual</t>
  </si>
  <si>
    <t>R3-2025-035144</t>
  </si>
  <si>
    <t>R3-2025-037391</t>
  </si>
  <si>
    <t>Coral Na Bato</t>
  </si>
  <si>
    <t>R3-2025-027459</t>
  </si>
  <si>
    <t xml:space="preserve"> Waiting for installation of power supply and demonstration from Suki Trading</t>
  </si>
  <si>
    <t>SANTA MARIA</t>
  </si>
  <si>
    <t>Mag Asawang Sapa</t>
  </si>
  <si>
    <t>R3-2025-035141</t>
  </si>
  <si>
    <t xml:space="preserve">Waiting for the demonstration of the supplier/ The CMRF has no power supply to utilize the composter.  </t>
  </si>
  <si>
    <t>GABALDON (BITULOL/SABANI)</t>
  </si>
  <si>
    <t>R3-2025-024123</t>
  </si>
  <si>
    <t>Shredder serve as back up Unit. Composter is under repair.</t>
  </si>
  <si>
    <t>R3-2025-031514</t>
  </si>
  <si>
    <t>No power supply</t>
  </si>
  <si>
    <t>R3-2025-008177</t>
  </si>
  <si>
    <t>633 kg</t>
  </si>
  <si>
    <t>CABANATUAN CITY</t>
  </si>
  <si>
    <t>R3-2025-037838</t>
  </si>
  <si>
    <t>R3-2025-003756</t>
  </si>
  <si>
    <t>Waiting for Demonstation from Supplier</t>
  </si>
  <si>
    <t>R3-2025-035178</t>
  </si>
  <si>
    <t>R3-2025-016074</t>
  </si>
  <si>
    <t>The CCTV unit has not yet been installed and is currently awaiting a demonstration from Suki</t>
  </si>
  <si>
    <t>GENERAL MAMERTO NATIVIDAD</t>
  </si>
  <si>
    <t>R3-2025-023491</t>
  </si>
  <si>
    <t>Shredder: Broken beyond repair</t>
  </si>
  <si>
    <t>R3-2025-007617</t>
  </si>
  <si>
    <t xml:space="preserve">Broken Motor and Broken Electrical Board. The LGU tries to repair the equipment but due to its complexities, the LGU has difficulties repairing the equipment. </t>
  </si>
  <si>
    <t>Malasin</t>
  </si>
  <si>
    <t>R3-2025-023984</t>
  </si>
  <si>
    <t>Shredder serve as back up Unit</t>
  </si>
  <si>
    <t>GENERAL TINIO (PAYAPA)</t>
  </si>
  <si>
    <t>R3-2025-013202</t>
  </si>
  <si>
    <t>R3-2025-027125</t>
  </si>
  <si>
    <t>No electrical connection, damaged body, rusted.</t>
  </si>
  <si>
    <t>Dampulan</t>
  </si>
  <si>
    <t>R3-2025-031581</t>
  </si>
  <si>
    <t>No electrical supply</t>
  </si>
  <si>
    <t>R3-2025-011648</t>
  </si>
  <si>
    <t xml:space="preserve">Lack of man power in the MRF Facility , guard house is under construction for the security of the equipment
</t>
  </si>
  <si>
    <t>R3-2025-027091</t>
  </si>
  <si>
    <t>Requesting for installation and demonstration  of SUKI supplier, no manpower, no electricity</t>
  </si>
  <si>
    <t>Bagumbayan</t>
  </si>
  <si>
    <t>R3-2025-017682</t>
  </si>
  <si>
    <t xml:space="preserve">Both the equipment remained unutilized. Currently stored in MACEDO operated by DA. 
According to MENRO, the Rotary Composter machine overheated. 
The facility has no manpower for its operation and located in residential area, its relocation to the municipal cluster MRF is being planned in the future.
</t>
  </si>
  <si>
    <t>San Antonio Este</t>
  </si>
  <si>
    <t>R3-2025-037804</t>
  </si>
  <si>
    <t>R3-2025-005547</t>
  </si>
  <si>
    <t>No power supply to utilize the equipment</t>
  </si>
  <si>
    <t>PALAYAN CITY (CAPITAL)</t>
  </si>
  <si>
    <t>R3-2025-016788</t>
  </si>
  <si>
    <t>R3-2025-019212</t>
  </si>
  <si>
    <t>PENARANDA</t>
  </si>
  <si>
    <t>R3-2025-012453</t>
  </si>
  <si>
    <t>For demonstration of Suki</t>
  </si>
  <si>
    <t>Brgy. II</t>
  </si>
  <si>
    <t>R3-2025-027089</t>
  </si>
  <si>
    <t xml:space="preserve">No Demo/Lack of Man Power/Lack of Electricity </t>
  </si>
  <si>
    <t>R3-2025-037437</t>
  </si>
  <si>
    <t>Electrical Shortage</t>
  </si>
  <si>
    <t>Santa Cruz</t>
  </si>
  <si>
    <t>R3-2025-026431</t>
  </si>
  <si>
    <t>For  installation and demonstration  of SUKI supplier</t>
  </si>
  <si>
    <t>R3-2025-004727</t>
  </si>
  <si>
    <t xml:space="preserve">The equipment is under repair. The barangay has provided certification that the shredder is under repair. (Annex A)
The team were not able to access the rotary composter as it is placed in a private property owned by the Mayor. Appointment shall be made first before accessing property. </t>
  </si>
  <si>
    <t>R3-2025-009215</t>
  </si>
  <si>
    <t>Rajal Norte</t>
  </si>
  <si>
    <t>R3-2025-009220</t>
  </si>
  <si>
    <t>SANTO DOMINGO</t>
  </si>
  <si>
    <t>R3-2025-035074</t>
  </si>
  <si>
    <t>Produced were donated to D.A. Composter is non operational because it is not economically viable for the LGU to operate it</t>
  </si>
  <si>
    <t xml:space="preserve">SCIENCE CITY OF MUÑOZ </t>
  </si>
  <si>
    <t>R3-2025-035184</t>
  </si>
  <si>
    <t xml:space="preserve">R3-2025-034005 </t>
  </si>
  <si>
    <t>Bio Waste Shredder - The engine of shredder is stored in the office</t>
  </si>
  <si>
    <t>R3-2025-030766</t>
  </si>
  <si>
    <t>R3-2025-029915</t>
  </si>
  <si>
    <t>Angeles</t>
  </si>
  <si>
    <t>Mining</t>
  </si>
  <si>
    <t>R3-2025-023104</t>
  </si>
  <si>
    <t>No power connection, not operational, and it malfunctioned, but was used once</t>
  </si>
  <si>
    <t>R3-2025-023000</t>
  </si>
  <si>
    <t>The equipment (composter and shredder) not utilize due to the lack of power supply.</t>
  </si>
  <si>
    <t>R3-2025-004426</t>
  </si>
  <si>
    <t>Sto. Nino Tubuan</t>
  </si>
  <si>
    <t>R3-2025-031368</t>
  </si>
  <si>
    <t>The equipment (bio shredder) is utilized as a backup unit.  the LGU has its own shredder. The Composter is not operational due to broken chain.</t>
  </si>
  <si>
    <t>R3-2025-027293</t>
  </si>
  <si>
    <t>The equipment remains non-operational due to the absence of an electrical supply. Furthermore, no specific month or date has been provided for the installation of electricity.</t>
  </si>
  <si>
    <t>Mandasig</t>
  </si>
  <si>
    <t>R3-2025-031363</t>
  </si>
  <si>
    <t>The equipment (bio shredder) not utilize due to the lack of power supply.</t>
  </si>
  <si>
    <t>Mabical</t>
  </si>
  <si>
    <t>R3-2025-013109</t>
  </si>
  <si>
    <t>The equipment needs to be repaired and MENRO is currently contacting the supplier of the equipment for assistance. As per MENR Officer, they used the composter but it malfunctioned.</t>
  </si>
  <si>
    <t>R3-2025-008782</t>
  </si>
  <si>
    <t>The equipment is still not functional due to lack of instruction how to operate it.</t>
  </si>
  <si>
    <t>R3-2025-034149</t>
  </si>
  <si>
    <t>The equipment is still not functional due to lack of man power.</t>
  </si>
  <si>
    <t>Mabalacat</t>
  </si>
  <si>
    <t>R3-2025-004453</t>
  </si>
  <si>
    <t>Biodegradable Waste Shredder - The equipment (bio shredder) not utilize.
Rotary Drum Composter - The equipment (composter) not utilize due to the lack of power supply.</t>
  </si>
  <si>
    <t>R3-2025-034786</t>
  </si>
  <si>
    <t>As per MENRO, the electrical wirings were stolen. Currently, they coordinated with Mayors office and requested to buy the said wirings to utilize the equipment.</t>
  </si>
  <si>
    <t>R3-2025-016980</t>
  </si>
  <si>
    <t>Broken Heater</t>
  </si>
  <si>
    <t>Bebe Anac</t>
  </si>
  <si>
    <t>R3-2025-037397</t>
  </si>
  <si>
    <t>NO DATA</t>
  </si>
  <si>
    <t>Currently not utilize due to lack of wood dust.</t>
  </si>
  <si>
    <t>R3-2025-005290</t>
  </si>
  <si>
    <t>Lack of Manpower and technical staff</t>
  </si>
  <si>
    <t xml:space="preserve">R3-2025-013115 </t>
  </si>
  <si>
    <t>Not operational due to no power connection and lack of knowledge in operating the equipment, as stated by MENRO.</t>
  </si>
  <si>
    <t>San Fernando</t>
  </si>
  <si>
    <t>R3-2025-001635</t>
  </si>
  <si>
    <t>Biodegradable Waste Shredder - The LGU has its own Bio Sheredder.                                                                                                      Composer - The equipment was used once but it malfunctioned The LGU is requesting for pull out. The letter submitted was endorsed to CO.</t>
  </si>
  <si>
    <t>R3-2025-026867</t>
  </si>
  <si>
    <t>As per MENRO, currently the building where the equipment was previously stored is under construction.</t>
  </si>
  <si>
    <t>Sta. Monica</t>
  </si>
  <si>
    <t>R3-2025-031194</t>
  </si>
  <si>
    <t xml:space="preserve">Bio-shredder is reported Missing. a  technical conference was conducted regarding the matter. </t>
  </si>
  <si>
    <t>R3-2025-008776</t>
  </si>
  <si>
    <t>The equipment used once and didn’t use again because Mr. Fidel stated that equipment is weak. Also, no specific plan/date when to use it again.</t>
  </si>
  <si>
    <t>Dila Dila</t>
  </si>
  <si>
    <t>R3-2025-034150</t>
  </si>
  <si>
    <t>The equipment is missing.
The equipment is still not functional due to overheat.</t>
  </si>
  <si>
    <t>Sto.Tomas</t>
  </si>
  <si>
    <t>R3-2025-001639</t>
  </si>
  <si>
    <t>As per MENRO Manalese, due to lack of knowledge in operating the equipment, both equipment is non-functional.</t>
  </si>
  <si>
    <t>R3-2025-020297</t>
  </si>
  <si>
    <t xml:space="preserve"> LGU has its own shredder and composter</t>
  </si>
  <si>
    <t>Province of Aurora</t>
  </si>
  <si>
    <t>Calabuanan</t>
  </si>
  <si>
    <t>D-PLASTIC CHAIR FACTORY</t>
  </si>
  <si>
    <t>R3-2025-011446</t>
  </si>
  <si>
    <t>12 pcs</t>
  </si>
  <si>
    <t xml:space="preserve">As of April 04, 2025, 279.5kgs weight of plastic molded.  According to Sir Dela Pena  12 pcs of chair produced. </t>
  </si>
  <si>
    <t>Province of Bataan</t>
  </si>
  <si>
    <t>R3-2025-023298</t>
  </si>
  <si>
    <t xml:space="preserve">•	There is a shortage in power supply and insufficient manpower to operate the equipment effectively.
•	 The equipment has been non-operational since it was turned over to the Local Government Unit (LGU).
•	The molder is missing, and several gears and parts require replacement for the equipment to function properly.
</t>
  </si>
  <si>
    <t>Province of Bulacan</t>
  </si>
  <si>
    <t>Malolos City</t>
  </si>
  <si>
    <t>Diozelle L. Cabalar</t>
  </si>
  <si>
    <t>R3-2025-024479</t>
  </si>
  <si>
    <t>The facility lacks trained personnel to operate the machine, and the equipment has not yet been assembled.</t>
  </si>
  <si>
    <t>Province of Nueva Ecija</t>
  </si>
  <si>
    <t>R3-2025-023586</t>
  </si>
  <si>
    <t xml:space="preserve">Reported the stolen aluminum molders at LGU Police last March 17, 2025 – Status is still stagnant as per Local Police.
The unit is still upheld and stored at Seed Center CLSU: governed by Pro-vincial Government of Nueva Ecija
</t>
  </si>
  <si>
    <t>R3-2025-016756</t>
  </si>
  <si>
    <t xml:space="preserve">The equipment remained unutilized which is stored in Nueva Ecija Grain Drying Facility.
According to the staffs, it was intact and complete however, no corresponding LGU recipient at present. It was observed that the equipment gathered dust during its time in storage. 
</t>
  </si>
  <si>
    <t>Province of Pampanga</t>
  </si>
  <si>
    <t>Alasas</t>
  </si>
  <si>
    <t>R3-2025-018801</t>
  </si>
  <si>
    <t>As per the Supervisor, the equipment is lack of manpower and materials to be used. The LGU is requesting for pull out. The letter submitted was endorsed to CO.</t>
  </si>
  <si>
    <t>Province of Tarlac</t>
  </si>
  <si>
    <t>Cristo Rey</t>
  </si>
  <si>
    <t>R3-2025-012427</t>
  </si>
  <si>
    <t>The LGU has already submitted a request letter for the return of the equipment, as MENRO Tanhueco stated that it is no longer beneficial.</t>
  </si>
  <si>
    <t>Province of Zambales</t>
  </si>
  <si>
    <t xml:space="preserve">R3-2025-024412	</t>
  </si>
  <si>
    <t>1.	The equipment is not assembled and it seems that some parts of the equipment is missing.
2.	The undersigned recommended to the LGU representative to prioritize the installation of the power supply at the MRF</t>
  </si>
  <si>
    <t>R3-2025-024446</t>
  </si>
  <si>
    <t>R3-2025-012426</t>
  </si>
  <si>
    <t>The LGU tested the shredder, but it did not grind the materials properly. According to MENRO, there are no plans to use the Composter equipment yet, and no personnel have been assigned for its operation.</t>
  </si>
  <si>
    <t>R3-2025-005940</t>
  </si>
  <si>
    <t>The rotary composter is not operational due to the lack of proper power supply in the MRF as it is not compatible with the equipment. (220 Voltage required for use of the composter additional transformer is needed to utilize the equipment)</t>
  </si>
  <si>
    <t>R3-2025-004764</t>
  </si>
  <si>
    <t>The LGU has already submitted a letter addressed to EMB Director to formally return authorization for these two pieces of equipment.</t>
  </si>
  <si>
    <t>R3-2025-007779</t>
  </si>
  <si>
    <t>The equipment is currently stored in the MRF which operated by the GSO of LGU Concepcion. According to the MENRO, the GSO does not have enough knowledge to operate the equipment.</t>
  </si>
  <si>
    <t>Gerona*</t>
  </si>
  <si>
    <t>R3-2025-002518</t>
  </si>
  <si>
    <t>The Engine is under repair according to the in charge MRF personnel</t>
  </si>
  <si>
    <t>LA PAZ</t>
  </si>
  <si>
    <t>R3-2025-027264</t>
  </si>
  <si>
    <t>The rotary composter is not functional due to a power issue; the MRF facility does not have a three-phase power supply</t>
  </si>
  <si>
    <t>R3-2025-026356</t>
  </si>
  <si>
    <t>Moncada*</t>
  </si>
  <si>
    <t>R3-2025-031609</t>
  </si>
  <si>
    <t>Paniqui*</t>
  </si>
  <si>
    <t>R3-2025-034771</t>
  </si>
  <si>
    <t>NO RECORDS</t>
  </si>
  <si>
    <t>The Equipment is functional but not utilized by LGU</t>
  </si>
  <si>
    <t>R3-2025-024125</t>
  </si>
  <si>
    <t>The supplier did not conduct a demonstration</t>
  </si>
  <si>
    <t>Coral-iloco</t>
  </si>
  <si>
    <t>R3-2025-031583</t>
  </si>
  <si>
    <t>The Rotary Composter is non-Operational as of inspection as the need for a different voltage transformer is still needed to use the machine</t>
  </si>
  <si>
    <t>Balloc</t>
  </si>
  <si>
    <t>R3-2025-035067</t>
  </si>
  <si>
    <t>Bio-shredder is functional and is used to breakdown large pieces of cardboard and other non-kitchen waste biodegradables like papers
The Rotary Composter is non-Operational as of inspection as the need for equipment is still pending installation from the LGU</t>
  </si>
  <si>
    <t>R3-2025-009050</t>
  </si>
  <si>
    <t>According to MENRO Engr. Ramil De Vera, the Shredder is not operational because there is no proper turn over and demonstration of the supplier</t>
  </si>
  <si>
    <t>R3-2025-036534</t>
  </si>
  <si>
    <t>The Rotary Composter is not functional and is being stored by the LGU in the Farmer’s Center. Additionally, the need for a new transformer to supply the necessary voltage and proper training to operate the equipment are still needed by the LGU to utilize the Composter.
CCTV Still not installed and awaiting the construction / relocation of the Central MRF of the LGU</t>
  </si>
  <si>
    <t>Santa Ignacia*</t>
  </si>
  <si>
    <t>Timaguab</t>
  </si>
  <si>
    <t>R3-2025-036558</t>
  </si>
  <si>
    <t>R3-2025-016588</t>
  </si>
  <si>
    <t>The shredder has been broken including its engine, it was beyond repair. It is stocked inside the MRF.
They only use composter for confiscated double dead meat in their public market. The City ENRO was advised to utilize the equipment regularly as agreed upon in the signed MOA</t>
  </si>
  <si>
    <t>R3-2025-016619</t>
  </si>
  <si>
    <t>The battery of the Shredder is still missing and according to Chairwoman Cleofe Domingo they are still waiting for the approval of the fund to buy a new battery.
The new assigned personnel are waiting for the demonstration and training on how to utilize the equipment.</t>
  </si>
  <si>
    <t>Taugtog</t>
  </si>
  <si>
    <t xml:space="preserve">R3-2025-026777	</t>
  </si>
  <si>
    <t>The Equipment is planned to operate once the Central MRF at Barangay Carael is constructed</t>
  </si>
  <si>
    <t>R3-2025-031322</t>
  </si>
  <si>
    <t xml:space="preserve">As per Mr. Cabaltica (Menro Designate), the LGU is planning to utilize the Emb funded Equipment  
As per Mr. Cabaltica (Menro Designate), they will install the CCTV once the LGU-initiated MRF is fully constructed </t>
  </si>
  <si>
    <t>R3-2025-037568</t>
  </si>
  <si>
    <t>The bio shredder is currently not being used
The equipment is non-functional due to no power supply in the LGU initiated MRF
The CCTV is not yet installed in the area</t>
  </si>
  <si>
    <t>R3-2025-001962</t>
  </si>
  <si>
    <t>The facility does not have power supply to operate the equipments.</t>
  </si>
  <si>
    <t>Dirita-Baloguen</t>
  </si>
  <si>
    <t>R3-2025-010796</t>
  </si>
  <si>
    <t>The composting facility for market waste is already constructed, The LGU is waiting for the installation of the electricity before transferring the equipment to the facility.</t>
  </si>
  <si>
    <t>R3-2025-019752</t>
  </si>
  <si>
    <t>The equipment is non-functional because the power supply from the MRF is not suitable for the Rotary Drum Composter</t>
  </si>
  <si>
    <t>Olongapo</t>
  </si>
  <si>
    <t>R3-2025-034211</t>
  </si>
  <si>
    <t xml:space="preserve">The shredder does not operate, the battery was removed.
The Rotary Drum composter is Non Operational but it is already connected to the electrical power in the MRF.
</t>
  </si>
  <si>
    <t>Pundakit</t>
  </si>
  <si>
    <t>R3-2025-004762</t>
  </si>
  <si>
    <t>Manglicmot</t>
  </si>
  <si>
    <t>R3-2025-008871</t>
  </si>
  <si>
    <t>R3-2025-004761</t>
  </si>
  <si>
    <t xml:space="preserve"> Rotary Drum Composter was struck by lightning and non-operational since December 2024</t>
  </si>
  <si>
    <t>R3-2025-008874</t>
  </si>
  <si>
    <t>N./A</t>
  </si>
  <si>
    <t xml:space="preserve">As per Mr. Interino, the Rotary Composter was already tested and in good condition. The LGU was planning for the operation of the equipment as soon as possible. </t>
  </si>
  <si>
    <t>Poblacion South</t>
  </si>
  <si>
    <t xml:space="preserve"> R3-2025-016538</t>
  </si>
  <si>
    <t>The composter is currently not in use because of the power supply in the MRF is insufficient for the bio- composter.
The shredder is currently not in use. The LGU is planning to modify the bio-shredder and has already replaced its wheels</t>
  </si>
  <si>
    <t>Subic</t>
  </si>
  <si>
    <t>Asinan</t>
  </si>
  <si>
    <t>Ryan Ace Angel</t>
  </si>
  <si>
    <t xml:space="preserve"> R3-2025-037780</t>
  </si>
  <si>
    <t>According to them, they have no plan to operate the equipment</t>
  </si>
  <si>
    <t>Year End Operation</t>
  </si>
  <si>
    <t>Year Fully Rehabilitated</t>
  </si>
  <si>
    <t>ESWM Staff
(Sub Focal)</t>
  </si>
  <si>
    <t>Tracking of Reports
(to be filled out by Planning Section)</t>
  </si>
  <si>
    <t>Status of the 
site area</t>
  </si>
  <si>
    <t>1. Site Clearing</t>
  </si>
  <si>
    <t>2. Site Grading and Stabilization of Critical Slopes</t>
  </si>
  <si>
    <t>3. Application and Maintenance of Soil Cover</t>
  </si>
  <si>
    <t>4. Provision of Drainage Control System</t>
  </si>
  <si>
    <t>5. Leachate Management</t>
  </si>
  <si>
    <t>6. Gas Management</t>
  </si>
  <si>
    <t>7. Fencing and Security</t>
  </si>
  <si>
    <t>8. Putting-up of Signages</t>
  </si>
  <si>
    <t>9. Prohibition of Burning at the Dumpsite</t>
  </si>
  <si>
    <t>Remarks and Recommendation</t>
  </si>
  <si>
    <t>City of San Fernando</t>
  </si>
  <si>
    <t>15.08325278,120.6193694</t>
  </si>
  <si>
    <t>2017 &amp; 2018</t>
  </si>
  <si>
    <t>1147462.51 &amp; 1291852.33</t>
  </si>
  <si>
    <t>R3-2025-002484</t>
  </si>
  <si>
    <t>Fully Rehabilited</t>
  </si>
  <si>
    <t>14.58803056,120.5265667</t>
  </si>
  <si>
    <t>R3-2025-023305</t>
  </si>
  <si>
    <t>The LGU Orion, Bataan, shall proceed with the installation of fences and signage indicating that the facility is already closed</t>
  </si>
  <si>
    <t>Akle</t>
  </si>
  <si>
    <t>15.04271667,121.0575139</t>
  </si>
  <si>
    <t>R3-2025-034957</t>
  </si>
  <si>
    <t>15.589195,120.869075</t>
  </si>
  <si>
    <t>R3-2025-035077</t>
  </si>
  <si>
    <t>Pansinao</t>
  </si>
  <si>
    <t>15.01660833,120.8866861</t>
  </si>
  <si>
    <t>R3-2025-035171</t>
  </si>
  <si>
    <t xml:space="preserve"> 15.16056,120.07454</t>
  </si>
  <si>
    <t>R3-2025-035002</t>
  </si>
  <si>
    <t>For further monitoring</t>
  </si>
  <si>
    <t>14.871144,120.972808</t>
  </si>
  <si>
    <t>R3-2025-037442</t>
  </si>
  <si>
    <t>With issued CDO</t>
  </si>
  <si>
    <t>15.644071,120.90362</t>
  </si>
  <si>
    <t>R3-2025-037057</t>
  </si>
  <si>
    <t>San Miguel na Munti</t>
  </si>
  <si>
    <t>15.53869,120.9434</t>
  </si>
  <si>
    <t xml:space="preserve">	R3-2025-037059</t>
  </si>
  <si>
    <t>Capalangan</t>
  </si>
  <si>
    <t>14.92821111,120.7636167</t>
  </si>
  <si>
    <t>R3-2025-036562</t>
  </si>
  <si>
    <t>Naugsol</t>
  </si>
  <si>
    <t>14.87816667,120.2512972</t>
  </si>
  <si>
    <t>R3-2025-038252</t>
  </si>
  <si>
    <t>14.815472,120.479834</t>
  </si>
  <si>
    <t>R3-2025-003337</t>
  </si>
  <si>
    <t>•	A portion of closed dumpsite is being used as Central MRF.</t>
  </si>
  <si>
    <t>Sapang Bayan</t>
  </si>
  <si>
    <t>14.927519,120.78781</t>
  </si>
  <si>
    <t>Rod Ross De Jesus</t>
  </si>
  <si>
    <t>R3-2025-005556</t>
  </si>
  <si>
    <t>Fully Rehabilitated</t>
  </si>
  <si>
    <t>15.204658,120.836305</t>
  </si>
  <si>
    <t>R3-2025-003760</t>
  </si>
  <si>
    <t>Makabaklay</t>
  </si>
  <si>
    <t>15.291963,121.037785</t>
  </si>
  <si>
    <t>R3-2025-004163</t>
  </si>
  <si>
    <t>A portion of dumpsite was burning.
For issuance of Show Cause Order.</t>
  </si>
  <si>
    <t>R3-2025-036040</t>
  </si>
  <si>
    <t>Sta.Catalina</t>
  </si>
  <si>
    <t>14.963733,120.663186</t>
  </si>
  <si>
    <t>R3-2025-005289</t>
  </si>
  <si>
    <t>San marcelino</t>
  </si>
  <si>
    <t>14.969268,120.132488</t>
  </si>
  <si>
    <t xml:space="preserve"> R3-2025-005742</t>
  </si>
  <si>
    <t>14.77468333,120.5082389</t>
  </si>
  <si>
    <t xml:space="preserve">R3-2025-008770	</t>
  </si>
  <si>
    <t>14.85065556,120.764675</t>
  </si>
  <si>
    <t>R3-2025-008012</t>
  </si>
  <si>
    <t>14.827323,120.763233</t>
  </si>
  <si>
    <t>R3-2025-009168</t>
  </si>
  <si>
    <t>15.39692222,120.9704722</t>
  </si>
  <si>
    <t>R3-2025-009217</t>
  </si>
  <si>
    <t>Sta.Lucia</t>
  </si>
  <si>
    <t>14.93701667,120.6174167</t>
  </si>
  <si>
    <t>R3-2025-008777</t>
  </si>
  <si>
    <t>14.78626667,120.4752528</t>
  </si>
  <si>
    <t>R3-2025-012393</t>
  </si>
  <si>
    <t>Bonga Menor</t>
  </si>
  <si>
    <t>14.95895833,120.9337083</t>
  </si>
  <si>
    <t>R3-2025-012420</t>
  </si>
  <si>
    <t>Valle Cruz</t>
  </si>
  <si>
    <t>15.489002,120.992263</t>
  </si>
  <si>
    <t>Christian Jem L. Bularan</t>
  </si>
  <si>
    <t>R3-2025-012149</t>
  </si>
  <si>
    <t>On going site clearing/ collection of old waste</t>
  </si>
  <si>
    <t>Peñaranda</t>
  </si>
  <si>
    <t>Sinasajan</t>
  </si>
  <si>
    <t>15.37093056,121.024525</t>
  </si>
  <si>
    <t>R3-2025-012458</t>
  </si>
  <si>
    <t xml:space="preserve">Completed the rehabilitation </t>
  </si>
  <si>
    <t>Angeles City</t>
  </si>
  <si>
    <t>Pampang</t>
  </si>
  <si>
    <t>15.1489,120.5831562</t>
  </si>
  <si>
    <t>R3-2025-013494</t>
  </si>
  <si>
    <t>Fully Rehabilited and on going construction of a building</t>
  </si>
  <si>
    <t>Bangantalinga</t>
  </si>
  <si>
    <t xml:space="preserve"> 15.343746,119.981228</t>
  </si>
  <si>
    <t>R3-2025-011718</t>
  </si>
  <si>
    <t>Mabayo</t>
  </si>
  <si>
    <t>14.73439722,120.316425</t>
  </si>
  <si>
    <t>R3-2025-016418</t>
  </si>
  <si>
    <t>Sta. Rosa II</t>
  </si>
  <si>
    <t>15.447848,121.086785</t>
  </si>
  <si>
    <t>R3-2025-016520</t>
  </si>
  <si>
    <t>For issuance of Notice of Violation (NOV) to Mr. Fredie Doculan in violation to Sec. 37, Art. 6 of Republic Act (RA) 9003 otherwise known as the “Ecological Solid Waste Management Act of 2000” which strictly prohibits the establishment and maintenance of open dumpsites.</t>
  </si>
  <si>
    <t>Culong</t>
  </si>
  <si>
    <t>15.656574,120.847676</t>
  </si>
  <si>
    <t>R3-2025-016288</t>
  </si>
  <si>
    <t>Atate</t>
  </si>
  <si>
    <t>15.56444444,121.1145</t>
  </si>
  <si>
    <t>R3-2025-016769</t>
  </si>
  <si>
    <t>Maliwalo</t>
  </si>
  <si>
    <t>15.08459167,120.6056917</t>
  </si>
  <si>
    <t>R3-2025-016671</t>
  </si>
  <si>
    <t xml:space="preserve"> Aurora</t>
  </si>
  <si>
    <t>15.87539,121.5255</t>
  </si>
  <si>
    <t xml:space="preserve">R3-2025-019569 </t>
  </si>
  <si>
    <t>14.808448,120.843905</t>
  </si>
  <si>
    <t>R3-2025-019626</t>
  </si>
  <si>
    <t>15.704369,121.047128</t>
  </si>
  <si>
    <t>R3-2025-020225</t>
  </si>
  <si>
    <t>Bebe-Anac</t>
  </si>
  <si>
    <t>14.88279722,120.7110806</t>
  </si>
  <si>
    <t>R3-2025-019742</t>
  </si>
  <si>
    <t xml:space="preserve">Paniqui </t>
  </si>
  <si>
    <t>15.64331111,120.5605056</t>
  </si>
  <si>
    <t>R3-2025-020273</t>
  </si>
  <si>
    <t>14.56982778,120.5517167</t>
  </si>
  <si>
    <t>R3-2025-031513</t>
  </si>
  <si>
    <t>14.8070755,120.8471741</t>
  </si>
  <si>
    <t>R3-2025-022970</t>
  </si>
  <si>
    <t>Gen. M. Natividad</t>
  </si>
  <si>
    <t>15.606367,121.110737</t>
  </si>
  <si>
    <t>R3-2025-023492</t>
  </si>
  <si>
    <t>15.100111, 120.777356</t>
  </si>
  <si>
    <t>R3-2025-023002</t>
  </si>
  <si>
    <t xml:space="preserve"> 15.44514167,120.016275</t>
  </si>
  <si>
    <t>Not Rehabilitated</t>
  </si>
  <si>
    <t>R3-2025-023795</t>
  </si>
  <si>
    <t>Recommendation for issuance of Cease and Desist Order for violation of Section 37 and Secction 48 (9) - " Prohibition Against the Use of Open Dumps for Solid Waste" and Section 48 (3) under Prohibited Acts - " The open burning of solid waste"</t>
  </si>
  <si>
    <t>14.915929,120.451488</t>
  </si>
  <si>
    <t>R3-2025-027766</t>
  </si>
  <si>
    <t>14.93241389,121.043125</t>
  </si>
  <si>
    <t>R3-2025-027679</t>
  </si>
  <si>
    <t>Luyos</t>
  </si>
  <si>
    <t>15.27068611,120.8432</t>
  </si>
  <si>
    <t>R3-2025-025555</t>
  </si>
  <si>
    <t>15.003648,120.697344</t>
  </si>
  <si>
    <t>R3-2025-027292</t>
  </si>
  <si>
    <t>15.63233333,120.3527611</t>
  </si>
  <si>
    <t>R3-2025-026559</t>
  </si>
  <si>
    <t>Issuing a Technical Conference to the LGU of Gerona is recommended</t>
  </si>
  <si>
    <t>14.424244,120.479199</t>
  </si>
  <si>
    <t>R3-2025-034924</t>
  </si>
  <si>
    <t>Biak na Bato</t>
  </si>
  <si>
    <t>15.13490833,121.0599028</t>
  </si>
  <si>
    <t>R3-2025-30121</t>
  </si>
  <si>
    <t>15.479856,120.818611</t>
  </si>
  <si>
    <t>R3-2025-031789</t>
  </si>
  <si>
    <t>II</t>
  </si>
  <si>
    <t>15.54465,120.808993</t>
  </si>
  <si>
    <t>R3-2025-031783</t>
  </si>
  <si>
    <t>15.709440, 121.124510</t>
  </si>
  <si>
    <t>R3-2025-031338</t>
  </si>
  <si>
    <t>For continuous monitoring</t>
  </si>
  <si>
    <t>14.8955,120.724323</t>
  </si>
  <si>
    <t>R3-2025-031124</t>
  </si>
  <si>
    <t xml:space="preserve">REMARKS
An accumulation of mixed wastes on some parts of the rehabilitated area. Also, one (1) gas vent was already damaged due to the dumped mixed wastes. As per OIC-MENRO, Mr.Clarin, the area seen with dumping is their temporary sorting area since the ground going to MRF was very saturated. Hence, the garbage trucks and hauler cannot pass through.
RECOMMENDATION:
	The EnMO advised the LGU to immediately conduct a site clearing in the area. Also, to properly sort and disposed the solid wastes at the accredited Sanitary Landfill. Also, to ensure the wearing of proper PPEs of every personnel/ sorters. A Site inspection Report with IIS No. R3-2025-030330 was already submitted to this office regarding the violation committed of this rehabilitated dumpsite. Further, the EnMO reminds and enjoin the LGU to adhere and comply with the provisions of RA 9003 and other Environmental Laws.
</t>
  </si>
  <si>
    <t>Tracking of Reports</t>
  </si>
  <si>
    <t>Status
of the Facility</t>
  </si>
  <si>
    <t>Facility or Bin</t>
  </si>
  <si>
    <t>Number of Bin used</t>
  </si>
  <si>
    <t>Type of ownership</t>
  </si>
  <si>
    <t>Actual Waste Received
(tons per day)</t>
  </si>
  <si>
    <t>Distance (km) to the
Final Disposal
(Sanitary Landfill)</t>
  </si>
  <si>
    <t>Violation</t>
  </si>
  <si>
    <t>R3-2025-018262</t>
  </si>
  <si>
    <t>90 km</t>
  </si>
  <si>
    <t>Brgy. Makinabang</t>
  </si>
  <si>
    <t>James Wilson T. Peña</t>
  </si>
  <si>
    <t>R3-2025-027457</t>
  </si>
  <si>
    <t>Closed and cleared from wastes</t>
  </si>
  <si>
    <t>For Further Monitoring</t>
  </si>
  <si>
    <t>Bundukan</t>
  </si>
  <si>
    <t> R3-2025-024551</t>
  </si>
  <si>
    <t>The TS is permanently closed and under rehabilitation</t>
  </si>
  <si>
    <t>Brgy. Coral Na Bato</t>
  </si>
  <si>
    <t>R3-2025-031696</t>
  </si>
  <si>
    <t>Brgy. Dalig</t>
  </si>
  <si>
    <t>Jasmine Marie N. Siapco</t>
  </si>
  <si>
    <t>R3-2025-014690</t>
  </si>
  <si>
    <t>1 Ton</t>
  </si>
  <si>
    <t>Brgy. Longos</t>
  </si>
  <si>
    <t>6. June</t>
  </si>
  <si>
    <t>R3-2025-017960</t>
  </si>
  <si>
    <t>10 tons</t>
  </si>
  <si>
    <t>Prime Waste Solutions, Eco Protect Management Corporation and Floridablanca Enviro Corporation</t>
  </si>
  <si>
    <t>BRGY. ABULALAS</t>
  </si>
  <si>
    <t>Ronaldo P. Roque, Jr</t>
  </si>
  <si>
    <t>R3-2025-008190</t>
  </si>
  <si>
    <t>Brgy. Nino</t>
  </si>
  <si>
    <t>R3-2025-005763</t>
  </si>
  <si>
    <t>68.20 km</t>
  </si>
  <si>
    <t>Florida Blanca Enviro Corp</t>
  </si>
  <si>
    <t>Nueva_Ecija</t>
  </si>
  <si>
    <t>Science City of Muñoz</t>
  </si>
  <si>
    <t>Brgy. Franza</t>
  </si>
  <si>
    <t>Jay Pee S. Ordoñez</t>
  </si>
  <si>
    <t>R3-2025-018798</t>
  </si>
  <si>
    <t>58 km</t>
  </si>
  <si>
    <t>Hauler (MetroWaste)
Final Disposal (Urdaneta)</t>
  </si>
  <si>
    <t>Brgy. San Isidro</t>
  </si>
  <si>
    <t>R3-2025-012152</t>
  </si>
  <si>
    <t>26.08 TPD</t>
  </si>
  <si>
    <t>9.8 km</t>
  </si>
  <si>
    <t>Brgy. Sagana</t>
  </si>
  <si>
    <t>R3-2025-011644</t>
  </si>
  <si>
    <t>1 t/d</t>
  </si>
  <si>
    <t>110 km</t>
  </si>
  <si>
    <t>Gapan</t>
  </si>
  <si>
    <t>Brgy. Pambuan</t>
  </si>
  <si>
    <t>R3-2025-014390</t>
  </si>
  <si>
    <t>234 km</t>
  </si>
  <si>
    <t xml:space="preserve">Green Tech Total Environment Solutions Incorporated </t>
  </si>
  <si>
    <t>For Notice of Technical Conference</t>
  </si>
  <si>
    <t xml:space="preserve">Accumulation of solid waste and not hauled within 24 hrs. </t>
  </si>
  <si>
    <t>Brgy. Callos</t>
  </si>
  <si>
    <t>R3-2025-012457</t>
  </si>
  <si>
    <t>Brgy. Santiago</t>
  </si>
  <si>
    <t>R3-2025-036009</t>
  </si>
  <si>
    <t>Brgy. San Vicente / Niyugan</t>
  </si>
  <si>
    <t>R3-2025-015080</t>
  </si>
  <si>
    <t>123 km</t>
  </si>
  <si>
    <t>Brgy. Concepcion</t>
  </si>
  <si>
    <t>R3-2025-022210</t>
  </si>
  <si>
    <t>Carrangalan</t>
  </si>
  <si>
    <t>Brgy. TL Padila</t>
  </si>
  <si>
    <t>R3-2025-030768</t>
  </si>
  <si>
    <t>400sqm</t>
  </si>
  <si>
    <t>1.	The LGU has 3 mega bins provided by the hauler (Prime Waste)</t>
  </si>
  <si>
    <t>Brgy. San Felipe</t>
  </si>
  <si>
    <t>R3-2025-014700</t>
  </si>
  <si>
    <t>88 km</t>
  </si>
  <si>
    <t>Disposing waste to Prime Waste Solutions through Green Rescue Environmental Solutions and Services Inc. as its hauler.</t>
  </si>
  <si>
    <t>Gen. Natividad</t>
  </si>
  <si>
    <t>Brgy. Balaring</t>
  </si>
  <si>
    <t>R3-2025-023474</t>
  </si>
  <si>
    <t>120 km</t>
  </si>
  <si>
    <t>Brgy. Singalat</t>
  </si>
  <si>
    <t>R3-2025-012166</t>
  </si>
  <si>
    <t>136 Km</t>
  </si>
  <si>
    <t>Brgy. Villa Rosa</t>
  </si>
  <si>
    <t>R3-2025-028198</t>
  </si>
  <si>
    <t>Brgy. Poblacion East</t>
  </si>
  <si>
    <t>R3-2025-019889</t>
  </si>
  <si>
    <t>113 km</t>
  </si>
  <si>
    <t>Brgy. North Poblacion</t>
  </si>
  <si>
    <t>15.7353N</t>
  </si>
  <si>
    <t>120.6329E</t>
  </si>
  <si>
    <t>R3-2025-038909</t>
  </si>
  <si>
    <t xml:space="preserve">The Transfer Station must construct a concrete floor with shed to expand its capacity. The LGU must have its Transfer Station to capacitate its constituents. The LGU is advised to </t>
  </si>
  <si>
    <t>Brgy. San Gregorio</t>
  </si>
  <si>
    <t>R3-2025-015374</t>
  </si>
  <si>
    <t>97 km</t>
  </si>
  <si>
    <t>Brgy. Sto. Tomas</t>
  </si>
  <si>
    <t>R3-2025-017715</t>
  </si>
  <si>
    <t>97 Km</t>
  </si>
  <si>
    <t>Brgy. Pesa</t>
  </si>
  <si>
    <t>R3-2025-008113</t>
  </si>
  <si>
    <t>113 Km</t>
  </si>
  <si>
    <t>Technical Conference</t>
  </si>
  <si>
    <t>Accumulation of Waste</t>
  </si>
  <si>
    <t>Show cause order</t>
  </si>
  <si>
    <t>Brgy. Tagumpay</t>
  </si>
  <si>
    <t>R3-2025-009218</t>
  </si>
  <si>
    <t>69.8 km</t>
  </si>
  <si>
    <t>Hauler (Green Rescue)</t>
  </si>
  <si>
    <t>Brgy. Sta. Cruz</t>
  </si>
  <si>
    <t>R3-2025-026432</t>
  </si>
  <si>
    <t>Urdaneta Waste Management Facility</t>
  </si>
  <si>
    <t>Brgy. Tabon</t>
  </si>
  <si>
    <t>R3-2025-038914</t>
  </si>
  <si>
    <t>4.	The dumpsite is located approximately 2.6 kilometers away from the nearest residential settlement.</t>
  </si>
  <si>
    <t>Brgy. San Pascual</t>
  </si>
  <si>
    <t>R3-2025-035076</t>
  </si>
  <si>
    <t xml:space="preserve">BRGY. BAGONG SILANG </t>
  </si>
  <si>
    <t>R3-2025-038896</t>
  </si>
  <si>
    <t xml:space="preserve">Additional Hauling from service provider.
* Scavengers are not allowed inside the MRF facility.
* Site clearing of the area are recommended.
* Proper use of log book. Log book is always keep inside the MRF office.
* Proper House keeping.
</t>
  </si>
  <si>
    <t>R3-2025-029919</t>
  </si>
  <si>
    <t>Brgy. Pandaguirig</t>
  </si>
  <si>
    <t>R3-2025-019663</t>
  </si>
  <si>
    <t>Transfer station has stopped the operations since 2023 as they were started constructing the Municipal MRF at Brgy. Pabanlag, Floridablanca</t>
  </si>
  <si>
    <t>Brgy. Mining</t>
  </si>
  <si>
    <t>R3-2025-022201</t>
  </si>
  <si>
    <t>Capaya II</t>
  </si>
  <si>
    <t>15.14172, 120.63039</t>
  </si>
  <si>
    <t>R3-2025-035186</t>
  </si>
  <si>
    <t>•	Locating other processing facilities like recycling facility and composting facility.</t>
  </si>
  <si>
    <t>Brgy. Sulipan</t>
  </si>
  <si>
    <t>R3-2025-026863</t>
  </si>
  <si>
    <t>22.461 tons</t>
  </si>
  <si>
    <t>R3-2025-034368</t>
  </si>
  <si>
    <t>Brgy. Sta. Monica</t>
  </si>
  <si>
    <t>R3-2025-031108</t>
  </si>
  <si>
    <t xml:space="preserve">Brgy. Pandacaqui </t>
  </si>
  <si>
    <t>R3-2025-001607</t>
  </si>
  <si>
    <t>Brgy. Tagumbao</t>
  </si>
  <si>
    <t>R3-2025-004607</t>
  </si>
  <si>
    <t xml:space="preserve">Greentech Total Environmental Solutions Incorporated (Hauler) 
Florida Enviro Corp. (Final Disposal)
</t>
  </si>
  <si>
    <t>For Technical Conference</t>
  </si>
  <si>
    <t>Brgy. Taugtog</t>
  </si>
  <si>
    <t>Jun Guillermo</t>
  </si>
  <si>
    <t>R3-2025-011857</t>
  </si>
  <si>
    <t>Brgy. Nagbayan</t>
  </si>
  <si>
    <t xml:space="preserve">R3-2025-008288	</t>
  </si>
  <si>
    <t>Greentech Total Environmental Solutions Inc</t>
  </si>
  <si>
    <t>Brgy. Linasin</t>
  </si>
  <si>
    <t>R3-2025-006627</t>
  </si>
  <si>
    <t>Brgy. San Juan</t>
  </si>
  <si>
    <t>R3-2025-027864</t>
  </si>
  <si>
    <t>Green Rescue Environmental Solutions and Services, Inc.</t>
  </si>
  <si>
    <t>Brgy. Pundaquit</t>
  </si>
  <si>
    <t>R3-2025-034314</t>
  </si>
  <si>
    <t>Brgy. Asinan</t>
  </si>
  <si>
    <t>R3-2025-037781</t>
  </si>
  <si>
    <t>10.5tons</t>
  </si>
  <si>
    <t>Complete Address</t>
  </si>
  <si>
    <t>Date of Installation</t>
  </si>
  <si>
    <t>Contract with TSD (TSD No.)</t>
  </si>
  <si>
    <t>Number of Bins Installed</t>
  </si>
  <si>
    <t>Hazardous Waste Generator's Registration Certificate</t>
  </si>
  <si>
    <t>ECC (if applicable)</t>
  </si>
  <si>
    <t>Wastewater Discharge Permit (if applicable)</t>
  </si>
  <si>
    <t>PERMIT TO OPERATE AIR POLLUTION SOURCE INSTALLATIONS (APSI) (if applicable)</t>
  </si>
  <si>
    <t xml:space="preserve">
Target Month</t>
  </si>
  <si>
    <t>Status of PDS Facility</t>
  </si>
  <si>
    <t xml:space="preserve">HW Generation/Collectedof the reporting month
 (MT) </t>
  </si>
  <si>
    <t>Advise Letterssued</t>
  </si>
  <si>
    <t>PROVINCE OF AURORA</t>
  </si>
  <si>
    <t>PROVINCIAL CAPITOL, QUEZON STREET, BALER, 3200</t>
  </si>
  <si>
    <t>15.806567, 121.540376</t>
  </si>
  <si>
    <t>OL-TR-R3-69-000063, expiry date : June 04, 2025</t>
  </si>
  <si>
    <t>OL-GR-R3-77-012839</t>
  </si>
  <si>
    <t>R3-2025-007940</t>
  </si>
  <si>
    <t>No Available Data</t>
  </si>
  <si>
    <t>For further monitoring.</t>
  </si>
  <si>
    <t>LIWAYWAY ST., BRGY. 04 POBLACION 3204 CASIGURAN, PHILIPPINES</t>
  </si>
  <si>
    <t>16.28801439, 122.12212403</t>
  </si>
  <si>
    <t>OL-GR-R3-77-045791</t>
  </si>
  <si>
    <t>R3-2025-015911</t>
  </si>
  <si>
    <t>0.05MT</t>
  </si>
  <si>
    <t>MRF, Butas Na Bato, Dingalan, Aurora</t>
  </si>
  <si>
    <t>15.382, 121.38058</t>
  </si>
  <si>
    <t>OL-GR-R3-77-028423</t>
  </si>
  <si>
    <t>R3-2025-019798</t>
  </si>
  <si>
    <t>ORANI BATAAN - (PROVINCE OF BATAAN)</t>
  </si>
  <si>
    <t>Maria Lourdes St. Ma. Fe, Orani, Bataan, PROVINCIAL CAPITOL, CAPITOL DRIVE, 2100, CITY OF BALANGA, BATAAN</t>
  </si>
  <si>
    <t>Not included in the Delivery Receipt received by the Orani District Hospital</t>
  </si>
  <si>
    <t>14.7895, 120.5357</t>
  </si>
  <si>
    <t>OL-TR-R3-69-000063</t>
  </si>
  <si>
    <t xml:space="preserve"> OL-GR-R3-08-018908</t>
  </si>
  <si>
    <t>R03-04122016-3859</t>
  </si>
  <si>
    <t xml:space="preserve"> Application No. 255909</t>
  </si>
  <si>
    <t>Christle David</t>
  </si>
  <si>
    <t>R3-2025-010804</t>
  </si>
  <si>
    <t>Infectious Waste =550
Hazardous Waste =137
Placenta = 75</t>
  </si>
  <si>
    <t>BALANGA CITY BATAAN</t>
  </si>
  <si>
    <t>Munting Batangas (Cadre), City of Balanga (Capital), Bataan</t>
  </si>
  <si>
    <t>14.671223, 120.494659</t>
  </si>
  <si>
    <t>Udenna Environmental Service Inc. (OL-TR-R3-08-00081)</t>
  </si>
  <si>
    <t xml:space="preserve"> OL-GR-R3-08-027317</t>
  </si>
  <si>
    <t>R03-02262016-3831</t>
  </si>
  <si>
    <t>R3-2025-007103</t>
  </si>
  <si>
    <t>MALOLOS CITY, BULACAN</t>
  </si>
  <si>
    <t>MALOLOS CITY HALL, ESTRELLA STREET, POBLACION, STO. NINO, MALOLOS, 3000 BULACAN</t>
  </si>
  <si>
    <t>14.8079, 120.8445</t>
  </si>
  <si>
    <t>OL-TR-R3-14-000047 (TOTAL ORGANIC ENVIRONMENTAL SOLUTIONS INC)</t>
  </si>
  <si>
    <t>62 Bins used</t>
  </si>
  <si>
    <t>R3-2025-004156</t>
  </si>
  <si>
    <t>MEYCAUAYAN CITY, BULACAN</t>
  </si>
  <si>
    <t>MEYCAUAYAN CITY HALL, MEYCAUAYAN CITY, 3020, BULACAN, 3020</t>
  </si>
  <si>
    <t>14.8078, 120.8445</t>
  </si>
  <si>
    <t>No MOA presented at the time of inspection</t>
  </si>
  <si>
    <t>63 Bins and 31 bins are used</t>
  </si>
  <si>
    <t>R3-2025-018148</t>
  </si>
  <si>
    <t>SAN JOSE DEL MONTE CITY, BULACAN</t>
  </si>
  <si>
    <t>SAN JOSE DEL MONTE MUNICIPAL HALL, SAN JOSE DEL MONTE-MARILAO ROAD, SAN JOSE DEL MONTE CITY, 3023 BULACAN</t>
  </si>
  <si>
    <t>14.7839, 120.0725</t>
  </si>
  <si>
    <t>R3-2025-013980</t>
  </si>
  <si>
    <t>CABANATUAN CITY, NUEVA ECIJA</t>
  </si>
  <si>
    <t>CORNER M. DE LEON AVENUE AND, 2ND ST, LUNGSOD NG CABANATUAN, NUEVA ECIJA</t>
  </si>
  <si>
    <t>15.4898, 120.9936</t>
  </si>
  <si>
    <t>63 Bins and 16 bins are used</t>
  </si>
  <si>
    <t>OL-GR-R3-49-045496</t>
  </si>
  <si>
    <t>R3-2025-011651</t>
  </si>
  <si>
    <t>346 kg</t>
  </si>
  <si>
    <t>PALAYAN CITY, NUEVA ECIJA</t>
  </si>
  <si>
    <t>PALAYAN CITY HALL, 3132 NUEVA ECIJA - AURORA RD, PALAYAN CITY, NUEVA ECIJA</t>
  </si>
  <si>
    <t>15.56215, 121.09815</t>
  </si>
  <si>
    <t>OL-TR-R3-69-000094</t>
  </si>
  <si>
    <t>OL-GR-R3-49-012603</t>
  </si>
  <si>
    <t>CNC-OL-R03-2021-01-00639 (PDS- Not Covered)</t>
  </si>
  <si>
    <t>R3-2025-012143</t>
  </si>
  <si>
    <t>1421 kg</t>
  </si>
  <si>
    <t>SAN JOSE CITY, NUEVA ECIJA</t>
  </si>
  <si>
    <t>SAN JOSE CITY HALL, CARDENAS STREET, PAN-PHILIPPINE HIGHWAY, SAN JOSE CITY, 3121 NUEVA ECIJA</t>
  </si>
  <si>
    <t>15.76052, 120.95548</t>
  </si>
  <si>
    <t>OL-GR-R3-49-016695</t>
  </si>
  <si>
    <t>ECC-OL-R03-2021-0207</t>
  </si>
  <si>
    <t>R3-2025-016710</t>
  </si>
  <si>
    <t xml:space="preserve">No waste disposed as of May 2025; The facility is used as storage of collected lightbulbs. The facility was intact and complete, trashbags and the yellow plastic bags remained inside and unutilized. </t>
  </si>
  <si>
    <t>SCIENCE CITY OF MUÑOZ, NUEVA ECIJA</t>
  </si>
  <si>
    <t>CITY HALL PARKING AREA, 3119 TOBIAS ST, SCIENCE CITY OF MUÑOZ, NUEVA ECIJA</t>
  </si>
  <si>
    <t>15.76113, 120.897652</t>
  </si>
  <si>
    <t>On-going Application</t>
  </si>
  <si>
    <t>OL-GR-R3-49-046578</t>
  </si>
  <si>
    <t>On-going application</t>
  </si>
  <si>
    <t>R3-2025-016685</t>
  </si>
  <si>
    <t>The LGU was advised for immidiate disposal</t>
  </si>
  <si>
    <t>SAN FERNANDO CITY, PAMPANGA (UNIT 1)</t>
  </si>
  <si>
    <t>GEN. HIZON EXTENSION, CORNER CONSUNJI STREET, SAN FERNANDO, PAMPANGA</t>
  </si>
  <si>
    <t>15.08195172, 120.6118654</t>
  </si>
  <si>
    <t>OL-TR-R3-69-000736</t>
  </si>
  <si>
    <t>R3-2025-002080</t>
  </si>
  <si>
    <t>SAN FERNANDO CITY, PAMPANGA (UNIT 2)</t>
  </si>
  <si>
    <t>ANGELES CITY, PAMPANGA</t>
  </si>
  <si>
    <t>VISITACION ST., PAMPANG, ANGELES CITY, PAMPANGA</t>
  </si>
  <si>
    <t>15.14598, 120.58114</t>
  </si>
  <si>
    <t>OL-GR-R3-54-001188</t>
  </si>
  <si>
    <t xml:space="preserve"> R03-03132018-4420</t>
  </si>
  <si>
    <t>DP-R03-23-04003</t>
  </si>
  <si>
    <t>PTO-OL-R03-2023-
05936</t>
  </si>
  <si>
    <t>R3-2025-008743</t>
  </si>
  <si>
    <t>PORAC, PAMPANGA</t>
  </si>
  <si>
    <t>CAPITOL BLVD, SAN FERNANDO, 2000 PAMPANGA</t>
  </si>
  <si>
    <t>15.06912, 120.57166</t>
  </si>
  <si>
    <t> R3-2025-015375</t>
  </si>
  <si>
    <t>PROVINCIAL CAPITOL, MACABULOS DRIVE, 2300, TARLAC CITY, TARLAC</t>
  </si>
  <si>
    <t>15.47169, 120.58632</t>
  </si>
  <si>
    <t>Twenty-One (21) bins presence in the PDS
Thirty-Seven (37) bins are distributed to district hospitals</t>
  </si>
  <si>
    <t>OL-GR-R3-69-009360</t>
  </si>
  <si>
    <t>03TA-0704-14126-116A</t>
  </si>
  <si>
    <t>DP-R03-23-05236</t>
  </si>
  <si>
    <t>POA-20K-03TA-425</t>
  </si>
  <si>
    <t>R3-2025-006093</t>
  </si>
  <si>
    <t>The PDS is functional, PDS facility were installed within the compound of Tarlac Provincial Hospital with on-going application of permits to the EMB R3.
The facility is a registered TSD Facility for M501 wastes; PTT is not required for the transport of treated M501 wastes.
Pallets are all distributed, the facility functions as temporary storage of bins (body) and other materials used in hospitals and solid wastes.
For further monitoring.</t>
  </si>
  <si>
    <t>Fifty Three (53) bins presence in the PDS
Five (5) bins are distributed to district hospitals</t>
  </si>
  <si>
    <t>R3-2025-006094</t>
  </si>
  <si>
    <t>The PDS is functional, PDS facility were installed within the compound of Tarlac Provincial Hospital with on-going application of permits to the EMB R3.
The facility is a registered TSD Facility for M501 wastes; PTT is not required for the transport of treated M501 wastes.
Pallets are distributed to district hospitals and currently the facility is used as storage for bins (body).
For further monitoring.</t>
  </si>
  <si>
    <t>IBA, ZAMABALES</t>
  </si>
  <si>
    <t>ZAMBALES PROVINCIAL CAPITOL, GARCIA ST, IBA, ZAMBALES</t>
  </si>
  <si>
    <t>15.3133, 119.9989</t>
  </si>
  <si>
    <t>Larizze Santos</t>
  </si>
  <si>
    <t>R3-2025-011720</t>
  </si>
  <si>
    <t>R3-2025-011721</t>
  </si>
  <si>
    <t>OLONGAPO CITY, ZAMBALES</t>
  </si>
  <si>
    <t>OLONGAPO CITY HALL, ARTHUR STREET, OLONGAPO, 2200 ZAMBALES</t>
  </si>
  <si>
    <t>14.8456, 120.3292</t>
  </si>
  <si>
    <t>62 bis, 29 are used</t>
  </si>
  <si>
    <t>On process</t>
  </si>
  <si>
    <t>R3-2025-008287</t>
  </si>
  <si>
    <t>Total Floor Area
(sq.m)</t>
  </si>
  <si>
    <t>Date 
Operationalized</t>
  </si>
  <si>
    <t>RCA Storage Capacity
(cm3)</t>
  </si>
  <si>
    <t>Total Volume of Residual waste stored</t>
  </si>
  <si>
    <t>Date of hauling to an SLF</t>
  </si>
  <si>
    <t>Volume of Waste hauled
(tons)</t>
  </si>
  <si>
    <t>Hauler</t>
  </si>
  <si>
    <t>Final Disposal</t>
  </si>
  <si>
    <t>Co-Processing
Facility</t>
  </si>
  <si>
    <t>No. of Barangay Served</t>
  </si>
  <si>
    <t>R3-2025-007939</t>
  </si>
  <si>
    <t>100sqm</t>
  </si>
  <si>
    <t>15 tons</t>
  </si>
  <si>
    <t>Soliman EC</t>
  </si>
  <si>
    <t>R3-2025-013049</t>
  </si>
  <si>
    <t>LGU Truck</t>
  </si>
  <si>
    <t>R3-2025-020068</t>
  </si>
  <si>
    <t>67.94 sqm</t>
  </si>
  <si>
    <t>42.48
15 Tons</t>
  </si>
  <si>
    <t>13 tons</t>
  </si>
  <si>
    <t>For further Monitoring</t>
  </si>
  <si>
    <t>R3-2025-038314</t>
  </si>
  <si>
    <t>LGU Owned truck</t>
  </si>
  <si>
    <t>R3-2025-033423</t>
  </si>
  <si>
    <t>300 sqm</t>
  </si>
  <si>
    <t>Upon checking the advise letter is forwarded to RD Despi</t>
  </si>
  <si>
    <t>Atilano L Ricardo</t>
  </si>
  <si>
    <t>R3-2025-016724</t>
  </si>
  <si>
    <t>667.92 sqm</t>
  </si>
  <si>
    <t>25-40</t>
  </si>
  <si>
    <t>Regular hauling</t>
  </si>
  <si>
    <t>Shanga Trading Subic Inc.</t>
  </si>
  <si>
    <t>R3-2025-030066</t>
  </si>
  <si>
    <t>150 sqm</t>
  </si>
  <si>
    <t>10.56 tons</t>
  </si>
  <si>
    <t>21.12 tons</t>
  </si>
  <si>
    <t>Carranglan</t>
  </si>
  <si>
    <t>T.L Padilla</t>
  </si>
  <si>
    <t>R3-2025-030767</t>
  </si>
  <si>
    <t>750 sqm</t>
  </si>
  <si>
    <t>Monthy</t>
  </si>
  <si>
    <t>Green Rescue Environmental Solutions and Services Inc</t>
  </si>
  <si>
    <t>R3-2025-027124</t>
  </si>
  <si>
    <t>16,060m3</t>
  </si>
  <si>
    <t>M.A.A Integrated Waste Soulitions Inc.</t>
  </si>
  <si>
    <t>no available data</t>
  </si>
  <si>
    <t>R3-2025-027497</t>
  </si>
  <si>
    <t>Urdaneta City Engineered Sanitary Landfill</t>
  </si>
  <si>
    <t>R3-2025-019456</t>
  </si>
  <si>
    <t>LGU Owned hollow blocks plant</t>
  </si>
  <si>
    <t xml:space="preserve">For issuance of notice for technical conference </t>
  </si>
  <si>
    <t>R3-2025-008896</t>
  </si>
  <si>
    <t>R3-2025-024210</t>
  </si>
  <si>
    <t>Green Rescue Environmental Solutions and Services, Inc</t>
  </si>
  <si>
    <t>PWS</t>
  </si>
  <si>
    <t>R3-2025-007780</t>
  </si>
  <si>
    <t>Eco Protect</t>
  </si>
  <si>
    <t>Mailing Address</t>
  </si>
  <si>
    <t>Location of the Facility</t>
  </si>
  <si>
    <t>R3-2025-036842</t>
  </si>
  <si>
    <t>R3-2025-033828</t>
  </si>
  <si>
    <t xml:space="preserve">The facility is operational and in good condition.
Some bins are currently distributed.
Waste are recorded properly.
</t>
  </si>
  <si>
    <t xml:space="preserve">R3-2025-027713	</t>
  </si>
  <si>
    <t>LGU-Dingalan(Generator) has an existing MOA with Unified Hazwaste Expert, Inc. as Transporter. While the Unified Hazwaste Expert, Inc. has partnership with TSD Facilities (Cleanway Environmental Solutions, Inc., ADL Envirotechnology Inc. and Dolomatrix Philippines Inc.) for treatment and disposal of the infectious and hazardous wastes of Generator.</t>
  </si>
  <si>
    <t>Maria Lourdes St. Ma. Fe, Orani, Bataan
PROVINCIAL CAPITOL, CAPITOL DRIVE, 2100, CITY OF BALANGA, BATAAN</t>
  </si>
  <si>
    <t>R3-2025-031020</t>
  </si>
  <si>
    <t>Infectious Waste =227
Hazardous Waste =166
Placenta = 117</t>
  </si>
  <si>
    <t>The facility is new since the hospital has been newly relocated to Brgy. Doña, Orani, Bataan</t>
  </si>
  <si>
    <t>Contract with TSD (TSD No.)	OL-TR-R3-08-00081</t>
  </si>
  <si>
    <t>R3-2025-027727</t>
  </si>
  <si>
    <t>62 bins</t>
  </si>
  <si>
    <t>R3-2025-029906</t>
  </si>
  <si>
    <t>63 Bins and 31bins are used</t>
  </si>
  <si>
    <t>R3-2025-037443</t>
  </si>
  <si>
    <t>R3-2025-037444</t>
  </si>
  <si>
    <t>63 Bins and 16bins are used</t>
  </si>
  <si>
    <t>Christian Jem Buluran</t>
  </si>
  <si>
    <t>R3-2025-037840</t>
  </si>
  <si>
    <t>R3-2025-031335</t>
  </si>
  <si>
    <t>651.48 kg</t>
  </si>
  <si>
    <t>the facility has a stored hospital solid waste, however it is not yet full hence, the LGU is awaiting full capacity load before disposing to partner TSD.</t>
  </si>
  <si>
    <t>R3-2025-035200</t>
  </si>
  <si>
    <t xml:space="preserve">Not functional for the intended use. 
The facility is used as storage for collected light bulbs. Additionally, the door has been stock shut due to rust build-up. According to MRF Staff, no other materials was stored inside the facility.
The materials such as the bins and yellow plastic bags remained intact inside the facility. 
</t>
  </si>
  <si>
    <t>Ospital ng Lungsod Agham ng Munoz</t>
  </si>
  <si>
    <t>-56 Bins inside the PDSF and 7 were installed in the Hospital
-5600 kg M501 stored in the PDSF</t>
  </si>
  <si>
    <t>R3-2025-031589</t>
  </si>
  <si>
    <t>The facility is recently disposed 2.8 Tons of infectious waste this month of September 2025. The facility is observed empty and needed to disinfect for safety and health of constituents nearby.</t>
  </si>
  <si>
    <t>R3-2025-030718</t>
  </si>
  <si>
    <t>The PDS in in good condition</t>
  </si>
  <si>
    <t>R3-2025-031526</t>
  </si>
  <si>
    <t>Ona Hospital, Angeles City, Pampanga</t>
  </si>
  <si>
    <t>Cleanway Environmental Managment Solutions, Inc.</t>
  </si>
  <si>
    <t>R3-2025-027283</t>
  </si>
  <si>
    <t>The PDS was located at the Ona Hospital in Angeles City.</t>
  </si>
  <si>
    <t>PORAC, PAMPANGA (Province of Pampanga)</t>
  </si>
  <si>
    <t>R3-2025-033315</t>
  </si>
  <si>
    <t>The facility is in good condition.</t>
  </si>
  <si>
    <t>Tarlac, City</t>
  </si>
  <si>
    <t>OL-TR-R3-69-000521</t>
  </si>
  <si>
    <t>R3-2025-034985</t>
  </si>
  <si>
    <t>Non-operational</t>
  </si>
  <si>
    <t xml:space="preserve">The PDS is functional, PDS facility were installed within the compound of Tarlac Provincial Hospital with on-going application of permits to the EMB R3.
The facility is a registered TSD Facility for M501 wastes; PTT is not required for the transport of treated M501 wastes. 
Pallets are all distributed, the facility functions as temporary storage of bins (body) and other materials used in hospitals and solid wastes. 
For further monitoring.
</t>
  </si>
  <si>
    <t>Jan Emerson  C. Gonzales</t>
  </si>
  <si>
    <t>R3-2025-034986</t>
  </si>
  <si>
    <t xml:space="preserve">Cleanway Environmental Solutions, Inc. </t>
  </si>
  <si>
    <t>On going application</t>
  </si>
  <si>
    <t xml:space="preserve"> R3-2025-026782</t>
  </si>
  <si>
    <t>The PDS was located at the President Ramon Magsaysay Memorial Hospital.</t>
  </si>
  <si>
    <t>R3-2025-026780</t>
  </si>
  <si>
    <t>63 bis, 23 are used</t>
  </si>
  <si>
    <t>R3-2025-034216</t>
  </si>
  <si>
    <t>The PDS was located at the Central MRF of LGU Olongapo City</t>
  </si>
  <si>
    <t xml:space="preserve">The PDS is functional, PDS facility were installed within the compound of Tarlac Provincial Hospital with on-going application of permits to the EMB R3.
The facility is a registered TSD Facility for M501 wastes; PTT is not required for the transport of treated M501 wastes. 
Pallets are distributed to district hospitals and currently the facility is used as storage for bins (body). 
For further monitoring.
</t>
  </si>
  <si>
    <t>Manila Bay Area</t>
  </si>
  <si>
    <t>Date Installed</t>
  </si>
  <si>
    <t>Status of Trash Traps</t>
  </si>
  <si>
    <t>No. of Trash Traps HDPE Floater</t>
  </si>
  <si>
    <t>Status of Waste Lifter</t>
  </si>
  <si>
    <t>Status of Plastic Boat</t>
  </si>
  <si>
    <t>Estimated Volume of waste hauled
(kg)</t>
  </si>
  <si>
    <t>Date of Last Hauling</t>
  </si>
  <si>
    <t>Brgy. Panginay</t>
  </si>
  <si>
    <t>14.8090,120.8972</t>
  </si>
  <si>
    <t>R3-2025-014691</t>
  </si>
  <si>
    <t>Saturday
According to MENRO, the boatmen intentionally pulled the floaters away in the river so that they could pass through smoothly.</t>
  </si>
  <si>
    <t>Brgy. Wawa</t>
  </si>
  <si>
    <t>14.8168,120.9085</t>
  </si>
  <si>
    <t>R3-2025-014692</t>
  </si>
  <si>
    <t>Saturday</t>
  </si>
  <si>
    <t>The floaters installed were lost due to broken cable caused by the typhoons.</t>
  </si>
  <si>
    <t>For submiision of incident report for lost floaters</t>
  </si>
  <si>
    <t>R3-2025-014694</t>
  </si>
  <si>
    <t>Brgy. Biniang 1st</t>
  </si>
  <si>
    <t>14.789800, 120.931100</t>
  </si>
  <si>
    <t>R3-2025-018051</t>
  </si>
  <si>
    <t xml:space="preserve">•	The trash trap installed in the area is not operational. 
•	The waste lifter was not assembled and not installed in the subject area.
•	Plastic boats, waste lifter and other tools was not yet endorsed to the Barangay.
</t>
  </si>
  <si>
    <t>14.792328,120.9299701</t>
  </si>
  <si>
    <t>R3-2025-018052</t>
  </si>
  <si>
    <t xml:space="preserve">•	The barangay has no logbook or records of collected waste.
•	No floating solid waste was observed in the trashtraps.
•	No tools were presented to the team at the time of inspection. 
</t>
  </si>
  <si>
    <t>Brgy. Biniang 2nd</t>
  </si>
  <si>
    <t>14.792328,120.929779</t>
  </si>
  <si>
    <t>R3-2025-017958</t>
  </si>
  <si>
    <t xml:space="preserve">•	The trash trap installed in the area is operational.
•	The waste lifter was not assembled and not installed in the subject area.
•	Plastic boats, waste lifter and other tools was not yet endorsed to the Barangay
</t>
  </si>
  <si>
    <t>R3-2025-017959</t>
  </si>
  <si>
    <t>Brgy. Bunlo</t>
  </si>
  <si>
    <t>14.7871186,120.9293942</t>
  </si>
  <si>
    <t>R3-2025-017539</t>
  </si>
  <si>
    <t>The floaters were pulled out due to the ongoing construction of dike</t>
  </si>
  <si>
    <t>Brgy. Malamig</t>
  </si>
  <si>
    <t>14.93861197,120.92760706</t>
  </si>
  <si>
    <t>R3-2025-013982</t>
  </si>
  <si>
    <t>Hauling every sunday</t>
  </si>
  <si>
    <t>Brgy. Talampas</t>
  </si>
  <si>
    <t>14.93207583,120.90776465</t>
  </si>
  <si>
    <t>R3-2025-013981</t>
  </si>
  <si>
    <t>Hauling Every Monday and Thursday</t>
  </si>
  <si>
    <t>Brgy. Tibagan</t>
  </si>
  <si>
    <t>14.95510538,120.9455292</t>
  </si>
  <si>
    <t>R3-2025-013983</t>
  </si>
  <si>
    <t>Wednesday</t>
  </si>
  <si>
    <t>Brgy. Gatbuca</t>
  </si>
  <si>
    <t>14.92040054, 120.76576738</t>
  </si>
  <si>
    <t>R3-2025-006506</t>
  </si>
  <si>
    <t>Hauling of Every Friday</t>
  </si>
  <si>
    <t>Brgy. Meyto</t>
  </si>
  <si>
    <t>14.88334764,120.73005412</t>
  </si>
  <si>
    <t>R3-2025-006511</t>
  </si>
  <si>
    <t>R3-2025-006515</t>
  </si>
  <si>
    <t>Brgy. Sto. Nino</t>
  </si>
  <si>
    <t>14.904822 120.775499</t>
  </si>
  <si>
    <t>R3-2025-006507</t>
  </si>
  <si>
    <t>R3-2025-006510</t>
  </si>
  <si>
    <t>Brgy. Malis</t>
  </si>
  <si>
    <t>14.839764,120.880842</t>
  </si>
  <si>
    <t>R3-2025-002534</t>
  </si>
  <si>
    <t>R3-2025-002535</t>
  </si>
  <si>
    <t>Brgy. Poblacion</t>
  </si>
  <si>
    <t>14.828137,120.876667</t>
  </si>
  <si>
    <t>R3-2025-002297</t>
  </si>
  <si>
    <t>Monthly Hauling</t>
  </si>
  <si>
    <t>R3-2025-002298</t>
  </si>
  <si>
    <t>Brgy. Sta. Rita</t>
  </si>
  <si>
    <t>14.8484976,120.8577106</t>
  </si>
  <si>
    <t>R3-2025-002532</t>
  </si>
  <si>
    <t>14.851296,120.859726</t>
  </si>
  <si>
    <t>R3-2025-002533</t>
  </si>
  <si>
    <t>Brgy. Tabang</t>
  </si>
  <si>
    <t>14.8358337 120.8629526</t>
  </si>
  <si>
    <t>R3-2025-009806</t>
  </si>
  <si>
    <t>Brgy. Iba</t>
  </si>
  <si>
    <t>14.867587,120.767043</t>
  </si>
  <si>
    <t>R3-2025-009776</t>
  </si>
  <si>
    <t>Schedule of hauling is g Monday and Thursday</t>
  </si>
  <si>
    <t>R3-2025-009777</t>
  </si>
  <si>
    <t>Brgy. Mercado</t>
  </si>
  <si>
    <t>14.8232,120.7257</t>
  </si>
  <si>
    <t>R3-2025-009807</t>
  </si>
  <si>
    <t>Schedule of hauling is during Mondays, Wednesdays and Thursday each week.</t>
  </si>
  <si>
    <t>Brgy. Anilao</t>
  </si>
  <si>
    <t>14.846394,120.798666</t>
  </si>
  <si>
    <t>R3-2025-007177</t>
  </si>
  <si>
    <t>Brgy. Caingin</t>
  </si>
  <si>
    <t>14.84277166,120.80556833</t>
  </si>
  <si>
    <t>R3-2025-006494</t>
  </si>
  <si>
    <t>According to CENRO Amiel, some of the tools and materials such as the waste lifters are  awaiting for demonstration on the assigned personnel.</t>
  </si>
  <si>
    <t>Brgy. Caniogan (Mabolo)</t>
  </si>
  <si>
    <t>R3-2025-006492</t>
  </si>
  <si>
    <t>Schedule of hauling is every Saturday.</t>
  </si>
  <si>
    <t>Brgy. Ligas</t>
  </si>
  <si>
    <t>14.863111666,120.89536833</t>
  </si>
  <si>
    <t>R3-2025-007176</t>
  </si>
  <si>
    <t>Schedule of hauling is indefinite, but is hauled once a month.</t>
  </si>
  <si>
    <t>Brgy. San Gabriel</t>
  </si>
  <si>
    <t>14.85140833,120.81575166</t>
  </si>
  <si>
    <t>R3-2025-007173</t>
  </si>
  <si>
    <t>Brgy. San Vicente</t>
  </si>
  <si>
    <t>14.84464,120.8154866</t>
  </si>
  <si>
    <t>R3-2025-006493</t>
  </si>
  <si>
    <t>According to CENRO Amiel, some of the tools and materials such as the waste lifters are waiting for demonstration on the assigned personnel.</t>
  </si>
  <si>
    <t>14.84298333,120.80909666</t>
  </si>
  <si>
    <t>R3-2025-007178</t>
  </si>
  <si>
    <t>Schedule of hauling is 
on daily basis</t>
  </si>
  <si>
    <t>According to CENRO Amiel, some of the tools and materials such as the waste lifters are  awaiting demonstration on the assigned personnel.</t>
  </si>
  <si>
    <t>Brgy. Bahay Pare</t>
  </si>
  <si>
    <t>Meycauayan</t>
  </si>
  <si>
    <t>14.77199,121.01845</t>
  </si>
  <si>
    <t>R3-2025-018018</t>
  </si>
  <si>
    <t>As per Maam Evelyn San Martin, the Barangay untied and lifted the floaters from the water because of the fast current of the river and may causes damage to the floaters.</t>
  </si>
  <si>
    <t>14.72572,120.96878</t>
  </si>
  <si>
    <t>R3-2025-018055</t>
  </si>
  <si>
    <t>6 trucks</t>
  </si>
  <si>
    <t>Once a week</t>
  </si>
  <si>
    <t>R3-2025-018017</t>
  </si>
  <si>
    <t>Brgy. Langka</t>
  </si>
  <si>
    <t>14.740622,120.97884</t>
  </si>
  <si>
    <t>R3-2025-017633</t>
  </si>
  <si>
    <t>As per Maam Evelyn San Martin, the floaters were damaged due to previous typhoon and high current of water in the river</t>
  </si>
  <si>
    <t>Brgy. Lawa</t>
  </si>
  <si>
    <t>14.727517,120.97875</t>
  </si>
  <si>
    <t>R3-2025-018015</t>
  </si>
  <si>
    <t>4-8sacks</t>
  </si>
  <si>
    <t>Once a month</t>
  </si>
  <si>
    <t>Brgy. Libtong</t>
  </si>
  <si>
    <t>14.747501,120.98659</t>
  </si>
  <si>
    <t>R3-2025-017631</t>
  </si>
  <si>
    <t>5-8 sacks</t>
  </si>
  <si>
    <t xml:space="preserve">According to Barangay Libtong, the identified solid waste in the trashtrap is subjected for clean up drive and will be dispose to Central MRF of Meycauayan, Bulacan. </t>
  </si>
  <si>
    <t>Brgy. Perez</t>
  </si>
  <si>
    <t>14.758237,120.98994</t>
  </si>
  <si>
    <t xml:space="preserve"> R3-2025-018016</t>
  </si>
  <si>
    <t>5-8sacks</t>
  </si>
  <si>
    <t>Brgy. Pinalagdan</t>
  </si>
  <si>
    <t>14.8495,120.7813</t>
  </si>
  <si>
    <t>R3-2025-009778</t>
  </si>
  <si>
    <t>Schedule of hauling is every saturday</t>
  </si>
  <si>
    <t>Brgy. San Isidro I</t>
  </si>
  <si>
    <t>14.835766,120.780016</t>
  </si>
  <si>
    <t>R3-2025-009781</t>
  </si>
  <si>
    <t>R3-2025-009782</t>
  </si>
  <si>
    <t>14.84004333,120.7940733</t>
  </si>
  <si>
    <t>R3-2025-009779</t>
  </si>
  <si>
    <t>R3-2025-009780</t>
  </si>
  <si>
    <t>Brgy. Banga 1st</t>
  </si>
  <si>
    <t>14.884565,120.866975</t>
  </si>
  <si>
    <t>R3-2025-014698</t>
  </si>
  <si>
    <t>Every Saturday</t>
  </si>
  <si>
    <t>Brgy. Parulan</t>
  </si>
  <si>
    <t>14.888357,120.874924</t>
  </si>
  <si>
    <t>R3-2025-014697</t>
  </si>
  <si>
    <t>350-450</t>
  </si>
  <si>
    <t>Saturday (during clean up)</t>
  </si>
  <si>
    <t>Brgy. San Jose</t>
  </si>
  <si>
    <t>14.90168, 120.897576</t>
  </si>
  <si>
    <t>R3-2025-014696</t>
  </si>
  <si>
    <t>100-150</t>
  </si>
  <si>
    <t>14.872032,120.861024</t>
  </si>
  <si>
    <t>R3-2025-009803</t>
  </si>
  <si>
    <t>14.86881906,120.85861523</t>
  </si>
  <si>
    <t>R3-2025-009804</t>
  </si>
  <si>
    <t>14.881816,120.860341</t>
  </si>
  <si>
    <t>R3-2025-009805</t>
  </si>
  <si>
    <t>Brgy. Dulong Bayan</t>
  </si>
  <si>
    <t>San Jose Del Monte</t>
  </si>
  <si>
    <t>14.8315170,121.0377707</t>
  </si>
  <si>
    <t>R3-2025-014152</t>
  </si>
  <si>
    <t>R3-2024-036014 (Submitted IR)</t>
  </si>
  <si>
    <t>Brgy. Poblacion 1</t>
  </si>
  <si>
    <t>14.799087,121.07135</t>
  </si>
  <si>
    <t>R3-2025-014153</t>
  </si>
  <si>
    <t>Once a Month</t>
  </si>
  <si>
    <t>Brgy. Tungkong Mangga</t>
  </si>
  <si>
    <t>14.809602,121.05072</t>
  </si>
  <si>
    <t>R3-2025-014151</t>
  </si>
  <si>
    <t>Planning to request for relocation of trash trap since the current of the the water was high. Reccomended to send a request letter to the Office.</t>
  </si>
  <si>
    <t>Brgy. Cambio</t>
  </si>
  <si>
    <t>15.19608666,120.9582133</t>
  </si>
  <si>
    <t>R3-2025-021080</t>
  </si>
  <si>
    <t xml:space="preserve">Tuesy and Thursday hauling </t>
  </si>
  <si>
    <t>Brgy. San Vicente-Sta. Rita Matanda</t>
  </si>
  <si>
    <t>15.0073215,120.778071</t>
  </si>
  <si>
    <t xml:space="preserve"> R3-2025-020816</t>
  </si>
  <si>
    <t>2700KG</t>
  </si>
  <si>
    <t>15.139205,120.9775483</t>
  </si>
  <si>
    <t xml:space="preserve"> R3-2025-020815</t>
  </si>
  <si>
    <t>Brgy. Salacot</t>
  </si>
  <si>
    <t>15.18269666,120.9604283</t>
  </si>
  <si>
    <t>R3-2025-021081</t>
  </si>
  <si>
    <t>Brgy. Salangan</t>
  </si>
  <si>
    <t>15.12678555,120.9511182</t>
  </si>
  <si>
    <t>R3-2025-020811</t>
  </si>
  <si>
    <t>No DATA</t>
  </si>
  <si>
    <t>Planning for relocation</t>
  </si>
  <si>
    <t>Brgy. Poblacion-San Juan</t>
  </si>
  <si>
    <t>15.140356,120.968100</t>
  </si>
  <si>
    <t>R3-2025-020812</t>
  </si>
  <si>
    <t>every Tuesday and Thursday</t>
  </si>
  <si>
    <t>R3-2025-020813</t>
  </si>
  <si>
    <t>(Closed/Filed by C,EMED)</t>
  </si>
  <si>
    <t>Brgy. Sapang</t>
  </si>
  <si>
    <t>15.18173029, 120.96120664</t>
  </si>
  <si>
    <t>R3-2025-021082</t>
  </si>
  <si>
    <t>Brgy. Balasing</t>
  </si>
  <si>
    <t>14.853016,121.00062</t>
  </si>
  <si>
    <t>R3-2025-021076</t>
  </si>
  <si>
    <t>70-80</t>
  </si>
  <si>
    <t>14.8426,121.0019</t>
  </si>
  <si>
    <t>R3-2025-021077</t>
  </si>
  <si>
    <t>Brgy. Caysio</t>
  </si>
  <si>
    <t>14.837938,120.96456</t>
  </si>
  <si>
    <t>R3-2025-021078</t>
  </si>
  <si>
    <t>300 kg</t>
  </si>
  <si>
    <t>Brgy. Guyong</t>
  </si>
  <si>
    <t>14.830938,120.96434</t>
  </si>
  <si>
    <t>R3-2025-021079</t>
  </si>
  <si>
    <t>Monthly</t>
  </si>
  <si>
    <t>Brgy. Barrera</t>
  </si>
  <si>
    <t>Cabanatuan</t>
  </si>
  <si>
    <t>15.4810367,120.966427</t>
  </si>
  <si>
    <t>R3-2025-018820</t>
  </si>
  <si>
    <t>To provide logbook/ records of waste collected in the trashtrap.</t>
  </si>
  <si>
    <t>Brgy. Imelda</t>
  </si>
  <si>
    <t>15.47551717,120.9622255</t>
  </si>
  <si>
    <t>R3-2025-016083</t>
  </si>
  <si>
    <t>Brgy. Mabini Extension</t>
  </si>
  <si>
    <t>15.4846,120.9728</t>
  </si>
  <si>
    <t>R3-2025-016085</t>
  </si>
  <si>
    <t xml:space="preserve">No records </t>
  </si>
  <si>
    <t>The barangay removes the solid waste manually, hence the use of the waste lifter is not necessary</t>
  </si>
  <si>
    <t>Brgy. Nabao</t>
  </si>
  <si>
    <t>15.49064486,120.96373952</t>
  </si>
  <si>
    <t>R3-2025-018822</t>
  </si>
  <si>
    <t xml:space="preserve">The BLGU is advised to submit monthly monitoring reports reference to the template provided in the letter sent to the LGU. </t>
  </si>
  <si>
    <t>Brgy. Rizdelis</t>
  </si>
  <si>
    <t>15.4897. 120.9616</t>
  </si>
  <si>
    <t xml:space="preserve">R3-2025-016084 </t>
  </si>
  <si>
    <t xml:space="preserve">Solid waste is removed manually, the LGU did not utilize the waste lifter. </t>
  </si>
  <si>
    <t>Brgy. San Josef Norte</t>
  </si>
  <si>
    <t>15.4859,120.9535</t>
  </si>
  <si>
    <t>R3-2025-011105</t>
  </si>
  <si>
    <t>21 kg</t>
  </si>
  <si>
    <t>Brgy. San Josef Sur</t>
  </si>
  <si>
    <t>15.47277,120.95009</t>
  </si>
  <si>
    <t>R3-2025-011094</t>
  </si>
  <si>
    <t>Brgy. Bayanihan</t>
  </si>
  <si>
    <t>15.294499,120.949236</t>
  </si>
  <si>
    <t>R3-2025-004185</t>
  </si>
  <si>
    <t>Monday - Wednesday</t>
  </si>
  <si>
    <t>Brgy. Parculeta</t>
  </si>
  <si>
    <t>15.233779,120.9393508</t>
  </si>
  <si>
    <t>R3-2025-004187</t>
  </si>
  <si>
    <t>12 floaters were missing</t>
  </si>
  <si>
    <t>15.26365302,120.91395322</t>
  </si>
  <si>
    <t>R3-2025-007491</t>
  </si>
  <si>
    <t>15.271058,120.912884</t>
  </si>
  <si>
    <t>R3-2025-007492</t>
  </si>
  <si>
    <t>Brgy. Capalangan</t>
  </si>
  <si>
    <t>14.9364042,120.761405</t>
  </si>
  <si>
    <t>R3-2025-004428</t>
  </si>
  <si>
    <t>Brgy. Mangga Cacutud</t>
  </si>
  <si>
    <t>15.148055,120.7591666</t>
  </si>
  <si>
    <t>R3-2025-020103</t>
  </si>
  <si>
    <t>20kg</t>
  </si>
  <si>
    <t>The undersigned advice the barangay to provide logbook for the volume of waste collected to the area.</t>
  </si>
  <si>
    <t>15.148734,120.763921</t>
  </si>
  <si>
    <t>R3-2025-020104</t>
  </si>
  <si>
    <t>Brgy. San Roque</t>
  </si>
  <si>
    <t>R3-2025-018655</t>
  </si>
  <si>
    <t>Mr. Castro (Punong Barangay) claims that the floaters was remove during the typhon.</t>
  </si>
  <si>
    <t>Upon checking with IIS, the letter was returned to the Focal for revision</t>
  </si>
  <si>
    <t>Brgy Cabalantian</t>
  </si>
  <si>
    <t>15.01553166,120.674565001</t>
  </si>
  <si>
    <t>R3-2025-008193</t>
  </si>
  <si>
    <t>As per Raul Cudapan (Barangay Kagawad), trash traps were still missing because of typhoon Carina.</t>
  </si>
  <si>
    <t>15.01199167,120.6772</t>
  </si>
  <si>
    <t>R3-2025-008192</t>
  </si>
  <si>
    <t>As per Raul Cudapan (Barangay Kagawad) trash traps were removed because it is weak. He also stated that they are planning to re-install the floaters but there is no specific date when.</t>
  </si>
  <si>
    <t>Brgy. Paralaya</t>
  </si>
  <si>
    <t>15.0614801,120.817208</t>
  </si>
  <si>
    <t>R3-2025-006034</t>
  </si>
  <si>
    <t>R3-2025-006035</t>
  </si>
  <si>
    <t>Brgy Magliman</t>
  </si>
  <si>
    <t>15.0276033,120.668805</t>
  </si>
  <si>
    <t>R3-2025-011215</t>
  </si>
  <si>
    <t>15.021888,120.67369</t>
  </si>
  <si>
    <t>R3-2025-011216</t>
  </si>
  <si>
    <t>15.02400166,120.671455</t>
  </si>
  <si>
    <t>R3-2025-011217</t>
  </si>
  <si>
    <t>For submission of incident report and monitoring report to this Office for the missing floaters and status of trash traps, tools, and equipmnet.</t>
  </si>
  <si>
    <t>Brgy San Agustin</t>
  </si>
  <si>
    <t>R3-2025-011218</t>
  </si>
  <si>
    <t>50kgs</t>
  </si>
  <si>
    <t>-	According to Barangay Secretary the tools and materials were not turned over to them by the former administration and they had no idea regarding trash traps.</t>
  </si>
  <si>
    <t>Upon checking the IIS, the Advise letter has already been routed to Records unit.</t>
  </si>
  <si>
    <t>R3-2025-011219</t>
  </si>
  <si>
    <t>Upon checking the transaction attached to the IIS, the advise letter is already sent to the Focal Person of ESWM</t>
  </si>
  <si>
    <t>R3-2025-011220</t>
  </si>
  <si>
    <t>75kgs</t>
  </si>
  <si>
    <t>Brgy Sto Rosario</t>
  </si>
  <si>
    <t>15.039218,120.69381</t>
  </si>
  <si>
    <t>R3-2025-015381 </t>
  </si>
  <si>
    <t>Brgy Telebastagan</t>
  </si>
  <si>
    <t>R3-2025-012202</t>
  </si>
  <si>
    <t xml:space="preserve">-	According to Barangay Kagawad some tools and materials were being used during clean-up operations.
-	Barangay Kagawad also mentioned that the trash trap might drifted away or traded by some individuals.
</t>
  </si>
  <si>
    <t>Upon checking the IIS, the advise letter has already been routed to RD Despi</t>
  </si>
  <si>
    <t>15.1080950,120.6114170</t>
  </si>
  <si>
    <t>R3-2025-012201</t>
  </si>
  <si>
    <t>1OKG</t>
  </si>
  <si>
    <t>Brgy. Baliti</t>
  </si>
  <si>
    <t>R3-2025-011221</t>
  </si>
  <si>
    <t>10kg</t>
  </si>
  <si>
    <t xml:space="preserve">-	According to Barangay Secretary some tools and materials were being used during clean-up operations.
-	According to Kap. Paulo Galang, the trash trap was not turned over properly to him and apparently, he has no idea regarding this.
</t>
  </si>
  <si>
    <t>Brgy. Calulut</t>
  </si>
  <si>
    <t>15.09521083,120.6470649</t>
  </si>
  <si>
    <t>R3-2025-015377 </t>
  </si>
  <si>
    <t xml:space="preserve">The HDPE Floaters were not observed in the area . The waste lifter and plastic boats were not utilized. The barangay used the PPEs, and as a result of use, some of them were torn. And the other concrete buggy was said to be used for clean up in the streets. However, it was not presented during inspection.
</t>
  </si>
  <si>
    <t>Last year, the ESWMS/Office emailed 
the Hon. Caluag an Advised Letter</t>
  </si>
  <si>
    <t>Brgy. De La Paz Sur</t>
  </si>
  <si>
    <t>15.0739, 120.6376</t>
  </si>
  <si>
    <t>R3-2025-012197</t>
  </si>
  <si>
    <t>According to Barangay Kagawad some tools and materials were being used during clean-up operations.AD96</t>
  </si>
  <si>
    <t>15.073954,120.637640</t>
  </si>
  <si>
    <t>R3-2025-012198</t>
  </si>
  <si>
    <t>-	The barangay clerk mentioned that the Barangay Secretary, who oversees their storage, was not around. Therefore, the undersigned requested the photo documentation of the materials and equipment be sent through email.</t>
  </si>
  <si>
    <t>Brgy. Del Carmen</t>
  </si>
  <si>
    <t>15.05801523,120.6816953</t>
  </si>
  <si>
    <t>R3-2025-015379</t>
  </si>
  <si>
    <t>15.048590,120.683992</t>
  </si>
  <si>
    <t>R3-2025-015378</t>
  </si>
  <si>
    <t>Brgy. Del Pilar</t>
  </si>
  <si>
    <t>15.029429,120.695542</t>
  </si>
  <si>
    <t>R3-2025-016268</t>
  </si>
  <si>
    <t>The plastic boat, equipment, and materials were apparently kept in a room within the Barangay according to the barangay secretary. And an email will be sent to follow up on the pictures.</t>
  </si>
  <si>
    <t>Brgy. Dela Paz Norte</t>
  </si>
  <si>
    <t>15.0869490,120.62743</t>
  </si>
  <si>
    <t>R3-2025-024883</t>
  </si>
  <si>
    <t>The trash traps were not placed properly. According to Barangay Secretary some tools and materials were being used during clean-up operations and used at the MRF but some tools and materials were not presented during inspection.</t>
  </si>
  <si>
    <t>Brgy. Panipuan</t>
  </si>
  <si>
    <t>15.10947,120.62806</t>
  </si>
  <si>
    <t>R3-2025-015380</t>
  </si>
  <si>
    <t>The trash traps were not seen in the area. According to Barangay Captain some tools and materials were being used during clean-up operations and used at the MRF but some tools and materials were not presented during inspection.</t>
  </si>
  <si>
    <t>For Initial/Signature of RD</t>
  </si>
  <si>
    <t>Last year, the ESWMS emailed 
the Hon. Caluag an Advised Letter</t>
  </si>
  <si>
    <t>Brgy. Saguin</t>
  </si>
  <si>
    <t>R3-2025-012200</t>
  </si>
  <si>
    <t>N?A</t>
  </si>
  <si>
    <t>R3-2025-012199</t>
  </si>
  <si>
    <t>According to Brgy. secretary, the bridge was reconstructed, and the floaters were still placed. She also stated that the boats were lent to Barangay Pandaras since they much needed the boat.</t>
  </si>
  <si>
    <t>15.03915, 120.69940</t>
  </si>
  <si>
    <t>R3-2025-016270</t>
  </si>
  <si>
    <t>According to Barangay Chairman some tools and materials were being used during clean-up operations and as a result of use some of them were torn.</t>
  </si>
  <si>
    <t>15.02091, 120.68086</t>
  </si>
  <si>
    <t>R3-2025-016271 </t>
  </si>
  <si>
    <t>15.0238033,120.676166</t>
  </si>
  <si>
    <t>R3-2025-016272</t>
  </si>
  <si>
    <t>For submission of incident report for the lost/missing trash trap</t>
  </si>
  <si>
    <t>Brgy. Sta. Lucia</t>
  </si>
  <si>
    <t>15. 0220550</t>
  </si>
  <si>
    <t>15. 0220550,120.6889720</t>
  </si>
  <si>
    <t>R3-2025-016273</t>
  </si>
  <si>
    <t>The cable wire was cut or detached and as a result, the trash trap was not properly placed</t>
  </si>
  <si>
    <t>Brgy. Plaza Burgos</t>
  </si>
  <si>
    <t>14.9665506 120.63293144</t>
  </si>
  <si>
    <t>R3-2025-008196</t>
  </si>
  <si>
    <t>Brgy. San Antonio</t>
  </si>
  <si>
    <t>14.9668818 120.61168926</t>
  </si>
  <si>
    <t>R3-2025-008197</t>
  </si>
  <si>
    <t>The trash trap floaters are non-operational. According to Ma’am Virginia (Barangay Treasurer) no equipment were received during installation of trash traps.</t>
  </si>
  <si>
    <t>Brgy Sta Catalina</t>
  </si>
  <si>
    <t>14.92216333,120.58985166</t>
  </si>
  <si>
    <t>R3-2025-009092</t>
  </si>
  <si>
    <t>50 kg</t>
  </si>
  <si>
    <t>14.9244250,120.59044166</t>
  </si>
  <si>
    <t xml:space="preserve">	R3-2025-009093</t>
  </si>
  <si>
    <t>100 kg</t>
  </si>
  <si>
    <t>R3-2025-009094</t>
  </si>
  <si>
    <t>Also, as per Ma’am Emily (barangay chairwoman) they moved the floaters on the other site because some boatman can’t access the way off to their exact destination.</t>
  </si>
  <si>
    <t xml:space="preserve">Brgy Sta Catalina </t>
  </si>
  <si>
    <t>R3-2025-009091</t>
  </si>
  <si>
    <t>Brgy Sta Lucia</t>
  </si>
  <si>
    <t>14.9248781,120.5838987</t>
  </si>
  <si>
    <t>R3-2025-009095</t>
  </si>
  <si>
    <t>25 KG</t>
  </si>
  <si>
    <t>According to Hon. Randy Tandingan, the trash traps were moved to different location but same stretch of the creek</t>
  </si>
  <si>
    <t>Brgy Sta Monica</t>
  </si>
  <si>
    <t>14.9559799,120.6073548</t>
  </si>
  <si>
    <t xml:space="preserve">	R3-2025-009100</t>
  </si>
  <si>
    <t>It was noted that the trash trap floaters were moved to another site and it needs a boat to go in the new site</t>
  </si>
  <si>
    <t>R3-2025-009101</t>
  </si>
  <si>
    <t>Brgy. San Agustin</t>
  </si>
  <si>
    <t>14.9248781,120.5848987</t>
  </si>
  <si>
    <t>R3-2025-008794</t>
  </si>
  <si>
    <t>14.92941723,120.5783421</t>
  </si>
  <si>
    <t>R3-2025-008795</t>
  </si>
  <si>
    <t>Brgy Lagundi</t>
  </si>
  <si>
    <t>15.053599,120.7117367</t>
  </si>
  <si>
    <t>R3-2025-018653</t>
  </si>
  <si>
    <t>The trash trap is not operational due to broken stainless-steel wire rope.</t>
  </si>
  <si>
    <t>Brgy Parian</t>
  </si>
  <si>
    <t>15.06450143,120.72068711</t>
  </si>
  <si>
    <t>R3-2025-018652</t>
  </si>
  <si>
    <t>15.0615721,120.72993392</t>
  </si>
  <si>
    <t>R3-2025-018654</t>
  </si>
  <si>
    <t xml:space="preserve">The equipment and PPEs were kept in the storage room of the barangay hall.
The waste lifter is kept in the barangay and it is used for different SWM purposes
The trash trap was not operational due to the uninstalled floaters.
</t>
  </si>
  <si>
    <t>Brgy. San Isidro 1</t>
  </si>
  <si>
    <t>14.955854,120.71768335</t>
  </si>
  <si>
    <t>R3-2025-005291</t>
  </si>
  <si>
    <t>According to barangay officials, they are conducting weekly clean-up in the trash trap</t>
  </si>
  <si>
    <t>Brgy. San Isidro 2</t>
  </si>
  <si>
    <t>14.958755,120.722592</t>
  </si>
  <si>
    <t>R3-2025-005292</t>
  </si>
  <si>
    <t>Brgy. San Nicolas</t>
  </si>
  <si>
    <t>14.96428166,120.6803033</t>
  </si>
  <si>
    <t>R3-2025-005293</t>
  </si>
  <si>
    <t>Brgy. San Pedro</t>
  </si>
  <si>
    <t>14.977939,120.690344</t>
  </si>
  <si>
    <t>R3-2025-005294</t>
  </si>
  <si>
    <t>Brgy. Sta. Catalina 1</t>
  </si>
  <si>
    <t>14.96421,120.680303</t>
  </si>
  <si>
    <t xml:space="preserve"> R3-2025-005295 </t>
  </si>
  <si>
    <t xml:space="preserve">The barangay to provide a separate logbook for the volume of waste collected to the area.	</t>
  </si>
  <si>
    <t>Brgy. Sta. Catalina 2</t>
  </si>
  <si>
    <t>14.9627305,120.67621858</t>
  </si>
  <si>
    <t>R3-2025-005296</t>
  </si>
  <si>
    <t>Schedule of hauling Every Saturday</t>
  </si>
  <si>
    <t>Brgy. Sta. Rita 1</t>
  </si>
  <si>
    <t>R3-2025-025194</t>
  </si>
  <si>
    <t>According to MENRO, some tools and materials were being used during clean-up operations particularly the boat which was placed at one of the sitio in the barangay.</t>
  </si>
  <si>
    <t>Brgy. Sta. Rita 2</t>
  </si>
  <si>
    <t>14.974954,120.685974</t>
  </si>
  <si>
    <t>R3-2025-005298</t>
  </si>
  <si>
    <t>Brgy. Sto. Rosario</t>
  </si>
  <si>
    <t>14.970179,120.68795</t>
  </si>
  <si>
    <t>R3-2025-005300</t>
  </si>
  <si>
    <t>Brgy Cangatba</t>
  </si>
  <si>
    <t>R3-2025-018802</t>
  </si>
  <si>
    <t>The undersigned recommend to conduct regular clean-up to the area.</t>
  </si>
  <si>
    <t>15.071012,120.540686</t>
  </si>
  <si>
    <t>R3-2025-018803</t>
  </si>
  <si>
    <t>Brgy.San Juan</t>
  </si>
  <si>
    <t>R3-2025-018900</t>
  </si>
  <si>
    <t>To submit an incident report regarding the missing trash traps.</t>
  </si>
  <si>
    <t>R3-2025-019422</t>
  </si>
  <si>
    <t>To immediately re-install the trash traps once permissible to resume the operations</t>
  </si>
  <si>
    <t>R3-2025-018913</t>
  </si>
  <si>
    <t>NO HAULING</t>
  </si>
  <si>
    <t>To immediately re-install the trash traps once permissible to resume the operations.</t>
  </si>
  <si>
    <t>R3-2025-019424</t>
  </si>
  <si>
    <t>Brgy San Bartolome</t>
  </si>
  <si>
    <t>14.9858833,120.7031066</t>
  </si>
  <si>
    <t>R3-2025-001618</t>
  </si>
  <si>
    <t>Brgy San Vicente</t>
  </si>
  <si>
    <t>14.991536, 120.707093</t>
  </si>
  <si>
    <t>R3-2025-001619</t>
  </si>
  <si>
    <t>Issued Advised letter</t>
  </si>
  <si>
    <t>15.00287117,120.70359172</t>
  </si>
  <si>
    <t>R3-2025-001620</t>
  </si>
  <si>
    <t>Brgy. Sto Rosario</t>
  </si>
  <si>
    <t>15.01643066,120.716933</t>
  </si>
  <si>
    <t>R3-2025-001621</t>
  </si>
  <si>
    <t>R3-2025-001622</t>
  </si>
  <si>
    <t>Count of Accomplishment for the month of</t>
  </si>
  <si>
    <t>Accomplishment for the month of</t>
  </si>
  <si>
    <t>July</t>
  </si>
  <si>
    <t>August</t>
  </si>
  <si>
    <t>September</t>
  </si>
  <si>
    <t>October</t>
  </si>
  <si>
    <t>November</t>
  </si>
  <si>
    <t>City of Gapan</t>
  </si>
  <si>
    <t>City of Palayan (Capital)</t>
  </si>
  <si>
    <t>Santa Rosa</t>
  </si>
  <si>
    <t>Santo Domingo</t>
  </si>
  <si>
    <t>R3-2025-024955</t>
  </si>
  <si>
    <t>R3-2025-025528</t>
  </si>
  <si>
    <t>R3-2025-025529</t>
  </si>
  <si>
    <t>R3-2025-038544</t>
  </si>
  <si>
    <t>•	To submit monthly report to DENR EMB R3 regarding the status of trashtrap in the area based on the monitoring template (Annex A) to be accomplished by the LGU/Barangay</t>
  </si>
  <si>
    <t>R3-2025-038543</t>
  </si>
  <si>
    <t>R3-2025-038546</t>
  </si>
  <si>
    <t>•	To submit monthly report and incident report to DENR EMB R3 regarding the status of trashtrap in the area based on the monitoring template (Annex A) to be accomplished by the LGU/Barangay</t>
  </si>
  <si>
    <t>R3-2025-038545</t>
  </si>
  <si>
    <t>R3-2025-038547</t>
  </si>
  <si>
    <t>R3-2025-024484</t>
  </si>
  <si>
    <t>Sunday</t>
  </si>
  <si>
    <t>R3-2025-024481</t>
  </si>
  <si>
    <t>Monday and thursday</t>
  </si>
  <si>
    <t>R3-2025-024483</t>
  </si>
  <si>
    <t>R3-2025-036645</t>
  </si>
  <si>
    <t>Friday</t>
  </si>
  <si>
    <t>R3-2025-036644</t>
  </si>
  <si>
    <t>R3-2025-036643</t>
  </si>
  <si>
    <t>R3-2025-036647</t>
  </si>
  <si>
    <t>R3-2025-036646</t>
  </si>
  <si>
    <t>R3-2025-033160</t>
  </si>
  <si>
    <t>R3-2025-032720</t>
  </si>
  <si>
    <t>●	To submit a monthly report to DENR EMB R3 regarding the status of trashtrap in the area based on the monitoring template (Annex A) to be accomplished by the LGU/Barangay</t>
  </si>
  <si>
    <t>R3-2025-032632</t>
  </si>
  <si>
    <t>R3-2025-032631</t>
  </si>
  <si>
    <t>R3-2025-029090</t>
  </si>
  <si>
    <t>7-10 Sacks</t>
  </si>
  <si>
    <t>According to Brgy. Captain, they already requested assistance to MENRO Guiguinto 
to clean up the site and informed them that the Barangay Sta Rita will not be able to clean up the said solid waste in the trashtrap since the site was identified under the jurisdiction Barangay Tikay, Malolos, Bulacan</t>
  </si>
  <si>
    <t>7-10 sacks</t>
  </si>
  <si>
    <t>R3-2025-025534</t>
  </si>
  <si>
    <t>Schedule is not regular</t>
  </si>
  <si>
    <t>R3-2025-025535</t>
  </si>
  <si>
    <t>R3-2025-024928</t>
  </si>
  <si>
    <t>Monday, Wednesday and Thursday</t>
  </si>
  <si>
    <t>R3-2025-032683</t>
  </si>
  <si>
    <t>EVERY SATURDAY</t>
  </si>
  <si>
    <t>R3-2025-032686
R3-2025-032687</t>
  </si>
  <si>
    <t>ONCE A MONTH</t>
  </si>
  <si>
    <t>Brgy. Mabolo</t>
  </si>
  <si>
    <t>R3-2025-032682</t>
  </si>
  <si>
    <t>R3-2025-032681</t>
  </si>
  <si>
    <t>R3-2025-032688</t>
  </si>
  <si>
    <t>R3-2025-032680</t>
  </si>
  <si>
    <t>Daily basis</t>
  </si>
  <si>
    <t>R3-2025-037550</t>
  </si>
  <si>
    <t xml:space="preserve">●	To submit monthly report to DENR EMB R3 regarding the status of trashtrap in the area based on the monitoring template (Annex A) to be accomplished by the LGU/Barangay. </t>
  </si>
  <si>
    <t>R3-2025-036607</t>
  </si>
  <si>
    <t>R3-2025-036606</t>
  </si>
  <si>
    <t>4-8 sacks</t>
  </si>
  <si>
    <t>R3-2025-037546</t>
  </si>
  <si>
    <t>●	To submit monthly report to DENR EMB R3 regarding the status of trashtrap in the area based on the monitoring template (Annex A) to be accomplished by the LGU/Barangay</t>
  </si>
  <si>
    <t>R3-2025-037548</t>
  </si>
  <si>
    <t>R3-2025-037549</t>
  </si>
  <si>
    <t>R3-2025-037547</t>
  </si>
  <si>
    <t>R3-2025-039101</t>
  </si>
  <si>
    <t>R3-2025-029025</t>
  </si>
  <si>
    <t>60kg</t>
  </si>
  <si>
    <t>R3-2025-029026</t>
  </si>
  <si>
    <t>R3-2025-028559</t>
  </si>
  <si>
    <t>30kg</t>
  </si>
  <si>
    <t>Every Morning and Afternoon Until Saturday</t>
  </si>
  <si>
    <t>R3-2025-028560</t>
  </si>
  <si>
    <t>R3-2025-029086</t>
  </si>
  <si>
    <t>100kg</t>
  </si>
  <si>
    <t>According to the barangay they are manually collects the garbage in the trash trap and transfer to Central MRF/ Transfer Station of Plaridel, Bulacan</t>
  </si>
  <si>
    <t>R3-2025-029030</t>
  </si>
  <si>
    <t>350-400 kg</t>
  </si>
  <si>
    <t>According to the barangay they manually collect the garbage in the trash trap and transfer it to the Central MRF/ Transfer Station of Plaridel, Bulacan.</t>
  </si>
  <si>
    <t>R3-2025-029084</t>
  </si>
  <si>
    <t>100-150kg</t>
  </si>
  <si>
    <t>R3-2025-029087</t>
  </si>
  <si>
    <t>200kg</t>
  </si>
  <si>
    <t>According to the barangay they are manually collects the garbage in the trash trap and transfer to Central MRF of Plaridel, Bulacan for final sorting and proper disposal.
No logbook/ records of waste was presented at the time of inspection</t>
  </si>
  <si>
    <t>R3-2025-029088</t>
  </si>
  <si>
    <t>According to the Barangay Captain, the other tools and materials for the operation of trash trap was used and disposed.
The other sets of waste lifter, plastic boats and other tools/ materials were not yet endorsed to the barangay and stored in the Central MRF of Plaridel.
According to the barangay they are manually collects the garbage in the trash trap and transfer to Central MRF of Plaridel, Bulacan for final sorting and proper disposal.
No logbook/ records of waste was presented at the time of inspection</t>
  </si>
  <si>
    <t>R3-2025-029089</t>
  </si>
  <si>
    <t>R3-2025-037543</t>
  </si>
  <si>
    <t>R3-2025-037541</t>
  </si>
  <si>
    <t>R3-2025-037544</t>
  </si>
  <si>
    <t>R3-2025-036825</t>
  </si>
  <si>
    <t>Tuesday &amp; Thursday</t>
  </si>
  <si>
    <t>R3-2025-036642</t>
  </si>
  <si>
    <t>Twice a Month</t>
  </si>
  <si>
    <t>R3-2025-036641</t>
  </si>
  <si>
    <t>R3-2025-036640</t>
  </si>
  <si>
    <t>R3-2025-036637</t>
  </si>
  <si>
    <t>No Record</t>
  </si>
  <si>
    <t>●	Continue proper safekeeping of the tools and materials of the Trashtraps</t>
  </si>
  <si>
    <t>R3-2025-031987</t>
  </si>
  <si>
    <t>R3-2025-031988</t>
  </si>
  <si>
    <t>R3-2025-036638</t>
  </si>
  <si>
    <t>Broken due to the typhoon. As per Barangay Officials, they will send a letter to EMB R3 for assistance on the reinstallation of the trash traps.</t>
  </si>
  <si>
    <t>As per Barangay Officials they will send a letter to EMB R3 for assistance on the reinstallation of trash traps</t>
  </si>
  <si>
    <t>R3-2025-021078 </t>
  </si>
  <si>
    <t>100-300</t>
  </si>
  <si>
    <t>R3-2025-037836</t>
  </si>
  <si>
    <t>R3-2025-026373</t>
  </si>
  <si>
    <t>72kg</t>
  </si>
  <si>
    <t>R3-2025-033406</t>
  </si>
  <si>
    <t>R3-2025-033405</t>
  </si>
  <si>
    <t xml:space="preserve">•	To utilize the waste lifter in the operation of trash traps.
•	To continue the regular clean up in the trash traps. 
•	To provide logbook/ records of waste collected in the trashtrap.
•	The BLGU is advised to submit monthly monitoring reports reference to the template provided in the letter sent to the LGU.
</t>
  </si>
  <si>
    <t>R3-2025-026372</t>
  </si>
  <si>
    <t xml:space="preserve">170kgs </t>
  </si>
  <si>
    <t>R3-2025-022697</t>
  </si>
  <si>
    <t>R3-2025-022696</t>
  </si>
  <si>
    <t>R3-2025-031585</t>
  </si>
  <si>
    <t>Advise Letter</t>
  </si>
  <si>
    <t>R3-2025-031584</t>
  </si>
  <si>
    <t>A formal advise letter was provided to the Barangay</t>
  </si>
  <si>
    <t>R3-2025-036610</t>
  </si>
  <si>
    <t>R3-2025-036604</t>
  </si>
  <si>
    <t>14.9362N</t>
  </si>
  <si>
    <t>120.7615E</t>
  </si>
  <si>
    <t>R3-2025-024195</t>
  </si>
  <si>
    <t xml:space="preserve">According to Barangay Official, some tools and materials were being used during clean-up operation. </t>
  </si>
  <si>
    <t>R3-2025-022995</t>
  </si>
  <si>
    <t>According to Barangay Kagawad some tools and materials were being used during clean-up operations.</t>
  </si>
  <si>
    <t>R3-2025-022994</t>
  </si>
  <si>
    <t>Brgy. San Roque Bitas</t>
  </si>
  <si>
    <t>R3-2025-022997</t>
  </si>
  <si>
    <t>R3-2025-027294</t>
  </si>
  <si>
    <t>300kg</t>
  </si>
  <si>
    <t>•	The barangay is requested to re attach the floaters and provide logbook for the volume of waste collected to the area.</t>
  </si>
  <si>
    <t>R3-2025-027295</t>
  </si>
  <si>
    <t>-	To submit incident report regarding the missing floaters</t>
  </si>
  <si>
    <t>R3-2025-030701</t>
  </si>
  <si>
    <t>30kgs</t>
  </si>
  <si>
    <t>-	According to the Barangay the floaters area operational but sank in the water due to high level of water in the area.</t>
  </si>
  <si>
    <t>R3-2025-030702</t>
  </si>
  <si>
    <t>R3-2025-034999</t>
  </si>
  <si>
    <t>25kg</t>
  </si>
  <si>
    <t>-	According to Barangay Kagawad some tools and materials were being used during clean-up operations. The plastic boats were not presented during the inspection, as they were being used by a sitio within their jurisdiction.</t>
  </si>
  <si>
    <t>R3-2025-035000</t>
  </si>
  <si>
    <t xml:space="preserve">-	According to Barangay Kagawad some tools and materials were being used during clean-up operations. The plastic boats were not presented during the inspection, as they were being used by a sitio within their jurisdiction.
-	Floaters were temporarily lifted due to fast current caused by the thypoons.
</t>
  </si>
  <si>
    <t>R3-2025-037388</t>
  </si>
  <si>
    <t>Estimated Volume of waste hauled
(kg) 25 KG</t>
  </si>
  <si>
    <t>According to Barangay Kagawad some tools and materials were being used during clean-up operations. The plastic boats were not presented during the inspection, as they were being used by a sitio within their jurisdiction.</t>
  </si>
  <si>
    <t>R3-2025-023099</t>
  </si>
  <si>
    <t>According to Barangay Secretary the tools and materials were not turned over to them by the former administration and they had no idea regarding trash traps.</t>
  </si>
  <si>
    <t>R3-2025-026935</t>
  </si>
  <si>
    <t>15.04059333,120.666473</t>
  </si>
  <si>
    <t>R3-2025-023100</t>
  </si>
  <si>
    <t>According to the Barangay Secretary, the tools and materials were not properly turned over by the previous administration. As a result, the current administration lacks knowledge about the operations and responsibilities outlined in the Memorandum of Agreement (MOA) between the LGU and the EMB.</t>
  </si>
  <si>
    <t>R3-2025-034335</t>
  </si>
  <si>
    <t>-	According to Barangay Kagawad, some tools and materials were being used during clean-up operations.</t>
  </si>
  <si>
    <t>R3-2025-026937</t>
  </si>
  <si>
    <t>-	According to Barangay Kagawad some tools and materials were being used during clean-up operations.
-	Barangay Kagawad also mentioned that the trash trap might drifted away or traded by some individuals.AD88</t>
  </si>
  <si>
    <t>R3-2025-026936</t>
  </si>
  <si>
    <t>R3-2025-023098</t>
  </si>
  <si>
    <t>According to Kap. Paulo Galang, the trash trap was not turned over properly to him and apparently, he has no idea regarding this.</t>
  </si>
  <si>
    <t>R3-2025-037387</t>
  </si>
  <si>
    <t>Provide or submit incident report regarding the missing floaters.</t>
  </si>
  <si>
    <t>R3-2025-024029</t>
  </si>
  <si>
    <t>10 kg</t>
  </si>
  <si>
    <t>During inspection/monitoring, the barangay clerk mentioned that the Barangay Secretary, who is in charge of their storage, was not around. Therefore, the undersigned requested the photo documentation of the materials and equipment be sent through email.</t>
  </si>
  <si>
    <t>R3-2025-030727</t>
  </si>
  <si>
    <t>-	The undersigned recommend to conduct regular clean-up to the area.
-	Revisit the Memorandum of Agreement specifically the roles and responsibilities of the LGU/barangay regarding the proper operation of trash trap. 
-	Also, the undersigned advice the barangay to provide logbook for the volume of waste collected to the area.
-	To submit monitoring report to DENR EMB Region 3 based on the Annex A template provided (to be accomplished by the LGU/Barangay).</t>
  </si>
  <si>
    <t>R3-2025-037386</t>
  </si>
  <si>
    <t>10KG</t>
  </si>
  <si>
    <t>Provide or submit an incident report regarding the missing floaters.</t>
  </si>
  <si>
    <t>R3-2025-034334</t>
  </si>
  <si>
    <t>-	According to MRF Supervisor some tools and materials were being used during clean-up operations.</t>
  </si>
  <si>
    <t>Upon checking the IIS, the letter has already been routed to Records unit</t>
  </si>
  <si>
    <t>R3-2025-030726</t>
  </si>
  <si>
    <t>R3-2025-026931</t>
  </si>
  <si>
    <t>-The barangay is requested to re attach the floaters and provide logbook for the volume of waste collected to the area.</t>
  </si>
  <si>
    <t xml:space="preserve">R3-2025-030728
</t>
  </si>
  <si>
    <t>-	Revisit the Memorandum of Agreement specifically the roles and responsibilities of the LGU/barangay regarding the proper operation of trash trap. 
-	The barangay should submit incident report regarding the lost floaters.</t>
  </si>
  <si>
    <t>15.09478104, 120.63015307</t>
  </si>
  <si>
    <t>R3-2025-024028</t>
  </si>
  <si>
    <t>According to Brgy. secretary, the bridge was reconstructed, and the floaters were still placed. She also stated that the boats were lent to Barangay Pandaras since they much needed the boat</t>
  </si>
  <si>
    <t>R3-2025-026934</t>
  </si>
  <si>
    <t>-	According to Barangay Chairman some tools and materials were being used during clean-up operations and as a result of use some of them were torn.
-	According to Brgy. Chairman, they detached the floaters since it might destroy the slope of the creek
-	According to Brgy. Secretary, the boats were lent to Barangay Pandaras since they much needed the boat.</t>
  </si>
  <si>
    <t>R3-2025-030729</t>
  </si>
  <si>
    <t>-	The undersigned recommend to conduct regular clean-up to the area and properly palce the floaters.
-	Revisit the Memorandum of Agreement specifically the roles and responsibilities of the LGU/barangay regarding the proper operation of trash trap. 
-	Also, the undersigned advice the barangay to provide logbook for the volume of waste collected to the area.
-	To submit monitoring report to DENR EMB Region 3 based on the Annex A template provided (to be accomplished by the LGU/Barangay).\</t>
  </si>
  <si>
    <t>R3-2025-033313</t>
  </si>
  <si>
    <t>-	According to Barangay Chairman some tools and materials were being used during clean-up operations and as a result of use some of them were torn</t>
  </si>
  <si>
    <t>R3-2025-037389</t>
  </si>
  <si>
    <t>The undersigned recommended The barangay to submit an incident report regarding The drifted away Trash Trap</t>
  </si>
  <si>
    <t>R3-2025-030730</t>
  </si>
  <si>
    <t>-	The undersigned recommend to conduct regular clean-up to the area and properly palce the floaters.
-	Revisit the Memorandum of Agreement specifically the roles and responsibilities of the LGU/barangay regarding the proper operation of trash trap. 
-	Also, the undersigned advice the barangay to provide logbook for the volume of waste collected to the area.
-	To submit monitoring report to DENR EMB Region 3 based on the Annex A template provided (to be accomplished by the LGU/Barangay).</t>
  </si>
  <si>
    <t>R3-2025-037101</t>
  </si>
  <si>
    <t>300 KG</t>
  </si>
  <si>
    <t>-	To submit monitoring report to DENR EMB Region 3 based on the Annex A template provided (to be accomplished by the LGU/Barangay).</t>
  </si>
  <si>
    <t>upon checking the IIS, the advise letter has already been routed to RD Despi</t>
  </si>
  <si>
    <t>R3-2025-008197
R3-2025-037102</t>
  </si>
  <si>
    <t>The trash trap floaters are non-operational. According to Ma’am Virginia (Barangay Treasurer) no equipment were received during the installation of trash trap.</t>
  </si>
  <si>
    <t>Brgy Sta Catalina 1</t>
  </si>
  <si>
    <t>R3-2025-030761</t>
  </si>
  <si>
    <t>-	The undersigned recommends the conduct of regular clean-up to the area.
-	revisit the Memorandum of Agreement specifically the roles and responsibilities of the LGU/barangay regarding the proper operation of trash trap. 
-	Also, the undersigned advice the barangay to provide logbook for the volume of waste collected to the area.
-	To submit monitoring report to DENR EMB Region 3 based on the Annex A template provided (to be accomplished by the LGU/Barangay).</t>
  </si>
  <si>
    <t>Upon checking with IIS, the advise letter has already been routed to RD Despi</t>
  </si>
  <si>
    <t>Brgy Sta Catalina 2</t>
  </si>
  <si>
    <t>R3-2025-030762</t>
  </si>
  <si>
    <t>Brgy Sta Catalina 3</t>
  </si>
  <si>
    <t>R3-2025-030763</t>
  </si>
  <si>
    <t>-	Also, the undersigned advice the barangay to provide logbook for the volume of waste collected to the area.
-	To submit monitoring report to DENR EMB Region 3 based on the Annex A template provided (to be accomplished by the LGU/Barangay).</t>
  </si>
  <si>
    <t>Brgy Sta Catalina 4</t>
  </si>
  <si>
    <t>R3-2025-030764</t>
  </si>
  <si>
    <t>R3-2025-037103</t>
  </si>
  <si>
    <t>-	To submit a monitoring report to EMB R3 regarding the status of the trash traps, tools and equipment used for clean-up operations using the provided monitoring template</t>
  </si>
  <si>
    <t>Brgy Sta Monica 1</t>
  </si>
  <si>
    <t>R3-2025-033367</t>
  </si>
  <si>
    <t xml:space="preserve">-	As per the barangay bookkeeper, some equipment were distributed and being used by the barangay staff when conducting site clean-up activities.
-	Also, the bookkeeper confirmed that the trash trap floaters were moved in the other site for effective collection of waste
</t>
  </si>
  <si>
    <t>Brgy Sta Monica 2</t>
  </si>
  <si>
    <t>R3-2025-033368</t>
  </si>
  <si>
    <t>Brgy. San Agustin 1</t>
  </si>
  <si>
    <t>R3-2025-033354</t>
  </si>
  <si>
    <t>-	As per the barangay secretary, some equipment were distributed and being used by the barangay staff when conducting site clean-up activities.</t>
  </si>
  <si>
    <t>Brgy. San Agustin 2</t>
  </si>
  <si>
    <t>R3-2025-033355</t>
  </si>
  <si>
    <t xml:space="preserve">-	As per the barangay secretary, some equipment were distributed and being used by the barangay staff when conducting site clean-up activities.
-	Also, floaters were set aside due to the strong current caused by the tropical storm Opong.
</t>
  </si>
  <si>
    <t>R3-2025-039316</t>
  </si>
  <si>
    <t>-	The undersigned recommend to fix the broken stainless-steel wire rope to resume operations.AD147</t>
  </si>
  <si>
    <t>R3-2025-039020</t>
  </si>
  <si>
    <t>Estimated Volume of waste hauled
(kg) 50 KG</t>
  </si>
  <si>
    <t>No equipment and PPEs presented during the inspection because they were kept in the storage room of the Barangay Captain.</t>
  </si>
  <si>
    <t>R3-2025-026477</t>
  </si>
  <si>
    <t>According to Brgy. Captain, the area where the floaters were installed is outside the boundary of Brgy. San Antonio.
The Barangay Captain has requested that the trash trap will be transferred to other barangays.</t>
  </si>
  <si>
    <t>R3-2025-037002</t>
  </si>
  <si>
    <t>R3-2025-037003</t>
  </si>
  <si>
    <t xml:space="preserve">According to barangay officials, they are conducting weekly clean-up in the trash trap. </t>
  </si>
  <si>
    <t>R3-2025-033335</t>
  </si>
  <si>
    <t>-	According to barangay, some tools and materials were being used during clean-up operations particularly the boat.</t>
  </si>
  <si>
    <t>R3-2025-033336</t>
  </si>
  <si>
    <t>R3-2025-037005</t>
  </si>
  <si>
    <t>R3-2025-033337</t>
  </si>
  <si>
    <t xml:space="preserve">-	According to MENRO-staff, some tools and materials were being used during clean-up operations. </t>
  </si>
  <si>
    <t>14.978734,120.6940286</t>
  </si>
  <si>
    <t>R3-2025-037004</t>
  </si>
  <si>
    <t>Approx 15</t>
  </si>
  <si>
    <t>R3-2025-033338</t>
  </si>
  <si>
    <t>-	According to MENRO-staff, some tools and materials were being used during clean-up operations particularly the boat.</t>
  </si>
  <si>
    <t>R3-2025-033339</t>
  </si>
  <si>
    <t xml:space="preserve">-	According to MENRO-staff, some tools and materials were being used during clean-up operations particularly the boat. </t>
  </si>
  <si>
    <t>Brgy. Cangatba</t>
  </si>
  <si>
    <t>15.072355,120.542015</t>
  </si>
  <si>
    <t>R3-2025-024030</t>
  </si>
  <si>
    <t>The Barangay Admin also mentioned that the trash trap might have been carried away during the strong typhoon.</t>
  </si>
  <si>
    <t>R3-2025-024032</t>
  </si>
  <si>
    <t>R3-2025-024203</t>
  </si>
  <si>
    <t>According to Barangay Secretary, the floaters were supposed to re-install again along the river. However, due to frequent rains, the floaters were still in placed of San Juan bridge.</t>
  </si>
  <si>
    <t>R3-2025-024207</t>
  </si>
  <si>
    <t>The area has two (2) installation sites. Each site has sixteen (16) installed floaters. However, no floaters were seen on the other side of the river.</t>
  </si>
  <si>
    <t>R3-2025-031236</t>
  </si>
  <si>
    <t>The trash traps were currently detached due to high level of water caused by frequent rains.
According to Barangay, the trash trap will be installed again when the water level is low.</t>
  </si>
  <si>
    <t xml:space="preserve">R3-2025-031234	</t>
  </si>
  <si>
    <t>-	The undersigned recommend to conduct regular clean-up to the area and properly place the floaters.
-	To revisit the Memorandum of Agreement specifically the roles and responsibilities of the LGU/barangay regarding the proper operation of trash trap. 
-	Also, the undersigned advice the barangay to provide logbook for the volume of waste collected in the area for every clean-up activity.
-	To submit monitoring report to DENR EMB Region 3 based on the Annex A template provided (to be accomplished by the LGU/Barangay).\</t>
  </si>
  <si>
    <t>R3-2025-026938</t>
  </si>
  <si>
    <t>-	According to Barangay Secretary some tools and materials were being used during clean-up operations but some tools and materials were not presented during inspection. However, the photos were sent thru messenger.
-	The brgy. Secretary mentioned that the plastic boat and other materials will be sent thru messenger. She also mentioned that she doesn’t know where is the piece of the waste lifter but she will coordinate to other staffs regarding this matter.</t>
  </si>
  <si>
    <t>R3-2025-026941</t>
  </si>
  <si>
    <t>-	According to Barangay Secretary some tools and materials were being used during clean-up operations but some tools and materials were not presented during inspection.
-	The photo showing the tools and materials was just sent by the Brgy. Secretary thru messenger</t>
  </si>
  <si>
    <t>R3-2025-026940</t>
  </si>
  <si>
    <t>-	According to Barangay Secretary some tools and materials were being used during clean-up operations but some tools and materials were not presented during inspection.
-	The photos of waste lifters, boats, and some tools and materials were sent thru messenger.</t>
  </si>
  <si>
    <t>R3-2025-026943</t>
  </si>
  <si>
    <t>-	According to Barangay Secretary some tools and materials were being used during clean-up operations but some tools and materials were not presented during inspection. 
-	According to brgy. Secretary, the plastic boats were used but not presented during the inspection since it was placed in a farm.</t>
  </si>
  <si>
    <t>R3-2025-026942</t>
  </si>
  <si>
    <t>The barangay is requested to re attach the floaters and provide logbook for the volume of waste collected to the area.</t>
  </si>
  <si>
    <t>2015 Population</t>
  </si>
  <si>
    <t>2020 Population</t>
  </si>
  <si>
    <t>Technical Assisstance</t>
  </si>
  <si>
    <t>Year Monitored</t>
  </si>
  <si>
    <t>Date conducted Technical Assistance</t>
  </si>
  <si>
    <t>Date Submitted to IIS (EnMO)</t>
  </si>
  <si>
    <t>Type of Facility</t>
  </si>
  <si>
    <t>Status</t>
  </si>
  <si>
    <t>Interventions conducted</t>
  </si>
  <si>
    <t>Date of TC (if applicable)</t>
  </si>
  <si>
    <t>Baler (Capital)</t>
  </si>
  <si>
    <t>Barangay I (Pob.)</t>
  </si>
  <si>
    <t>CONDUCTED TECHNICAL ASSISTANCE</t>
  </si>
  <si>
    <t>March 1, 2024</t>
  </si>
  <si>
    <t>Technical Assistance</t>
  </si>
  <si>
    <t>Barangay II (Pob.)</t>
  </si>
  <si>
    <t>May 8, 2024</t>
  </si>
  <si>
    <t>Barangay III (Pob.)</t>
  </si>
  <si>
    <t>Barangay IV (Pob.)</t>
  </si>
  <si>
    <t>Barangay V (Pob.)</t>
  </si>
  <si>
    <t>July 9, 2024</t>
  </si>
  <si>
    <t>July 5, 2024</t>
  </si>
  <si>
    <t>Obligacion</t>
  </si>
  <si>
    <t>July 15, 2024</t>
  </si>
  <si>
    <t>March</t>
  </si>
  <si>
    <t>R3-2024-025283
R3-2025-003933</t>
  </si>
  <si>
    <t>15-Jul-24
5-Feb-25</t>
  </si>
  <si>
    <t>16-Jul-24
20-Feb-25</t>
  </si>
  <si>
    <t>16-Jul-24
28-Feb-25</t>
  </si>
  <si>
    <t>Reserva</t>
  </si>
  <si>
    <t>February 6, 2024</t>
  </si>
  <si>
    <t>Suclayin</t>
  </si>
  <si>
    <t>January</t>
  </si>
  <si>
    <t xml:space="preserve">R3-2025-001401 </t>
  </si>
  <si>
    <t>Queenyvelle Laguisma</t>
  </si>
  <si>
    <t>Barangay 1 (Pob.)</t>
  </si>
  <si>
    <t>February 7, 2024</t>
  </si>
  <si>
    <t>Barangay 2 (Pob.)</t>
  </si>
  <si>
    <t>Barangay 3 (Pob.)</t>
  </si>
  <si>
    <t>February 16, 2024</t>
  </si>
  <si>
    <t>Barangay 4 (Pob.)</t>
  </si>
  <si>
    <t>Barangay 5 (Pob.)</t>
  </si>
  <si>
    <t>Barangay 6 (Pob.)</t>
  </si>
  <si>
    <t>Barangay 7 (Pob.)</t>
  </si>
  <si>
    <t>Barangay 8 (Pob.)</t>
  </si>
  <si>
    <t>Bianoan</t>
  </si>
  <si>
    <t>Calabgan</t>
  </si>
  <si>
    <t>March 12, 2024</t>
  </si>
  <si>
    <t>Calangcuasan</t>
  </si>
  <si>
    <t>Cozo</t>
  </si>
  <si>
    <t>Culat</t>
  </si>
  <si>
    <t>Dibacong</t>
  </si>
  <si>
    <t>Dibet</t>
  </si>
  <si>
    <t>Ditinagyan</t>
  </si>
  <si>
    <t>Esperanza</t>
  </si>
  <si>
    <t>Esteves</t>
  </si>
  <si>
    <t>Lual</t>
  </si>
  <si>
    <t>2024
2025</t>
  </si>
  <si>
    <t>16-Apr-24
12-Feb-25</t>
  </si>
  <si>
    <t>R3-2024-014192
R3-2025-005130</t>
  </si>
  <si>
    <t>17-Apr-24
28-Feb-25</t>
  </si>
  <si>
    <t>17-Apr-24
5-Mar-25</t>
  </si>
  <si>
    <t>Marikit</t>
  </si>
  <si>
    <t>Tabas</t>
  </si>
  <si>
    <t>Tinib</t>
  </si>
  <si>
    <t>Diagyan</t>
  </si>
  <si>
    <t>February</t>
  </si>
  <si>
    <t>R3-2025-003955</t>
  </si>
  <si>
    <t>Dicabasan</t>
  </si>
  <si>
    <t>Dilaguidi</t>
  </si>
  <si>
    <t>Dimaseset</t>
  </si>
  <si>
    <t>Diniog</t>
  </si>
  <si>
    <t>Lawang</t>
  </si>
  <si>
    <t>R3-2025-007479</t>
  </si>
  <si>
    <t>Maligaya (Pob.)</t>
  </si>
  <si>
    <t>Manggitahan</t>
  </si>
  <si>
    <t>Masagana (Pob.)</t>
  </si>
  <si>
    <t>Ura</t>
  </si>
  <si>
    <t>April</t>
  </si>
  <si>
    <t>R3-2025-011897</t>
  </si>
  <si>
    <t>Abuleg</t>
  </si>
  <si>
    <t>Ditawini</t>
  </si>
  <si>
    <t>Mapalad</t>
  </si>
  <si>
    <t>Nipoo</t>
  </si>
  <si>
    <t>10-Oct-24
14-Feb-25</t>
  </si>
  <si>
    <t>R3-2024-036436
R3-2025-005426</t>
  </si>
  <si>
    <t>11-Oct-24
5-Mar-25</t>
  </si>
  <si>
    <t>15-Oct-24
5-Mar-25</t>
  </si>
  <si>
    <t>Paleg</t>
  </si>
  <si>
    <t>12-Apr-24
7-Feb-25</t>
  </si>
  <si>
    <t>R3-2024-013901
R3-2025-004333</t>
  </si>
  <si>
    <t>15-Jul-24
7-Feb-25</t>
  </si>
  <si>
    <t>Simbahan</t>
  </si>
  <si>
    <t>Zone I (Pob.)</t>
  </si>
  <si>
    <t>March 6, 2024</t>
  </si>
  <si>
    <t>Zone II (Pob.)</t>
  </si>
  <si>
    <t>Aplaya</t>
  </si>
  <si>
    <t>Butas Na Bato</t>
  </si>
  <si>
    <t>Cabog</t>
  </si>
  <si>
    <t>10-Sep-24
5-Feb-25</t>
  </si>
  <si>
    <t>R3-2024-032364
R3-2025-004583</t>
  </si>
  <si>
    <t>10-Sep-24
10-Feb-25</t>
  </si>
  <si>
    <t>11-Sep-24
20-Feb-25</t>
  </si>
  <si>
    <t>11-Sep-24
28-Feb-25</t>
  </si>
  <si>
    <t>Davildavilan</t>
  </si>
  <si>
    <t>March 14, 2024</t>
  </si>
  <si>
    <t>Dikapanikian</t>
  </si>
  <si>
    <t>R3-2025-034983</t>
  </si>
  <si>
    <t>Ibona</t>
  </si>
  <si>
    <t>Paltic</t>
  </si>
  <si>
    <t>10-May-24
14-Feb-25</t>
  </si>
  <si>
    <t>R3-2024-017205
R3-2025-005747</t>
  </si>
  <si>
    <t>13-May-24
17-Feb-25</t>
  </si>
  <si>
    <t>15-May-24
5-Mar-25</t>
  </si>
  <si>
    <t>Bayabas</t>
  </si>
  <si>
    <t>Borlongan</t>
  </si>
  <si>
    <t>Buenavista</t>
  </si>
  <si>
    <t>Calaocan</t>
  </si>
  <si>
    <t>Dianed</t>
  </si>
  <si>
    <t>Diarabasin</t>
  </si>
  <si>
    <t>Dibutunan</t>
  </si>
  <si>
    <t>Dimabuno</t>
  </si>
  <si>
    <t>Ditale</t>
  </si>
  <si>
    <t>Ipil</t>
  </si>
  <si>
    <t>March 15, 2024</t>
  </si>
  <si>
    <t>Laboy</t>
  </si>
  <si>
    <t>Lipit</t>
  </si>
  <si>
    <t>Lobbot</t>
  </si>
  <si>
    <t>Mijares</t>
  </si>
  <si>
    <t>Mucdol</t>
  </si>
  <si>
    <t>11-Sep-24
5-Feb-25</t>
  </si>
  <si>
    <t>R3-2024-032678
R3-2025-004215</t>
  </si>
  <si>
    <t>16-Sep-24
7-Feb-25</t>
  </si>
  <si>
    <t>17-Sep-24
20-Feb-25</t>
  </si>
  <si>
    <t>17-Sep-24
28-Feb-25</t>
  </si>
  <si>
    <t>NO FACILITY</t>
  </si>
  <si>
    <t>CATER BY LGU</t>
  </si>
  <si>
    <t>Puangi</t>
  </si>
  <si>
    <t>Salay</t>
  </si>
  <si>
    <t>Sapangkawayan</t>
  </si>
  <si>
    <t>May</t>
  </si>
  <si>
    <t xml:space="preserve"> R3-2025-016646</t>
  </si>
  <si>
    <t>Diamanen</t>
  </si>
  <si>
    <t>R3-2025-029657</t>
  </si>
  <si>
    <t>Alcala</t>
  </si>
  <si>
    <t>Bagtu</t>
  </si>
  <si>
    <t>Bangco</t>
  </si>
  <si>
    <t>April 11, 2024</t>
  </si>
  <si>
    <t>April 16, 2024</t>
  </si>
  <si>
    <t>Baubo</t>
  </si>
  <si>
    <t>Bayanihan</t>
  </si>
  <si>
    <t>Bazal</t>
  </si>
  <si>
    <t>Cabituculan East</t>
  </si>
  <si>
    <t>Cabituculan West</t>
  </si>
  <si>
    <t>Cadayacan</t>
  </si>
  <si>
    <t>Debucao</t>
  </si>
  <si>
    <t>Decoliat</t>
  </si>
  <si>
    <t>Detailen</t>
  </si>
  <si>
    <t>Diaat</t>
  </si>
  <si>
    <t>Dialatman</t>
  </si>
  <si>
    <t>Diaman</t>
  </si>
  <si>
    <t>Dianawan</t>
  </si>
  <si>
    <t>Dikildit</t>
  </si>
  <si>
    <t>Dimanpudso</t>
  </si>
  <si>
    <t>Diome</t>
  </si>
  <si>
    <t>Estonilo(Sto. Cristo)</t>
  </si>
  <si>
    <t>Florida</t>
  </si>
  <si>
    <t>Galintuja</t>
  </si>
  <si>
    <t>Ponglo</t>
  </si>
  <si>
    <t>R3-2025-036982</t>
  </si>
  <si>
    <t>Quirino</t>
  </si>
  <si>
    <t>Ramada</t>
  </si>
  <si>
    <t>April 3, 2024</t>
  </si>
  <si>
    <t>Santa Lucia</t>
  </si>
  <si>
    <t>Santo Tomas</t>
  </si>
  <si>
    <t>Suguit</t>
  </si>
  <si>
    <t>Villa Aurora</t>
  </si>
  <si>
    <t>Wenceslao</t>
  </si>
  <si>
    <t>Bacong</t>
  </si>
  <si>
    <t>3-Apr-24
13-Feb-25</t>
  </si>
  <si>
    <t>R3-2024-014253
R3-2025-005414</t>
  </si>
  <si>
    <t>17-Apr-24
14-Feb-25</t>
  </si>
  <si>
    <t>25-Apr-24
5-Mar-25</t>
  </si>
  <si>
    <t>Februay 8, 2024</t>
  </si>
  <si>
    <t>Dibalo</t>
  </si>
  <si>
    <t>Dibayabay</t>
  </si>
  <si>
    <t>R3-2025-021616</t>
  </si>
  <si>
    <t>Dibut</t>
  </si>
  <si>
    <t>R3-2025-021668</t>
  </si>
  <si>
    <t>Dikapinisan</t>
  </si>
  <si>
    <t>R3-2025-021600</t>
  </si>
  <si>
    <t>Dimanayat</t>
  </si>
  <si>
    <t>R3-2025-021526</t>
  </si>
  <si>
    <t>Diteki</t>
  </si>
  <si>
    <t>Ditumabo</t>
  </si>
  <si>
    <t>Nonong Senior</t>
  </si>
  <si>
    <t>Real</t>
  </si>
  <si>
    <t>February 13, 2024</t>
  </si>
  <si>
    <t>Zarah</t>
  </si>
  <si>
    <t>Bangkal</t>
  </si>
  <si>
    <t>May 22, 2024</t>
  </si>
  <si>
    <t>Calaylayan (Pob.)</t>
  </si>
  <si>
    <t>February 21, 2024</t>
  </si>
  <si>
    <t>May 02, 2024</t>
  </si>
  <si>
    <t>Gabon</t>
  </si>
  <si>
    <t>March 22, 2024</t>
  </si>
  <si>
    <t>Laon (Pob.)</t>
  </si>
  <si>
    <t>April 17, 2024</t>
  </si>
  <si>
    <t>Mabatang</t>
  </si>
  <si>
    <t>March 28, 2024</t>
  </si>
  <si>
    <t>Omboy</t>
  </si>
  <si>
    <t>Salian</t>
  </si>
  <si>
    <t>July 03, 2024</t>
  </si>
  <si>
    <t>Wawa (Pob.)</t>
  </si>
  <si>
    <t>April 23, 2024</t>
  </si>
  <si>
    <t>Atilano L. Ricardo</t>
  </si>
  <si>
    <t>Bagumbayan (Pob.)</t>
  </si>
  <si>
    <t>October 01, 2024</t>
  </si>
  <si>
    <t>October 04, 2024</t>
  </si>
  <si>
    <t>Binukawan</t>
  </si>
  <si>
    <t>September 20, 2024</t>
  </si>
  <si>
    <t>Ibaba</t>
  </si>
  <si>
    <t>R3-2025-010834</t>
  </si>
  <si>
    <t>Ibis</t>
  </si>
  <si>
    <t>Parang</t>
  </si>
  <si>
    <t>September 11, 2024</t>
  </si>
  <si>
    <t>Paysawan</t>
  </si>
  <si>
    <t>September 26, 2024</t>
  </si>
  <si>
    <t>Saysain</t>
  </si>
  <si>
    <t>Tabing-Ilog (Pob.)</t>
  </si>
  <si>
    <t>City of Balanga (Capital)</t>
  </si>
  <si>
    <t>March 19, 2024</t>
  </si>
  <si>
    <t>Cabog-Cabog</t>
  </si>
  <si>
    <t>June 14, 2024</t>
  </si>
  <si>
    <t>Camacho</t>
  </si>
  <si>
    <t>May 23, 2024</t>
  </si>
  <si>
    <t>Cataning</t>
  </si>
  <si>
    <t>June 07, 2024</t>
  </si>
  <si>
    <t>Central</t>
  </si>
  <si>
    <t>R3-2025-005957</t>
  </si>
  <si>
    <t>Cupang North</t>
  </si>
  <si>
    <t>May 09, 2024</t>
  </si>
  <si>
    <t>Cupang Proper</t>
  </si>
  <si>
    <t>R3-2025-016653</t>
  </si>
  <si>
    <t>Cupang West</t>
  </si>
  <si>
    <t>R3-2025-001998</t>
  </si>
  <si>
    <t>Dangcol</t>
  </si>
  <si>
    <t>R3-2025-010728</t>
  </si>
  <si>
    <t>Doña Francisca</t>
  </si>
  <si>
    <t>Ibayo</t>
  </si>
  <si>
    <t>February 27, 2024</t>
  </si>
  <si>
    <t>Lote</t>
  </si>
  <si>
    <t>June 18, 2024</t>
  </si>
  <si>
    <t>Malabia</t>
  </si>
  <si>
    <t>February 23, 2024</t>
  </si>
  <si>
    <t>February 28, 2024</t>
  </si>
  <si>
    <t>July 02, 2024</t>
  </si>
  <si>
    <t>Pto. Rivas Ibaba</t>
  </si>
  <si>
    <t>March 27, 2024</t>
  </si>
  <si>
    <t>Pto. Rivas Itaas</t>
  </si>
  <si>
    <t>April 03, 2024</t>
  </si>
  <si>
    <t>Sibacan</t>
  </si>
  <si>
    <t>Talisay</t>
  </si>
  <si>
    <t>May 29, 2024</t>
  </si>
  <si>
    <t>City Of Balanga</t>
  </si>
  <si>
    <t>Tanato</t>
  </si>
  <si>
    <t>R3-2025-026555</t>
  </si>
  <si>
    <t>Tenejero</t>
  </si>
  <si>
    <t>May 03, 2024</t>
  </si>
  <si>
    <t>Tortugas</t>
  </si>
  <si>
    <t>October 02, 2024</t>
  </si>
  <si>
    <t>Tuyo</t>
  </si>
  <si>
    <t>April 26, 2024</t>
  </si>
  <si>
    <t>Bilolo</t>
  </si>
  <si>
    <t>R3-2025-031486</t>
  </si>
  <si>
    <t>Aquino</t>
  </si>
  <si>
    <t>Bangal</t>
  </si>
  <si>
    <t>May 21, 2024</t>
  </si>
  <si>
    <t>Gen. Luna (Pob.)</t>
  </si>
  <si>
    <t>R3-2025-030057</t>
  </si>
  <si>
    <t>Bonifacio (Pob.)</t>
  </si>
  <si>
    <t>September 24, 2024</t>
  </si>
  <si>
    <t>Burgos (Pob.)</t>
  </si>
  <si>
    <t>October 08, 2024</t>
  </si>
  <si>
    <t>Colo</t>
  </si>
  <si>
    <t>Daang Bago</t>
  </si>
  <si>
    <t>R3-2025-003340</t>
  </si>
  <si>
    <t>Dalao</t>
  </si>
  <si>
    <t>Del Pilar (Pob.)</t>
  </si>
  <si>
    <t>August 28, 2024</t>
  </si>
  <si>
    <t>Bayan-bayanan</t>
  </si>
  <si>
    <t>R3-2025-035084</t>
  </si>
  <si>
    <t>Gomez (Pob.)</t>
  </si>
  <si>
    <t>September 18, 2024</t>
  </si>
  <si>
    <t>Happy Valley</t>
  </si>
  <si>
    <t>June 20, 2024</t>
  </si>
  <si>
    <t>Jose C. Payumo, Jr.</t>
  </si>
  <si>
    <t>June</t>
  </si>
  <si>
    <t>R3-2025-020177</t>
  </si>
  <si>
    <t>Kataasan</t>
  </si>
  <si>
    <t>Layac</t>
  </si>
  <si>
    <t>Luacan</t>
  </si>
  <si>
    <t>July 11, 2024</t>
  </si>
  <si>
    <t>Mabini Ext. (Pob.)</t>
  </si>
  <si>
    <t>Mabini Proper (Pob.)</t>
  </si>
  <si>
    <t>Padre Dandan (Pob.)</t>
  </si>
  <si>
    <t>R3-2025-031502</t>
  </si>
  <si>
    <t>Magsaysay</t>
  </si>
  <si>
    <t>R3-2025-026574</t>
  </si>
  <si>
    <t>Naparing</t>
  </si>
  <si>
    <t>New San Jose</t>
  </si>
  <si>
    <t>April 02, 2024</t>
  </si>
  <si>
    <t>Old San Jose</t>
  </si>
  <si>
    <t>R3-2025-007071</t>
  </si>
  <si>
    <t>April 22, 2024</t>
  </si>
  <si>
    <t>Payangan</t>
  </si>
  <si>
    <t>June 04, 2024</t>
  </si>
  <si>
    <t>Pentor</t>
  </si>
  <si>
    <t>August 13, 2024</t>
  </si>
  <si>
    <t>R3-2025-025647</t>
  </si>
  <si>
    <t>Pita</t>
  </si>
  <si>
    <t>Rizal (Pob.)</t>
  </si>
  <si>
    <t>Roosevelt</t>
  </si>
  <si>
    <t>Roxas (Pob.)</t>
  </si>
  <si>
    <t>R3-2025-016601</t>
  </si>
  <si>
    <t>Saguing</t>
  </si>
  <si>
    <t>R3-2025-015576</t>
  </si>
  <si>
    <t>Pinulot</t>
  </si>
  <si>
    <t>R3-2025-022302</t>
  </si>
  <si>
    <t>San Isidro (Pob.)</t>
  </si>
  <si>
    <t>August 20, 2024</t>
  </si>
  <si>
    <t>San Pablo</t>
  </si>
  <si>
    <t>San Ramon</t>
  </si>
  <si>
    <t>Santa Isabel</t>
  </si>
  <si>
    <t>R3-2025-018855</t>
  </si>
  <si>
    <t>Santo Niño</t>
  </si>
  <si>
    <t>San Benito</t>
  </si>
  <si>
    <t>R3-2025-034104</t>
  </si>
  <si>
    <t>Torres Bugauen (Pob.)</t>
  </si>
  <si>
    <t>R3-2025-019599</t>
  </si>
  <si>
    <t>Tubo-tubo</t>
  </si>
  <si>
    <t>June 27, 2024</t>
  </si>
  <si>
    <t>Tucop</t>
  </si>
  <si>
    <t>March 07, 2024</t>
  </si>
  <si>
    <t>Zamora (Pob.)</t>
  </si>
  <si>
    <t>September 10, 2024</t>
  </si>
  <si>
    <t>A. Rivera (Pob.)</t>
  </si>
  <si>
    <t>March 08, 2024</t>
  </si>
  <si>
    <t>Almacen</t>
  </si>
  <si>
    <t>April 19, 2024</t>
  </si>
  <si>
    <t>June 21, 2024</t>
  </si>
  <si>
    <t>Balsic</t>
  </si>
  <si>
    <t>May 30, 2024</t>
  </si>
  <si>
    <t>Burgos-Soliman (Pob.)</t>
  </si>
  <si>
    <t>March 13, 2024</t>
  </si>
  <si>
    <t>Cataning (Pob.)</t>
  </si>
  <si>
    <t>February 29, 2024</t>
  </si>
  <si>
    <t>Culis</t>
  </si>
  <si>
    <t>Daungan (Pob.)</t>
  </si>
  <si>
    <t>May 08, 2024</t>
  </si>
  <si>
    <t>Judge Roman Cruz Sr. (Mandama)</t>
  </si>
  <si>
    <t>Mabiga</t>
  </si>
  <si>
    <t>June 25, 2024</t>
  </si>
  <si>
    <t>Mabuco</t>
  </si>
  <si>
    <t>Maite</t>
  </si>
  <si>
    <t>August 14, 2024</t>
  </si>
  <si>
    <t>Mambog - Mandama</t>
  </si>
  <si>
    <t>May 16, 2024</t>
  </si>
  <si>
    <t>Palihan</t>
  </si>
  <si>
    <t>Pandatung</t>
  </si>
  <si>
    <t>July 12, 2024</t>
  </si>
  <si>
    <t>Pulo</t>
  </si>
  <si>
    <t>June 05, 2024</t>
  </si>
  <si>
    <t>Saba</t>
  </si>
  <si>
    <t>Sacrifice Valley</t>
  </si>
  <si>
    <t>San Pedro (Pob.)</t>
  </si>
  <si>
    <t>Santo Cristo (Pob.)</t>
  </si>
  <si>
    <t>Aparil 23, 2024</t>
  </si>
  <si>
    <t>Sumalo</t>
  </si>
  <si>
    <t>August 08, 2024</t>
  </si>
  <si>
    <t>Tipo</t>
  </si>
  <si>
    <t>Duale</t>
  </si>
  <si>
    <t>Kitang 2 &amp; Luz</t>
  </si>
  <si>
    <t>April 05, 2024</t>
  </si>
  <si>
    <t>Kitang I</t>
  </si>
  <si>
    <t>September 06, 2024</t>
  </si>
  <si>
    <t>Lamao</t>
  </si>
  <si>
    <t>Landing</t>
  </si>
  <si>
    <t>August 09, 2024</t>
  </si>
  <si>
    <t>Reformista</t>
  </si>
  <si>
    <t>June 28, 2024</t>
  </si>
  <si>
    <t>San Francisco de Asis</t>
  </si>
  <si>
    <t>St. Francis II</t>
  </si>
  <si>
    <t>Townsite</t>
  </si>
  <si>
    <t>Wawa</t>
  </si>
  <si>
    <t>August 30, 2024</t>
  </si>
  <si>
    <t>Sapang Balas</t>
  </si>
  <si>
    <t>R3-2025-023842</t>
  </si>
  <si>
    <t>Alas-asin</t>
  </si>
  <si>
    <t>R3-2025-004655</t>
  </si>
  <si>
    <t>R3-2025-014306</t>
  </si>
  <si>
    <t>R3-2025-030919</t>
  </si>
  <si>
    <t>R3-2025-035299</t>
  </si>
  <si>
    <t>Batangas II</t>
  </si>
  <si>
    <t>R3-2025-010807</t>
  </si>
  <si>
    <t>Biaan</t>
  </si>
  <si>
    <t>Cabcaben</t>
  </si>
  <si>
    <t>Camaya</t>
  </si>
  <si>
    <t>R3-2025-007213</t>
  </si>
  <si>
    <t>Baseco Country</t>
  </si>
  <si>
    <t>R3-2025-023329</t>
  </si>
  <si>
    <t>R3-2025-026615</t>
  </si>
  <si>
    <t>Lucanin</t>
  </si>
  <si>
    <t>R3-2025-035295</t>
  </si>
  <si>
    <t>Mt. View</t>
  </si>
  <si>
    <t>October 10, 2024</t>
  </si>
  <si>
    <t>R3-2025-001880</t>
  </si>
  <si>
    <t>San Carlos</t>
  </si>
  <si>
    <t>R3-2025-029091</t>
  </si>
  <si>
    <t>R3-2025-034285</t>
  </si>
  <si>
    <t>Sisiman</t>
  </si>
  <si>
    <t>R3-2025-023338</t>
  </si>
  <si>
    <t>R3-2025-006501</t>
  </si>
  <si>
    <t>R3-2025-035297</t>
  </si>
  <si>
    <t>Nagbalayong</t>
  </si>
  <si>
    <t>September 19, 2024</t>
  </si>
  <si>
    <t>Apollo</t>
  </si>
  <si>
    <t>April 24, 2024</t>
  </si>
  <si>
    <t>Bagong Paraiso (Pob.)</t>
  </si>
  <si>
    <t>Balut (Pob.)</t>
  </si>
  <si>
    <t>May 24, 2024</t>
  </si>
  <si>
    <t>Bayan (Pob.)</t>
  </si>
  <si>
    <t>Calero (Pob.)</t>
  </si>
  <si>
    <t>Centro I (Pob.)</t>
  </si>
  <si>
    <t>May 14, 2024</t>
  </si>
  <si>
    <t>Centro II (Pob.)</t>
  </si>
  <si>
    <t>June 26, 2024</t>
  </si>
  <si>
    <t>Dona</t>
  </si>
  <si>
    <t>July 05, 2024</t>
  </si>
  <si>
    <t>Kabalutan</t>
  </si>
  <si>
    <t>R3-2025-002003</t>
  </si>
  <si>
    <t>Kaparangan</t>
  </si>
  <si>
    <t>technical Assistance</t>
  </si>
  <si>
    <t>Maria Fe</t>
  </si>
  <si>
    <t>July 09, 2024</t>
  </si>
  <si>
    <t>Mulawin</t>
  </si>
  <si>
    <t>February 22, 2024</t>
  </si>
  <si>
    <t>August 01, 2024</t>
  </si>
  <si>
    <t>Paking-Carbonero (Pob.)</t>
  </si>
  <si>
    <t>August 22, 2024</t>
  </si>
  <si>
    <t>Palihan (Pob.)</t>
  </si>
  <si>
    <t>Pantalan Bago (Pob.)</t>
  </si>
  <si>
    <t>Pantalan Luma (Pob.)</t>
  </si>
  <si>
    <t>Parang Parang (Pob.)</t>
  </si>
  <si>
    <t>Puksuan</t>
  </si>
  <si>
    <t>June 07, 22024</t>
  </si>
  <si>
    <t>Sibul</t>
  </si>
  <si>
    <t>Silahis</t>
  </si>
  <si>
    <t>September 04, 2024</t>
  </si>
  <si>
    <t>Tala</t>
  </si>
  <si>
    <t>Talimundoc</t>
  </si>
  <si>
    <t>March 20, 2024</t>
  </si>
  <si>
    <t>Tapulao</t>
  </si>
  <si>
    <t>Tenejero (Pob.)</t>
  </si>
  <si>
    <t>April 30, 2024</t>
  </si>
  <si>
    <t>Tugatog</t>
  </si>
  <si>
    <t>May 10, 2024</t>
  </si>
  <si>
    <t>R3-2025-023347</t>
  </si>
  <si>
    <t>Arellano (Pob.)</t>
  </si>
  <si>
    <t>September 25, 2024</t>
  </si>
  <si>
    <t>Balagtas (Pob.)</t>
  </si>
  <si>
    <t>October 03, 2024</t>
  </si>
  <si>
    <t>Bantan</t>
  </si>
  <si>
    <t>Calungusan</t>
  </si>
  <si>
    <t>August 15, 2024</t>
  </si>
  <si>
    <t>Daang Bago (Pob.)</t>
  </si>
  <si>
    <t>Daang Bilolo (Pob.)</t>
  </si>
  <si>
    <t>Daang Pare</t>
  </si>
  <si>
    <t>R3-2025-012953</t>
  </si>
  <si>
    <t>Kapunitan</t>
  </si>
  <si>
    <t>August 29, 2024</t>
  </si>
  <si>
    <t>Lati (Pob.)</t>
  </si>
  <si>
    <t>Lusungan (Pob.)</t>
  </si>
  <si>
    <t>Puting Buhangin</t>
  </si>
  <si>
    <t>Sabatan</t>
  </si>
  <si>
    <t>R3-2025-019682</t>
  </si>
  <si>
    <t>San Vicente (Pob.)</t>
  </si>
  <si>
    <t>March 05, 2024</t>
  </si>
  <si>
    <t>Santa Elena</t>
  </si>
  <si>
    <t>September 05, 2024</t>
  </si>
  <si>
    <t>Villa Angeles (Pob.)</t>
  </si>
  <si>
    <t>Wakas (Pob.)</t>
  </si>
  <si>
    <t>February 20, 2024</t>
  </si>
  <si>
    <t>Ala-uli</t>
  </si>
  <si>
    <t>July 04, 2024</t>
  </si>
  <si>
    <t>June 06, 2024</t>
  </si>
  <si>
    <t>Balut I</t>
  </si>
  <si>
    <t>Balut II</t>
  </si>
  <si>
    <t>July 31, 2024</t>
  </si>
  <si>
    <t>Bantan Munti</t>
  </si>
  <si>
    <t>May 31, 2024</t>
  </si>
  <si>
    <t>Del Rosario (Pob.)</t>
  </si>
  <si>
    <t>April 25, 2024</t>
  </si>
  <si>
    <t>Diwa</t>
  </si>
  <si>
    <t>August 21, 2024</t>
  </si>
  <si>
    <t>Liyang</t>
  </si>
  <si>
    <t>Nagwaling</t>
  </si>
  <si>
    <t>Panilao</t>
  </si>
  <si>
    <t>Pantingan</t>
  </si>
  <si>
    <t>March 21, 2024</t>
  </si>
  <si>
    <t>Wakas North</t>
  </si>
  <si>
    <t>Wakas South</t>
  </si>
  <si>
    <t>June 19, 2024</t>
  </si>
  <si>
    <t>East Calaguiman (Pob.)</t>
  </si>
  <si>
    <t>East Daang Bago (Pob.)</t>
  </si>
  <si>
    <t>Gugo</t>
  </si>
  <si>
    <t>Ibaba (Pob.)</t>
  </si>
  <si>
    <t>April 04, 2024</t>
  </si>
  <si>
    <t>Imelda</t>
  </si>
  <si>
    <t>Lalawigan</t>
  </si>
  <si>
    <t>Palili</t>
  </si>
  <si>
    <t>San Juan (Pob.)</t>
  </si>
  <si>
    <t>April 18, 2024</t>
  </si>
  <si>
    <t>San Roque (Pob.)</t>
  </si>
  <si>
    <t>Sapa</t>
  </si>
  <si>
    <t>March 26, 2024</t>
  </si>
  <si>
    <t>Tabing Ilog</t>
  </si>
  <si>
    <t>West Calaguiman (Pob.)</t>
  </si>
  <si>
    <t>May 17, 2024</t>
  </si>
  <si>
    <t>West Daang Bago (Pob.)</t>
  </si>
  <si>
    <t>Donacion</t>
  </si>
  <si>
    <t>R3-2025-031081</t>
  </si>
  <si>
    <t>Banaban</t>
  </si>
  <si>
    <t>R3-2025-016519</t>
  </si>
  <si>
    <t>Baybay</t>
  </si>
  <si>
    <t>R3-2025-016518 </t>
  </si>
  <si>
    <t>R3-2025-016517 </t>
  </si>
  <si>
    <t>Marungko</t>
  </si>
  <si>
    <t>R3-2025-031082</t>
  </si>
  <si>
    <t>Encanto</t>
  </si>
  <si>
    <t>R3-2025-037534</t>
  </si>
  <si>
    <t>Laog</t>
  </si>
  <si>
    <t>R3-2025-037536</t>
  </si>
  <si>
    <t>Niugan</t>
  </si>
  <si>
    <t>R3-2025-031079</t>
  </si>
  <si>
    <t>Santa Cruz (Pob.)</t>
  </si>
  <si>
    <t>R3-2025-031085</t>
  </si>
  <si>
    <t>Paltok</t>
  </si>
  <si>
    <t>R3-2025-027546</t>
  </si>
  <si>
    <t>Pulong Yantok</t>
  </si>
  <si>
    <t>R3-2025-037535</t>
  </si>
  <si>
    <t>R3-2025-027549</t>
  </si>
  <si>
    <t>R3-2025-031083</t>
  </si>
  <si>
    <t>R3-2025-031086</t>
  </si>
  <si>
    <t>Sulucan</t>
  </si>
  <si>
    <t>R3-2025-027548</t>
  </si>
  <si>
    <t>Taboc</t>
  </si>
  <si>
    <t>R3-2025-027547</t>
  </si>
  <si>
    <t>Borol 2nd</t>
  </si>
  <si>
    <t>Panginay</t>
  </si>
  <si>
    <t>Pulong Gubat</t>
  </si>
  <si>
    <t>Baliuag</t>
  </si>
  <si>
    <t>Bagong Nayon</t>
  </si>
  <si>
    <t>NO TECHNICAL ASSISTANCE CONDUCTED</t>
  </si>
  <si>
    <t>Barangca</t>
  </si>
  <si>
    <t>Calantipay</t>
  </si>
  <si>
    <t>R3-2025-037314</t>
  </si>
  <si>
    <t>Catulinan</t>
  </si>
  <si>
    <t>R3-2025-037312</t>
  </si>
  <si>
    <t>Hinukay</t>
  </si>
  <si>
    <t>Makinabang</t>
  </si>
  <si>
    <t>R3-2025-034064</t>
  </si>
  <si>
    <t>Matangtubig</t>
  </si>
  <si>
    <t>R3-2025-037318</t>
  </si>
  <si>
    <t>Pagala</t>
  </si>
  <si>
    <t>Paitan</t>
  </si>
  <si>
    <t>Piel</t>
  </si>
  <si>
    <t>Pinagbarilan</t>
  </si>
  <si>
    <t xml:space="preserve">October </t>
  </si>
  <si>
    <t>R3-2025-034057</t>
  </si>
  <si>
    <t>R3-2025-034060</t>
  </si>
  <si>
    <t>R3-2025-034063</t>
  </si>
  <si>
    <t>San Roque</t>
  </si>
  <si>
    <t>Santa Barbara</t>
  </si>
  <si>
    <t>R3-2025-034062</t>
  </si>
  <si>
    <t>Santo Cristo</t>
  </si>
  <si>
    <t>R3-2025-001270</t>
  </si>
  <si>
    <t>Sulivan</t>
  </si>
  <si>
    <t>Tangos</t>
  </si>
  <si>
    <t>Tarcan</t>
  </si>
  <si>
    <t>R3-2025-037311</t>
  </si>
  <si>
    <t>Tiaong</t>
  </si>
  <si>
    <t>R3-2025-034059</t>
  </si>
  <si>
    <t>Tilapayong</t>
  </si>
  <si>
    <t>Virgen delas Flores</t>
  </si>
  <si>
    <t>Antipona</t>
  </si>
  <si>
    <t xml:space="preserve">September </t>
  </si>
  <si>
    <t>R3-2025-031074</t>
  </si>
  <si>
    <t>R3-2025-031303</t>
  </si>
  <si>
    <t>Bambang</t>
  </si>
  <si>
    <t>R3-2025-031263</t>
  </si>
  <si>
    <t>R3-2025-031302</t>
  </si>
  <si>
    <t>Bolacan</t>
  </si>
  <si>
    <t>R3-2025-031076</t>
  </si>
  <si>
    <t>Biñang 1st</t>
  </si>
  <si>
    <t>R3-2025-027519</t>
  </si>
  <si>
    <t>Biñang 2nd</t>
  </si>
  <si>
    <t>R3-2025-019787</t>
  </si>
  <si>
    <t>Bunlo</t>
  </si>
  <si>
    <t>R3-2025-031264</t>
  </si>
  <si>
    <t>R3-2025-019793</t>
  </si>
  <si>
    <t>R3-2025-031260</t>
  </si>
  <si>
    <t>R3-2025-027518</t>
  </si>
  <si>
    <t>Duhat</t>
  </si>
  <si>
    <t>R3-2025-019788</t>
  </si>
  <si>
    <t>R3-2025-019790</t>
  </si>
  <si>
    <t xml:space="preserve">                  </t>
  </si>
  <si>
    <t>Lolomboy</t>
  </si>
  <si>
    <t>R3-2025-019998</t>
  </si>
  <si>
    <t>R3-2025-031262</t>
  </si>
  <si>
    <t>Tambobong</t>
  </si>
  <si>
    <t>R3-2025-031072</t>
  </si>
  <si>
    <t>Taal</t>
  </si>
  <si>
    <t>R3-2025-027517</t>
  </si>
  <si>
    <t>Turo</t>
  </si>
  <si>
    <t>R3-2025-031077</t>
  </si>
  <si>
    <t>Wakas</t>
  </si>
  <si>
    <t>R3-2025-027520</t>
  </si>
  <si>
    <t>Balubad</t>
  </si>
  <si>
    <t>Maysantol</t>
  </si>
  <si>
    <t>Perez</t>
  </si>
  <si>
    <t>Pitpitan</t>
  </si>
  <si>
    <t>San Francisco</t>
  </si>
  <si>
    <t>San Jose (Pob.)</t>
  </si>
  <si>
    <t>Santa Ana</t>
  </si>
  <si>
    <t>Santa Ines</t>
  </si>
  <si>
    <t>Taliptip</t>
  </si>
  <si>
    <t>Tibig</t>
  </si>
  <si>
    <t>R3-2025-031331</t>
  </si>
  <si>
    <t>Bonga Mayor</t>
  </si>
  <si>
    <t>R3-2025-005549</t>
  </si>
  <si>
    <t xml:space="preserve"> R3-2025-005548</t>
  </si>
  <si>
    <t>Buisan</t>
  </si>
  <si>
    <t>R3-2025-005898</t>
  </si>
  <si>
    <t>Camachilihan</t>
  </si>
  <si>
    <t>Cambaog</t>
  </si>
  <si>
    <t>Liciada</t>
  </si>
  <si>
    <t>R3-2025-031333</t>
  </si>
  <si>
    <t>Malawak</t>
  </si>
  <si>
    <t>R3-2025-031332</t>
  </si>
  <si>
    <t>Malamig</t>
  </si>
  <si>
    <t>Talampas</t>
  </si>
  <si>
    <t>Tibagan</t>
  </si>
  <si>
    <t>Balite</t>
  </si>
  <si>
    <t>Balungao</t>
  </si>
  <si>
    <t>R3-2025-016516 </t>
  </si>
  <si>
    <t>Buguion</t>
  </si>
  <si>
    <t>R3-2025-008813</t>
  </si>
  <si>
    <t>Bulusan</t>
  </si>
  <si>
    <t>Calumpang</t>
  </si>
  <si>
    <t>R3-2025-034399</t>
  </si>
  <si>
    <t>Caniogan</t>
  </si>
  <si>
    <t>R3-2025-027870</t>
  </si>
  <si>
    <t>Corazon</t>
  </si>
  <si>
    <t>R3-2025-027868</t>
  </si>
  <si>
    <t>Frances</t>
  </si>
  <si>
    <t>Gatbuca</t>
  </si>
  <si>
    <t>R3-2025-008815</t>
  </si>
  <si>
    <t>Iba Este</t>
  </si>
  <si>
    <t>R3-2025-027871</t>
  </si>
  <si>
    <t>Iba O'Este</t>
  </si>
  <si>
    <t>Meysulao</t>
  </si>
  <si>
    <t>Meyto</t>
  </si>
  <si>
    <t>Palimbang</t>
  </si>
  <si>
    <t>R3-2025-027873</t>
  </si>
  <si>
    <t>Panducot</t>
  </si>
  <si>
    <t>Pio Cruzcosa</t>
  </si>
  <si>
    <t>R3-2025-008814</t>
  </si>
  <si>
    <t>Pungo</t>
  </si>
  <si>
    <t>R3-2025-034398</t>
  </si>
  <si>
    <t>San Marcos</t>
  </si>
  <si>
    <t>R3-2025-027867</t>
  </si>
  <si>
    <t>R3-2025-034397</t>
  </si>
  <si>
    <t>Sergio Bayan</t>
  </si>
  <si>
    <t>Sucol</t>
  </si>
  <si>
    <t>R3-2025-034396</t>
  </si>
  <si>
    <t>City of Malolos (Capital)</t>
  </si>
  <si>
    <t>Barihan</t>
  </si>
  <si>
    <t>R3-2025-031006</t>
  </si>
  <si>
    <t>Anilao</t>
  </si>
  <si>
    <t>R3-2025-004157</t>
  </si>
  <si>
    <t>Atlag</t>
  </si>
  <si>
    <t>R3-2025-008017</t>
  </si>
  <si>
    <t>Babatnin</t>
  </si>
  <si>
    <t>Bagna</t>
  </si>
  <si>
    <t>Bagong Bayan</t>
  </si>
  <si>
    <t>R3-2025-034961</t>
  </si>
  <si>
    <t>Balayong</t>
  </si>
  <si>
    <t>R3-2025-034962</t>
  </si>
  <si>
    <t>R3-2025-033487</t>
  </si>
  <si>
    <t>Guinhawa</t>
  </si>
  <si>
    <t>R3-2025-031008</t>
  </si>
  <si>
    <t>Bungahan</t>
  </si>
  <si>
    <t>Calero</t>
  </si>
  <si>
    <t>Caliligawan</t>
  </si>
  <si>
    <t>Canalate</t>
  </si>
  <si>
    <t>Forwarded to Ms. Diozelle</t>
  </si>
  <si>
    <t>Catmon</t>
  </si>
  <si>
    <t>Cofradia</t>
  </si>
  <si>
    <t>Dakila</t>
  </si>
  <si>
    <t>R3-2025-037820</t>
  </si>
  <si>
    <t>Pinagbakahan</t>
  </si>
  <si>
    <t>R3-2025-031005</t>
  </si>
  <si>
    <t>Ligas</t>
  </si>
  <si>
    <t>R3-2025-024072</t>
  </si>
  <si>
    <t>Look 1st</t>
  </si>
  <si>
    <t>R3-2025-034958</t>
  </si>
  <si>
    <t>Look 2nd</t>
  </si>
  <si>
    <t>R3-2025-033488</t>
  </si>
  <si>
    <t>Lugam</t>
  </si>
  <si>
    <t>R3-2025-034960</t>
  </si>
  <si>
    <t>Mabolo</t>
  </si>
  <si>
    <t>R3-2025-027668</t>
  </si>
  <si>
    <t>Masile</t>
  </si>
  <si>
    <t>Matimbo</t>
  </si>
  <si>
    <t>R3-2025-027670</t>
  </si>
  <si>
    <t>Mojon</t>
  </si>
  <si>
    <t>Namayan</t>
  </si>
  <si>
    <t>Pamarawan</t>
  </si>
  <si>
    <t>Panasahan</t>
  </si>
  <si>
    <t>R3-2025-008016</t>
  </si>
  <si>
    <t>ISSUANCE OF TC</t>
  </si>
  <si>
    <t>Santisima Trinidad</t>
  </si>
  <si>
    <t>R3-2025-031004</t>
  </si>
  <si>
    <t>San Agustin</t>
  </si>
  <si>
    <t>San Gabriel</t>
  </si>
  <si>
    <t>R3-2025-024073</t>
  </si>
  <si>
    <t>R3-2025-033491</t>
  </si>
  <si>
    <t>Santo Niño (Pob.)</t>
  </si>
  <si>
    <t>R3-2025-033493</t>
  </si>
  <si>
    <t>Santo Rosario (Pob.)</t>
  </si>
  <si>
    <t>R3-2025-033528</t>
  </si>
  <si>
    <t>R3-2025-027667</t>
  </si>
  <si>
    <t>Sumapang Bata</t>
  </si>
  <si>
    <t>Sumapang Matanda</t>
  </si>
  <si>
    <t>R3-2025-027669</t>
  </si>
  <si>
    <t>Tikay</t>
  </si>
  <si>
    <t>City of Meycauayan</t>
  </si>
  <si>
    <t>Bagbaguin</t>
  </si>
  <si>
    <t>R3-2025-012448</t>
  </si>
  <si>
    <t>Bahay Pare</t>
  </si>
  <si>
    <t>Bancal</t>
  </si>
  <si>
    <t>Banga</t>
  </si>
  <si>
    <t>R3-2025-012449</t>
  </si>
  <si>
    <t>Bayugo</t>
  </si>
  <si>
    <t>Calvario</t>
  </si>
  <si>
    <t>Camalig</t>
  </si>
  <si>
    <t>R3-2025-016531 </t>
  </si>
  <si>
    <t>Hulo</t>
  </si>
  <si>
    <t>R3-2025-016463</t>
  </si>
  <si>
    <t>Langka</t>
  </si>
  <si>
    <t>R3-2025-008935</t>
  </si>
  <si>
    <t>Lawa</t>
  </si>
  <si>
    <t>R3-2025-008938</t>
  </si>
  <si>
    <t>Libtong</t>
  </si>
  <si>
    <t>R3-2025-008939</t>
  </si>
  <si>
    <t>Liputan</t>
  </si>
  <si>
    <t>Malhacan</t>
  </si>
  <si>
    <t>Pandayan</t>
  </si>
  <si>
    <t>R3-2025-001387</t>
  </si>
  <si>
    <t>Saint Francis (Gasak)</t>
  </si>
  <si>
    <t>R3-2025-027619</t>
  </si>
  <si>
    <t>R3-2025-027620</t>
  </si>
  <si>
    <t>Ubihan</t>
  </si>
  <si>
    <t>R3-2025-027617</t>
  </si>
  <si>
    <t>Zamora</t>
  </si>
  <si>
    <t>City of San Jose Del Monte</t>
  </si>
  <si>
    <t>Assumption</t>
  </si>
  <si>
    <t>Bagong Buhay</t>
  </si>
  <si>
    <t>R3-2025-024019</t>
  </si>
  <si>
    <t>Bagong Buhay II</t>
  </si>
  <si>
    <t>R3-2025-024131</t>
  </si>
  <si>
    <t>Bagong Buhay III</t>
  </si>
  <si>
    <t>Citrus</t>
  </si>
  <si>
    <t>Ciudad Real</t>
  </si>
  <si>
    <t>Dulong Bayan</t>
  </si>
  <si>
    <t>Fatima</t>
  </si>
  <si>
    <t>Fatima II</t>
  </si>
  <si>
    <t>Fatima III</t>
  </si>
  <si>
    <t>Fatima IV</t>
  </si>
  <si>
    <t>Fatima V</t>
  </si>
  <si>
    <t>Francisco Homes-Guijo</t>
  </si>
  <si>
    <t>Francisco Homes-Mulawin</t>
  </si>
  <si>
    <t>Francisco Homes-Narra</t>
  </si>
  <si>
    <t>Francisco Homes-Yakal</t>
  </si>
  <si>
    <t>Gaya-gaya</t>
  </si>
  <si>
    <t>R3-2025-004778</t>
  </si>
  <si>
    <t>Graceville</t>
  </si>
  <si>
    <t>Gumaoc Central</t>
  </si>
  <si>
    <t>Gumaoc East</t>
  </si>
  <si>
    <t>Gumaoc West</t>
  </si>
  <si>
    <t>Kaybanban</t>
  </si>
  <si>
    <t>R3-2025-004781</t>
  </si>
  <si>
    <t>Kaypian</t>
  </si>
  <si>
    <t>R3-2025-024020</t>
  </si>
  <si>
    <t>Lawang Pari</t>
  </si>
  <si>
    <t>Maharlika</t>
  </si>
  <si>
    <t>Minuyan</t>
  </si>
  <si>
    <t>R3-2025-024021</t>
  </si>
  <si>
    <t>Minuyan II</t>
  </si>
  <si>
    <t>Minuyan IV</t>
  </si>
  <si>
    <t>Minuyan V</t>
  </si>
  <si>
    <t>R3-2025-024022</t>
  </si>
  <si>
    <t>Paradise III</t>
  </si>
  <si>
    <t>Poblacion I</t>
  </si>
  <si>
    <t>San Martin</t>
  </si>
  <si>
    <t>San Martin II</t>
  </si>
  <si>
    <t>San Martin III</t>
  </si>
  <si>
    <t>San Martin IV</t>
  </si>
  <si>
    <t>San Rafael I</t>
  </si>
  <si>
    <t>San Rafael II</t>
  </si>
  <si>
    <t>San Rafael III</t>
  </si>
  <si>
    <t>San Rafael IV</t>
  </si>
  <si>
    <t>San Rafael V</t>
  </si>
  <si>
    <t>Santa Cruz II</t>
  </si>
  <si>
    <t>Santa Cruz III</t>
  </si>
  <si>
    <t>Santa Cruz IV</t>
  </si>
  <si>
    <t>Santa Cruz V</t>
  </si>
  <si>
    <t>Santo Niño II</t>
  </si>
  <si>
    <t>Sapang Palay</t>
  </si>
  <si>
    <t>St. Martin de Porres</t>
  </si>
  <si>
    <t>DRT</t>
  </si>
  <si>
    <t>R3-2025-024007</t>
  </si>
  <si>
    <t>Camachin</t>
  </si>
  <si>
    <t>Kabayunan</t>
  </si>
  <si>
    <t>Kalawakan</t>
  </si>
  <si>
    <t>Pulong Sampalok</t>
  </si>
  <si>
    <t>R3-2025-024008</t>
  </si>
  <si>
    <t>Sapang Bulak</t>
  </si>
  <si>
    <t>Talbak</t>
  </si>
  <si>
    <t>R3-2025-008762</t>
  </si>
  <si>
    <t>Daungan</t>
  </si>
  <si>
    <t>R3-2025-008763</t>
  </si>
  <si>
    <t>Ilang-Ilang</t>
  </si>
  <si>
    <t>R3-2025-008764</t>
  </si>
  <si>
    <t>Malis</t>
  </si>
  <si>
    <t>R3-2025-008766</t>
  </si>
  <si>
    <t>R3-2025-004431</t>
  </si>
  <si>
    <t>Pritil</t>
  </si>
  <si>
    <t>R3-2025-008765</t>
  </si>
  <si>
    <t>Santa Rita</t>
  </si>
  <si>
    <t>Tabang</t>
  </si>
  <si>
    <t>R3-2025-001382</t>
  </si>
  <si>
    <t>Tabe</t>
  </si>
  <si>
    <t>R3-2025-004430</t>
  </si>
  <si>
    <t>R3-2025-005700</t>
  </si>
  <si>
    <t>Carillo</t>
  </si>
  <si>
    <t>Iba-Ibayo</t>
  </si>
  <si>
    <t>Mercado</t>
  </si>
  <si>
    <t>R3-2025-024069</t>
  </si>
  <si>
    <t>Palapat</t>
  </si>
  <si>
    <t>R3-2025-024070</t>
  </si>
  <si>
    <t>Pugad</t>
  </si>
  <si>
    <t>Sagrada Familia</t>
  </si>
  <si>
    <t>R3-2025-008817</t>
  </si>
  <si>
    <t>R3-2025-008816</t>
  </si>
  <si>
    <t>San Sebastian</t>
  </si>
  <si>
    <t>R3-2025-024071</t>
  </si>
  <si>
    <t>Unable to do site visit due to flooding</t>
  </si>
  <si>
    <t>Santo Rosario</t>
  </si>
  <si>
    <t>Tampok</t>
  </si>
  <si>
    <t>Tibaguin</t>
  </si>
  <si>
    <t>Abangan Norte</t>
  </si>
  <si>
    <t>R3-2025-012450</t>
  </si>
  <si>
    <t>Abangan Sur</t>
  </si>
  <si>
    <t>R3-2025-012452</t>
  </si>
  <si>
    <t>R3-2025-020059</t>
  </si>
  <si>
    <t>R3-2025-020062</t>
  </si>
  <si>
    <t>Lias</t>
  </si>
  <si>
    <t>Loma de Gato</t>
  </si>
  <si>
    <t>R3-2025-016465</t>
  </si>
  <si>
    <t>Nagbalon</t>
  </si>
  <si>
    <t>Patubig</t>
  </si>
  <si>
    <t>R3-2025-016464</t>
  </si>
  <si>
    <t>R3-2025-020060</t>
  </si>
  <si>
    <t>Poblacion II</t>
  </si>
  <si>
    <t>R3-2025-020061</t>
  </si>
  <si>
    <t>R3-2025-027601</t>
  </si>
  <si>
    <t>Prenza II</t>
  </si>
  <si>
    <t>R3-2025-027615 </t>
  </si>
  <si>
    <t>Santa Rosa I</t>
  </si>
  <si>
    <t>Santa Rosa II</t>
  </si>
  <si>
    <t>Saog</t>
  </si>
  <si>
    <t>R3-2025-004788</t>
  </si>
  <si>
    <t>R3-2025-004789</t>
  </si>
  <si>
    <t>R3-2025-008940</t>
  </si>
  <si>
    <t>Baraka</t>
  </si>
  <si>
    <t>R3-2025-008941</t>
  </si>
  <si>
    <t>Bigte</t>
  </si>
  <si>
    <t>Friendship Village Resources</t>
  </si>
  <si>
    <t>Partida</t>
  </si>
  <si>
    <t>Pinagtulayan</t>
  </si>
  <si>
    <t>San Mateo</t>
  </si>
  <si>
    <t>Tigbe</t>
  </si>
  <si>
    <t>Catanghalan</t>
  </si>
  <si>
    <t>R3-2025-008881</t>
  </si>
  <si>
    <t>Paco</t>
  </si>
  <si>
    <t>Pag-asa (Pob.)</t>
  </si>
  <si>
    <t>Paliwas</t>
  </si>
  <si>
    <t>Salambao</t>
  </si>
  <si>
    <t>R3-2025-011419</t>
  </si>
  <si>
    <t>Bagong Barrio</t>
  </si>
  <si>
    <t>Baka-bakahan</t>
  </si>
  <si>
    <t>Bunsuran I</t>
  </si>
  <si>
    <t>R3-2025-019628</t>
  </si>
  <si>
    <t>Bunsuran II</t>
  </si>
  <si>
    <t>Bunsuran III</t>
  </si>
  <si>
    <t>R3-2025-019629</t>
  </si>
  <si>
    <t>Cacarong Bata</t>
  </si>
  <si>
    <t>R3-2025-019630</t>
  </si>
  <si>
    <t>R3-2025-004439</t>
  </si>
  <si>
    <t>Cupang</t>
  </si>
  <si>
    <t>Malibong Bata</t>
  </si>
  <si>
    <t>Malibong Matanda</t>
  </si>
  <si>
    <t>Manatal</t>
  </si>
  <si>
    <t>R3-2025-004437</t>
  </si>
  <si>
    <t>Masagana</t>
  </si>
  <si>
    <t>R3-2025-011418</t>
  </si>
  <si>
    <t>Masuso</t>
  </si>
  <si>
    <t>Pinagkuartelan</t>
  </si>
  <si>
    <t>Real de Cacarong</t>
  </si>
  <si>
    <t>Siling Matanda</t>
  </si>
  <si>
    <t>Pinalagdan</t>
  </si>
  <si>
    <t>R3-2025-026817</t>
  </si>
  <si>
    <t>Binakod</t>
  </si>
  <si>
    <t>Kapitangan</t>
  </si>
  <si>
    <t>R3-2025-012415</t>
  </si>
  <si>
    <t>Masukol</t>
  </si>
  <si>
    <t>R3-2025-026816</t>
  </si>
  <si>
    <t>Malumot</t>
  </si>
  <si>
    <t>San Isidro I</t>
  </si>
  <si>
    <t>R3-2025-019643</t>
  </si>
  <si>
    <t xml:space="preserve">June </t>
  </si>
  <si>
    <t>R3-2025-019642</t>
  </si>
  <si>
    <t>R3-2025-012416</t>
  </si>
  <si>
    <t>Agnaya</t>
  </si>
  <si>
    <t>Banga I</t>
  </si>
  <si>
    <t>Banga II</t>
  </si>
  <si>
    <t>Bintog</t>
  </si>
  <si>
    <t>Culianin</t>
  </si>
  <si>
    <t>Dampol</t>
  </si>
  <si>
    <t>R3-2025-005805</t>
  </si>
  <si>
    <t>Lagundi</t>
  </si>
  <si>
    <t>R3-2025-004433</t>
  </si>
  <si>
    <t>Lalangan</t>
  </si>
  <si>
    <t>Lumang Bayan</t>
  </si>
  <si>
    <t>Parulan</t>
  </si>
  <si>
    <t>R3-2025-027514</t>
  </si>
  <si>
    <t>No Facility</t>
  </si>
  <si>
    <t>Rueda</t>
  </si>
  <si>
    <t>R3-2025-004432</t>
  </si>
  <si>
    <t>Sipat</t>
  </si>
  <si>
    <t>R3-2025-008761</t>
  </si>
  <si>
    <t>Dulong Malabon</t>
  </si>
  <si>
    <t>R3-2025-030552</t>
  </si>
  <si>
    <t>Balatong A</t>
  </si>
  <si>
    <t>R3-2025-016446</t>
  </si>
  <si>
    <t>Balatong B</t>
  </si>
  <si>
    <t>R3-2025-016447</t>
  </si>
  <si>
    <t>Cutcot</t>
  </si>
  <si>
    <t>R3-2025-016449</t>
  </si>
  <si>
    <t>Dampol I</t>
  </si>
  <si>
    <t>R3-2025-024004</t>
  </si>
  <si>
    <t>Dampol II-A</t>
  </si>
  <si>
    <t>R3-2025-024005</t>
  </si>
  <si>
    <t>Dampol II-B</t>
  </si>
  <si>
    <t>Inaon</t>
  </si>
  <si>
    <t>R3-2025-030554</t>
  </si>
  <si>
    <t>Lumbac</t>
  </si>
  <si>
    <t>R3-2025-030551</t>
  </si>
  <si>
    <t>R3-2025-016448</t>
  </si>
  <si>
    <t>Santa Peregrina</t>
  </si>
  <si>
    <t>R3-2025-030553</t>
  </si>
  <si>
    <t>Paltao</t>
  </si>
  <si>
    <t>R3-2025-023562 </t>
  </si>
  <si>
    <t>Penabatan</t>
  </si>
  <si>
    <t>R3-2025-027516</t>
  </si>
  <si>
    <t>Tinejero</t>
  </si>
  <si>
    <t>R3-2025-027515</t>
  </si>
  <si>
    <t>R3-2025-012631</t>
  </si>
  <si>
    <t>R3-2025-012633</t>
  </si>
  <si>
    <t>R3-2025-013042</t>
  </si>
  <si>
    <t>R3-2025-012635</t>
  </si>
  <si>
    <t>Alagao</t>
  </si>
  <si>
    <t>Anyatam</t>
  </si>
  <si>
    <t>Basuit</t>
  </si>
  <si>
    <t>Bubulong Malaki</t>
  </si>
  <si>
    <t>Bubulong Munti</t>
  </si>
  <si>
    <t>Buhol na Mangga</t>
  </si>
  <si>
    <t>Bulusukan</t>
  </si>
  <si>
    <t>Calasag</t>
  </si>
  <si>
    <t>Calawitan</t>
  </si>
  <si>
    <t>Casalat</t>
  </si>
  <si>
    <t>Gabihan</t>
  </si>
  <si>
    <t>Garlang</t>
  </si>
  <si>
    <t>Lapnit</t>
  </si>
  <si>
    <t>Maasim</t>
  </si>
  <si>
    <t>Makapilapil</t>
  </si>
  <si>
    <t>Malipampang</t>
  </si>
  <si>
    <t>Mataas na Parang</t>
  </si>
  <si>
    <t>Matimbubong</t>
  </si>
  <si>
    <t>Nabaong Garlang</t>
  </si>
  <si>
    <t>Pasong Bangkal</t>
  </si>
  <si>
    <t>Pinaod</t>
  </si>
  <si>
    <t>Pulong Tamo</t>
  </si>
  <si>
    <t>Santa Catalina Bata</t>
  </si>
  <si>
    <t>Santa Catalina Matanda</t>
  </si>
  <si>
    <t>Sapang Dayap</t>
  </si>
  <si>
    <t>Sapang Putik</t>
  </si>
  <si>
    <t>Sapang Putol</t>
  </si>
  <si>
    <t>Sumandig</t>
  </si>
  <si>
    <t>Telepatio</t>
  </si>
  <si>
    <t>Umpucan</t>
  </si>
  <si>
    <t>Upig</t>
  </si>
  <si>
    <t>Bagong Pag-asa</t>
  </si>
  <si>
    <t>Balaong</t>
  </si>
  <si>
    <t>Bardias</t>
  </si>
  <si>
    <t>Baritan</t>
  </si>
  <si>
    <t>Batasan Bata</t>
  </si>
  <si>
    <t>Batasan Matanda</t>
  </si>
  <si>
    <t>Biak-na-Bato</t>
  </si>
  <si>
    <t>Biclat</t>
  </si>
  <si>
    <t>Buga</t>
  </si>
  <si>
    <t>Buliran</t>
  </si>
  <si>
    <t>Bulualto</t>
  </si>
  <si>
    <t>Cambio</t>
  </si>
  <si>
    <t>Camias</t>
  </si>
  <si>
    <t>Ilog-Bulo</t>
  </si>
  <si>
    <t>King Kabayo</t>
  </si>
  <si>
    <t>Labne</t>
  </si>
  <si>
    <t>Magmarale</t>
  </si>
  <si>
    <t>Malibay</t>
  </si>
  <si>
    <t>Mandile</t>
  </si>
  <si>
    <t>Masalipit</t>
  </si>
  <si>
    <t>Pacalag</t>
  </si>
  <si>
    <t>Paliwasan</t>
  </si>
  <si>
    <t>Pinambaran</t>
  </si>
  <si>
    <t>Pulong Bayabas</t>
  </si>
  <si>
    <t>Pulong Duhat</t>
  </si>
  <si>
    <t>Sacdalan</t>
  </si>
  <si>
    <t>Salacot</t>
  </si>
  <si>
    <t>Salangan</t>
  </si>
  <si>
    <t>Santa Rita Bata</t>
  </si>
  <si>
    <t>Santa Rita Matanda</t>
  </si>
  <si>
    <t>Sapang</t>
  </si>
  <si>
    <t>Tartaro</t>
  </si>
  <si>
    <t>Tigpalas</t>
  </si>
  <si>
    <t>Banca-banca</t>
  </si>
  <si>
    <t>R3-2025-035058</t>
  </si>
  <si>
    <t>BMA-Balagtas</t>
  </si>
  <si>
    <t>R3-2025-035057</t>
  </si>
  <si>
    <t>Capihan</t>
  </si>
  <si>
    <t>R3-2025-034065</t>
  </si>
  <si>
    <t>Coral na Bato</t>
  </si>
  <si>
    <t>R3-2025-035059</t>
  </si>
  <si>
    <t>Cruz na Daan</t>
  </si>
  <si>
    <t>R3-2025-035060</t>
  </si>
  <si>
    <t>Dagat-dagatan</t>
  </si>
  <si>
    <t>R3-2025-035061</t>
  </si>
  <si>
    <t>Diliman I</t>
  </si>
  <si>
    <t>Diliman II</t>
  </si>
  <si>
    <t>R3-2025-035062</t>
  </si>
  <si>
    <t>Libis</t>
  </si>
  <si>
    <t>R3-2025-035063</t>
  </si>
  <si>
    <t>Lico</t>
  </si>
  <si>
    <t>Mabalas-balas</t>
  </si>
  <si>
    <t>Maguinao</t>
  </si>
  <si>
    <t>Maronguillo</t>
  </si>
  <si>
    <t>Pansumaloc</t>
  </si>
  <si>
    <t>Pantubig</t>
  </si>
  <si>
    <t>Pasong Callos</t>
  </si>
  <si>
    <t>Pasong Intsik</t>
  </si>
  <si>
    <t>Pinacpinacan</t>
  </si>
  <si>
    <t>Salapungan</t>
  </si>
  <si>
    <t>Sampaloc</t>
  </si>
  <si>
    <t>Sapang Pahalang</t>
  </si>
  <si>
    <t>Talacsan</t>
  </si>
  <si>
    <t>Tambubong</t>
  </si>
  <si>
    <t>Tukod</t>
  </si>
  <si>
    <t>Ulingao</t>
  </si>
  <si>
    <t>Balasing</t>
  </si>
  <si>
    <t>R3-2025-027623</t>
  </si>
  <si>
    <t>Bulac</t>
  </si>
  <si>
    <t>Camangyanan</t>
  </si>
  <si>
    <t>R3-2025-004785</t>
  </si>
  <si>
    <t>Cay Pombo</t>
  </si>
  <si>
    <t>R3-2025-004786</t>
  </si>
  <si>
    <t>Caysio</t>
  </si>
  <si>
    <t>Guyong</t>
  </si>
  <si>
    <t>Lalakhan</t>
  </si>
  <si>
    <t>Mag-asawang Sapa</t>
  </si>
  <si>
    <t>Mahabang Parang</t>
  </si>
  <si>
    <t>Manggahan</t>
  </si>
  <si>
    <t>R3-2025-027622</t>
  </si>
  <si>
    <t>Pulong Buhangin</t>
  </si>
  <si>
    <t>San Jose Patag</t>
  </si>
  <si>
    <t>R3-2025-027621</t>
  </si>
  <si>
    <t>Santa Clara</t>
  </si>
  <si>
    <t>Silangan</t>
  </si>
  <si>
    <t>Tabing Bakod</t>
  </si>
  <si>
    <t>Tumana</t>
  </si>
  <si>
    <t>Macabucod</t>
  </si>
  <si>
    <t>R3-2025-031715</t>
  </si>
  <si>
    <t>Betes</t>
  </si>
  <si>
    <t>Bibiclat</t>
  </si>
  <si>
    <t>R3-2025-006105</t>
  </si>
  <si>
    <t>Bucot</t>
  </si>
  <si>
    <t>R3-2025-006104</t>
  </si>
  <si>
    <t>La Purisima</t>
  </si>
  <si>
    <t>San Pablo Matanda</t>
  </si>
  <si>
    <t>R3-2025-031688</t>
  </si>
  <si>
    <t>R3-2025-017645</t>
  </si>
  <si>
    <t>R3-2025-032573</t>
  </si>
  <si>
    <t>Poblacion Centro</t>
  </si>
  <si>
    <t>Poblacion East I</t>
  </si>
  <si>
    <t>Poblacion East II</t>
  </si>
  <si>
    <t>Poblacion West III</t>
  </si>
  <si>
    <t>Poblacion West IV</t>
  </si>
  <si>
    <t>San Emiliano</t>
  </si>
  <si>
    <t>San Eustacio</t>
  </si>
  <si>
    <t>R3-2025-032577</t>
  </si>
  <si>
    <t>San Felipe Bata</t>
  </si>
  <si>
    <t>San Felipe Matanda</t>
  </si>
  <si>
    <t>San Pablo Bata</t>
  </si>
  <si>
    <t>R3-2025-027554</t>
  </si>
  <si>
    <t>R3-2025-032600</t>
  </si>
  <si>
    <t>R3-2025-027556</t>
  </si>
  <si>
    <t>Sunson</t>
  </si>
  <si>
    <t>Umangan</t>
  </si>
  <si>
    <t>Curva</t>
  </si>
  <si>
    <t>R3-2025-031641</t>
  </si>
  <si>
    <t>Antipolo</t>
  </si>
  <si>
    <t>Ariendo</t>
  </si>
  <si>
    <t>Bantug</t>
  </si>
  <si>
    <t>Calaanan</t>
  </si>
  <si>
    <t>Commercial (Pob.)</t>
  </si>
  <si>
    <t>Cruz</t>
  </si>
  <si>
    <t>Lusok</t>
  </si>
  <si>
    <t>R3-2025-031639</t>
  </si>
  <si>
    <t>Digmala</t>
  </si>
  <si>
    <t>Kaingin (Pob.)</t>
  </si>
  <si>
    <t>Labi</t>
  </si>
  <si>
    <t>Larcon</t>
  </si>
  <si>
    <t>R3-2025-003541</t>
  </si>
  <si>
    <t>Macabaclay</t>
  </si>
  <si>
    <t>Magtanggol (Pob.)</t>
  </si>
  <si>
    <t>R3-2025-003538</t>
  </si>
  <si>
    <t>Mantile (Pob.)</t>
  </si>
  <si>
    <t>R3-2025-003540</t>
  </si>
  <si>
    <t>Olivete</t>
  </si>
  <si>
    <t>Palo Maria (Pob.)</t>
  </si>
  <si>
    <t>R3-2025-003539</t>
  </si>
  <si>
    <t>Sampalucan (Pob.)</t>
  </si>
  <si>
    <t>R3-2025-002029</t>
  </si>
  <si>
    <t>Santor</t>
  </si>
  <si>
    <t>Sinipit (Pob.)</t>
  </si>
  <si>
    <t>Sisilang na Ligaya (Pob.)</t>
  </si>
  <si>
    <t>Social (Pob.)</t>
  </si>
  <si>
    <t>R3-2025-003537</t>
  </si>
  <si>
    <t>Tugatug</t>
  </si>
  <si>
    <t>Tulay na Bato (Pob.)</t>
  </si>
  <si>
    <t>R3-2025-003542</t>
  </si>
  <si>
    <t>Vega</t>
  </si>
  <si>
    <t>Aduas Centro</t>
  </si>
  <si>
    <t>Aduas Norte</t>
  </si>
  <si>
    <t>R3-2025-034721</t>
  </si>
  <si>
    <t>Aduas Sur</t>
  </si>
  <si>
    <t>Bagong Sikat</t>
  </si>
  <si>
    <t>Bakero</t>
  </si>
  <si>
    <t>Bakod Bayan</t>
  </si>
  <si>
    <t>Bangad</t>
  </si>
  <si>
    <t>Bantug Bulalo</t>
  </si>
  <si>
    <t>Bantug Norte</t>
  </si>
  <si>
    <t>Barlis</t>
  </si>
  <si>
    <t>Bernardo District (Pob.)</t>
  </si>
  <si>
    <t>Barrera District (Pob.)</t>
  </si>
  <si>
    <t>Bonifacio District (Pob.)</t>
  </si>
  <si>
    <t>Bitas</t>
  </si>
  <si>
    <t>Calawagan</t>
  </si>
  <si>
    <t>R3-2025-027687</t>
  </si>
  <si>
    <t>Caalibangbangan</t>
  </si>
  <si>
    <t>R3-2025-024356</t>
  </si>
  <si>
    <t>Cabu</t>
  </si>
  <si>
    <t>R3-2025-014898</t>
  </si>
  <si>
    <t>Campo Tinio</t>
  </si>
  <si>
    <t>Caridad</t>
  </si>
  <si>
    <t>Caudillo</t>
  </si>
  <si>
    <t>Cinco-Cinco</t>
  </si>
  <si>
    <t>City Supermarket (Pob.)</t>
  </si>
  <si>
    <t>Communal</t>
  </si>
  <si>
    <t>Dicarma (Pob.)</t>
  </si>
  <si>
    <t>Cruz Roja</t>
  </si>
  <si>
    <t>Daang Sarile</t>
  </si>
  <si>
    <t>R3-2025-035199</t>
  </si>
  <si>
    <t>Dalampang</t>
  </si>
  <si>
    <t>Dimasalang (Pob.)</t>
  </si>
  <si>
    <t>R3-2025-033407</t>
  </si>
  <si>
    <t>Fatima (Pob.)</t>
  </si>
  <si>
    <t>Dionisio S. Garcia</t>
  </si>
  <si>
    <t>General Luna (Pob.)</t>
  </si>
  <si>
    <t>Hermogenes C. Concepcion, Sr.</t>
  </si>
  <si>
    <t>Ibabao Bana</t>
  </si>
  <si>
    <t>R3-2025-031713</t>
  </si>
  <si>
    <t>Mayapyap Sur</t>
  </si>
  <si>
    <t>R3-2025-031718</t>
  </si>
  <si>
    <t>Imelda District</t>
  </si>
  <si>
    <t>Isla (Pob.)</t>
  </si>
  <si>
    <t>Kalikid Norte</t>
  </si>
  <si>
    <t>Kalikid Sur</t>
  </si>
  <si>
    <t>Kapitan Pepe (Pob.)</t>
  </si>
  <si>
    <t>Lagare</t>
  </si>
  <si>
    <t>Lourdes</t>
  </si>
  <si>
    <t>M. S. Garcia</t>
  </si>
  <si>
    <t>Mabini Extension</t>
  </si>
  <si>
    <t>Mabini Homesite</t>
  </si>
  <si>
    <t>Macatbong</t>
  </si>
  <si>
    <t>Magsaysay District (Norte)</t>
  </si>
  <si>
    <t>R3-2025-018159</t>
  </si>
  <si>
    <t>Magsaysay South (Sur)</t>
  </si>
  <si>
    <t>R3-2025-018160</t>
  </si>
  <si>
    <t>Maria Theresa</t>
  </si>
  <si>
    <t>Matadero (Pob.)</t>
  </si>
  <si>
    <t>Mayapyap Norte</t>
  </si>
  <si>
    <t>R3-2025-027689</t>
  </si>
  <si>
    <t>Melojavilla (Pob.)</t>
  </si>
  <si>
    <t>Nabao (Pob.)</t>
  </si>
  <si>
    <t>Obrero</t>
  </si>
  <si>
    <t>Padre Burgos (Pob.)</t>
  </si>
  <si>
    <t>Padre Crisostomo</t>
  </si>
  <si>
    <t>Palagay</t>
  </si>
  <si>
    <t>Pamaldan</t>
  </si>
  <si>
    <t>R3-2025-036619</t>
  </si>
  <si>
    <t>Pangatian</t>
  </si>
  <si>
    <t>Patalac</t>
  </si>
  <si>
    <t>Polilio</t>
  </si>
  <si>
    <t>Pula</t>
  </si>
  <si>
    <t>R3-2025-027151</t>
  </si>
  <si>
    <t>Quezon District (Pob.)</t>
  </si>
  <si>
    <t>Rizdelis (Pob.)</t>
  </si>
  <si>
    <t>Samon</t>
  </si>
  <si>
    <t>R3-2025-036620</t>
  </si>
  <si>
    <t>San Josef Norte</t>
  </si>
  <si>
    <t>San Josef Sur</t>
  </si>
  <si>
    <t>San Juan Pob.</t>
  </si>
  <si>
    <t>San Roque Norte</t>
  </si>
  <si>
    <t>San Roque Sur</t>
  </si>
  <si>
    <t>Sanbermicristi (Pob.)</t>
  </si>
  <si>
    <t>Sangitan</t>
  </si>
  <si>
    <t>Sangitan East</t>
  </si>
  <si>
    <t>Santa Arcadia</t>
  </si>
  <si>
    <t>Sumacab Este</t>
  </si>
  <si>
    <t>Sumacab Norte</t>
  </si>
  <si>
    <t>Sumacab South</t>
  </si>
  <si>
    <t>Talipapa</t>
  </si>
  <si>
    <t>Valdefuente</t>
  </si>
  <si>
    <t>R3-2025-034720</t>
  </si>
  <si>
    <t>Vijandre District (Pob.)</t>
  </si>
  <si>
    <t>Villa Ofelia-Caridad</t>
  </si>
  <si>
    <t>Zulueta District (Pob.)</t>
  </si>
  <si>
    <t>R3-2025-031577</t>
  </si>
  <si>
    <t xml:space="preserve">Technical Assistance </t>
  </si>
  <si>
    <t>R3-2025-031578</t>
  </si>
  <si>
    <t>Entablado</t>
  </si>
  <si>
    <t>Natividad North (Pob.)</t>
  </si>
  <si>
    <t>R3-2025-026164</t>
  </si>
  <si>
    <t>Natividad South (Pob.)</t>
  </si>
  <si>
    <t>Palasinan</t>
  </si>
  <si>
    <t>R3-2025-033310</t>
  </si>
  <si>
    <t>San Fernando Norte</t>
  </si>
  <si>
    <t>San Fernando Sur</t>
  </si>
  <si>
    <t>San Juan North (Pob.)</t>
  </si>
  <si>
    <t>San Juan South (Pob.)</t>
  </si>
  <si>
    <t>Sinipit</t>
  </si>
  <si>
    <t>Bunga</t>
  </si>
  <si>
    <t>R3-2025-032648</t>
  </si>
  <si>
    <t>Capintalan</t>
  </si>
  <si>
    <t>R3-2025-009113</t>
  </si>
  <si>
    <t>D. L. Maglanoc Pob.</t>
  </si>
  <si>
    <t>R3-2025-032649</t>
  </si>
  <si>
    <t>F. C. Otic Pob.</t>
  </si>
  <si>
    <t>G. S. Rosario Pob.</t>
  </si>
  <si>
    <t>General Luna</t>
  </si>
  <si>
    <t>Joson</t>
  </si>
  <si>
    <t>R3-2025-011888</t>
  </si>
  <si>
    <t>Minuli</t>
  </si>
  <si>
    <t>R3-2025-008226</t>
  </si>
  <si>
    <t>Piut</t>
  </si>
  <si>
    <t>R3-2025-009114</t>
  </si>
  <si>
    <t>Puncan</t>
  </si>
  <si>
    <t>Putlan</t>
  </si>
  <si>
    <t xml:space="preserve">R3-2025-008228 </t>
  </si>
  <si>
    <t>R.A.Padilla</t>
  </si>
  <si>
    <t>R3-2025-032650</t>
  </si>
  <si>
    <t>Salazar</t>
  </si>
  <si>
    <t>T. L. Padilla Pob.</t>
  </si>
  <si>
    <t>R3-2025-029936</t>
  </si>
  <si>
    <t>Balante</t>
  </si>
  <si>
    <t>R3-2025-036048</t>
  </si>
  <si>
    <t>Bulak</t>
  </si>
  <si>
    <t>Bungo</t>
  </si>
  <si>
    <t>R3-2025-036042</t>
  </si>
  <si>
    <t>Kapalangan</t>
  </si>
  <si>
    <t>Mabuga</t>
  </si>
  <si>
    <t>Maburak</t>
  </si>
  <si>
    <t>Mahipon</t>
  </si>
  <si>
    <t>Makabaclay</t>
  </si>
  <si>
    <t>R3-2025-004798</t>
  </si>
  <si>
    <t>Malimba</t>
  </si>
  <si>
    <t>Mangino</t>
  </si>
  <si>
    <t>Marelo</t>
  </si>
  <si>
    <t>Parcutela</t>
  </si>
  <si>
    <t>R3-2025-029947</t>
  </si>
  <si>
    <t>R3-2025-029944</t>
  </si>
  <si>
    <t>Puting Tubig</t>
  </si>
  <si>
    <t>R3-2025-014592</t>
  </si>
  <si>
    <t>San Lorenzo (Pob.)</t>
  </si>
  <si>
    <t>R3-2025-001900</t>
  </si>
  <si>
    <t>R3-2025-029935</t>
  </si>
  <si>
    <t>Santo Cristo Norte</t>
  </si>
  <si>
    <t>R3-2025-018679</t>
  </si>
  <si>
    <t>Santo Cristo Sur</t>
  </si>
  <si>
    <t>R3-2025-018680</t>
  </si>
  <si>
    <t>R3-2025-002130</t>
  </si>
  <si>
    <t>Aulo</t>
  </si>
  <si>
    <t>R3-2025-027513</t>
  </si>
  <si>
    <t>Bo. Militar</t>
  </si>
  <si>
    <t>Caballero</t>
  </si>
  <si>
    <t>Caimito</t>
  </si>
  <si>
    <t>Doña Josefa</t>
  </si>
  <si>
    <t>Ganaderia</t>
  </si>
  <si>
    <t>Imelda Valley</t>
  </si>
  <si>
    <t>R3-2025-027512</t>
  </si>
  <si>
    <t>Malate (Pob.)</t>
  </si>
  <si>
    <t>Manacnac</t>
  </si>
  <si>
    <t>R3-2025-033858</t>
  </si>
  <si>
    <t>Mapait</t>
  </si>
  <si>
    <t>Marcos Village</t>
  </si>
  <si>
    <t>R3-2025-027493</t>
  </si>
  <si>
    <t>Popolon Pagas</t>
  </si>
  <si>
    <t>R3-2025-033857</t>
  </si>
  <si>
    <t>Santolan</t>
  </si>
  <si>
    <t>R3-2025-033859</t>
  </si>
  <si>
    <t>Sapang Buho</t>
  </si>
  <si>
    <t>R3-2025-027492</t>
  </si>
  <si>
    <t>R3-2025-027511</t>
  </si>
  <si>
    <t>Baloy</t>
  </si>
  <si>
    <t>Bambanaba</t>
  </si>
  <si>
    <t>Bentigan</t>
  </si>
  <si>
    <t>Bonifacio</t>
  </si>
  <si>
    <t>Bued</t>
  </si>
  <si>
    <t>Bulala</t>
  </si>
  <si>
    <t>Cabatuan</t>
  </si>
  <si>
    <t>Cabileo</t>
  </si>
  <si>
    <t>Cacapasan</t>
  </si>
  <si>
    <t>Calancuasan Norte</t>
  </si>
  <si>
    <t>Calancuasan Sur</t>
  </si>
  <si>
    <t>Colosboa</t>
  </si>
  <si>
    <t>Columbitin</t>
  </si>
  <si>
    <t>R3-2025-032633</t>
  </si>
  <si>
    <t>District I</t>
  </si>
  <si>
    <t>R3-2025-014179</t>
  </si>
  <si>
    <t>District II</t>
  </si>
  <si>
    <t>R3-2025-016072</t>
  </si>
  <si>
    <t>District IV</t>
  </si>
  <si>
    <t>District V</t>
  </si>
  <si>
    <t>District VI</t>
  </si>
  <si>
    <t>District VII</t>
  </si>
  <si>
    <t>District VIII</t>
  </si>
  <si>
    <t>R3-2025-014180</t>
  </si>
  <si>
    <t>Landig</t>
  </si>
  <si>
    <t>Latap</t>
  </si>
  <si>
    <t>Loob</t>
  </si>
  <si>
    <t>Luna</t>
  </si>
  <si>
    <t>Malbeg-Patalan</t>
  </si>
  <si>
    <t>Malineng</t>
  </si>
  <si>
    <t>R3-2025-032634</t>
  </si>
  <si>
    <t>Maycaban</t>
  </si>
  <si>
    <t>Nacuralan</t>
  </si>
  <si>
    <t>Nagmisahan</t>
  </si>
  <si>
    <t>Paitan Norte</t>
  </si>
  <si>
    <t>Paitan Sur</t>
  </si>
  <si>
    <t>Piglisan</t>
  </si>
  <si>
    <t>Pugo</t>
  </si>
  <si>
    <t>Salagusog</t>
  </si>
  <si>
    <t>R3-2025-032635</t>
  </si>
  <si>
    <t>Sinimbaan</t>
  </si>
  <si>
    <t>Tagtagumbao</t>
  </si>
  <si>
    <t>Tutuloy</t>
  </si>
  <si>
    <t>Ungab</t>
  </si>
  <si>
    <t>Villaflores</t>
  </si>
  <si>
    <t>Bagting</t>
  </si>
  <si>
    <t>Bitulok</t>
  </si>
  <si>
    <t>Bugnan</t>
  </si>
  <si>
    <t>Calabasa</t>
  </si>
  <si>
    <t>Cuyapa</t>
  </si>
  <si>
    <t>Ligaya</t>
  </si>
  <si>
    <t>Macasandal</t>
  </si>
  <si>
    <t>Malinao</t>
  </si>
  <si>
    <t>Pinamalisan</t>
  </si>
  <si>
    <t>Sawmill</t>
  </si>
  <si>
    <t>Gen. Mamerto Natividad</t>
  </si>
  <si>
    <t>Balangkare Norte</t>
  </si>
  <si>
    <t>R3-2025-004809</t>
  </si>
  <si>
    <t>Balangkare Sur</t>
  </si>
  <si>
    <t>R3-2025-004810</t>
  </si>
  <si>
    <t>Belen</t>
  </si>
  <si>
    <t>Bravo</t>
  </si>
  <si>
    <t>Burol</t>
  </si>
  <si>
    <t>Kabulihan</t>
  </si>
  <si>
    <t>Mag-asawang Sampaloc</t>
  </si>
  <si>
    <t>Manarog</t>
  </si>
  <si>
    <t>Mataas na Kahoy</t>
  </si>
  <si>
    <t>R3-2025-004808</t>
  </si>
  <si>
    <t>Panacsac</t>
  </si>
  <si>
    <t>Picaleon</t>
  </si>
  <si>
    <t>Pinahan</t>
  </si>
  <si>
    <t>Platero</t>
  </si>
  <si>
    <t>Pulong Singkamas</t>
  </si>
  <si>
    <t>Sapang Bato</t>
  </si>
  <si>
    <t>Talabutab Norte</t>
  </si>
  <si>
    <t>Talabutab Sur</t>
  </si>
  <si>
    <t>R3-2025-004811</t>
  </si>
  <si>
    <t>Bago</t>
  </si>
  <si>
    <t>Nazareth</t>
  </si>
  <si>
    <t>Padolina</t>
  </si>
  <si>
    <t>Palale</t>
  </si>
  <si>
    <t>Pias</t>
  </si>
  <si>
    <t>Poblacion Central</t>
  </si>
  <si>
    <t>Poblacion West</t>
  </si>
  <si>
    <t>Pulong Matong</t>
  </si>
  <si>
    <t>Rio Chico</t>
  </si>
  <si>
    <t>Sampaguita</t>
  </si>
  <si>
    <t>Narvacan II</t>
  </si>
  <si>
    <t>R3-2025-031751</t>
  </si>
  <si>
    <t>Agcano</t>
  </si>
  <si>
    <t>Ayos Lomboy</t>
  </si>
  <si>
    <t>Bacayao</t>
  </si>
  <si>
    <t>R3-2025-027705</t>
  </si>
  <si>
    <t>Balbalino</t>
  </si>
  <si>
    <t>R3-2025-009115</t>
  </si>
  <si>
    <t>Balingog East</t>
  </si>
  <si>
    <t>Balingog West</t>
  </si>
  <si>
    <t>Banitan</t>
  </si>
  <si>
    <t>R3-2025-013405</t>
  </si>
  <si>
    <t>Bulakid</t>
  </si>
  <si>
    <t>Bunol</t>
  </si>
  <si>
    <t>R3-2025-014177</t>
  </si>
  <si>
    <t>Cabaruan</t>
  </si>
  <si>
    <t>R3-2025-006649</t>
  </si>
  <si>
    <t>Caingin Tabing Ilog</t>
  </si>
  <si>
    <t>Calem</t>
  </si>
  <si>
    <t>Cardinal</t>
  </si>
  <si>
    <t>Casongsong</t>
  </si>
  <si>
    <t>R3-2025-011889</t>
  </si>
  <si>
    <t>Catimon</t>
  </si>
  <si>
    <t>Cavite</t>
  </si>
  <si>
    <t>Cawayan Bugtong</t>
  </si>
  <si>
    <t>Consuelo</t>
  </si>
  <si>
    <t>R3-2025-017540</t>
  </si>
  <si>
    <t>Escano</t>
  </si>
  <si>
    <t>Faigal</t>
  </si>
  <si>
    <t>Galvan</t>
  </si>
  <si>
    <t>Guiset</t>
  </si>
  <si>
    <t>Lamorito</t>
  </si>
  <si>
    <t>Macamias</t>
  </si>
  <si>
    <t>Macapabellag</t>
  </si>
  <si>
    <t>Macatcatuit</t>
  </si>
  <si>
    <t>Manacsac</t>
  </si>
  <si>
    <t>Manggang Marikit</t>
  </si>
  <si>
    <t>Maturanoc</t>
  </si>
  <si>
    <t>R3-2025-006650</t>
  </si>
  <si>
    <t>Maybubon</t>
  </si>
  <si>
    <t>Naglabrahan</t>
  </si>
  <si>
    <t>Nagpandayan</t>
  </si>
  <si>
    <t>Narvacan I</t>
  </si>
  <si>
    <t>Pacac</t>
  </si>
  <si>
    <t>Partida I</t>
  </si>
  <si>
    <t>Partida II</t>
  </si>
  <si>
    <t>Pasong Inchic</t>
  </si>
  <si>
    <t>Saint John District (Pob.)</t>
  </si>
  <si>
    <t>San Andres</t>
  </si>
  <si>
    <t>San Bernardino</t>
  </si>
  <si>
    <t>R3-2025-027707</t>
  </si>
  <si>
    <t>R3-2025-027708</t>
  </si>
  <si>
    <t>R3-2025-027709</t>
  </si>
  <si>
    <t>Santa Veronica District (Pob.)</t>
  </si>
  <si>
    <t>R3-2025-015199</t>
  </si>
  <si>
    <t>Santo Cristo District (Pob.)</t>
  </si>
  <si>
    <t>Saranay District (Pob.)</t>
  </si>
  <si>
    <t>Sinulatan</t>
  </si>
  <si>
    <t>Subol</t>
  </si>
  <si>
    <t>Tampac I</t>
  </si>
  <si>
    <t>Tampac II &amp; III</t>
  </si>
  <si>
    <t>Triala</t>
  </si>
  <si>
    <t>R3-2025-009116</t>
  </si>
  <si>
    <t>Yuson</t>
  </si>
  <si>
    <t>R3-2025-031575</t>
  </si>
  <si>
    <t>R3-2025-010583</t>
  </si>
  <si>
    <t>Dampulan (Pob.)</t>
  </si>
  <si>
    <t>Don Mariano Marcos (Pob.)</t>
  </si>
  <si>
    <t>R3-2025-021181</t>
  </si>
  <si>
    <t>Hilera</t>
  </si>
  <si>
    <t>R3-2025-010582</t>
  </si>
  <si>
    <t>Imbunia</t>
  </si>
  <si>
    <t>Imelda Pob.</t>
  </si>
  <si>
    <t>R3-2025-032605</t>
  </si>
  <si>
    <t>R3-2025-018681</t>
  </si>
  <si>
    <t>Langla</t>
  </si>
  <si>
    <t>Magsalisi</t>
  </si>
  <si>
    <t>R3-2025-014584</t>
  </si>
  <si>
    <t>Malabon-Kaingin</t>
  </si>
  <si>
    <t>R3-2025-034295</t>
  </si>
  <si>
    <t>Marawa</t>
  </si>
  <si>
    <t>R3-2025-032604</t>
  </si>
  <si>
    <t>Ocampo-Rivera District (Pob.)</t>
  </si>
  <si>
    <t>R3-2025-002300</t>
  </si>
  <si>
    <t>Pakol</t>
  </si>
  <si>
    <t>R3-2025-010581</t>
  </si>
  <si>
    <t>Pamacpacan</t>
  </si>
  <si>
    <t>R3-2025-010584</t>
  </si>
  <si>
    <t>Pinanggaan</t>
  </si>
  <si>
    <t>R3-2025-014587</t>
  </si>
  <si>
    <t>Putlod</t>
  </si>
  <si>
    <t>San Josef</t>
  </si>
  <si>
    <t>R3-2025-014586</t>
  </si>
  <si>
    <t>R3-2025-032603</t>
  </si>
  <si>
    <t>Santo Tomas North</t>
  </si>
  <si>
    <t>R3-2025-025390</t>
  </si>
  <si>
    <t>Santo Tomas South</t>
  </si>
  <si>
    <t>R3-2025-025392</t>
  </si>
  <si>
    <t>Ulanin-Pitak</t>
  </si>
  <si>
    <t>MAY</t>
  </si>
  <si>
    <t>R3-2025-014585</t>
  </si>
  <si>
    <t>R3-2025-031712</t>
  </si>
  <si>
    <t>Betania</t>
  </si>
  <si>
    <t>Canantong</t>
  </si>
  <si>
    <t>Nauzon</t>
  </si>
  <si>
    <t>Pangarulong</t>
  </si>
  <si>
    <t>Pinagbayanan</t>
  </si>
  <si>
    <t>R3-2025-034783</t>
  </si>
  <si>
    <t>Siclong</t>
  </si>
  <si>
    <t>Linao</t>
  </si>
  <si>
    <t>R3-2025-008757</t>
  </si>
  <si>
    <t>R3-2025-005139</t>
  </si>
  <si>
    <t>Poblacion Sur</t>
  </si>
  <si>
    <t>San Casimiro</t>
  </si>
  <si>
    <t>San Cristobal</t>
  </si>
  <si>
    <t>R3-2025-026729</t>
  </si>
  <si>
    <t>Santa Maria</t>
  </si>
  <si>
    <t>R3-2025-005140</t>
  </si>
  <si>
    <t>Villarosa</t>
  </si>
  <si>
    <t xml:space="preserve"> R3-2025-016332</t>
  </si>
  <si>
    <t>Murcon</t>
  </si>
  <si>
    <t>R3-2025-027488</t>
  </si>
  <si>
    <t>A. Bonifacio</t>
  </si>
  <si>
    <t>Bosque</t>
  </si>
  <si>
    <t>Caridad Norte</t>
  </si>
  <si>
    <t>Caridad Sur</t>
  </si>
  <si>
    <t>Casile</t>
  </si>
  <si>
    <t>R3-2025-027487</t>
  </si>
  <si>
    <t>Florida Blanca</t>
  </si>
  <si>
    <t xml:space="preserve"> R3-2025-034635</t>
  </si>
  <si>
    <t>General Ricarte</t>
  </si>
  <si>
    <t>R3-2025-018354</t>
  </si>
  <si>
    <t>Gomez</t>
  </si>
  <si>
    <t>Inanama</t>
  </si>
  <si>
    <t>R3-2025-034633</t>
  </si>
  <si>
    <t>Mabini</t>
  </si>
  <si>
    <t>R3-2025-034637</t>
  </si>
  <si>
    <t>Villa Viniegas</t>
  </si>
  <si>
    <t>R3-2025-034634</t>
  </si>
  <si>
    <t>R3-2025-031797</t>
  </si>
  <si>
    <t>Agupalo Este</t>
  </si>
  <si>
    <t>R3-2025-023911</t>
  </si>
  <si>
    <t>Agupalo Weste</t>
  </si>
  <si>
    <t>Alalay Chica</t>
  </si>
  <si>
    <t>R3-2025-004801</t>
  </si>
  <si>
    <t>Alalay Grande</t>
  </si>
  <si>
    <t>Bagong Flores</t>
  </si>
  <si>
    <t>R3-2025-009111</t>
  </si>
  <si>
    <t>Balbalungao</t>
  </si>
  <si>
    <t>Cordero</t>
  </si>
  <si>
    <t>J. U. Tienzo</t>
  </si>
  <si>
    <t>Mapangpang</t>
  </si>
  <si>
    <t>R3-2025-004803</t>
  </si>
  <si>
    <t>San Antonio Weste</t>
  </si>
  <si>
    <t>R3-2025-031745</t>
  </si>
  <si>
    <t>Parista</t>
  </si>
  <si>
    <t>R3-2025-005582</t>
  </si>
  <si>
    <t>Poblacion North</t>
  </si>
  <si>
    <t>R3-2025-012808</t>
  </si>
  <si>
    <t>Salvacion I</t>
  </si>
  <si>
    <t>R3-2025-011885</t>
  </si>
  <si>
    <t>Salvacion II</t>
  </si>
  <si>
    <t>R3-2025-011886</t>
  </si>
  <si>
    <t>R3-2025-009112</t>
  </si>
  <si>
    <t>R3-2025-009117</t>
  </si>
  <si>
    <t>R3-2025-007742</t>
  </si>
  <si>
    <t>Alemania</t>
  </si>
  <si>
    <t>Ambasador Alzate Village</t>
  </si>
  <si>
    <t>Cabaducan East (Pob.)</t>
  </si>
  <si>
    <t>Cabaducan West (Pob.)</t>
  </si>
  <si>
    <t>Cabawangan</t>
  </si>
  <si>
    <t>East Central Poblacion</t>
  </si>
  <si>
    <t>Edy</t>
  </si>
  <si>
    <t>Estacion (Pob.)</t>
  </si>
  <si>
    <t>Maeling</t>
  </si>
  <si>
    <t>Medico</t>
  </si>
  <si>
    <t>Monic</t>
  </si>
  <si>
    <t>Northwest Poblacion</t>
  </si>
  <si>
    <t>Recuerdo</t>
  </si>
  <si>
    <t>South Central Poblacion</t>
  </si>
  <si>
    <t>Southeast Poblacion</t>
  </si>
  <si>
    <t>Southwest Poblacion</t>
  </si>
  <si>
    <t>Tony</t>
  </si>
  <si>
    <t>West Central Poblacion</t>
  </si>
  <si>
    <t>West Poblacion</t>
  </si>
  <si>
    <t>Cadaclan</t>
  </si>
  <si>
    <t>Cambitala</t>
  </si>
  <si>
    <t>Conversion</t>
  </si>
  <si>
    <t>Ganduz</t>
  </si>
  <si>
    <t>Liberty</t>
  </si>
  <si>
    <t>Malbang</t>
  </si>
  <si>
    <t>Napon-Napon</t>
  </si>
  <si>
    <t>Villarica</t>
  </si>
  <si>
    <t>Las Piñas</t>
  </si>
  <si>
    <t>R3-2025-011383</t>
  </si>
  <si>
    <t>R3-2025-033133</t>
  </si>
  <si>
    <t>R3-2025-033134</t>
  </si>
  <si>
    <t>Poblacion III</t>
  </si>
  <si>
    <t>R3-2025-033135</t>
  </si>
  <si>
    <t>Poblacion IV</t>
  </si>
  <si>
    <t>San Mariano</t>
  </si>
  <si>
    <t>R3-2025-010587</t>
  </si>
  <si>
    <t>San Alejandro</t>
  </si>
  <si>
    <t>R3-2025-031717</t>
  </si>
  <si>
    <t>R3-2025-037343</t>
  </si>
  <si>
    <t>R3-2025-037345</t>
  </si>
  <si>
    <t>Bertese</t>
  </si>
  <si>
    <t>R3-2025-004398</t>
  </si>
  <si>
    <t>Doña Lucia</t>
  </si>
  <si>
    <t>R3-2025-037342</t>
  </si>
  <si>
    <t>R3-2025-004399</t>
  </si>
  <si>
    <t>Ilog Baliwag</t>
  </si>
  <si>
    <t>Pulong Bahay</t>
  </si>
  <si>
    <t>San Andres I</t>
  </si>
  <si>
    <t>R3-2025-033277</t>
  </si>
  <si>
    <t>San Andres II</t>
  </si>
  <si>
    <t>R3-2025-033275</t>
  </si>
  <si>
    <t>R3-2025-024064</t>
  </si>
  <si>
    <t>Santo Tomas Feria</t>
  </si>
  <si>
    <t>Canaan East</t>
  </si>
  <si>
    <t>R3-2025-031339</t>
  </si>
  <si>
    <t>Agbannawag</t>
  </si>
  <si>
    <t>Aglipay</t>
  </si>
  <si>
    <t>Bicos</t>
  </si>
  <si>
    <t>Cabucbucan</t>
  </si>
  <si>
    <t>Calaocan District</t>
  </si>
  <si>
    <t>R3-2025-031340</t>
  </si>
  <si>
    <t>Canaan West</t>
  </si>
  <si>
    <t>Casilagan</t>
  </si>
  <si>
    <t>Del Pilar</t>
  </si>
  <si>
    <t>Estrella</t>
  </si>
  <si>
    <t>San Esteban</t>
  </si>
  <si>
    <t>R3-2025-031341</t>
  </si>
  <si>
    <t>Macapsing</t>
  </si>
  <si>
    <t>R3-2025-018353</t>
  </si>
  <si>
    <t>Paco Roman</t>
  </si>
  <si>
    <t>Pagasa</t>
  </si>
  <si>
    <t>Portal</t>
  </si>
  <si>
    <t>Villa Labrador</t>
  </si>
  <si>
    <t>R3-2025-031343</t>
  </si>
  <si>
    <t>Villa Paraiso</t>
  </si>
  <si>
    <t>R3-2025-031344</t>
  </si>
  <si>
    <t>R3-2025-035706</t>
  </si>
  <si>
    <t>Cama Juan</t>
  </si>
  <si>
    <t>Julo</t>
  </si>
  <si>
    <t>Lawang Kupang</t>
  </si>
  <si>
    <t>R3-2025-035705</t>
  </si>
  <si>
    <t>R3-2025-017384</t>
  </si>
  <si>
    <t>Maugat</t>
  </si>
  <si>
    <t>Panabingan</t>
  </si>
  <si>
    <t>Papaya</t>
  </si>
  <si>
    <t>R3-2025-025556</t>
  </si>
  <si>
    <t>R3-2025-004796</t>
  </si>
  <si>
    <t>R3-2025-037237</t>
  </si>
  <si>
    <t>R3-2025-025557</t>
  </si>
  <si>
    <t>R3-2025-014588</t>
  </si>
  <si>
    <t>R3-2025-024612</t>
  </si>
  <si>
    <t>Tikiw</t>
  </si>
  <si>
    <t>R3-2025-014589</t>
  </si>
  <si>
    <t>Alua</t>
  </si>
  <si>
    <t>Calaba</t>
  </si>
  <si>
    <t>R3-2025-008746</t>
  </si>
  <si>
    <t>Malapit</t>
  </si>
  <si>
    <t>27-Mar-24
14-Feb-25</t>
  </si>
  <si>
    <t>R3-2024-011940
R3-2025-005559</t>
  </si>
  <si>
    <t>27-Mar-24
16-Feb-25</t>
  </si>
  <si>
    <t>1-Apr-24
17-Feb-25</t>
  </si>
  <si>
    <t>14-Apr-24
17-Feb-25</t>
  </si>
  <si>
    <t>15-Apr-24
18-Feb-25</t>
  </si>
  <si>
    <t>Mangga</t>
  </si>
  <si>
    <t>R3-2025-008750</t>
  </si>
  <si>
    <t>R3-2025-008752</t>
  </si>
  <si>
    <t>R3-2025-008751</t>
  </si>
  <si>
    <t>Porais</t>
  </si>
  <si>
    <t>R3-2025-027474</t>
  </si>
  <si>
    <t>A. Pascual</t>
  </si>
  <si>
    <t>Abar 2nd</t>
  </si>
  <si>
    <t>Abar Ist</t>
  </si>
  <si>
    <t>Caanawan</t>
  </si>
  <si>
    <t>Camanacsacan</t>
  </si>
  <si>
    <t>R3-2025-024461</t>
  </si>
  <si>
    <t>Canuto Ramos Pob.</t>
  </si>
  <si>
    <t>R3-2025-024502</t>
  </si>
  <si>
    <t>Crisanto Sanchez Pob.</t>
  </si>
  <si>
    <t>R3-2025-003068</t>
  </si>
  <si>
    <t>Culaylay</t>
  </si>
  <si>
    <t>Dizol</t>
  </si>
  <si>
    <t>Ferdinand E. Marcos Pob.</t>
  </si>
  <si>
    <t>Kaliwanagan</t>
  </si>
  <si>
    <t>Kita-Kita</t>
  </si>
  <si>
    <t>Manicla</t>
  </si>
  <si>
    <t>Palestina</t>
  </si>
  <si>
    <t>Parang Mangga</t>
  </si>
  <si>
    <t>Pinili</t>
  </si>
  <si>
    <t>R3-2025-027473</t>
  </si>
  <si>
    <t>Tulat</t>
  </si>
  <si>
    <t>R3-2025-031342</t>
  </si>
  <si>
    <t>Rafael Rueda, Sr. Pob.</t>
  </si>
  <si>
    <t>Raymundo Eugenio Pob.</t>
  </si>
  <si>
    <t>R3-2025-001295</t>
  </si>
  <si>
    <t>R3-2025-037436</t>
  </si>
  <si>
    <t>San Mauricio</t>
  </si>
  <si>
    <t>Santo Niño 1st</t>
  </si>
  <si>
    <t>Santo Niño 2nd</t>
  </si>
  <si>
    <t>Santo Niño 3rd</t>
  </si>
  <si>
    <t>Sibut</t>
  </si>
  <si>
    <t>R3-2025-007337</t>
  </si>
  <si>
    <t>Sinipit Bubon</t>
  </si>
  <si>
    <t>Tabulac</t>
  </si>
  <si>
    <t>Tayabo</t>
  </si>
  <si>
    <t>Tondod</t>
  </si>
  <si>
    <t>Villa Floresca</t>
  </si>
  <si>
    <t>Villa Joson</t>
  </si>
  <si>
    <t>R3-2025-037435</t>
  </si>
  <si>
    <t>Villa Marina</t>
  </si>
  <si>
    <t>Burgos District (Pob.)</t>
  </si>
  <si>
    <t>Castellano</t>
  </si>
  <si>
    <t>Diversion</t>
  </si>
  <si>
    <t>Magpapalayoc</t>
  </si>
  <si>
    <t>Mallorca</t>
  </si>
  <si>
    <t>Mambangnan</t>
  </si>
  <si>
    <t>Nieves</t>
  </si>
  <si>
    <t>Rizal District (Pob.)</t>
  </si>
  <si>
    <t>San Anton</t>
  </si>
  <si>
    <t>San Bartolome (Pob.)</t>
  </si>
  <si>
    <t>Tabuating</t>
  </si>
  <si>
    <t>Tambo Adorable</t>
  </si>
  <si>
    <t>R3-2025-033408</t>
  </si>
  <si>
    <t>La Fuente</t>
  </si>
  <si>
    <t>R3-2025-031672</t>
  </si>
  <si>
    <t>Aguinaldo</t>
  </si>
  <si>
    <t>Berang</t>
  </si>
  <si>
    <t>R3-2025-020834</t>
  </si>
  <si>
    <t>Cojuangco (Pob.)</t>
  </si>
  <si>
    <t>Inspector</t>
  </si>
  <si>
    <t>Isla</t>
  </si>
  <si>
    <t>R3-2025-031673</t>
  </si>
  <si>
    <t>Liwayway</t>
  </si>
  <si>
    <t>R3-2025-027489</t>
  </si>
  <si>
    <t>R3-2025-031674</t>
  </si>
  <si>
    <t>Malacañang</t>
  </si>
  <si>
    <t>Maliolio</t>
  </si>
  <si>
    <t>Rajal Centro</t>
  </si>
  <si>
    <t>Rajal Sur</t>
  </si>
  <si>
    <t>San Josep</t>
  </si>
  <si>
    <t>R3-2025-027691</t>
  </si>
  <si>
    <t>Santa Teresita</t>
  </si>
  <si>
    <t>Sapsap</t>
  </si>
  <si>
    <t>Tagpos</t>
  </si>
  <si>
    <t>Tramo</t>
  </si>
  <si>
    <t>R3-2025-033409</t>
  </si>
  <si>
    <t>Valenzuela (Pob.)</t>
  </si>
  <si>
    <t>Baloc</t>
  </si>
  <si>
    <t>R3-2025-016207</t>
  </si>
  <si>
    <t>Buasao</t>
  </si>
  <si>
    <t>R3-2025-016198</t>
  </si>
  <si>
    <t>R3-2025-006878</t>
  </si>
  <si>
    <t>Cabugao</t>
  </si>
  <si>
    <t>R3-2025-006247</t>
  </si>
  <si>
    <t>Casulucan</t>
  </si>
  <si>
    <t>Comitang</t>
  </si>
  <si>
    <t>R3-2025-023807</t>
  </si>
  <si>
    <t>R3-2025-002074</t>
  </si>
  <si>
    <t>Dolores</t>
  </si>
  <si>
    <t>R3-2025-004397</t>
  </si>
  <si>
    <t>R3-2025-023808</t>
  </si>
  <si>
    <t>R3-2025-007895</t>
  </si>
  <si>
    <t>Malayantoc</t>
  </si>
  <si>
    <t>Mambarao</t>
  </si>
  <si>
    <t>R3-2025-006248</t>
  </si>
  <si>
    <t>Pulong Buli</t>
  </si>
  <si>
    <t>Sagaba</t>
  </si>
  <si>
    <t>San Fabian</t>
  </si>
  <si>
    <t>R3-2025-002700</t>
  </si>
  <si>
    <t>R3-2025-023806</t>
  </si>
  <si>
    <t>R3-2025-007743</t>
  </si>
  <si>
    <t>Bical</t>
  </si>
  <si>
    <t>Cabisuculan</t>
  </si>
  <si>
    <t>Calabalabaan</t>
  </si>
  <si>
    <t>R3-2025-023913</t>
  </si>
  <si>
    <t>Calisitan</t>
  </si>
  <si>
    <t>R3-2025-023915</t>
  </si>
  <si>
    <t>Catalanacan</t>
  </si>
  <si>
    <t>R3-2025-011883</t>
  </si>
  <si>
    <t>R3-2025-011884</t>
  </si>
  <si>
    <t>Labney</t>
  </si>
  <si>
    <t>R3-2025-023916</t>
  </si>
  <si>
    <t>Licaong</t>
  </si>
  <si>
    <t>Linglingay</t>
  </si>
  <si>
    <t>Magtanggol</t>
  </si>
  <si>
    <t>R3-2025-007744</t>
  </si>
  <si>
    <t>Mangandingay</t>
  </si>
  <si>
    <t>R3-2025-003032</t>
  </si>
  <si>
    <t>R3-2025-009814</t>
  </si>
  <si>
    <t>Maragol</t>
  </si>
  <si>
    <t>Matingkis</t>
  </si>
  <si>
    <t>Palusapis</t>
  </si>
  <si>
    <t>Pandalla</t>
  </si>
  <si>
    <t>R3-2025-023917</t>
  </si>
  <si>
    <t>Rang-ayan</t>
  </si>
  <si>
    <t>R3-2025-023919</t>
  </si>
  <si>
    <t>Sapang Cawayan</t>
  </si>
  <si>
    <t>R3-2025-015195</t>
  </si>
  <si>
    <t>Villa Cuizon</t>
  </si>
  <si>
    <t>R3-2025-023904</t>
  </si>
  <si>
    <t>Villa Isla</t>
  </si>
  <si>
    <t>R3-2025-023905</t>
  </si>
  <si>
    <t>Villa Nati</t>
  </si>
  <si>
    <t>Villa Santos</t>
  </si>
  <si>
    <t>Andal Alino (Pob.)</t>
  </si>
  <si>
    <t>R3-2025-004121</t>
  </si>
  <si>
    <t>Bakal I</t>
  </si>
  <si>
    <t>R3-2025-016194</t>
  </si>
  <si>
    <t>Bakal II</t>
  </si>
  <si>
    <t>R3-2025-014135</t>
  </si>
  <si>
    <t>Bakal III</t>
  </si>
  <si>
    <t>R3-2025-027972</t>
  </si>
  <si>
    <t>Baluga</t>
  </si>
  <si>
    <t>Bantug Hacienda</t>
  </si>
  <si>
    <t>Bantug Hamog</t>
  </si>
  <si>
    <t>R3-2025-000978</t>
  </si>
  <si>
    <t>Bugtong na Buli</t>
  </si>
  <si>
    <t>R3-2025-003332</t>
  </si>
  <si>
    <t>Burnay</t>
  </si>
  <si>
    <t>Caaniplahan</t>
  </si>
  <si>
    <t>Cabubulaonan</t>
  </si>
  <si>
    <t>Calipahan</t>
  </si>
  <si>
    <t>Campos</t>
  </si>
  <si>
    <t>R3-2025-003333</t>
  </si>
  <si>
    <t>Caputican</t>
  </si>
  <si>
    <t>Casulucan Este</t>
  </si>
  <si>
    <t>Collado</t>
  </si>
  <si>
    <t>R3-2025-023088</t>
  </si>
  <si>
    <t>Dimasalang Norte</t>
  </si>
  <si>
    <t>Dimasalang Sur</t>
  </si>
  <si>
    <t>R3-2025-032342</t>
  </si>
  <si>
    <t>Dinarayat</t>
  </si>
  <si>
    <t>R3-2025-011905</t>
  </si>
  <si>
    <t>Esguerra District (Pob.)</t>
  </si>
  <si>
    <t>Gulod</t>
  </si>
  <si>
    <t>Homestead I</t>
  </si>
  <si>
    <t>Homestead II</t>
  </si>
  <si>
    <t>Kinalanguyan</t>
  </si>
  <si>
    <t>La Torre</t>
  </si>
  <si>
    <t>Lomboy</t>
  </si>
  <si>
    <t>R3-2025-003330</t>
  </si>
  <si>
    <t>Mabuhay</t>
  </si>
  <si>
    <t>Maestrang Kikay (Pob.)</t>
  </si>
  <si>
    <t>Mamandil</t>
  </si>
  <si>
    <t>R3-2025-016317</t>
  </si>
  <si>
    <t>Marcos District (Pob.)</t>
  </si>
  <si>
    <t>R3-2025-027298</t>
  </si>
  <si>
    <t>Minabuyoc</t>
  </si>
  <si>
    <t>Paludpod</t>
  </si>
  <si>
    <t>Pantoc Bulac</t>
  </si>
  <si>
    <t>R3-2025-003074 </t>
  </si>
  <si>
    <t>Pinagpanaan</t>
  </si>
  <si>
    <t>Pulong San Miguel (Pob.)</t>
  </si>
  <si>
    <t>Purok Matias (Pob.)</t>
  </si>
  <si>
    <t>San Ricardo</t>
  </si>
  <si>
    <t>Sicsican Matanda</t>
  </si>
  <si>
    <t>R3-2025-003231</t>
  </si>
  <si>
    <t>Tabacao</t>
  </si>
  <si>
    <t>R3-2025-004120</t>
  </si>
  <si>
    <t>Tagaytay</t>
  </si>
  <si>
    <t>R3-2025-003075</t>
  </si>
  <si>
    <t>Valle</t>
  </si>
  <si>
    <t>Alula</t>
  </si>
  <si>
    <t>Baybayabas</t>
  </si>
  <si>
    <t>R3-2025-017543</t>
  </si>
  <si>
    <t>R3-2025-004802</t>
  </si>
  <si>
    <t>Cabiangan</t>
  </si>
  <si>
    <t>Cinense</t>
  </si>
  <si>
    <t>R3-2025-017545</t>
  </si>
  <si>
    <t>Culiat</t>
  </si>
  <si>
    <t>Maasin</t>
  </si>
  <si>
    <t>Magsaysay (Pob.)</t>
  </si>
  <si>
    <t>Mayamot I</t>
  </si>
  <si>
    <t>Mayamot II</t>
  </si>
  <si>
    <t>Nangabulan</t>
  </si>
  <si>
    <t>Osmeña (Pob.)</t>
  </si>
  <si>
    <t>Pangit</t>
  </si>
  <si>
    <t>Patola</t>
  </si>
  <si>
    <t>Quezon (Pob.)</t>
  </si>
  <si>
    <t>Quirino (Pob.)</t>
  </si>
  <si>
    <t>Santa Catalina</t>
  </si>
  <si>
    <t>Saringaya</t>
  </si>
  <si>
    <t>Saverona</t>
  </si>
  <si>
    <t>Tandoc</t>
  </si>
  <si>
    <t>Villa Boado</t>
  </si>
  <si>
    <t>R3-2025-017546</t>
  </si>
  <si>
    <t>Villa Rosario</t>
  </si>
  <si>
    <t>Zaragoza</t>
  </si>
  <si>
    <t>Batitang</t>
  </si>
  <si>
    <t>Carmen</t>
  </si>
  <si>
    <t>R3-2025-004958</t>
  </si>
  <si>
    <t>R3-2025-004959</t>
  </si>
  <si>
    <t>H. Romero</t>
  </si>
  <si>
    <t>Macarse</t>
  </si>
  <si>
    <t>Manaul</t>
  </si>
  <si>
    <t>Mayamot</t>
  </si>
  <si>
    <t>Santa Lucia Old</t>
  </si>
  <si>
    <t>Santa Lucia Young</t>
  </si>
  <si>
    <t>R3-2025-017388</t>
  </si>
  <si>
    <t>Santo Rosario Old</t>
  </si>
  <si>
    <t>Santo Rosario Young</t>
  </si>
  <si>
    <t>Valeriana</t>
  </si>
  <si>
    <t>Agapito del Rosario</t>
  </si>
  <si>
    <t>Amsic</t>
  </si>
  <si>
    <t>Anunas</t>
  </si>
  <si>
    <t>R3-2025-018804</t>
  </si>
  <si>
    <t>Balibago</t>
  </si>
  <si>
    <t>Capaya</t>
  </si>
  <si>
    <t>Claro M. Recto</t>
  </si>
  <si>
    <t>Cuayan</t>
  </si>
  <si>
    <t>R3-2025-008733</t>
  </si>
  <si>
    <t>Cutud</t>
  </si>
  <si>
    <t>Lourdes North West</t>
  </si>
  <si>
    <t>Lourdes Sur</t>
  </si>
  <si>
    <t>Lourdes Sur East</t>
  </si>
  <si>
    <t>R3-2025-027287</t>
  </si>
  <si>
    <t>Malabanias</t>
  </si>
  <si>
    <t>Margot</t>
  </si>
  <si>
    <t>Ninoy Aquino</t>
  </si>
  <si>
    <t>Pandan</t>
  </si>
  <si>
    <t>Pulung Cacutud</t>
  </si>
  <si>
    <t>Pulung Maragul</t>
  </si>
  <si>
    <t>Pulungbulu</t>
  </si>
  <si>
    <t>R3-2025-005785</t>
  </si>
  <si>
    <t>R3-2025-016277</t>
  </si>
  <si>
    <t>Santa Trinidad</t>
  </si>
  <si>
    <t>R3-2025-019664</t>
  </si>
  <si>
    <t>Sapalibutad</t>
  </si>
  <si>
    <t>Sapangbato</t>
  </si>
  <si>
    <t>Tabun</t>
  </si>
  <si>
    <t>Virgen Delos Remedios</t>
  </si>
  <si>
    <t>R3-2025-031348</t>
  </si>
  <si>
    <t>Balucuc</t>
  </si>
  <si>
    <t>R3-2025-012812</t>
  </si>
  <si>
    <t>Calantipe</t>
  </si>
  <si>
    <t>R3-2025-012810</t>
  </si>
  <si>
    <t>Cansinala</t>
  </si>
  <si>
    <t xml:space="preserve">R3-2025-005865	</t>
  </si>
  <si>
    <t>Colgante</t>
  </si>
  <si>
    <t>R3-2025-023815</t>
  </si>
  <si>
    <t>Paligui</t>
  </si>
  <si>
    <t>R3-2025-016437</t>
  </si>
  <si>
    <t>R3-2025-024186</t>
  </si>
  <si>
    <t>Sucad</t>
  </si>
  <si>
    <t>Tabuyuc</t>
  </si>
  <si>
    <t>Arenas</t>
  </si>
  <si>
    <t>Baliti</t>
  </si>
  <si>
    <t>R3-2025-018656</t>
  </si>
  <si>
    <t>Batasan</t>
  </si>
  <si>
    <t>Buensuceso</t>
  </si>
  <si>
    <t>Candating</t>
  </si>
  <si>
    <t>Gatiawin</t>
  </si>
  <si>
    <t>R3-2025-005427</t>
  </si>
  <si>
    <t>Guemasan</t>
  </si>
  <si>
    <t>R3-2025-027143</t>
  </si>
  <si>
    <t>Kaledian</t>
  </si>
  <si>
    <t>R3-2025-022985</t>
  </si>
  <si>
    <t>La Paz</t>
  </si>
  <si>
    <t>Lacmit</t>
  </si>
  <si>
    <t>Lacquios</t>
  </si>
  <si>
    <t>Mangga-Cacutud</t>
  </si>
  <si>
    <t>Matamo</t>
  </si>
  <si>
    <t>Panlinlang</t>
  </si>
  <si>
    <t>Paralaya</t>
  </si>
  <si>
    <t>R3-2025-027146</t>
  </si>
  <si>
    <t>Plazang Luma</t>
  </si>
  <si>
    <t>R3-2025-027147</t>
  </si>
  <si>
    <t>San Agustin Norte</t>
  </si>
  <si>
    <t>San Agustin Sur</t>
  </si>
  <si>
    <t>R3-2025-027142</t>
  </si>
  <si>
    <t>San Jose Mesulo</t>
  </si>
  <si>
    <t>R3-2025-027148</t>
  </si>
  <si>
    <t>San Juan Bano</t>
  </si>
  <si>
    <t>R3-2025-022986</t>
  </si>
  <si>
    <t>R3-2025-034369</t>
  </si>
  <si>
    <t>San Roque Bitas</t>
  </si>
  <si>
    <t>Santo Niño Tabuan</t>
  </si>
  <si>
    <t>Telapayong</t>
  </si>
  <si>
    <t>R3-2025-005428</t>
  </si>
  <si>
    <t>Balas</t>
  </si>
  <si>
    <t>Cabalantian</t>
  </si>
  <si>
    <t>Cabambangan (Pob.)</t>
  </si>
  <si>
    <t>R3-2025-037403</t>
  </si>
  <si>
    <t>Cabetican</t>
  </si>
  <si>
    <t>Calibutbut</t>
  </si>
  <si>
    <t>R3-2025-019459</t>
  </si>
  <si>
    <t>12-Nov-24
13-Feb-25</t>
  </si>
  <si>
    <t>R3-2024-041090
R3-2025-005815</t>
  </si>
  <si>
    <t>18-Nov-24
17-Feb-25</t>
  </si>
  <si>
    <t>20-Nov-24
18-Feb-25</t>
  </si>
  <si>
    <t>20-Nov-24
19-Feb-25</t>
  </si>
  <si>
    <t>Duat</t>
  </si>
  <si>
    <t>6-Sep-24
13-Feb-25</t>
  </si>
  <si>
    <t>R3-2024-031846
R3-2025-005813</t>
  </si>
  <si>
    <t>8-Sep-24
17-Feb-25</t>
  </si>
  <si>
    <t>17-Sep-24
18-Feb-25</t>
  </si>
  <si>
    <t>17-Sep-24
19-Feb-25</t>
  </si>
  <si>
    <t>Macabacle</t>
  </si>
  <si>
    <t>Magliman</t>
  </si>
  <si>
    <t>Maliwalu</t>
  </si>
  <si>
    <t>Mesalipit</t>
  </si>
  <si>
    <t>R3-2025-034152</t>
  </si>
  <si>
    <t>Parulog</t>
  </si>
  <si>
    <t>R3-2025-023112</t>
  </si>
  <si>
    <t>Potrero</t>
  </si>
  <si>
    <t>R3-2025-024161</t>
  </si>
  <si>
    <t>R3-2025-005808</t>
  </si>
  <si>
    <t>R3-2025-037404</t>
  </si>
  <si>
    <t>R3-2025-034967</t>
  </si>
  <si>
    <t>Tinajero</t>
  </si>
  <si>
    <t>R3-2024-041094
R3-2025-005816</t>
  </si>
  <si>
    <t>Paralaya (Pob.)</t>
  </si>
  <si>
    <t>R3-2025-031398</t>
  </si>
  <si>
    <t>Barit</t>
  </si>
  <si>
    <t>R3-2025-035177</t>
  </si>
  <si>
    <t>Buas (Pob.)</t>
  </si>
  <si>
    <t>Cuayang Bugtong</t>
  </si>
  <si>
    <t>Dalayap</t>
  </si>
  <si>
    <t>Dulong Ilog</t>
  </si>
  <si>
    <t>Gulap</t>
  </si>
  <si>
    <t>Lanang</t>
  </si>
  <si>
    <t>R3-2025-035182</t>
  </si>
  <si>
    <t>Magumbali</t>
  </si>
  <si>
    <t>Mandili</t>
  </si>
  <si>
    <t>Mapaniqui</t>
  </si>
  <si>
    <t>R3-2025-035183</t>
  </si>
  <si>
    <t>Pangclara</t>
  </si>
  <si>
    <t>Pasig</t>
  </si>
  <si>
    <t>Pescadores (Pob.)</t>
  </si>
  <si>
    <t>Pulong Palazan</t>
  </si>
  <si>
    <t>San Agustin (Pob.)</t>
  </si>
  <si>
    <t>Tagulod</t>
  </si>
  <si>
    <t>Talang</t>
  </si>
  <si>
    <t>R3-2025-035180</t>
  </si>
  <si>
    <t>Vizal San Pablo</t>
  </si>
  <si>
    <t>R3-2025-035181</t>
  </si>
  <si>
    <t>Vizal Santo Cristo</t>
  </si>
  <si>
    <t>Vizal Santo Niño</t>
  </si>
  <si>
    <t>R3-2025-030719</t>
  </si>
  <si>
    <t>R3-2025-027286</t>
  </si>
  <si>
    <t>Bulaon</t>
  </si>
  <si>
    <t>Calulut</t>
  </si>
  <si>
    <t>Del Carmen</t>
  </si>
  <si>
    <t>R3-2025-030720</t>
  </si>
  <si>
    <t>Dela Paz Norte</t>
  </si>
  <si>
    <t>Dela Paz Sur</t>
  </si>
  <si>
    <t>Juliana</t>
  </si>
  <si>
    <t>Maimpis</t>
  </si>
  <si>
    <t>Malino</t>
  </si>
  <si>
    <t>Malpitic</t>
  </si>
  <si>
    <t>Pandaras</t>
  </si>
  <si>
    <t>Panipuan</t>
  </si>
  <si>
    <t>R3-2025-008734</t>
  </si>
  <si>
    <t>Pulung Bulu</t>
  </si>
  <si>
    <t>Quebiauan</t>
  </si>
  <si>
    <t>Saguin</t>
  </si>
  <si>
    <t>R3-2025-016275</t>
  </si>
  <si>
    <t>R3-2025-022195</t>
  </si>
  <si>
    <t>R3-2025-030721</t>
  </si>
  <si>
    <t>R3-2025-002079</t>
  </si>
  <si>
    <t>Sindalan</t>
  </si>
  <si>
    <t>R3-2025-005786</t>
  </si>
  <si>
    <t>Telabastagan</t>
  </si>
  <si>
    <t>Anon</t>
  </si>
  <si>
    <t>R3-2025-034336</t>
  </si>
  <si>
    <t>Basa Air Base</t>
  </si>
  <si>
    <t>R3-2025-034337</t>
  </si>
  <si>
    <t>Benedicto</t>
  </si>
  <si>
    <t>Bodega</t>
  </si>
  <si>
    <t>Cabangcalan</t>
  </si>
  <si>
    <t>R3-2025-033259</t>
  </si>
  <si>
    <t>R3-2025-005788</t>
  </si>
  <si>
    <t>Dampe</t>
  </si>
  <si>
    <t>Fortuna</t>
  </si>
  <si>
    <t>R3-2025-008732</t>
  </si>
  <si>
    <t>Gutad</t>
  </si>
  <si>
    <t>R3-2025-034338</t>
  </si>
  <si>
    <t>R3-2025-034339</t>
  </si>
  <si>
    <t>Mawacat</t>
  </si>
  <si>
    <t>R3-2025-034340</t>
  </si>
  <si>
    <t>Nabuclod</t>
  </si>
  <si>
    <t>R3-2025-034341</t>
  </si>
  <si>
    <t>R3-2025-034342</t>
  </si>
  <si>
    <t>Paguiruan</t>
  </si>
  <si>
    <t>Palmayo</t>
  </si>
  <si>
    <t>Pandaguirig</t>
  </si>
  <si>
    <t>R3-2025-022196</t>
  </si>
  <si>
    <t>R3-2025-011747</t>
  </si>
  <si>
    <t xml:space="preserve">R3-2025-037394 </t>
  </si>
  <si>
    <t>Solib</t>
  </si>
  <si>
    <t>Valdez</t>
  </si>
  <si>
    <t>Plaza Burgos (Pob.)</t>
  </si>
  <si>
    <t>R3-2025-031228</t>
  </si>
  <si>
    <t>Ascomo</t>
  </si>
  <si>
    <t>Jose Abad Santos (Siran)</t>
  </si>
  <si>
    <t>R3-2025-009105</t>
  </si>
  <si>
    <t>Lambac</t>
  </si>
  <si>
    <t>Maquiapo</t>
  </si>
  <si>
    <t>Natividad</t>
  </si>
  <si>
    <t>R3-2025-031221</t>
  </si>
  <si>
    <t>Pulungmasle</t>
  </si>
  <si>
    <t>R3-2025-009107</t>
  </si>
  <si>
    <t>R3-2025-034965</t>
  </si>
  <si>
    <t>R3-2025-031218</t>
  </si>
  <si>
    <t>R3-2025-012462</t>
  </si>
  <si>
    <t>R3-2025-031222</t>
  </si>
  <si>
    <t>San Juan Bautista</t>
  </si>
  <si>
    <t>R3-2025-034966</t>
  </si>
  <si>
    <t>San Juan Nepomuceno</t>
  </si>
  <si>
    <t>San Matias</t>
  </si>
  <si>
    <t>R3-2025-023799</t>
  </si>
  <si>
    <t>R3-2025-034964</t>
  </si>
  <si>
    <t>San Nicolas 1st</t>
  </si>
  <si>
    <t>San Nicolas 2nd</t>
  </si>
  <si>
    <t xml:space="preserve">R3-2025-031225 </t>
  </si>
  <si>
    <t>R3-2025-031226</t>
  </si>
  <si>
    <t>Santa Filomena (Pob.)</t>
  </si>
  <si>
    <t>R3-2025-031229</t>
  </si>
  <si>
    <t>R3-2025-009108</t>
  </si>
  <si>
    <t>Santa Ursula</t>
  </si>
  <si>
    <t>R3-2025-034959</t>
  </si>
  <si>
    <t>R3-2025-034963</t>
  </si>
  <si>
    <t>San Roque Dau</t>
  </si>
  <si>
    <t>Balantacan</t>
  </si>
  <si>
    <t>Bancal Pugad</t>
  </si>
  <si>
    <t>Bancal Sinubli</t>
  </si>
  <si>
    <t>Baruya</t>
  </si>
  <si>
    <t>Calangain</t>
  </si>
  <si>
    <t>De La Paz</t>
  </si>
  <si>
    <t>Don Ignacio Dimson</t>
  </si>
  <si>
    <t>R3-2025-016266</t>
  </si>
  <si>
    <t>Prado Siongco</t>
  </si>
  <si>
    <t>R3-2025-016265</t>
  </si>
  <si>
    <t>Remedios</t>
  </si>
  <si>
    <t>R3-2025-016260</t>
  </si>
  <si>
    <t>San Jose Apunan</t>
  </si>
  <si>
    <t>San Jose Gumi</t>
  </si>
  <si>
    <t>San Nicolas 1st (Pob.)</t>
  </si>
  <si>
    <t>San Pablo 1st</t>
  </si>
  <si>
    <t>San Pablo 2nd</t>
  </si>
  <si>
    <t>San Pedro Palcarangan</t>
  </si>
  <si>
    <t>San Pedro Saug</t>
  </si>
  <si>
    <t>San Roque Arbol</t>
  </si>
  <si>
    <t>R3-2025-016261</t>
  </si>
  <si>
    <t>Santa Lucia (Pob.)</t>
  </si>
  <si>
    <t>Santa Teresa 1st</t>
  </si>
  <si>
    <t>Santa Teresa 2nd</t>
  </si>
  <si>
    <t>R3-2025-016258</t>
  </si>
  <si>
    <t>Santo Tomas (Pob.)</t>
  </si>
  <si>
    <t>Duquit</t>
  </si>
  <si>
    <t>R3-2025-031397</t>
  </si>
  <si>
    <t>Atlu-Bola</t>
  </si>
  <si>
    <t>R3-2025-009209</t>
  </si>
  <si>
    <t>Bundagul</t>
  </si>
  <si>
    <t>R3-2025-009210</t>
  </si>
  <si>
    <t>Cacutud</t>
  </si>
  <si>
    <t>Camachiles</t>
  </si>
  <si>
    <t>Dau</t>
  </si>
  <si>
    <t>Lakandula</t>
  </si>
  <si>
    <t>Macapagal Village</t>
  </si>
  <si>
    <t>Mamatitang</t>
  </si>
  <si>
    <t>Mangalit</t>
  </si>
  <si>
    <t>Mawaque</t>
  </si>
  <si>
    <t>Paralayunan</t>
  </si>
  <si>
    <t>R3-2025-022983</t>
  </si>
  <si>
    <t>Sapang Biabas</t>
  </si>
  <si>
    <t>Caduang Tete</t>
  </si>
  <si>
    <t>Castuli</t>
  </si>
  <si>
    <t>Mataguiti</t>
  </si>
  <si>
    <t>R3-2025-037399</t>
  </si>
  <si>
    <t>San Gabriel (Pob.)</t>
  </si>
  <si>
    <t>R3-2025-027563</t>
  </si>
  <si>
    <t>R3-2025-034606</t>
  </si>
  <si>
    <t>R3-2025-034609</t>
  </si>
  <si>
    <t>R3-2025-027564</t>
  </si>
  <si>
    <t>Santa Lutgarda</t>
  </si>
  <si>
    <t>R3-2025-034611</t>
  </si>
  <si>
    <t>R3-2025-034613</t>
  </si>
  <si>
    <t>Santa Rita (Pob.)</t>
  </si>
  <si>
    <t>R3-2025-027566</t>
  </si>
  <si>
    <t>R3-2025-034615</t>
  </si>
  <si>
    <t>R3-2025-027567</t>
  </si>
  <si>
    <t>Saplad David</t>
  </si>
  <si>
    <t>Tacasan</t>
  </si>
  <si>
    <t xml:space="preserve">R3-2025-005866	</t>
  </si>
  <si>
    <t>Telacsan</t>
  </si>
  <si>
    <t>Ayala</t>
  </si>
  <si>
    <t>R3-2025-031400</t>
  </si>
  <si>
    <t>R3-2025-031405</t>
  </si>
  <si>
    <t>Bucanan</t>
  </si>
  <si>
    <t>Escaler</t>
  </si>
  <si>
    <t>San Pedro II</t>
  </si>
  <si>
    <t>R3-2025-031406</t>
  </si>
  <si>
    <t>Navaling</t>
  </si>
  <si>
    <t>R3-2025-027312</t>
  </si>
  <si>
    <t>R3-2025-016233</t>
  </si>
  <si>
    <t>San Franciso</t>
  </si>
  <si>
    <t>R3-2025-016232</t>
  </si>
  <si>
    <t>R3-2025-009207</t>
  </si>
  <si>
    <t>San Pablo (Pob.)</t>
  </si>
  <si>
    <t>San Pedro I</t>
  </si>
  <si>
    <t>Turu</t>
  </si>
  <si>
    <t xml:space="preserve"> R3-2025-031402 </t>
  </si>
  <si>
    <t>R3-2025-005425</t>
  </si>
  <si>
    <t>R3-2025-016234</t>
  </si>
  <si>
    <t>Bagang</t>
  </si>
  <si>
    <t>R3-2025-019598</t>
  </si>
  <si>
    <t>Bebe Matua</t>
  </si>
  <si>
    <t>R3-2025-019600</t>
  </si>
  <si>
    <t>Bulacus</t>
  </si>
  <si>
    <t>R3-2025-019601</t>
  </si>
  <si>
    <t>Cambasi</t>
  </si>
  <si>
    <t>Malauli</t>
  </si>
  <si>
    <t>Nigui</t>
  </si>
  <si>
    <t>Palimpe</t>
  </si>
  <si>
    <t>Puti</t>
  </si>
  <si>
    <t>Sagrada</t>
  </si>
  <si>
    <t>R3-2025-019603</t>
  </si>
  <si>
    <t>San Isidro Anac</t>
  </si>
  <si>
    <t>San Isidro Matua (Pob.)</t>
  </si>
  <si>
    <t>San Nicolas (Pob.)</t>
  </si>
  <si>
    <t>R3-2025-019604</t>
  </si>
  <si>
    <t>Santa Lucia Anac (Pob.)</t>
  </si>
  <si>
    <t>Santa Lucia Matua</t>
  </si>
  <si>
    <t>Santa Lucia Paguiba</t>
  </si>
  <si>
    <t>Santa Lucia Wakas</t>
  </si>
  <si>
    <t>Sapang Kawayan</t>
  </si>
  <si>
    <t>Sua</t>
  </si>
  <si>
    <t>Acli</t>
  </si>
  <si>
    <t>Camuning</t>
  </si>
  <si>
    <t>R3-2025-012496</t>
  </si>
  <si>
    <t>Cawayan</t>
  </si>
  <si>
    <t>Culubasa</t>
  </si>
  <si>
    <t>Divisoria</t>
  </si>
  <si>
    <t>Eden</t>
  </si>
  <si>
    <t>R3-2025-012495</t>
  </si>
  <si>
    <t>Gandus</t>
  </si>
  <si>
    <t>Laput</t>
  </si>
  <si>
    <t>Laug</t>
  </si>
  <si>
    <t>Masamat</t>
  </si>
  <si>
    <t>Masangsang</t>
  </si>
  <si>
    <t>Nueva Victoria</t>
  </si>
  <si>
    <t>Pandacaqui</t>
  </si>
  <si>
    <t>Pangatlan</t>
  </si>
  <si>
    <t>Parian (Pob.)</t>
  </si>
  <si>
    <t>Sabanilla</t>
  </si>
  <si>
    <t>San Jose Malino</t>
  </si>
  <si>
    <t>San Jose Matulid</t>
  </si>
  <si>
    <t>San Patricio</t>
  </si>
  <si>
    <t>Sapang Maisac</t>
  </si>
  <si>
    <t>Tangle</t>
  </si>
  <si>
    <t>Dawe</t>
  </si>
  <si>
    <t>Maniango</t>
  </si>
  <si>
    <t>San Francisco 1st</t>
  </si>
  <si>
    <t>San Francisco 2nd</t>
  </si>
  <si>
    <t>Saplad</t>
  </si>
  <si>
    <t>Calzadang Bayu</t>
  </si>
  <si>
    <t>R3-2025-030722</t>
  </si>
  <si>
    <t>Babo Pangulo</t>
  </si>
  <si>
    <t>R3-2025-027288</t>
  </si>
  <si>
    <t>Babo Sacan</t>
  </si>
  <si>
    <t>R3-2025-027289</t>
  </si>
  <si>
    <t>Manibaug Pasig</t>
  </si>
  <si>
    <t>R3-2025-030723</t>
  </si>
  <si>
    <t>Cangatba</t>
  </si>
  <si>
    <t>Diaz</t>
  </si>
  <si>
    <t>Inararo</t>
  </si>
  <si>
    <t>Jalung</t>
  </si>
  <si>
    <t>Mancatian</t>
  </si>
  <si>
    <t>Manibaug Libutad</t>
  </si>
  <si>
    <t>R3-2025-027290</t>
  </si>
  <si>
    <t>Manibaug Paralaya</t>
  </si>
  <si>
    <t>R3-2025-019665</t>
  </si>
  <si>
    <t>Pulong Santol</t>
  </si>
  <si>
    <t>R3-2025-030724</t>
  </si>
  <si>
    <t>Manuali</t>
  </si>
  <si>
    <t>Mitla Proper</t>
  </si>
  <si>
    <t>Palat</t>
  </si>
  <si>
    <t>R3-2025-022197</t>
  </si>
  <si>
    <t>Pio</t>
  </si>
  <si>
    <t>R3-2025-023101</t>
  </si>
  <si>
    <t>R3-2025-005787</t>
  </si>
  <si>
    <t>R3-2025-027291</t>
  </si>
  <si>
    <t>Sepung Bulaun</t>
  </si>
  <si>
    <t>R3-2025-030725</t>
  </si>
  <si>
    <t>Salu</t>
  </si>
  <si>
    <t>R3-2025-019666</t>
  </si>
  <si>
    <t>R3-2025-008731</t>
  </si>
  <si>
    <t>Sapang Uwak</t>
  </si>
  <si>
    <t>Sinura</t>
  </si>
  <si>
    <t>Villa Maria</t>
  </si>
  <si>
    <t>R3-2025-031361</t>
  </si>
  <si>
    <t>R3-2025-012858</t>
  </si>
  <si>
    <t>R3-2025-031359</t>
  </si>
  <si>
    <t xml:space="preserve">R3-2025-009196	</t>
  </si>
  <si>
    <t>Santa Cruz Poblacion</t>
  </si>
  <si>
    <t>R3-2025-031357</t>
  </si>
  <si>
    <t>Santa Cruz Pambilog</t>
  </si>
  <si>
    <t>R3-2025-031349</t>
  </si>
  <si>
    <t>R3-2025-005870</t>
  </si>
  <si>
    <t>R3-2025-002093</t>
  </si>
  <si>
    <t>R3-2025-031352</t>
  </si>
  <si>
    <t>R3-2025-027561</t>
  </si>
  <si>
    <t>R3-2025-024184</t>
  </si>
  <si>
    <t>R3-2025-023814</t>
  </si>
  <si>
    <t>R3-2025-016436</t>
  </si>
  <si>
    <t>R3-2025-009187</t>
  </si>
  <si>
    <t xml:space="preserve">R3-2025-005867	</t>
  </si>
  <si>
    <t>R3-2025-009190</t>
  </si>
  <si>
    <t>San Pablo Libutad</t>
  </si>
  <si>
    <t>R3-2025-012814</t>
  </si>
  <si>
    <t>San Pablo Proper</t>
  </si>
  <si>
    <t xml:space="preserve">R3-2025-009191	</t>
  </si>
  <si>
    <t xml:space="preserve">R3-2025-009193	</t>
  </si>
  <si>
    <t xml:space="preserve">R3-2025-005869	</t>
  </si>
  <si>
    <t>Moras De La Paz</t>
  </si>
  <si>
    <t>R3-2025-012195</t>
  </si>
  <si>
    <t>San Bartolome</t>
  </si>
  <si>
    <t>R3-2025-011238</t>
  </si>
  <si>
    <t>R3-2025-016276</t>
  </si>
  <si>
    <t>Batang 1st</t>
  </si>
  <si>
    <t>Batang 2nd</t>
  </si>
  <si>
    <t>Mabuanbuan</t>
  </si>
  <si>
    <t>Malusac</t>
  </si>
  <si>
    <t>Sabitanan</t>
  </si>
  <si>
    <t>R3-2025-012460</t>
  </si>
  <si>
    <t>R3-2025-009106</t>
  </si>
  <si>
    <t>R3-2025-012507</t>
  </si>
  <si>
    <t>San Joaquin (Pob.)</t>
  </si>
  <si>
    <t>R3-2025-012494</t>
  </si>
  <si>
    <t>R3-2025-005424</t>
  </si>
  <si>
    <t>R3-2025-009208</t>
  </si>
  <si>
    <t>Becuran</t>
  </si>
  <si>
    <t>R3-2025-005817</t>
  </si>
  <si>
    <t>Dila-dila</t>
  </si>
  <si>
    <t>R3-2025-023797</t>
  </si>
  <si>
    <t>San Basilio</t>
  </si>
  <si>
    <t>R3-2025-026448</t>
  </si>
  <si>
    <t>R3-2025-026447</t>
  </si>
  <si>
    <t>R3-2025-021481</t>
  </si>
  <si>
    <t>R3-2025-026450</t>
  </si>
  <si>
    <t>R3-2025-019586</t>
  </si>
  <si>
    <t>R3-2025-023798</t>
  </si>
  <si>
    <t>Casili</t>
  </si>
  <si>
    <t>Jasper Keith B. Pili</t>
  </si>
  <si>
    <t>R3-2025-031587</t>
  </si>
  <si>
    <t>Baguindoc</t>
  </si>
  <si>
    <t>R3-2025-008945</t>
  </si>
  <si>
    <t>Hernando</t>
  </si>
  <si>
    <t>R3-2025-031588</t>
  </si>
  <si>
    <t>Don Ramon</t>
  </si>
  <si>
    <t>R3-2025-019644</t>
  </si>
  <si>
    <t>R3-2025-019645</t>
  </si>
  <si>
    <t>San Francisco East</t>
  </si>
  <si>
    <t>San Francisco West</t>
  </si>
  <si>
    <t>San Jose North</t>
  </si>
  <si>
    <t>R3-2025-011430</t>
  </si>
  <si>
    <t>R3-2025-011433</t>
  </si>
  <si>
    <t>R3-2025-016488</t>
  </si>
  <si>
    <t>R3-2025-008948</t>
  </si>
  <si>
    <t>Sinense</t>
  </si>
  <si>
    <t>Suaverdez</t>
  </si>
  <si>
    <t>Anupul</t>
  </si>
  <si>
    <t>R3-2025-009052</t>
  </si>
  <si>
    <t>Banaba</t>
  </si>
  <si>
    <t>Bangcu</t>
  </si>
  <si>
    <t>Dela Cruz</t>
  </si>
  <si>
    <t>R3-2025-009069</t>
  </si>
  <si>
    <t>Malonzo</t>
  </si>
  <si>
    <t>R3-2025-008247</t>
  </si>
  <si>
    <t>R3-2025-024051</t>
  </si>
  <si>
    <t>R3-2025-024052</t>
  </si>
  <si>
    <t>Virgen de los Remedios</t>
  </si>
  <si>
    <t>Anoling 1st</t>
  </si>
  <si>
    <t>R3-2025-016219</t>
  </si>
  <si>
    <t>Anoling 2nd</t>
  </si>
  <si>
    <t>R3-2025-016220</t>
  </si>
  <si>
    <t>Anoling 3rd</t>
  </si>
  <si>
    <t>Bacabac</t>
  </si>
  <si>
    <t>Bancay 1st</t>
  </si>
  <si>
    <t>R3-2025-027824</t>
  </si>
  <si>
    <t>Bilad</t>
  </si>
  <si>
    <t>Birbira</t>
  </si>
  <si>
    <t>Bobon 1st</t>
  </si>
  <si>
    <t>R3-2025-026490</t>
  </si>
  <si>
    <t>Bobon 2nd</t>
  </si>
  <si>
    <t>R3-2025-026491</t>
  </si>
  <si>
    <t>Bobon Caarosipan</t>
  </si>
  <si>
    <t>R3-2025-026494</t>
  </si>
  <si>
    <t>Cabanabaan</t>
  </si>
  <si>
    <t>R3-2025-020583</t>
  </si>
  <si>
    <t>Cacamilingan Norte</t>
  </si>
  <si>
    <t>R3-2025-012523</t>
  </si>
  <si>
    <t>Cacamilingan Sur</t>
  </si>
  <si>
    <t>R3-2025-015432</t>
  </si>
  <si>
    <t>Caniag</t>
  </si>
  <si>
    <t>R3-2025-032754</t>
  </si>
  <si>
    <t>Cayaoan</t>
  </si>
  <si>
    <t>R3-2025-032752</t>
  </si>
  <si>
    <t>Cayasan</t>
  </si>
  <si>
    <t>R3-2025-032760</t>
  </si>
  <si>
    <t>Lasong</t>
  </si>
  <si>
    <t>R3-2025-015435</t>
  </si>
  <si>
    <t>Libueg</t>
  </si>
  <si>
    <t>R3-2025-015436</t>
  </si>
  <si>
    <t>Malacampa</t>
  </si>
  <si>
    <t>Manaquem</t>
  </si>
  <si>
    <t>R3-2025-026495</t>
  </si>
  <si>
    <t>Manupeg</t>
  </si>
  <si>
    <t>Marawi</t>
  </si>
  <si>
    <t>R3-2025-027829</t>
  </si>
  <si>
    <t>Matubog</t>
  </si>
  <si>
    <t>R3-2025-027825</t>
  </si>
  <si>
    <t>Nagrambacan</t>
  </si>
  <si>
    <t>R3-2025-026496</t>
  </si>
  <si>
    <t>Nagserialan</t>
  </si>
  <si>
    <t>R3-2025-027841</t>
  </si>
  <si>
    <t>Palimbo Proper</t>
  </si>
  <si>
    <t>R3-2025-012524</t>
  </si>
  <si>
    <t>Palimbo-Caarosipan</t>
  </si>
  <si>
    <t>R3-2025-023066</t>
  </si>
  <si>
    <t>Pao 1st</t>
  </si>
  <si>
    <t>Pao 2nd</t>
  </si>
  <si>
    <t>Pao 3rd</t>
  </si>
  <si>
    <t>Papaac</t>
  </si>
  <si>
    <t>Pindangan 1st</t>
  </si>
  <si>
    <t>Pindangan 2nd</t>
  </si>
  <si>
    <t>R3-2025-037169</t>
  </si>
  <si>
    <t>Poblacion A</t>
  </si>
  <si>
    <t>Poblacion B</t>
  </si>
  <si>
    <t>Poblacion C</t>
  </si>
  <si>
    <t>Poblacion D</t>
  </si>
  <si>
    <t>R3-2025-004522</t>
  </si>
  <si>
    <t>Poblacion E</t>
  </si>
  <si>
    <t>R3-2025-006967</t>
  </si>
  <si>
    <t>Poblacion F</t>
  </si>
  <si>
    <t>R3-2025-008076</t>
  </si>
  <si>
    <t>Poblacion G</t>
  </si>
  <si>
    <t>Poblacion H</t>
  </si>
  <si>
    <t>R3-2025-008079</t>
  </si>
  <si>
    <t>R3-2025-004526</t>
  </si>
  <si>
    <t>Poblacion J</t>
  </si>
  <si>
    <t>R3-2025-004536</t>
  </si>
  <si>
    <t>R3-2025-005367</t>
  </si>
  <si>
    <t>Sawat</t>
  </si>
  <si>
    <t>R3-2025-023068</t>
  </si>
  <si>
    <t>Sinilian 1st</t>
  </si>
  <si>
    <t>R3-2025-018923</t>
  </si>
  <si>
    <t>Sinilian 2nd</t>
  </si>
  <si>
    <t>R3-2025-018924</t>
  </si>
  <si>
    <t>Sinilian 3rd</t>
  </si>
  <si>
    <t>R3-2025-018925</t>
  </si>
  <si>
    <t>Sinilian Cacalibosoan</t>
  </si>
  <si>
    <t>R3-2025-037168</t>
  </si>
  <si>
    <t>Sinulatan 1st</t>
  </si>
  <si>
    <t>R3-2025-012525</t>
  </si>
  <si>
    <t>Sinulatan 2nd</t>
  </si>
  <si>
    <t>Surgui 1st</t>
  </si>
  <si>
    <t>R3-2025-005545</t>
  </si>
  <si>
    <t>Surgui 2nd</t>
  </si>
  <si>
    <t>R3-2025-012527</t>
  </si>
  <si>
    <t>Surgui 3rd</t>
  </si>
  <si>
    <t>Tambugan</t>
  </si>
  <si>
    <t>R3-2025-018205</t>
  </si>
  <si>
    <t>Telbang</t>
  </si>
  <si>
    <t>Tuec</t>
  </si>
  <si>
    <t>Aranguren</t>
  </si>
  <si>
    <t>R3-2025-001917</t>
  </si>
  <si>
    <t>Bueno</t>
  </si>
  <si>
    <t>R3-2025-024045</t>
  </si>
  <si>
    <t>Cubcub (Pob.)</t>
  </si>
  <si>
    <t>R3-2025-024044</t>
  </si>
  <si>
    <t>Cutcut 2nd</t>
  </si>
  <si>
    <t>R3-2025-030893</t>
  </si>
  <si>
    <t>Estrada</t>
  </si>
  <si>
    <t>Lawy</t>
  </si>
  <si>
    <t>Manga</t>
  </si>
  <si>
    <t>Manlapig</t>
  </si>
  <si>
    <t>Maruglu</t>
  </si>
  <si>
    <t>O'Donnell</t>
  </si>
  <si>
    <t>R3-2025-009082</t>
  </si>
  <si>
    <t>Santa Juliana</t>
  </si>
  <si>
    <t>R3-2025-024049</t>
  </si>
  <si>
    <t>Santo Domingo 1st</t>
  </si>
  <si>
    <t>R3-2025-001920</t>
  </si>
  <si>
    <t>Santo Domingo 2nd</t>
  </si>
  <si>
    <t>Talaga</t>
  </si>
  <si>
    <t>R3-2025-030894</t>
  </si>
  <si>
    <t>Alfonso</t>
  </si>
  <si>
    <t>Balutu</t>
  </si>
  <si>
    <t>Cafe</t>
  </si>
  <si>
    <t>R3-2025-020250</t>
  </si>
  <si>
    <t>Calius Gueco</t>
  </si>
  <si>
    <t>Caluluan</t>
  </si>
  <si>
    <t>Castillo</t>
  </si>
  <si>
    <t>Corazon de Jesus</t>
  </si>
  <si>
    <t>Culatingan</t>
  </si>
  <si>
    <t>Dungan</t>
  </si>
  <si>
    <t>Dutung-A-Matas</t>
  </si>
  <si>
    <t>Green Village</t>
  </si>
  <si>
    <t>R3-2025-005500</t>
  </si>
  <si>
    <t>Lilibangan</t>
  </si>
  <si>
    <t>Mabilog</t>
  </si>
  <si>
    <t>Magao</t>
  </si>
  <si>
    <t>Malupa</t>
  </si>
  <si>
    <t>Minane</t>
  </si>
  <si>
    <t>Panalicsian</t>
  </si>
  <si>
    <t>Pando</t>
  </si>
  <si>
    <t>Parulung</t>
  </si>
  <si>
    <t>Pitabunan</t>
  </si>
  <si>
    <t>San Nicolas Balas</t>
  </si>
  <si>
    <t>R3-2025-020247</t>
  </si>
  <si>
    <t>Talimunduc Marimla</t>
  </si>
  <si>
    <t>R3-2025-005501</t>
  </si>
  <si>
    <t>Talimunduc San Miguel</t>
  </si>
  <si>
    <t>R3-2025-005502</t>
  </si>
  <si>
    <t>Telabanca</t>
  </si>
  <si>
    <t>Tinang</t>
  </si>
  <si>
    <t>Abagon</t>
  </si>
  <si>
    <t>Amacalan</t>
  </si>
  <si>
    <t>Apsayan</t>
  </si>
  <si>
    <t xml:space="preserve"> R3-2025-005566</t>
  </si>
  <si>
    <t>Ayson</t>
  </si>
  <si>
    <t>R3-2025-005636</t>
  </si>
  <si>
    <t>Bawa</t>
  </si>
  <si>
    <t>Buenlag</t>
  </si>
  <si>
    <t>Bularit</t>
  </si>
  <si>
    <t>Calayaan</t>
  </si>
  <si>
    <t>Carbonel</t>
  </si>
  <si>
    <t>Cardona</t>
  </si>
  <si>
    <t>R3-2025-011899</t>
  </si>
  <si>
    <t>Caturay</t>
  </si>
  <si>
    <t>Danzo</t>
  </si>
  <si>
    <t>Dicolor</t>
  </si>
  <si>
    <t>R3-2025-016542</t>
  </si>
  <si>
    <t>Don Basilio</t>
  </si>
  <si>
    <t>Magaspac</t>
  </si>
  <si>
    <t>Malayep</t>
  </si>
  <si>
    <t>Matapitap</t>
  </si>
  <si>
    <t>Matayumcab</t>
  </si>
  <si>
    <t>New Salem</t>
  </si>
  <si>
    <t>R3-2025-026427</t>
  </si>
  <si>
    <t>Oloybuaya</t>
  </si>
  <si>
    <t>Padapada</t>
  </si>
  <si>
    <t>Parsolingan</t>
  </si>
  <si>
    <t>Pinasling</t>
  </si>
  <si>
    <t>Plastado</t>
  </si>
  <si>
    <t>R3-2025-019620</t>
  </si>
  <si>
    <t>Poblacion 1</t>
  </si>
  <si>
    <t>Poblacion 2</t>
  </si>
  <si>
    <t>Poblacion 3</t>
  </si>
  <si>
    <t>R3-2025-026428</t>
  </si>
  <si>
    <t>R3-2025-023128</t>
  </si>
  <si>
    <t>R3-2025-023126</t>
  </si>
  <si>
    <t>R3-2025-026429</t>
  </si>
  <si>
    <t>Sembrano</t>
  </si>
  <si>
    <t>Singat</t>
  </si>
  <si>
    <t>Sulipa</t>
  </si>
  <si>
    <t>Tangcaran</t>
  </si>
  <si>
    <t>Villa Paz</t>
  </si>
  <si>
    <t>Motrico</t>
  </si>
  <si>
    <t>R3-2025-031318</t>
  </si>
  <si>
    <t>Balanoy</t>
  </si>
  <si>
    <t>R3-2025-011691</t>
  </si>
  <si>
    <t>R3-2025-027592</t>
  </si>
  <si>
    <t>Caramutan</t>
  </si>
  <si>
    <t>R3-2025-011693</t>
  </si>
  <si>
    <t>Caut</t>
  </si>
  <si>
    <t>Comillas</t>
  </si>
  <si>
    <t>R3-2025-027590</t>
  </si>
  <si>
    <t>Dumarais</t>
  </si>
  <si>
    <t>Guevarra</t>
  </si>
  <si>
    <t>R3-2025-027598</t>
  </si>
  <si>
    <t>Kapanikian</t>
  </si>
  <si>
    <t>R3-2025-027597</t>
  </si>
  <si>
    <t>Laungcupang</t>
  </si>
  <si>
    <t>R3-2025-027595</t>
  </si>
  <si>
    <t>R3-2025-027600</t>
  </si>
  <si>
    <t>Macalong</t>
  </si>
  <si>
    <t>Matayumtayum</t>
  </si>
  <si>
    <t>Mayang</t>
  </si>
  <si>
    <t>Paludpud</t>
  </si>
  <si>
    <t>R3-2025-031314</t>
  </si>
  <si>
    <t>R3-2025-031312</t>
  </si>
  <si>
    <t>R3-2025-031307</t>
  </si>
  <si>
    <t>R3-2025-031310</t>
  </si>
  <si>
    <t>R3-2025-031321</t>
  </si>
  <si>
    <t>Ambalingit</t>
  </si>
  <si>
    <t>R3-2025-008069</t>
  </si>
  <si>
    <t>Baybayaoas</t>
  </si>
  <si>
    <t>Bigbiga</t>
  </si>
  <si>
    <t>R3-2025-034451</t>
  </si>
  <si>
    <t>Binbinaca</t>
  </si>
  <si>
    <t>Calabtangan</t>
  </si>
  <si>
    <t>Caocaoayan</t>
  </si>
  <si>
    <t>Carabaoan</t>
  </si>
  <si>
    <t>Cubcub</t>
  </si>
  <si>
    <t>R3-2025-008074</t>
  </si>
  <si>
    <t>Gayonggayong</t>
  </si>
  <si>
    <t>Gossood</t>
  </si>
  <si>
    <t>Mamonit</t>
  </si>
  <si>
    <t>R3-2025-034453</t>
  </si>
  <si>
    <t>Maniniog</t>
  </si>
  <si>
    <t>Mapandan</t>
  </si>
  <si>
    <t>R3-2025-034457</t>
  </si>
  <si>
    <t>Nambalan</t>
  </si>
  <si>
    <t>Pedro L. Quines</t>
  </si>
  <si>
    <t>R3-2025-034463</t>
  </si>
  <si>
    <t>Pitombayog</t>
  </si>
  <si>
    <t>R3-2025-034466</t>
  </si>
  <si>
    <t>R3-2025-006965</t>
  </si>
  <si>
    <t>R3-2025-009250</t>
  </si>
  <si>
    <t>Rotrottooc</t>
  </si>
  <si>
    <t>Taldiapan</t>
  </si>
  <si>
    <t>Tangcarang (Melecio Manganaan)</t>
  </si>
  <si>
    <t>R3-2025-034458</t>
  </si>
  <si>
    <t>Ablang-Sapang</t>
  </si>
  <si>
    <t>Aringin</t>
  </si>
  <si>
    <t>R3-2025-004495</t>
  </si>
  <si>
    <t>Atencio</t>
  </si>
  <si>
    <t>Banaoang East</t>
  </si>
  <si>
    <t>R3-2025-034170</t>
  </si>
  <si>
    <t>Banaoang West</t>
  </si>
  <si>
    <t>R3-2025-034172</t>
  </si>
  <si>
    <t>Baquero Norte</t>
  </si>
  <si>
    <t>Baquero Sur</t>
  </si>
  <si>
    <t>R3-2025-034175</t>
  </si>
  <si>
    <t>Calamay</t>
  </si>
  <si>
    <t>Calapan</t>
  </si>
  <si>
    <t>Camangaan East</t>
  </si>
  <si>
    <t>R3-2025-034176</t>
  </si>
  <si>
    <t>Camangaan West</t>
  </si>
  <si>
    <t>R3-2025-031555</t>
  </si>
  <si>
    <t>Camposanto 1 - Norte</t>
  </si>
  <si>
    <t>Camposanto 1 - Sur</t>
  </si>
  <si>
    <t>R3-2025-008838</t>
  </si>
  <si>
    <t>Camposanto 2</t>
  </si>
  <si>
    <t>Capaoayan</t>
  </si>
  <si>
    <t>R3-2025-008837</t>
  </si>
  <si>
    <t>Lapsing</t>
  </si>
  <si>
    <t>R3-2025-016469</t>
  </si>
  <si>
    <t>Maluac</t>
  </si>
  <si>
    <t>R3-2025-016468</t>
  </si>
  <si>
    <t>R3-2025-009290</t>
  </si>
  <si>
    <t>R3-2025-012429</t>
  </si>
  <si>
    <t>Poblacion 4</t>
  </si>
  <si>
    <t>R3-2025-012430</t>
  </si>
  <si>
    <t>San Julian</t>
  </si>
  <si>
    <t>R3-2025-027534</t>
  </si>
  <si>
    <t>San Leon</t>
  </si>
  <si>
    <t>Santa Lucia East</t>
  </si>
  <si>
    <t>Santa Lucia West</t>
  </si>
  <si>
    <t>R3-2025-027535</t>
  </si>
  <si>
    <t>Tolega Norte</t>
  </si>
  <si>
    <t>Tolega Sur</t>
  </si>
  <si>
    <t>Villa</t>
  </si>
  <si>
    <t>Tubectubang</t>
  </si>
  <si>
    <t>R3-2025-031554</t>
  </si>
  <si>
    <t>Abogado</t>
  </si>
  <si>
    <t>R3-2025-004348</t>
  </si>
  <si>
    <t>Acocolao</t>
  </si>
  <si>
    <t>R3-2025-004349</t>
  </si>
  <si>
    <t>Aduas</t>
  </si>
  <si>
    <t>R3-2025-004346</t>
  </si>
  <si>
    <t>Apulid</t>
  </si>
  <si>
    <t>R3-2025-004350</t>
  </si>
  <si>
    <t>Balaoang</t>
  </si>
  <si>
    <t>Barang</t>
  </si>
  <si>
    <t>Brillante</t>
  </si>
  <si>
    <t>Cabayaoasan</t>
  </si>
  <si>
    <t>Carino</t>
  </si>
  <si>
    <t>R3-2025-034779</t>
  </si>
  <si>
    <t>Cayanga</t>
  </si>
  <si>
    <t>R3-2025-034780</t>
  </si>
  <si>
    <t>Colibangbang</t>
  </si>
  <si>
    <t>R3-2025-022161</t>
  </si>
  <si>
    <t>Coral</t>
  </si>
  <si>
    <t>R3-2025-034777</t>
  </si>
  <si>
    <t>Estacion</t>
  </si>
  <si>
    <t>R3-2025-027503</t>
  </si>
  <si>
    <t>Mabilang</t>
  </si>
  <si>
    <t>Manaois</t>
  </si>
  <si>
    <t>Matalapitap</t>
  </si>
  <si>
    <t>R3-2025-027501</t>
  </si>
  <si>
    <t>Nagmisaan</t>
  </si>
  <si>
    <t>Nancamarinan</t>
  </si>
  <si>
    <t>R3-2025-034781</t>
  </si>
  <si>
    <t>Nipaco</t>
  </si>
  <si>
    <t>Patalan</t>
  </si>
  <si>
    <t>R3-2025-016255</t>
  </si>
  <si>
    <t>R3-2025-016257</t>
  </si>
  <si>
    <t>R3-2025-016256</t>
  </si>
  <si>
    <t>R3-2025-034778</t>
  </si>
  <si>
    <t>Salumague</t>
  </si>
  <si>
    <t>R3-2025-020266</t>
  </si>
  <si>
    <t>Samput</t>
  </si>
  <si>
    <t>R3-2025-020267</t>
  </si>
  <si>
    <t>San Juan de Milla</t>
  </si>
  <si>
    <t>Sinigpit</t>
  </si>
  <si>
    <t>Tablang</t>
  </si>
  <si>
    <t>Ventenilla</t>
  </si>
  <si>
    <t>Canan</t>
  </si>
  <si>
    <t>R3-2025-027502</t>
  </si>
  <si>
    <t>R3-2025-007910</t>
  </si>
  <si>
    <t>Cadanglaan</t>
  </si>
  <si>
    <t>R3-2025-007911</t>
  </si>
  <si>
    <t>Estipona</t>
  </si>
  <si>
    <t>Naya</t>
  </si>
  <si>
    <t>Nilasin 1st</t>
  </si>
  <si>
    <t>Nilasin 2nd</t>
  </si>
  <si>
    <t>R3-2025-037109</t>
  </si>
  <si>
    <t>Poroc</t>
  </si>
  <si>
    <t>R3-2025-030818</t>
  </si>
  <si>
    <t>Maungib</t>
  </si>
  <si>
    <t>R3-2025-030820</t>
  </si>
  <si>
    <t>R3-2025-030819</t>
  </si>
  <si>
    <t>Coral-Iloco</t>
  </si>
  <si>
    <t>Guiteb</t>
  </si>
  <si>
    <t>R3-2025-017515</t>
  </si>
  <si>
    <t>Poblacion Center</t>
  </si>
  <si>
    <t>R3-2025-002010</t>
  </si>
  <si>
    <t>R3-2025-017514</t>
  </si>
  <si>
    <t>Toledo</t>
  </si>
  <si>
    <t>R3-2025-028931</t>
  </si>
  <si>
    <t>San Raymundo</t>
  </si>
  <si>
    <t>R3-2025-028932</t>
  </si>
  <si>
    <t>R3-2025-021234</t>
  </si>
  <si>
    <t>Casipo</t>
  </si>
  <si>
    <t>Catagudingan</t>
  </si>
  <si>
    <t>Daldalayap</t>
  </si>
  <si>
    <t>R3-2025-036975</t>
  </si>
  <si>
    <t>Pit-ao</t>
  </si>
  <si>
    <t>R3-2025-036972</t>
  </si>
  <si>
    <t>Doclong 1</t>
  </si>
  <si>
    <t>R3-2025-029020</t>
  </si>
  <si>
    <t>Doclong 2</t>
  </si>
  <si>
    <t>R3-2025-029021</t>
  </si>
  <si>
    <t>David</t>
  </si>
  <si>
    <t>R3-2025-002516</t>
  </si>
  <si>
    <t>Lubigan</t>
  </si>
  <si>
    <t>R3-2025-020242</t>
  </si>
  <si>
    <t>Maamot</t>
  </si>
  <si>
    <t>Mababanaba</t>
  </si>
  <si>
    <t>Moriones</t>
  </si>
  <si>
    <t>Pao</t>
  </si>
  <si>
    <t>San Juan de Valdez</t>
  </si>
  <si>
    <t>R3-2025-002517</t>
  </si>
  <si>
    <t>Sula</t>
  </si>
  <si>
    <t>Villa Aglipay</t>
  </si>
  <si>
    <t>R3-2025-002301</t>
  </si>
  <si>
    <t>Pacpaco</t>
  </si>
  <si>
    <t>R3-2025-032699</t>
  </si>
  <si>
    <t>R3-2025-005365</t>
  </si>
  <si>
    <t>Salcedo</t>
  </si>
  <si>
    <t>R3-2025-032702</t>
  </si>
  <si>
    <t>San Jacinto</t>
  </si>
  <si>
    <t>R3-2025-032703</t>
  </si>
  <si>
    <t>Colubot</t>
  </si>
  <si>
    <t>R3-2025-030838</t>
  </si>
  <si>
    <t>Legaspi</t>
  </si>
  <si>
    <t>R3-2025-030842</t>
  </si>
  <si>
    <t>Matarannoc</t>
  </si>
  <si>
    <t>R3-2025-030845</t>
  </si>
  <si>
    <t>Sta. Ignacia</t>
  </si>
  <si>
    <t>Baldios</t>
  </si>
  <si>
    <t>Botbotones</t>
  </si>
  <si>
    <t>Caanamongan</t>
  </si>
  <si>
    <t>R3-2025-005304</t>
  </si>
  <si>
    <t>R3-2025-005144</t>
  </si>
  <si>
    <t>Cabugbugan</t>
  </si>
  <si>
    <t>R3-2025-018845</t>
  </si>
  <si>
    <t>Caduldulaoan</t>
  </si>
  <si>
    <t>Calipayan</t>
  </si>
  <si>
    <t>R3-2025-018846</t>
  </si>
  <si>
    <t>Macaguing</t>
  </si>
  <si>
    <t>R3-2025-018847</t>
  </si>
  <si>
    <t>R3-2025-011568</t>
  </si>
  <si>
    <t>R3-2025-011569</t>
  </si>
  <si>
    <t>Pilpila</t>
  </si>
  <si>
    <t>Pinpinas</t>
  </si>
  <si>
    <t>Pugo-Cecilio</t>
  </si>
  <si>
    <t>San Sotero</t>
  </si>
  <si>
    <t>Santa Ines Centro</t>
  </si>
  <si>
    <t>Santa Ines East</t>
  </si>
  <si>
    <t>Santa Ines West</t>
  </si>
  <si>
    <t>Taguiporo</t>
  </si>
  <si>
    <t>Timmaguab</t>
  </si>
  <si>
    <t>Vargas</t>
  </si>
  <si>
    <t>Tarlac City (Capital)</t>
  </si>
  <si>
    <t>Care</t>
  </si>
  <si>
    <t>R3-2025-030686</t>
  </si>
  <si>
    <t>Cut-cut II</t>
  </si>
  <si>
    <t>Laoang</t>
  </si>
  <si>
    <t>R3-2025-030689</t>
  </si>
  <si>
    <t>R3-2025-030690</t>
  </si>
  <si>
    <t>R3-2025-030691</t>
  </si>
  <si>
    <t>Tariji</t>
  </si>
  <si>
    <t>R3-2025-026452</t>
  </si>
  <si>
    <t>Aguso</t>
  </si>
  <si>
    <t>Alvindia Segundo</t>
  </si>
  <si>
    <t>Amucao</t>
  </si>
  <si>
    <t>Armenia</t>
  </si>
  <si>
    <t>Asturias</t>
  </si>
  <si>
    <t>Atioc</t>
  </si>
  <si>
    <t>Balanti</t>
  </si>
  <si>
    <t>Balete</t>
  </si>
  <si>
    <t>Balibago I</t>
  </si>
  <si>
    <t>R3-2025-018851</t>
  </si>
  <si>
    <t>Balibago II</t>
  </si>
  <si>
    <t>Balingcanaway</t>
  </si>
  <si>
    <t>Baras-baras</t>
  </si>
  <si>
    <t>Batang-batang</t>
  </si>
  <si>
    <t>Binauganan</t>
  </si>
  <si>
    <t>Bora</t>
  </si>
  <si>
    <t>Buhilit</t>
  </si>
  <si>
    <t>Burot</t>
  </si>
  <si>
    <t>R3-2025-017504</t>
  </si>
  <si>
    <t>Calingcuan</t>
  </si>
  <si>
    <t>Capehan</t>
  </si>
  <si>
    <t>Carangian</t>
  </si>
  <si>
    <t>Culipat</t>
  </si>
  <si>
    <t>Cut-cut I</t>
  </si>
  <si>
    <t>Dela Paz</t>
  </si>
  <si>
    <t>R3-2025-002069</t>
  </si>
  <si>
    <t>Ligtasan</t>
  </si>
  <si>
    <t>Mapalacsiao</t>
  </si>
  <si>
    <t>R3-2025-002070</t>
  </si>
  <si>
    <t>Matadero</t>
  </si>
  <si>
    <t>Matatalaib</t>
  </si>
  <si>
    <t>Paraiso</t>
  </si>
  <si>
    <t>R3-2025-011232</t>
  </si>
  <si>
    <t>San Jose de Urquico</t>
  </si>
  <si>
    <t>San Juan de Mata</t>
  </si>
  <si>
    <t>R3-2025-007983</t>
  </si>
  <si>
    <t>R3-2025-007981</t>
  </si>
  <si>
    <t>R3-2025-023122</t>
  </si>
  <si>
    <t>R3-2025-023124</t>
  </si>
  <si>
    <t>R3-2025-002078</t>
  </si>
  <si>
    <t>R3-2025-002077</t>
  </si>
  <si>
    <t>1.	The technical personnel from the Ecological Solid Waste Management Section (ESWM) will reschedule and revisit the barangay to provide technical assistance for the MRF or MRS in their solid waste management.</t>
  </si>
  <si>
    <t>Sapang Maragul</t>
  </si>
  <si>
    <t>Sapang Tagalog</t>
  </si>
  <si>
    <t>Sepung Calzada</t>
  </si>
  <si>
    <t>Sinait</t>
  </si>
  <si>
    <t>Suizo</t>
  </si>
  <si>
    <t>Trinidad</t>
  </si>
  <si>
    <t>Ungot</t>
  </si>
  <si>
    <t>Villa Bacolor</t>
  </si>
  <si>
    <t>R3-2025-011231</t>
  </si>
  <si>
    <t>R3-2025-031073</t>
  </si>
  <si>
    <t>Baculong</t>
  </si>
  <si>
    <t>R3-2025-016244</t>
  </si>
  <si>
    <t>Balayang</t>
  </si>
  <si>
    <t>Balbaloto</t>
  </si>
  <si>
    <t>R3-2025-027536</t>
  </si>
  <si>
    <t>Bangar</t>
  </si>
  <si>
    <t>R3-2025-027544</t>
  </si>
  <si>
    <t>Batangbatang</t>
  </si>
  <si>
    <t>Bulo</t>
  </si>
  <si>
    <t>R3-2025-027527</t>
  </si>
  <si>
    <t>Cabuluan</t>
  </si>
  <si>
    <t>R3-2025-027540</t>
  </si>
  <si>
    <t>Calibungan</t>
  </si>
  <si>
    <t>Canarem</t>
  </si>
  <si>
    <t>R3-2025-005459</t>
  </si>
  <si>
    <t>R3-2025-027533</t>
  </si>
  <si>
    <t>Lalapac</t>
  </si>
  <si>
    <t>R3-2025-027266</t>
  </si>
  <si>
    <t>Maluid</t>
  </si>
  <si>
    <t>Mangolago</t>
  </si>
  <si>
    <t>R3-2025-005460</t>
  </si>
  <si>
    <t>Masalasa</t>
  </si>
  <si>
    <t>R3-2025-005461</t>
  </si>
  <si>
    <t>R3-2025-031661</t>
  </si>
  <si>
    <t>R3-2025-016612</t>
  </si>
  <si>
    <t>San Fernando (Pob.)</t>
  </si>
  <si>
    <t>R3-2025-031650</t>
  </si>
  <si>
    <t>San Gavino (Pob.)</t>
  </si>
  <si>
    <t>R3-2025-016617</t>
  </si>
  <si>
    <t>R3-2025-016247</t>
  </si>
  <si>
    <t>R3-2025-031656</t>
  </si>
  <si>
    <t>Bangan</t>
  </si>
  <si>
    <t>R3-2025-034512</t>
  </si>
  <si>
    <t>Batonlapoc</t>
  </si>
  <si>
    <t>R3-2025-031058</t>
  </si>
  <si>
    <t>Belbel</t>
  </si>
  <si>
    <t>R3-2025-027723</t>
  </si>
  <si>
    <t>Beneg</t>
  </si>
  <si>
    <t>R3-2025-034509</t>
  </si>
  <si>
    <t>Binuclutan</t>
  </si>
  <si>
    <t>R3-2025-016768</t>
  </si>
  <si>
    <t>R3-2025-034465</t>
  </si>
  <si>
    <t>R3-2025-031060</t>
  </si>
  <si>
    <t>Capayawan</t>
  </si>
  <si>
    <t>R3-2025-034511</t>
  </si>
  <si>
    <t>R3-2025-016771</t>
  </si>
  <si>
    <t>Danacbunga</t>
  </si>
  <si>
    <t>R3-2025-034513</t>
  </si>
  <si>
    <t>Maguisguis</t>
  </si>
  <si>
    <t>R3-2025-027720</t>
  </si>
  <si>
    <t>Malomboy</t>
  </si>
  <si>
    <t>R3-2025-031059</t>
  </si>
  <si>
    <t xml:space="preserve"> R3-2025-034459</t>
  </si>
  <si>
    <t>Moraza</t>
  </si>
  <si>
    <t>R3-2025-034461</t>
  </si>
  <si>
    <t>Nacolcol</t>
  </si>
  <si>
    <t>R3-2025-034464</t>
  </si>
  <si>
    <t>Owaog-Nibloc</t>
  </si>
  <si>
    <t>R3-2025-027722</t>
  </si>
  <si>
    <t>Paco (Pob.)</t>
  </si>
  <si>
    <t>Palis</t>
  </si>
  <si>
    <t>R3-2025-027718</t>
  </si>
  <si>
    <t>R3-2025-031056</t>
  </si>
  <si>
    <t>Parel</t>
  </si>
  <si>
    <t>R3-2025-034515</t>
  </si>
  <si>
    <t>Paudpod</t>
  </si>
  <si>
    <t>Poonbato</t>
  </si>
  <si>
    <t>R3-2025-027721</t>
  </si>
  <si>
    <t>R3-2025-034506</t>
  </si>
  <si>
    <t>R3-2025-031061</t>
  </si>
  <si>
    <t>Tampo (Pob.)</t>
  </si>
  <si>
    <t xml:space="preserve">R3-2025-031062	</t>
  </si>
  <si>
    <t>Villar</t>
  </si>
  <si>
    <t>R3-2025-027719</t>
  </si>
  <si>
    <t>Anonang</t>
  </si>
  <si>
    <t>R3-2025-016773</t>
  </si>
  <si>
    <t>Apo-apo</t>
  </si>
  <si>
    <t>Arew</t>
  </si>
  <si>
    <t>R3-2025-031063</t>
  </si>
  <si>
    <t>Banuambayo (Pob.)</t>
  </si>
  <si>
    <t>Cadmang-Reserva</t>
  </si>
  <si>
    <t xml:space="preserve"> R3-2025-035040</t>
  </si>
  <si>
    <t>R3-2025-019917</t>
  </si>
  <si>
    <t>Casabaan</t>
  </si>
  <si>
    <t>R3-2025-005888</t>
  </si>
  <si>
    <t>Del Carmen (Pob.)</t>
  </si>
  <si>
    <t>R3-2025-031064</t>
  </si>
  <si>
    <t>Dolores (Pob.)</t>
  </si>
  <si>
    <t>R3-2025-009174</t>
  </si>
  <si>
    <t>Felmida-Diaz</t>
  </si>
  <si>
    <t>R3-2025-031067</t>
  </si>
  <si>
    <t>Laoag</t>
  </si>
  <si>
    <t>R3-2025-031068</t>
  </si>
  <si>
    <t>R3-2025-019918</t>
  </si>
  <si>
    <t>Mabanglit</t>
  </si>
  <si>
    <t>R3-2025-031069</t>
  </si>
  <si>
    <t>New San Juan</t>
  </si>
  <si>
    <t>R3-2025-031070</t>
  </si>
  <si>
    <t>R3-2025-031071</t>
  </si>
  <si>
    <t>R3-2025-012821</t>
  </si>
  <si>
    <t>R3-2025-035034</t>
  </si>
  <si>
    <t>Tondo</t>
  </si>
  <si>
    <t>R3-2025-016774</t>
  </si>
  <si>
    <t>Babancal</t>
  </si>
  <si>
    <t>R3-2025-011518</t>
  </si>
  <si>
    <t>Binabalian</t>
  </si>
  <si>
    <t>Catol</t>
  </si>
  <si>
    <t>Dampay</t>
  </si>
  <si>
    <t>R3-2025-008143</t>
  </si>
  <si>
    <t>Lauis</t>
  </si>
  <si>
    <t>Libertador</t>
  </si>
  <si>
    <t>R3-2025-008141</t>
  </si>
  <si>
    <t>Malabon</t>
  </si>
  <si>
    <t>November 14, 2024</t>
  </si>
  <si>
    <t>Malimanga</t>
  </si>
  <si>
    <t>Pamibian</t>
  </si>
  <si>
    <t>Panayonan</t>
  </si>
  <si>
    <t>R3-2025-037567</t>
  </si>
  <si>
    <t>R3-2025-010766</t>
  </si>
  <si>
    <t>R3-2025-008072</t>
  </si>
  <si>
    <t>Sinabacan</t>
  </si>
  <si>
    <t>Taposo</t>
  </si>
  <si>
    <t>R3-2025-011539</t>
  </si>
  <si>
    <t>Uacon</t>
  </si>
  <si>
    <t>Yamot</t>
  </si>
  <si>
    <t>Balaybay</t>
  </si>
  <si>
    <t>R3-2025-027578</t>
  </si>
  <si>
    <t>R3-2025-027579</t>
  </si>
  <si>
    <t>Looc</t>
  </si>
  <si>
    <t>R3-2025-027581</t>
  </si>
  <si>
    <t>R3-2025-027580</t>
  </si>
  <si>
    <t>Nagbunga</t>
  </si>
  <si>
    <t>R3-2025-001649</t>
  </si>
  <si>
    <t>Iba (Capital)</t>
  </si>
  <si>
    <t>Lipay-Dingin-Panibuatan</t>
  </si>
  <si>
    <t>Palanginan</t>
  </si>
  <si>
    <t>Zone 1 Pob.</t>
  </si>
  <si>
    <t>Zone 2 Pob.</t>
  </si>
  <si>
    <t>Zone 3 Pob.</t>
  </si>
  <si>
    <t>Zone 4 Pob.</t>
  </si>
  <si>
    <t>Zone 5 Pob.</t>
  </si>
  <si>
    <t>Zone 6 Pob.</t>
  </si>
  <si>
    <t>R3-2025-008721</t>
  </si>
  <si>
    <t>R3-2025-005837</t>
  </si>
  <si>
    <t>Collat</t>
  </si>
  <si>
    <t>R3-2025-008882</t>
  </si>
  <si>
    <t>Inhobol</t>
  </si>
  <si>
    <t>R3-2025-005838</t>
  </si>
  <si>
    <t>San Salvador</t>
  </si>
  <si>
    <t>R3-2025-005836</t>
  </si>
  <si>
    <t>R3-2025-031556</t>
  </si>
  <si>
    <t>Banicain</t>
  </si>
  <si>
    <t>R3-2025-031559</t>
  </si>
  <si>
    <t>Barreto</t>
  </si>
  <si>
    <t>East Bajac-bajac</t>
  </si>
  <si>
    <t xml:space="preserve"> R3-2025-031557</t>
  </si>
  <si>
    <t>East Tapinac</t>
  </si>
  <si>
    <t>R3-2025-031558</t>
  </si>
  <si>
    <t>Gordon Heights</t>
  </si>
  <si>
    <t>Kalaklan</t>
  </si>
  <si>
    <t>Mabayuan</t>
  </si>
  <si>
    <t>New Ilalim</t>
  </si>
  <si>
    <t>R3-2025-031560</t>
  </si>
  <si>
    <t>New Kababae</t>
  </si>
  <si>
    <t>R3-2025-031561</t>
  </si>
  <si>
    <t>New Kalalake</t>
  </si>
  <si>
    <t>R3-2025-031562</t>
  </si>
  <si>
    <t>Old Cabalan</t>
  </si>
  <si>
    <t>R3-2025-031563</t>
  </si>
  <si>
    <t>West Bajac-bajac</t>
  </si>
  <si>
    <t>R3-2025-031564</t>
  </si>
  <si>
    <t>West Tapinac</t>
  </si>
  <si>
    <t>R3-2025-031565</t>
  </si>
  <si>
    <t>Alwa</t>
  </si>
  <si>
    <t>Bato</t>
  </si>
  <si>
    <t>Bulawen</t>
  </si>
  <si>
    <t>R3-2025-002215</t>
  </si>
  <si>
    <t>Cauyan</t>
  </si>
  <si>
    <t>East Poblacion</t>
  </si>
  <si>
    <t>Garreta</t>
  </si>
  <si>
    <t>Libaba</t>
  </si>
  <si>
    <t>Liozon</t>
  </si>
  <si>
    <t>R3-2025-005514</t>
  </si>
  <si>
    <t>Lipay</t>
  </si>
  <si>
    <t>R3-2025-005515</t>
  </si>
  <si>
    <t>Locloc</t>
  </si>
  <si>
    <t>R3-2025-005516</t>
  </si>
  <si>
    <t>Macarang</t>
  </si>
  <si>
    <t>Magalawa</t>
  </si>
  <si>
    <t>Pangolingan</t>
  </si>
  <si>
    <t xml:space="preserve">R3-2025-005517 </t>
  </si>
  <si>
    <t>Tition (San Vicente)</t>
  </si>
  <si>
    <t>R3-2025-007991</t>
  </si>
  <si>
    <t>R3-2025-024177</t>
  </si>
  <si>
    <t>Antipolo (Pob.)</t>
  </si>
  <si>
    <t>R3-2025-024182</t>
  </si>
  <si>
    <t>East Dirita</t>
  </si>
  <si>
    <t>R3-2025-024059</t>
  </si>
  <si>
    <t>Luna (Pob.)</t>
  </si>
  <si>
    <t>R3-2025-024183</t>
  </si>
  <si>
    <t>R3-2025-024057</t>
  </si>
  <si>
    <t>San Gregorio (Pob.)</t>
  </si>
  <si>
    <t>R3-2025-024185</t>
  </si>
  <si>
    <t>R3-2025-024063</t>
  </si>
  <si>
    <t>West Dirita</t>
  </si>
  <si>
    <t>Amagna (Pob.)</t>
  </si>
  <si>
    <t>R3-2025-035072</t>
  </si>
  <si>
    <t>Apostol (Pob.)</t>
  </si>
  <si>
    <t>R3-2025-012822</t>
  </si>
  <si>
    <t>Balincaguing</t>
  </si>
  <si>
    <t>R3-2025-037778</t>
  </si>
  <si>
    <t>Farañal (Pob.)</t>
  </si>
  <si>
    <t>Feria (Pob.)</t>
  </si>
  <si>
    <t>R3-2025-035073</t>
  </si>
  <si>
    <t>Maloma</t>
  </si>
  <si>
    <t>Manglicmot (Pob.)</t>
  </si>
  <si>
    <t>Larizze anne Santos</t>
  </si>
  <si>
    <t>R3-2025-016727</t>
  </si>
  <si>
    <t>Rosete (Pob.)</t>
  </si>
  <si>
    <t>R3-2025-016777</t>
  </si>
  <si>
    <t>R3-2025-016778</t>
  </si>
  <si>
    <t>Sindol</t>
  </si>
  <si>
    <t>R3-2025-035070</t>
  </si>
  <si>
    <t>Aglao</t>
  </si>
  <si>
    <t>Buhawen</t>
  </si>
  <si>
    <t>Central (Pob.)</t>
  </si>
  <si>
    <t>R3-2025-027935</t>
  </si>
  <si>
    <t>Consuelo Norte</t>
  </si>
  <si>
    <t>Consuelo Sur (Pob.)</t>
  </si>
  <si>
    <t>R3-2025-027908</t>
  </si>
  <si>
    <t>La Paz (Pob.)</t>
  </si>
  <si>
    <t>R3-2025-027937</t>
  </si>
  <si>
    <t>R3-2025-027939</t>
  </si>
  <si>
    <t>R3-2025-027941</t>
  </si>
  <si>
    <t>Linusungan</t>
  </si>
  <si>
    <t>R3-2025-027907</t>
  </si>
  <si>
    <t>Lucero (Pob.)</t>
  </si>
  <si>
    <t>R3-2025-020245</t>
  </si>
  <si>
    <t>Rabanes</t>
  </si>
  <si>
    <t>R3-2025-027909</t>
  </si>
  <si>
    <t>R3-2025-020094</t>
  </si>
  <si>
    <t>San Guillermo (Pob.)</t>
  </si>
  <si>
    <t>R3-2025-020093</t>
  </si>
  <si>
    <t>Santa Fe</t>
  </si>
  <si>
    <t>R3-2025-027936</t>
  </si>
  <si>
    <t>Alusiis</t>
  </si>
  <si>
    <t>R3-2025-005887</t>
  </si>
  <si>
    <t>Beddeng</t>
  </si>
  <si>
    <t>Candelaria (Pob.)</t>
  </si>
  <si>
    <t>R3-2025-024084</t>
  </si>
  <si>
    <t>Dallipawen</t>
  </si>
  <si>
    <t>Grullo</t>
  </si>
  <si>
    <t>Libertad (Pob.)</t>
  </si>
  <si>
    <t>R3-2025-009178</t>
  </si>
  <si>
    <t>Namatacan</t>
  </si>
  <si>
    <t>Natividad (Pob.)</t>
  </si>
  <si>
    <t>R3-2025-023909</t>
  </si>
  <si>
    <t>Omaya</t>
  </si>
  <si>
    <t>Paite</t>
  </si>
  <si>
    <t>Patrocinio (Pob.)</t>
  </si>
  <si>
    <t>R3-2025-024406</t>
  </si>
  <si>
    <t>R3-2025-024086</t>
  </si>
  <si>
    <t>R3-2025-024085</t>
  </si>
  <si>
    <t>San Pascual (Pob.)</t>
  </si>
  <si>
    <t>R3-2025-009180</t>
  </si>
  <si>
    <t>San Rafael (Pob.)</t>
  </si>
  <si>
    <t>R3-2025-023479</t>
  </si>
  <si>
    <t>Siminublan</t>
  </si>
  <si>
    <t>Babuyan</t>
  </si>
  <si>
    <t>Bangcol</t>
  </si>
  <si>
    <t>Bayto</t>
  </si>
  <si>
    <t>R3-2025-008891</t>
  </si>
  <si>
    <t>Biay</t>
  </si>
  <si>
    <t>Bolitoc</t>
  </si>
  <si>
    <t>R3-2025-016930</t>
  </si>
  <si>
    <t>Bulawon</t>
  </si>
  <si>
    <t>Canaynayan</t>
  </si>
  <si>
    <t>R3-2025-016928</t>
  </si>
  <si>
    <t>Gama</t>
  </si>
  <si>
    <t>R3-2025-011560</t>
  </si>
  <si>
    <t>Guinabon</t>
  </si>
  <si>
    <t>R3-2025-020100</t>
  </si>
  <si>
    <t>Guisguis</t>
  </si>
  <si>
    <t>R3-2025-020099</t>
  </si>
  <si>
    <t>R3-2025-011639</t>
  </si>
  <si>
    <t>R3-2025-020098</t>
  </si>
  <si>
    <t>Lucapon North</t>
  </si>
  <si>
    <t>Lucapon South</t>
  </si>
  <si>
    <t>Malabago</t>
  </si>
  <si>
    <t>Naulo</t>
  </si>
  <si>
    <t>Pagatpat</t>
  </si>
  <si>
    <t>Pamonoran</t>
  </si>
  <si>
    <t xml:space="preserve">R3-2025-016927	</t>
  </si>
  <si>
    <t>R3-2025-012600</t>
  </si>
  <si>
    <t>R3-2025-016929</t>
  </si>
  <si>
    <t xml:space="preserve">R3-2025-020096	</t>
  </si>
  <si>
    <t>Tabalong</t>
  </si>
  <si>
    <t>R3-2025-011571</t>
  </si>
  <si>
    <t>Tubotubo North</t>
  </si>
  <si>
    <t>R3-2025-020097</t>
  </si>
  <si>
    <t>Tubotubo South</t>
  </si>
  <si>
    <t>R3-2025-037775</t>
  </si>
  <si>
    <t>Aningway Sacatihan</t>
  </si>
  <si>
    <t>Asinan Poblacion</t>
  </si>
  <si>
    <t>R3-2025-034647</t>
  </si>
  <si>
    <t>Asinan Proper</t>
  </si>
  <si>
    <t>R3-2025-034995</t>
  </si>
  <si>
    <t>Baraca-Camachile (Pob.)</t>
  </si>
  <si>
    <t>R3-2025-034998</t>
  </si>
  <si>
    <t>Batiawan</t>
  </si>
  <si>
    <t>Calapacuan</t>
  </si>
  <si>
    <t>R3-2025-037562</t>
  </si>
  <si>
    <t>Calapandayan (Pob.)</t>
  </si>
  <si>
    <t>R3-2025-037563</t>
  </si>
  <si>
    <t>Cawag</t>
  </si>
  <si>
    <t>R3-2025-034996</t>
  </si>
  <si>
    <t>Ilwas (Pob.)</t>
  </si>
  <si>
    <t>R3-2025-037564</t>
  </si>
  <si>
    <t>Mangan-Vaca</t>
  </si>
  <si>
    <t>R3-2025-034646</t>
  </si>
  <si>
    <t>Matain</t>
  </si>
  <si>
    <t xml:space="preserve"> R3-2025-037566</t>
  </si>
  <si>
    <t>Pamatawan</t>
  </si>
  <si>
    <t>Wawandue (Pob.)</t>
  </si>
  <si>
    <t>R3-2025-034997</t>
  </si>
  <si>
    <t>Date  Submitted to IIS</t>
  </si>
  <si>
    <t>Activity Report (IIS Number)</t>
  </si>
  <si>
    <t>Date forwarded by ESWM to EMED</t>
  </si>
  <si>
    <t>Date Forwarded to Planning</t>
  </si>
  <si>
    <t>R3-2024-010226</t>
  </si>
  <si>
    <t>R3-2024-017263</t>
  </si>
  <si>
    <t>R3-2024-014294</t>
  </si>
  <si>
    <t xml:space="preserve">R3-2024-014974	</t>
  </si>
  <si>
    <t>R3-2024-025342</t>
  </si>
  <si>
    <t>R3-2024-024391</t>
  </si>
  <si>
    <t>R3-2024-017195</t>
  </si>
  <si>
    <t>R3-2024-024394</t>
  </si>
  <si>
    <t xml:space="preserve"> R3-2024-025283</t>
  </si>
  <si>
    <t>R3-2024-006789</t>
  </si>
  <si>
    <t>R3-2024-017220</t>
  </si>
  <si>
    <t>R3-2024-025314</t>
  </si>
  <si>
    <t>R3-2024-006165</t>
  </si>
  <si>
    <t>R3-2024-006093</t>
  </si>
  <si>
    <t>R3-2024-006610</t>
  </si>
  <si>
    <t>R3-2024-006612</t>
  </si>
  <si>
    <t>R3-2024-016506</t>
  </si>
  <si>
    <t>R3-2024-016507</t>
  </si>
  <si>
    <t>R3-2024-016509</t>
  </si>
  <si>
    <t>R3-2024-017138</t>
  </si>
  <si>
    <t>R3-2024-010128</t>
  </si>
  <si>
    <t>R3-2024-020843</t>
  </si>
  <si>
    <t>R3-2024-014193</t>
  </si>
  <si>
    <t xml:space="preserve"> R3-2024-021724</t>
  </si>
  <si>
    <t>R3-2024-036276</t>
  </si>
  <si>
    <t>Received by planning</t>
  </si>
  <si>
    <t>R3-2024-040316</t>
  </si>
  <si>
    <t>R3-2024-014192</t>
  </si>
  <si>
    <t>R3-2024-037224</t>
  </si>
  <si>
    <t>R3-2024-040318</t>
  </si>
  <si>
    <t>R3-2024-037223</t>
  </si>
  <si>
    <t>R3-2024-032339</t>
  </si>
  <si>
    <t>R3-2024-042579</t>
  </si>
  <si>
    <t>R3-2024-032340</t>
  </si>
  <si>
    <t>R3-2024-036275</t>
  </si>
  <si>
    <t>R3-2024-010129</t>
  </si>
  <si>
    <t>R3-2024-042580</t>
  </si>
  <si>
    <t>R3-2024-039564</t>
  </si>
  <si>
    <t>R3-2024-039565</t>
  </si>
  <si>
    <t>R3-2024-033063</t>
  </si>
  <si>
    <t>R3-2024-039460</t>
  </si>
  <si>
    <t>R3-2024-037072</t>
  </si>
  <si>
    <t>R3-2024-033057</t>
  </si>
  <si>
    <t>R3-2024-037075</t>
  </si>
  <si>
    <t>R3-2024-040615</t>
  </si>
  <si>
    <t>R3-2024-032479</t>
  </si>
  <si>
    <t>R3-2024-010124</t>
  </si>
  <si>
    <t>R3-2024-010127</t>
  </si>
  <si>
    <t>R3-2024-036436</t>
  </si>
  <si>
    <t>R3-2024-013886</t>
  </si>
  <si>
    <t>R3-2024-032477</t>
  </si>
  <si>
    <t>R3-2024-020844</t>
  </si>
  <si>
    <t>R3-2024-013901</t>
  </si>
  <si>
    <t>R3-2024-020845</t>
  </si>
  <si>
    <t>R3-2024-040792</t>
  </si>
  <si>
    <t>R3-2024-040790</t>
  </si>
  <si>
    <t>R3-2024-040775</t>
  </si>
  <si>
    <t>R3-2024-032364</t>
  </si>
  <si>
    <t>R3-2024-010414</t>
  </si>
  <si>
    <t>R3-2024-017190</t>
  </si>
  <si>
    <t>R3-2024-040765</t>
  </si>
  <si>
    <t>R3-2024-010420</t>
  </si>
  <si>
    <t>R3-2024-017205</t>
  </si>
  <si>
    <t>R3-2024-040789</t>
  </si>
  <si>
    <t>R3-2024-036132</t>
  </si>
  <si>
    <t>R3-2024-021731</t>
  </si>
  <si>
    <t>R3-2024-040526</t>
  </si>
  <si>
    <t>R3-2024-040375</t>
  </si>
  <si>
    <t>R3-2024-040376</t>
  </si>
  <si>
    <t>R3-2024-040527</t>
  </si>
  <si>
    <t>R3-2024-029396</t>
  </si>
  <si>
    <t>R3-2024-029398</t>
  </si>
  <si>
    <t>R3-2024-029392</t>
  </si>
  <si>
    <t>R3-2024-029391</t>
  </si>
  <si>
    <t>R3-2024-028242</t>
  </si>
  <si>
    <t>R3-2024-010270</t>
  </si>
  <si>
    <t>R3-2024-036129</t>
  </si>
  <si>
    <t>R3-2024-033346</t>
  </si>
  <si>
    <t>R3-2024-036443</t>
  </si>
  <si>
    <t>R3-2024-033345</t>
  </si>
  <si>
    <t>R3-2024-028501</t>
  </si>
  <si>
    <t xml:space="preserve"> R3-2024-032671</t>
  </si>
  <si>
    <t>R3-2024-032678</t>
  </si>
  <si>
    <t>No MRF / MRS constructed</t>
  </si>
  <si>
    <t>R3-2024-021746</t>
  </si>
  <si>
    <t>R3-2024-040183</t>
  </si>
  <si>
    <t>R3-2024-036441</t>
  </si>
  <si>
    <t>R3-2024-036588</t>
  </si>
  <si>
    <t>R3-2024-020362</t>
  </si>
  <si>
    <t>R3-2024-024879</t>
  </si>
  <si>
    <t>R3-2024-021205</t>
  </si>
  <si>
    <t>R3-2024-033038</t>
  </si>
  <si>
    <t>R3-2024-013430</t>
  </si>
  <si>
    <t>R3-2024-014063</t>
  </si>
  <si>
    <t>R3-2024-006049</t>
  </si>
  <si>
    <t>R3-2024-027978</t>
  </si>
  <si>
    <t>R3-2024-027977</t>
  </si>
  <si>
    <t>R3-2024-033046</t>
  </si>
  <si>
    <t>R3-2024-006041</t>
  </si>
  <si>
    <t>R3-2024-032046</t>
  </si>
  <si>
    <t>R3-2024-010026</t>
  </si>
  <si>
    <t>R3-2024-024881</t>
  </si>
  <si>
    <t>R3-2024-036236</t>
  </si>
  <si>
    <t>R3-2024-016633</t>
  </si>
  <si>
    <t>R3-2024-028935</t>
  </si>
  <si>
    <t>R3-2024-037254</t>
  </si>
  <si>
    <t>R3-2024-037226</t>
  </si>
  <si>
    <t>R3-2024-036555</t>
  </si>
  <si>
    <t>R3-2024-006046</t>
  </si>
  <si>
    <t>R3-2024-010029</t>
  </si>
  <si>
    <t>R3-2024-028936</t>
  </si>
  <si>
    <t>R3-2024-032047</t>
  </si>
  <si>
    <t>R3-2024-040313</t>
  </si>
  <si>
    <t>R3-2024-036550</t>
  </si>
  <si>
    <t>R3-2024-024882</t>
  </si>
  <si>
    <t xml:space="preserve">R3-2024-016681 </t>
  </si>
  <si>
    <t>R3-2024-033054</t>
  </si>
  <si>
    <t>R3-2024-014293</t>
  </si>
  <si>
    <t>R3-2024- 006050</t>
  </si>
  <si>
    <t>R3-2024-012430</t>
  </si>
  <si>
    <t>R3-2024-020513</t>
  </si>
  <si>
    <t>R3-2024-021204</t>
  </si>
  <si>
    <t>R3-2024-027976</t>
  </si>
  <si>
    <t>R3-2024-037260</t>
  </si>
  <si>
    <t>R3-2024-040590</t>
  </si>
  <si>
    <t>R3-2024-024880</t>
  </si>
  <si>
    <t xml:space="preserve">R3-2024-036244	</t>
  </si>
  <si>
    <t>R3-2024-014253</t>
  </si>
  <si>
    <t>R3-2024-010349</t>
  </si>
  <si>
    <t>R3-2024-006923</t>
  </si>
  <si>
    <t>R3-2024-006787</t>
  </si>
  <si>
    <t>R3-2024-036137</t>
  </si>
  <si>
    <t>R3-2024-040812</t>
  </si>
  <si>
    <t>R3-2024-010225</t>
  </si>
  <si>
    <t xml:space="preserve"> R3-2024-021751</t>
  </si>
  <si>
    <t>R3-2024-032366</t>
  </si>
  <si>
    <t>R3-2024-014265</t>
  </si>
  <si>
    <t>R3-2024-006924</t>
  </si>
  <si>
    <t>R3-2024-021838</t>
  </si>
  <si>
    <t>R3-2024-032371</t>
  </si>
  <si>
    <t>R3-2024-018031</t>
  </si>
  <si>
    <t>May 27, 2024</t>
  </si>
  <si>
    <t>R3-2024-019273</t>
  </si>
  <si>
    <t>R3-2024-007160</t>
  </si>
  <si>
    <t>May 06, 2024</t>
  </si>
  <si>
    <t>R3-2024-016402</t>
  </si>
  <si>
    <t>R3-2024-011440</t>
  </si>
  <si>
    <t>R3-2024-014858</t>
  </si>
  <si>
    <t>R3-2024-012090</t>
  </si>
  <si>
    <t>R3-2024-012088</t>
  </si>
  <si>
    <t>July 08, 2024</t>
  </si>
  <si>
    <t>R3-2024-024463</t>
  </si>
  <si>
    <t>April 29, 2024</t>
  </si>
  <si>
    <t>R3-2024-015645</t>
  </si>
  <si>
    <t>April 08, 2024</t>
  </si>
  <si>
    <t>R3-2024-035242</t>
  </si>
  <si>
    <t>October 07, 2024</t>
  </si>
  <si>
    <t>R3-2024-035808</t>
  </si>
  <si>
    <t>R3-2024-040003</t>
  </si>
  <si>
    <t>September 23, 2024</t>
  </si>
  <si>
    <t>R3-2024-033888</t>
  </si>
  <si>
    <t>R3-2024-039205</t>
  </si>
  <si>
    <t>R3-2024-038495</t>
  </si>
  <si>
    <t>September 16, 2024</t>
  </si>
  <si>
    <t>R3-2024-032798</t>
  </si>
  <si>
    <t>R3-2024-039998</t>
  </si>
  <si>
    <t>R3-2024-040006</t>
  </si>
  <si>
    <t>R3-2024-034508</t>
  </si>
  <si>
    <t>R3-2024-039209</t>
  </si>
  <si>
    <t>R3-2024-038136</t>
  </si>
  <si>
    <t>R3-2024-037045</t>
  </si>
  <si>
    <t>R3-2024-010987</t>
  </si>
  <si>
    <t>R3-2024-021794</t>
  </si>
  <si>
    <t>R3-2024-008375</t>
  </si>
  <si>
    <t>June 11, 2024</t>
  </si>
  <si>
    <t>R3-2024-021118</t>
  </si>
  <si>
    <t>R3-2024-008372</t>
  </si>
  <si>
    <t>R3-2024-007527</t>
  </si>
  <si>
    <t>R3-2024-024461</t>
  </si>
  <si>
    <t>R3-2024-012092</t>
  </si>
  <si>
    <t>R3-2024-012091</t>
  </si>
  <si>
    <t>R3-2024-012563</t>
  </si>
  <si>
    <t>R3-2024-040036</t>
  </si>
  <si>
    <t>R3-2024-019280</t>
  </si>
  <si>
    <t>R3-2024-019768</t>
  </si>
  <si>
    <t>R3-2024-016404</t>
  </si>
  <si>
    <t>R3-2024-035900</t>
  </si>
  <si>
    <t>R3-2024-015648</t>
  </si>
  <si>
    <t>R3-2024-033917</t>
  </si>
  <si>
    <t>May 13, 2024</t>
  </si>
  <si>
    <t>R3-2024-017295</t>
  </si>
  <si>
    <t>May 15, 2024</t>
  </si>
  <si>
    <t>R3-2024-010988</t>
  </si>
  <si>
    <t>R3-2024-021792</t>
  </si>
  <si>
    <t>R3-2024-018942</t>
  </si>
  <si>
    <t>R3-2024-034252</t>
  </si>
  <si>
    <t>October 11, 2024</t>
  </si>
  <si>
    <t>R3-2024-036566</t>
  </si>
  <si>
    <t>R3-2024-007774</t>
  </si>
  <si>
    <t>R3-2024-011053</t>
  </si>
  <si>
    <t>September 02, 2024</t>
  </si>
  <si>
    <t>R3-2024-031009</t>
  </si>
  <si>
    <t>R3-2024-033238</t>
  </si>
  <si>
    <t>June 24, 2024</t>
  </si>
  <si>
    <t>R3-2024-022532</t>
  </si>
  <si>
    <t>R3-2024-012236</t>
  </si>
  <si>
    <t>R3-2024-040057</t>
  </si>
  <si>
    <t>R3-2024-025331</t>
  </si>
  <si>
    <t>R3-2024-035212</t>
  </si>
  <si>
    <t>R3-2024-035201</t>
  </si>
  <si>
    <t>R3-2024-015545</t>
  </si>
  <si>
    <t>R3-2024-012833</t>
  </si>
  <si>
    <t>R3-2024-007783</t>
  </si>
  <si>
    <t>R3-2024-015057</t>
  </si>
  <si>
    <t>R3-2024-010389</t>
  </si>
  <si>
    <t>R3-2024-034268</t>
  </si>
  <si>
    <t>R3-2024-017278</t>
  </si>
  <si>
    <t>August 26, 2024</t>
  </si>
  <si>
    <t>R3-2024-030219</t>
  </si>
  <si>
    <t>June 03, 2024</t>
  </si>
  <si>
    <t>R3-2024-019941</t>
  </si>
  <si>
    <t>R3-2024-037784</t>
  </si>
  <si>
    <t>R3-2024-015059</t>
  </si>
  <si>
    <t>R3-2024-012229</t>
  </si>
  <si>
    <t>R3-2024-009221</t>
  </si>
  <si>
    <t>R3-2024-032746</t>
  </si>
  <si>
    <t>R3-2024-039210</t>
  </si>
  <si>
    <t>R3-2024-020725</t>
  </si>
  <si>
    <t>August 19, 2024</t>
  </si>
  <si>
    <t>R3-2024-029377</t>
  </si>
  <si>
    <t>July 01, 2024</t>
  </si>
  <si>
    <t>R3-2024-023411</t>
  </si>
  <si>
    <t>R3-2024-009222</t>
  </si>
  <si>
    <t>R3-2024-014657</t>
  </si>
  <si>
    <t>R3-2024-022554</t>
  </si>
  <si>
    <t>R3-2024-019258</t>
  </si>
  <si>
    <t>R3-2024-019975</t>
  </si>
  <si>
    <t>R3-2024-010406</t>
  </si>
  <si>
    <t>R3-2024-008369</t>
  </si>
  <si>
    <t>R3-2024-007334</t>
  </si>
  <si>
    <t>R3-2024-017256</t>
  </si>
  <si>
    <t>R3-2024-023341</t>
  </si>
  <si>
    <t>R3-2024-011516</t>
  </si>
  <si>
    <t>R3-2024-029467</t>
  </si>
  <si>
    <t>R3-2024-018133</t>
  </si>
  <si>
    <t>May 20, 2024</t>
  </si>
  <si>
    <t>R3-2024-007335</t>
  </si>
  <si>
    <t>R3-2024-025355</t>
  </si>
  <si>
    <t>June 10, 2023</t>
  </si>
  <si>
    <t>R3-2024-020884</t>
  </si>
  <si>
    <t>;June 17, 2024</t>
  </si>
  <si>
    <t>R3-2024-021682</t>
  </si>
  <si>
    <t>R3-2024-012834</t>
  </si>
  <si>
    <t>R3-2024-015281</t>
  </si>
  <si>
    <t>August 12, 2024</t>
  </si>
  <si>
    <t>R3-2024-028581</t>
  </si>
  <si>
    <t>R3-2024-029419</t>
  </si>
  <si>
    <t>R3-2024-008234</t>
  </si>
  <si>
    <t>July 08, 2023</t>
  </si>
  <si>
    <t>R3-2024-024528</t>
  </si>
  <si>
    <t>R3-2024-009537</t>
  </si>
  <si>
    <t>September 09, 2024</t>
  </si>
  <si>
    <t>R3-2024-032045</t>
  </si>
  <si>
    <t>R3-2024-013031</t>
  </si>
  <si>
    <t>April 12. 2024</t>
  </si>
  <si>
    <t>R3-2024-009532</t>
  </si>
  <si>
    <t>R3-2024-028507</t>
  </si>
  <si>
    <t>R3-2024-014857</t>
  </si>
  <si>
    <t>R3-2024-023393</t>
  </si>
  <si>
    <t>R3-2024-021115</t>
  </si>
  <si>
    <t>R3-2024-031055</t>
  </si>
  <si>
    <t>R3-2024-009539</t>
  </si>
  <si>
    <t>R3-2024-022539</t>
  </si>
  <si>
    <t>R3-2024-010344</t>
  </si>
  <si>
    <t>R3-2024-037025</t>
  </si>
  <si>
    <t>R3-2024-039214</t>
  </si>
  <si>
    <t>R3-2024-038045</t>
  </si>
  <si>
    <t>October 14, 2024</t>
  </si>
  <si>
    <t>R3-2024-036750</t>
  </si>
  <si>
    <t>Septembr 23, 2024</t>
  </si>
  <si>
    <t>R3-2024-034002</t>
  </si>
  <si>
    <t>R3-2024-032829</t>
  </si>
  <si>
    <t>R3-2024-038137</t>
  </si>
  <si>
    <t>R3-2024-006840</t>
  </si>
  <si>
    <t>R3-2024-019295</t>
  </si>
  <si>
    <t>R3-2024-039951</t>
  </si>
  <si>
    <t>September 27, 2024</t>
  </si>
  <si>
    <t>R3-2024-034629</t>
  </si>
  <si>
    <t xml:space="preserve">Technical Assistance
</t>
  </si>
  <si>
    <t>R3-2024-030221</t>
  </si>
  <si>
    <t>R3-2024-023397</t>
  </si>
  <si>
    <t>R3-2024-024543</t>
  </si>
  <si>
    <t>R3-2024-033838</t>
  </si>
  <si>
    <t>R3-2024-025306</t>
  </si>
  <si>
    <t>R3-2024-007008</t>
  </si>
  <si>
    <t>August 05, 2024</t>
  </si>
  <si>
    <t>R3-2024-027610</t>
  </si>
  <si>
    <t>R3-2024-007933</t>
  </si>
  <si>
    <t>R3-2024-012923</t>
  </si>
  <si>
    <t>May 03. 2024</t>
  </si>
  <si>
    <t>R3-2024-016214</t>
  </si>
  <si>
    <t>R3-2024-007005</t>
  </si>
  <si>
    <t>R3-2024-017914</t>
  </si>
  <si>
    <t>R3-2024-039072</t>
  </si>
  <si>
    <t>R3-2024-007928</t>
  </si>
  <si>
    <t>R3-2024-014655</t>
  </si>
  <si>
    <t xml:space="preserve">R3-2024-011056	</t>
  </si>
  <si>
    <t>R3-2024-009647</t>
  </si>
  <si>
    <t>R3-2024-015835</t>
  </si>
  <si>
    <t>R3-2024-039184</t>
  </si>
  <si>
    <t>R3-2024-017306</t>
  </si>
  <si>
    <t>R3-2024-015286</t>
  </si>
  <si>
    <t>R3-2024-006825</t>
  </si>
  <si>
    <t>June 10, 2024</t>
  </si>
  <si>
    <t>R3-2024-020900</t>
  </si>
  <si>
    <t>R3-2024-032007</t>
  </si>
  <si>
    <t>R3-2024-010334</t>
  </si>
  <si>
    <t>September 30, 2024</t>
  </si>
  <si>
    <t>R3-2024-034765</t>
  </si>
  <si>
    <t>R3-2024-018360</t>
  </si>
  <si>
    <t>R3-2024-035906</t>
  </si>
  <si>
    <t>R3-2024-020295</t>
  </si>
  <si>
    <t>R3-2024-029490</t>
  </si>
  <si>
    <t>R3-2024-015651</t>
  </si>
  <si>
    <t>R3-2024-038002</t>
  </si>
  <si>
    <t>R3-2024-039204</t>
  </si>
  <si>
    <t>R3-2024-021116</t>
  </si>
  <si>
    <t>R3-2024-031053</t>
  </si>
  <si>
    <t>R3-2024-024465</t>
  </si>
  <si>
    <t>R3-2024-038003</t>
  </si>
  <si>
    <t>R3-2024-033915</t>
  </si>
  <si>
    <t>R3-2024-009527</t>
  </si>
  <si>
    <t>R3-2024-023392</t>
  </si>
  <si>
    <t>R3-2024-028508</t>
  </si>
  <si>
    <t>R3-2024-022538</t>
  </si>
  <si>
    <t>R3-2024-007010</t>
  </si>
  <si>
    <t>R3-2024-032044</t>
  </si>
  <si>
    <t>R3-2024-024464</t>
  </si>
  <si>
    <t>R3-2024-021117</t>
  </si>
  <si>
    <t>R3-2024-023047</t>
  </si>
  <si>
    <t>R3-2024-027578</t>
  </si>
  <si>
    <t>Maya 13, 2024</t>
  </si>
  <si>
    <t>R3-2024-017294</t>
  </si>
  <si>
    <t>R3-2024-020297</t>
  </si>
  <si>
    <t>R3-2024-015650</t>
  </si>
  <si>
    <t>R3-2024-031052</t>
  </si>
  <si>
    <t>August 27, 2024</t>
  </si>
  <si>
    <t>R3-2024-030328</t>
  </si>
  <si>
    <t>R3-2024-035905</t>
  </si>
  <si>
    <t>R3-2024-028714</t>
  </si>
  <si>
    <t>R3-2024-008376</t>
  </si>
  <si>
    <t>R3-2024-035904</t>
  </si>
  <si>
    <t>R3-2024-010993</t>
  </si>
  <si>
    <t>R3-2024-018362</t>
  </si>
  <si>
    <t>R3-2024-007532</t>
  </si>
  <si>
    <t>R3-2024-019257</t>
  </si>
  <si>
    <t>R3-2024-022536</t>
  </si>
  <si>
    <t>R3-2024-033916</t>
  </si>
  <si>
    <t>R3-2024-016384</t>
  </si>
  <si>
    <t>R3-2024-007326</t>
  </si>
  <si>
    <t>R3-2024-012924</t>
  </si>
  <si>
    <t>R3-2024-008682</t>
  </si>
  <si>
    <t>R3-2024-008681</t>
  </si>
  <si>
    <t>R3-2024-019991</t>
  </si>
  <si>
    <t>R3-2024-014656</t>
  </si>
  <si>
    <t>R3-2024-010434</t>
  </si>
  <si>
    <t>R3-2024-015288</t>
  </si>
  <si>
    <t>R3-2024-012221</t>
  </si>
  <si>
    <t>R3-2024-010463</t>
  </si>
  <si>
    <t>R3-2024-019079</t>
  </si>
  <si>
    <t>R3-2024-018298</t>
  </si>
  <si>
    <t>R3-2024-007328</t>
  </si>
  <si>
    <t xml:space="preserve">R3-2024-013941	</t>
  </si>
  <si>
    <t xml:space="preserve"> 16-Apr-24</t>
  </si>
  <si>
    <t xml:space="preserve">R3-2024-013942	</t>
  </si>
  <si>
    <t xml:space="preserve">R3-2024-013940	</t>
  </si>
  <si>
    <t xml:space="preserve">R3-2024-013943	</t>
  </si>
  <si>
    <t xml:space="preserve">R3-2024-013944	</t>
  </si>
  <si>
    <t xml:space="preserve">R3-2024-013938	</t>
  </si>
  <si>
    <t xml:space="preserve">R3-2024-010189	</t>
  </si>
  <si>
    <t xml:space="preserve">R3-2024-013939	</t>
  </si>
  <si>
    <t xml:space="preserve">R3-2024-013945	</t>
  </si>
  <si>
    <t xml:space="preserve">R3-2024-025161	</t>
  </si>
  <si>
    <t xml:space="preserve">The area around the MRF is not yet concrete. The plan is to have concrete flooring installed and to start operations within this year. </t>
  </si>
  <si>
    <t xml:space="preserve">R3-2024-036303	</t>
  </si>
  <si>
    <t>Due to concerns about soil erosion in the area, as the river is gradually washing away the land. ). Another reason the barangay MRF is not operational is that it is located near a daycare center.</t>
  </si>
  <si>
    <t xml:space="preserve">R3-2024-036300	</t>
  </si>
  <si>
    <t xml:space="preserve">R3-2024-013946	</t>
  </si>
  <si>
    <t xml:space="preserve">R3-2024-036304	</t>
  </si>
  <si>
    <t>According to Sir Omar (Barangay Kagawad), the MRF is still under construction, with the compost pit yet to be built and the facility's electricity still in the process of installation. He also mentioned that the barangay does not yet have its own truck for garbage collection.</t>
  </si>
  <si>
    <t xml:space="preserve">R3-2024-036301	</t>
  </si>
  <si>
    <t xml:space="preserve">R3-2024-036305	</t>
  </si>
  <si>
    <t>operations were halted due to complaints from nearby residents about the odor of waste coming from the facility. 
The barangay Tiaong has plans to relocate the MRF to a new site, however, the proposed site is prone to flooding, raising concerns about its suitability.</t>
  </si>
  <si>
    <t xml:space="preserve"> R3-2024-021679</t>
  </si>
  <si>
    <t xml:space="preserve">R3-2024-029288	</t>
  </si>
  <si>
    <t xml:space="preserve">R3-2024-017950	</t>
  </si>
  <si>
    <t xml:space="preserve">R3-2024-029287	</t>
  </si>
  <si>
    <t xml:space="preserve">R3-2024-029291	</t>
  </si>
  <si>
    <t xml:space="preserve">R3-2024-028925	</t>
  </si>
  <si>
    <t xml:space="preserve">R3-2024-028927	</t>
  </si>
  <si>
    <t xml:space="preserve">R3-2024-029293	</t>
  </si>
  <si>
    <t xml:space="preserve">R3-2024-017951	</t>
  </si>
  <si>
    <t xml:space="preserve">R3-2024-029290	</t>
  </si>
  <si>
    <t xml:space="preserve">R3-2024-029292	</t>
  </si>
  <si>
    <t>R3-2024-028376</t>
  </si>
  <si>
    <t xml:space="preserve">R3-2024-028379	</t>
  </si>
  <si>
    <t xml:space="preserve">R3-2024-028380	</t>
  </si>
  <si>
    <t xml:space="preserve">R3-2024-028926	</t>
  </si>
  <si>
    <t xml:space="preserve"> R3-2024-009569</t>
  </si>
  <si>
    <t xml:space="preserve">R3-2024-009570 </t>
  </si>
  <si>
    <t>R3-2024-009566</t>
  </si>
  <si>
    <t xml:space="preserve">R3-2024-009567	</t>
  </si>
  <si>
    <t xml:space="preserve">R3-2024-017603	</t>
  </si>
  <si>
    <t xml:space="preserve">R3-2024-029294	</t>
  </si>
  <si>
    <t>R3-2024-040349</t>
  </si>
  <si>
    <t xml:space="preserve">R3-2024-040345	</t>
  </si>
  <si>
    <t>R3-2024-040174</t>
  </si>
  <si>
    <t>R3-2024-017948</t>
  </si>
  <si>
    <t>R3-2024-020767</t>
  </si>
  <si>
    <t xml:space="preserve">R3-2024-021396	</t>
  </si>
  <si>
    <t>R3-2024-031408</t>
  </si>
  <si>
    <t>R3-2024-024995</t>
  </si>
  <si>
    <t xml:space="preserve"> R3-2024-031410</t>
  </si>
  <si>
    <t xml:space="preserve">R3-2024-036146	</t>
  </si>
  <si>
    <t xml:space="preserve"> R3-2024-017728</t>
  </si>
  <si>
    <t xml:space="preserve">R3-2024-013577	</t>
  </si>
  <si>
    <t xml:space="preserve">R3-2024-036144	</t>
  </si>
  <si>
    <t xml:space="preserve"> R3-2024-036143 </t>
  </si>
  <si>
    <t xml:space="preserve">R3-2024-036147	</t>
  </si>
  <si>
    <t xml:space="preserve">R3-2024-036145	</t>
  </si>
  <si>
    <t xml:space="preserve">R3-2024-018109 </t>
  </si>
  <si>
    <t xml:space="preserve">R3-2024-040715 </t>
  </si>
  <si>
    <t xml:space="preserve">R3-2024-017727	</t>
  </si>
  <si>
    <t>R3-2024-039721</t>
  </si>
  <si>
    <t xml:space="preserve"> R3-2024-040699</t>
  </si>
  <si>
    <t xml:space="preserve"> R3-2024-039723</t>
  </si>
  <si>
    <t>R3-2024-013576</t>
  </si>
  <si>
    <t xml:space="preserve">R3-2024-013575	</t>
  </si>
  <si>
    <t xml:space="preserve">R3-2024-028923	</t>
  </si>
  <si>
    <t xml:space="preserve">R3-2024-033136	</t>
  </si>
  <si>
    <t>Received By Planning</t>
  </si>
  <si>
    <t>R3-2024-007911</t>
  </si>
  <si>
    <t xml:space="preserve">R3-2024-009944	</t>
  </si>
  <si>
    <t>R3-2024-009943</t>
  </si>
  <si>
    <t xml:space="preserve">R3-2024-009948	</t>
  </si>
  <si>
    <t>R3-2024-007917</t>
  </si>
  <si>
    <t xml:space="preserve">R3-2024-009946	</t>
  </si>
  <si>
    <t xml:space="preserve">R3-2024-009947	</t>
  </si>
  <si>
    <t>R3-2024-007918</t>
  </si>
  <si>
    <t>R3-2024-009949</t>
  </si>
  <si>
    <t>R3-2024-007919</t>
  </si>
  <si>
    <t>R3-2024-007920</t>
  </si>
  <si>
    <t>R3-2024-009945</t>
  </si>
  <si>
    <t>R3-2024-007925</t>
  </si>
  <si>
    <t>R3-2024-007924</t>
  </si>
  <si>
    <t>R3-2024-007923</t>
  </si>
  <si>
    <t>R3-2024-007921</t>
  </si>
  <si>
    <t xml:space="preserve">R3-2024-017966	</t>
  </si>
  <si>
    <t xml:space="preserve">R3-2024-021636	</t>
  </si>
  <si>
    <t xml:space="preserve">R3-2024-021637	</t>
  </si>
  <si>
    <t>R3-2024-007952</t>
  </si>
  <si>
    <t xml:space="preserve"> R3-2024-031596</t>
  </si>
  <si>
    <t>Recieved By Planning</t>
  </si>
  <si>
    <t xml:space="preserve">R3-2024-031594	</t>
  </si>
  <si>
    <t>R3-2024-007958</t>
  </si>
  <si>
    <t xml:space="preserve">R3-2024-020768	</t>
  </si>
  <si>
    <t xml:space="preserve"> R3-2024-024996</t>
  </si>
  <si>
    <t xml:space="preserve"> R3-2024-024998 </t>
  </si>
  <si>
    <t>R3-2024-039720</t>
  </si>
  <si>
    <t xml:space="preserve">R3-2024-033127	</t>
  </si>
  <si>
    <t xml:space="preserve"> R3-2024-021541</t>
  </si>
  <si>
    <t>R3-2024-007959</t>
  </si>
  <si>
    <t xml:space="preserve"> R3-2024-036803</t>
  </si>
  <si>
    <t>R3-2024-036812</t>
  </si>
  <si>
    <t xml:space="preserve"> R3-2024-036811</t>
  </si>
  <si>
    <t xml:space="preserve">R3-2024-033129	</t>
  </si>
  <si>
    <t xml:space="preserve">R3-2024-033126	</t>
  </si>
  <si>
    <t xml:space="preserve"> R3-2024-036806 </t>
  </si>
  <si>
    <t xml:space="preserve"> R3-2024-036810</t>
  </si>
  <si>
    <t xml:space="preserve">R3-2024-017969	</t>
  </si>
  <si>
    <t xml:space="preserve">R3-2024-024842	</t>
  </si>
  <si>
    <t>R3-2024-021540</t>
  </si>
  <si>
    <t>R3-2024-017952</t>
  </si>
  <si>
    <t>R3-2024-017968</t>
  </si>
  <si>
    <t xml:space="preserve"> R3-2024-025159</t>
  </si>
  <si>
    <t xml:space="preserve">R3-2024-031794	</t>
  </si>
  <si>
    <t>R3-2024-029042</t>
  </si>
  <si>
    <t xml:space="preserve">R3-2024-031793	</t>
  </si>
  <si>
    <t xml:space="preserve">R3-2024-025152	</t>
  </si>
  <si>
    <t>R3-2024-037137</t>
  </si>
  <si>
    <t xml:space="preserve">R3-2024-037135	</t>
  </si>
  <si>
    <t>R3-2024-037134</t>
  </si>
  <si>
    <t xml:space="preserve">R3-2024-037136	</t>
  </si>
  <si>
    <t>R3-2024-037133</t>
  </si>
  <si>
    <t>R3-2024-040625</t>
  </si>
  <si>
    <t xml:space="preserve">R3-2024-040626	</t>
  </si>
  <si>
    <t xml:space="preserve">R3-2024-040627 </t>
  </si>
  <si>
    <t>R3-2024-017967</t>
  </si>
  <si>
    <t xml:space="preserve"> R3-2024-040624 </t>
  </si>
  <si>
    <t>R3-2024-040623</t>
  </si>
  <si>
    <t xml:space="preserve">R3-2024-040620	</t>
  </si>
  <si>
    <t xml:space="preserve">R3-2024-040621	</t>
  </si>
  <si>
    <t xml:space="preserve"> R3-2024-039733</t>
  </si>
  <si>
    <t>R3-2024-039731</t>
  </si>
  <si>
    <t>R3-2024-039732</t>
  </si>
  <si>
    <t>R3-2024-039734</t>
  </si>
  <si>
    <t xml:space="preserve">R3-2024-031484	</t>
  </si>
  <si>
    <t xml:space="preserve"> R3-2024-039730</t>
  </si>
  <si>
    <t xml:space="preserve">R3-2024-031485	</t>
  </si>
  <si>
    <t>R3-2024-020782</t>
  </si>
  <si>
    <t>R3-2024-020783</t>
  </si>
  <si>
    <t>R3-2024-020784</t>
  </si>
  <si>
    <t xml:space="preserve">R3-2024-033132	</t>
  </si>
  <si>
    <t xml:space="preserve">R3-2024-033131	</t>
  </si>
  <si>
    <t>R3-2024-033133</t>
  </si>
  <si>
    <t xml:space="preserve">R3-2024-033133	</t>
  </si>
  <si>
    <t xml:space="preserve">R3-2024-025656 </t>
  </si>
  <si>
    <t>R3-2024-025655</t>
  </si>
  <si>
    <t>R3-2024-017005</t>
  </si>
  <si>
    <t>R3-2024-032751</t>
  </si>
  <si>
    <t>R3-2024-012863</t>
  </si>
  <si>
    <t>R3-2024-039631</t>
  </si>
  <si>
    <t>R3-2024-003450</t>
  </si>
  <si>
    <t>R3-2024-027639</t>
  </si>
  <si>
    <t>Two (2) MRF monitored</t>
  </si>
  <si>
    <t>R3-2024-039619</t>
  </si>
  <si>
    <t>R3-2024-039615</t>
  </si>
  <si>
    <t>R3-2024-017173</t>
  </si>
  <si>
    <t>Magsaysay District</t>
  </si>
  <si>
    <t>R3-2024-034306</t>
  </si>
  <si>
    <t>R3-2024-040619</t>
  </si>
  <si>
    <t>R3-2024-035166</t>
  </si>
  <si>
    <t xml:space="preserve">R3-2024-035154 </t>
  </si>
  <si>
    <t>R3-2024-029322</t>
  </si>
  <si>
    <t>R3-2024-027644</t>
  </si>
  <si>
    <t>R3-2024-041130</t>
  </si>
  <si>
    <t>R3-2024-013584</t>
  </si>
  <si>
    <t>R3-2024-030317</t>
  </si>
  <si>
    <t>Magsaysay South</t>
  </si>
  <si>
    <t>R3-2024-033284</t>
  </si>
  <si>
    <t>R3-2024-021212</t>
  </si>
  <si>
    <t>R3-2024-018698</t>
  </si>
  <si>
    <t>R3-2024-011860</t>
  </si>
  <si>
    <t>R3-2024-018702</t>
  </si>
  <si>
    <t>R3-2024-004644</t>
  </si>
  <si>
    <t>R3-2024-004643</t>
  </si>
  <si>
    <t>R3-2024-027320</t>
  </si>
  <si>
    <t>R3-2024-027321</t>
  </si>
  <si>
    <t>R3-2024-027322</t>
  </si>
  <si>
    <t>R3-2024-018854</t>
  </si>
  <si>
    <t>R3-2024-011859</t>
  </si>
  <si>
    <t>R3-2024-022390</t>
  </si>
  <si>
    <t>R3-2024-022391</t>
  </si>
  <si>
    <t>R3-2024-022392</t>
  </si>
  <si>
    <t>R3-2024-040907</t>
  </si>
  <si>
    <t>R3-2024-040900</t>
  </si>
  <si>
    <t>R3-2024-003708</t>
  </si>
  <si>
    <t>R3-2024-041258</t>
  </si>
  <si>
    <t xml:space="preserve">R3-2024-040905 </t>
  </si>
  <si>
    <t>R3-2024-035620</t>
  </si>
  <si>
    <t>R3-2024-035619</t>
  </si>
  <si>
    <t>R3-2024-004062</t>
  </si>
  <si>
    <t>R3-2024-004063</t>
  </si>
  <si>
    <t>R3-2024-004065</t>
  </si>
  <si>
    <t>R3-2024-015691</t>
  </si>
  <si>
    <t>R3-2024-015689</t>
  </si>
  <si>
    <t>R3-2024-015732</t>
  </si>
  <si>
    <t>R3-2024-015692</t>
  </si>
  <si>
    <t>R3-2024-034655</t>
  </si>
  <si>
    <t>R3-2024-013546</t>
  </si>
  <si>
    <t>R3-2024-034656</t>
  </si>
  <si>
    <t>R3-2024-034660</t>
  </si>
  <si>
    <t>R3-2024-034657</t>
  </si>
  <si>
    <t>R3-2024-034658</t>
  </si>
  <si>
    <t>R3-2024-034659</t>
  </si>
  <si>
    <t>R3-2024-015466</t>
  </si>
  <si>
    <t xml:space="preserve">R3-2024-039870	</t>
  </si>
  <si>
    <t>R3-2024-016075</t>
  </si>
  <si>
    <t>R3-2024-004082</t>
  </si>
  <si>
    <t>R3-2024-016076</t>
  </si>
  <si>
    <t>R3-2024-015464</t>
  </si>
  <si>
    <t>R3-2024-015465</t>
  </si>
  <si>
    <t>R3-2024-004081</t>
  </si>
  <si>
    <t>R3-2024-022293</t>
  </si>
  <si>
    <t>R3-2024-011767</t>
  </si>
  <si>
    <t>R3-2024-008386</t>
  </si>
  <si>
    <t>R3-2024-013980</t>
  </si>
  <si>
    <t>R3-2024-013981</t>
  </si>
  <si>
    <t>R3-2024-017051</t>
  </si>
  <si>
    <t>R3-2024-017050</t>
  </si>
  <si>
    <t>R3-2024-028177</t>
  </si>
  <si>
    <t>R3-2024-028174</t>
  </si>
  <si>
    <t>R3-2024-017052</t>
  </si>
  <si>
    <t>R3-2024-041513</t>
  </si>
  <si>
    <t>R3-2024-013192</t>
  </si>
  <si>
    <t>R3-2024-017049</t>
  </si>
  <si>
    <t>R3-2024-029800</t>
  </si>
  <si>
    <t>R3-2024-033035</t>
  </si>
  <si>
    <t xml:space="preserve">Received by Planning </t>
  </si>
  <si>
    <t>R3-2024-029799</t>
  </si>
  <si>
    <t>R3-2024-029801</t>
  </si>
  <si>
    <t>R3-2024-033036</t>
  </si>
  <si>
    <t>R3-2024-013547</t>
  </si>
  <si>
    <t>R3-2024-039997</t>
  </si>
  <si>
    <t>R3-2024-003549</t>
  </si>
  <si>
    <t>R3-2024-040001</t>
  </si>
  <si>
    <t>R3-2024-032846</t>
  </si>
  <si>
    <t>R3-2024-040002</t>
  </si>
  <si>
    <t>R3-2024-040004</t>
  </si>
  <si>
    <t>R3-2024-040005</t>
  </si>
  <si>
    <t>R3-2024-041545</t>
  </si>
  <si>
    <t xml:space="preserve">R3-2024-041544 </t>
  </si>
  <si>
    <t>R3-2024-032492</t>
  </si>
  <si>
    <t>R3-2024-032494</t>
  </si>
  <si>
    <t>R3-2024-041516</t>
  </si>
  <si>
    <t>R3-2024-023520</t>
  </si>
  <si>
    <t>R3-2024-023519</t>
  </si>
  <si>
    <t>R3-2024-023521</t>
  </si>
  <si>
    <t>R3-2024-027888</t>
  </si>
  <si>
    <t>R3-2024-033066</t>
  </si>
  <si>
    <t>Received By Planning Unit</t>
  </si>
  <si>
    <t>R3-2024-017601</t>
  </si>
  <si>
    <t>R3-2024-035705</t>
  </si>
  <si>
    <t>R3-2024-023522</t>
  </si>
  <si>
    <t>R3-2024-035957</t>
  </si>
  <si>
    <t>R3-2024-026674</t>
  </si>
  <si>
    <t>R3-2024-035703</t>
  </si>
  <si>
    <t>R3-2024-035958</t>
  </si>
  <si>
    <t>R3-2024-035956</t>
  </si>
  <si>
    <t>R3-2024-035955</t>
  </si>
  <si>
    <t>R3-2024-026675</t>
  </si>
  <si>
    <t>R3-2024-037426</t>
  </si>
  <si>
    <t>R3-2024-004834</t>
  </si>
  <si>
    <t>R3-2024-026125</t>
  </si>
  <si>
    <t>R3-2024-037425</t>
  </si>
  <si>
    <t>R3-2024-014535</t>
  </si>
  <si>
    <t>R3-2024-024693</t>
  </si>
  <si>
    <t>R3-2024-037424</t>
  </si>
  <si>
    <t>R3-2024-029808</t>
  </si>
  <si>
    <t>R3-2024-011940</t>
  </si>
  <si>
    <t>R3-2024-013455</t>
  </si>
  <si>
    <t>R3-2024-011941</t>
  </si>
  <si>
    <t>R3-2024-014337</t>
  </si>
  <si>
    <t>R3-2024-029807</t>
  </si>
  <si>
    <t>R3-2024-019838</t>
  </si>
  <si>
    <t>R3-2024-021463</t>
  </si>
  <si>
    <t>R3-2024-029712</t>
  </si>
  <si>
    <t>R3-2024-029706</t>
  </si>
  <si>
    <t>R3-2024-039848</t>
  </si>
  <si>
    <t>R3-2024-039847</t>
  </si>
  <si>
    <t>R3-2024-021464</t>
  </si>
  <si>
    <t>R3-2024-033697</t>
  </si>
  <si>
    <t>R3-2024-021462</t>
  </si>
  <si>
    <t>R3-2024-033699</t>
  </si>
  <si>
    <t>R3-2024-033700</t>
  </si>
  <si>
    <t>R3-2024-015456</t>
  </si>
  <si>
    <t>R3-2024-015368</t>
  </si>
  <si>
    <t>R3-2024-012871</t>
  </si>
  <si>
    <t>R3-2024-028319</t>
  </si>
  <si>
    <t>R3-2024-040648</t>
  </si>
  <si>
    <t>R3-2024-041348</t>
  </si>
  <si>
    <t>R3-2024-041492</t>
  </si>
  <si>
    <t>R3-2024-029056</t>
  </si>
  <si>
    <t>R3-2024-041635</t>
  </si>
  <si>
    <t>R3-2024-040647</t>
  </si>
  <si>
    <t>R3-2024-033158</t>
  </si>
  <si>
    <t>R3-2024-018681</t>
  </si>
  <si>
    <t xml:space="preserve"> R3-2024-033156 </t>
  </si>
  <si>
    <t>R3-2024-003489</t>
  </si>
  <si>
    <t>R3-2024-010045</t>
  </si>
  <si>
    <t>R3-2024-033155</t>
  </si>
  <si>
    <t>R3-2024-021615</t>
  </si>
  <si>
    <t>R3-2024-021618</t>
  </si>
  <si>
    <t>R3-2024-021665</t>
  </si>
  <si>
    <t>R3-2024-021666</t>
  </si>
  <si>
    <t>R3-2024-021667</t>
  </si>
  <si>
    <t>R3-2024-021614</t>
  </si>
  <si>
    <t>R3-2024-032568</t>
  </si>
  <si>
    <t>R3-2024-036643</t>
  </si>
  <si>
    <t>R3-2024-032569</t>
  </si>
  <si>
    <t>R3-2024-029230</t>
  </si>
  <si>
    <t>R3-2024-032570</t>
  </si>
  <si>
    <t>R3-2024-029233</t>
  </si>
  <si>
    <t>R3-2024-036644</t>
  </si>
  <si>
    <t>R3-2024-036645</t>
  </si>
  <si>
    <t>R3-2024-032571</t>
  </si>
  <si>
    <t>R3-2024-029231</t>
  </si>
  <si>
    <t>R3-2024-029232</t>
  </si>
  <si>
    <t>R3-2024-040922</t>
  </si>
  <si>
    <t>R3-2024-025797</t>
  </si>
  <si>
    <t>R3-2024-040923</t>
  </si>
  <si>
    <t>R3-2024-040921</t>
  </si>
  <si>
    <t>R3-2024-037266</t>
  </si>
  <si>
    <t>R3-2024-031358</t>
  </si>
  <si>
    <t>R3-2024-021592</t>
  </si>
  <si>
    <t>R3-2024-025796</t>
  </si>
  <si>
    <t>R3-2024-021591</t>
  </si>
  <si>
    <t>R3-2024-041089</t>
  </si>
  <si>
    <t>R3-2024-031844</t>
  </si>
  <si>
    <t>R3-2024-031843</t>
  </si>
  <si>
    <t>R3-2024-041090</t>
  </si>
  <si>
    <t>R3-2024-031845</t>
  </si>
  <si>
    <t>R3-2024-031846</t>
  </si>
  <si>
    <t>R3-2024-041087</t>
  </si>
  <si>
    <t>R3-2024-031847</t>
  </si>
  <si>
    <t>R3-2024-025831</t>
  </si>
  <si>
    <t>R3-2024-032573</t>
  </si>
  <si>
    <t>R3-2024-032572</t>
  </si>
  <si>
    <t>R3-2024-041091</t>
  </si>
  <si>
    <t>R3-2024-041094</t>
  </si>
  <si>
    <t>R3-2024-040609</t>
  </si>
  <si>
    <t>R3-2024-013952</t>
  </si>
  <si>
    <t>R3-2024-040607</t>
  </si>
  <si>
    <t>R3-2024-040610</t>
  </si>
  <si>
    <t>R3-2024-040612</t>
  </si>
  <si>
    <t>R3-2024-040613</t>
  </si>
  <si>
    <t>R3-2024-017930</t>
  </si>
  <si>
    <t>R3-2024-017931</t>
  </si>
  <si>
    <t>R3-2024-017932</t>
  </si>
  <si>
    <t>R3-2024-025799</t>
  </si>
  <si>
    <t>R3-2024-025798</t>
  </si>
  <si>
    <t>R3-2024-021600</t>
  </si>
  <si>
    <t>R3-2024-021601</t>
  </si>
  <si>
    <t>R3-2024-040799</t>
  </si>
  <si>
    <t>R3-2024-036642</t>
  </si>
  <si>
    <t>R3-2024-021599</t>
  </si>
  <si>
    <t>R3-2024-040795</t>
  </si>
  <si>
    <t>R3-2024-021598</t>
  </si>
  <si>
    <t>R3-2024-040797</t>
  </si>
  <si>
    <t>R3-2024-040798</t>
  </si>
  <si>
    <t>R3-2024-040800</t>
  </si>
  <si>
    <t>Jose Abad Santos</t>
  </si>
  <si>
    <t>R3-2024-037410</t>
  </si>
  <si>
    <t>R3-2024-025830</t>
  </si>
  <si>
    <t>R3-2024-025829</t>
  </si>
  <si>
    <t>R3-2024-013953</t>
  </si>
  <si>
    <t>R3-2024-011961</t>
  </si>
  <si>
    <t>R3-2024-013955</t>
  </si>
  <si>
    <t>R3-2024-032634</t>
  </si>
  <si>
    <t>R3-2024-013956</t>
  </si>
  <si>
    <t>R3-2024-037405</t>
  </si>
  <si>
    <t>R3-2024-037407</t>
  </si>
  <si>
    <t>R3-2024-037408</t>
  </si>
  <si>
    <t>R3-2024-017919</t>
  </si>
  <si>
    <t xml:space="preserve">May </t>
  </si>
  <si>
    <t>R3-2024-037261</t>
  </si>
  <si>
    <t>R3-2024-037262</t>
  </si>
  <si>
    <t>R3-2024-036514</t>
  </si>
  <si>
    <t>R3-2024-036512</t>
  </si>
  <si>
    <t>R3-2024-031359</t>
  </si>
  <si>
    <t>R3-2024-031360</t>
  </si>
  <si>
    <t>R3-2024-036516</t>
  </si>
  <si>
    <t>R3-2024-036513</t>
  </si>
  <si>
    <t>R3-2024-036517</t>
  </si>
  <si>
    <t>R3-2024-025795</t>
  </si>
  <si>
    <t>R3-2024-021593</t>
  </si>
  <si>
    <t>R3-2024-032330</t>
  </si>
  <si>
    <t>R3-2024-032328</t>
  </si>
  <si>
    <t>R3-2024-029260</t>
  </si>
  <si>
    <t>R3-2024-029261</t>
  </si>
  <si>
    <t>R3-2024-029262</t>
  </si>
  <si>
    <t>R3-2024-032329</t>
  </si>
  <si>
    <t>R3-2024-017778</t>
  </si>
  <si>
    <t>R3-2024-013632</t>
  </si>
  <si>
    <t>R3-2024-021595</t>
  </si>
  <si>
    <t>R3-2024-017779</t>
  </si>
  <si>
    <t>R3-2024-017780</t>
  </si>
  <si>
    <t>R3-2024-021597</t>
  </si>
  <si>
    <t>R3-2024-021594</t>
  </si>
  <si>
    <t>R3-2024-017782</t>
  </si>
  <si>
    <t>R3-2024-013635</t>
  </si>
  <si>
    <t>R3-2024-013628</t>
  </si>
  <si>
    <t>R3-2024-013637</t>
  </si>
  <si>
    <t>R3-2024-021596</t>
  </si>
  <si>
    <t>R3-2024-017781</t>
  </si>
  <si>
    <t>R3-2024-013617</t>
  </si>
  <si>
    <t>R3-2024-013619</t>
  </si>
  <si>
    <t>R3-2024-017933</t>
  </si>
  <si>
    <t>R3-2024-013620</t>
  </si>
  <si>
    <t>APRIL</t>
  </si>
  <si>
    <t>R3-2024-036640</t>
  </si>
  <si>
    <t>R3-2024-032349</t>
  </si>
  <si>
    <t>R3-2024-040927</t>
  </si>
  <si>
    <t>R3-2024-040924</t>
  </si>
  <si>
    <t>R3-2024-037263</t>
  </si>
  <si>
    <t>R3-2024-029259</t>
  </si>
  <si>
    <t>R3-2024-037264</t>
  </si>
  <si>
    <t>R3-2024-031261</t>
  </si>
  <si>
    <t>R3-2024-031361</t>
  </si>
  <si>
    <t>R3-2024-017916</t>
  </si>
  <si>
    <t>R3-2024-017910</t>
  </si>
  <si>
    <t>R3-2024-037409</t>
  </si>
  <si>
    <t>R3-2024-037406</t>
  </si>
  <si>
    <t>R3-2024-020527</t>
  </si>
  <si>
    <t>R3-2024-016499</t>
  </si>
  <si>
    <t>R3-2024-021502</t>
  </si>
  <si>
    <t>R3-2024-039705</t>
  </si>
  <si>
    <t>Manakem</t>
  </si>
  <si>
    <t>R3-2024-032354</t>
  </si>
  <si>
    <t>R3-2024-037020</t>
  </si>
  <si>
    <t>R3-2024-039582</t>
  </si>
  <si>
    <t>R3-2024-039712</t>
  </si>
  <si>
    <t>R3-2024-037561</t>
  </si>
  <si>
    <t>R3-2024-039709</t>
  </si>
  <si>
    <t xml:space="preserve"> R3-2024-025869</t>
  </si>
  <si>
    <t>july</t>
  </si>
  <si>
    <t>R3-2024-021027</t>
  </si>
  <si>
    <t>R3-2024-040473</t>
  </si>
  <si>
    <t>R3-2024-014166</t>
  </si>
  <si>
    <t>R3-2024-014167</t>
  </si>
  <si>
    <t>R3-2024-028337</t>
  </si>
  <si>
    <t>R3-2024-024556</t>
  </si>
  <si>
    <t>R3-2024-024558</t>
  </si>
  <si>
    <t>R3-2024-036694</t>
  </si>
  <si>
    <t>R3-2024-016224</t>
  </si>
  <si>
    <t>R3-2024-024555</t>
  </si>
  <si>
    <t>R3-2024-032355</t>
  </si>
  <si>
    <t>R3-2024-039917</t>
  </si>
  <si>
    <t>R3-2024-016225</t>
  </si>
  <si>
    <t>R3-2024-028335</t>
  </si>
  <si>
    <t>R3-2024-036693</t>
  </si>
  <si>
    <t>R3-2024-021282</t>
  </si>
  <si>
    <t>R3-2024-026630</t>
  </si>
  <si>
    <t>R3-2024-021281</t>
  </si>
  <si>
    <t>R3-2024-026631</t>
  </si>
  <si>
    <t>R3-2024-028338</t>
  </si>
  <si>
    <t>R3-2024-036691</t>
  </si>
  <si>
    <t>R3-2024-024557</t>
  </si>
  <si>
    <t>R3-2024-032357</t>
  </si>
  <si>
    <t>R3-2024-024739</t>
  </si>
  <si>
    <t>R3-2024-036130</t>
  </si>
  <si>
    <t>R3-2024-012660</t>
  </si>
  <si>
    <t>R3-2024-033056</t>
  </si>
  <si>
    <t>R3-2024-021438</t>
  </si>
  <si>
    <t>R3-2024-035606</t>
  </si>
  <si>
    <t>R3-2024-032409</t>
  </si>
  <si>
    <t>R3-2024-039590</t>
  </si>
  <si>
    <t>R3-2024-012655</t>
  </si>
  <si>
    <t>R3-2024-005978</t>
  </si>
  <si>
    <t>R3-2024-040474</t>
  </si>
  <si>
    <t>R3-2024-039578</t>
  </si>
  <si>
    <t>R3-2024-040475</t>
  </si>
  <si>
    <t>Bantog-Caricutan</t>
  </si>
  <si>
    <t>R3-2024-039716</t>
  </si>
  <si>
    <t>R3-2024-035647</t>
  </si>
  <si>
    <t>R3-2024-032376</t>
  </si>
  <si>
    <t>R3-2024-021713</t>
  </si>
  <si>
    <t>R3-2024-014165</t>
  </si>
  <si>
    <t>R3-2024-016746</t>
  </si>
  <si>
    <t>R3-2024-032374</t>
  </si>
  <si>
    <t>R3-2024-014274</t>
  </si>
  <si>
    <t>Melecio Manganaan</t>
  </si>
  <si>
    <t>R3-2024-040488</t>
  </si>
  <si>
    <t>Tangcarang</t>
  </si>
  <si>
    <t>R3-2024-012358</t>
  </si>
  <si>
    <t>R3-2024-012359</t>
  </si>
  <si>
    <t>R3-2024-035234</t>
  </si>
  <si>
    <t xml:space="preserve">Received By Planning </t>
  </si>
  <si>
    <t>R3-2024-035237</t>
  </si>
  <si>
    <t>R3-2024-035244</t>
  </si>
  <si>
    <t>R3-2024-020757</t>
  </si>
  <si>
    <t>R3-2024-035245</t>
  </si>
  <si>
    <t>R3-2024-033053</t>
  </si>
  <si>
    <t>R3-2024-024192</t>
  </si>
  <si>
    <t>R3-2024-024193</t>
  </si>
  <si>
    <t>R3-2024-039591</t>
  </si>
  <si>
    <t>R3-2024-016753</t>
  </si>
  <si>
    <t>R3-2024-031973</t>
  </si>
  <si>
    <t>R3-2024-028201</t>
  </si>
  <si>
    <t>R3-2024-021441</t>
  </si>
  <si>
    <t>R3-2024-016752</t>
  </si>
  <si>
    <t>R3-2024-032673</t>
  </si>
  <si>
    <t>R3-2024-032507</t>
  </si>
  <si>
    <t>R3-2024-035408</t>
  </si>
  <si>
    <t>R3-2024-035406</t>
  </si>
  <si>
    <t>R3-2024-036582</t>
  </si>
  <si>
    <t>R3-2024-017456</t>
  </si>
  <si>
    <t>R3-2024-039581</t>
  </si>
  <si>
    <t>R3-2024-016166</t>
  </si>
  <si>
    <t>R3-2024-031807</t>
  </si>
  <si>
    <t>R3-2024-032377</t>
  </si>
  <si>
    <t>R3-2024-032379</t>
  </si>
  <si>
    <t>R3-2024-016832</t>
  </si>
  <si>
    <t>R3-2024-032404</t>
  </si>
  <si>
    <t>R3-2024-016233</t>
  </si>
  <si>
    <t>R3-2024-028200</t>
  </si>
  <si>
    <t>R3-2024-028199</t>
  </si>
  <si>
    <t>R3-2024-028198</t>
  </si>
  <si>
    <t>R3-2024-016234</t>
  </si>
  <si>
    <t>R3-2024-032886</t>
  </si>
  <si>
    <t>R3-2024-036454</t>
  </si>
  <si>
    <t>R3-2024-024194</t>
  </si>
  <si>
    <t>R3-2024-035216</t>
  </si>
  <si>
    <t>R3-2024-031476</t>
  </si>
  <si>
    <t>R3-2024-035211</t>
  </si>
  <si>
    <t>R3-2024-014168</t>
  </si>
  <si>
    <t>R3-2024-032423</t>
  </si>
  <si>
    <t>R3-2024-040981</t>
  </si>
  <si>
    <t>R3-2024-035439</t>
  </si>
  <si>
    <t>R3-2024-017043</t>
  </si>
  <si>
    <t>R3-2024-039913</t>
  </si>
  <si>
    <t>R3-2024-039914</t>
  </si>
  <si>
    <t>R3-2024-031791</t>
  </si>
  <si>
    <t>R3-2024-039882</t>
  </si>
  <si>
    <t>R3-2024-039881</t>
  </si>
  <si>
    <t>R3-2024-039880</t>
  </si>
  <si>
    <t>R3-2024-039877</t>
  </si>
  <si>
    <t>R3-2024-039878</t>
  </si>
  <si>
    <t>R3-2024-032117 </t>
  </si>
  <si>
    <t>R3-2024-039879</t>
  </si>
  <si>
    <t>R3-2024-037447</t>
  </si>
  <si>
    <t>R3-2024-025209</t>
  </si>
  <si>
    <t>R3-2024-032069</t>
  </si>
  <si>
    <t>R3-2024-025211</t>
  </si>
  <si>
    <t>R3-2024-025210</t>
  </si>
  <si>
    <t>R3-2024-037448</t>
  </si>
  <si>
    <t>R3-2024-024975</t>
  </si>
  <si>
    <t>R3-2024-024977</t>
  </si>
  <si>
    <t>R3-2024-024978</t>
  </si>
  <si>
    <t>R3-2024-040978</t>
  </si>
  <si>
    <t>R3-2024-040977</t>
  </si>
  <si>
    <t>R3-2024-024979</t>
  </si>
  <si>
    <t>R3-2024-040976</t>
  </si>
  <si>
    <t>R3-2024-040975</t>
  </si>
  <si>
    <t>R3-2024-024980</t>
  </si>
  <si>
    <t>R3-2024-035594</t>
  </si>
  <si>
    <t>R3-2024-040984</t>
  </si>
  <si>
    <t>R3-2024-040986</t>
  </si>
  <si>
    <t xml:space="preserve">
R3-2024-040987</t>
  </si>
  <si>
    <t>R3-2024-035596</t>
  </si>
  <si>
    <t>R3-2024-040988</t>
  </si>
  <si>
    <t>R3-2024-035595</t>
  </si>
  <si>
    <t>R3-2024-035597</t>
  </si>
  <si>
    <t>R3-2024-017985</t>
  </si>
  <si>
    <t>R3-2024-017990</t>
  </si>
  <si>
    <t>R3-2024-037443</t>
  </si>
  <si>
    <t>R3-2024-037743</t>
  </si>
  <si>
    <t>R3-2024-025824</t>
  </si>
  <si>
    <t>R3-2024-018098</t>
  </si>
  <si>
    <t>R3-2024-018094</t>
  </si>
  <si>
    <t>R3-2024-033094</t>
  </si>
  <si>
    <t>R3-2024-025826</t>
  </si>
  <si>
    <t>R3-2024-025828</t>
  </si>
  <si>
    <t>R3-2024-037249</t>
  </si>
  <si>
    <t>R3-2024-025827</t>
  </si>
  <si>
    <t>R3-2024-018096</t>
  </si>
  <si>
    <t>R3-2024-033092</t>
  </si>
  <si>
    <t>R3-2024-029091</t>
  </si>
  <si>
    <t>R3-2024-029077</t>
  </si>
  <si>
    <t> R3-2024-029068 </t>
  </si>
  <si>
    <t>R3-2024-029070</t>
  </si>
  <si>
    <t>R3-2024-029078</t>
  </si>
  <si>
    <t>R3-2024-029090</t>
  </si>
  <si>
    <t>R3-2024-029071 </t>
  </si>
  <si>
    <t>R3-2024-021471</t>
  </si>
  <si>
    <t>The storage is currently used as a cage for pigeons.</t>
  </si>
  <si>
    <t>R3-2024-021473</t>
  </si>
  <si>
    <t>R3-2024-041712</t>
  </si>
  <si>
    <t>NOVEMBER</t>
  </si>
  <si>
    <t>R3-2024-041710</t>
  </si>
  <si>
    <t>R3-2024-032384</t>
  </si>
  <si>
    <t>R3-2024-021474</t>
  </si>
  <si>
    <t>The storage is currently used as equipment storage</t>
  </si>
  <si>
    <t>R3-2024-032084</t>
  </si>
  <si>
    <t>R3-2024-032381</t>
  </si>
  <si>
    <t>R3-2024-041711</t>
  </si>
  <si>
    <t>R3-2024-032086</t>
  </si>
  <si>
    <t>R3-2024-032383</t>
  </si>
  <si>
    <t>R3-2024-021470</t>
  </si>
  <si>
    <t>Tition</t>
  </si>
  <si>
    <t>R3-2024-035627</t>
  </si>
  <si>
    <t>R3-2024-035629</t>
  </si>
  <si>
    <t>R3-2024-035628</t>
  </si>
  <si>
    <t>R3-2024-017984</t>
  </si>
  <si>
    <t>R3-2024-040992</t>
  </si>
  <si>
    <t>R3-2024-017983</t>
  </si>
  <si>
    <t>R3-2024-021910</t>
  </si>
  <si>
    <t>R3-2024-021917</t>
  </si>
  <si>
    <t>R3-2024-021912</t>
  </si>
  <si>
    <t>MRF is under construction</t>
  </si>
  <si>
    <t>R3-2024-021642</t>
  </si>
  <si>
    <t>R3-2024-020483</t>
  </si>
  <si>
    <t>R3-2024-035624</t>
  </si>
  <si>
    <t>R3-2024-035626</t>
  </si>
  <si>
    <t>R3-2024-040989</t>
  </si>
  <si>
    <t>R3-2024-040990</t>
  </si>
  <si>
    <t>R3-2024-021795</t>
  </si>
  <si>
    <t>R3-2024-021925</t>
  </si>
  <si>
    <t>R3-2024-028915</t>
  </si>
  <si>
    <t>R3-2024-028917</t>
  </si>
  <si>
    <t>R3-2024-028919</t>
  </si>
  <si>
    <t>R3-2024-028920</t>
  </si>
  <si>
    <t>R3-2024-028918</t>
  </si>
  <si>
    <t>R3-2024-028913</t>
  </si>
  <si>
    <t>R3-2024-028916</t>
  </si>
  <si>
    <t>R3-2024-028914</t>
  </si>
  <si>
    <t>R3-2024-037345</t>
  </si>
  <si>
    <t>R3-2024-017885</t>
  </si>
  <si>
    <t>R3-2024-017892</t>
  </si>
  <si>
    <t>R3-2024-017893</t>
  </si>
  <si>
    <t>R3-2024-037349</t>
  </si>
  <si>
    <t>R3-2024-017890</t>
  </si>
  <si>
    <t>R3-2024-037351</t>
  </si>
  <si>
    <t>R3-2024-037350</t>
  </si>
  <si>
    <t>R3-2024-037348</t>
  </si>
  <si>
    <t>R3-2024-032852</t>
  </si>
  <si>
    <t>R3-2024-032853</t>
  </si>
  <si>
    <t>R3-2024-032854</t>
  </si>
  <si>
    <t>R3-2024-032855</t>
  </si>
  <si>
    <t>R3-2024-032856</t>
  </si>
  <si>
    <t>Date of Report</t>
  </si>
  <si>
    <t>Latitude</t>
  </si>
  <si>
    <t>Longitude</t>
  </si>
  <si>
    <t>R3-2025-024197</t>
  </si>
  <si>
    <t xml:space="preserve"> R3-2025-026691</t>
  </si>
  <si>
    <t>R3-2025-019677</t>
  </si>
  <si>
    <t>The has MOA with Soliman E.C. Septic Tank Disposal</t>
  </si>
  <si>
    <t>R3-2025-019674</t>
  </si>
  <si>
    <t>R3-2025-027776</t>
  </si>
  <si>
    <t>R3-2025-023054</t>
  </si>
  <si>
    <t>R3-2025-005010</t>
  </si>
  <si>
    <t>R3-2025-016639</t>
  </si>
  <si>
    <t>R3-2025-004490</t>
  </si>
  <si>
    <t>R3-2025-035284</t>
  </si>
  <si>
    <t>R3-2025-026690</t>
  </si>
  <si>
    <t xml:space="preserve">•	The barangay must submit a formal explanation to EMB regarding the demolition of the EMB-funded MRF.
•	A relocation plan or proposal for the re-establishment of the MRF must be submitted immediately, including a timeline for implementation.
•	EMB may consider administrative actions or recovery of funds, depending on the final evaluation of submitted justifications.
</t>
  </si>
  <si>
    <t>R3-2025-003757</t>
  </si>
  <si>
    <t>On going negotiation with Florida Enviro Corp</t>
  </si>
  <si>
    <t>R3-2025-003759</t>
  </si>
  <si>
    <t>R3-2025-026162</t>
  </si>
  <si>
    <t>16.2807N</t>
  </si>
  <si>
    <t>122.1275E</t>
  </si>
  <si>
    <t>R3-2025-030109</t>
  </si>
  <si>
    <t>16.2761N</t>
  </si>
  <si>
    <t>122.1219E</t>
  </si>
  <si>
    <t>R3-2025-007611</t>
  </si>
  <si>
    <t>R3-2025-030114</t>
  </si>
  <si>
    <t>16.2752N</t>
  </si>
  <si>
    <t>122.1218E</t>
  </si>
  <si>
    <t>R3-2025-026163</t>
  </si>
  <si>
    <t>16.2765N</t>
  </si>
  <si>
    <t>122.1257E</t>
  </si>
  <si>
    <t>R3-2025-015402</t>
  </si>
  <si>
    <t>R3-2025-033826</t>
  </si>
  <si>
    <t>16.2068N</t>
  </si>
  <si>
    <t xml:space="preserve">122.0395E </t>
  </si>
  <si>
    <t>R3-2025-030549</t>
  </si>
  <si>
    <t>16.1950N</t>
  </si>
  <si>
    <t>R3-2025-021936</t>
  </si>
  <si>
    <t>R3-2025-011223</t>
  </si>
  <si>
    <t>R3-2025-025604</t>
  </si>
  <si>
    <t>R3-2025-035190</t>
  </si>
  <si>
    <t>16.2910N</t>
  </si>
  <si>
    <t xml:space="preserve">122.1763E </t>
  </si>
  <si>
    <t>R3-2025-035185</t>
  </si>
  <si>
    <t>16. 2194N</t>
  </si>
  <si>
    <t xml:space="preserve">122.0608E </t>
  </si>
  <si>
    <t>R3-2025-030550</t>
  </si>
  <si>
    <t>16.1846N</t>
  </si>
  <si>
    <t xml:space="preserve">122.0213E </t>
  </si>
  <si>
    <t>R3-2025-033991</t>
  </si>
  <si>
    <t>16.1913N</t>
  </si>
  <si>
    <t xml:space="preserve">122.0559E </t>
  </si>
  <si>
    <t>R3-2025-034274</t>
  </si>
  <si>
    <t>R3-2025-007609</t>
  </si>
  <si>
    <t>R3-2025-025630</t>
  </si>
  <si>
    <t>16.1216N</t>
  </si>
  <si>
    <t>122.0654E</t>
  </si>
  <si>
    <t>R3-2025-034273</t>
  </si>
  <si>
    <t>R3-2025-003954</t>
  </si>
  <si>
    <t>R3-2025-037095</t>
  </si>
  <si>
    <t>16.4131N</t>
  </si>
  <si>
    <t>122.1909E</t>
  </si>
  <si>
    <t>R3-2025-030117</t>
  </si>
  <si>
    <t>16.4322N</t>
  </si>
  <si>
    <t xml:space="preserve">122.1979E </t>
  </si>
  <si>
    <t>R3-2025-004147</t>
  </si>
  <si>
    <t>R3-2025-026566</t>
  </si>
  <si>
    <t>122.2125E</t>
  </si>
  <si>
    <t>R3-2025-007740</t>
  </si>
  <si>
    <t>R3-2025-030526</t>
  </si>
  <si>
    <t>16.3950N</t>
  </si>
  <si>
    <t xml:space="preserve">122.2092E </t>
  </si>
  <si>
    <t>R3-2025-007739</t>
  </si>
  <si>
    <t>R3-2025-026600</t>
  </si>
  <si>
    <t>16.3910N</t>
  </si>
  <si>
    <t>122.2157E</t>
  </si>
  <si>
    <t xml:space="preserve">R3-2025-007888	</t>
  </si>
  <si>
    <t>R3-2025-034272</t>
  </si>
  <si>
    <t>R3-2025-011373</t>
  </si>
  <si>
    <t>16.1299N</t>
  </si>
  <si>
    <t>122.9096E</t>
  </si>
  <si>
    <t>R3-2025-025922</t>
  </si>
  <si>
    <t>16.1470N</t>
  </si>
  <si>
    <t>121.9711E</t>
  </si>
  <si>
    <t>Green Rescue Environmental Solutions and Services Inc.</t>
  </si>
  <si>
    <t>R3-2025-025921</t>
  </si>
  <si>
    <t>R3-2025-024036</t>
  </si>
  <si>
    <t>R3-2025-007890</t>
  </si>
  <si>
    <t>R3-2025-004943</t>
  </si>
  <si>
    <t>R3-2025-034591</t>
  </si>
  <si>
    <t>LGU Owned SLF</t>
  </si>
  <si>
    <t>R3-2025-008138</t>
  </si>
  <si>
    <t>Cabog(Matawe)</t>
  </si>
  <si>
    <t>R3-2025-012445</t>
  </si>
  <si>
    <t>R3-2025-008876</t>
  </si>
  <si>
    <t>R3-2025-034596</t>
  </si>
  <si>
    <t xml:space="preserve">15.288097N </t>
  </si>
  <si>
    <t>121.378475E</t>
  </si>
  <si>
    <t xml:space="preserve"> R3-2025-034598</t>
  </si>
  <si>
    <t>R3-2025-037378</t>
  </si>
  <si>
    <t>R3-2025-029094</t>
  </si>
  <si>
    <t>16. 1298</t>
  </si>
  <si>
    <t xml:space="preserve"> R3-2025-029650</t>
  </si>
  <si>
    <t>R3-2025-034969</t>
  </si>
  <si>
    <t>R3-2025-030546</t>
  </si>
  <si>
    <t>R3-2025-005411</t>
  </si>
  <si>
    <t>R3-2025-005404</t>
  </si>
  <si>
    <t xml:space="preserve"> R3-2025-035090</t>
  </si>
  <si>
    <t>R3-2025-033218</t>
  </si>
  <si>
    <t>R3-2025-030548</t>
  </si>
  <si>
    <t>15.8748 N</t>
  </si>
  <si>
    <t>121.5449 E</t>
  </si>
  <si>
    <t>R3-2025-035091</t>
  </si>
  <si>
    <t>R3-2025-005420</t>
  </si>
  <si>
    <t>R3-2025-011618</t>
  </si>
  <si>
    <t>15.809988N</t>
  </si>
  <si>
    <t>121.499368E</t>
  </si>
  <si>
    <t>LGU Maria Aurora SLF</t>
  </si>
  <si>
    <t xml:space="preserve"> R3-2025-025735</t>
  </si>
  <si>
    <t>15.778590N</t>
  </si>
  <si>
    <t>121.503388E</t>
  </si>
  <si>
    <t>R3-2025-026628</t>
  </si>
  <si>
    <t>15.789198N</t>
  </si>
  <si>
    <t>121.501678E</t>
  </si>
  <si>
    <t xml:space="preserve">R3-2025-030948	</t>
  </si>
  <si>
    <t>15.812265N</t>
  </si>
  <si>
    <t>121.489195E</t>
  </si>
  <si>
    <t>R3-2025-016721</t>
  </si>
  <si>
    <t>R3-2025-020016</t>
  </si>
  <si>
    <t>15.794448N</t>
  </si>
  <si>
    <t>121.472933E</t>
  </si>
  <si>
    <t>R3-2025-022439</t>
  </si>
  <si>
    <t>15.799588N</t>
  </si>
  <si>
    <t>121.475225E</t>
  </si>
  <si>
    <t>R3-2025-019987</t>
  </si>
  <si>
    <t>15.799460N</t>
  </si>
  <si>
    <t>121.469725E</t>
  </si>
  <si>
    <t xml:space="preserve"> R3-2025-015562</t>
  </si>
  <si>
    <t>15.794480N</t>
  </si>
  <si>
    <t>121.472219E</t>
  </si>
  <si>
    <t>R3-2025-030913</t>
  </si>
  <si>
    <t>15.838612N</t>
  </si>
  <si>
    <t>R3-2025-022438</t>
  </si>
  <si>
    <t xml:space="preserve">R3-2025-030985	</t>
  </si>
  <si>
    <t>15.796407N</t>
  </si>
  <si>
    <t>R3-2025-031019</t>
  </si>
  <si>
    <t>R3-2025-031022</t>
  </si>
  <si>
    <t>15.832142N</t>
  </si>
  <si>
    <t>121.470287E</t>
  </si>
  <si>
    <t>R3-2025-008205</t>
  </si>
  <si>
    <t>R3-2025-034583</t>
  </si>
  <si>
    <t>R3-2025-005657</t>
  </si>
  <si>
    <t xml:space="preserve">R3-2025-031035	</t>
  </si>
  <si>
    <t>15.813095N</t>
  </si>
  <si>
    <t>121.440105E</t>
  </si>
  <si>
    <t>R3-2025-027813</t>
  </si>
  <si>
    <t>15.711752N</t>
  </si>
  <si>
    <t>121.445172E</t>
  </si>
  <si>
    <t>R3-2025-037104</t>
  </si>
  <si>
    <t>15.741160N</t>
  </si>
  <si>
    <t>121.440717E</t>
  </si>
  <si>
    <t xml:space="preserve">R3-2025-033413	</t>
  </si>
  <si>
    <t>15.743460N</t>
  </si>
  <si>
    <t>121.386507E</t>
  </si>
  <si>
    <t>R3-2025-005655</t>
  </si>
  <si>
    <t>R3-2025-008242</t>
  </si>
  <si>
    <t>R3-2025-012446</t>
  </si>
  <si>
    <t>R3-2025-031047</t>
  </si>
  <si>
    <t>15.789550N</t>
  </si>
  <si>
    <t>121.449362E</t>
  </si>
  <si>
    <t>R3-2025-008230</t>
  </si>
  <si>
    <t xml:space="preserve"> R3-2025-034587</t>
  </si>
  <si>
    <t>R3-2025-031057</t>
  </si>
  <si>
    <t>15.801712N</t>
  </si>
  <si>
    <t>121.445333E</t>
  </si>
  <si>
    <t>R3-2025-026736</t>
  </si>
  <si>
    <t>15.767317N</t>
  </si>
  <si>
    <t>R3-2025-004662</t>
  </si>
  <si>
    <t>R3-2025-008899</t>
  </si>
  <si>
    <t>R3-2025-037106</t>
  </si>
  <si>
    <t>15.788023N</t>
  </si>
  <si>
    <t>121.476873E</t>
  </si>
  <si>
    <t>R3-2025-034588</t>
  </si>
  <si>
    <t>15.783380N</t>
  </si>
  <si>
    <t>121.312633E</t>
  </si>
  <si>
    <t>R3-2025-008175</t>
  </si>
  <si>
    <t>R3-2025-020024</t>
  </si>
  <si>
    <t>15.776913N</t>
  </si>
  <si>
    <t>121.479476E</t>
  </si>
  <si>
    <t>R3-2025-027744</t>
  </si>
  <si>
    <t>15.769202N</t>
  </si>
  <si>
    <t>121.434843E</t>
  </si>
  <si>
    <t xml:space="preserve">R3-2025-027799	</t>
  </si>
  <si>
    <t>15.716203N</t>
  </si>
  <si>
    <t>121.440687E</t>
  </si>
  <si>
    <t xml:space="preserve"> R3-2025-036830</t>
  </si>
  <si>
    <t>15.695238N</t>
  </si>
  <si>
    <t>121.335252E</t>
  </si>
  <si>
    <t>R3-2025-033414</t>
  </si>
  <si>
    <t>15.764712N</t>
  </si>
  <si>
    <t>121.423697E</t>
  </si>
  <si>
    <t>R3-2025-016631</t>
  </si>
  <si>
    <t>R3-2025-027728</t>
  </si>
  <si>
    <t xml:space="preserve">      re                                                                                                                                                                                                                                                                                                                                                                                                                                                                                                                                                                                                                                                                                                                                                                                                                                                                                                                                           </t>
  </si>
  <si>
    <t>R3-2025-030555</t>
  </si>
  <si>
    <t>R3-2025-030563</t>
  </si>
  <si>
    <t>R3-2025-027724</t>
  </si>
  <si>
    <t>R3-2025-027725</t>
  </si>
  <si>
    <t>R3-2025-035100</t>
  </si>
  <si>
    <t>WITHIN MBA</t>
  </si>
  <si>
    <t>R3-2025-016643</t>
  </si>
  <si>
    <t>Clustering</t>
  </si>
  <si>
    <t>LGU-owned SLF</t>
  </si>
  <si>
    <t>R3-2025-008162</t>
  </si>
  <si>
    <t>R3-2025-005952</t>
  </si>
  <si>
    <t>R3-2025-029943</t>
  </si>
  <si>
    <t>R3-2025-025550</t>
  </si>
  <si>
    <t>R3-2025-023317</t>
  </si>
  <si>
    <t>R3-2025-037630</t>
  </si>
  <si>
    <t>R3-2025-022307</t>
  </si>
  <si>
    <t>Bataan SLF</t>
  </si>
  <si>
    <t>R3-2025-029100</t>
  </si>
  <si>
    <t>R3-2025-009859</t>
  </si>
  <si>
    <t>R3-2025-025547</t>
  </si>
  <si>
    <t>Abucay SLF</t>
  </si>
  <si>
    <t>R3-2025-025546</t>
  </si>
  <si>
    <t>R3-2025-005484</t>
  </si>
  <si>
    <t>R3-2025-029098</t>
  </si>
  <si>
    <t>R3-2025-004559</t>
  </si>
  <si>
    <t>R3-2025-014305</t>
  </si>
  <si>
    <t>R3-2025-029941</t>
  </si>
  <si>
    <t>R3-2025-010806</t>
  </si>
  <si>
    <t>R3-2025-025548</t>
  </si>
  <si>
    <t>R3-2025-026558</t>
  </si>
  <si>
    <t>R3-2025-035192</t>
  </si>
  <si>
    <t>R3-2025-037628</t>
  </si>
  <si>
    <t>R3-2025-017586</t>
  </si>
  <si>
    <t>R3-2025-035193</t>
  </si>
  <si>
    <t>R3-2025-033303</t>
  </si>
  <si>
    <t>R3-2025-018945</t>
  </si>
  <si>
    <t>R3-2025-036695</t>
  </si>
  <si>
    <t>R3-2025-005483</t>
  </si>
  <si>
    <t>R3-2025-007099</t>
  </si>
  <si>
    <t>R3-2025-029099</t>
  </si>
  <si>
    <t>R3-2025-004288</t>
  </si>
  <si>
    <t>MRF and MRS</t>
  </si>
  <si>
    <t>MRF - not operational
MRS - operational</t>
  </si>
  <si>
    <t xml:space="preserve">Floridablanca Enviro Corporation
</t>
  </si>
  <si>
    <t>R3-2025-004148</t>
  </si>
  <si>
    <t>Hauler - MCWMC</t>
  </si>
  <si>
    <t>R3-2025-036112</t>
  </si>
  <si>
    <t>R3-2025-034321</t>
  </si>
  <si>
    <t>R3-2025-015829</t>
  </si>
  <si>
    <t>Collected by LGU truck and final sorting to Central MRF</t>
  </si>
  <si>
    <t>R3-2025-026601</t>
  </si>
  <si>
    <t>Pyrolysis</t>
  </si>
  <si>
    <t>R3-2025-022309</t>
  </si>
  <si>
    <t>R3-2025-015647</t>
  </si>
  <si>
    <t>Floridablanca Enviro Corporation
Eco Protect Management Caorporation</t>
  </si>
  <si>
    <t>R3-2025-003755</t>
  </si>
  <si>
    <t>R3-2025-006497</t>
  </si>
  <si>
    <t>Collected by barangay and final sorting to Central MRF</t>
  </si>
  <si>
    <t>R3-2025-025549</t>
  </si>
  <si>
    <t>R3-2025-034323</t>
  </si>
  <si>
    <t>R3-2025-033342</t>
  </si>
  <si>
    <t>R3-2025-012594</t>
  </si>
  <si>
    <t>R3-2025-009977</t>
  </si>
  <si>
    <t>R3-2025-035311</t>
  </si>
  <si>
    <t>R3-2025-017933</t>
  </si>
  <si>
    <t>R3-2025-035312</t>
  </si>
  <si>
    <t>R3-2025-035313</t>
  </si>
  <si>
    <t>R3-2025-030795</t>
  </si>
  <si>
    <t>R3-2025-016651</t>
  </si>
  <si>
    <t>R3-2025-010729</t>
  </si>
  <si>
    <t>R3-2025-008160</t>
  </si>
  <si>
    <t>R3-2025-031489</t>
  </si>
  <si>
    <t>R3-2025-015833</t>
  </si>
  <si>
    <t>R3-2025-031493</t>
  </si>
  <si>
    <t>R3-2025-030797</t>
  </si>
  <si>
    <t>R3-2025-031495</t>
  </si>
  <si>
    <t>R3-2025-027736</t>
  </si>
  <si>
    <t>R3-2025-027734</t>
  </si>
  <si>
    <t>R3-2025-026583</t>
  </si>
  <si>
    <t>R3-2025-026582</t>
  </si>
  <si>
    <t>R3-2025-003418</t>
  </si>
  <si>
    <t>R3-2025-005301</t>
  </si>
  <si>
    <t>R3-2025-020182</t>
  </si>
  <si>
    <t>R3-2025-008968</t>
  </si>
  <si>
    <t>R3-2025-027733</t>
  </si>
  <si>
    <t>R3-2025-033341</t>
  </si>
  <si>
    <t>R3-2025-007074</t>
  </si>
  <si>
    <t>R3-2025-034322</t>
  </si>
  <si>
    <t>R3-2025-016629</t>
  </si>
  <si>
    <t>REceived by Planning</t>
  </si>
  <si>
    <t>R3-2025-015571</t>
  </si>
  <si>
    <t>R3-2025-018854</t>
  </si>
  <si>
    <t>R3-2025-029942</t>
  </si>
  <si>
    <t>R3-2025-019597</t>
  </si>
  <si>
    <t>R3-2025-030798</t>
  </si>
  <si>
    <t>R3-2025-029101</t>
  </si>
  <si>
    <t>MRS/Clustering</t>
  </si>
  <si>
    <t>R3-2025-035087</t>
  </si>
  <si>
    <t>R3-2025-035093</t>
  </si>
  <si>
    <t>R3-2025-034118</t>
  </si>
  <si>
    <t>R3-2025-012577</t>
  </si>
  <si>
    <t>R3-2025-004579</t>
  </si>
  <si>
    <t>R3-2025-006075</t>
  </si>
  <si>
    <t>R3-2025-012689</t>
  </si>
  <si>
    <t>R3-2025-035102</t>
  </si>
  <si>
    <t>14.853000N</t>
  </si>
  <si>
    <t>R3-2025-035148</t>
  </si>
  <si>
    <t>R3-2025-008865</t>
  </si>
  <si>
    <t>R3-2025-026646</t>
  </si>
  <si>
    <t>14.790430N</t>
  </si>
  <si>
    <t>R3-2025-016435</t>
  </si>
  <si>
    <t>R3-2025-029080</t>
  </si>
  <si>
    <t>R3-2025-026575</t>
  </si>
  <si>
    <t>R3-2025-025649</t>
  </si>
  <si>
    <t>14.862403N</t>
  </si>
  <si>
    <t>120.426967E</t>
  </si>
  <si>
    <t>R3-2025-022299</t>
  </si>
  <si>
    <t>R3-2025-023845</t>
  </si>
  <si>
    <t>R3-2025-034102</t>
  </si>
  <si>
    <t>R3-2025-030024</t>
  </si>
  <si>
    <t>R3-2025-030059</t>
  </si>
  <si>
    <t>R3-2025-031468</t>
  </si>
  <si>
    <t>R3-2025-030898</t>
  </si>
  <si>
    <t>R3-2025-023225</t>
  </si>
  <si>
    <t>R3-2025-026590</t>
  </si>
  <si>
    <t>14.823330N</t>
  </si>
  <si>
    <t>120.468140E</t>
  </si>
  <si>
    <t>R3-2025-026606</t>
  </si>
  <si>
    <t>R3-2025-007211</t>
  </si>
  <si>
    <t>R3-2025-034250</t>
  </si>
  <si>
    <t>R3-2025-015646</t>
  </si>
  <si>
    <t>R3-2025-033418</t>
  </si>
  <si>
    <t>R3-2025-033422</t>
  </si>
  <si>
    <t>14.834405N</t>
  </si>
  <si>
    <t>120.488098E</t>
  </si>
  <si>
    <t>R3-2025-037238</t>
  </si>
  <si>
    <t>R3-2025-035128</t>
  </si>
  <si>
    <t>R3-2025-034249</t>
  </si>
  <si>
    <t xml:space="preserve">14.843412N </t>
  </si>
  <si>
    <t>R3-2025-006498</t>
  </si>
  <si>
    <t>R3-2025-014302</t>
  </si>
  <si>
    <t>R3-2025-037239</t>
  </si>
  <si>
    <t>R3-2025-031470</t>
  </si>
  <si>
    <t>R3-2025-030062</t>
  </si>
  <si>
    <t>R3-2025-012403</t>
  </si>
  <si>
    <t>R3-2025-020179</t>
  </si>
  <si>
    <t>14.809162N</t>
  </si>
  <si>
    <t>R3-2025-006995</t>
  </si>
  <si>
    <t>R3-2025-030073</t>
  </si>
  <si>
    <t>R3-2025-031471</t>
  </si>
  <si>
    <t>R3-2025-026650</t>
  </si>
  <si>
    <t>R3-2025-025671</t>
  </si>
  <si>
    <t>R3-2025-027894</t>
  </si>
  <si>
    <t>R3-2025-037242</t>
  </si>
  <si>
    <t>R3-2025-037241</t>
  </si>
  <si>
    <t>R3-2025-033466</t>
  </si>
  <si>
    <t>R3-2025-033450</t>
  </si>
  <si>
    <t>14.811158N</t>
  </si>
  <si>
    <t>R3-2025-004487</t>
  </si>
  <si>
    <t>R3-2025-012949</t>
  </si>
  <si>
    <t>R3-2025-019676</t>
  </si>
  <si>
    <t>R3-2025-008820</t>
  </si>
  <si>
    <t>R3-2025-018158</t>
  </si>
  <si>
    <t>R3-2025-031021</t>
  </si>
  <si>
    <t>R3-2025-026695</t>
  </si>
  <si>
    <t>R3-2025-026698</t>
  </si>
  <si>
    <t>R3-2025-027849</t>
  </si>
  <si>
    <t>R3-2025-027884</t>
  </si>
  <si>
    <t>R3-2025-023350</t>
  </si>
  <si>
    <t>R3-2025-023352</t>
  </si>
  <si>
    <t>R3-2025-035307</t>
  </si>
  <si>
    <t>R3-2025-033402</t>
  </si>
  <si>
    <t>R3-2025-030921</t>
  </si>
  <si>
    <t>R3-2025-027800</t>
  </si>
  <si>
    <t>R3-2025-025605</t>
  </si>
  <si>
    <t>R3-2025-026624</t>
  </si>
  <si>
    <t>R3-2025-027803</t>
  </si>
  <si>
    <t>R3-2025-026625</t>
  </si>
  <si>
    <t>R3-2025-036662</t>
  </si>
  <si>
    <t>R3-2025-028635</t>
  </si>
  <si>
    <t>R3-2025-026617</t>
  </si>
  <si>
    <t>120.47963E</t>
  </si>
  <si>
    <t>MCWMC</t>
  </si>
  <si>
    <t>R3-2025-035306</t>
  </si>
  <si>
    <t>R3-2025-034286</t>
  </si>
  <si>
    <t>R3-2025-030926</t>
  </si>
  <si>
    <t>R3-2025-029092</t>
  </si>
  <si>
    <t>R3-2025-010546</t>
  </si>
  <si>
    <t>Hauler - MCWMC
Final Disposal - Bataan Integrated Waste Management Facility</t>
  </si>
  <si>
    <t>R3-2025-008730</t>
  </si>
  <si>
    <t>R3-2025-030957</t>
  </si>
  <si>
    <t>R3-2025-004554</t>
  </si>
  <si>
    <t>R3-2025-010708</t>
  </si>
  <si>
    <t>R3-2025-004485</t>
  </si>
  <si>
    <t>Not Applicable</t>
  </si>
  <si>
    <t>R3-2025-007098</t>
  </si>
  <si>
    <t>R3-2025-010832</t>
  </si>
  <si>
    <t>R3-2025-035302</t>
  </si>
  <si>
    <t>R3-2025-035304</t>
  </si>
  <si>
    <t>R3-2025-023353</t>
  </si>
  <si>
    <t> R3-2025-016513 </t>
  </si>
  <si>
    <t>R3-2025-027552 </t>
  </si>
  <si>
    <t>R3-2025-027551</t>
  </si>
  <si>
    <t>R3-2025-027550</t>
  </si>
  <si>
    <t>R3-2025-027553 </t>
  </si>
  <si>
    <t>R3-2025-016515</t>
  </si>
  <si>
    <t>R3-2025-016514 </t>
  </si>
  <si>
    <t>R3-2025-037539</t>
  </si>
  <si>
    <t>R3-2025-037537</t>
  </si>
  <si>
    <t>R3-2025-037538</t>
  </si>
  <si>
    <t>R3-2025-031088</t>
  </si>
  <si>
    <t>R3-2025-031089</t>
  </si>
  <si>
    <t>R3-2025-031091</t>
  </si>
  <si>
    <t>R3-2025-031090</t>
  </si>
  <si>
    <t>R3-2025-031092</t>
  </si>
  <si>
    <t>R3-2025-031093</t>
  </si>
  <si>
    <t>R3-2025-028140</t>
  </si>
  <si>
    <t>R3-2025-004435</t>
  </si>
  <si>
    <t>R3-2025-004434</t>
  </si>
  <si>
    <t>R3-2025-005971</t>
  </si>
  <si>
    <t>Jasmine Marie Siapco</t>
  </si>
  <si>
    <t>R3-2025-031516</t>
  </si>
  <si>
    <t>LGU INIATED MRF - CENTRAL MRF, DALIG, BALAGTAS</t>
  </si>
  <si>
    <t>R3-2025-037480</t>
  </si>
  <si>
    <t>Central MRF of Baliwag</t>
  </si>
  <si>
    <t>R3-2025-028127</t>
  </si>
  <si>
    <t>14. 8309</t>
  </si>
  <si>
    <t>R3-2025-019804</t>
  </si>
  <si>
    <t>R3-2025-019807</t>
  </si>
  <si>
    <t>R3-2025-019812</t>
  </si>
  <si>
    <t>R3-2025-027532</t>
  </si>
  <si>
    <t>R3-2025-027530</t>
  </si>
  <si>
    <t>R3-2025-019813</t>
  </si>
  <si>
    <t>R3-2025-027529</t>
  </si>
  <si>
    <t>R3-2025-020001</t>
  </si>
  <si>
    <t>R3-2025-027528</t>
  </si>
  <si>
    <t>R3-2025-027531</t>
  </si>
  <si>
    <t>R3-2025-037320</t>
  </si>
  <si>
    <t>CENTRAL MRF OF BARANGAY BATIA, BOCAUE, BULACAN</t>
  </si>
  <si>
    <t>R3-2025-031537</t>
  </si>
  <si>
    <t>R3-2025-031540</t>
  </si>
  <si>
    <t>R3-2025-012394</t>
  </si>
  <si>
    <t>R3-2025-012396</t>
  </si>
  <si>
    <t>R3-2025-012397</t>
  </si>
  <si>
    <t>R3-2025-012395</t>
  </si>
  <si>
    <t>R3-2025-012398</t>
  </si>
  <si>
    <t>R3-2025-005550</t>
  </si>
  <si>
    <t>R3-2025-005896</t>
  </si>
  <si>
    <t>R3-2025-005895</t>
  </si>
  <si>
    <t>R3-2025-007934</t>
  </si>
  <si>
    <t>14.930231 N</t>
  </si>
  <si>
    <t>120.906845E</t>
  </si>
  <si>
    <t>R3-2025-007936</t>
  </si>
  <si>
    <t>12.955183 N</t>
  </si>
  <si>
    <t>120.922274 E</t>
  </si>
  <si>
    <t> R3-2025-005551</t>
  </si>
  <si>
    <t>R3-2025-005897</t>
  </si>
  <si>
    <t>R3-2025-031525</t>
  </si>
  <si>
    <t>ISWIMS</t>
  </si>
  <si>
    <t>Bustos Central MRF</t>
  </si>
  <si>
    <t> R3-2025-016510 </t>
  </si>
  <si>
    <t>R3-2025-016512</t>
  </si>
  <si>
    <t>R3-2025-008807</t>
  </si>
  <si>
    <t>R3-2025-027875</t>
  </si>
  <si>
    <t>R3-2025-027874 </t>
  </si>
  <si>
    <t>R3-2025-008808</t>
  </si>
  <si>
    <t>R3-2025-027876</t>
  </si>
  <si>
    <t> R3-2025-027878</t>
  </si>
  <si>
    <t>R3-2025-008805</t>
  </si>
  <si>
    <t>R3-2025-027880</t>
  </si>
  <si>
    <t>R3-2025-035143</t>
  </si>
  <si>
    <t>Calumpit Transfer Station / CENTRAL MRF - CALIZON, CALUMPIT</t>
  </si>
  <si>
    <t>ronaldo P. Roque, Jr.</t>
  </si>
  <si>
    <t>R3-2025-011424</t>
  </si>
  <si>
    <t>14.849144 N</t>
  </si>
  <si>
    <t xml:space="preserve"> Eco Protect Management Corporation</t>
  </si>
  <si>
    <t>R3-2025-024081</t>
  </si>
  <si>
    <t>14.8515 N</t>
  </si>
  <si>
    <t>120.8135 E</t>
  </si>
  <si>
    <t>R3-2025-027675</t>
  </si>
  <si>
    <t>R3-2025-004345</t>
  </si>
  <si>
    <t>R3-2025-008015</t>
  </si>
  <si>
    <t>14.832196 N</t>
  </si>
  <si>
    <t>120.821468 E</t>
  </si>
  <si>
    <t>R3-2025-011422</t>
  </si>
  <si>
    <t>●	According to the Barangay Official, the barangay is currently searching for a suitable lot to construct the MRF. Although they had previously identified potential lots, the land was purchased before the funding to acquire the lot was released, so they are still in the process of finding a suitable location.</t>
  </si>
  <si>
    <t>R3-2025-011423</t>
  </si>
  <si>
    <t>14.861736 N</t>
  </si>
  <si>
    <t>120.844156 E</t>
  </si>
  <si>
    <t>R3-2025-024082</t>
  </si>
  <si>
    <t>14.8487N</t>
  </si>
  <si>
    <t>120.8203E</t>
  </si>
  <si>
    <t>R3-2025-024079</t>
  </si>
  <si>
    <t>120.804198 E</t>
  </si>
  <si>
    <t>R3-2025-027672</t>
  </si>
  <si>
    <t>R3-2025-024080</t>
  </si>
  <si>
    <t>120.8125E</t>
  </si>
  <si>
    <t>R3-2025-027674 </t>
  </si>
  <si>
    <t>R3-2025-024083</t>
  </si>
  <si>
    <t>14.8431N</t>
  </si>
  <si>
    <t>120.8160E</t>
  </si>
  <si>
    <t>R3-2025-027671</t>
  </si>
  <si>
    <t>R3-2025-027673 </t>
  </si>
  <si>
    <t>R3-2025-008013</t>
  </si>
  <si>
    <t>14.822382 N</t>
  </si>
  <si>
    <t>120.827926 E</t>
  </si>
  <si>
    <t>R3-2025-033486</t>
  </si>
  <si>
    <t>R3-2025-033485</t>
  </si>
  <si>
    <t>R3-2025-033484</t>
  </si>
  <si>
    <t>R3-2025-031002</t>
  </si>
  <si>
    <t>14.8533N</t>
  </si>
  <si>
    <t>120.8175E</t>
  </si>
  <si>
    <t>R3-2025-030997</t>
  </si>
  <si>
    <t>14.8755N</t>
  </si>
  <si>
    <t>120.8257E</t>
  </si>
  <si>
    <t>R3-2025-031000</t>
  </si>
  <si>
    <t>14.8721 N</t>
  </si>
  <si>
    <t>120.8208 E</t>
  </si>
  <si>
    <t>R3-2025-031001</t>
  </si>
  <si>
    <t>14.8763N</t>
  </si>
  <si>
    <t>120.8371E</t>
  </si>
  <si>
    <t>R3-2025-013056</t>
  </si>
  <si>
    <t>14.7697N</t>
  </si>
  <si>
    <t>121.0168E</t>
  </si>
  <si>
    <t>R3-2025-013057</t>
  </si>
  <si>
    <t>14.7246N</t>
  </si>
  <si>
    <t>120.9579E</t>
  </si>
  <si>
    <t>R3-2025-016530</t>
  </si>
  <si>
    <t>14.7682N</t>
  </si>
  <si>
    <t>120.9939E</t>
  </si>
  <si>
    <t>R3-2025-016246</t>
  </si>
  <si>
    <t>R3-2025-008883</t>
  </si>
  <si>
    <t>R3-2025-008949</t>
  </si>
  <si>
    <t>R3-2025-008951</t>
  </si>
  <si>
    <t>R3-2025-020121</t>
  </si>
  <si>
    <t>14.7347N</t>
  </si>
  <si>
    <t>120.9495E</t>
  </si>
  <si>
    <t>ISWIMS SLF</t>
  </si>
  <si>
    <t>R3-2025-008953</t>
  </si>
  <si>
    <t>R3-2025-024155</t>
  </si>
  <si>
    <t>ISWIMS MONTALBAN RIZAL</t>
  </si>
  <si>
    <t>R3-2025-024160</t>
  </si>
  <si>
    <t xml:space="preserve"> R3-2025-024166</t>
  </si>
  <si>
    <t>R3-2025-027632 </t>
  </si>
  <si>
    <t>R3-2025-020123</t>
  </si>
  <si>
    <t>120.9664E</t>
  </si>
  <si>
    <t>R3-2025-027630</t>
  </si>
  <si>
    <t>14.7263N</t>
  </si>
  <si>
    <t>R3-2025-013054</t>
  </si>
  <si>
    <t>14.7580N</t>
  </si>
  <si>
    <t>121.0063E</t>
  </si>
  <si>
    <t>R3-2025-013055</t>
  </si>
  <si>
    <t>14.7286N</t>
  </si>
  <si>
    <t>120.9608E</t>
  </si>
  <si>
    <t>R3-2025-008952</t>
  </si>
  <si>
    <t xml:space="preserve"> R3-2025-024162</t>
  </si>
  <si>
    <t>R3-2025-027631</t>
  </si>
  <si>
    <t xml:space="preserve">R3-2025-016461 </t>
  </si>
  <si>
    <t>R3-2025-005167</t>
  </si>
  <si>
    <t>R3-2025-013058</t>
  </si>
  <si>
    <t>14.8009N</t>
  </si>
  <si>
    <t>121.0672E</t>
  </si>
  <si>
    <t>R3-2025-005166</t>
  </si>
  <si>
    <t>R3-2025-005974</t>
  </si>
  <si>
    <t>R3-2025-024137</t>
  </si>
  <si>
    <t xml:space="preserve"> R3-2025-024140</t>
  </si>
  <si>
    <t>R3-2025-013059</t>
  </si>
  <si>
    <t>14.8084N</t>
  </si>
  <si>
    <t>121.0457E</t>
  </si>
  <si>
    <t>R3-2025-024134</t>
  </si>
  <si>
    <t>R3-2025-024145</t>
  </si>
  <si>
    <t>R3-2025-024149</t>
  </si>
  <si>
    <t>FEBRUARY</t>
  </si>
  <si>
    <t>R3-2025-005157</t>
  </si>
  <si>
    <t>R3-2025-024015</t>
  </si>
  <si>
    <t>R3-2025-028138 </t>
  </si>
  <si>
    <t>R3-2025-024016</t>
  </si>
  <si>
    <t>R3-2025-008785</t>
  </si>
  <si>
    <t>R3-2025-008789</t>
  </si>
  <si>
    <t>R3-2025-008793</t>
  </si>
  <si>
    <t>R3-2025-019840</t>
  </si>
  <si>
    <t>R3-2025-005115</t>
  </si>
  <si>
    <t>R3-2025-005113</t>
  </si>
  <si>
    <t>R3-2025-005112</t>
  </si>
  <si>
    <t>R3-2025-008786</t>
  </si>
  <si>
    <t>R3-2025-008787</t>
  </si>
  <si>
    <t>R3-2025-008796</t>
  </si>
  <si>
    <t>R3-2025-008790</t>
  </si>
  <si>
    <t>R3-2025-008788</t>
  </si>
  <si>
    <t>R3-2025-020003</t>
  </si>
  <si>
    <t>R3-2025-020029</t>
  </si>
  <si>
    <t>R3-2025-008812</t>
  </si>
  <si>
    <t>R3-2025-008810</t>
  </si>
  <si>
    <t>R3-2025-016508 </t>
  </si>
  <si>
    <t>R3-2025-024078</t>
  </si>
  <si>
    <t>R3-2025-024074</t>
  </si>
  <si>
    <t>R3-2025-024076</t>
  </si>
  <si>
    <t>R3-2025-024077</t>
  </si>
  <si>
    <t>14.8375N</t>
  </si>
  <si>
    <t>120.7366E</t>
  </si>
  <si>
    <t>R3-2025-008809</t>
  </si>
  <si>
    <t>R3-2025-008811</t>
  </si>
  <si>
    <t xml:space="preserve"> R3-2025-016509</t>
  </si>
  <si>
    <t>R3-2025-013052</t>
  </si>
  <si>
    <t>14.7731N</t>
  </si>
  <si>
    <t>120.9407E</t>
  </si>
  <si>
    <t>Eco Protect Management Corporation/ Prime Waste Solutions Pampanga</t>
  </si>
  <si>
    <t>R3-2025-013053</t>
  </si>
  <si>
    <t>14.7676N</t>
  </si>
  <si>
    <t>120.9395E</t>
  </si>
  <si>
    <t>R3-2025-020116</t>
  </si>
  <si>
    <t>14.7540N</t>
  </si>
  <si>
    <t>120.9534E</t>
  </si>
  <si>
    <t>R3-2025-020117</t>
  </si>
  <si>
    <t>14.7714N</t>
  </si>
  <si>
    <t>120.9793E</t>
  </si>
  <si>
    <t>R3-2025-016460</t>
  </si>
  <si>
    <t>may</t>
  </si>
  <si>
    <t>R3-2025-020372</t>
  </si>
  <si>
    <t>R3-2025-016245</t>
  </si>
  <si>
    <t>R3-2025-020118</t>
  </si>
  <si>
    <t>14.7567N</t>
  </si>
  <si>
    <t>120.9485E</t>
  </si>
  <si>
    <t>R3-2025-020120</t>
  </si>
  <si>
    <t>14.7590N</t>
  </si>
  <si>
    <t>120.9443E</t>
  </si>
  <si>
    <t>R3-2025-027627</t>
  </si>
  <si>
    <t>R3-2025-027629</t>
  </si>
  <si>
    <t>R3-2025-005160</t>
  </si>
  <si>
    <t>R3-2025-005158</t>
  </si>
  <si>
    <t>R3-2025-008956</t>
  </si>
  <si>
    <t>R3-2025-008957</t>
  </si>
  <si>
    <t>R3-2025-015368</t>
  </si>
  <si>
    <t xml:space="preserve">R3-2025-015369 </t>
  </si>
  <si>
    <t>R3-2025-008954</t>
  </si>
  <si>
    <t>R3-2025-008955</t>
  </si>
  <si>
    <t>R3-2025-020126</t>
  </si>
  <si>
    <t>14.7446N</t>
  </si>
  <si>
    <t>120.9114E</t>
  </si>
  <si>
    <t>PhilEco</t>
  </si>
  <si>
    <t xml:space="preserve">R3-2025-008958	</t>
  </si>
  <si>
    <t>R3-2025-020125</t>
  </si>
  <si>
    <t>14.7297N</t>
  </si>
  <si>
    <t>120.9230E</t>
  </si>
  <si>
    <t>R3-2025-011421</t>
  </si>
  <si>
    <t xml:space="preserve">14.8839 N </t>
  </si>
  <si>
    <t>120.9288 E</t>
  </si>
  <si>
    <t>R3-2025-005900</t>
  </si>
  <si>
    <t>R3-2025-019631</t>
  </si>
  <si>
    <t>R3-2025-005901</t>
  </si>
  <si>
    <t>R3-2025-019632 </t>
  </si>
  <si>
    <t>R3-2025-019633</t>
  </si>
  <si>
    <t>R3-2025-004440</t>
  </si>
  <si>
    <t>R3-2025-004438</t>
  </si>
  <si>
    <t>R3-2025-011420</t>
  </si>
  <si>
    <t> R3-2025-012418</t>
  </si>
  <si>
    <t>R3-2025-019640</t>
  </si>
  <si>
    <t>R3-2025-019635</t>
  </si>
  <si>
    <t xml:space="preserve">14.8364 N </t>
  </si>
  <si>
    <t>120.7835 E</t>
  </si>
  <si>
    <t>R3-2025-019636</t>
  </si>
  <si>
    <t>R3-2025-026818</t>
  </si>
  <si>
    <t xml:space="preserve">14.8303 N </t>
  </si>
  <si>
    <t>120.7840 E</t>
  </si>
  <si>
    <t>R3-2025-019637</t>
  </si>
  <si>
    <t>R3-2025-019639</t>
  </si>
  <si>
    <t>R3-2025-012419</t>
  </si>
  <si>
    <t>R3-2025-033540</t>
  </si>
  <si>
    <t>FUNDED MRF - SAN ISIDRO II, PAOMBONG</t>
  </si>
  <si>
    <t>R3-2025-026819</t>
  </si>
  <si>
    <t>14.8526 N</t>
  </si>
  <si>
    <t>120.7794 E</t>
  </si>
  <si>
    <t>R3-2025-016430</t>
  </si>
  <si>
    <t xml:space="preserve"> R3-2025-016217 </t>
  </si>
  <si>
    <t>R3-2025-008791</t>
  </si>
  <si>
    <t>R3-2025-023891</t>
  </si>
  <si>
    <t>R3-2025-005806 </t>
  </si>
  <si>
    <t>R3-2025-023889</t>
  </si>
  <si>
    <t>R3-2025-005116</t>
  </si>
  <si>
    <t>R3-2025-023892</t>
  </si>
  <si>
    <t>R3-2025-024011</t>
  </si>
  <si>
    <t xml:space="preserve">R3-2025-016431 </t>
  </si>
  <si>
    <t>R3-2025-008792</t>
  </si>
  <si>
    <t>R3-2025-005117</t>
  </si>
  <si>
    <t>R3-2025-016216</t>
  </si>
  <si>
    <t>R3-2025-027522</t>
  </si>
  <si>
    <t> R3-2025-016444 </t>
  </si>
  <si>
    <t>R3-2025-024014</t>
  </si>
  <si>
    <t>R3-2025-027526</t>
  </si>
  <si>
    <t>R3-2025-012630</t>
  </si>
  <si>
    <t>R3-2025-012443</t>
  </si>
  <si>
    <t>R3-2025-016442</t>
  </si>
  <si>
    <t xml:space="preserve"> R3-2025-016443</t>
  </si>
  <si>
    <t>R3-2025-016445</t>
  </si>
  <si>
    <t>R3-2025-024012</t>
  </si>
  <si>
    <t>R3-2025-024013 </t>
  </si>
  <si>
    <t>R3-2025-024013</t>
  </si>
  <si>
    <t>R3-2025-027525</t>
  </si>
  <si>
    <t>R3-2025-012628</t>
  </si>
  <si>
    <t>R3-2025-027524</t>
  </si>
  <si>
    <t>R3-2025-031517</t>
  </si>
  <si>
    <t>LGU-INITIATED MRF - LONGOS, PULILAN</t>
  </si>
  <si>
    <t>R3-2025-031692</t>
  </si>
  <si>
    <t>EMB FUNDED CENTRAL MRF -  SAN ILDEFONSO, BULACAN</t>
  </si>
  <si>
    <t>R3-2025-035081</t>
  </si>
  <si>
    <t>CATER BY  LGU</t>
  </si>
  <si>
    <t>Municipal MRF of San Rafael, Bulacan</t>
  </si>
  <si>
    <t>CATER  BY LGU</t>
  </si>
  <si>
    <t>R3-2025-005165</t>
  </si>
  <si>
    <t>R3-2025-005973</t>
  </si>
  <si>
    <t>R3-2025-027636</t>
  </si>
  <si>
    <t>R3-2025-027641</t>
  </si>
  <si>
    <t>14.8162N</t>
  </si>
  <si>
    <t>R3-2025-027648 </t>
  </si>
  <si>
    <t>R3-2025-027642</t>
  </si>
  <si>
    <t>14.8477N</t>
  </si>
  <si>
    <t>R3-2025-027635</t>
  </si>
  <si>
    <t>R3-2025-027643 </t>
  </si>
  <si>
    <t>R3-2025-027639</t>
  </si>
  <si>
    <t>14.8264N</t>
  </si>
  <si>
    <t>120.9861E</t>
  </si>
  <si>
    <t> R3-2025-027633</t>
  </si>
  <si>
    <t>R3-2025-027637</t>
  </si>
  <si>
    <t>R3-2025-005977</t>
  </si>
  <si>
    <t>R3-2025-027638 </t>
  </si>
  <si>
    <t>14.8241N</t>
  </si>
  <si>
    <t>120.9652E</t>
  </si>
  <si>
    <t>R3-2025-016421</t>
  </si>
  <si>
    <t>Metro Waste Hauler</t>
  </si>
  <si>
    <t>R3-2025-006107</t>
  </si>
  <si>
    <t>120. 8617</t>
  </si>
  <si>
    <t>R3-2025-006106</t>
  </si>
  <si>
    <t>120. 8708</t>
  </si>
  <si>
    <t>R3-2025-008755</t>
  </si>
  <si>
    <t xml:space="preserve">120. 8317 </t>
  </si>
  <si>
    <t>R3-2025-017648</t>
  </si>
  <si>
    <t>R3-2025-007958</t>
  </si>
  <si>
    <t xml:space="preserve">120. 8708 </t>
  </si>
  <si>
    <t>R3-2025-012206</t>
  </si>
  <si>
    <t>R3-2025-010909</t>
  </si>
  <si>
    <t>R3-2025-009794</t>
  </si>
  <si>
    <t>R3-2025-012204</t>
  </si>
  <si>
    <t>R3-2025-016420</t>
  </si>
  <si>
    <t>R3-2025-031647</t>
  </si>
  <si>
    <r>
      <t>1</t>
    </r>
    <r>
      <rPr>
        <sz val="11"/>
        <color theme="1"/>
        <rFont val="Calibri"/>
        <family val="2"/>
        <charset val="1"/>
      </rPr>
      <t>5.4673</t>
    </r>
    <r>
      <rPr>
        <sz val="11"/>
        <color theme="1"/>
        <rFont val="Bookman Old Style"/>
        <family val="1"/>
        <charset val="1"/>
      </rPr>
      <t xml:space="preserve"> N</t>
    </r>
  </si>
  <si>
    <r>
      <t>120.</t>
    </r>
    <r>
      <rPr>
        <sz val="11"/>
        <color theme="1"/>
        <rFont val="Calibri"/>
        <family val="2"/>
        <charset val="1"/>
      </rPr>
      <t>8450</t>
    </r>
    <r>
      <rPr>
        <sz val="11"/>
        <color theme="1"/>
        <rFont val="Bookman Old Style"/>
        <family val="1"/>
        <charset val="1"/>
      </rPr>
      <t xml:space="preserve"> E</t>
    </r>
  </si>
  <si>
    <t>R3-2025-031660</t>
  </si>
  <si>
    <t>15.4959 N</t>
  </si>
  <si>
    <t>120.8492 E</t>
  </si>
  <si>
    <t>R3-2025-031657</t>
  </si>
  <si>
    <t>R3-2025-031655</t>
  </si>
  <si>
    <t>15.4797 N</t>
  </si>
  <si>
    <t>R3-2025-003544</t>
  </si>
  <si>
    <t>R3-2025-005526</t>
  </si>
  <si>
    <t>R3-2025-003543</t>
  </si>
  <si>
    <t>R3-2025-014899</t>
  </si>
  <si>
    <t>R3-2025-005521</t>
  </si>
  <si>
    <t>R3-2025-005522</t>
  </si>
  <si>
    <t>R3-2025-005523</t>
  </si>
  <si>
    <t>R3-2025-005520</t>
  </si>
  <si>
    <t>R3-2025-005519</t>
  </si>
  <si>
    <t>R3-2025-027863</t>
  </si>
  <si>
    <t>R3-2025-022422</t>
  </si>
  <si>
    <t>R3-2025-016628</t>
  </si>
  <si>
    <t>R3-2025-027861</t>
  </si>
  <si>
    <t>R3-2025-035196</t>
  </si>
  <si>
    <t>LGU Initiated MRF</t>
  </si>
  <si>
    <t>R3-2025-027857</t>
  </si>
  <si>
    <t>R3-2025-004768</t>
  </si>
  <si>
    <t>R3-2025-027688</t>
  </si>
  <si>
    <t>R3-2025-024357</t>
  </si>
  <si>
    <t>R3-2025-014897</t>
  </si>
  <si>
    <t>R3-2025-016637</t>
  </si>
  <si>
    <t>R3-2025-004770</t>
  </si>
  <si>
    <t>The Brgy.  MS. Garcia shall strictly monitor the waste collection, record the data of waste collected, and barangay MRF operation and its maintenance.</t>
  </si>
  <si>
    <t>R3-2025-016633</t>
  </si>
  <si>
    <t>R3-2025-004767</t>
  </si>
  <si>
    <t>R3-2025-005525</t>
  </si>
  <si>
    <t>R3-2025-018161</t>
  </si>
  <si>
    <t>R3-2025-018162</t>
  </si>
  <si>
    <t>R3-2025-027690</t>
  </si>
  <si>
    <t>R3-2025-019661</t>
  </si>
  <si>
    <t>R3-2025-027152</t>
  </si>
  <si>
    <t>R3-2025-004769</t>
  </si>
  <si>
    <t>LGU CABANATUAN CITY
(Brgy. Valle Cruz)</t>
  </si>
  <si>
    <t>On Going negotiation with the SLF</t>
  </si>
  <si>
    <t>R3-2025-007340</t>
  </si>
  <si>
    <t>R3-2025-027859</t>
  </si>
  <si>
    <t>R3-2025-022164</t>
  </si>
  <si>
    <t>Prime Wastes Solutions</t>
  </si>
  <si>
    <t>R3-2025-027866</t>
  </si>
  <si>
    <t>R3-2025-016638</t>
  </si>
  <si>
    <t>The Brgy Zulueta shall strictly monitor the waste collection, continuous recording of the data of waste collected, and barangay MRF operation and its maintenance.</t>
  </si>
  <si>
    <t>R3-2025-027865</t>
  </si>
  <si>
    <t>R3-2025-007118</t>
  </si>
  <si>
    <t>R3-2025-007119</t>
  </si>
  <si>
    <t>R3-2025-021670</t>
  </si>
  <si>
    <t>R3-2025-006449</t>
  </si>
  <si>
    <t xml:space="preserve">R3-2025-032518	</t>
  </si>
  <si>
    <t>R3-2025-032519</t>
  </si>
  <si>
    <t>R3-2025-031570</t>
  </si>
  <si>
    <t>R3-2025-033311</t>
  </si>
  <si>
    <t>R3-2025-031569</t>
  </si>
  <si>
    <t>R3-2025-034296</t>
  </si>
  <si>
    <t>R3-2025-032520</t>
  </si>
  <si>
    <t>R3-2025-032516</t>
  </si>
  <si>
    <t>R3-2025-036613</t>
  </si>
  <si>
    <t>R3-2025-032517</t>
  </si>
  <si>
    <t>R3-2025-031571</t>
  </si>
  <si>
    <t>R3-2025-031572</t>
  </si>
  <si>
    <t>R3-2025-020149</t>
  </si>
  <si>
    <t>R3-2025-020150</t>
  </si>
  <si>
    <t>R3-2025-020152</t>
  </si>
  <si>
    <t>R3-2025-020154</t>
  </si>
  <si>
    <t>R3-2025-020155</t>
  </si>
  <si>
    <t>R3-2025-020157</t>
  </si>
  <si>
    <t>R3-2025-012158</t>
  </si>
  <si>
    <t>R3-2025-020158</t>
  </si>
  <si>
    <t>R3-2025-020159</t>
  </si>
  <si>
    <t>R3-2025-032651</t>
  </si>
  <si>
    <t>R3-2025-026789</t>
  </si>
  <si>
    <t>R3-2025-021669</t>
  </si>
  <si>
    <t>R3-2025-014594</t>
  </si>
  <si>
    <t>R3-2025-026788</t>
  </si>
  <si>
    <t>R3-2025-014596</t>
  </si>
  <si>
    <t>R3-2025-014598</t>
  </si>
  <si>
    <t>R3-2025-014593</t>
  </si>
  <si>
    <t>R3-2025-004799</t>
  </si>
  <si>
    <t>R3-2025-018651</t>
  </si>
  <si>
    <t>R3-2025-026967</t>
  </si>
  <si>
    <t>R3-2025-018648</t>
  </si>
  <si>
    <t>R3-2025-006450</t>
  </si>
  <si>
    <t>R3-2025-018645</t>
  </si>
  <si>
    <t>Green Tech Total Environment Solutions Incorporated (GTESI)</t>
  </si>
  <si>
    <t>R3-2025-014595</t>
  </si>
  <si>
    <t>R3-2025-009792</t>
  </si>
  <si>
    <t>R3-2025-027485</t>
  </si>
  <si>
    <t>R3-2025-018646</t>
  </si>
  <si>
    <t>R3-2025-009791</t>
  </si>
  <si>
    <t>R3-2025-026786</t>
  </si>
  <si>
    <t>R3-2025-018657</t>
  </si>
  <si>
    <t>R3-2025-018649</t>
  </si>
  <si>
    <t>R3-2025-027486</t>
  </si>
  <si>
    <t>R3-2025-036050</t>
  </si>
  <si>
    <t>R3-2025-027508</t>
  </si>
  <si>
    <t>Metro Waste Solid Waste Managemenet Corporation</t>
  </si>
  <si>
    <t>R3-2025-008257</t>
  </si>
  <si>
    <t>For bidding of new final disposal</t>
  </si>
  <si>
    <t>R3-2025-007335</t>
  </si>
  <si>
    <t>121. 08656</t>
  </si>
  <si>
    <t>R3-2025-027496</t>
  </si>
  <si>
    <t>R3-2025-007336</t>
  </si>
  <si>
    <t>R3-2025-008255</t>
  </si>
  <si>
    <t>R3-2025-027495</t>
  </si>
  <si>
    <t>R3-2025-008254</t>
  </si>
  <si>
    <t>R3-2025-008256</t>
  </si>
  <si>
    <t>R3-2025-027494</t>
  </si>
  <si>
    <t>R3-2025-027510</t>
  </si>
  <si>
    <t>R3-2025-014181</t>
  </si>
  <si>
    <t>MAA Integrated Waste Solution Corporation, Urdaneta, Pangasinan</t>
  </si>
  <si>
    <t>R3-2025-016073</t>
  </si>
  <si>
    <t>R3-2025-014182</t>
  </si>
  <si>
    <t>R3-2025-032636</t>
  </si>
  <si>
    <t>R3-2025-032637</t>
  </si>
  <si>
    <t>R3-2025-032638</t>
  </si>
  <si>
    <t>R3-2025-004671</t>
  </si>
  <si>
    <t>R3-2025-004675</t>
  </si>
  <si>
    <t>R3-2025-020831</t>
  </si>
  <si>
    <t>R3-2025-004670</t>
  </si>
  <si>
    <t>R3-2025-020832</t>
  </si>
  <si>
    <t>R3-2025-004678</t>
  </si>
  <si>
    <t>R3-2025-027852</t>
  </si>
  <si>
    <t>General Tinio SLF</t>
  </si>
  <si>
    <t>R3-2025-027851</t>
  </si>
  <si>
    <t>R3-2025-027854</t>
  </si>
  <si>
    <t>R3-2025-027700</t>
  </si>
  <si>
    <t>R3-2025-013404</t>
  </si>
  <si>
    <t>R3-2025-014178</t>
  </si>
  <si>
    <t>R3-2025-006631</t>
  </si>
  <si>
    <t>R3-2025-012160</t>
  </si>
  <si>
    <t>R3-2025-006632</t>
  </si>
  <si>
    <t>R3-2025-027701</t>
  </si>
  <si>
    <t>R3-2025-027702</t>
  </si>
  <si>
    <t>R3-2025-027703</t>
  </si>
  <si>
    <t>R3-2025-027704</t>
  </si>
  <si>
    <t>R3-2025-015200</t>
  </si>
  <si>
    <t>R3-2025-031750</t>
  </si>
  <si>
    <t>15.6991 N</t>
  </si>
  <si>
    <t>120.7502 E</t>
  </si>
  <si>
    <t>R3-2025-023144</t>
  </si>
  <si>
    <t>R3-2025-021186</t>
  </si>
  <si>
    <t>R3-2025-021185</t>
  </si>
  <si>
    <t>R3-2025-007116</t>
  </si>
  <si>
    <t>MCWMC as Hauler</t>
  </si>
  <si>
    <t>R3-2025-018678</t>
  </si>
  <si>
    <t>R3-2025-014590</t>
  </si>
  <si>
    <t>R3-2025-007115</t>
  </si>
  <si>
    <t>R3-2025-027480</t>
  </si>
  <si>
    <t>R3-2025-018677</t>
  </si>
  <si>
    <t>R3-2025-017929</t>
  </si>
  <si>
    <t xml:space="preserve"> R3-2025-017928</t>
  </si>
  <si>
    <t>R3-2025-023145</t>
  </si>
  <si>
    <t>R3-2025-021667</t>
  </si>
  <si>
    <t>R3-2025-027479</t>
  </si>
  <si>
    <t>R3-2025-027478</t>
  </si>
  <si>
    <t xml:space="preserve">	R3-2025-006451</t>
  </si>
  <si>
    <t>R3-2025-031327</t>
  </si>
  <si>
    <t>R3-2025-032601</t>
  </si>
  <si>
    <t>R3-2025-031568</t>
  </si>
  <si>
    <t>R3-2025-032602</t>
  </si>
  <si>
    <t>R3-2025-031566</t>
  </si>
  <si>
    <t>R3-2025-031567</t>
  </si>
  <si>
    <t>R3-2025-007339</t>
  </si>
  <si>
    <t>R3-2025-018824</t>
  </si>
  <si>
    <t>R3-2025-023935</t>
  </si>
  <si>
    <t>R3-2025-018030</t>
  </si>
  <si>
    <t>R3-2025-018823</t>
  </si>
  <si>
    <t>R3-2025-008756 </t>
  </si>
  <si>
    <t>R3-2025-005451</t>
  </si>
  <si>
    <t>120. 7648</t>
  </si>
  <si>
    <t>R3-2025-007061</t>
  </si>
  <si>
    <t xml:space="preserve">120. 7844 </t>
  </si>
  <si>
    <t>R3-2025-007063</t>
  </si>
  <si>
    <t>120. 7659</t>
  </si>
  <si>
    <t>R3-2025-016386 </t>
  </si>
  <si>
    <t>R3-2025-016385</t>
  </si>
  <si>
    <t>R3-2025-005452</t>
  </si>
  <si>
    <t>120. 7669</t>
  </si>
  <si>
    <t>R3-2025-016333</t>
  </si>
  <si>
    <t>Cardidad Sur</t>
  </si>
  <si>
    <t>R3-2025-007333</t>
  </si>
  <si>
    <t xml:space="preserve">121. 01597 </t>
  </si>
  <si>
    <t>R3-2025-026970</t>
  </si>
  <si>
    <t>R3-2025-027481</t>
  </si>
  <si>
    <t>R3-2025-018351</t>
  </si>
  <si>
    <t>R3-2025-009059</t>
  </si>
  <si>
    <t>R3-2025-009058</t>
  </si>
  <si>
    <t>R3-2025-009057</t>
  </si>
  <si>
    <t>R3-2025-007332</t>
  </si>
  <si>
    <t>121. 01774</t>
  </si>
  <si>
    <t>R3-2025-008258</t>
  </si>
  <si>
    <t>R3-2025-009062</t>
  </si>
  <si>
    <t>R3-2025-007334</t>
  </si>
  <si>
    <t>121. 00897</t>
  </si>
  <si>
    <t>R3-2025-005833</t>
  </si>
  <si>
    <t>R3-2025-026971</t>
  </si>
  <si>
    <t>R3-2025-023912</t>
  </si>
  <si>
    <t>R3-2025-005847</t>
  </si>
  <si>
    <t>R3-2025-009124</t>
  </si>
  <si>
    <t>R3-2025-005850</t>
  </si>
  <si>
    <t>R3-2025-005852</t>
  </si>
  <si>
    <t>R3-2025-024304</t>
  </si>
  <si>
    <t>R3-2025-007745</t>
  </si>
  <si>
    <t>R3-2025-012809</t>
  </si>
  <si>
    <t>R3-2025-024305</t>
  </si>
  <si>
    <t>R3-2025-012310</t>
  </si>
  <si>
    <t>R3-2025-012311</t>
  </si>
  <si>
    <t>R3-2025-007746</t>
  </si>
  <si>
    <t>R3-2025-009126</t>
  </si>
  <si>
    <t>R3-2025-009128</t>
  </si>
  <si>
    <t>R3-2025-031746</t>
  </si>
  <si>
    <t>15.8311 N</t>
  </si>
  <si>
    <t>120.8850 E</t>
  </si>
  <si>
    <t>R3-2025-031747</t>
  </si>
  <si>
    <t>15.8477 N</t>
  </si>
  <si>
    <t>120.8719 E</t>
  </si>
  <si>
    <t>R3-2025-031796</t>
  </si>
  <si>
    <t>15.8825 N</t>
  </si>
  <si>
    <t>120.9044 E</t>
  </si>
  <si>
    <t>R3-2025-031748</t>
  </si>
  <si>
    <t>15.8653 N</t>
  </si>
  <si>
    <t>120.8849 E</t>
  </si>
  <si>
    <t>R3-2025-031749</t>
  </si>
  <si>
    <t>15.8248 N</t>
  </si>
  <si>
    <t>120.8565 E</t>
  </si>
  <si>
    <t>R3-2025-011386</t>
  </si>
  <si>
    <t>R3-2025-011384</t>
  </si>
  <si>
    <t>R3-2025-014719</t>
  </si>
  <si>
    <t>R3-2025-014720</t>
  </si>
  <si>
    <t>R3-2025-014721</t>
  </si>
  <si>
    <t>R3-2025-027484</t>
  </si>
  <si>
    <t>Metro Waste Solid Waste Management Corporation in Urdaneta City, Pangasinan</t>
  </si>
  <si>
    <t>R3-2025-011385</t>
  </si>
  <si>
    <t>R3-2025-007114</t>
  </si>
  <si>
    <t>R3-2025-027483</t>
  </si>
  <si>
    <t>R3-2025-027482</t>
  </si>
  <si>
    <t xml:space="preserve">February </t>
  </si>
  <si>
    <t>R3-2025-005797</t>
  </si>
  <si>
    <t>Casanova (Santa Clara)</t>
  </si>
  <si>
    <t>R3-2025-024065</t>
  </si>
  <si>
    <t>R3-2025-005798</t>
  </si>
  <si>
    <t>R3-2025-024066</t>
  </si>
  <si>
    <t>R3-2025-009795</t>
  </si>
  <si>
    <t>R3-2025-024067</t>
  </si>
  <si>
    <t>R3-2025-031663</t>
  </si>
  <si>
    <t xml:space="preserve">April </t>
  </si>
  <si>
    <t>R3-2025-011748</t>
  </si>
  <si>
    <t>R3-2025-011751</t>
  </si>
  <si>
    <t>R3-2025-004481</t>
  </si>
  <si>
    <t xml:space="preserve">121. 10708 </t>
  </si>
  <si>
    <t>R3-2025-005780</t>
  </si>
  <si>
    <t>R3-2025-004483</t>
  </si>
  <si>
    <t>R3-2025-005802</t>
  </si>
  <si>
    <t>R3-2025-005803</t>
  </si>
  <si>
    <t>R3-2025-011749</t>
  </si>
  <si>
    <t>R3-2025-018352</t>
  </si>
  <si>
    <t>R3-2025-005779</t>
  </si>
  <si>
    <t>R3-2025-004484</t>
  </si>
  <si>
    <t>121. 10237</t>
  </si>
  <si>
    <t>R3-2025-028320</t>
  </si>
  <si>
    <t>R3-2025-028322</t>
  </si>
  <si>
    <t>R3-2025-016893</t>
  </si>
  <si>
    <t xml:space="preserve"> R3-2025-031121</t>
  </si>
  <si>
    <t>CENTRAL MRF - LGU RIZAL</t>
  </si>
  <si>
    <t>R3-2025-004797</t>
  </si>
  <si>
    <t xml:space="preserve">R3-2025-017386 </t>
  </si>
  <si>
    <t>R3-2025-009789</t>
  </si>
  <si>
    <t>R3-2025-014722</t>
  </si>
  <si>
    <t>R3-2025-006446</t>
  </si>
  <si>
    <t>R3-2025-017385</t>
  </si>
  <si>
    <t>R3-2025-006447</t>
  </si>
  <si>
    <t>R3-2025-009788</t>
  </si>
  <si>
    <t>R3-2025-006448</t>
  </si>
  <si>
    <t>R3-2025-025729</t>
  </si>
  <si>
    <t>R3-2025-025731</t>
  </si>
  <si>
    <t>R3-2025-009790</t>
  </si>
  <si>
    <t>R3-2025-014591</t>
  </si>
  <si>
    <t>15.306915N</t>
  </si>
  <si>
    <t>120.854204E</t>
  </si>
  <si>
    <t>R3-2025-024618</t>
  </si>
  <si>
    <t>15.297816 N</t>
  </si>
  <si>
    <t>120. 848748 E</t>
  </si>
  <si>
    <t>R3-2025-018644</t>
  </si>
  <si>
    <t>R3-2025-037232</t>
  </si>
  <si>
    <t> R3-2025-013149 </t>
  </si>
  <si>
    <t>R3-2025-007117</t>
  </si>
  <si>
    <t xml:space="preserve">R3-2025-007493 </t>
  </si>
  <si>
    <t>R3-2025-032608</t>
  </si>
  <si>
    <t>R3-2025-032610</t>
  </si>
  <si>
    <t>R3-2025-032609</t>
  </si>
  <si>
    <t>R3-2025-032611</t>
  </si>
  <si>
    <t>R3-2025-031573</t>
  </si>
  <si>
    <t>R3-2025-031574</t>
  </si>
  <si>
    <t>R3-2025-009063</t>
  </si>
  <si>
    <t>R3-2025-007331</t>
  </si>
  <si>
    <t>R3-2025-005823</t>
  </si>
  <si>
    <t>R3-2025-005824</t>
  </si>
  <si>
    <t>R3-2025-005822</t>
  </si>
  <si>
    <t>R3-2025-024453</t>
  </si>
  <si>
    <t xml:space="preserve"> R3-2025-024501</t>
  </si>
  <si>
    <t>R3-2025-006883</t>
  </si>
  <si>
    <t>R3-2025-015413</t>
  </si>
  <si>
    <t>R3-2025-026828</t>
  </si>
  <si>
    <t>R3-2025-026969</t>
  </si>
  <si>
    <t>15.75461 N</t>
  </si>
  <si>
    <t>R3-2025-006884</t>
  </si>
  <si>
    <t>R3-2025-006885</t>
  </si>
  <si>
    <t>R3-2025-031120</t>
  </si>
  <si>
    <t>EMB FUNDED MRF - SAN JOSE CITY, NE</t>
  </si>
  <si>
    <t>R3-2025-027855</t>
  </si>
  <si>
    <t>R3-2025-022236</t>
  </si>
  <si>
    <t>R3-2025-027694</t>
  </si>
  <si>
    <t>Santa Rosa SLF</t>
  </si>
  <si>
    <t>R3-2025-020978</t>
  </si>
  <si>
    <t>Santa Rosa Cat I SLF</t>
  </si>
  <si>
    <t>R3-2025-022163</t>
  </si>
  <si>
    <t>R3-2025-027490</t>
  </si>
  <si>
    <t>R3-2025-023809</t>
  </si>
  <si>
    <t>15.6434 N</t>
  </si>
  <si>
    <t>120.8616 E</t>
  </si>
  <si>
    <t>R3-2025-016204</t>
  </si>
  <si>
    <t>R3-2025-016202</t>
  </si>
  <si>
    <t>R3-2025-006877</t>
  </si>
  <si>
    <t>120. 8755</t>
  </si>
  <si>
    <t>R3-2025-006245</t>
  </si>
  <si>
    <t xml:space="preserve">120. 8761 </t>
  </si>
  <si>
    <t>R3-2025-023810</t>
  </si>
  <si>
    <t>R3-2025-005466</t>
  </si>
  <si>
    <t>R3-2025-005796</t>
  </si>
  <si>
    <t>R3-2025-023811</t>
  </si>
  <si>
    <t>R3-2025-013002</t>
  </si>
  <si>
    <t>R3-2025-006246</t>
  </si>
  <si>
    <t xml:space="preserve">120. 8563 </t>
  </si>
  <si>
    <t>R3-2025-005467</t>
  </si>
  <si>
    <t>R3-2025-023920</t>
  </si>
  <si>
    <t>R3-2025-023922</t>
  </si>
  <si>
    <t>R3-2025-023924</t>
  </si>
  <si>
    <t>R3-2025-023907</t>
  </si>
  <si>
    <t>R3-2025-023921</t>
  </si>
  <si>
    <t>R3-2025-012307</t>
  </si>
  <si>
    <t>R3-2025-012309</t>
  </si>
  <si>
    <t>R3-2025-016761</t>
  </si>
  <si>
    <t>R3-2025-005845</t>
  </si>
  <si>
    <t>R3-2025-016762</t>
  </si>
  <si>
    <t>R3-2025-023923</t>
  </si>
  <si>
    <t>R3-2025-012157</t>
  </si>
  <si>
    <t>R3-2025-015198</t>
  </si>
  <si>
    <t>R3-2025-023906</t>
  </si>
  <si>
    <t>R3-2025-016763</t>
  </si>
  <si>
    <t>R3-2025-013006</t>
  </si>
  <si>
    <t>R3-2025-005794</t>
  </si>
  <si>
    <t>R3-2025-016196</t>
  </si>
  <si>
    <t>R3-2025-014136</t>
  </si>
  <si>
    <t>R3-2025-020258</t>
  </si>
  <si>
    <t>R3-2025-020259</t>
  </si>
  <si>
    <t>R3-2025-013354</t>
  </si>
  <si>
    <t>R3-2025-023089</t>
  </si>
  <si>
    <t>R3-2025-011906</t>
  </si>
  <si>
    <t>R3-2025-020192</t>
  </si>
  <si>
    <t>R3-2025-013015</t>
  </si>
  <si>
    <t>R3-2025-020260</t>
  </si>
  <si>
    <t>R3-2025-024189</t>
  </si>
  <si>
    <t>R3-2025-006395</t>
  </si>
  <si>
    <t>120. 9201</t>
  </si>
  <si>
    <t>R3-2025-024117</t>
  </si>
  <si>
    <t>R3-2025-020139</t>
  </si>
  <si>
    <t>R3-2025-016319</t>
  </si>
  <si>
    <t>R3-2025-016422</t>
  </si>
  <si>
    <t>R3-2025-020261</t>
  </si>
  <si>
    <t>Metro Wastes</t>
  </si>
  <si>
    <t>R3-2025-020169</t>
  </si>
  <si>
    <t>R3-2025-020262</t>
  </si>
  <si>
    <t>R3-2025-005580</t>
  </si>
  <si>
    <t>R3-2025-024188</t>
  </si>
  <si>
    <t>R3-2025-005795</t>
  </si>
  <si>
    <t>R3-2025-005579</t>
  </si>
  <si>
    <t>R3-2025-005846</t>
  </si>
  <si>
    <t>R3-2025-017389</t>
  </si>
  <si>
    <t>120. 8350</t>
  </si>
  <si>
    <t>R3-2025-005280</t>
  </si>
  <si>
    <t>120. 8284</t>
  </si>
  <si>
    <t>R3-2025-005281</t>
  </si>
  <si>
    <t xml:space="preserve">120. 8350 </t>
  </si>
  <si>
    <t>R3-2025-005774</t>
  </si>
  <si>
    <t xml:space="preserve">R3-2025-005775	</t>
  </si>
  <si>
    <t>R3-2025-019667</t>
  </si>
  <si>
    <t>120.59824E</t>
  </si>
  <si>
    <t>15.12949N</t>
  </si>
  <si>
    <t>R3-2025-005776</t>
  </si>
  <si>
    <t>R3-2025-008739</t>
  </si>
  <si>
    <t>R3-2025-018805</t>
  </si>
  <si>
    <t>15.15953N</t>
  </si>
  <si>
    <t>120.54991E</t>
  </si>
  <si>
    <t>R3-2025-023103</t>
  </si>
  <si>
    <t>15.15014N</t>
  </si>
  <si>
    <t>120.54536E</t>
  </si>
  <si>
    <t>R3-2025-008738</t>
  </si>
  <si>
    <t>120. 58179</t>
  </si>
  <si>
    <t>R3-2025-016280</t>
  </si>
  <si>
    <t>15.13069N</t>
  </si>
  <si>
    <t>120.59634E</t>
  </si>
  <si>
    <t xml:space="preserve">R3-2025-005881	</t>
  </si>
  <si>
    <t>R3-2025-012855</t>
  </si>
  <si>
    <t>120.8368E</t>
  </si>
  <si>
    <t>R3-2025-012856</t>
  </si>
  <si>
    <t>14.9814N</t>
  </si>
  <si>
    <t>R3-2025-023820</t>
  </si>
  <si>
    <t>14.9373N</t>
  </si>
  <si>
    <t>120.7331E</t>
  </si>
  <si>
    <t>R3-2025-016441</t>
  </si>
  <si>
    <t>14.9765N</t>
  </si>
  <si>
    <t>120.7471E</t>
  </si>
  <si>
    <t>R3-2025-024193</t>
  </si>
  <si>
    <t>14.9530N</t>
  </si>
  <si>
    <t>120.7688E</t>
  </si>
  <si>
    <t>R3-2025-031301</t>
  </si>
  <si>
    <t>MUNICPAL MRF - SULIPAN, APALIT</t>
  </si>
  <si>
    <t>R3-2025-027591</t>
  </si>
  <si>
    <t>Central MRF</t>
  </si>
  <si>
    <t>R3-2025-018660</t>
  </si>
  <si>
    <t>R3-2025-018661</t>
  </si>
  <si>
    <t>R3-2025-005435</t>
  </si>
  <si>
    <t>R3-2025-022989</t>
  </si>
  <si>
    <t>R3-2025-018662</t>
  </si>
  <si>
    <t>R3-2025-018663</t>
  </si>
  <si>
    <t>R3-2025-022990</t>
  </si>
  <si>
    <t>R3-2025-022991</t>
  </si>
  <si>
    <t>R3-2025-022993</t>
  </si>
  <si>
    <t>R3-2025-005436</t>
  </si>
  <si>
    <t>R3-2025-019460</t>
  </si>
  <si>
    <t>15.1160N</t>
  </si>
  <si>
    <t>120.6027E</t>
  </si>
  <si>
    <t>R3-2025-005832</t>
  </si>
  <si>
    <t xml:space="preserve">R3-2025-005827	</t>
  </si>
  <si>
    <t xml:space="preserve">R3-2025-005828	</t>
  </si>
  <si>
    <t>R3-2025-009144</t>
  </si>
  <si>
    <t>R3-2025-023116</t>
  </si>
  <si>
    <t xml:space="preserve">R3-2025-005830	</t>
  </si>
  <si>
    <t>R3-2025-005831</t>
  </si>
  <si>
    <t>R3-2025-027538</t>
  </si>
  <si>
    <t>Central MRF - Talba, Bacolor</t>
  </si>
  <si>
    <t>R3-2025-008718</t>
  </si>
  <si>
    <t>R3-2025-008719</t>
  </si>
  <si>
    <t>R3-2025-016236</t>
  </si>
  <si>
    <t>R3-2025-012194</t>
  </si>
  <si>
    <t>15.06578N</t>
  </si>
  <si>
    <t>120.68197E</t>
  </si>
  <si>
    <t>R3-2025-005777</t>
  </si>
  <si>
    <t>R3-2025-016281</t>
  </si>
  <si>
    <t>15.02914N</t>
  </si>
  <si>
    <t>120.66793E</t>
  </si>
  <si>
    <t>R3-2025-008740</t>
  </si>
  <si>
    <t>120.65161E</t>
  </si>
  <si>
    <t>Yves Yshmael M. Balgatas</t>
  </si>
  <si>
    <t>R3-2025-022198</t>
  </si>
  <si>
    <t>15.06056N</t>
  </si>
  <si>
    <t>120.64717E</t>
  </si>
  <si>
    <t>R3-2025-008742</t>
  </si>
  <si>
    <t>15.04164N</t>
  </si>
  <si>
    <t>120.70208E</t>
  </si>
  <si>
    <t>R3-2025-005781</t>
  </si>
  <si>
    <t>R3-2025-018813</t>
  </si>
  <si>
    <t>15.07711N</t>
  </si>
  <si>
    <t>120.63374E</t>
  </si>
  <si>
    <t>R3-2025-008741</t>
  </si>
  <si>
    <t>15.11712N</t>
  </si>
  <si>
    <t>120.62985E</t>
  </si>
  <si>
    <t>R3-2025-016279</t>
  </si>
  <si>
    <t>15.09575N</t>
  </si>
  <si>
    <t>120.62235E</t>
  </si>
  <si>
    <t>R3-2025-035003</t>
  </si>
  <si>
    <t>LGU-INITIATED MRF, PANBALAG, FLORIDABLANCA</t>
  </si>
  <si>
    <t>R3-2025-005784</t>
  </si>
  <si>
    <t>FloridaBlanca Enviro Corporation</t>
  </si>
  <si>
    <t>R3-2025-008736</t>
  </si>
  <si>
    <t>R3-2025-008737</t>
  </si>
  <si>
    <t>R3-2025-037401</t>
  </si>
  <si>
    <t>CENTRAL MRF - LGU FLORIDABLANCA</t>
  </si>
  <si>
    <t>R3-2025-022199</t>
  </si>
  <si>
    <t>R3-2025-011746</t>
  </si>
  <si>
    <t>R3-2025-009156</t>
  </si>
  <si>
    <t>R3-2025-009153</t>
  </si>
  <si>
    <t>R3-2025-012510</t>
  </si>
  <si>
    <t>R3-2025-023803</t>
  </si>
  <si>
    <t>R3-2025-009157</t>
  </si>
  <si>
    <t>R3-2025-034955</t>
  </si>
  <si>
    <t>MUNICIPAL MRF - SAN RAFAEL, GUAGUA</t>
  </si>
  <si>
    <t>R3-2025-031237</t>
  </si>
  <si>
    <t>Municipal MRF - San Rafael, Guagua</t>
  </si>
  <si>
    <t>R3-2025-019618</t>
  </si>
  <si>
    <t>R3-2025-023805</t>
  </si>
  <si>
    <t>R3-2025-016345</t>
  </si>
  <si>
    <t>R3-2025-019617</t>
  </si>
  <si>
    <t>R3-2025-023804</t>
  </si>
  <si>
    <t>R3-2025-016335</t>
  </si>
  <si>
    <t>R3-2025-009134</t>
  </si>
  <si>
    <t>R3-2025-009152</t>
  </si>
  <si>
    <t>R3-2025-009135</t>
  </si>
  <si>
    <t>R3-2025-016269</t>
  </si>
  <si>
    <t>R3-2025-016336</t>
  </si>
  <si>
    <t>R3-2025-016344</t>
  </si>
  <si>
    <t>R3-2025-022988</t>
  </si>
  <si>
    <t>Clustered MRF at Sapang Balen MRF(LGU MRF)</t>
  </si>
  <si>
    <t>R3-2025-009211</t>
  </si>
  <si>
    <t>R3-2025-008716</t>
  </si>
  <si>
    <t>R3-2025-031373</t>
  </si>
  <si>
    <t xml:space="preserve">R3-2025-005880	</t>
  </si>
  <si>
    <t xml:space="preserve"> 
Eco Protect Management Corporation</t>
  </si>
  <si>
    <t>R3-2025-027539</t>
  </si>
  <si>
    <t>14.8943N</t>
  </si>
  <si>
    <t>120.7251E</t>
  </si>
  <si>
    <t>Central MRF - San Vicente, Macabebe</t>
  </si>
  <si>
    <t>R3-2025-034784</t>
  </si>
  <si>
    <t>LGU-INITIATED MFR - SAN VICENTE, MACABEBE</t>
  </si>
  <si>
    <t>R3-2025-005429</t>
  </si>
  <si>
    <t>R3-2025-007094</t>
  </si>
  <si>
    <t>R3-2025-005430</t>
  </si>
  <si>
    <t>R3-2025-005431</t>
  </si>
  <si>
    <t>R3-2025-008717</t>
  </si>
  <si>
    <t>R3-2025-005434</t>
  </si>
  <si>
    <t>R3-2025-005432</t>
  </si>
  <si>
    <t>R3-2025-016238</t>
  </si>
  <si>
    <t>R3-2025-016237</t>
  </si>
  <si>
    <t>R3-2025-009212</t>
  </si>
  <si>
    <t>R3-2025-020265</t>
  </si>
  <si>
    <t>R3-2025-016239</t>
  </si>
  <si>
    <t>R3-2025-019728</t>
  </si>
  <si>
    <t>14.8621N</t>
  </si>
  <si>
    <t>120.6984E</t>
  </si>
  <si>
    <t>Eco protect</t>
  </si>
  <si>
    <t xml:space="preserve">To allocate an area for the MRF and provide funding for its construction.Also, the EnMO advised to strictly implement segregation from household level as mandated by Section 21 of R.A. 9003. </t>
  </si>
  <si>
    <t>R3-2025-019729</t>
  </si>
  <si>
    <t>R3-2025-023818</t>
  </si>
  <si>
    <t>14.8368N</t>
  </si>
  <si>
    <t>120.7312E</t>
  </si>
  <si>
    <t>Eco Protect Management Corporation/Prime Waste Solutions</t>
  </si>
  <si>
    <t>R3-2025-019725</t>
  </si>
  <si>
    <t>R3-2025-019726</t>
  </si>
  <si>
    <t>R3-2025-019727</t>
  </si>
  <si>
    <t>R3-2025-034785</t>
  </si>
  <si>
    <t>CENTRAL MRF -BEBE-ANAC, MASANTOL</t>
  </si>
  <si>
    <t>R3-2025-018664</t>
  </si>
  <si>
    <t>Under Construction</t>
  </si>
  <si>
    <t>R3-2025-012498</t>
  </si>
  <si>
    <t>R3-2025-016235</t>
  </si>
  <si>
    <t>R3-2025-012499</t>
  </si>
  <si>
    <t>R3-2025-012500</t>
  </si>
  <si>
    <t>R3-2025-012497</t>
  </si>
  <si>
    <t xml:space="preserve">R3-2025-009206	</t>
  </si>
  <si>
    <t>14.9534N</t>
  </si>
  <si>
    <t>120.6725E</t>
  </si>
  <si>
    <t>R3-2025-027245</t>
  </si>
  <si>
    <t>14.9634N</t>
  </si>
  <si>
    <t>120.6631E</t>
  </si>
  <si>
    <t>Eco Protect Mgt.Corporation and Floridablanca Enviro Corporation</t>
  </si>
  <si>
    <t>Central MRF - Santa Catalina, Minalin</t>
  </si>
  <si>
    <t xml:space="preserve">R3-2025-005877	</t>
  </si>
  <si>
    <t xml:space="preserve">R3-2025-005879	</t>
  </si>
  <si>
    <t xml:space="preserve">R3-2025-005875	</t>
  </si>
  <si>
    <t>R3-2025-016439</t>
  </si>
  <si>
    <t>14.9905N</t>
  </si>
  <si>
    <t>120.7411E</t>
  </si>
  <si>
    <t xml:space="preserve">R3-2025-005878	</t>
  </si>
  <si>
    <t>R3-2025-027285</t>
  </si>
  <si>
    <t>15.06762N</t>
  </si>
  <si>
    <t>120.57149E</t>
  </si>
  <si>
    <t>Central MRF - LGU San Jose Mitla, Porac</t>
  </si>
  <si>
    <t>R3-2025-024033</t>
  </si>
  <si>
    <t>R3-2025-005782</t>
  </si>
  <si>
    <t>R3-2025-005783</t>
  </si>
  <si>
    <t>R3-2025-019669</t>
  </si>
  <si>
    <t>15.06663N</t>
  </si>
  <si>
    <t>120.56817E</t>
  </si>
  <si>
    <t>R3-2025-019668</t>
  </si>
  <si>
    <t>R3-2025-022200</t>
  </si>
  <si>
    <t>R3-2025-023102</t>
  </si>
  <si>
    <t>R3-2025-008735</t>
  </si>
  <si>
    <t>R3-2025-034343</t>
  </si>
  <si>
    <t>R3-2025-031443</t>
  </si>
  <si>
    <t>Eco Protect Management Corp</t>
  </si>
  <si>
    <t xml:space="preserve">R3-2025-009197	</t>
  </si>
  <si>
    <t>15.0297N</t>
  </si>
  <si>
    <t>120.7805E</t>
  </si>
  <si>
    <t>15.0365N</t>
  </si>
  <si>
    <t>120.7678E</t>
  </si>
  <si>
    <t xml:space="preserve">R3-2025-009200	</t>
  </si>
  <si>
    <t>15.0512N</t>
  </si>
  <si>
    <t>120.8268E</t>
  </si>
  <si>
    <t xml:space="preserve">R3-2025-009204	</t>
  </si>
  <si>
    <t>15.0060N</t>
  </si>
  <si>
    <t>120.8284E</t>
  </si>
  <si>
    <t>R3-2025-012859</t>
  </si>
  <si>
    <t>15.0582N</t>
  </si>
  <si>
    <t>120.7932E</t>
  </si>
  <si>
    <t>R3-2025-016438</t>
  </si>
  <si>
    <t>15.0111N</t>
  </si>
  <si>
    <t>120.8594E</t>
  </si>
  <si>
    <t xml:space="preserve">R3-2025-005885	</t>
  </si>
  <si>
    <t>R3-2025-031298</t>
  </si>
  <si>
    <t>LGU-INITIATED MRF - STO. TOMAS, SAN LUIS</t>
  </si>
  <si>
    <t xml:space="preserve">R3-2025-009205	</t>
  </si>
  <si>
    <t>14.9918N</t>
  </si>
  <si>
    <t>120.7597E</t>
  </si>
  <si>
    <t>R3-2025-024192</t>
  </si>
  <si>
    <t>14.9909N</t>
  </si>
  <si>
    <t>120.8490E</t>
  </si>
  <si>
    <t>R3-2025-023817</t>
  </si>
  <si>
    <t>15.0235N</t>
  </si>
  <si>
    <t>120.7294E</t>
  </si>
  <si>
    <t xml:space="preserve">R3-2025-005883	</t>
  </si>
  <si>
    <t>R3-2025-027542</t>
  </si>
  <si>
    <t>14.9920N</t>
  </si>
  <si>
    <t>120.7592E</t>
  </si>
  <si>
    <t>Central MRF - Sta. Monica, San Simon</t>
  </si>
  <si>
    <t>R3-2025-023819</t>
  </si>
  <si>
    <t>14.9826N</t>
  </si>
  <si>
    <t>120.7840E</t>
  </si>
  <si>
    <t xml:space="preserve">R3-2025-009201	</t>
  </si>
  <si>
    <t>15.0166N</t>
  </si>
  <si>
    <t>120.7797E</t>
  </si>
  <si>
    <t>R3-2025-012857</t>
  </si>
  <si>
    <t>15.0286N</t>
  </si>
  <si>
    <t>120.7416E</t>
  </si>
  <si>
    <t xml:space="preserve">R3-2025-009202	</t>
  </si>
  <si>
    <t>15.0223N</t>
  </si>
  <si>
    <t>120.7547E</t>
  </si>
  <si>
    <t xml:space="preserve">R3-2025-009203	</t>
  </si>
  <si>
    <t>15.0122N</t>
  </si>
  <si>
    <t>120.7788E</t>
  </si>
  <si>
    <t xml:space="preserve">R3-2025-005884	</t>
  </si>
  <si>
    <t>R3-2025-016440</t>
  </si>
  <si>
    <t>120.7535E</t>
  </si>
  <si>
    <t>R3-2025-009199</t>
  </si>
  <si>
    <t>15.0018N</t>
  </si>
  <si>
    <t>R3-2025-012193</t>
  </si>
  <si>
    <t>R3-2025-011239</t>
  </si>
  <si>
    <t>R3-2025-016282</t>
  </si>
  <si>
    <t>R3-2025-009151</t>
  </si>
  <si>
    <t>R3-2025-012509</t>
  </si>
  <si>
    <t>R3-2025-005433</t>
  </si>
  <si>
    <t>R3-2025-007959</t>
  </si>
  <si>
    <t>R3-2025-012501</t>
  </si>
  <si>
    <t xml:space="preserve">R3-2025-005826	</t>
  </si>
  <si>
    <t>R3-2025-012512</t>
  </si>
  <si>
    <t>R3-2025-023801</t>
  </si>
  <si>
    <t>R3-2025-027543</t>
  </si>
  <si>
    <t>Central MRF - DIla-Dila, Sta. Rita</t>
  </si>
  <si>
    <t>R3-2025-012513</t>
  </si>
  <si>
    <t>R3-2025-019585</t>
  </si>
  <si>
    <t>R3-2025-023802</t>
  </si>
  <si>
    <t>R3-2025-031586</t>
  </si>
  <si>
    <t>15.7897N</t>
  </si>
  <si>
    <t>120.6006E</t>
  </si>
  <si>
    <t>15.7790N</t>
  </si>
  <si>
    <t>120.6167E</t>
  </si>
  <si>
    <t>R3-2025-008620</t>
  </si>
  <si>
    <t>R3-2025-019646</t>
  </si>
  <si>
    <t>15.72663203N</t>
  </si>
  <si>
    <t>120.6262208E</t>
  </si>
  <si>
    <t>R3-2025-019647</t>
  </si>
  <si>
    <t>15.73100506N</t>
  </si>
  <si>
    <t>120.62496438E</t>
  </si>
  <si>
    <t>R3-2025-007186</t>
  </si>
  <si>
    <t>R3-2025-011431</t>
  </si>
  <si>
    <t>120.61427532E</t>
  </si>
  <si>
    <t>R3-2025-011432</t>
  </si>
  <si>
    <t>15.73206998N</t>
  </si>
  <si>
    <t>120.62681904E</t>
  </si>
  <si>
    <t>R3-2025-016552</t>
  </si>
  <si>
    <t>120.624342E</t>
  </si>
  <si>
    <t>R3-2025-008619</t>
  </si>
  <si>
    <t>R3-2025-007181</t>
  </si>
  <si>
    <t>R3-2025-033419</t>
  </si>
  <si>
    <t>15.7430N</t>
  </si>
  <si>
    <t>120.6058E</t>
  </si>
  <si>
    <t>MAA Waste Management Corporation</t>
  </si>
  <si>
    <t>15.7230N</t>
  </si>
  <si>
    <t>120.6077E</t>
  </si>
  <si>
    <t>R3-2025-024042</t>
  </si>
  <si>
    <t>R3-2025-009054</t>
  </si>
  <si>
    <t>R3-2025-009074</t>
  </si>
  <si>
    <t>R3-2025-008252</t>
  </si>
  <si>
    <t>R3-2025-024043</t>
  </si>
  <si>
    <t>R3-2025-028823</t>
  </si>
  <si>
    <t>15.7274N</t>
  </si>
  <si>
    <t>120.4286E</t>
  </si>
  <si>
    <t xml:space="preserve">15.6394N </t>
  </si>
  <si>
    <t>120.3202E</t>
  </si>
  <si>
    <t xml:space="preserve">15.6689N </t>
  </si>
  <si>
    <t>120.4648E</t>
  </si>
  <si>
    <t>R3-2025-012519</t>
  </si>
  <si>
    <t>R3-2025-012521</t>
  </si>
  <si>
    <t>120.4019008E</t>
  </si>
  <si>
    <t>R3-2025-012522</t>
  </si>
  <si>
    <t>R3-2025-016221</t>
  </si>
  <si>
    <t>15.65494616N</t>
  </si>
  <si>
    <t>120.3946781E</t>
  </si>
  <si>
    <t>R3-2025-016222</t>
  </si>
  <si>
    <t>15.64598324N</t>
  </si>
  <si>
    <t>120.38801803E</t>
  </si>
  <si>
    <t>R3-2025-027388</t>
  </si>
  <si>
    <t>15.67223237N</t>
  </si>
  <si>
    <t xml:space="preserve">120.44973013E </t>
  </si>
  <si>
    <t>R3-2025-026278</t>
  </si>
  <si>
    <t>15.68315338N</t>
  </si>
  <si>
    <t>120.38375594E.</t>
  </si>
  <si>
    <t>R3-2025-026279</t>
  </si>
  <si>
    <t>15.66826437N</t>
  </si>
  <si>
    <t>120.28651938E</t>
  </si>
  <si>
    <t>R3-2025-026280</t>
  </si>
  <si>
    <t>15.6642106N</t>
  </si>
  <si>
    <t>120.38753956E</t>
  </si>
  <si>
    <t>R3-2025-023057</t>
  </si>
  <si>
    <t>15.66264281N</t>
  </si>
  <si>
    <t>120.42414294E</t>
  </si>
  <si>
    <t>R3-2025-015437</t>
  </si>
  <si>
    <t>15.68592998N</t>
  </si>
  <si>
    <t>120.42137673E</t>
  </si>
  <si>
    <t>R3-2025-015438</t>
  </si>
  <si>
    <t>15.69126761N</t>
  </si>
  <si>
    <t>120.47837523E</t>
  </si>
  <si>
    <t>R3-2025-015439</t>
  </si>
  <si>
    <t>15.7062749N</t>
  </si>
  <si>
    <t>120.41801611E</t>
  </si>
  <si>
    <t>R3-2025-026281</t>
  </si>
  <si>
    <t>15.65346741N</t>
  </si>
  <si>
    <t>120.37580386E</t>
  </si>
  <si>
    <t>15.68616421N</t>
  </si>
  <si>
    <t xml:space="preserve">120.44630105E </t>
  </si>
  <si>
    <t>R3-2025-026282</t>
  </si>
  <si>
    <t>15.65621472N</t>
  </si>
  <si>
    <t>120.38117453E</t>
  </si>
  <si>
    <t>R3-2025-012520</t>
  </si>
  <si>
    <t>R3-2025-023060</t>
  </si>
  <si>
    <t>15.69054099N</t>
  </si>
  <si>
    <t>120.40605938E</t>
  </si>
  <si>
    <t>R3-2025-006078</t>
  </si>
  <si>
    <t>R3-2025-006086</t>
  </si>
  <si>
    <t>R3-2025-004114</t>
  </si>
  <si>
    <t>R3-2025-006968</t>
  </si>
  <si>
    <t>R3-2025-007863</t>
  </si>
  <si>
    <t>R3-2025-006072</t>
  </si>
  <si>
    <t>R3-2025-007861</t>
  </si>
  <si>
    <t>R3-2025-004116</t>
  </si>
  <si>
    <t>R3-2025-004117</t>
  </si>
  <si>
    <t>R3-2025-005327</t>
  </si>
  <si>
    <t>R3-2025-023065</t>
  </si>
  <si>
    <t>R3-2025-018716</t>
  </si>
  <si>
    <t>15.69457095N</t>
  </si>
  <si>
    <t>120.45915896E</t>
  </si>
  <si>
    <t>R3-2025-018717</t>
  </si>
  <si>
    <t>15.70771977N</t>
  </si>
  <si>
    <t>120.45325616E</t>
  </si>
  <si>
    <t>R3-2025-018718</t>
  </si>
  <si>
    <t>15.71327448N</t>
  </si>
  <si>
    <t>120.45215742E</t>
  </si>
  <si>
    <t>R3-2025-005342</t>
  </si>
  <si>
    <t>R3-2025-018208</t>
  </si>
  <si>
    <t>15.70218591N</t>
  </si>
  <si>
    <t>120.41686774E</t>
  </si>
  <si>
    <t>R3-2025-035883</t>
  </si>
  <si>
    <t>MAA WASTE MANAGEMENT SOLUTION CORP.</t>
  </si>
  <si>
    <t>Catered by LGU</t>
  </si>
  <si>
    <t>R3-2025-032515</t>
  </si>
  <si>
    <t>15.6713N</t>
  </si>
  <si>
    <t>120.3666E</t>
  </si>
  <si>
    <t xml:space="preserve">MAA Waste Management Corporation </t>
  </si>
  <si>
    <t>15.6990N</t>
  </si>
  <si>
    <t>120.4149E</t>
  </si>
  <si>
    <t>15.7236104N</t>
  </si>
  <si>
    <t>120.4598006E</t>
  </si>
  <si>
    <t>15.7008N</t>
  </si>
  <si>
    <t>120.4736E</t>
  </si>
  <si>
    <t>R3-2025-024040</t>
  </si>
  <si>
    <t xml:space="preserve">Green Leaf Solid Waste Management </t>
  </si>
  <si>
    <t>R3-2025-024038</t>
  </si>
  <si>
    <t>R3-2025-004790</t>
  </si>
  <si>
    <t>R3-2025-009086</t>
  </si>
  <si>
    <t>R3-2025-024039</t>
  </si>
  <si>
    <t>R3-2025-037913</t>
  </si>
  <si>
    <t>Catered by LGU - Capas</t>
  </si>
  <si>
    <t>R3-2025-030892</t>
  </si>
  <si>
    <t>R3-2025-030891</t>
  </si>
  <si>
    <t>R3-2025-008265</t>
  </si>
  <si>
    <t>Eco Protect Management Corporation and Green Leap Solid Waste Management</t>
  </si>
  <si>
    <t>R3-2025-020219</t>
  </si>
  <si>
    <t>R3-2025-004787</t>
  </si>
  <si>
    <t>R3-2025-008261</t>
  </si>
  <si>
    <t>R3-2025-008273</t>
  </si>
  <si>
    <t>R3-2025-005497</t>
  </si>
  <si>
    <t>R3-2025-027969</t>
  </si>
  <si>
    <t>R3-2025-016242</t>
  </si>
  <si>
    <t>R3-2025-020263</t>
  </si>
  <si>
    <t xml:space="preserve">International Solid Waste Integrated Management Specialist Incorporated </t>
  </si>
  <si>
    <t>R3-2025-016243</t>
  </si>
  <si>
    <t>R3-2025-020214</t>
  </si>
  <si>
    <t>R3-2025-005499</t>
  </si>
  <si>
    <t>R3-2025-005498</t>
  </si>
  <si>
    <t>R3-2025-012815</t>
  </si>
  <si>
    <t>R3-2025-031552</t>
  </si>
  <si>
    <t>R3-2025-026430</t>
  </si>
  <si>
    <t>R3-2025-005567</t>
  </si>
  <si>
    <t>R3-2025-005637</t>
  </si>
  <si>
    <t>R3-2025-019621</t>
  </si>
  <si>
    <t>R3-2025-023130</t>
  </si>
  <si>
    <t>R3-2025-023127</t>
  </si>
  <si>
    <t>R3-2025-011898</t>
  </si>
  <si>
    <t>R3-2025-016545</t>
  </si>
  <si>
    <t>R3-2025-004780</t>
  </si>
  <si>
    <t>R3-2025-004777</t>
  </si>
  <si>
    <t>R3-2025-020074</t>
  </si>
  <si>
    <t>R3-2025-020075</t>
  </si>
  <si>
    <t>R3-2025-027477</t>
  </si>
  <si>
    <t>R3-2025-027438</t>
  </si>
  <si>
    <t>R3-2025-011689</t>
  </si>
  <si>
    <t xml:space="preserve"> Green Leap Solid Waste Management</t>
  </si>
  <si>
    <t>R3-2025-011688</t>
  </si>
  <si>
    <t>R3-2025-027602</t>
  </si>
  <si>
    <t>R3-2025-031299</t>
  </si>
  <si>
    <t>R3-2025-007864</t>
  </si>
  <si>
    <t>R3-2025-023998</t>
  </si>
  <si>
    <t>15.59939902N</t>
  </si>
  <si>
    <t>120.35161589E</t>
  </si>
  <si>
    <t>R3-2025-007865</t>
  </si>
  <si>
    <t>According to the Barangay Captain, due to the ongoing Dike Extension Project of the municipality which affects the location of the MRF, the facility will be relocated.</t>
  </si>
  <si>
    <t>R3-2025-006969</t>
  </si>
  <si>
    <t>R3-2025-008618</t>
  </si>
  <si>
    <t>120.27818948E</t>
  </si>
  <si>
    <t>R3-2025-024000</t>
  </si>
  <si>
    <t>15.60815611N</t>
  </si>
  <si>
    <t>120.35845298E</t>
  </si>
  <si>
    <t>R3-2025-023999</t>
  </si>
  <si>
    <t>R3-2025-034447</t>
  </si>
  <si>
    <t>MAA WASTE MANAGEMENT SOLUTION INC.</t>
  </si>
  <si>
    <t>LGU MRF - POBLACION SUR, MAYANTOC</t>
  </si>
  <si>
    <t>R3-2025-031553</t>
  </si>
  <si>
    <t>R3-2025-004498</t>
  </si>
  <si>
    <t>R3-2025-024047</t>
  </si>
  <si>
    <t>R3-2025-027507</t>
  </si>
  <si>
    <t>R3-2025-004499</t>
  </si>
  <si>
    <t>R3-2025-008843</t>
  </si>
  <si>
    <t>R3-2025-008839</t>
  </si>
  <si>
    <t>R3-2025-016466</t>
  </si>
  <si>
    <t>R3-2025-008840</t>
  </si>
  <si>
    <t>R3-2025-024050</t>
  </si>
  <si>
    <t>R3-2025-016467</t>
  </si>
  <si>
    <t>R3-2025-012431</t>
  </si>
  <si>
    <t>R3-2025-012432</t>
  </si>
  <si>
    <t>R3-2025-024048</t>
  </si>
  <si>
    <t>R3-2025-034284</t>
  </si>
  <si>
    <t>MAA Integrated Waste Solution Inc.</t>
  </si>
  <si>
    <t>R3-2025-030821</t>
  </si>
  <si>
    <t>R3-2025-004353</t>
  </si>
  <si>
    <t>R3-2025-004355</t>
  </si>
  <si>
    <t>R3-2025-004352</t>
  </si>
  <si>
    <t>R3-2025-004354</t>
  </si>
  <si>
    <t>R3-2025-016264</t>
  </si>
  <si>
    <t>R3-2025-027505</t>
  </si>
  <si>
    <t>R3-2025-022162</t>
  </si>
  <si>
    <t>R3-2025-020269</t>
  </si>
  <si>
    <t>R3-2025-006081</t>
  </si>
  <si>
    <t>R3-2025-016263</t>
  </si>
  <si>
    <t>R3-2025-016262</t>
  </si>
  <si>
    <t>R3-2025-020270</t>
  </si>
  <si>
    <t>R3-2025-031550</t>
  </si>
  <si>
    <t>R3-2025-007913</t>
  </si>
  <si>
    <t>R3-2025-019780</t>
  </si>
  <si>
    <t>R3-2025-007912</t>
  </si>
  <si>
    <t>R3-2025-028929</t>
  </si>
  <si>
    <t>15.6539N</t>
  </si>
  <si>
    <t>120.6136E</t>
  </si>
  <si>
    <t>15.6557N</t>
  </si>
  <si>
    <t>120.6263E</t>
  </si>
  <si>
    <t>R3-2025-017516</t>
  </si>
  <si>
    <t>120.64020054E</t>
  </si>
  <si>
    <t>R3-2025-020581</t>
  </si>
  <si>
    <t>15.66989626N</t>
  </si>
  <si>
    <t>120.63894327E</t>
  </si>
  <si>
    <t>R3-2025-017517</t>
  </si>
  <si>
    <t>15.66355393N</t>
  </si>
  <si>
    <t>R3-2025-028528</t>
  </si>
  <si>
    <t>15.7211N</t>
  </si>
  <si>
    <t xml:space="preserve">120.3640E </t>
  </si>
  <si>
    <t>15.7157N</t>
  </si>
  <si>
    <t xml:space="preserve">120.3791E </t>
  </si>
  <si>
    <t>R3-2025-021236</t>
  </si>
  <si>
    <t>15.67176281N</t>
  </si>
  <si>
    <t>120.33064009E.</t>
  </si>
  <si>
    <t>R3-2025-012984</t>
  </si>
  <si>
    <t>R3-2025-020230</t>
  </si>
  <si>
    <t>15.4643 (BARANGAY HALL COORDINATES)</t>
  </si>
  <si>
    <t>120.4407 (BARANGAY HALL COORDINATES)</t>
  </si>
  <si>
    <t>R3-2025-030682</t>
  </si>
  <si>
    <t>CENTRAL MRF</t>
  </si>
  <si>
    <t>R3-2025-005344</t>
  </si>
  <si>
    <t>R3-2025-005343</t>
  </si>
  <si>
    <t>R3-2025-027430</t>
  </si>
  <si>
    <t>R3-2025-024322</t>
  </si>
  <si>
    <t>15.77464262N</t>
  </si>
  <si>
    <t>120.60207642E</t>
  </si>
  <si>
    <t>R3-2025-032589</t>
  </si>
  <si>
    <t>15.7759N</t>
  </si>
  <si>
    <t>120.6070E</t>
  </si>
  <si>
    <t>MAA Integrated Solid Wastes Management Incorporated</t>
  </si>
  <si>
    <t>15.8857N</t>
  </si>
  <si>
    <t>120.6001E</t>
  </si>
  <si>
    <t>15.8088N</t>
  </si>
  <si>
    <t>120.6166E</t>
  </si>
  <si>
    <t>R3-2025-011574</t>
  </si>
  <si>
    <t>R3-2025-008842</t>
  </si>
  <si>
    <t>R3-2025-027954</t>
  </si>
  <si>
    <t>R3-2025-005305</t>
  </si>
  <si>
    <t>R3-2025-005145</t>
  </si>
  <si>
    <t>R3-2025-018848</t>
  </si>
  <si>
    <t xml:space="preserve">Green Leaf </t>
  </si>
  <si>
    <t>R3-2025-018849</t>
  </si>
  <si>
    <t>R3-2025-018850</t>
  </si>
  <si>
    <t>R3-2025-011575</t>
  </si>
  <si>
    <t>R3-2025-008841</t>
  </si>
  <si>
    <t>R3-2025-033565</t>
  </si>
  <si>
    <t>LGU-CLUSTERED MRF</t>
  </si>
  <si>
    <t>R3-2025-011234</t>
  </si>
  <si>
    <t>R3-2025-023123</t>
  </si>
  <si>
    <t>R3-2025-023125</t>
  </si>
  <si>
    <t>R3-2025-018852</t>
  </si>
  <si>
    <t>15.52293 (Barangay Hall Coordinates)</t>
  </si>
  <si>
    <t>120.6209 (Barangay Hall Coordinates)</t>
  </si>
  <si>
    <t>R3-2025-006079</t>
  </si>
  <si>
    <t>R3-2025-006080</t>
  </si>
  <si>
    <t>R3-2025-007984</t>
  </si>
  <si>
    <t>R3-2025-007982</t>
  </si>
  <si>
    <t>R3-2025-026453</t>
  </si>
  <si>
    <t>R3-2025-011233</t>
  </si>
  <si>
    <t>R3-2025-030685</t>
  </si>
  <si>
    <t xml:space="preserve">15.520947, </t>
  </si>
  <si>
    <t xml:space="preserve">120.595384, </t>
  </si>
  <si>
    <t>15.54217 N</t>
  </si>
  <si>
    <t>R3-2025-027277</t>
  </si>
  <si>
    <t>R3-2025-012813</t>
  </si>
  <si>
    <t>R3-2025-005462</t>
  </si>
  <si>
    <t>R3-2025-007231</t>
  </si>
  <si>
    <t>R3-2025-005464</t>
  </si>
  <si>
    <t>R3-2025-008501</t>
  </si>
  <si>
    <t>R3-2025-007229</t>
  </si>
  <si>
    <t>R3-2025-016241</t>
  </si>
  <si>
    <t>R3-2025-008494</t>
  </si>
  <si>
    <t>R3-2025-008495</t>
  </si>
  <si>
    <t>R3-2025-027282</t>
  </si>
  <si>
    <t>R3-2025-005463</t>
  </si>
  <si>
    <t>R3-2025-016610</t>
  </si>
  <si>
    <t>R3-2025-016240</t>
  </si>
  <si>
    <t>R3-2025-016607</t>
  </si>
  <si>
    <t>R3-2025-031644</t>
  </si>
  <si>
    <t>R3-2025-031080</t>
  </si>
  <si>
    <t>Ryan Christian Nunag</t>
  </si>
  <si>
    <t>R3-2025-031316</t>
  </si>
  <si>
    <t>PRIME WASTE SOLUTIONS - PAMPANGA</t>
  </si>
  <si>
    <t xml:space="preserve">HAULER: Greentech Total Environmental Solutions Incorporated. </t>
  </si>
  <si>
    <t>R3-2025-016739</t>
  </si>
  <si>
    <t>Green Rescue Environmental Solutions &amp; Services Inc</t>
  </si>
  <si>
    <t>R3-2025-016740</t>
  </si>
  <si>
    <t>R3-2025-019919</t>
  </si>
  <si>
    <t xml:space="preserve">Hauled by EcoGreentech Total Environmental Solutions Incorporated </t>
  </si>
  <si>
    <t>R3-2025-019920</t>
  </si>
  <si>
    <t xml:space="preserve">Hauled by Eco Greentech Total Environmental Solutions Incorporated </t>
  </si>
  <si>
    <t>R3-2025-027828</t>
  </si>
  <si>
    <t xml:space="preserve">Greentech Total Environmental Solutions Incorporated. </t>
  </si>
  <si>
    <t xml:space="preserve">	R3-2025-004760</t>
  </si>
  <si>
    <t>Hauled by Eco Express Inc.</t>
  </si>
  <si>
    <t>R3-2025-004759</t>
  </si>
  <si>
    <t>R3-2025-031319</t>
  </si>
  <si>
    <t>CENTRAL MRF - SAN JUAN, CABANGAN</t>
  </si>
  <si>
    <t>R3-2025-016729</t>
  </si>
  <si>
    <t>R3-2025-027827</t>
  </si>
  <si>
    <t>Green Rescue Environmental Solution and Services, Inc</t>
  </si>
  <si>
    <t>Central MRF - San Juan Cabangan</t>
  </si>
  <si>
    <t>R3-2025-019921</t>
  </si>
  <si>
    <t>R3-2025-005761</t>
  </si>
  <si>
    <t>R3-2025-009148</t>
  </si>
  <si>
    <t>R3-2025-019922</t>
  </si>
  <si>
    <t xml:space="preserve"> R3-2025-010756</t>
  </si>
  <si>
    <t>R3-2025-012819</t>
  </si>
  <si>
    <t>R3-2025-008284</t>
  </si>
  <si>
    <t>R3-2025-016734</t>
  </si>
  <si>
    <t>R3-2025-011521</t>
  </si>
  <si>
    <t>R3-2025-008145</t>
  </si>
  <si>
    <t xml:space="preserve"> R3-2025-005835</t>
  </si>
  <si>
    <t>R3-2025-008142</t>
  </si>
  <si>
    <t>R3-2025-005834</t>
  </si>
  <si>
    <t>R3-2025-010767</t>
  </si>
  <si>
    <t>R3-2025-008093</t>
  </si>
  <si>
    <t>R3-2025-011541</t>
  </si>
  <si>
    <t>R3-2025-027582</t>
  </si>
  <si>
    <t>14.947490N</t>
  </si>
  <si>
    <t>120.155052 E</t>
  </si>
  <si>
    <t xml:space="preserve">R3-2025-027583	</t>
  </si>
  <si>
    <t>14.948916 N</t>
  </si>
  <si>
    <t>120.165161 E</t>
  </si>
  <si>
    <t>R3-2025-027584</t>
  </si>
  <si>
    <t>14.943336 N</t>
  </si>
  <si>
    <t>R3-2025-008283</t>
  </si>
  <si>
    <t>R3-2025-019197</t>
  </si>
  <si>
    <t xml:space="preserve">R3-2025-027837	</t>
  </si>
  <si>
    <t>Based on report, the address reflected is the Central MRF</t>
  </si>
  <si>
    <t>R3-2025-005750</t>
  </si>
  <si>
    <t>R3-2025-030925</t>
  </si>
  <si>
    <t>LGU Initiated Central MRF - Baloganon, Masinloc</t>
  </si>
  <si>
    <t xml:space="preserve">R3-2025-008884	</t>
  </si>
  <si>
    <t>R3-2025-005739</t>
  </si>
  <si>
    <t xml:space="preserve">R3-2025-005752	</t>
  </si>
  <si>
    <t>R3-2025-005738</t>
  </si>
  <si>
    <t>R3-2025-008722</t>
  </si>
  <si>
    <t>R3-2025-034231</t>
  </si>
  <si>
    <t>LGU CENTRAL MRF - NEW CABALAN</t>
  </si>
  <si>
    <t>LGU CENTRAL MRF - NEW CABALAN - Has MOA with Junkshop</t>
  </si>
  <si>
    <t>R3-2025-030859</t>
  </si>
  <si>
    <t>No Final Dispoal</t>
  </si>
  <si>
    <t>R3-2025-030841</t>
  </si>
  <si>
    <t>R3-2025-031395</t>
  </si>
  <si>
    <t>No Final Disposal</t>
  </si>
  <si>
    <t>R3-2025-030860</t>
  </si>
  <si>
    <t>R3-2025-030846</t>
  </si>
  <si>
    <t>R3-2025-030843</t>
  </si>
  <si>
    <t>R3-2025-030849</t>
  </si>
  <si>
    <t>R3-2025-030844</t>
  </si>
  <si>
    <t>No Final disposal</t>
  </si>
  <si>
    <t xml:space="preserve">R3-2025-007286 </t>
  </si>
  <si>
    <t>R3-2025-007986</t>
  </si>
  <si>
    <t>R3-2025-005508</t>
  </si>
  <si>
    <t>R3-2025-005510</t>
  </si>
  <si>
    <t>R3-2025-012901</t>
  </si>
  <si>
    <t xml:space="preserve">R3-2025-007988	</t>
  </si>
  <si>
    <t>R3-2025-005509</t>
  </si>
  <si>
    <t xml:space="preserve">	R3-2025-005513</t>
  </si>
  <si>
    <t>R3-2025-024138</t>
  </si>
  <si>
    <t xml:space="preserve"> R3-2025-024142</t>
  </si>
  <si>
    <t>R3-2025-024169</t>
  </si>
  <si>
    <t>R3-2025-024172</t>
  </si>
  <si>
    <t>R3-2025-024152</t>
  </si>
  <si>
    <t>R3-2025-024170</t>
  </si>
  <si>
    <t>R3-2025-012820</t>
  </si>
  <si>
    <t>R3-2025-016720</t>
  </si>
  <si>
    <t>The MRF used as temporary storage for construction materials</t>
  </si>
  <si>
    <t>R3-2025-016726</t>
  </si>
  <si>
    <t>R3-2025-005748</t>
  </si>
  <si>
    <t>R3-2025-024087</t>
  </si>
  <si>
    <t>R3-2025-009146</t>
  </si>
  <si>
    <t>R3-2025-023910</t>
  </si>
  <si>
    <t>R3-2025-024090</t>
  </si>
  <si>
    <t>R3-2025-009149</t>
  </si>
  <si>
    <t>R3-2025-023480</t>
  </si>
  <si>
    <t>R3-2025-024407</t>
  </si>
  <si>
    <t>R3-2025-024089</t>
  </si>
  <si>
    <t>R3-2025-020373</t>
  </si>
  <si>
    <t>R3-2025-026961</t>
  </si>
  <si>
    <t xml:space="preserve">LGU Central MRF </t>
  </si>
  <si>
    <t>R3-2025-008913</t>
  </si>
  <si>
    <t>R3-2025-016934</t>
  </si>
  <si>
    <t>R3-2025-016932</t>
  </si>
  <si>
    <t>R3-2025-011557</t>
  </si>
  <si>
    <t>R3-2025-011631</t>
  </si>
  <si>
    <t>R3-2025-008916</t>
  </si>
  <si>
    <t>R3-2025-016931</t>
  </si>
  <si>
    <t xml:space="preserve">R3-2025-016933	</t>
  </si>
  <si>
    <t>R3-2025-011579</t>
  </si>
  <si>
    <t xml:space="preserve">R3-2025-020372	</t>
  </si>
  <si>
    <t>R3-2025-020101</t>
  </si>
  <si>
    <t>R3-2025-012602</t>
  </si>
  <si>
    <t>R3-2025-005710</t>
  </si>
  <si>
    <t>R3-2025-005641</t>
  </si>
  <si>
    <t>Bataan Integrated Waste Management Facility (Abucay, Bataan)</t>
  </si>
  <si>
    <t>R3-2025-006052</t>
  </si>
  <si>
    <t>R3-2025-005652</t>
  </si>
  <si>
    <t>Florida Enviro Corporation</t>
  </si>
  <si>
    <t>R3-2025-006027</t>
  </si>
  <si>
    <t>R3-2025-006014</t>
  </si>
  <si>
    <t>Green Leaf Waste Management Corporation partners of International Solid Waste Management Integrated Management Specialist, Incorporated (ISWIMS INC).</t>
  </si>
  <si>
    <t>As the host LGU for the transfer station of International Solid Waste Integrated Management Specialist Inc. (ISWIMS), the LGU is free of charge for hauling and disposal of residual waste.</t>
  </si>
  <si>
    <t>R3-2025-005807</t>
  </si>
  <si>
    <t xml:space="preserve">With Hauler Green Rescue Environmental Solutions and Services Inc </t>
  </si>
  <si>
    <t>R3-2025-009017</t>
  </si>
  <si>
    <t>R3-2025-007100</t>
  </si>
  <si>
    <t>R3-2025-009259</t>
  </si>
  <si>
    <t>R3-2025-009394</t>
  </si>
  <si>
    <t>Green Rescue</t>
  </si>
  <si>
    <t>R3-2025-008436</t>
  </si>
  <si>
    <t xml:space="preserve">R3-2025-009170	</t>
  </si>
  <si>
    <t>Florida Enviro Corp.</t>
  </si>
  <si>
    <t>Greentech</t>
  </si>
  <si>
    <t>R3-2025-013145</t>
  </si>
  <si>
    <t>R3-2025-012182</t>
  </si>
  <si>
    <t>Metro Clark Waste Management Corporation</t>
  </si>
  <si>
    <t>The LGU Orani has obtained certification from Floridablanca Enviro Corporation, 
confirming that it is the official waste disposal facility</t>
  </si>
  <si>
    <t>R3-2025-013497</t>
  </si>
  <si>
    <t>International Solid Waste Management Integrated Management Specialist, Incorporated (ISWIMS INC).</t>
  </si>
  <si>
    <t>With hauler  JD 218 Trading and Construction</t>
  </si>
  <si>
    <t>R3-2025-013444</t>
  </si>
  <si>
    <t>R3-2025-013446</t>
  </si>
  <si>
    <t>R3-2025-012865</t>
  </si>
  <si>
    <t>Urdaneta Sanitary Landfill</t>
  </si>
  <si>
    <t>With Hauler MetroWaste Management Corporation</t>
  </si>
  <si>
    <t>R3-2025-013289</t>
  </si>
  <si>
    <t xml:space="preserve"> R3-2025-016664</t>
  </si>
  <si>
    <t>Eco Protect Waste Management Corp.</t>
  </si>
  <si>
    <t xml:space="preserve">MOA with Hauler Soliman EC E.C. Septic Tank Disposal </t>
  </si>
  <si>
    <t>R3-2025-015648</t>
  </si>
  <si>
    <t>Eco Protect Management Corporation
Floridablance Enviro Corporations</t>
  </si>
  <si>
    <t>R3-2025-016326</t>
  </si>
  <si>
    <t>R3-2025-016770</t>
  </si>
  <si>
    <t>R3-2025-016737</t>
  </si>
  <si>
    <t>R3-2025-016694</t>
  </si>
  <si>
    <t> R3-2025-016663 </t>
  </si>
  <si>
    <t xml:space="preserve">San Igmedio Builder’s Inc </t>
  </si>
  <si>
    <t xml:space="preserve">R3-2025-020165	</t>
  </si>
  <si>
    <t>R3-2025-019683</t>
  </si>
  <si>
    <t>Limay Sanitary Landfill</t>
  </si>
  <si>
    <t>R3-2025-020036</t>
  </si>
  <si>
    <t>With Hauler Green Eco Xpress Inc.</t>
  </si>
  <si>
    <t>R3-2025-020170</t>
  </si>
  <si>
    <t>Sto. Nino</t>
  </si>
  <si>
    <t>R3-2025-020143</t>
  </si>
  <si>
    <t>R3-2025-020114</t>
  </si>
  <si>
    <t>R3-2025-019834</t>
  </si>
  <si>
    <t>R3-2025-024053</t>
  </si>
  <si>
    <t>Green Rescue Environmental Solutions and Services Inc.  Hauler</t>
  </si>
  <si>
    <t>R3-2025-022321</t>
  </si>
  <si>
    <t>Floridablance Enviro Corporation</t>
  </si>
  <si>
    <t> R3-2025-023570 </t>
  </si>
  <si>
    <t>General Mamerto Natividad</t>
  </si>
  <si>
    <t>R3-2025-023718</t>
  </si>
  <si>
    <t>R3-2025-024035</t>
  </si>
  <si>
    <t>R3-2025-024200</t>
  </si>
  <si>
    <t>M.A.A. Integrated Waste Solutions Corporation</t>
  </si>
  <si>
    <t>R3-2025-024415</t>
  </si>
  <si>
    <t>R3-2025-026623</t>
  </si>
  <si>
    <t>James Wilson Pena</t>
  </si>
  <si>
    <t>R3-2025-027748</t>
  </si>
  <si>
    <t>R3-2025-028101</t>
  </si>
  <si>
    <t>R3-2025-026994</t>
  </si>
  <si>
    <t>R3-2025-028071</t>
  </si>
  <si>
    <t>4.	Greentech Total Environment Solutions Incorporated, Inc</t>
  </si>
  <si>
    <t xml:space="preserve">Zaila Mae Leander </t>
  </si>
  <si>
    <t>R3-2025-030569</t>
  </si>
  <si>
    <t>R3-2025-030890</t>
  </si>
  <si>
    <t>R3-2025-031366</t>
  </si>
  <si>
    <t>Roger Encarnacion</t>
  </si>
  <si>
    <t>R3-2025-031380</t>
  </si>
  <si>
    <t>R3-2025-031437</t>
  </si>
  <si>
    <t>R3-2025-031548</t>
  </si>
  <si>
    <t>R3-2025-034270</t>
  </si>
  <si>
    <t>Acer Inocencio</t>
  </si>
  <si>
    <t>R3-2025-035279</t>
  </si>
  <si>
    <t>R3-2025-035280</t>
  </si>
  <si>
    <t>RDF for Coprocessing</t>
  </si>
  <si>
    <t>R3-2025-035286</t>
  </si>
  <si>
    <t>R3-2025-035410</t>
  </si>
  <si>
    <t>Joshua Capomes</t>
  </si>
  <si>
    <t>R3-2025-034349</t>
  </si>
  <si>
    <t>MAA Integrated Waste Solution Corporation</t>
  </si>
  <si>
    <t>R3-2025-036554</t>
  </si>
  <si>
    <t>Ronaldo P. Roque</t>
  </si>
  <si>
    <t>Diozelle Cabalar</t>
  </si>
  <si>
    <t>R3-2025-037400</t>
  </si>
  <si>
    <t>R3-2025-038879</t>
  </si>
  <si>
    <t>Green Rescue Environmental Solutions and Services Inc.  
Prime Integrated Waste Solutions Materials Recovery Facility and Sanitary Landfill</t>
  </si>
  <si>
    <t>R3-2025-037249</t>
  </si>
  <si>
    <t xml:space="preserve">hauled by RJAM Waste Management </t>
  </si>
  <si>
    <t>Joshua Capones</t>
  </si>
  <si>
    <t>R3-2025-036968</t>
  </si>
  <si>
    <t>R3-2025-033242</t>
  </si>
  <si>
    <t>With Action Plan</t>
  </si>
  <si>
    <t>CITY OF BALANGA</t>
  </si>
  <si>
    <t>DONA FRANCISCA</t>
  </si>
  <si>
    <t>MARCH</t>
  </si>
  <si>
    <t>DENNIS G. TOLENTINO</t>
  </si>
  <si>
    <t>CHRISTLE DAVID</t>
  </si>
  <si>
    <t>R3-2025-008253</t>
  </si>
  <si>
    <t>POBLACION</t>
  </si>
  <si>
    <t>LAURENCE RADASA</t>
  </si>
  <si>
    <t>R3-2025-008480</t>
  </si>
  <si>
    <t>PARANG</t>
  </si>
  <si>
    <t>R3-2025-008482</t>
  </si>
  <si>
    <t>WEST CALAGUIMAN</t>
  </si>
  <si>
    <t>JOHN-LESTER SIGNIO</t>
  </si>
  <si>
    <t>R3-2025-008768</t>
  </si>
  <si>
    <t>R3-2025-008821</t>
  </si>
  <si>
    <t>ALANGAN</t>
  </si>
  <si>
    <t>R3-2025-009857</t>
  </si>
  <si>
    <t>SAGUING</t>
  </si>
  <si>
    <t>R3-2025-015582</t>
  </si>
  <si>
    <t>SAN PABLO</t>
  </si>
  <si>
    <t>R3-2025-015584</t>
  </si>
  <si>
    <t>OMBOY</t>
  </si>
  <si>
    <t>R3-2025-015839</t>
  </si>
  <si>
    <t>REFORMISTA</t>
  </si>
  <si>
    <t>R3-2025-016627</t>
  </si>
  <si>
    <t>SANTA ISABEL</t>
  </si>
  <si>
    <t>JUNE</t>
  </si>
  <si>
    <t>R3-2025-018857</t>
  </si>
  <si>
    <t>R3-2025-019685</t>
  </si>
  <si>
    <t>NAGWALING</t>
  </si>
  <si>
    <t>OCTOBER</t>
  </si>
  <si>
    <t>R3-2025-034327</t>
  </si>
  <si>
    <t>TENEJERO</t>
  </si>
  <si>
    <t>SEPTEMBER</t>
  </si>
  <si>
    <t>R3-2025-029079</t>
  </si>
  <si>
    <t>GEN. LUNA</t>
  </si>
  <si>
    <t>R3-2025-030032</t>
  </si>
  <si>
    <t>TAGUMPAY</t>
  </si>
  <si>
    <t>R3-2025-033470</t>
  </si>
  <si>
    <t>BASECO COUNTRY</t>
  </si>
  <si>
    <t>JULY</t>
  </si>
  <si>
    <t>R3-2025-023362</t>
  </si>
  <si>
    <t>SISIMAN</t>
  </si>
  <si>
    <t>R3-2025-023368</t>
  </si>
  <si>
    <t>IPAG</t>
  </si>
  <si>
    <t>AUGUST</t>
  </si>
  <si>
    <t>R3-2025-026619</t>
  </si>
  <si>
    <t>BALON-ANITO</t>
  </si>
  <si>
    <t>R3-2025-035293</t>
  </si>
  <si>
    <t>ACCOMPLISHMENT PER MONTH</t>
  </si>
  <si>
    <t>PAPs</t>
  </si>
  <si>
    <t>December</t>
  </si>
  <si>
    <t>Total</t>
  </si>
  <si>
    <t>TECHNICAL ASSISTANCE</t>
  </si>
  <si>
    <t>ACCESS TO MRF</t>
  </si>
  <si>
    <t>SWM TA</t>
  </si>
  <si>
    <t>ACCESS TO SLF</t>
  </si>
  <si>
    <t>Not applicable</t>
  </si>
  <si>
    <t>MRF - not operational Mrs - operational</t>
  </si>
  <si>
    <t>Disposal to SLF</t>
  </si>
  <si>
    <t>MRF/MRS</t>
  </si>
  <si>
    <t>CLUSTERING</t>
  </si>
  <si>
    <t>TRASH TRAP - 2nd Semester</t>
  </si>
  <si>
    <t>TRASH TRAP - 1st Semester</t>
  </si>
  <si>
    <t>WITH ADVISE LETTER</t>
  </si>
  <si>
    <t>10-YEAR SWM PLAN</t>
  </si>
  <si>
    <t>Within MBA</t>
  </si>
  <si>
    <t>Outside MBA</t>
  </si>
  <si>
    <t>EQUIPMENT</t>
  </si>
  <si>
    <t>Personnel</t>
  </si>
  <si>
    <t>TECHNICAL ASSITANCE</t>
  </si>
  <si>
    <t>TA - ACCESS TO SLF</t>
  </si>
  <si>
    <t>TA - SWM</t>
  </si>
  <si>
    <t>TRASHTRAP</t>
  </si>
  <si>
    <t>TRANSFER STATIONN</t>
  </si>
  <si>
    <t>Additional TA
(Staff&amp;Focal/ENMO&amp;Staff)</t>
  </si>
  <si>
    <t>Additional ATMRF (Staff&amp;Focal/ENMO&amp;Staff)</t>
  </si>
  <si>
    <t>Additional PDS (Staff&amp;Focal/ENMO&amp;Staff)</t>
  </si>
  <si>
    <t>Additional TR (Staff&amp;Focal/ENMO&amp;Staff)</t>
  </si>
  <si>
    <t>Additional RCA (Staff&amp;Focal/ENMO&amp;Staff)</t>
  </si>
  <si>
    <t>Additional Transfer (Staff&amp;Focal/ENMO&amp;Staff)</t>
  </si>
  <si>
    <t>GG</t>
  </si>
  <si>
    <t>Annual</t>
  </si>
  <si>
    <t>Timeliness</t>
  </si>
  <si>
    <t>Rosalie Miclat</t>
  </si>
  <si>
    <t>Maria Pascual</t>
  </si>
  <si>
    <t>Sherwin Loquellano</t>
  </si>
  <si>
    <t>2nd Semester</t>
  </si>
  <si>
    <t>10-YEAR PLAN</t>
  </si>
  <si>
    <t>SWM PROGRAM</t>
  </si>
  <si>
    <t>Quantity</t>
  </si>
  <si>
    <t>Ma. Cecilia Pascual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</si>
</sst>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mmmm\ d\,\ yyyy;@"/>
    <numFmt numFmtId="165" formatCode="0.000"/>
    <numFmt numFmtId="166" formatCode="[$-409]d\-mmm\-yy;@"/>
    <numFmt numFmtId="167" formatCode="mmmm\ d\,\ yyyy"/>
    <numFmt numFmtId="168" formatCode="mmmm\ dd\,\ yyyy"/>
  </numFmts>
  <fonts count="79">
    <font>
      <sz val="11"/>
      <color theme="1"/>
      <name val="Calibri"/>
      <family val="2"/>
      <scheme val="minor"/>
    </font>
    <font>
      <sz val="11"/>
      <color theme="1"/>
      <name val="Calibri"/>
      <scheme val="minor"/>
    </font>
    <font>
      <b/>
      <sz val="11"/>
      <color rgb="FF000000"/>
      <name val="Cambria"/>
      <family val="1"/>
    </font>
    <font>
      <b/>
      <sz val="10"/>
      <color rgb="FF000000"/>
      <name val="Cambria"/>
      <family val="1"/>
    </font>
    <font>
      <sz val="10"/>
      <color rgb="FF000000"/>
      <name val="Cambria"/>
      <family val="1"/>
    </font>
    <font>
      <sz val="11"/>
      <color rgb="FF000000"/>
      <name val="Cambria"/>
      <family val="1"/>
    </font>
    <font>
      <b/>
      <sz val="11"/>
      <color rgb="FF000000"/>
      <name val="Times New Roman"/>
    </font>
    <font>
      <sz val="10"/>
      <color rgb="FF000000"/>
      <name val="Times New Roman"/>
    </font>
    <font>
      <sz val="11"/>
      <color theme="1"/>
      <name val="Times New Roman"/>
    </font>
    <font>
      <sz val="11"/>
      <color rgb="FF000000"/>
      <name val="Times New Roman"/>
    </font>
    <font>
      <sz val="10"/>
      <color theme="1"/>
      <name val="Times New Roman"/>
    </font>
    <font>
      <sz val="12"/>
      <color rgb="FF000000"/>
      <name val="Times New Roman"/>
    </font>
    <font>
      <sz val="11"/>
      <color rgb="FF000000"/>
      <name val="Calibri"/>
    </font>
    <font>
      <b/>
      <sz val="11"/>
      <color rgb="FF000000"/>
      <name val="Cambria"/>
    </font>
    <font>
      <sz val="11"/>
      <color theme="1"/>
      <name val="Calibri"/>
      <charset val="1"/>
    </font>
    <font>
      <sz val="10"/>
      <color rgb="FF000000"/>
      <name val="Cambria"/>
    </font>
    <font>
      <sz val="10"/>
      <color rgb="FF000000"/>
      <name val="Arial"/>
      <family val="2"/>
    </font>
    <font>
      <sz val="11"/>
      <color rgb="FF545454"/>
      <name val="Cambria"/>
      <family val="1"/>
    </font>
    <font>
      <sz val="11"/>
      <color rgb="FF000000"/>
      <name val="Cambria"/>
    </font>
    <font>
      <sz val="10"/>
      <color rgb="FF000000"/>
      <name val="Arial"/>
      <charset val="1"/>
    </font>
    <font>
      <sz val="10"/>
      <color theme="0"/>
      <name val="Times New Roman"/>
    </font>
    <font>
      <b/>
      <sz val="10"/>
      <color rgb="FF000000"/>
      <name val="Times New Roman"/>
    </font>
    <font>
      <b/>
      <sz val="11"/>
      <color theme="1"/>
      <name val="Times New Roman"/>
    </font>
    <font>
      <sz val="14"/>
      <color rgb="FF545454"/>
      <name val="Arial"/>
      <charset val="1"/>
    </font>
    <font>
      <sz val="11"/>
      <color theme="1"/>
      <name val="Cambria"/>
    </font>
    <font>
      <sz val="11"/>
      <color rgb="FF000000"/>
      <name val="Arial"/>
      <charset val="1"/>
    </font>
    <font>
      <b/>
      <sz val="10"/>
      <color rgb="FF000000"/>
      <name val="Cambria"/>
    </font>
    <font>
      <b/>
      <sz val="11"/>
      <color theme="1"/>
      <name val="Cambria"/>
    </font>
    <font>
      <sz val="11"/>
      <color rgb="FF545454"/>
      <name val="Cambria"/>
    </font>
    <font>
      <sz val="12"/>
      <color rgb="FF000000"/>
      <name val="Cambria"/>
    </font>
    <font>
      <sz val="10"/>
      <color theme="1"/>
      <name val="Cambria"/>
    </font>
    <font>
      <sz val="10"/>
      <color rgb="FF545454"/>
      <name val="Arial"/>
      <charset val="1"/>
    </font>
    <font>
      <sz val="11"/>
      <color theme="1"/>
      <name val="Bookman Old Style"/>
      <family val="1"/>
      <charset val="1"/>
    </font>
    <font>
      <sz val="11"/>
      <color rgb="FF000000"/>
      <name val="Calibri"/>
      <family val="2"/>
    </font>
    <font>
      <sz val="12"/>
      <color theme="1"/>
      <name val="Cambria"/>
    </font>
    <font>
      <sz val="11"/>
      <color theme="1"/>
      <name val="Times New Roman"/>
      <family val="1"/>
      <charset val="1"/>
    </font>
    <font>
      <b/>
      <sz val="11"/>
      <color theme="1"/>
      <name val="Calibri"/>
      <family val="2"/>
      <scheme val="minor"/>
    </font>
    <font>
      <b/>
      <sz val="11"/>
      <color theme="1"/>
      <name val="Bookman Old Style"/>
      <family val="1"/>
      <charset val="1"/>
    </font>
    <font>
      <sz val="11"/>
      <color theme="1"/>
      <name val="Calibri"/>
      <family val="2"/>
      <charset val="1"/>
    </font>
    <font>
      <sz val="11"/>
      <color rgb="FF000000"/>
      <name val="Cambria"/>
      <charset val="1"/>
    </font>
    <font>
      <sz val="11"/>
      <color rgb="FF000000"/>
      <name val="times new romann"/>
    </font>
    <font>
      <sz val="11"/>
      <color theme="1"/>
      <name val="tim"/>
    </font>
    <font>
      <sz val="10"/>
      <color rgb="FF000000"/>
      <name val="tim"/>
    </font>
    <font>
      <sz val="11"/>
      <color rgb="FF000000"/>
      <name val="tim"/>
    </font>
    <font>
      <sz val="12"/>
      <color rgb="FF000000"/>
      <name val="Times New Roman"/>
      <family val="1"/>
      <charset val="1"/>
    </font>
    <font>
      <sz val="11"/>
      <color rgb="FF000000"/>
      <name val="Times New Roman"/>
      <charset val="1"/>
    </font>
    <font>
      <sz val="11"/>
      <color rgb="FFFF0000"/>
      <name val="Times New Roman"/>
    </font>
    <font>
      <sz val="11"/>
      <color rgb="FF000000"/>
      <name val="Times New Roman"/>
      <family val="1"/>
    </font>
    <font>
      <u/>
      <sz val="11"/>
      <color rgb="FF000000"/>
      <name val="Times New Roman"/>
      <family val="1"/>
      <charset val="1"/>
    </font>
    <font>
      <b/>
      <sz val="12"/>
      <color rgb="FF000000"/>
      <name val="Cambria"/>
      <family val="1"/>
    </font>
    <font>
      <b/>
      <sz val="14"/>
      <color theme="1"/>
      <name val="Calibri"/>
      <family val="2"/>
      <scheme val="minor"/>
    </font>
    <font>
      <b/>
      <sz val="12"/>
      <color theme="1"/>
      <name val="Calibri"/>
      <family val="2"/>
      <scheme val="minor"/>
    </font>
    <font>
      <sz val="12"/>
      <color theme="1"/>
      <name val="Calibri"/>
      <family val="2"/>
      <scheme val="minor"/>
    </font>
    <font>
      <b/>
      <sz val="12"/>
      <color theme="1"/>
      <name val="Times New Roman"/>
    </font>
    <font>
      <b/>
      <sz val="20"/>
      <color theme="1"/>
      <name val="Times New Roman"/>
    </font>
    <font>
      <b/>
      <sz val="24"/>
      <color theme="1"/>
      <name val="Calibri"/>
      <family val="2"/>
      <scheme val="minor"/>
    </font>
    <font>
      <sz val="12"/>
      <color theme="1"/>
      <name val="Times New Roman"/>
      <family val="1"/>
      <charset val="1"/>
    </font>
    <font>
      <sz val="11"/>
      <color rgb="FF080809"/>
      <name val="Segoe UI Historic"/>
      <charset val="1"/>
    </font>
    <font>
      <sz val="14"/>
      <color rgb="FF545454"/>
      <name val="Cambria"/>
    </font>
    <font>
      <b/>
      <u/>
      <sz val="11"/>
      <color theme="1"/>
      <name val="Bookman Old Style"/>
      <family val="1"/>
      <charset val="1"/>
    </font>
    <font>
      <sz val="12"/>
      <color theme="1"/>
      <name val="Times New Roman"/>
    </font>
    <font>
      <sz val="11"/>
      <color rgb="FF000000"/>
      <name val="Calibri"/>
      <family val="2"/>
      <scheme val="minor"/>
    </font>
    <font>
      <sz val="12"/>
      <name val="Times New Roman"/>
      <family val="1"/>
      <charset val="1"/>
    </font>
    <font>
      <b/>
      <sz val="12"/>
      <color theme="1"/>
      <name val="Times New Roman"/>
      <family val="1"/>
      <charset val="1"/>
    </font>
    <font>
      <sz val="10"/>
      <color rgb="FF0E101A"/>
      <name val="Times New Roman"/>
      <family val="1"/>
      <charset val="1"/>
    </font>
    <font>
      <sz val="10.5"/>
      <color theme="1"/>
      <name val="Times New Roman"/>
      <family val="1"/>
      <charset val="1"/>
    </font>
    <font>
      <sz val="11"/>
      <color rgb="FF545454"/>
      <name val="Times New Roman"/>
    </font>
    <font>
      <b/>
      <u/>
      <sz val="11"/>
      <color rgb="FF000000"/>
      <name val="Bookman Old Style"/>
      <family val="1"/>
      <charset val="1"/>
    </font>
    <font>
      <b/>
      <sz val="11"/>
      <color theme="1"/>
      <name val="Times New Roman"/>
      <family val="1"/>
      <charset val="1"/>
    </font>
    <font>
      <sz val="11"/>
      <color rgb="FF202122"/>
      <name val="Times New Roman"/>
    </font>
    <font>
      <sz val="11"/>
      <color rgb="FF000000"/>
      <name val="Bookman Old Style"/>
      <family val="1"/>
      <charset val="1"/>
    </font>
    <font>
      <sz val="10"/>
      <color rgb="FF000000"/>
      <name val="Times New Roman"/>
      <family val="1"/>
      <charset val="1"/>
    </font>
    <font>
      <sz val="12"/>
      <color rgb="FF000000"/>
      <name val="Calibri"/>
      <charset val="1"/>
    </font>
    <font>
      <sz val="11"/>
      <color rgb="FF000000"/>
      <name val="Times New Roman"/>
      <family val="1"/>
      <charset val="1"/>
    </font>
    <font>
      <sz val="11"/>
      <color rgb="FF000000"/>
      <name val="Calibri"/>
      <scheme val="minor"/>
    </font>
    <font>
      <b/>
      <sz val="11"/>
      <color rgb="FF000000"/>
      <name val="Calibri"/>
      <scheme val="minor"/>
    </font>
    <font>
      <sz val="12"/>
      <color theme="1"/>
      <name val="Calibri"/>
      <charset val="1"/>
    </font>
    <font>
      <u/>
      <sz val="11"/>
      <color theme="1"/>
      <name val="Cambria"/>
      <family val="1"/>
      <charset val="1"/>
    </font>
    <font>
      <sz val="11"/>
      <color theme="1"/>
      <name val="Times New Roman"/>
      <family val="1"/>
    </font>
  </fonts>
  <fills count="37">
    <fill>
      <patternFill patternType="none"/>
    </fill>
    <fill>
      <patternFill patternType="gray125"/>
    </fill>
    <fill>
      <patternFill patternType="solid">
        <fgColor rgb="FF92D050"/>
        <bgColor rgb="FF92D050"/>
      </patternFill>
    </fill>
    <fill>
      <patternFill patternType="solid">
        <fgColor rgb="FFFFFFFF"/>
        <bgColor indexed="64"/>
      </patternFill>
    </fill>
    <fill>
      <patternFill patternType="solid">
        <fgColor rgb="FFFFFFFF"/>
        <bgColor rgb="FFFFFFFF"/>
      </patternFill>
    </fill>
    <fill>
      <patternFill patternType="solid">
        <fgColor theme="8" tint="0.59999389629810485"/>
        <bgColor rgb="FF92D050"/>
      </patternFill>
    </fill>
    <fill>
      <patternFill patternType="solid">
        <fgColor theme="7" tint="0.59999389629810485"/>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rgb="FFFF990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FFFF00"/>
        <bgColor indexed="64"/>
      </patternFill>
    </fill>
    <fill>
      <patternFill patternType="solid">
        <fgColor rgb="FF00B050"/>
        <bgColor indexed="64"/>
      </patternFill>
    </fill>
    <fill>
      <patternFill patternType="solid">
        <fgColor theme="2" tint="-0.89999084444715716"/>
        <bgColor indexed="64"/>
      </patternFill>
    </fill>
    <fill>
      <patternFill patternType="solid">
        <fgColor theme="2" tint="-0.249977111117893"/>
        <bgColor indexed="64"/>
      </patternFill>
    </fill>
    <fill>
      <patternFill patternType="solid">
        <fgColor rgb="FFFFC000"/>
        <bgColor indexed="64"/>
      </patternFill>
    </fill>
    <fill>
      <patternFill patternType="solid">
        <fgColor theme="9" tint="0.39997558519241921"/>
        <bgColor indexed="64"/>
      </patternFill>
    </fill>
    <fill>
      <patternFill patternType="solid">
        <fgColor theme="2"/>
        <bgColor indexed="64"/>
      </patternFill>
    </fill>
    <fill>
      <patternFill patternType="solid">
        <fgColor theme="4" tint="0.79998168889431442"/>
        <bgColor indexed="64"/>
      </patternFill>
    </fill>
    <fill>
      <patternFill patternType="solid">
        <fgColor rgb="FFFFFF00"/>
        <bgColor rgb="FF000000"/>
      </patternFill>
    </fill>
    <fill>
      <patternFill patternType="solid">
        <fgColor rgb="FFFFFF00"/>
        <bgColor rgb="FFFFFF00"/>
      </patternFill>
    </fill>
    <fill>
      <patternFill patternType="solid">
        <fgColor theme="0"/>
        <bgColor indexed="64"/>
      </patternFill>
    </fill>
    <fill>
      <patternFill patternType="solid">
        <fgColor rgb="FFFF0000"/>
        <bgColor indexed="64"/>
      </patternFill>
    </fill>
    <fill>
      <patternFill patternType="solid">
        <fgColor theme="8" tint="0.79998168889431442"/>
        <bgColor indexed="64"/>
      </patternFill>
    </fill>
    <fill>
      <patternFill patternType="solid">
        <fgColor rgb="FF00B0F0"/>
        <bgColor indexed="64"/>
      </patternFill>
    </fill>
    <fill>
      <patternFill patternType="solid">
        <fgColor theme="0" tint="-4.9989318521683403E-2"/>
        <bgColor indexed="64"/>
      </patternFill>
    </fill>
    <fill>
      <patternFill patternType="solid">
        <fgColor theme="5" tint="0.59999389629810485"/>
        <bgColor indexed="64"/>
      </patternFill>
    </fill>
    <fill>
      <patternFill patternType="solid">
        <fgColor rgb="FF92D050"/>
        <bgColor indexed="64"/>
      </patternFill>
    </fill>
    <fill>
      <patternFill patternType="solid">
        <fgColor theme="7"/>
        <bgColor indexed="64"/>
      </patternFill>
    </fill>
    <fill>
      <patternFill patternType="solid">
        <fgColor rgb="FFBDD7EE"/>
        <bgColor rgb="FF92D050"/>
      </patternFill>
    </fill>
    <fill>
      <patternFill patternType="solid">
        <fgColor rgb="FFC6E0B4"/>
        <bgColor rgb="FF000000"/>
      </patternFill>
    </fill>
    <fill>
      <patternFill patternType="solid">
        <fgColor rgb="FFFFE699"/>
        <bgColor rgb="FF000000"/>
      </patternFill>
    </fill>
    <fill>
      <patternFill patternType="solid">
        <fgColor rgb="FFE7E6E6"/>
        <bgColor rgb="FF000000"/>
      </patternFill>
    </fill>
    <fill>
      <patternFill patternType="solid">
        <fgColor theme="2" tint="-9.9978637043366805E-2"/>
        <bgColor indexed="64"/>
      </patternFill>
    </fill>
    <fill>
      <patternFill patternType="solid">
        <fgColor theme="4" tint="0.39997558519241921"/>
        <bgColor indexed="64"/>
      </patternFill>
    </fill>
  </fills>
  <borders count="2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CCCCCC"/>
      </top>
      <bottom style="thin">
        <color rgb="FF000000"/>
      </bottom>
      <diagonal/>
    </border>
    <border>
      <left style="thin">
        <color rgb="FF000000"/>
      </left>
      <right/>
      <top style="thin">
        <color rgb="FFCCCCCC"/>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indexed="64"/>
      </left>
      <right/>
      <top/>
      <bottom style="thin">
        <color indexed="64"/>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right/>
      <top style="thin">
        <color rgb="FF000000"/>
      </top>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s>
  <cellStyleXfs count="1">
    <xf numFmtId="0" fontId="0" fillId="0" borderId="0"/>
  </cellStyleXfs>
  <cellXfs count="816">
    <xf numFmtId="0" fontId="0" fillId="0" borderId="0" xfId="0"/>
    <xf numFmtId="0" fontId="0" fillId="0" borderId="1" xfId="0" applyBorder="1"/>
    <xf numFmtId="0" fontId="0" fillId="0" borderId="1" xfId="0" applyBorder="1" applyAlignment="1">
      <alignment horizontal="center"/>
    </xf>
    <xf numFmtId="0" fontId="6" fillId="2" borderId="1" xfId="0" applyFont="1" applyFill="1" applyBorder="1" applyAlignment="1">
      <alignment horizontal="center" vertical="center" wrapText="1"/>
    </xf>
    <xf numFmtId="0" fontId="9" fillId="0" borderId="1" xfId="0" applyFont="1" applyBorder="1" applyAlignment="1">
      <alignment horizontal="center" vertical="center" wrapText="1"/>
    </xf>
    <xf numFmtId="15" fontId="8" fillId="0" borderId="1" xfId="0" applyNumberFormat="1" applyFont="1" applyBorder="1" applyAlignment="1">
      <alignment horizontal="center" vertical="center" wrapText="1"/>
    </xf>
    <xf numFmtId="0" fontId="8" fillId="0" borderId="1" xfId="0" applyFont="1" applyBorder="1"/>
    <xf numFmtId="0" fontId="8" fillId="0" borderId="1" xfId="0" applyFont="1" applyBorder="1" applyAlignment="1">
      <alignment horizontal="center" vertical="center" wrapText="1"/>
    </xf>
    <xf numFmtId="4" fontId="8" fillId="0" borderId="1" xfId="0" applyNumberFormat="1" applyFont="1" applyBorder="1"/>
    <xf numFmtId="0" fontId="9" fillId="0" borderId="1" xfId="0" applyFont="1" applyBorder="1" applyAlignment="1">
      <alignment horizontal="center" vertical="center"/>
    </xf>
    <xf numFmtId="15" fontId="8" fillId="0" borderId="1" xfId="0" applyNumberFormat="1" applyFont="1" applyBorder="1" applyAlignment="1">
      <alignment horizontal="center" vertical="center"/>
    </xf>
    <xf numFmtId="0" fontId="8" fillId="0" borderId="1" xfId="0" applyFont="1" applyBorder="1" applyAlignment="1">
      <alignment horizontal="center" vertical="center"/>
    </xf>
    <xf numFmtId="15" fontId="10" fillId="0" borderId="1" xfId="0" applyNumberFormat="1" applyFont="1" applyBorder="1" applyAlignment="1">
      <alignment horizontal="center" vertical="center"/>
    </xf>
    <xf numFmtId="0" fontId="10" fillId="0" borderId="1" xfId="0" applyFont="1" applyBorder="1" applyAlignment="1">
      <alignment horizontal="center" vertical="center"/>
    </xf>
    <xf numFmtId="4" fontId="9" fillId="0" borderId="1" xfId="0" applyNumberFormat="1" applyFont="1" applyBorder="1"/>
    <xf numFmtId="0" fontId="9" fillId="0" borderId="1" xfId="0" applyFont="1" applyBorder="1"/>
    <xf numFmtId="0" fontId="9" fillId="4" borderId="1" xfId="0" applyFont="1" applyFill="1" applyBorder="1" applyAlignment="1">
      <alignment horizontal="center" vertical="center" wrapText="1"/>
    </xf>
    <xf numFmtId="0" fontId="8" fillId="0" borderId="1" xfId="0" applyFont="1" applyBorder="1" applyAlignment="1">
      <alignment horizontal="center"/>
    </xf>
    <xf numFmtId="0" fontId="2" fillId="12" borderId="1" xfId="0" applyFont="1" applyFill="1" applyBorder="1" applyAlignment="1">
      <alignment horizontal="center" vertical="center" wrapText="1"/>
    </xf>
    <xf numFmtId="0" fontId="0" fillId="0" borderId="1" xfId="0" applyBorder="1" applyAlignment="1">
      <alignment horizontal="center" vertical="center"/>
    </xf>
    <xf numFmtId="0" fontId="0" fillId="0" borderId="0" xfId="0" applyAlignment="1">
      <alignment horizontal="center" vertical="center"/>
    </xf>
    <xf numFmtId="0" fontId="0" fillId="13" borderId="0" xfId="0" applyFill="1"/>
    <xf numFmtId="0" fontId="0" fillId="0" borderId="5" xfId="0" applyBorder="1"/>
    <xf numFmtId="0" fontId="0" fillId="17" borderId="0" xfId="0" applyFill="1"/>
    <xf numFmtId="0" fontId="0" fillId="0" borderId="3" xfId="0" applyBorder="1"/>
    <xf numFmtId="0" fontId="0" fillId="0" borderId="7" xfId="0" applyBorder="1"/>
    <xf numFmtId="0" fontId="6" fillId="13" borderId="3" xfId="0" applyFont="1" applyFill="1" applyBorder="1" applyAlignment="1">
      <alignment horizontal="center" vertical="center" wrapText="1"/>
    </xf>
    <xf numFmtId="0" fontId="6" fillId="13" borderId="7" xfId="0" applyFont="1" applyFill="1" applyBorder="1" applyAlignment="1">
      <alignment horizontal="center" vertical="center" wrapText="1"/>
    </xf>
    <xf numFmtId="0" fontId="12" fillId="0" borderId="1" xfId="0" applyFont="1" applyBorder="1"/>
    <xf numFmtId="0" fontId="2" fillId="5" borderId="3" xfId="0" applyFont="1" applyFill="1" applyBorder="1" applyAlignment="1">
      <alignment horizontal="center" vertical="center"/>
    </xf>
    <xf numFmtId="0" fontId="2" fillId="5" borderId="3" xfId="0" applyFont="1" applyFill="1" applyBorder="1" applyAlignment="1">
      <alignment horizontal="center" vertical="center" wrapText="1"/>
    </xf>
    <xf numFmtId="0" fontId="2" fillId="6" borderId="3" xfId="0" applyFont="1" applyFill="1" applyBorder="1" applyAlignment="1">
      <alignment horizontal="center" vertical="center" wrapText="1"/>
    </xf>
    <xf numFmtId="0" fontId="2" fillId="2" borderId="3" xfId="0" applyFont="1" applyFill="1" applyBorder="1" applyAlignment="1">
      <alignment horizontal="center" vertical="center" wrapText="1"/>
    </xf>
    <xf numFmtId="164" fontId="8" fillId="0" borderId="1" xfId="0" applyNumberFormat="1" applyFont="1" applyBorder="1" applyAlignment="1">
      <alignment horizontal="center" vertical="center" wrapText="1"/>
    </xf>
    <xf numFmtId="164" fontId="8" fillId="0" borderId="1" xfId="0" applyNumberFormat="1" applyFont="1" applyBorder="1" applyAlignment="1">
      <alignment horizontal="center" vertical="center"/>
    </xf>
    <xf numFmtId="164" fontId="10" fillId="0" borderId="1" xfId="0" applyNumberFormat="1" applyFont="1" applyBorder="1" applyAlignment="1">
      <alignment horizontal="center" vertical="center"/>
    </xf>
    <xf numFmtId="164" fontId="8" fillId="0" borderId="1" xfId="0" quotePrefix="1" applyNumberFormat="1" applyFont="1" applyBorder="1" applyAlignment="1">
      <alignment horizontal="center" vertical="center"/>
    </xf>
    <xf numFmtId="0" fontId="6" fillId="6"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7" fillId="8" borderId="1" xfId="0" applyFont="1" applyFill="1" applyBorder="1" applyAlignment="1">
      <alignment horizontal="center" vertical="center" wrapText="1"/>
    </xf>
    <xf numFmtId="0" fontId="7" fillId="11"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7" fillId="10"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8" fillId="19" borderId="1" xfId="0" applyFont="1" applyFill="1" applyBorder="1" applyAlignment="1">
      <alignment horizontal="center" vertical="center" wrapText="1"/>
    </xf>
    <xf numFmtId="1" fontId="8" fillId="19" borderId="1" xfId="0" applyNumberFormat="1" applyFont="1" applyFill="1" applyBorder="1" applyAlignment="1">
      <alignment horizontal="center" vertical="center" wrapText="1"/>
    </xf>
    <xf numFmtId="0" fontId="13" fillId="12" borderId="3" xfId="0" applyFont="1" applyFill="1" applyBorder="1" applyAlignment="1">
      <alignment horizontal="center" vertical="center" wrapText="1"/>
    </xf>
    <xf numFmtId="0" fontId="0" fillId="0" borderId="0" xfId="0" applyAlignment="1">
      <alignment vertical="center"/>
    </xf>
    <xf numFmtId="0" fontId="13" fillId="2" borderId="3" xfId="0" applyFont="1" applyFill="1" applyBorder="1" applyAlignment="1">
      <alignment horizontal="center" vertical="center" wrapText="1"/>
    </xf>
    <xf numFmtId="0" fontId="13" fillId="8" borderId="3"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4" borderId="1" xfId="0" applyFont="1" applyFill="1" applyBorder="1" applyAlignment="1">
      <alignment horizontal="center" vertical="center" wrapText="1"/>
    </xf>
    <xf numFmtId="0" fontId="5" fillId="0" borderId="14" xfId="0" applyFont="1" applyBorder="1" applyAlignment="1">
      <alignment horizontal="center" vertical="center" wrapText="1"/>
    </xf>
    <xf numFmtId="0" fontId="5" fillId="0" borderId="0" xfId="0" applyFont="1" applyAlignment="1">
      <alignment horizontal="center" vertical="center" wrapText="1"/>
    </xf>
    <xf numFmtId="0" fontId="5" fillId="21" borderId="1" xfId="0" applyFont="1" applyFill="1" applyBorder="1" applyAlignment="1">
      <alignment horizontal="center" vertical="center" wrapText="1"/>
    </xf>
    <xf numFmtId="0" fontId="12" fillId="21" borderId="1" xfId="0" applyFont="1" applyFill="1" applyBorder="1"/>
    <xf numFmtId="0" fontId="12" fillId="0" borderId="1" xfId="0" applyFont="1" applyBorder="1" applyAlignment="1">
      <alignment horizontal="center"/>
    </xf>
    <xf numFmtId="0" fontId="2" fillId="11" borderId="1" xfId="0" applyFont="1" applyFill="1" applyBorder="1" applyAlignment="1">
      <alignment horizontal="center" vertical="center" wrapText="1"/>
    </xf>
    <xf numFmtId="0" fontId="12" fillId="11" borderId="1" xfId="0" applyFont="1" applyFill="1" applyBorder="1" applyAlignment="1">
      <alignment horizontal="center"/>
    </xf>
    <xf numFmtId="0" fontId="12" fillId="20" borderId="1" xfId="0" applyFont="1" applyFill="1" applyBorder="1" applyAlignment="1">
      <alignment horizontal="center"/>
    </xf>
    <xf numFmtId="15" fontId="5" fillId="0" borderId="1" xfId="0" applyNumberFormat="1" applyFont="1" applyBorder="1" applyAlignment="1">
      <alignment horizontal="center" vertical="center" wrapText="1"/>
    </xf>
    <xf numFmtId="0" fontId="18" fillId="0" borderId="1" xfId="0" applyFont="1" applyBorder="1" applyAlignment="1">
      <alignment horizontal="center" vertical="center" wrapText="1"/>
    </xf>
    <xf numFmtId="0" fontId="9" fillId="0" borderId="0" xfId="0" applyFont="1" applyAlignment="1">
      <alignment horizontal="center" vertical="center"/>
    </xf>
    <xf numFmtId="0" fontId="9" fillId="0" borderId="1" xfId="0" applyFont="1" applyBorder="1" applyAlignment="1">
      <alignment horizontal="center" vertical="center" readingOrder="1"/>
    </xf>
    <xf numFmtId="2" fontId="8" fillId="12" borderId="1" xfId="0" applyNumberFormat="1" applyFont="1" applyFill="1" applyBorder="1"/>
    <xf numFmtId="2" fontId="8" fillId="16" borderId="1" xfId="0" applyNumberFormat="1" applyFont="1" applyFill="1" applyBorder="1"/>
    <xf numFmtId="0" fontId="8" fillId="0" borderId="0" xfId="0" applyFont="1"/>
    <xf numFmtId="0" fontId="7" fillId="14" borderId="1" xfId="0" applyFont="1" applyFill="1" applyBorder="1" applyAlignment="1">
      <alignment horizontal="center" vertical="center" wrapText="1"/>
    </xf>
    <xf numFmtId="0" fontId="20" fillId="15" borderId="1" xfId="0" applyFont="1" applyFill="1" applyBorder="1" applyAlignment="1">
      <alignment horizontal="center" vertical="center" wrapText="1"/>
    </xf>
    <xf numFmtId="0" fontId="7" fillId="0" borderId="0" xfId="0" applyFont="1" applyAlignment="1">
      <alignment horizontal="center" vertical="center"/>
    </xf>
    <xf numFmtId="0" fontId="9" fillId="0" borderId="1" xfId="0" applyFont="1" applyBorder="1" applyAlignment="1">
      <alignment horizontal="center" vertical="center" wrapText="1" indent="1"/>
    </xf>
    <xf numFmtId="0" fontId="9" fillId="0" borderId="1" xfId="0" applyFont="1" applyBorder="1" applyAlignment="1">
      <alignment horizontal="center" vertical="center" indent="1"/>
    </xf>
    <xf numFmtId="0" fontId="11" fillId="0" borderId="1" xfId="0" applyFont="1" applyBorder="1" applyAlignment="1">
      <alignment horizontal="center" vertical="center" wrapText="1"/>
    </xf>
    <xf numFmtId="0" fontId="8" fillId="0" borderId="0" xfId="0" applyFont="1" applyAlignment="1">
      <alignment horizontal="center"/>
    </xf>
    <xf numFmtId="0" fontId="8" fillId="9" borderId="1" xfId="0" applyFont="1" applyFill="1" applyBorder="1" applyAlignment="1">
      <alignment horizontal="center" vertical="center" readingOrder="1"/>
    </xf>
    <xf numFmtId="0" fontId="8" fillId="0" borderId="1" xfId="0" applyFont="1" applyBorder="1" applyAlignment="1">
      <alignment horizontal="center" vertical="center" readingOrder="1"/>
    </xf>
    <xf numFmtId="0" fontId="8" fillId="0" borderId="1" xfId="0" applyFont="1" applyBorder="1" applyAlignment="1">
      <alignment horizontal="center" vertical="center" indent="1"/>
    </xf>
    <xf numFmtId="0" fontId="9" fillId="0" borderId="5" xfId="0" applyFont="1" applyBorder="1" applyAlignment="1">
      <alignment horizontal="center" vertical="center" indent="1"/>
    </xf>
    <xf numFmtId="0" fontId="8" fillId="0" borderId="0" xfId="0" applyFont="1" applyAlignment="1">
      <alignment horizontal="center" vertical="center"/>
    </xf>
    <xf numFmtId="0" fontId="8" fillId="9" borderId="1" xfId="0" applyFont="1" applyFill="1" applyBorder="1" applyAlignment="1">
      <alignment horizontal="center" vertical="center" wrapText="1" readingOrder="1"/>
    </xf>
    <xf numFmtId="0" fontId="8" fillId="0" borderId="1" xfId="0" applyFont="1" applyBorder="1" applyAlignment="1">
      <alignment horizontal="center" vertical="center" wrapText="1" readingOrder="1"/>
    </xf>
    <xf numFmtId="0" fontId="8" fillId="0" borderId="0" xfId="0" applyFont="1" applyAlignment="1">
      <alignment horizontal="center" vertical="center" wrapText="1"/>
    </xf>
    <xf numFmtId="4" fontId="8" fillId="0" borderId="1" xfId="0" applyNumberFormat="1" applyFont="1" applyBorder="1" applyAlignment="1">
      <alignment horizontal="center" vertical="center"/>
    </xf>
    <xf numFmtId="10" fontId="8" fillId="0" borderId="1" xfId="0" applyNumberFormat="1" applyFont="1" applyBorder="1" applyAlignment="1">
      <alignment horizontal="center" vertical="center"/>
    </xf>
    <xf numFmtId="0" fontId="8" fillId="0" borderId="3" xfId="0" applyFont="1" applyBorder="1" applyAlignment="1">
      <alignment horizontal="center" vertical="center"/>
    </xf>
    <xf numFmtId="0" fontId="8" fillId="0" borderId="14" xfId="0" applyFont="1" applyBorder="1" applyAlignment="1">
      <alignment horizontal="center" vertical="center"/>
    </xf>
    <xf numFmtId="0" fontId="8" fillId="0" borderId="10" xfId="0" applyFont="1" applyBorder="1" applyAlignment="1">
      <alignment horizontal="center" vertical="center"/>
    </xf>
    <xf numFmtId="0" fontId="9" fillId="0" borderId="10" xfId="0" applyFont="1" applyBorder="1" applyAlignment="1">
      <alignment horizontal="center" vertical="center"/>
    </xf>
    <xf numFmtId="0" fontId="8" fillId="0" borderId="10" xfId="0" applyFont="1" applyBorder="1" applyAlignment="1">
      <alignment horizontal="center" vertical="center" indent="1"/>
    </xf>
    <xf numFmtId="0" fontId="6" fillId="5" borderId="1" xfId="0" applyFont="1" applyFill="1" applyBorder="1" applyAlignment="1">
      <alignment horizontal="center" vertical="center"/>
    </xf>
    <xf numFmtId="0" fontId="6" fillId="5" borderId="1" xfId="0" applyFont="1" applyFill="1" applyBorder="1" applyAlignment="1">
      <alignment horizontal="center" vertical="center" wrapText="1"/>
    </xf>
    <xf numFmtId="0" fontId="6" fillId="12" borderId="1" xfId="0" applyFont="1" applyFill="1" applyBorder="1" applyAlignment="1">
      <alignment horizontal="center" vertical="center" wrapText="1"/>
    </xf>
    <xf numFmtId="0" fontId="21" fillId="12" borderId="1" xfId="0" applyFont="1" applyFill="1" applyBorder="1" applyAlignment="1">
      <alignment horizontal="center" vertical="center" wrapText="1"/>
    </xf>
    <xf numFmtId="0" fontId="22" fillId="6" borderId="1" xfId="0" applyFont="1" applyFill="1" applyBorder="1" applyAlignment="1">
      <alignment horizontal="center" vertical="center" wrapText="1"/>
    </xf>
    <xf numFmtId="0" fontId="8" fillId="0" borderId="2" xfId="0" applyFont="1" applyBorder="1" applyAlignment="1">
      <alignment horizontal="center" vertical="center"/>
    </xf>
    <xf numFmtId="0" fontId="8" fillId="0" borderId="1" xfId="0" applyFont="1" applyBorder="1" applyAlignment="1">
      <alignment horizontal="center" vertical="center" wrapText="1" indent="3"/>
    </xf>
    <xf numFmtId="0" fontId="8" fillId="0" borderId="5" xfId="0" applyFont="1" applyBorder="1" applyAlignment="1">
      <alignment horizontal="center" vertical="center" wrapText="1"/>
    </xf>
    <xf numFmtId="0" fontId="8" fillId="0" borderId="2" xfId="0" applyFont="1" applyBorder="1" applyAlignment="1">
      <alignment horizontal="center" vertical="center" wrapText="1"/>
    </xf>
    <xf numFmtId="0" fontId="9" fillId="0" borderId="1" xfId="0" applyFont="1" applyBorder="1" applyAlignment="1">
      <alignment horizontal="center" vertical="center" wrapText="1" indent="3" readingOrder="1"/>
    </xf>
    <xf numFmtId="0" fontId="9" fillId="0" borderId="2" xfId="0" applyFont="1" applyBorder="1" applyAlignment="1">
      <alignment horizontal="center" vertical="center" wrapText="1" indent="1"/>
    </xf>
    <xf numFmtId="0" fontId="9" fillId="0" borderId="1" xfId="0" applyFont="1" applyBorder="1" applyAlignment="1">
      <alignment horizontal="center" vertical="center" wrapText="1" indent="3"/>
    </xf>
    <xf numFmtId="0" fontId="8" fillId="0" borderId="16" xfId="0" applyFont="1" applyBorder="1" applyAlignment="1">
      <alignment horizontal="center" vertical="center" wrapText="1"/>
    </xf>
    <xf numFmtId="0" fontId="6" fillId="18" borderId="1" xfId="0" applyFont="1" applyFill="1" applyBorder="1" applyAlignment="1">
      <alignment horizontal="center" vertical="center" wrapText="1"/>
    </xf>
    <xf numFmtId="0" fontId="8" fillId="13" borderId="1" xfId="0" applyFont="1" applyFill="1" applyBorder="1" applyAlignment="1">
      <alignment horizontal="center" vertical="center"/>
    </xf>
    <xf numFmtId="0" fontId="8" fillId="11" borderId="1" xfId="0" applyFont="1" applyFill="1" applyBorder="1" applyAlignment="1">
      <alignment horizontal="center" vertical="center"/>
    </xf>
    <xf numFmtId="0" fontId="5" fillId="0" borderId="1" xfId="0" applyFont="1" applyBorder="1" applyAlignment="1">
      <alignment horizontal="center" vertical="center" wrapText="1" indent="1"/>
    </xf>
    <xf numFmtId="0" fontId="5" fillId="0" borderId="1" xfId="0" applyFont="1" applyBorder="1" applyAlignment="1">
      <alignment horizontal="center" vertical="center" wrapText="1" indent="2"/>
    </xf>
    <xf numFmtId="15" fontId="5" fillId="0" borderId="1" xfId="0" applyNumberFormat="1" applyFont="1" applyBorder="1" applyAlignment="1">
      <alignment horizontal="center" vertical="center" wrapText="1" indent="2"/>
    </xf>
    <xf numFmtId="0" fontId="5" fillId="0" borderId="1" xfId="0" applyFont="1" applyBorder="1" applyAlignment="1">
      <alignment horizontal="center" vertical="center" wrapText="1" indent="3"/>
    </xf>
    <xf numFmtId="0" fontId="5" fillId="21" borderId="1" xfId="0" applyFont="1" applyFill="1" applyBorder="1" applyAlignment="1">
      <alignment horizontal="center" vertical="center" wrapText="1" indent="1"/>
    </xf>
    <xf numFmtId="0" fontId="0" fillId="0" borderId="4" xfId="0" applyBorder="1" applyAlignment="1">
      <alignment horizontal="center" vertical="center"/>
    </xf>
    <xf numFmtId="0" fontId="4" fillId="23" borderId="0" xfId="0" applyFont="1" applyFill="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center" vertical="center" wrapText="1" indent="1"/>
    </xf>
    <xf numFmtId="0" fontId="0" fillId="23" borderId="0" xfId="0" applyFill="1" applyAlignment="1">
      <alignment horizontal="center" vertical="center"/>
    </xf>
    <xf numFmtId="0" fontId="15" fillId="0" borderId="0" xfId="0" applyFont="1" applyAlignment="1">
      <alignment horizontal="center" vertical="center" wrapText="1"/>
    </xf>
    <xf numFmtId="164" fontId="0" fillId="0" borderId="0" xfId="0" applyNumberFormat="1" applyAlignment="1">
      <alignment horizontal="center" vertical="center"/>
    </xf>
    <xf numFmtId="3" fontId="8" fillId="0" borderId="1" xfId="0" applyNumberFormat="1" applyFont="1" applyBorder="1" applyAlignment="1">
      <alignment horizontal="center" vertical="center"/>
    </xf>
    <xf numFmtId="0" fontId="24" fillId="0" borderId="1" xfId="0" applyFont="1" applyBorder="1" applyAlignment="1">
      <alignment horizontal="center" vertical="center"/>
    </xf>
    <xf numFmtId="17" fontId="5" fillId="0" borderId="1" xfId="0" applyNumberFormat="1" applyFont="1" applyBorder="1" applyAlignment="1">
      <alignment horizontal="center" vertical="center" wrapText="1"/>
    </xf>
    <xf numFmtId="15" fontId="5" fillId="0" borderId="1" xfId="0" applyNumberFormat="1" applyFont="1" applyBorder="1" applyAlignment="1">
      <alignment horizontal="left" vertical="center" wrapText="1" indent="1"/>
    </xf>
    <xf numFmtId="2" fontId="8" fillId="0" borderId="1" xfId="0" applyNumberFormat="1" applyFont="1" applyBorder="1" applyAlignment="1">
      <alignment horizontal="center" vertical="center"/>
    </xf>
    <xf numFmtId="165" fontId="8" fillId="0" borderId="1" xfId="0" applyNumberFormat="1" applyFont="1" applyBorder="1" applyAlignment="1">
      <alignment horizontal="center" vertical="center"/>
    </xf>
    <xf numFmtId="0" fontId="13" fillId="23" borderId="1" xfId="0" applyFont="1" applyFill="1" applyBorder="1" applyAlignment="1">
      <alignment horizontal="center" vertical="center" wrapText="1"/>
    </xf>
    <xf numFmtId="0" fontId="13" fillId="4" borderId="1" xfId="0" applyFont="1" applyFill="1" applyBorder="1" applyAlignment="1">
      <alignment horizontal="center" vertical="center" wrapText="1"/>
    </xf>
    <xf numFmtId="0" fontId="13" fillId="0" borderId="1" xfId="0" applyFont="1" applyBorder="1" applyAlignment="1">
      <alignment horizontal="center" vertical="center" wrapText="1"/>
    </xf>
    <xf numFmtId="0" fontId="13" fillId="12" borderId="1" xfId="0" applyFont="1" applyFill="1" applyBorder="1" applyAlignment="1">
      <alignment horizontal="center" vertical="center" wrapText="1"/>
    </xf>
    <xf numFmtId="0" fontId="26" fillId="12" borderId="1" xfId="0" applyFont="1" applyFill="1" applyBorder="1" applyAlignment="1">
      <alignment horizontal="center" vertical="center" wrapText="1"/>
    </xf>
    <xf numFmtId="0" fontId="24" fillId="0" borderId="0" xfId="0" applyFont="1" applyAlignment="1">
      <alignment horizontal="center" vertical="center" wrapText="1"/>
    </xf>
    <xf numFmtId="0" fontId="24" fillId="0" borderId="1" xfId="0" applyFont="1" applyBorder="1" applyAlignment="1">
      <alignment horizontal="center" vertical="center" wrapText="1"/>
    </xf>
    <xf numFmtId="15" fontId="24" fillId="0" borderId="1" xfId="0" applyNumberFormat="1" applyFont="1" applyBorder="1" applyAlignment="1">
      <alignment horizontal="center" vertical="center" wrapText="1"/>
    </xf>
    <xf numFmtId="0" fontId="27" fillId="13" borderId="1" xfId="0" applyFont="1" applyFill="1" applyBorder="1" applyAlignment="1">
      <alignment horizontal="center" vertical="center" wrapText="1"/>
    </xf>
    <xf numFmtId="15" fontId="5" fillId="0" borderId="1" xfId="0" applyNumberFormat="1" applyFont="1" applyBorder="1" applyAlignment="1">
      <alignment horizontal="center" vertical="center" wrapText="1" indent="1"/>
    </xf>
    <xf numFmtId="0" fontId="8" fillId="0" borderId="5" xfId="0" applyFont="1" applyBorder="1" applyAlignment="1">
      <alignment horizontal="center" vertical="center"/>
    </xf>
    <xf numFmtId="0" fontId="22" fillId="0" borderId="1" xfId="0" applyFont="1" applyBorder="1" applyAlignment="1">
      <alignment horizontal="center" vertical="center" wrapText="1"/>
    </xf>
    <xf numFmtId="0" fontId="8" fillId="0" borderId="14" xfId="0" applyFont="1" applyBorder="1" applyAlignment="1">
      <alignment horizontal="center" vertical="center" wrapText="1"/>
    </xf>
    <xf numFmtId="0" fontId="6" fillId="2" borderId="3" xfId="0" applyFont="1" applyFill="1" applyBorder="1" applyAlignment="1">
      <alignment horizontal="center" vertical="center" wrapText="1"/>
    </xf>
    <xf numFmtId="0" fontId="6" fillId="12" borderId="3" xfId="0" applyFont="1" applyFill="1" applyBorder="1" applyAlignment="1">
      <alignment horizontal="center" vertical="center" wrapText="1"/>
    </xf>
    <xf numFmtId="0" fontId="6" fillId="8" borderId="3" xfId="0" applyFont="1" applyFill="1" applyBorder="1" applyAlignment="1">
      <alignment horizontal="center" vertical="center" wrapText="1"/>
    </xf>
    <xf numFmtId="0" fontId="8" fillId="0" borderId="7" xfId="0" applyFont="1" applyBorder="1" applyAlignment="1">
      <alignment horizontal="center" vertical="center"/>
    </xf>
    <xf numFmtId="0" fontId="5" fillId="13" borderId="1" xfId="0" applyFont="1" applyFill="1" applyBorder="1" applyAlignment="1">
      <alignment horizontal="center" vertical="center" wrapText="1" indent="1"/>
    </xf>
    <xf numFmtId="0" fontId="5" fillId="13" borderId="1" xfId="0" applyFont="1" applyFill="1" applyBorder="1" applyAlignment="1">
      <alignment horizontal="center" vertical="center" wrapText="1"/>
    </xf>
    <xf numFmtId="164" fontId="24" fillId="0" borderId="1" xfId="0" applyNumberFormat="1" applyFont="1" applyBorder="1" applyAlignment="1">
      <alignment horizontal="center" vertical="center" wrapText="1"/>
    </xf>
    <xf numFmtId="0" fontId="18" fillId="0" borderId="10" xfId="0" applyFont="1" applyBorder="1" applyAlignment="1">
      <alignment horizontal="center" vertical="center" wrapText="1"/>
    </xf>
    <xf numFmtId="0" fontId="24" fillId="0" borderId="5" xfId="0" applyFont="1" applyBorder="1" applyAlignment="1">
      <alignment horizontal="center" vertical="center"/>
    </xf>
    <xf numFmtId="0" fontId="18" fillId="0" borderId="11" xfId="0" applyFont="1" applyBorder="1" applyAlignment="1">
      <alignment horizontal="center" vertical="center" wrapText="1"/>
    </xf>
    <xf numFmtId="0" fontId="24" fillId="0" borderId="5" xfId="0" applyFont="1" applyBorder="1" applyAlignment="1">
      <alignment horizontal="center" vertical="center" wrapText="1"/>
    </xf>
    <xf numFmtId="164" fontId="24" fillId="0" borderId="1" xfId="0" applyNumberFormat="1" applyFont="1" applyBorder="1" applyAlignment="1">
      <alignment horizontal="center" vertical="center"/>
    </xf>
    <xf numFmtId="1" fontId="24" fillId="19" borderId="1" xfId="0" applyNumberFormat="1" applyFont="1" applyFill="1" applyBorder="1" applyAlignment="1">
      <alignment horizontal="center" vertical="center" wrapText="1"/>
    </xf>
    <xf numFmtId="0" fontId="24" fillId="0" borderId="16" xfId="0" applyFont="1" applyBorder="1" applyAlignment="1">
      <alignment horizontal="center" vertical="center"/>
    </xf>
    <xf numFmtId="15" fontId="5" fillId="0" borderId="1" xfId="0" applyNumberFormat="1" applyFont="1" applyBorder="1" applyAlignment="1">
      <alignment horizontal="center" vertical="center" wrapText="1" indent="4"/>
    </xf>
    <xf numFmtId="15" fontId="5" fillId="13" borderId="1" xfId="0" applyNumberFormat="1" applyFont="1" applyFill="1" applyBorder="1" applyAlignment="1">
      <alignment horizontal="center" vertical="center" wrapText="1"/>
    </xf>
    <xf numFmtId="0" fontId="0" fillId="13" borderId="0" xfId="0" applyFill="1" applyAlignment="1">
      <alignment horizontal="center" vertical="center"/>
    </xf>
    <xf numFmtId="0" fontId="27" fillId="0" borderId="2" xfId="0" applyFont="1" applyBorder="1" applyAlignment="1">
      <alignment horizontal="center" vertical="center" wrapText="1"/>
    </xf>
    <xf numFmtId="0" fontId="27" fillId="4" borderId="2" xfId="0" applyFont="1" applyFill="1" applyBorder="1" applyAlignment="1">
      <alignment horizontal="center" vertical="center" wrapText="1"/>
    </xf>
    <xf numFmtId="0" fontId="13" fillId="4" borderId="2" xfId="0" applyFont="1" applyFill="1" applyBorder="1" applyAlignment="1">
      <alignment horizontal="center" vertical="center" wrapText="1"/>
    </xf>
    <xf numFmtId="0" fontId="27" fillId="0" borderId="2" xfId="0" applyFont="1" applyBorder="1" applyAlignment="1">
      <alignment horizontal="left" vertical="center" wrapText="1" indent="1"/>
    </xf>
    <xf numFmtId="0" fontId="27" fillId="0" borderId="17" xfId="0" applyFont="1" applyBorder="1" applyAlignment="1">
      <alignment horizontal="left" vertical="center" wrapText="1" indent="1"/>
    </xf>
    <xf numFmtId="0" fontId="27" fillId="0" borderId="2" xfId="0" applyFont="1" applyBorder="1" applyAlignment="1">
      <alignment horizontal="left" vertical="center" wrapText="1" indent="2"/>
    </xf>
    <xf numFmtId="0" fontId="13" fillId="0" borderId="1" xfId="0" applyFont="1" applyBorder="1" applyAlignment="1">
      <alignment horizontal="left" vertical="center" wrapText="1" indent="1"/>
    </xf>
    <xf numFmtId="0" fontId="27" fillId="0" borderId="0" xfId="0" applyFont="1" applyAlignment="1">
      <alignment horizontal="center" vertical="center" wrapText="1"/>
    </xf>
    <xf numFmtId="166" fontId="13" fillId="0" borderId="1" xfId="0" applyNumberFormat="1" applyFont="1" applyBorder="1" applyAlignment="1">
      <alignment horizontal="center" vertical="center" wrapText="1"/>
    </xf>
    <xf numFmtId="0" fontId="26" fillId="0" borderId="0" xfId="0" applyFont="1" applyAlignment="1">
      <alignment horizontal="center" vertical="center" wrapText="1"/>
    </xf>
    <xf numFmtId="0" fontId="15" fillId="0" borderId="0" xfId="0" applyFont="1" applyAlignment="1">
      <alignment wrapText="1"/>
    </xf>
    <xf numFmtId="0" fontId="24" fillId="0" borderId="12" xfId="0" applyFont="1" applyBorder="1" applyAlignment="1">
      <alignment horizontal="center" vertical="center" wrapText="1"/>
    </xf>
    <xf numFmtId="0" fontId="24" fillId="4" borderId="12" xfId="0" applyFont="1" applyFill="1" applyBorder="1" applyAlignment="1">
      <alignment horizontal="center" vertical="center" wrapText="1"/>
    </xf>
    <xf numFmtId="167" fontId="24" fillId="0" borderId="12" xfId="0" applyNumberFormat="1" applyFont="1" applyBorder="1" applyAlignment="1">
      <alignment horizontal="left" vertical="center" wrapText="1" indent="1"/>
    </xf>
    <xf numFmtId="0" fontId="24" fillId="0" borderId="12" xfId="0" applyFont="1" applyBorder="1" applyAlignment="1">
      <alignment horizontal="left" vertical="center" wrapText="1" indent="1"/>
    </xf>
    <xf numFmtId="0" fontId="24" fillId="0" borderId="12" xfId="0" applyFont="1" applyBorder="1" applyAlignment="1">
      <alignment horizontal="left" vertical="center" wrapText="1" indent="2"/>
    </xf>
    <xf numFmtId="0" fontId="24" fillId="0" borderId="1" xfId="0" applyFont="1" applyBorder="1" applyAlignment="1">
      <alignment horizontal="left" vertical="center" wrapText="1" indent="1"/>
    </xf>
    <xf numFmtId="166" fontId="0" fillId="0" borderId="1" xfId="0" applyNumberFormat="1" applyBorder="1" applyAlignment="1">
      <alignment horizontal="center" wrapText="1"/>
    </xf>
    <xf numFmtId="0" fontId="0" fillId="0" borderId="0" xfId="0" applyAlignment="1">
      <alignment horizontal="center" vertical="center" wrapText="1"/>
    </xf>
    <xf numFmtId="0" fontId="0" fillId="0" borderId="0" xfId="0" applyAlignment="1">
      <alignment wrapText="1"/>
    </xf>
    <xf numFmtId="16" fontId="24" fillId="0" borderId="12" xfId="0" applyNumberFormat="1" applyFont="1" applyBorder="1" applyAlignment="1">
      <alignment horizontal="left" vertical="center" wrapText="1" indent="1"/>
    </xf>
    <xf numFmtId="15" fontId="24" fillId="0" borderId="1" xfId="0" applyNumberFormat="1" applyFont="1" applyBorder="1" applyAlignment="1">
      <alignment horizontal="left" vertical="center" wrapText="1" indent="1"/>
    </xf>
    <xf numFmtId="15" fontId="24" fillId="0" borderId="12" xfId="0" applyNumberFormat="1" applyFont="1" applyBorder="1" applyAlignment="1">
      <alignment horizontal="left" vertical="center" wrapText="1" indent="1"/>
    </xf>
    <xf numFmtId="0" fontId="24" fillId="13" borderId="12" xfId="0" applyFont="1" applyFill="1" applyBorder="1" applyAlignment="1">
      <alignment horizontal="center" vertical="center" wrapText="1"/>
    </xf>
    <xf numFmtId="0" fontId="0" fillId="0" borderId="0" xfId="0" applyAlignment="1">
      <alignment horizontal="left" wrapText="1" indent="2"/>
    </xf>
    <xf numFmtId="15" fontId="24" fillId="13" borderId="12" xfId="0" applyNumberFormat="1" applyFont="1" applyFill="1" applyBorder="1" applyAlignment="1">
      <alignment horizontal="left" vertical="center" wrapText="1" indent="1"/>
    </xf>
    <xf numFmtId="0" fontId="18" fillId="0" borderId="12" xfId="0" applyFont="1" applyBorder="1" applyAlignment="1">
      <alignment horizontal="left" vertical="center" wrapText="1" indent="2"/>
    </xf>
    <xf numFmtId="15" fontId="24" fillId="0" borderId="1" xfId="0" quotePrefix="1" applyNumberFormat="1" applyFont="1" applyBorder="1" applyAlignment="1">
      <alignment horizontal="left" vertical="center" wrapText="1" indent="1"/>
    </xf>
    <xf numFmtId="0" fontId="24" fillId="0" borderId="1" xfId="0" applyFont="1" applyBorder="1" applyAlignment="1">
      <alignment horizontal="left" vertical="center" wrapText="1" indent="2"/>
    </xf>
    <xf numFmtId="167" fontId="24" fillId="0" borderId="1" xfId="0" applyNumberFormat="1" applyFont="1" applyBorder="1" applyAlignment="1">
      <alignment horizontal="left" vertical="center" wrapText="1" indent="1"/>
    </xf>
    <xf numFmtId="0" fontId="18" fillId="4" borderId="12" xfId="0" applyFont="1" applyFill="1" applyBorder="1" applyAlignment="1">
      <alignment horizontal="center" vertical="center" wrapText="1"/>
    </xf>
    <xf numFmtId="0" fontId="24" fillId="0" borderId="12" xfId="0" quotePrefix="1" applyFont="1" applyBorder="1" applyAlignment="1">
      <alignment horizontal="left" vertical="center" wrapText="1" indent="1"/>
    </xf>
    <xf numFmtId="0" fontId="18" fillId="0" borderId="12" xfId="0" applyFont="1" applyBorder="1" applyAlignment="1">
      <alignment horizontal="center" vertical="center" wrapText="1"/>
    </xf>
    <xf numFmtId="168" fontId="24" fillId="0" borderId="12" xfId="0" applyNumberFormat="1" applyFont="1" applyBorder="1" applyAlignment="1">
      <alignment horizontal="left" vertical="center" wrapText="1" indent="1"/>
    </xf>
    <xf numFmtId="168" fontId="24" fillId="0" borderId="1" xfId="0" applyNumberFormat="1" applyFont="1" applyBorder="1" applyAlignment="1">
      <alignment horizontal="left" vertical="center" wrapText="1" indent="1"/>
    </xf>
    <xf numFmtId="15" fontId="24" fillId="0" borderId="12" xfId="0" quotePrefix="1" applyNumberFormat="1" applyFont="1" applyBorder="1" applyAlignment="1">
      <alignment horizontal="left" vertical="center" wrapText="1" indent="1"/>
    </xf>
    <xf numFmtId="166" fontId="15" fillId="0" borderId="1" xfId="0" applyNumberFormat="1" applyFont="1" applyBorder="1" applyAlignment="1">
      <alignment horizontal="center" wrapText="1"/>
    </xf>
    <xf numFmtId="0" fontId="24" fillId="0" borderId="1" xfId="0" quotePrefix="1" applyFont="1" applyBorder="1" applyAlignment="1">
      <alignment horizontal="left" vertical="center" wrapText="1" indent="1"/>
    </xf>
    <xf numFmtId="0" fontId="24" fillId="0" borderId="13" xfId="0" applyFont="1" applyBorder="1" applyAlignment="1">
      <alignment horizontal="left" vertical="center" wrapText="1" indent="2"/>
    </xf>
    <xf numFmtId="0" fontId="24" fillId="0" borderId="4" xfId="0" quotePrefix="1" applyFont="1" applyBorder="1" applyAlignment="1">
      <alignment horizontal="left" vertical="center" wrapText="1" indent="1"/>
    </xf>
    <xf numFmtId="15" fontId="24" fillId="0" borderId="2" xfId="0" applyNumberFormat="1" applyFont="1" applyBorder="1" applyAlignment="1">
      <alignment horizontal="left" vertical="center" wrapText="1" indent="1"/>
    </xf>
    <xf numFmtId="167" fontId="24" fillId="0" borderId="4" xfId="0" applyNumberFormat="1" applyFont="1" applyBorder="1" applyAlignment="1">
      <alignment horizontal="left" vertical="center" wrapText="1" indent="1"/>
    </xf>
    <xf numFmtId="167" fontId="24" fillId="0" borderId="2" xfId="0" applyNumberFormat="1" applyFont="1" applyBorder="1" applyAlignment="1">
      <alignment horizontal="left" vertical="center" wrapText="1" indent="1"/>
    </xf>
    <xf numFmtId="0" fontId="24" fillId="0" borderId="13" xfId="0" applyFont="1" applyBorder="1" applyAlignment="1">
      <alignment horizontal="left" vertical="center" wrapText="1" indent="1"/>
    </xf>
    <xf numFmtId="15" fontId="18" fillId="0" borderId="1" xfId="0" applyNumberFormat="1" applyFont="1" applyBorder="1" applyAlignment="1">
      <alignment horizontal="left" vertical="center" indent="2"/>
    </xf>
    <xf numFmtId="168" fontId="24" fillId="0" borderId="4" xfId="0" applyNumberFormat="1" applyFont="1" applyBorder="1" applyAlignment="1">
      <alignment horizontal="left" vertical="center" wrapText="1" indent="1"/>
    </xf>
    <xf numFmtId="0" fontId="24" fillId="0" borderId="2" xfId="0" quotePrefix="1" applyFont="1" applyBorder="1" applyAlignment="1">
      <alignment horizontal="left" vertical="center" wrapText="1" indent="1"/>
    </xf>
    <xf numFmtId="0" fontId="18" fillId="0" borderId="0" xfId="0" applyFont="1" applyAlignment="1">
      <alignment horizontal="left" vertical="center" indent="2"/>
    </xf>
    <xf numFmtId="0" fontId="24" fillId="0" borderId="13" xfId="0" applyFont="1" applyBorder="1" applyAlignment="1">
      <alignment horizontal="center" vertical="center" wrapText="1"/>
    </xf>
    <xf numFmtId="0" fontId="24" fillId="0" borderId="4" xfId="0" applyFont="1" applyBorder="1" applyAlignment="1">
      <alignment horizontal="center" vertical="center" wrapText="1"/>
    </xf>
    <xf numFmtId="0" fontId="18" fillId="0" borderId="1" xfId="0" applyFont="1" applyBorder="1" applyAlignment="1">
      <alignment horizontal="left" vertical="center" wrapText="1" indent="2"/>
    </xf>
    <xf numFmtId="15" fontId="24" fillId="0" borderId="2" xfId="0" quotePrefix="1" applyNumberFormat="1" applyFont="1" applyBorder="1" applyAlignment="1">
      <alignment horizontal="left" vertical="center" wrapText="1" indent="1"/>
    </xf>
    <xf numFmtId="167" fontId="24" fillId="0" borderId="13" xfId="0" applyNumberFormat="1" applyFont="1" applyBorder="1" applyAlignment="1">
      <alignment horizontal="left" vertical="center" wrapText="1" indent="1"/>
    </xf>
    <xf numFmtId="167" fontId="24" fillId="0" borderId="3" xfId="0" applyNumberFormat="1" applyFont="1" applyBorder="1" applyAlignment="1">
      <alignment horizontal="left" vertical="center" wrapText="1" indent="1"/>
    </xf>
    <xf numFmtId="0" fontId="24" fillId="0" borderId="3" xfId="0" applyFont="1" applyBorder="1" applyAlignment="1">
      <alignment horizontal="center" vertical="center" wrapText="1"/>
    </xf>
    <xf numFmtId="0" fontId="24" fillId="0" borderId="7" xfId="0" applyFont="1" applyBorder="1" applyAlignment="1">
      <alignment horizontal="center" vertical="center" wrapText="1"/>
    </xf>
    <xf numFmtId="0" fontId="18" fillId="0" borderId="1" xfId="0" quotePrefix="1" applyFont="1" applyBorder="1" applyAlignment="1">
      <alignment horizontal="left" vertical="center" wrapText="1" indent="1"/>
    </xf>
    <xf numFmtId="15" fontId="18" fillId="0" borderId="1" xfId="0" quotePrefix="1" applyNumberFormat="1" applyFont="1" applyBorder="1" applyAlignment="1">
      <alignment horizontal="left" vertical="center" wrapText="1" indent="1"/>
    </xf>
    <xf numFmtId="0" fontId="18" fillId="0" borderId="5" xfId="0" applyFont="1" applyBorder="1" applyAlignment="1">
      <alignment horizontal="center" vertical="center" wrapText="1"/>
    </xf>
    <xf numFmtId="15" fontId="24" fillId="0" borderId="14" xfId="0" applyNumberFormat="1" applyFont="1" applyBorder="1" applyAlignment="1">
      <alignment horizontal="left" vertical="center" wrapText="1" indent="1"/>
    </xf>
    <xf numFmtId="0" fontId="24" fillId="0" borderId="14" xfId="0" applyFont="1" applyBorder="1" applyAlignment="1">
      <alignment horizontal="center" vertical="center" wrapText="1"/>
    </xf>
    <xf numFmtId="0" fontId="24" fillId="0" borderId="6" xfId="0" applyFont="1" applyBorder="1" applyAlignment="1">
      <alignment horizontal="center" vertical="center" wrapText="1"/>
    </xf>
    <xf numFmtId="0" fontId="18" fillId="0" borderId="0" xfId="0" applyFont="1" applyAlignment="1">
      <alignment horizontal="left" wrapText="1" indent="2"/>
    </xf>
    <xf numFmtId="0" fontId="24" fillId="22" borderId="12" xfId="0" applyFont="1" applyFill="1" applyBorder="1" applyAlignment="1">
      <alignment horizontal="center" vertical="center" wrapText="1"/>
    </xf>
    <xf numFmtId="0" fontId="18" fillId="0" borderId="0" xfId="0" applyFont="1" applyAlignment="1">
      <alignment horizontal="left" vertical="center" wrapText="1" indent="2"/>
    </xf>
    <xf numFmtId="15" fontId="18" fillId="0" borderId="1" xfId="0" applyNumberFormat="1" applyFont="1" applyBorder="1" applyAlignment="1">
      <alignment horizontal="left" vertical="center" wrapText="1" indent="2"/>
    </xf>
    <xf numFmtId="15" fontId="24" fillId="0" borderId="2" xfId="0" applyNumberFormat="1" applyFont="1" applyBorder="1" applyAlignment="1">
      <alignment horizontal="center" vertical="center" wrapText="1"/>
    </xf>
    <xf numFmtId="167" fontId="18" fillId="0" borderId="12" xfId="0" applyNumberFormat="1" applyFont="1" applyBorder="1" applyAlignment="1">
      <alignment horizontal="left" vertical="center" wrapText="1" indent="1"/>
    </xf>
    <xf numFmtId="15" fontId="24" fillId="0" borderId="4" xfId="0" applyNumberFormat="1" applyFont="1" applyBorder="1" applyAlignment="1">
      <alignment horizontal="left" vertical="center" wrapText="1" indent="1"/>
    </xf>
    <xf numFmtId="0" fontId="18" fillId="0" borderId="1" xfId="0" applyFont="1" applyBorder="1" applyAlignment="1">
      <alignment horizontal="left" vertical="center" indent="2"/>
    </xf>
    <xf numFmtId="166" fontId="0" fillId="0" borderId="5" xfId="0" applyNumberFormat="1" applyBorder="1" applyAlignment="1">
      <alignment horizontal="center" wrapText="1"/>
    </xf>
    <xf numFmtId="0" fontId="0" fillId="23" borderId="1" xfId="0" applyFill="1" applyBorder="1" applyAlignment="1">
      <alignment horizontal="center" vertical="center" wrapText="1"/>
    </xf>
    <xf numFmtId="15" fontId="24" fillId="0" borderId="12" xfId="0" applyNumberFormat="1" applyFont="1" applyBorder="1" applyAlignment="1">
      <alignment horizontal="center" vertical="center" wrapText="1"/>
    </xf>
    <xf numFmtId="0" fontId="27" fillId="0" borderId="12" xfId="0" applyFont="1" applyBorder="1" applyAlignment="1">
      <alignment horizontal="left" vertical="center" wrapText="1" indent="1"/>
    </xf>
    <xf numFmtId="0" fontId="27" fillId="0" borderId="12" xfId="0" applyFont="1" applyBorder="1" applyAlignment="1">
      <alignment horizontal="left" vertical="center" wrapText="1" indent="2"/>
    </xf>
    <xf numFmtId="0" fontId="24" fillId="4" borderId="13" xfId="0" applyFont="1" applyFill="1" applyBorder="1" applyAlignment="1">
      <alignment horizontal="center" vertical="center" wrapText="1"/>
    </xf>
    <xf numFmtId="0" fontId="24" fillId="4" borderId="4" xfId="0" applyFont="1" applyFill="1" applyBorder="1" applyAlignment="1">
      <alignment horizontal="center" vertical="center" wrapText="1"/>
    </xf>
    <xf numFmtId="0" fontId="24" fillId="4" borderId="1" xfId="0" applyFont="1" applyFill="1" applyBorder="1" applyAlignment="1">
      <alignment horizontal="center" vertical="center" wrapText="1"/>
    </xf>
    <xf numFmtId="0" fontId="24" fillId="4" borderId="5" xfId="0" applyFont="1" applyFill="1" applyBorder="1" applyAlignment="1">
      <alignment horizontal="center" vertical="center" wrapText="1"/>
    </xf>
    <xf numFmtId="0" fontId="24" fillId="0" borderId="2" xfId="0" applyFont="1" applyBorder="1" applyAlignment="1">
      <alignment horizontal="center" vertical="center" wrapText="1"/>
    </xf>
    <xf numFmtId="0" fontId="24" fillId="24" borderId="12" xfId="0" applyFont="1" applyFill="1" applyBorder="1" applyAlignment="1">
      <alignment horizontal="left" vertical="center" wrapText="1" indent="2"/>
    </xf>
    <xf numFmtId="0" fontId="24" fillId="4" borderId="14" xfId="0" applyFont="1" applyFill="1" applyBorder="1" applyAlignment="1">
      <alignment horizontal="center" vertical="center" wrapText="1"/>
    </xf>
    <xf numFmtId="0" fontId="18" fillId="0" borderId="1" xfId="0" applyFont="1" applyBorder="1" applyAlignment="1">
      <alignment horizontal="left" wrapText="1" indent="2"/>
    </xf>
    <xf numFmtId="0" fontId="24" fillId="0" borderId="4" xfId="0" applyFont="1" applyBorder="1" applyAlignment="1">
      <alignment horizontal="left" vertical="center" wrapText="1" indent="1"/>
    </xf>
    <xf numFmtId="0" fontId="24" fillId="0" borderId="2" xfId="0" applyFont="1" applyBorder="1" applyAlignment="1">
      <alignment horizontal="left" vertical="center" wrapText="1" indent="1"/>
    </xf>
    <xf numFmtId="15" fontId="24" fillId="0" borderId="0" xfId="0" applyNumberFormat="1" applyFont="1" applyAlignment="1">
      <alignment horizontal="left" vertical="center" wrapText="1" indent="1"/>
    </xf>
    <xf numFmtId="0" fontId="18" fillId="0" borderId="1" xfId="0" applyFont="1" applyBorder="1" applyAlignment="1">
      <alignment horizontal="left" indent="2"/>
    </xf>
    <xf numFmtId="0" fontId="24" fillId="0" borderId="14" xfId="0" applyFont="1" applyBorder="1" applyAlignment="1">
      <alignment horizontal="left" vertical="center" wrapText="1" indent="2"/>
    </xf>
    <xf numFmtId="15" fontId="24" fillId="0" borderId="13" xfId="0" applyNumberFormat="1" applyFont="1" applyBorder="1" applyAlignment="1">
      <alignment horizontal="left" vertical="center" wrapText="1" indent="1"/>
    </xf>
    <xf numFmtId="0" fontId="24" fillId="0" borderId="3" xfId="0" applyFont="1" applyBorder="1" applyAlignment="1">
      <alignment horizontal="left" vertical="center" wrapText="1" indent="1"/>
    </xf>
    <xf numFmtId="0" fontId="24" fillId="0" borderId="14" xfId="0" applyFont="1" applyBorder="1" applyAlignment="1">
      <alignment horizontal="left" vertical="center" wrapText="1" indent="1"/>
    </xf>
    <xf numFmtId="0" fontId="24" fillId="0" borderId="18" xfId="0" applyFont="1" applyBorder="1" applyAlignment="1">
      <alignment horizontal="left" vertical="center" wrapText="1" indent="1"/>
    </xf>
    <xf numFmtId="17" fontId="24" fillId="0" borderId="1" xfId="0" applyNumberFormat="1" applyFont="1" applyBorder="1" applyAlignment="1">
      <alignment horizontal="center" vertical="center" wrapText="1"/>
    </xf>
    <xf numFmtId="15" fontId="28" fillId="0" borderId="1" xfId="0" applyNumberFormat="1" applyFont="1" applyBorder="1" applyAlignment="1">
      <alignment horizontal="left" vertical="center" wrapText="1" indent="1"/>
    </xf>
    <xf numFmtId="0" fontId="24" fillId="0" borderId="1" xfId="0" applyFont="1" applyBorder="1" applyAlignment="1">
      <alignment horizontal="left" wrapText="1" indent="2"/>
    </xf>
    <xf numFmtId="0" fontId="18" fillId="0" borderId="14" xfId="0" applyFont="1" applyBorder="1" applyAlignment="1">
      <alignment horizontal="left" wrapText="1" indent="2"/>
    </xf>
    <xf numFmtId="0" fontId="29" fillId="0" borderId="1" xfId="0" applyFont="1" applyBorder="1" applyAlignment="1">
      <alignment horizontal="left" indent="2"/>
    </xf>
    <xf numFmtId="0" fontId="25" fillId="0" borderId="0" xfId="0" applyFont="1" applyAlignment="1">
      <alignment horizontal="left" indent="2"/>
    </xf>
    <xf numFmtId="0" fontId="19" fillId="0" borderId="0" xfId="0" applyFont="1" applyAlignment="1">
      <alignment horizontal="left" indent="2"/>
    </xf>
    <xf numFmtId="0" fontId="0" fillId="24" borderId="0" xfId="0" applyFill="1" applyAlignment="1">
      <alignment horizontal="left" wrapText="1" indent="2"/>
    </xf>
    <xf numFmtId="0" fontId="24" fillId="0" borderId="0" xfId="0" applyFont="1" applyAlignment="1">
      <alignment horizontal="left" vertical="center" wrapText="1" indent="2"/>
    </xf>
    <xf numFmtId="15" fontId="0" fillId="0" borderId="0" xfId="0" applyNumberFormat="1" applyAlignment="1">
      <alignment horizontal="left" wrapText="1" indent="1"/>
    </xf>
    <xf numFmtId="15" fontId="24" fillId="0" borderId="3" xfId="0" applyNumberFormat="1" applyFont="1" applyBorder="1" applyAlignment="1">
      <alignment horizontal="left" vertical="center" wrapText="1" indent="1"/>
    </xf>
    <xf numFmtId="0" fontId="24" fillId="24" borderId="12" xfId="0" applyFont="1" applyFill="1" applyBorder="1" applyAlignment="1">
      <alignment horizontal="center" vertical="center" wrapText="1"/>
    </xf>
    <xf numFmtId="15" fontId="24" fillId="24" borderId="12" xfId="0" applyNumberFormat="1" applyFont="1" applyFill="1" applyBorder="1" applyAlignment="1">
      <alignment horizontal="left" vertical="center" wrapText="1" indent="1"/>
    </xf>
    <xf numFmtId="15" fontId="24" fillId="0" borderId="12" xfId="0" applyNumberFormat="1" applyFont="1" applyBorder="1" applyAlignment="1">
      <alignment horizontal="left" vertical="center" wrapText="1" indent="2"/>
    </xf>
    <xf numFmtId="0" fontId="19" fillId="0" borderId="0" xfId="0" applyFont="1" applyAlignment="1">
      <alignment horizontal="left" indent="3"/>
    </xf>
    <xf numFmtId="15" fontId="24" fillId="0" borderId="1" xfId="0" applyNumberFormat="1" applyFont="1" applyBorder="1" applyAlignment="1">
      <alignment horizontal="left" vertical="center" wrapText="1" indent="2"/>
    </xf>
    <xf numFmtId="0" fontId="24" fillId="0" borderId="12" xfId="0" applyFont="1" applyBorder="1" applyAlignment="1">
      <alignment horizontal="left" vertical="center" wrapText="1" indent="3"/>
    </xf>
    <xf numFmtId="15" fontId="24" fillId="0" borderId="4" xfId="0" applyNumberFormat="1" applyFont="1" applyBorder="1" applyAlignment="1">
      <alignment horizontal="left" vertical="center" wrapText="1" indent="2"/>
    </xf>
    <xf numFmtId="0" fontId="18" fillId="0" borderId="1" xfId="0" applyFont="1" applyBorder="1" applyAlignment="1">
      <alignment horizontal="left" vertical="center" indent="3"/>
    </xf>
    <xf numFmtId="15" fontId="24" fillId="0" borderId="2" xfId="0" applyNumberFormat="1" applyFont="1" applyBorder="1" applyAlignment="1">
      <alignment horizontal="left" vertical="center" wrapText="1" indent="2"/>
    </xf>
    <xf numFmtId="0" fontId="24" fillId="0" borderId="2" xfId="0" applyFont="1" applyBorder="1" applyAlignment="1">
      <alignment horizontal="left" vertical="center" wrapText="1" indent="2"/>
    </xf>
    <xf numFmtId="0" fontId="24" fillId="0" borderId="1" xfId="0" applyFont="1" applyBorder="1" applyAlignment="1">
      <alignment horizontal="left" vertical="center" wrapText="1" indent="3"/>
    </xf>
    <xf numFmtId="0" fontId="24" fillId="0" borderId="4" xfId="0" applyFont="1" applyBorder="1" applyAlignment="1">
      <alignment horizontal="left" vertical="center" wrapText="1" indent="2"/>
    </xf>
    <xf numFmtId="0" fontId="30" fillId="0" borderId="12" xfId="0" applyFont="1" applyBorder="1" applyAlignment="1">
      <alignment horizontal="left" vertical="center" wrapText="1" indent="3"/>
    </xf>
    <xf numFmtId="0" fontId="31" fillId="0" borderId="0" xfId="0" applyFont="1" applyAlignment="1">
      <alignment horizontal="left" indent="3"/>
    </xf>
    <xf numFmtId="167" fontId="24" fillId="0" borderId="12" xfId="0" applyNumberFormat="1" applyFont="1" applyBorder="1" applyAlignment="1">
      <alignment horizontal="left" vertical="center" wrapText="1" indent="2"/>
    </xf>
    <xf numFmtId="0" fontId="25" fillId="0" borderId="1" xfId="0" applyFont="1" applyBorder="1" applyAlignment="1">
      <alignment horizontal="left" indent="3"/>
    </xf>
    <xf numFmtId="0" fontId="24" fillId="0" borderId="3" xfId="0" applyFont="1" applyBorder="1" applyAlignment="1">
      <alignment horizontal="left" vertical="center" wrapText="1" indent="2"/>
    </xf>
    <xf numFmtId="167" fontId="24" fillId="0" borderId="4" xfId="0" applyNumberFormat="1" applyFont="1" applyBorder="1" applyAlignment="1">
      <alignment horizontal="left" vertical="center" wrapText="1" indent="2"/>
    </xf>
    <xf numFmtId="0" fontId="25" fillId="0" borderId="0" xfId="0" applyFont="1" applyAlignment="1">
      <alignment horizontal="left" indent="3"/>
    </xf>
    <xf numFmtId="0" fontId="24" fillId="0" borderId="3" xfId="0" applyFont="1" applyBorder="1" applyAlignment="1">
      <alignment horizontal="left" vertical="center" wrapText="1" indent="3"/>
    </xf>
    <xf numFmtId="15" fontId="24" fillId="0" borderId="7" xfId="0" applyNumberFormat="1" applyFont="1" applyBorder="1" applyAlignment="1">
      <alignment horizontal="left" vertical="center" wrapText="1" indent="2"/>
    </xf>
    <xf numFmtId="0" fontId="19" fillId="3" borderId="1" xfId="0" applyFont="1" applyFill="1" applyBorder="1" applyAlignment="1">
      <alignment horizontal="left" wrapText="1" indent="3"/>
    </xf>
    <xf numFmtId="15" fontId="24" fillId="0" borderId="15" xfId="0" applyNumberFormat="1" applyFont="1" applyBorder="1" applyAlignment="1">
      <alignment horizontal="left" vertical="center" wrapText="1" indent="2"/>
    </xf>
    <xf numFmtId="15" fontId="24" fillId="0" borderId="5" xfId="0" applyNumberFormat="1" applyFont="1" applyBorder="1" applyAlignment="1">
      <alignment horizontal="left" vertical="center" wrapText="1" indent="2"/>
    </xf>
    <xf numFmtId="16" fontId="24" fillId="0" borderId="19" xfId="0" applyNumberFormat="1" applyFont="1" applyBorder="1" applyAlignment="1">
      <alignment horizontal="left" vertical="center" wrapText="1" indent="2"/>
    </xf>
    <xf numFmtId="0" fontId="19" fillId="0" borderId="1" xfId="0" applyFont="1" applyBorder="1" applyAlignment="1">
      <alignment horizontal="left" indent="3"/>
    </xf>
    <xf numFmtId="15" fontId="24" fillId="0" borderId="13" xfId="0" applyNumberFormat="1" applyFont="1" applyBorder="1" applyAlignment="1">
      <alignment horizontal="left" vertical="center" wrapText="1" indent="2"/>
    </xf>
    <xf numFmtId="15" fontId="24" fillId="0" borderId="0" xfId="0" applyNumberFormat="1" applyFont="1" applyAlignment="1">
      <alignment horizontal="left" vertical="center" wrapText="1" indent="2"/>
    </xf>
    <xf numFmtId="0" fontId="24" fillId="0" borderId="15" xfId="0" applyFont="1" applyBorder="1" applyAlignment="1">
      <alignment horizontal="left" vertical="center" wrapText="1" indent="1"/>
    </xf>
    <xf numFmtId="0" fontId="18" fillId="3" borderId="1" xfId="0" applyFont="1" applyFill="1" applyBorder="1" applyAlignment="1">
      <alignment horizontal="left" wrapText="1" indent="3"/>
    </xf>
    <xf numFmtId="15" fontId="24" fillId="0" borderId="6" xfId="0" applyNumberFormat="1" applyFont="1" applyBorder="1" applyAlignment="1">
      <alignment horizontal="left" vertical="center" wrapText="1" indent="2"/>
    </xf>
    <xf numFmtId="0" fontId="0" fillId="0" borderId="1" xfId="0" applyBorder="1" applyAlignment="1">
      <alignment horizontal="left" wrapText="1" indent="3"/>
    </xf>
    <xf numFmtId="15" fontId="24" fillId="0" borderId="4" xfId="0" applyNumberFormat="1" applyFont="1" applyBorder="1" applyAlignment="1">
      <alignment horizontal="left" vertical="center" wrapText="1" indent="4"/>
    </xf>
    <xf numFmtId="15" fontId="24" fillId="0" borderId="5" xfId="0" applyNumberFormat="1" applyFont="1" applyBorder="1" applyAlignment="1">
      <alignment horizontal="left" vertical="center" wrapText="1" indent="4"/>
    </xf>
    <xf numFmtId="15" fontId="24" fillId="0" borderId="2" xfId="0" applyNumberFormat="1" applyFont="1" applyBorder="1" applyAlignment="1">
      <alignment horizontal="left" vertical="center" wrapText="1" indent="4"/>
    </xf>
    <xf numFmtId="0" fontId="24" fillId="0" borderId="2" xfId="0" applyFont="1" applyBorder="1" applyAlignment="1">
      <alignment horizontal="left" vertical="center" wrapText="1" indent="3"/>
    </xf>
    <xf numFmtId="0" fontId="24" fillId="0" borderId="1" xfId="0" applyFont="1" applyBorder="1" applyAlignment="1">
      <alignment horizontal="left" vertical="center" wrapText="1" indent="5"/>
    </xf>
    <xf numFmtId="0" fontId="16" fillId="0" borderId="1" xfId="0" applyFont="1" applyBorder="1" applyAlignment="1">
      <alignment horizontal="left" wrapText="1" indent="5"/>
    </xf>
    <xf numFmtId="0" fontId="23" fillId="0" borderId="1" xfId="0" applyFont="1" applyBorder="1" applyAlignment="1">
      <alignment horizontal="left" indent="5"/>
    </xf>
    <xf numFmtId="0" fontId="19" fillId="0" borderId="1" xfId="0" applyFont="1" applyBorder="1" applyAlignment="1">
      <alignment horizontal="left" indent="5"/>
    </xf>
    <xf numFmtId="0" fontId="25" fillId="0" borderId="1" xfId="0" applyFont="1" applyBorder="1" applyAlignment="1">
      <alignment horizontal="left" wrapText="1" indent="5"/>
    </xf>
    <xf numFmtId="15" fontId="24" fillId="0" borderId="12" xfId="0" applyNumberFormat="1" applyFont="1" applyBorder="1" applyAlignment="1">
      <alignment horizontal="left" vertical="center" wrapText="1" indent="4"/>
    </xf>
    <xf numFmtId="15" fontId="24" fillId="0" borderId="1" xfId="0" applyNumberFormat="1" applyFont="1" applyBorder="1" applyAlignment="1">
      <alignment horizontal="left" vertical="center" wrapText="1" indent="3"/>
    </xf>
    <xf numFmtId="15" fontId="24" fillId="0" borderId="12" xfId="0" applyNumberFormat="1" applyFont="1" applyBorder="1" applyAlignment="1">
      <alignment horizontal="left" vertical="center" wrapText="1" indent="3"/>
    </xf>
    <xf numFmtId="0" fontId="18" fillId="0" borderId="0" xfId="0" applyFont="1" applyAlignment="1">
      <alignment horizontal="left" vertical="center" indent="3"/>
    </xf>
    <xf numFmtId="0" fontId="18" fillId="0" borderId="1" xfId="0" applyFont="1" applyBorder="1" applyAlignment="1">
      <alignment horizontal="left" indent="3"/>
    </xf>
    <xf numFmtId="0" fontId="19" fillId="0" borderId="0" xfId="0" applyFont="1" applyAlignment="1">
      <alignment horizontal="left" wrapText="1" indent="3"/>
    </xf>
    <xf numFmtId="0" fontId="24" fillId="0" borderId="13" xfId="0" applyFont="1" applyBorder="1" applyAlignment="1">
      <alignment horizontal="left" vertical="center" wrapText="1" indent="3"/>
    </xf>
    <xf numFmtId="15" fontId="24" fillId="0" borderId="3" xfId="0" applyNumberFormat="1" applyFont="1" applyBorder="1" applyAlignment="1">
      <alignment horizontal="left" vertical="center" wrapText="1" indent="2"/>
    </xf>
    <xf numFmtId="166" fontId="0" fillId="0" borderId="3" xfId="0" applyNumberFormat="1" applyBorder="1" applyAlignment="1">
      <alignment horizontal="center" wrapText="1"/>
    </xf>
    <xf numFmtId="166" fontId="0" fillId="0" borderId="14" xfId="0" applyNumberFormat="1" applyBorder="1" applyAlignment="1">
      <alignment horizontal="center" wrapText="1"/>
    </xf>
    <xf numFmtId="15" fontId="24" fillId="13" borderId="12" xfId="0" applyNumberFormat="1" applyFont="1" applyFill="1" applyBorder="1" applyAlignment="1">
      <alignment horizontal="left" vertical="center" wrapText="1" indent="2"/>
    </xf>
    <xf numFmtId="0" fontId="24" fillId="13" borderId="12" xfId="0" applyFont="1" applyFill="1" applyBorder="1" applyAlignment="1">
      <alignment horizontal="left" vertical="center" wrapText="1" indent="3"/>
    </xf>
    <xf numFmtId="15" fontId="24" fillId="13" borderId="1" xfId="0" applyNumberFormat="1" applyFont="1" applyFill="1" applyBorder="1" applyAlignment="1">
      <alignment horizontal="left" vertical="center" wrapText="1" indent="2"/>
    </xf>
    <xf numFmtId="0" fontId="24" fillId="13" borderId="1" xfId="0" applyFont="1" applyFill="1" applyBorder="1" applyAlignment="1">
      <alignment horizontal="left" vertical="center" wrapText="1" indent="1"/>
    </xf>
    <xf numFmtId="0" fontId="24" fillId="13" borderId="1" xfId="0" applyFont="1" applyFill="1" applyBorder="1" applyAlignment="1">
      <alignment horizontal="center" vertical="center" wrapText="1"/>
    </xf>
    <xf numFmtId="0" fontId="24" fillId="13" borderId="5" xfId="0" applyFont="1" applyFill="1" applyBorder="1" applyAlignment="1">
      <alignment horizontal="center" vertical="center" wrapText="1"/>
    </xf>
    <xf numFmtId="166" fontId="0" fillId="13" borderId="1" xfId="0" applyNumberFormat="1" applyFill="1" applyBorder="1" applyAlignment="1">
      <alignment horizontal="center" wrapText="1"/>
    </xf>
    <xf numFmtId="0" fontId="0" fillId="13" borderId="0" xfId="0" applyFill="1" applyAlignment="1">
      <alignment horizontal="center" vertical="center" wrapText="1"/>
    </xf>
    <xf numFmtId="0" fontId="0" fillId="13" borderId="0" xfId="0" applyFill="1" applyAlignment="1">
      <alignment wrapText="1"/>
    </xf>
    <xf numFmtId="0" fontId="8" fillId="13" borderId="1" xfId="0" applyFont="1" applyFill="1" applyBorder="1" applyAlignment="1">
      <alignment horizontal="center" vertical="center" wrapText="1"/>
    </xf>
    <xf numFmtId="3" fontId="8" fillId="13" borderId="1" xfId="0" applyNumberFormat="1" applyFont="1" applyFill="1" applyBorder="1" applyAlignment="1">
      <alignment horizontal="center" vertical="center"/>
    </xf>
    <xf numFmtId="10" fontId="8" fillId="0" borderId="1" xfId="0" applyNumberFormat="1" applyFont="1" applyBorder="1" applyAlignment="1">
      <alignment horizontal="center" vertical="center" wrapText="1"/>
    </xf>
    <xf numFmtId="0" fontId="5" fillId="24" borderId="1" xfId="0" applyFont="1" applyFill="1" applyBorder="1" applyAlignment="1">
      <alignment horizontal="center" vertical="center" wrapText="1"/>
    </xf>
    <xf numFmtId="0" fontId="0" fillId="24" borderId="0" xfId="0" applyFill="1" applyAlignment="1">
      <alignment horizontal="center" vertical="center"/>
    </xf>
    <xf numFmtId="0" fontId="24" fillId="0" borderId="0" xfId="0" applyFont="1" applyAlignment="1">
      <alignment horizontal="center" vertical="center"/>
    </xf>
    <xf numFmtId="0" fontId="6" fillId="12" borderId="3" xfId="0" applyFont="1" applyFill="1" applyBorder="1" applyAlignment="1">
      <alignment horizontal="center" vertical="center" wrapText="1" indent="2"/>
    </xf>
    <xf numFmtId="0" fontId="8" fillId="0" borderId="1" xfId="0" applyFont="1" applyBorder="1" applyAlignment="1">
      <alignment horizontal="center" vertical="center" indent="2"/>
    </xf>
    <xf numFmtId="164" fontId="8" fillId="0" borderId="1" xfId="0" applyNumberFormat="1" applyFont="1" applyBorder="1" applyAlignment="1">
      <alignment horizontal="center" vertical="center" indent="2"/>
    </xf>
    <xf numFmtId="0" fontId="8" fillId="0" borderId="2" xfId="0" applyFont="1" applyBorder="1" applyAlignment="1">
      <alignment horizontal="center" vertical="center" indent="2"/>
    </xf>
    <xf numFmtId="0" fontId="8" fillId="0" borderId="3" xfId="0" applyFont="1" applyBorder="1" applyAlignment="1">
      <alignment horizontal="center" vertical="center" indent="2"/>
    </xf>
    <xf numFmtId="164" fontId="8" fillId="0" borderId="3" xfId="0" applyNumberFormat="1" applyFont="1" applyBorder="1" applyAlignment="1">
      <alignment horizontal="center" vertical="center" indent="2"/>
    </xf>
    <xf numFmtId="164" fontId="8" fillId="0" borderId="2" xfId="0" applyNumberFormat="1" applyFont="1" applyBorder="1" applyAlignment="1">
      <alignment horizontal="center" vertical="center" indent="2"/>
    </xf>
    <xf numFmtId="0" fontId="8" fillId="0" borderId="14" xfId="0" applyFont="1" applyBorder="1" applyAlignment="1">
      <alignment horizontal="center" vertical="center" indent="2"/>
    </xf>
    <xf numFmtId="0" fontId="8" fillId="0" borderId="0" xfId="0" applyFont="1" applyAlignment="1">
      <alignment horizontal="center" vertical="center" indent="2"/>
    </xf>
    <xf numFmtId="0" fontId="8" fillId="0" borderId="7" xfId="0" applyFont="1" applyBorder="1" applyAlignment="1">
      <alignment horizontal="center" vertical="center" wrapText="1"/>
    </xf>
    <xf numFmtId="0" fontId="24" fillId="25" borderId="1" xfId="0" applyFont="1" applyFill="1" applyBorder="1" applyAlignment="1">
      <alignment horizontal="center" vertical="center" wrapText="1"/>
    </xf>
    <xf numFmtId="1" fontId="8" fillId="0" borderId="1" xfId="0" applyNumberFormat="1" applyFont="1" applyBorder="1" applyAlignment="1">
      <alignment horizontal="center" vertical="center" wrapText="1"/>
    </xf>
    <xf numFmtId="15" fontId="24" fillId="0" borderId="1" xfId="0" applyNumberFormat="1" applyFont="1" applyBorder="1" applyAlignment="1">
      <alignment horizontal="center" vertical="center"/>
    </xf>
    <xf numFmtId="0" fontId="13" fillId="23" borderId="3" xfId="0" applyFont="1" applyFill="1" applyBorder="1" applyAlignment="1">
      <alignment horizontal="center" vertical="center" wrapText="1"/>
    </xf>
    <xf numFmtId="0" fontId="13" fillId="4" borderId="3" xfId="0" applyFont="1" applyFill="1" applyBorder="1" applyAlignment="1">
      <alignment horizontal="center" vertical="center" wrapText="1"/>
    </xf>
    <xf numFmtId="0" fontId="13" fillId="0" borderId="3" xfId="0" applyFont="1" applyBorder="1" applyAlignment="1">
      <alignment horizontal="center" vertical="center" wrapText="1"/>
    </xf>
    <xf numFmtId="0" fontId="8" fillId="0" borderId="1" xfId="0" applyFont="1" applyBorder="1" applyAlignment="1">
      <alignment horizontal="center" vertical="center" indent="1" readingOrder="1"/>
    </xf>
    <xf numFmtId="0" fontId="8" fillId="0" borderId="8" xfId="0" applyFont="1" applyBorder="1" applyAlignment="1">
      <alignment horizontal="center" vertical="center" indent="1" readingOrder="1"/>
    </xf>
    <xf numFmtId="0" fontId="9" fillId="0" borderId="11" xfId="0" applyFont="1" applyBorder="1" applyAlignment="1">
      <alignment horizontal="center" vertical="center"/>
    </xf>
    <xf numFmtId="0" fontId="8" fillId="0" borderId="8" xfId="0" applyFont="1" applyBorder="1" applyAlignment="1">
      <alignment horizontal="center" vertical="center" readingOrder="1"/>
    </xf>
    <xf numFmtId="164" fontId="8" fillId="0" borderId="9" xfId="0" applyNumberFormat="1" applyFont="1" applyBorder="1" applyAlignment="1">
      <alignment horizontal="center" vertical="center" readingOrder="1"/>
    </xf>
    <xf numFmtId="0" fontId="8" fillId="0" borderId="3" xfId="0" applyFont="1" applyBorder="1" applyAlignment="1">
      <alignment horizontal="center" vertical="center" indent="1" readingOrder="1"/>
    </xf>
    <xf numFmtId="0" fontId="8" fillId="0" borderId="5" xfId="0" applyFont="1" applyBorder="1" applyAlignment="1">
      <alignment horizontal="center" vertical="center" indent="1" readingOrder="1"/>
    </xf>
    <xf numFmtId="0" fontId="8" fillId="0" borderId="11" xfId="0" applyFont="1" applyBorder="1" applyAlignment="1">
      <alignment horizontal="center" vertical="center"/>
    </xf>
    <xf numFmtId="16" fontId="5" fillId="0" borderId="1" xfId="0" applyNumberFormat="1" applyFont="1" applyBorder="1" applyAlignment="1">
      <alignment horizontal="center" vertical="center" wrapText="1"/>
    </xf>
    <xf numFmtId="15" fontId="5" fillId="27" borderId="1" xfId="0" applyNumberFormat="1" applyFont="1" applyFill="1" applyBorder="1" applyAlignment="1">
      <alignment horizontal="center" vertical="center" wrapText="1"/>
    </xf>
    <xf numFmtId="0" fontId="8" fillId="23" borderId="1" xfId="0" applyFont="1" applyFill="1" applyBorder="1" applyAlignment="1">
      <alignment horizontal="center" vertical="center" wrapText="1" readingOrder="1"/>
    </xf>
    <xf numFmtId="0" fontId="24" fillId="0" borderId="1" xfId="0" applyFont="1" applyBorder="1" applyAlignment="1">
      <alignment horizontal="center" vertical="center"/>
      <extLst>
        <ext xmlns:xfpb="http://schemas.microsoft.com/office/spreadsheetml/2022/featurepropertybag" uri="{C7286773-470A-42A8-94C5-96B5CB345126}">
          <xfpb:xfComplement i="0"/>
        </ext>
      </extLst>
    </xf>
    <xf numFmtId="0" fontId="13" fillId="12" borderId="7" xfId="0" applyFont="1" applyFill="1" applyBorder="1" applyAlignment="1">
      <alignment horizontal="center" vertical="center" wrapText="1"/>
    </xf>
    <xf numFmtId="0" fontId="0" fillId="13" borderId="4" xfId="0" applyFill="1" applyBorder="1" applyAlignment="1">
      <alignment horizontal="center" vertical="center"/>
    </xf>
    <xf numFmtId="164" fontId="8" fillId="0" borderId="14" xfId="0" applyNumberFormat="1" applyFont="1" applyBorder="1" applyAlignment="1">
      <alignment horizontal="center" vertical="center" indent="2"/>
    </xf>
    <xf numFmtId="9" fontId="8" fillId="0" borderId="1" xfId="0" applyNumberFormat="1" applyFont="1" applyBorder="1" applyAlignment="1">
      <alignment horizontal="center" vertical="center"/>
    </xf>
    <xf numFmtId="1" fontId="8" fillId="19" borderId="3" xfId="0" applyNumberFormat="1" applyFont="1" applyFill="1" applyBorder="1" applyAlignment="1">
      <alignment horizontal="center" vertical="center" wrapText="1"/>
    </xf>
    <xf numFmtId="0" fontId="7" fillId="0" borderId="1" xfId="0" applyFont="1" applyBorder="1" applyAlignment="1">
      <alignment horizontal="center" vertical="center" wrapText="1"/>
    </xf>
    <xf numFmtId="2" fontId="8" fillId="0" borderId="1" xfId="0" applyNumberFormat="1" applyFont="1" applyBorder="1"/>
    <xf numFmtId="0" fontId="19" fillId="0" borderId="1" xfId="0" applyFont="1" applyBorder="1" applyAlignment="1">
      <alignment horizontal="center" vertical="center"/>
    </xf>
    <xf numFmtId="0" fontId="9" fillId="0" borderId="17" xfId="0" applyFont="1" applyBorder="1" applyAlignment="1">
      <alignment horizontal="center" vertical="center" wrapText="1" indent="1"/>
    </xf>
    <xf numFmtId="164" fontId="8" fillId="0" borderId="2" xfId="0" applyNumberFormat="1" applyFont="1" applyBorder="1" applyAlignment="1">
      <alignment horizontal="center" vertical="center" wrapText="1"/>
    </xf>
    <xf numFmtId="0" fontId="8" fillId="0" borderId="3" xfId="0" applyFont="1" applyBorder="1" applyAlignment="1">
      <alignment horizontal="center" vertical="center" wrapText="1"/>
    </xf>
    <xf numFmtId="0" fontId="45" fillId="0" borderId="0" xfId="0" applyFont="1"/>
    <xf numFmtId="0" fontId="8" fillId="0" borderId="1" xfId="0" applyFont="1" applyBorder="1" applyAlignment="1">
      <alignment horizontal="left" vertical="center" wrapText="1"/>
    </xf>
    <xf numFmtId="0" fontId="9" fillId="28" borderId="1" xfId="0" applyFont="1" applyFill="1" applyBorder="1" applyAlignment="1">
      <alignment horizontal="center" vertical="center"/>
    </xf>
    <xf numFmtId="0" fontId="9" fillId="28" borderId="1" xfId="0" applyFont="1" applyFill="1" applyBorder="1" applyAlignment="1">
      <alignment horizontal="center" vertical="center" wrapText="1"/>
    </xf>
    <xf numFmtId="0" fontId="7" fillId="28" borderId="1" xfId="0" applyFont="1" applyFill="1" applyBorder="1" applyAlignment="1">
      <alignment horizontal="center" vertical="center"/>
    </xf>
    <xf numFmtId="0" fontId="9" fillId="28" borderId="3" xfId="0" applyFont="1" applyFill="1" applyBorder="1" applyAlignment="1">
      <alignment horizontal="center" vertical="center"/>
    </xf>
    <xf numFmtId="0" fontId="8" fillId="0" borderId="0" xfId="0" applyFont="1" applyAlignment="1">
      <alignment horizontal="left" vertical="top"/>
    </xf>
    <xf numFmtId="4" fontId="8" fillId="0" borderId="0" xfId="0" applyNumberFormat="1" applyFont="1" applyAlignment="1">
      <alignment horizontal="center" vertical="center"/>
    </xf>
    <xf numFmtId="164" fontId="8" fillId="0" borderId="5" xfId="0" applyNumberFormat="1" applyFont="1" applyBorder="1" applyAlignment="1">
      <alignment horizontal="center" vertical="center" readingOrder="1"/>
    </xf>
    <xf numFmtId="0" fontId="8" fillId="0" borderId="14" xfId="0" applyFont="1" applyBorder="1" applyAlignment="1">
      <alignment horizontal="center" vertical="center" indent="1" readingOrder="1"/>
    </xf>
    <xf numFmtId="15" fontId="8" fillId="0" borderId="5" xfId="0" applyNumberFormat="1" applyFont="1" applyBorder="1" applyAlignment="1">
      <alignment horizontal="center" vertical="center"/>
    </xf>
    <xf numFmtId="0" fontId="8" fillId="0" borderId="11" xfId="0" applyFont="1" applyBorder="1" applyAlignment="1">
      <alignment horizontal="center" vertical="center" indent="1"/>
    </xf>
    <xf numFmtId="0" fontId="9" fillId="0" borderId="5" xfId="0" applyFont="1" applyBorder="1" applyAlignment="1">
      <alignment horizontal="center" vertical="center" wrapText="1"/>
    </xf>
    <xf numFmtId="0" fontId="8" fillId="28" borderId="1" xfId="0" applyFont="1" applyFill="1" applyBorder="1" applyAlignment="1">
      <alignment horizontal="center" vertical="center"/>
    </xf>
    <xf numFmtId="0" fontId="8" fillId="28" borderId="1" xfId="0" applyFont="1" applyFill="1" applyBorder="1" applyAlignment="1">
      <alignment horizontal="center" vertical="center" wrapText="1"/>
    </xf>
    <xf numFmtId="0" fontId="8" fillId="28" borderId="14" xfId="0" applyFont="1" applyFill="1" applyBorder="1" applyAlignment="1">
      <alignment horizontal="center" vertical="center"/>
    </xf>
    <xf numFmtId="0" fontId="47" fillId="0" borderId="1" xfId="0" applyFont="1" applyBorder="1"/>
    <xf numFmtId="0" fontId="47" fillId="0" borderId="14" xfId="0" applyFont="1" applyBorder="1"/>
    <xf numFmtId="0" fontId="8" fillId="13" borderId="0" xfId="0" applyFont="1" applyFill="1" applyAlignment="1">
      <alignment horizontal="center" vertical="center"/>
    </xf>
    <xf numFmtId="0" fontId="15" fillId="0" borderId="1" xfId="0" applyFont="1" applyBorder="1" applyAlignment="1">
      <alignment horizontal="center" vertical="center" wrapText="1"/>
    </xf>
    <xf numFmtId="164" fontId="0" fillId="0" borderId="1" xfId="0" applyNumberFormat="1" applyBorder="1" applyAlignment="1">
      <alignment horizontal="center" vertical="center"/>
    </xf>
    <xf numFmtId="0" fontId="9" fillId="0" borderId="14" xfId="0" applyFont="1" applyBorder="1" applyAlignment="1">
      <alignment horizontal="center" vertical="center"/>
    </xf>
    <xf numFmtId="0" fontId="8" fillId="0" borderId="17" xfId="0" applyFont="1" applyBorder="1" applyAlignment="1">
      <alignment horizontal="center" vertical="center"/>
    </xf>
    <xf numFmtId="164" fontId="8" fillId="0" borderId="2" xfId="0" applyNumberFormat="1" applyFont="1" applyBorder="1" applyAlignment="1">
      <alignment horizontal="center" vertical="center"/>
    </xf>
    <xf numFmtId="0" fontId="9" fillId="13" borderId="1" xfId="0" applyFont="1" applyFill="1" applyBorder="1" applyAlignment="1">
      <alignment horizontal="center" vertical="center"/>
    </xf>
    <xf numFmtId="164" fontId="8" fillId="13" borderId="1" xfId="0" applyNumberFormat="1" applyFont="1" applyFill="1" applyBorder="1" applyAlignment="1">
      <alignment horizontal="center" vertical="center"/>
    </xf>
    <xf numFmtId="0" fontId="47" fillId="0" borderId="14" xfId="0" applyFont="1" applyBorder="1" applyAlignment="1">
      <alignment horizontal="center" vertical="center"/>
    </xf>
    <xf numFmtId="0" fontId="47" fillId="0" borderId="1" xfId="0" applyFont="1" applyBorder="1" applyAlignment="1">
      <alignment horizontal="center" vertical="center"/>
    </xf>
    <xf numFmtId="0" fontId="4" fillId="0" borderId="0" xfId="0" applyFont="1" applyAlignment="1">
      <alignment horizontal="center" vertical="center"/>
    </xf>
    <xf numFmtId="0" fontId="50" fillId="0" borderId="0" xfId="0" applyFont="1"/>
    <xf numFmtId="0" fontId="36" fillId="0" borderId="3" xfId="0" applyFont="1" applyBorder="1" applyAlignment="1">
      <alignment horizontal="center" vertical="center"/>
    </xf>
    <xf numFmtId="14" fontId="4" fillId="0" borderId="0" xfId="0" applyNumberFormat="1" applyFont="1" applyAlignment="1">
      <alignment horizontal="center" vertical="center" wrapText="1"/>
    </xf>
    <xf numFmtId="0" fontId="36" fillId="0" borderId="1" xfId="0" applyFont="1" applyBorder="1" applyAlignment="1">
      <alignment horizontal="center" vertical="center"/>
    </xf>
    <xf numFmtId="0" fontId="36" fillId="0" borderId="14" xfId="0" applyFont="1" applyBorder="1" applyAlignment="1">
      <alignment horizontal="center" vertical="center"/>
    </xf>
    <xf numFmtId="2" fontId="0" fillId="0" borderId="1" xfId="0" applyNumberFormat="1" applyBorder="1" applyAlignment="1">
      <alignment horizontal="center" vertical="center"/>
    </xf>
    <xf numFmtId="0" fontId="36" fillId="0" borderId="15" xfId="0" applyFont="1" applyBorder="1" applyAlignment="1">
      <alignment horizontal="center" vertical="center" wrapText="1"/>
    </xf>
    <xf numFmtId="0" fontId="0" fillId="0" borderId="14" xfId="0" applyBorder="1"/>
    <xf numFmtId="0" fontId="51" fillId="0" borderId="1" xfId="0" applyFont="1" applyBorder="1" applyAlignment="1">
      <alignment horizontal="center" vertical="center"/>
    </xf>
    <xf numFmtId="2" fontId="52" fillId="0" borderId="1" xfId="0" applyNumberFormat="1" applyFont="1" applyBorder="1" applyAlignment="1">
      <alignment horizontal="center" vertical="center"/>
    </xf>
    <xf numFmtId="0" fontId="52" fillId="0" borderId="1" xfId="0" applyFont="1" applyBorder="1" applyAlignment="1">
      <alignment horizontal="center" vertical="center"/>
    </xf>
    <xf numFmtId="0" fontId="52" fillId="29" borderId="1" xfId="0" applyFont="1" applyFill="1" applyBorder="1" applyAlignment="1">
      <alignment horizontal="center" vertical="center"/>
    </xf>
    <xf numFmtId="0" fontId="52" fillId="13" borderId="1" xfId="0" applyFont="1" applyFill="1" applyBorder="1" applyAlignment="1">
      <alignment horizontal="center" vertical="center"/>
    </xf>
    <xf numFmtId="2" fontId="52" fillId="13" borderId="1" xfId="0" applyNumberFormat="1" applyFont="1" applyFill="1" applyBorder="1" applyAlignment="1">
      <alignment horizontal="center" vertical="center"/>
    </xf>
    <xf numFmtId="0" fontId="52" fillId="26" borderId="1" xfId="0" applyFont="1" applyFill="1" applyBorder="1" applyAlignment="1">
      <alignment horizontal="center" vertical="center"/>
    </xf>
    <xf numFmtId="2" fontId="52" fillId="24" borderId="1" xfId="0" applyNumberFormat="1" applyFont="1" applyFill="1" applyBorder="1" applyAlignment="1">
      <alignment horizontal="center" vertical="center"/>
    </xf>
    <xf numFmtId="0" fontId="52" fillId="24" borderId="1" xfId="0" applyFont="1" applyFill="1" applyBorder="1" applyAlignment="1">
      <alignment horizontal="center" vertical="center"/>
    </xf>
    <xf numFmtId="0" fontId="0" fillId="13" borderId="1" xfId="0" applyFill="1" applyBorder="1" applyAlignment="1">
      <alignment horizontal="center" vertical="center"/>
    </xf>
    <xf numFmtId="2" fontId="0" fillId="13" borderId="1" xfId="0" applyNumberFormat="1" applyFill="1" applyBorder="1" applyAlignment="1">
      <alignment horizontal="center" vertical="center"/>
    </xf>
    <xf numFmtId="0" fontId="53" fillId="0" borderId="0" xfId="0" applyFont="1"/>
    <xf numFmtId="0" fontId="53" fillId="0" borderId="1" xfId="0" applyFont="1" applyBorder="1"/>
    <xf numFmtId="0" fontId="0" fillId="0" borderId="1" xfId="0" applyBorder="1" applyAlignment="1">
      <alignment horizontal="center" vertical="top"/>
    </xf>
    <xf numFmtId="0" fontId="53" fillId="0" borderId="14" xfId="0" applyFont="1" applyBorder="1" applyAlignment="1">
      <alignment horizontal="center" vertical="center"/>
    </xf>
    <xf numFmtId="0" fontId="53" fillId="0" borderId="14" xfId="0" applyFont="1" applyBorder="1" applyAlignment="1">
      <alignment horizontal="center" vertical="top"/>
    </xf>
    <xf numFmtId="0" fontId="36" fillId="0" borderId="1" xfId="0" applyFont="1" applyBorder="1"/>
    <xf numFmtId="0" fontId="36" fillId="0" borderId="5" xfId="0" applyFont="1" applyBorder="1" applyAlignment="1">
      <alignment horizontal="center" vertical="center"/>
    </xf>
    <xf numFmtId="0" fontId="53" fillId="0" borderId="6" xfId="0" applyFont="1" applyBorder="1" applyAlignment="1">
      <alignment horizontal="center" vertical="top"/>
    </xf>
    <xf numFmtId="0" fontId="0" fillId="0" borderId="5" xfId="0" applyBorder="1" applyAlignment="1">
      <alignment horizontal="center" vertical="top"/>
    </xf>
    <xf numFmtId="0" fontId="55" fillId="0" borderId="0" xfId="0" applyFont="1" applyAlignment="1">
      <alignment vertical="center"/>
    </xf>
    <xf numFmtId="0" fontId="8" fillId="0" borderId="18" xfId="0" applyFont="1" applyBorder="1" applyAlignment="1">
      <alignment horizontal="center" vertical="center"/>
    </xf>
    <xf numFmtId="0" fontId="51" fillId="26" borderId="1" xfId="0" applyFont="1" applyFill="1" applyBorder="1" applyAlignment="1">
      <alignment horizontal="center" vertical="center"/>
    </xf>
    <xf numFmtId="0" fontId="52" fillId="26" borderId="14" xfId="0" applyFont="1" applyFill="1" applyBorder="1" applyAlignment="1">
      <alignment horizontal="center" vertical="center"/>
    </xf>
    <xf numFmtId="0" fontId="0" fillId="26" borderId="1" xfId="0" applyFill="1" applyBorder="1" applyAlignment="1">
      <alignment horizontal="center" vertical="center"/>
    </xf>
    <xf numFmtId="1" fontId="8" fillId="19" borderId="14" xfId="0" applyNumberFormat="1" applyFont="1" applyFill="1" applyBorder="1" applyAlignment="1">
      <alignment horizontal="center" vertical="center" wrapText="1"/>
    </xf>
    <xf numFmtId="0" fontId="0" fillId="0" borderId="3" xfId="0" applyBorder="1" applyAlignment="1">
      <alignment horizontal="center"/>
    </xf>
    <xf numFmtId="0" fontId="0" fillId="0" borderId="0" xfId="0" applyAlignment="1">
      <alignment horizontal="center"/>
    </xf>
    <xf numFmtId="0" fontId="46" fillId="0" borderId="1" xfId="0" applyFont="1" applyBorder="1" applyAlignment="1">
      <alignment horizontal="center" vertical="center" indent="1"/>
    </xf>
    <xf numFmtId="0" fontId="46" fillId="0" borderId="8" xfId="0" applyFont="1" applyBorder="1" applyAlignment="1">
      <alignment horizontal="center" vertical="center" indent="1" readingOrder="1"/>
    </xf>
    <xf numFmtId="0" fontId="46" fillId="0" borderId="11" xfId="0" applyFont="1" applyBorder="1" applyAlignment="1">
      <alignment horizontal="center" vertical="center"/>
    </xf>
    <xf numFmtId="164" fontId="46" fillId="0" borderId="9" xfId="0" applyNumberFormat="1" applyFont="1" applyBorder="1" applyAlignment="1">
      <alignment horizontal="center" vertical="center" readingOrder="1"/>
    </xf>
    <xf numFmtId="0" fontId="8" fillId="0" borderId="1" xfId="0" applyFont="1" applyBorder="1" applyAlignment="1">
      <alignment horizontal="left" vertical="top"/>
    </xf>
    <xf numFmtId="0" fontId="8" fillId="10" borderId="1" xfId="0" applyFont="1" applyFill="1" applyBorder="1" applyAlignment="1">
      <alignment horizontal="center" vertical="center" wrapText="1"/>
    </xf>
    <xf numFmtId="10" fontId="8" fillId="19" borderId="1" xfId="0" applyNumberFormat="1" applyFont="1" applyFill="1" applyBorder="1" applyAlignment="1">
      <alignment horizontal="center" vertical="center"/>
    </xf>
    <xf numFmtId="0" fontId="8" fillId="0" borderId="1" xfId="0" applyFont="1" applyBorder="1" applyAlignment="1">
      <alignment horizontal="left" vertical="top" wrapText="1"/>
    </xf>
    <xf numFmtId="0" fontId="8" fillId="10" borderId="1" xfId="0" applyFont="1" applyFill="1" applyBorder="1" applyAlignment="1">
      <alignment horizontal="center" vertical="center"/>
    </xf>
    <xf numFmtId="0" fontId="8" fillId="23" borderId="1" xfId="0" applyFont="1" applyFill="1" applyBorder="1" applyAlignment="1">
      <alignment horizontal="center" vertical="center"/>
    </xf>
    <xf numFmtId="0" fontId="14" fillId="0" borderId="1" xfId="0" applyFont="1" applyBorder="1"/>
    <xf numFmtId="0" fontId="32" fillId="0" borderId="1" xfId="0" applyFont="1" applyBorder="1"/>
    <xf numFmtId="0" fontId="8" fillId="24" borderId="1" xfId="0" applyFont="1" applyFill="1" applyBorder="1" applyAlignment="1">
      <alignment horizontal="center" vertical="center"/>
    </xf>
    <xf numFmtId="0" fontId="9" fillId="10" borderId="1" xfId="0" applyFont="1" applyFill="1" applyBorder="1" applyAlignment="1">
      <alignment horizontal="center" vertical="center" wrapText="1"/>
    </xf>
    <xf numFmtId="4" fontId="8" fillId="13" borderId="1" xfId="0" applyNumberFormat="1" applyFont="1" applyFill="1" applyBorder="1" applyAlignment="1">
      <alignment horizontal="center" vertical="center"/>
    </xf>
    <xf numFmtId="0" fontId="9" fillId="28" borderId="1" xfId="0" applyFont="1" applyFill="1" applyBorder="1" applyAlignment="1">
      <alignment horizontal="center"/>
    </xf>
    <xf numFmtId="0" fontId="41" fillId="0" borderId="1" xfId="0" applyFont="1" applyBorder="1" applyAlignment="1">
      <alignment horizontal="center" vertical="center"/>
    </xf>
    <xf numFmtId="4" fontId="8" fillId="0" borderId="1" xfId="0" applyNumberFormat="1" applyFont="1" applyBorder="1" applyAlignment="1">
      <alignment horizontal="center" vertical="center" wrapText="1"/>
    </xf>
    <xf numFmtId="0" fontId="42" fillId="28" borderId="1" xfId="0" applyFont="1" applyFill="1" applyBorder="1" applyAlignment="1">
      <alignment horizontal="center" vertical="center"/>
    </xf>
    <xf numFmtId="0" fontId="19" fillId="28" borderId="1" xfId="0" applyFont="1" applyFill="1" applyBorder="1"/>
    <xf numFmtId="10" fontId="8" fillId="13" borderId="1" xfId="0" applyNumberFormat="1" applyFont="1" applyFill="1" applyBorder="1" applyAlignment="1">
      <alignment horizontal="center" vertical="center"/>
    </xf>
    <xf numFmtId="0" fontId="33" fillId="0" borderId="1" xfId="0" applyFont="1" applyBorder="1"/>
    <xf numFmtId="0" fontId="42" fillId="0" borderId="1" xfId="0" applyFont="1" applyBorder="1" applyAlignment="1">
      <alignment horizontal="center" vertical="center"/>
    </xf>
    <xf numFmtId="0" fontId="48" fillId="0" borderId="1" xfId="0" applyFont="1" applyBorder="1"/>
    <xf numFmtId="0" fontId="8" fillId="0" borderId="1" xfId="0" applyFont="1" applyBorder="1" applyAlignment="1">
      <alignment horizontal="left" vertical="center"/>
    </xf>
    <xf numFmtId="0" fontId="56" fillId="0" borderId="1" xfId="0" applyFont="1" applyBorder="1"/>
    <xf numFmtId="164" fontId="8" fillId="0" borderId="0" xfId="0" applyNumberFormat="1" applyFont="1" applyAlignment="1">
      <alignment horizontal="center" vertical="center" indent="2"/>
    </xf>
    <xf numFmtId="0" fontId="47" fillId="0" borderId="14" xfId="0" applyFont="1" applyBorder="1" applyAlignment="1">
      <alignment horizontal="center" vertical="center" indent="1"/>
    </xf>
    <xf numFmtId="0" fontId="60" fillId="0" borderId="1" xfId="0" applyFont="1" applyBorder="1" applyAlignment="1">
      <alignment horizontal="center" vertical="center" wrapText="1"/>
    </xf>
    <xf numFmtId="0" fontId="25" fillId="0" borderId="1" xfId="0" applyFont="1" applyBorder="1"/>
    <xf numFmtId="0" fontId="8" fillId="0" borderId="6" xfId="0" applyFont="1" applyBorder="1" applyAlignment="1">
      <alignment horizontal="center" vertical="center" indent="1" readingOrder="1"/>
    </xf>
    <xf numFmtId="164" fontId="8" fillId="0" borderId="12" xfId="0" applyNumberFormat="1" applyFont="1" applyBorder="1" applyAlignment="1">
      <alignment horizontal="center" vertical="center" indent="2"/>
    </xf>
    <xf numFmtId="0" fontId="61" fillId="0" borderId="1" xfId="0" applyFont="1" applyBorder="1" applyAlignment="1">
      <alignment horizontal="left" vertical="center" wrapText="1"/>
    </xf>
    <xf numFmtId="0" fontId="61" fillId="0" borderId="1" xfId="0" applyFont="1" applyBorder="1" applyAlignment="1">
      <alignment wrapText="1"/>
    </xf>
    <xf numFmtId="0" fontId="24" fillId="10" borderId="0" xfId="0" applyFont="1" applyFill="1" applyAlignment="1">
      <alignment horizontal="center" vertical="center" wrapText="1"/>
    </xf>
    <xf numFmtId="0" fontId="45" fillId="0" borderId="0" xfId="0" applyFont="1" applyAlignment="1">
      <alignment horizontal="center" vertical="center"/>
    </xf>
    <xf numFmtId="0" fontId="0" fillId="0" borderId="1" xfId="0" applyBorder="1" applyAlignment="1">
      <alignment wrapText="1"/>
    </xf>
    <xf numFmtId="0" fontId="8" fillId="24" borderId="1" xfId="0" applyFont="1" applyFill="1" applyBorder="1" applyAlignment="1">
      <alignment horizontal="center" vertical="center" wrapText="1"/>
    </xf>
    <xf numFmtId="0" fontId="9" fillId="24" borderId="1" xfId="0" applyFont="1" applyFill="1" applyBorder="1" applyAlignment="1">
      <alignment horizontal="center" vertical="center"/>
    </xf>
    <xf numFmtId="0" fontId="65" fillId="0" borderId="0" xfId="0" applyFont="1" applyAlignment="1">
      <alignment wrapText="1"/>
    </xf>
    <xf numFmtId="0" fontId="9" fillId="0" borderId="0" xfId="0" applyFont="1" applyAlignment="1">
      <alignment horizontal="center" vertical="center" readingOrder="1"/>
    </xf>
    <xf numFmtId="0" fontId="47" fillId="0" borderId="0" xfId="0" applyFont="1"/>
    <xf numFmtId="164" fontId="8" fillId="0" borderId="0" xfId="0" applyNumberFormat="1" applyFont="1" applyAlignment="1">
      <alignment horizontal="center" vertical="center"/>
    </xf>
    <xf numFmtId="1" fontId="8" fillId="19" borderId="0" xfId="0" applyNumberFormat="1" applyFont="1" applyFill="1" applyAlignment="1">
      <alignment horizontal="center" vertical="center" wrapText="1"/>
    </xf>
    <xf numFmtId="15" fontId="5" fillId="13" borderId="1" xfId="0" applyNumberFormat="1" applyFont="1" applyFill="1" applyBorder="1" applyAlignment="1">
      <alignment horizontal="center" vertical="center" wrapText="1" indent="1"/>
    </xf>
    <xf numFmtId="0" fontId="18" fillId="0" borderId="1" xfId="0" applyFont="1" applyBorder="1" applyAlignment="1">
      <alignment horizontal="center" vertical="center" wrapText="1" indent="1"/>
    </xf>
    <xf numFmtId="0" fontId="26" fillId="0" borderId="1" xfId="0" applyFont="1" applyBorder="1" applyAlignment="1">
      <alignment horizontal="center" vertical="center" wrapText="1"/>
    </xf>
    <xf numFmtId="0" fontId="18" fillId="0" borderId="1" xfId="0" applyFont="1" applyBorder="1" applyAlignment="1">
      <alignment horizontal="center" vertical="center" wrapText="1" indent="2"/>
    </xf>
    <xf numFmtId="0" fontId="24" fillId="0" borderId="1" xfId="0" applyFont="1" applyBorder="1" applyAlignment="1">
      <alignment horizontal="center"/>
    </xf>
    <xf numFmtId="15" fontId="18" fillId="0" borderId="1" xfId="0" applyNumberFormat="1" applyFont="1" applyBorder="1" applyAlignment="1">
      <alignment horizontal="center" vertical="center" wrapText="1"/>
    </xf>
    <xf numFmtId="0" fontId="18" fillId="0" borderId="1" xfId="0" applyFont="1" applyBorder="1" applyAlignment="1">
      <alignment horizontal="center" vertical="center"/>
    </xf>
    <xf numFmtId="15" fontId="24" fillId="0" borderId="1" xfId="0" applyNumberFormat="1" applyFont="1" applyBorder="1" applyAlignment="1">
      <alignment horizontal="center"/>
    </xf>
    <xf numFmtId="0" fontId="24" fillId="0" borderId="1" xfId="0" applyFont="1" applyBorder="1" applyAlignment="1">
      <alignment horizontal="center" vertical="center" wrapText="1" indent="1"/>
    </xf>
    <xf numFmtId="0" fontId="18" fillId="0" borderId="1" xfId="0" quotePrefix="1" applyFont="1" applyBorder="1" applyAlignment="1">
      <alignment horizontal="center" vertical="center" wrapText="1"/>
    </xf>
    <xf numFmtId="0" fontId="15" fillId="0" borderId="1" xfId="0" applyFont="1" applyBorder="1" applyAlignment="1">
      <alignment horizontal="center"/>
    </xf>
    <xf numFmtId="16" fontId="18" fillId="0" borderId="1" xfId="0" applyNumberFormat="1" applyFont="1" applyBorder="1" applyAlignment="1">
      <alignment horizontal="center" vertical="center" wrapText="1"/>
    </xf>
    <xf numFmtId="0" fontId="34" fillId="0" borderId="1" xfId="0" applyFont="1" applyBorder="1" applyAlignment="1">
      <alignment horizontal="center" vertical="center"/>
    </xf>
    <xf numFmtId="0" fontId="18" fillId="0" borderId="1" xfId="0" applyFont="1" applyBorder="1" applyAlignment="1">
      <alignment horizontal="center"/>
    </xf>
    <xf numFmtId="0" fontId="24" fillId="0" borderId="1" xfId="0" applyFont="1" applyBorder="1" applyAlignment="1">
      <alignment horizontal="center" vertical="center" wrapText="1" indent="3"/>
    </xf>
    <xf numFmtId="0" fontId="24" fillId="0" borderId="1" xfId="0" applyFont="1" applyBorder="1" applyAlignment="1">
      <alignment horizontal="center" indent="1"/>
    </xf>
    <xf numFmtId="0" fontId="24" fillId="0" borderId="1" xfId="0" applyFont="1" applyBorder="1" applyAlignment="1">
      <alignment horizontal="center" vertical="center" indent="1"/>
    </xf>
    <xf numFmtId="0" fontId="32" fillId="0" borderId="1" xfId="0" applyFont="1" applyBorder="1" applyAlignment="1">
      <alignment horizontal="center"/>
    </xf>
    <xf numFmtId="0" fontId="19" fillId="0" borderId="1" xfId="0" applyFont="1" applyBorder="1" applyAlignment="1">
      <alignment horizontal="center"/>
    </xf>
    <xf numFmtId="14" fontId="18" fillId="0" borderId="1" xfId="0" applyNumberFormat="1" applyFont="1" applyBorder="1" applyAlignment="1">
      <alignment horizontal="center" vertical="center" wrapText="1"/>
    </xf>
    <xf numFmtId="0" fontId="34" fillId="0" borderId="1" xfId="0" applyFont="1" applyBorder="1" applyAlignment="1">
      <alignment horizontal="center" vertical="center" wrapText="1" indent="1"/>
    </xf>
    <xf numFmtId="0" fontId="24" fillId="0" borderId="1" xfId="0" applyFont="1" applyBorder="1" applyAlignment="1">
      <alignment horizontal="center" vertical="center" wrapText="1" indent="2"/>
    </xf>
    <xf numFmtId="0" fontId="34" fillId="0" borderId="1" xfId="0" applyFont="1" applyBorder="1" applyAlignment="1">
      <alignment horizontal="center" vertical="center" indent="1"/>
    </xf>
    <xf numFmtId="15" fontId="28" fillId="0" borderId="1" xfId="0" applyNumberFormat="1" applyFont="1" applyBorder="1" applyAlignment="1">
      <alignment horizontal="center"/>
    </xf>
    <xf numFmtId="0" fontId="35" fillId="0" borderId="1" xfId="0" applyFont="1" applyBorder="1" applyAlignment="1">
      <alignment horizontal="center"/>
    </xf>
    <xf numFmtId="0" fontId="56" fillId="0" borderId="1" xfId="0" applyFont="1" applyBorder="1" applyAlignment="1">
      <alignment horizontal="center"/>
    </xf>
    <xf numFmtId="15" fontId="18" fillId="0" borderId="1" xfId="0" applyNumberFormat="1" applyFont="1" applyBorder="1" applyAlignment="1">
      <alignment horizontal="center"/>
    </xf>
    <xf numFmtId="17" fontId="18" fillId="0" borderId="1" xfId="0" applyNumberFormat="1" applyFont="1" applyBorder="1" applyAlignment="1">
      <alignment horizontal="center" vertical="center" wrapText="1"/>
    </xf>
    <xf numFmtId="0" fontId="18" fillId="0" borderId="1" xfId="0" applyFont="1" applyBorder="1" applyAlignment="1">
      <alignment horizontal="center" vertical="center" wrapText="1" indent="3"/>
    </xf>
    <xf numFmtId="0" fontId="23" fillId="0" borderId="1" xfId="0" applyFont="1" applyBorder="1" applyAlignment="1">
      <alignment horizontal="center"/>
    </xf>
    <xf numFmtId="0" fontId="34" fillId="0" borderId="1" xfId="0" applyFont="1" applyBorder="1" applyAlignment="1">
      <alignment horizontal="center" indent="1"/>
    </xf>
    <xf numFmtId="0" fontId="34" fillId="0" borderId="1" xfId="0" applyFont="1" applyBorder="1" applyAlignment="1">
      <alignment horizontal="center"/>
    </xf>
    <xf numFmtId="15" fontId="18" fillId="0" borderId="1" xfId="0" applyNumberFormat="1" applyFont="1" applyBorder="1" applyAlignment="1">
      <alignment horizontal="center" vertical="center" wrapText="1" indent="1"/>
    </xf>
    <xf numFmtId="0" fontId="58" fillId="0" borderId="1" xfId="0" applyFont="1" applyBorder="1" applyAlignment="1">
      <alignment horizontal="center"/>
    </xf>
    <xf numFmtId="15" fontId="18" fillId="0" borderId="1" xfId="0" applyNumberFormat="1" applyFont="1" applyBorder="1" applyAlignment="1">
      <alignment horizontal="center" vertical="center" wrapText="1" indent="3"/>
    </xf>
    <xf numFmtId="0" fontId="37" fillId="0" borderId="1" xfId="0" applyFont="1" applyBorder="1"/>
    <xf numFmtId="0" fontId="18" fillId="23" borderId="1" xfId="0" applyFont="1" applyFill="1" applyBorder="1" applyAlignment="1">
      <alignment horizontal="center" vertical="center" wrapText="1"/>
    </xf>
    <xf numFmtId="0" fontId="0" fillId="23" borderId="1" xfId="0" applyFill="1" applyBorder="1" applyAlignment="1">
      <alignment horizontal="center"/>
    </xf>
    <xf numFmtId="15" fontId="18" fillId="23" borderId="1" xfId="0" applyNumberFormat="1" applyFont="1" applyFill="1" applyBorder="1" applyAlignment="1">
      <alignment horizontal="center" vertical="center" wrapText="1"/>
    </xf>
    <xf numFmtId="0" fontId="34" fillId="23" borderId="1" xfId="0" applyFont="1" applyFill="1" applyBorder="1" applyAlignment="1">
      <alignment horizontal="center" vertical="center"/>
    </xf>
    <xf numFmtId="0" fontId="56" fillId="0" borderId="0" xfId="0" applyFont="1"/>
    <xf numFmtId="14" fontId="2" fillId="23" borderId="1" xfId="0" applyNumberFormat="1"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49" fillId="0" borderId="1" xfId="0" applyFont="1" applyBorder="1" applyAlignment="1">
      <alignment horizontal="center" vertical="center" wrapText="1"/>
    </xf>
    <xf numFmtId="0" fontId="2" fillId="0" borderId="1" xfId="0" applyFont="1" applyBorder="1" applyAlignment="1">
      <alignment horizontal="center" vertical="center" wrapText="1" indent="1"/>
    </xf>
    <xf numFmtId="0" fontId="3" fillId="12" borderId="1" xfId="0" applyFont="1" applyFill="1" applyBorder="1" applyAlignment="1">
      <alignment horizontal="center" vertical="center" wrapText="1"/>
    </xf>
    <xf numFmtId="0" fontId="5" fillId="23" borderId="1" xfId="0" applyFont="1" applyFill="1" applyBorder="1" applyAlignment="1">
      <alignment horizontal="center" vertical="center" wrapText="1"/>
    </xf>
    <xf numFmtId="16" fontId="5" fillId="0" borderId="1" xfId="0" applyNumberFormat="1" applyFont="1" applyBorder="1" applyAlignment="1">
      <alignment horizontal="center" vertical="center" wrapText="1" indent="1"/>
    </xf>
    <xf numFmtId="0" fontId="16" fillId="0" borderId="1" xfId="0" applyFont="1" applyBorder="1" applyAlignment="1">
      <alignment horizontal="center" vertical="center" wrapText="1"/>
    </xf>
    <xf numFmtId="15" fontId="5" fillId="21" borderId="1" xfId="0" applyNumberFormat="1" applyFont="1" applyFill="1" applyBorder="1" applyAlignment="1">
      <alignment horizontal="center" vertical="center" wrapText="1" indent="1"/>
    </xf>
    <xf numFmtId="0" fontId="5" fillId="22" borderId="1" xfId="0" applyFont="1" applyFill="1" applyBorder="1" applyAlignment="1">
      <alignment horizontal="center" vertical="center" wrapText="1"/>
    </xf>
    <xf numFmtId="15" fontId="5" fillId="24" borderId="1" xfId="0" applyNumberFormat="1" applyFont="1" applyFill="1" applyBorder="1" applyAlignment="1">
      <alignment horizontal="center" vertical="center" wrapText="1" indent="1"/>
    </xf>
    <xf numFmtId="15" fontId="5" fillId="24" borderId="1" xfId="0" applyNumberFormat="1" applyFont="1" applyFill="1" applyBorder="1" applyAlignment="1">
      <alignment horizontal="center" vertical="center" wrapText="1"/>
    </xf>
    <xf numFmtId="0" fontId="18" fillId="4" borderId="1" xfId="0" applyFont="1" applyFill="1" applyBorder="1" applyAlignment="1">
      <alignment horizontal="center" vertical="center" wrapText="1"/>
    </xf>
    <xf numFmtId="15" fontId="17" fillId="0" borderId="1" xfId="0" applyNumberFormat="1" applyFont="1" applyBorder="1" applyAlignment="1">
      <alignment horizontal="center" vertical="center" wrapText="1" indent="1"/>
    </xf>
    <xf numFmtId="15" fontId="5" fillId="21" borderId="1" xfId="0" applyNumberFormat="1" applyFont="1" applyFill="1" applyBorder="1" applyAlignment="1">
      <alignment horizontal="center" vertical="center" wrapText="1" indent="2"/>
    </xf>
    <xf numFmtId="0" fontId="4" fillId="2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center" vertical="center" wrapText="1" indent="1"/>
    </xf>
    <xf numFmtId="15" fontId="4" fillId="0" borderId="1" xfId="0" applyNumberFormat="1" applyFont="1" applyBorder="1" applyAlignment="1">
      <alignment horizontal="center" vertical="center" wrapText="1" indent="1"/>
    </xf>
    <xf numFmtId="15" fontId="4" fillId="0" borderId="1" xfId="0" applyNumberFormat="1" applyFont="1" applyBorder="1" applyAlignment="1">
      <alignment horizontal="center" vertical="center" wrapText="1"/>
    </xf>
    <xf numFmtId="14" fontId="8" fillId="0" borderId="1" xfId="0" applyNumberFormat="1" applyFont="1" applyBorder="1" applyAlignment="1">
      <alignment horizontal="center" vertical="center"/>
    </xf>
    <xf numFmtId="0" fontId="44" fillId="0" borderId="1" xfId="0" applyFont="1" applyBorder="1"/>
    <xf numFmtId="0" fontId="9" fillId="0" borderId="3" xfId="0" applyFont="1" applyBorder="1" applyAlignment="1">
      <alignment horizontal="center" vertical="center" wrapText="1" indent="3" readingOrder="1"/>
    </xf>
    <xf numFmtId="0" fontId="9" fillId="0" borderId="15" xfId="0" applyFont="1" applyBorder="1" applyAlignment="1">
      <alignment horizontal="center" vertical="center" wrapText="1" indent="1"/>
    </xf>
    <xf numFmtId="164" fontId="8" fillId="0" borderId="3" xfId="0" applyNumberFormat="1" applyFont="1" applyBorder="1" applyAlignment="1">
      <alignment horizontal="center" vertical="center" wrapText="1"/>
    </xf>
    <xf numFmtId="0" fontId="9" fillId="0" borderId="20" xfId="0" applyFont="1" applyBorder="1" applyAlignment="1">
      <alignment horizontal="center" vertical="center" wrapText="1" indent="1"/>
    </xf>
    <xf numFmtId="164" fontId="8" fillId="0" borderId="15" xfId="0" applyNumberFormat="1" applyFont="1" applyBorder="1" applyAlignment="1">
      <alignment horizontal="center" vertical="center" wrapText="1"/>
    </xf>
    <xf numFmtId="0" fontId="8" fillId="0" borderId="20" xfId="0" applyFont="1" applyBorder="1" applyAlignment="1">
      <alignment horizontal="center" vertical="center" wrapText="1"/>
    </xf>
    <xf numFmtId="0" fontId="9" fillId="0" borderId="3" xfId="0" applyFont="1" applyBorder="1" applyAlignment="1">
      <alignment horizontal="center" vertical="center"/>
    </xf>
    <xf numFmtId="0" fontId="8" fillId="0" borderId="21" xfId="0" applyFont="1" applyBorder="1" applyAlignment="1">
      <alignment horizontal="center" vertical="center" wrapText="1"/>
    </xf>
    <xf numFmtId="0" fontId="9" fillId="0" borderId="3" xfId="0" applyFont="1" applyBorder="1" applyAlignment="1">
      <alignment horizontal="center" vertical="center" wrapText="1" indent="3"/>
    </xf>
    <xf numFmtId="0" fontId="8" fillId="0" borderId="14" xfId="0" applyFont="1" applyBorder="1" applyAlignment="1">
      <alignment horizontal="center" vertical="center" wrapText="1" indent="3"/>
    </xf>
    <xf numFmtId="0" fontId="8" fillId="0" borderId="6" xfId="0" applyFont="1" applyBorder="1" applyAlignment="1">
      <alignment horizontal="center" vertical="center" wrapText="1"/>
    </xf>
    <xf numFmtId="0" fontId="8" fillId="0" borderId="12" xfId="0" applyFont="1" applyBorder="1" applyAlignment="1">
      <alignment horizontal="center" vertical="center" wrapText="1"/>
    </xf>
    <xf numFmtId="164" fontId="8" fillId="0" borderId="14" xfId="0" applyNumberFormat="1" applyFont="1" applyBorder="1" applyAlignment="1">
      <alignment horizontal="center" vertical="center" wrapText="1"/>
    </xf>
    <xf numFmtId="0" fontId="9" fillId="0" borderId="14" xfId="0" applyFont="1" applyBorder="1" applyAlignment="1">
      <alignment horizontal="center" vertical="center" wrapText="1" indent="3" readingOrder="1"/>
    </xf>
    <xf numFmtId="0" fontId="9" fillId="0" borderId="12" xfId="0" applyFont="1" applyBorder="1" applyAlignment="1">
      <alignment horizontal="center" vertical="center" wrapText="1" indent="1"/>
    </xf>
    <xf numFmtId="0" fontId="8" fillId="0" borderId="18" xfId="0" applyFont="1" applyBorder="1" applyAlignment="1">
      <alignment horizontal="center" vertical="center" wrapText="1"/>
    </xf>
    <xf numFmtId="0" fontId="9" fillId="0" borderId="18" xfId="0" applyFont="1" applyBorder="1" applyAlignment="1">
      <alignment horizontal="center" vertical="center" wrapText="1" indent="3" readingOrder="1"/>
    </xf>
    <xf numFmtId="0" fontId="8" fillId="0" borderId="19" xfId="0" applyFont="1" applyBorder="1" applyAlignment="1">
      <alignment horizontal="center" vertical="center" wrapText="1"/>
    </xf>
    <xf numFmtId="0" fontId="9" fillId="0" borderId="13" xfId="0" applyFont="1" applyBorder="1" applyAlignment="1">
      <alignment horizontal="center" vertical="center" wrapText="1" indent="1"/>
    </xf>
    <xf numFmtId="164" fontId="8" fillId="0" borderId="18" xfId="0" applyNumberFormat="1" applyFont="1" applyBorder="1" applyAlignment="1">
      <alignment horizontal="center" vertical="center" wrapText="1"/>
    </xf>
    <xf numFmtId="1" fontId="8" fillId="19" borderId="18" xfId="0" applyNumberFormat="1" applyFont="1" applyFill="1" applyBorder="1" applyAlignment="1">
      <alignment horizontal="center" vertical="center" wrapText="1"/>
    </xf>
    <xf numFmtId="0" fontId="9" fillId="0" borderId="4" xfId="0" applyFont="1" applyBorder="1" applyAlignment="1">
      <alignment horizontal="center" vertical="center" wrapText="1" indent="1"/>
    </xf>
    <xf numFmtId="164" fontId="8" fillId="0" borderId="12" xfId="0" applyNumberFormat="1" applyFont="1" applyBorder="1" applyAlignment="1">
      <alignment horizontal="center" vertical="center" wrapText="1"/>
    </xf>
    <xf numFmtId="0" fontId="9" fillId="0" borderId="14" xfId="0" applyFont="1" applyBorder="1" applyAlignment="1">
      <alignment horizontal="center" vertical="center" wrapText="1" indent="3"/>
    </xf>
    <xf numFmtId="0" fontId="0" fillId="0" borderId="1" xfId="0" applyBorder="1" applyAlignment="1">
      <alignment horizontal="center" vertical="center" wrapText="1"/>
    </xf>
    <xf numFmtId="0" fontId="32" fillId="0" borderId="1" xfId="0" applyFont="1" applyBorder="1" applyAlignment="1">
      <alignment horizontal="center" vertical="center"/>
    </xf>
    <xf numFmtId="0" fontId="56" fillId="0" borderId="1" xfId="0" applyFont="1" applyBorder="1" applyAlignment="1">
      <alignment horizontal="center" vertical="center"/>
    </xf>
    <xf numFmtId="0" fontId="25" fillId="0" borderId="14" xfId="0" applyFont="1" applyBorder="1"/>
    <xf numFmtId="15" fontId="8" fillId="0" borderId="3" xfId="0" applyNumberFormat="1" applyFont="1" applyBorder="1" applyAlignment="1">
      <alignment horizontal="center" vertical="center" wrapText="1"/>
    </xf>
    <xf numFmtId="164" fontId="8" fillId="0" borderId="0" xfId="0" applyNumberFormat="1" applyFont="1" applyAlignment="1">
      <alignment horizontal="center" vertical="center" wrapText="1"/>
    </xf>
    <xf numFmtId="0" fontId="8" fillId="13" borderId="3" xfId="0" applyFont="1" applyFill="1" applyBorder="1" applyAlignment="1">
      <alignment horizontal="center" vertical="center" wrapText="1"/>
    </xf>
    <xf numFmtId="0" fontId="62" fillId="0" borderId="14" xfId="0" applyFont="1" applyBorder="1" applyAlignment="1">
      <alignment horizontal="left"/>
    </xf>
    <xf numFmtId="0" fontId="8" fillId="0" borderId="18" xfId="0" applyFont="1" applyBorder="1" applyAlignment="1">
      <alignment horizontal="left" vertical="center" wrapText="1"/>
    </xf>
    <xf numFmtId="0" fontId="8" fillId="0" borderId="14" xfId="0" applyFont="1" applyBorder="1" applyAlignment="1">
      <alignment horizontal="left" vertical="center" wrapText="1"/>
    </xf>
    <xf numFmtId="0" fontId="8" fillId="30" borderId="1" xfId="0" applyFont="1" applyFill="1" applyBorder="1" applyAlignment="1">
      <alignment horizontal="center" vertical="center" wrapText="1"/>
    </xf>
    <xf numFmtId="0" fontId="8" fillId="30" borderId="1" xfId="0" applyFont="1" applyFill="1" applyBorder="1" applyAlignment="1">
      <alignment horizontal="center" vertical="center"/>
    </xf>
    <xf numFmtId="0" fontId="8" fillId="30" borderId="1" xfId="0" applyFont="1" applyFill="1" applyBorder="1" applyAlignment="1">
      <alignment horizontal="center" vertical="center" readingOrder="1"/>
    </xf>
    <xf numFmtId="4" fontId="8" fillId="30" borderId="1" xfId="0" applyNumberFormat="1" applyFont="1" applyFill="1" applyBorder="1" applyAlignment="1">
      <alignment horizontal="center" vertical="center"/>
    </xf>
    <xf numFmtId="10" fontId="8" fillId="30" borderId="1" xfId="0" applyNumberFormat="1" applyFont="1" applyFill="1" applyBorder="1" applyAlignment="1">
      <alignment horizontal="center" vertical="center"/>
    </xf>
    <xf numFmtId="0" fontId="8" fillId="30" borderId="0" xfId="0" applyFont="1" applyFill="1" applyAlignment="1">
      <alignment horizontal="center" vertical="center"/>
    </xf>
    <xf numFmtId="164" fontId="9" fillId="0" borderId="1" xfId="0" applyNumberFormat="1" applyFont="1" applyBorder="1" applyAlignment="1">
      <alignment horizontal="center" vertical="center"/>
    </xf>
    <xf numFmtId="0" fontId="67" fillId="0" borderId="1" xfId="0" applyFont="1" applyBorder="1"/>
    <xf numFmtId="4" fontId="67" fillId="0" borderId="1" xfId="0" applyNumberFormat="1" applyFont="1" applyBorder="1"/>
    <xf numFmtId="10" fontId="9" fillId="19" borderId="1" xfId="0" applyNumberFormat="1" applyFont="1" applyFill="1" applyBorder="1" applyAlignment="1">
      <alignment horizontal="center" vertical="center"/>
    </xf>
    <xf numFmtId="3" fontId="9" fillId="0" borderId="1" xfId="0" applyNumberFormat="1" applyFont="1" applyBorder="1" applyAlignment="1">
      <alignment horizontal="center" vertical="center"/>
    </xf>
    <xf numFmtId="10" fontId="9" fillId="0" borderId="1" xfId="0" applyNumberFormat="1" applyFont="1" applyBorder="1" applyAlignment="1">
      <alignment horizontal="center" vertical="center"/>
    </xf>
    <xf numFmtId="4" fontId="9" fillId="0" borderId="1" xfId="0" applyNumberFormat="1" applyFont="1" applyBorder="1" applyAlignment="1">
      <alignment horizontal="center" vertical="center"/>
    </xf>
    <xf numFmtId="0" fontId="9" fillId="24" borderId="1" xfId="0" applyFont="1" applyFill="1" applyBorder="1" applyAlignment="1">
      <alignment horizontal="center" vertical="center" wrapText="1"/>
    </xf>
    <xf numFmtId="0" fontId="9" fillId="24" borderId="1" xfId="0" applyFont="1" applyFill="1" applyBorder="1" applyAlignment="1">
      <alignment horizontal="center" vertical="center" readingOrder="1"/>
    </xf>
    <xf numFmtId="0" fontId="19" fillId="0" borderId="0" xfId="0" applyFont="1" applyAlignment="1">
      <alignment horizontal="center" vertical="center"/>
    </xf>
    <xf numFmtId="0" fontId="18" fillId="0" borderId="1" xfId="0" applyFont="1" applyBorder="1"/>
    <xf numFmtId="0" fontId="18" fillId="0" borderId="2" xfId="0" applyFont="1" applyBorder="1"/>
    <xf numFmtId="0" fontId="18" fillId="0" borderId="2" xfId="0" applyFont="1" applyBorder="1" applyAlignment="1">
      <alignment wrapText="1"/>
    </xf>
    <xf numFmtId="15" fontId="18" fillId="0" borderId="2" xfId="0" applyNumberFormat="1" applyFont="1" applyBorder="1" applyAlignment="1">
      <alignment wrapText="1"/>
    </xf>
    <xf numFmtId="0" fontId="18" fillId="0" borderId="22" xfId="0" applyFont="1" applyBorder="1" applyAlignment="1">
      <alignment wrapText="1"/>
    </xf>
    <xf numFmtId="0" fontId="18" fillId="0" borderId="17" xfId="0" applyFont="1" applyBorder="1"/>
    <xf numFmtId="0" fontId="18" fillId="0" borderId="5" xfId="0" applyFont="1" applyBorder="1" applyAlignment="1">
      <alignment wrapText="1"/>
    </xf>
    <xf numFmtId="0" fontId="18" fillId="0" borderId="5" xfId="0" applyFont="1" applyBorder="1"/>
    <xf numFmtId="15" fontId="18" fillId="0" borderId="2" xfId="0" applyNumberFormat="1" applyFont="1" applyBorder="1"/>
    <xf numFmtId="0" fontId="18" fillId="34" borderId="2" xfId="0" applyFont="1" applyFill="1" applyBorder="1" applyAlignment="1">
      <alignment wrapText="1"/>
    </xf>
    <xf numFmtId="0" fontId="18" fillId="0" borderId="14" xfId="0" applyFont="1" applyBorder="1"/>
    <xf numFmtId="0" fontId="18" fillId="0" borderId="12" xfId="0" applyFont="1" applyBorder="1"/>
    <xf numFmtId="0" fontId="18" fillId="0" borderId="12" xfId="0" applyFont="1" applyBorder="1" applyAlignment="1">
      <alignment wrapText="1"/>
    </xf>
    <xf numFmtId="15" fontId="18" fillId="0" borderId="12" xfId="0" applyNumberFormat="1" applyFont="1" applyBorder="1" applyAlignment="1">
      <alignment wrapText="1"/>
    </xf>
    <xf numFmtId="0" fontId="18" fillId="0" borderId="23" xfId="0" applyFont="1" applyBorder="1" applyAlignment="1">
      <alignment wrapText="1"/>
    </xf>
    <xf numFmtId="0" fontId="18" fillId="0" borderId="4" xfId="0" applyFont="1" applyBorder="1"/>
    <xf numFmtId="0" fontId="18" fillId="0" borderId="6" xfId="0" applyFont="1" applyBorder="1"/>
    <xf numFmtId="0" fontId="18" fillId="0" borderId="6" xfId="0" applyFont="1" applyBorder="1" applyAlignment="1">
      <alignment wrapText="1"/>
    </xf>
    <xf numFmtId="15" fontId="18" fillId="0" borderId="12" xfId="0" applyNumberFormat="1" applyFont="1" applyBorder="1"/>
    <xf numFmtId="0" fontId="18" fillId="34" borderId="12" xfId="0" applyFont="1" applyFill="1" applyBorder="1" applyAlignment="1">
      <alignment wrapText="1"/>
    </xf>
    <xf numFmtId="0" fontId="18" fillId="0" borderId="24" xfId="0" applyFont="1" applyBorder="1"/>
    <xf numFmtId="0" fontId="2" fillId="31" borderId="3" xfId="0" applyFont="1" applyFill="1" applyBorder="1"/>
    <xf numFmtId="0" fontId="2" fillId="31" borderId="15" xfId="0" applyFont="1" applyFill="1" applyBorder="1"/>
    <xf numFmtId="0" fontId="13" fillId="32" borderId="15" xfId="0" applyFont="1" applyFill="1" applyBorder="1"/>
    <xf numFmtId="0" fontId="2" fillId="33" borderId="15" xfId="0" applyFont="1" applyFill="1" applyBorder="1"/>
    <xf numFmtId="0" fontId="2" fillId="2" borderId="15" xfId="0" applyFont="1" applyFill="1" applyBorder="1"/>
    <xf numFmtId="0" fontId="44" fillId="0" borderId="18" xfId="0" applyFont="1" applyBorder="1" applyAlignment="1">
      <alignment wrapText="1"/>
    </xf>
    <xf numFmtId="0" fontId="56" fillId="0" borderId="0" xfId="0" applyFont="1" applyAlignment="1">
      <alignment wrapText="1"/>
    </xf>
    <xf numFmtId="16" fontId="47" fillId="0" borderId="14" xfId="0" applyNumberFormat="1" applyFont="1" applyBorder="1" applyAlignment="1">
      <alignment horizontal="center" vertical="center" indent="1"/>
    </xf>
    <xf numFmtId="10" fontId="8" fillId="0" borderId="0" xfId="0" applyNumberFormat="1" applyFont="1" applyAlignment="1">
      <alignment horizontal="center" vertical="center"/>
    </xf>
    <xf numFmtId="15" fontId="0" fillId="0" borderId="1" xfId="0" applyNumberFormat="1" applyBorder="1" applyAlignment="1">
      <alignment horizontal="center" vertical="center"/>
    </xf>
    <xf numFmtId="0" fontId="5" fillId="0" borderId="5" xfId="0" applyFont="1" applyBorder="1" applyAlignment="1">
      <alignment horizontal="center" vertical="center" wrapText="1"/>
    </xf>
    <xf numFmtId="0" fontId="5" fillId="0" borderId="3" xfId="0" applyFont="1" applyBorder="1" applyAlignment="1">
      <alignment horizontal="center" vertical="center" wrapText="1"/>
    </xf>
    <xf numFmtId="15" fontId="5" fillId="0" borderId="14" xfId="0" applyNumberFormat="1" applyFont="1" applyBorder="1" applyAlignment="1">
      <alignment horizontal="center" vertical="center" wrapText="1" indent="1"/>
    </xf>
    <xf numFmtId="15" fontId="5" fillId="0" borderId="14" xfId="0" applyNumberFormat="1" applyFont="1" applyBorder="1" applyAlignment="1">
      <alignment horizontal="center" vertical="center" wrapText="1"/>
    </xf>
    <xf numFmtId="0" fontId="44" fillId="0" borderId="1" xfId="0" applyFont="1" applyBorder="1" applyAlignment="1">
      <alignment wrapText="1"/>
    </xf>
    <xf numFmtId="0" fontId="39" fillId="0" borderId="1" xfId="0" applyFont="1" applyBorder="1" applyAlignment="1">
      <alignment wrapText="1"/>
    </xf>
    <xf numFmtId="17" fontId="8" fillId="0" borderId="1" xfId="0" applyNumberFormat="1" applyFont="1" applyBorder="1" applyAlignment="1">
      <alignment horizontal="center" vertical="center"/>
    </xf>
    <xf numFmtId="0" fontId="8" fillId="0" borderId="3" xfId="0" applyFont="1" applyBorder="1" applyAlignment="1">
      <alignment horizontal="center" vertical="center" wrapText="1" indent="3"/>
    </xf>
    <xf numFmtId="0" fontId="8" fillId="0" borderId="15" xfId="0" applyFont="1" applyBorder="1" applyAlignment="1">
      <alignment horizontal="center" vertical="center" wrapText="1"/>
    </xf>
    <xf numFmtId="0" fontId="9" fillId="0" borderId="3" xfId="0" applyFont="1" applyBorder="1" applyAlignment="1">
      <alignment horizontal="center" vertical="center" wrapText="1" indent="1"/>
    </xf>
    <xf numFmtId="164" fontId="8" fillId="0" borderId="7" xfId="0" applyNumberFormat="1" applyFont="1" applyBorder="1" applyAlignment="1">
      <alignment horizontal="center" vertical="center" wrapText="1"/>
    </xf>
    <xf numFmtId="0" fontId="0" fillId="0" borderId="18" xfId="0" applyBorder="1" applyAlignment="1">
      <alignment wrapText="1"/>
    </xf>
    <xf numFmtId="0" fontId="9" fillId="0" borderId="18" xfId="0" applyFont="1" applyBorder="1" applyAlignment="1">
      <alignment horizontal="center" vertical="center" wrapText="1" indent="3"/>
    </xf>
    <xf numFmtId="15" fontId="8" fillId="0" borderId="18" xfId="0" applyNumberFormat="1" applyFont="1" applyBorder="1" applyAlignment="1">
      <alignment horizontal="center" vertical="center" wrapText="1"/>
    </xf>
    <xf numFmtId="0" fontId="38" fillId="0" borderId="18" xfId="0" applyFont="1" applyBorder="1" applyAlignment="1">
      <alignment horizontal="left" wrapText="1"/>
    </xf>
    <xf numFmtId="0" fontId="18" fillId="0" borderId="14" xfId="0" applyFont="1" applyBorder="1" applyAlignment="1">
      <alignment horizontal="center" vertical="center" wrapText="1" indent="1"/>
    </xf>
    <xf numFmtId="0" fontId="18" fillId="0" borderId="3" xfId="0" applyFont="1" applyBorder="1" applyAlignment="1">
      <alignment horizontal="center" vertical="center" wrapText="1" indent="1"/>
    </xf>
    <xf numFmtId="0" fontId="18" fillId="0" borderId="2" xfId="0" applyFont="1" applyBorder="1" applyAlignment="1">
      <alignment horizontal="center" vertical="center" wrapText="1" indent="1"/>
    </xf>
    <xf numFmtId="0" fontId="5" fillId="0" borderId="3" xfId="0" applyFont="1" applyBorder="1" applyAlignment="1">
      <alignment horizontal="center" vertical="center" wrapText="1" indent="1"/>
    </xf>
    <xf numFmtId="0" fontId="18" fillId="0" borderId="0" xfId="0" applyFont="1" applyAlignment="1">
      <alignment horizontal="center" vertical="center" wrapText="1"/>
    </xf>
    <xf numFmtId="15" fontId="18" fillId="0" borderId="0" xfId="0" applyNumberFormat="1" applyFont="1" applyAlignment="1">
      <alignment horizontal="center" vertical="center" wrapText="1"/>
    </xf>
    <xf numFmtId="0" fontId="18" fillId="0" borderId="0" xfId="0" applyFont="1" applyAlignment="1">
      <alignment horizontal="center" vertical="center" wrapText="1" indent="1"/>
    </xf>
    <xf numFmtId="0" fontId="34" fillId="0" borderId="0" xfId="0" applyFont="1" applyAlignment="1">
      <alignment horizontal="center"/>
    </xf>
    <xf numFmtId="0" fontId="32" fillId="0" borderId="0" xfId="0" applyFont="1" applyAlignment="1">
      <alignment horizontal="center" vertical="center"/>
    </xf>
    <xf numFmtId="0" fontId="60" fillId="0" borderId="1" xfId="0" applyFont="1" applyBorder="1" applyAlignment="1">
      <alignment horizontal="right"/>
    </xf>
    <xf numFmtId="0" fontId="0" fillId="0" borderId="3" xfId="0" applyBorder="1" applyAlignment="1">
      <alignment horizontal="center" vertical="center"/>
    </xf>
    <xf numFmtId="0" fontId="53" fillId="35" borderId="1" xfId="0" applyFont="1" applyFill="1" applyBorder="1"/>
    <xf numFmtId="0" fontId="36" fillId="35" borderId="1" xfId="0" applyFont="1" applyFill="1" applyBorder="1" applyAlignment="1">
      <alignment horizontal="center" vertical="center"/>
    </xf>
    <xf numFmtId="0" fontId="53" fillId="35" borderId="1" xfId="0" applyFont="1" applyFill="1" applyBorder="1" applyAlignment="1">
      <alignment horizontal="left"/>
    </xf>
    <xf numFmtId="1" fontId="8" fillId="19" borderId="5" xfId="0" applyNumberFormat="1" applyFont="1" applyFill="1" applyBorder="1" applyAlignment="1">
      <alignment horizontal="center" vertical="center" wrapText="1"/>
    </xf>
    <xf numFmtId="0" fontId="8" fillId="19" borderId="2" xfId="0" applyFont="1" applyFill="1" applyBorder="1" applyAlignment="1">
      <alignment horizontal="center" vertical="center" wrapText="1"/>
    </xf>
    <xf numFmtId="0" fontId="0" fillId="0" borderId="5" xfId="0" applyBorder="1" applyAlignment="1">
      <alignment wrapText="1"/>
    </xf>
    <xf numFmtId="0" fontId="0" fillId="0" borderId="7" xfId="0" applyBorder="1" applyAlignment="1">
      <alignment wrapText="1"/>
    </xf>
    <xf numFmtId="0" fontId="8" fillId="0" borderId="0" xfId="0" applyFont="1" applyAlignment="1">
      <alignment horizontal="center" wrapText="1"/>
    </xf>
    <xf numFmtId="0" fontId="8" fillId="0" borderId="1" xfId="0" applyFont="1" applyBorder="1" applyAlignment="1">
      <alignment horizontal="center" wrapText="1"/>
    </xf>
    <xf numFmtId="0" fontId="9" fillId="0" borderId="18" xfId="0" applyFont="1" applyBorder="1" applyAlignment="1">
      <alignment horizontal="center" vertical="center"/>
    </xf>
    <xf numFmtId="164" fontId="8" fillId="0" borderId="13" xfId="0" applyNumberFormat="1" applyFont="1" applyBorder="1" applyAlignment="1">
      <alignment horizontal="center" vertical="center" wrapText="1"/>
    </xf>
    <xf numFmtId="0" fontId="8" fillId="0" borderId="4" xfId="0" applyFont="1" applyBorder="1" applyAlignment="1">
      <alignment horizontal="center" vertical="center" wrapText="1"/>
    </xf>
    <xf numFmtId="0" fontId="40" fillId="0" borderId="3" xfId="0" applyFont="1" applyBorder="1" applyAlignment="1">
      <alignment horizontal="center" vertical="center"/>
    </xf>
    <xf numFmtId="0" fontId="19" fillId="0" borderId="14" xfId="0" applyFont="1" applyBorder="1"/>
    <xf numFmtId="0" fontId="60" fillId="0" borderId="5" xfId="0" applyFont="1" applyBorder="1" applyAlignment="1">
      <alignment horizontal="right"/>
    </xf>
    <xf numFmtId="0" fontId="36" fillId="35" borderId="3" xfId="0" applyFont="1" applyFill="1" applyBorder="1" applyAlignment="1">
      <alignment horizontal="center" vertical="center"/>
    </xf>
    <xf numFmtId="0" fontId="0" fillId="0" borderId="2" xfId="0" applyBorder="1" applyAlignment="1">
      <alignment horizontal="center" vertical="center" wrapText="1"/>
    </xf>
    <xf numFmtId="0" fontId="36" fillId="0" borderId="0" xfId="0" applyFont="1" applyAlignment="1">
      <alignment horizontal="center" vertical="center"/>
    </xf>
    <xf numFmtId="2" fontId="0" fillId="0" borderId="1" xfId="0" applyNumberFormat="1" applyBorder="1" applyAlignment="1">
      <alignment horizontal="center" vertical="center" wrapText="1"/>
    </xf>
    <xf numFmtId="0" fontId="23" fillId="0" borderId="0" xfId="0" applyFont="1" applyAlignment="1">
      <alignment wrapText="1"/>
    </xf>
    <xf numFmtId="0" fontId="9" fillId="28" borderId="14" xfId="0" applyFont="1" applyFill="1" applyBorder="1" applyAlignment="1">
      <alignment horizontal="center" vertical="center"/>
    </xf>
    <xf numFmtId="15" fontId="9" fillId="3" borderId="1" xfId="0" applyNumberFormat="1" applyFont="1" applyFill="1" applyBorder="1" applyAlignment="1">
      <alignment horizontal="center" vertical="center" wrapText="1"/>
    </xf>
    <xf numFmtId="0" fontId="38" fillId="0" borderId="18" xfId="0" applyFont="1" applyBorder="1"/>
    <xf numFmtId="4" fontId="11" fillId="0" borderId="1" xfId="0" applyNumberFormat="1" applyFont="1" applyBorder="1" applyAlignment="1">
      <alignment horizontal="center" vertical="center"/>
    </xf>
    <xf numFmtId="0" fontId="11" fillId="0" borderId="1" xfId="0" applyFont="1" applyBorder="1" applyAlignment="1">
      <alignment horizontal="center" vertical="center"/>
    </xf>
    <xf numFmtId="0" fontId="60" fillId="0" borderId="1" xfId="0" applyFont="1" applyBorder="1" applyAlignment="1">
      <alignment horizontal="center" vertical="center"/>
    </xf>
    <xf numFmtId="4" fontId="60" fillId="0" borderId="1" xfId="0" applyNumberFormat="1" applyFont="1" applyBorder="1" applyAlignment="1">
      <alignment horizontal="center" vertical="center"/>
    </xf>
    <xf numFmtId="0" fontId="7" fillId="0" borderId="1" xfId="0" applyFont="1" applyBorder="1" applyAlignment="1">
      <alignment horizontal="center" vertical="center"/>
    </xf>
    <xf numFmtId="4" fontId="10" fillId="0" borderId="1" xfId="0" applyNumberFormat="1" applyFont="1" applyBorder="1" applyAlignment="1">
      <alignment horizontal="center" vertical="center"/>
    </xf>
    <xf numFmtId="15" fontId="0" fillId="0" borderId="0" xfId="0" applyNumberFormat="1" applyAlignment="1">
      <alignment horizontal="center" vertical="center"/>
    </xf>
    <xf numFmtId="0" fontId="18" fillId="0" borderId="3" xfId="0" applyFont="1" applyBorder="1" applyAlignment="1">
      <alignment horizontal="center" vertical="center" wrapText="1"/>
    </xf>
    <xf numFmtId="0" fontId="18" fillId="0" borderId="14" xfId="0" applyFont="1" applyBorder="1" applyAlignment="1">
      <alignment horizontal="center" vertical="center" wrapText="1"/>
    </xf>
    <xf numFmtId="0" fontId="49" fillId="4" borderId="1" xfId="0" applyFont="1" applyFill="1" applyBorder="1" applyAlignment="1">
      <alignment horizontal="center" vertical="center" wrapText="1"/>
    </xf>
    <xf numFmtId="0" fontId="34" fillId="0" borderId="3" xfId="0" applyFont="1" applyBorder="1" applyAlignment="1">
      <alignment horizontal="center"/>
    </xf>
    <xf numFmtId="0" fontId="57" fillId="0" borderId="0" xfId="0" applyFont="1" applyAlignment="1">
      <alignment horizontal="center"/>
    </xf>
    <xf numFmtId="0" fontId="18" fillId="0" borderId="18" xfId="0" applyFont="1" applyBorder="1" applyAlignment="1">
      <alignment horizontal="center" vertical="center" wrapText="1"/>
    </xf>
    <xf numFmtId="0" fontId="56" fillId="0" borderId="5" xfId="0" applyFont="1" applyBorder="1" applyAlignment="1">
      <alignment horizontal="center" vertical="center"/>
    </xf>
    <xf numFmtId="0" fontId="18" fillId="0" borderId="2" xfId="0" applyFont="1" applyBorder="1" applyAlignment="1">
      <alignment horizontal="center" vertical="center" wrapText="1"/>
    </xf>
    <xf numFmtId="0" fontId="59" fillId="0" borderId="1" xfId="0" applyFont="1" applyBorder="1"/>
    <xf numFmtId="3" fontId="63" fillId="0" borderId="1" xfId="0" applyNumberFormat="1" applyFont="1" applyBorder="1"/>
    <xf numFmtId="4" fontId="68" fillId="0" borderId="1" xfId="0" applyNumberFormat="1" applyFont="1" applyBorder="1"/>
    <xf numFmtId="4" fontId="37" fillId="0" borderId="0" xfId="0" applyNumberFormat="1" applyFont="1"/>
    <xf numFmtId="0" fontId="24" fillId="0" borderId="0" xfId="0" applyFont="1" applyAlignment="1">
      <alignment horizontal="center"/>
    </xf>
    <xf numFmtId="164" fontId="24" fillId="0" borderId="0" xfId="0" applyNumberFormat="1" applyFont="1" applyAlignment="1">
      <alignment horizontal="center"/>
    </xf>
    <xf numFmtId="0" fontId="24" fillId="0" borderId="0" xfId="0" applyFont="1" applyAlignment="1">
      <alignment horizontal="center" vertical="center" wrapText="1" indent="2"/>
    </xf>
    <xf numFmtId="15" fontId="18" fillId="0" borderId="3" xfId="0" applyNumberFormat="1" applyFont="1" applyBorder="1" applyAlignment="1">
      <alignment horizontal="center" vertical="center" wrapText="1"/>
    </xf>
    <xf numFmtId="15" fontId="18" fillId="0" borderId="14" xfId="0" applyNumberFormat="1" applyFont="1" applyBorder="1" applyAlignment="1">
      <alignment horizontal="center" vertical="center" wrapText="1"/>
    </xf>
    <xf numFmtId="0" fontId="0" fillId="0" borderId="14" xfId="0" applyBorder="1" applyAlignment="1">
      <alignment horizontal="center"/>
    </xf>
    <xf numFmtId="0" fontId="8" fillId="0" borderId="3" xfId="0" applyFont="1" applyBorder="1" applyAlignment="1">
      <alignment horizontal="center" wrapText="1"/>
    </xf>
    <xf numFmtId="0" fontId="72" fillId="0" borderId="0" xfId="0" applyFont="1"/>
    <xf numFmtId="0" fontId="53" fillId="0" borderId="1" xfId="0" applyFont="1" applyBorder="1" applyAlignment="1">
      <alignment horizontal="center" vertical="center" wrapText="1"/>
    </xf>
    <xf numFmtId="0" fontId="22" fillId="0" borderId="1" xfId="0" applyFont="1" applyBorder="1" applyAlignment="1">
      <alignment horizontal="left" vertical="top" wrapText="1"/>
    </xf>
    <xf numFmtId="0" fontId="22" fillId="0" borderId="0" xfId="0" applyFont="1" applyAlignment="1">
      <alignment horizontal="center" vertical="center" wrapText="1"/>
    </xf>
    <xf numFmtId="0" fontId="74" fillId="0" borderId="11" xfId="0" applyFont="1" applyBorder="1" applyAlignment="1">
      <alignment horizontal="center" vertical="center" wrapText="1"/>
    </xf>
    <xf numFmtId="0" fontId="74" fillId="0" borderId="14" xfId="0" applyFont="1" applyBorder="1" applyAlignment="1">
      <alignment horizontal="center" vertical="center"/>
    </xf>
    <xf numFmtId="0" fontId="75" fillId="5" borderId="3" xfId="0" applyFont="1" applyFill="1" applyBorder="1" applyAlignment="1">
      <alignment horizontal="center" vertical="center"/>
    </xf>
    <xf numFmtId="0" fontId="75" fillId="5" borderId="3" xfId="0" applyFont="1" applyFill="1" applyBorder="1" applyAlignment="1">
      <alignment horizontal="center" vertical="center" wrapText="1"/>
    </xf>
    <xf numFmtId="0" fontId="75" fillId="12" borderId="3" xfId="0" applyFont="1" applyFill="1" applyBorder="1" applyAlignment="1">
      <alignment horizontal="center" vertical="center" wrapText="1"/>
    </xf>
    <xf numFmtId="0" fontId="75" fillId="6" borderId="3" xfId="0" applyFont="1" applyFill="1" applyBorder="1" applyAlignment="1">
      <alignment horizontal="center" vertical="center" wrapText="1"/>
    </xf>
    <xf numFmtId="0" fontId="75" fillId="2" borderId="3" xfId="0" applyFont="1" applyFill="1" applyBorder="1" applyAlignment="1">
      <alignment horizontal="center" vertical="center" wrapText="1"/>
    </xf>
    <xf numFmtId="0" fontId="57" fillId="0" borderId="0" xfId="0" applyFont="1"/>
    <xf numFmtId="14" fontId="24" fillId="0" borderId="1" xfId="0" applyNumberFormat="1" applyFont="1" applyBorder="1" applyAlignment="1">
      <alignment horizontal="center" vertical="center" wrapText="1"/>
    </xf>
    <xf numFmtId="0" fontId="8" fillId="0" borderId="4" xfId="0" applyFont="1" applyBorder="1" applyAlignment="1">
      <alignment horizontal="center" vertical="center"/>
    </xf>
    <xf numFmtId="4" fontId="8" fillId="0" borderId="14" xfId="0" applyNumberFormat="1" applyFont="1" applyBorder="1" applyAlignment="1">
      <alignment horizontal="center" vertical="center"/>
    </xf>
    <xf numFmtId="0" fontId="9" fillId="0" borderId="1" xfId="0" applyFont="1" applyBorder="1" applyAlignment="1">
      <alignment horizontal="center"/>
    </xf>
    <xf numFmtId="0" fontId="73" fillId="0" borderId="1" xfId="0" applyFont="1" applyBorder="1" applyAlignment="1">
      <alignment horizontal="center"/>
    </xf>
    <xf numFmtId="4" fontId="73" fillId="0" borderId="1" xfId="0" applyNumberFormat="1" applyFont="1" applyBorder="1" applyAlignment="1">
      <alignment horizontal="center" vertical="center"/>
    </xf>
    <xf numFmtId="4" fontId="69" fillId="0" borderId="1" xfId="0" applyNumberFormat="1" applyFont="1" applyBorder="1" applyAlignment="1">
      <alignment horizontal="center"/>
    </xf>
    <xf numFmtId="0" fontId="9" fillId="3" borderId="0" xfId="0" applyFont="1" applyFill="1" applyAlignment="1">
      <alignment horizontal="center" vertical="center" wrapText="1"/>
    </xf>
    <xf numFmtId="16" fontId="8" fillId="0" borderId="1" xfId="0" applyNumberFormat="1" applyFont="1" applyBorder="1" applyAlignment="1">
      <alignment horizontal="center" vertical="center"/>
    </xf>
    <xf numFmtId="0" fontId="56" fillId="0" borderId="5" xfId="0" applyFont="1" applyBorder="1"/>
    <xf numFmtId="0" fontId="8" fillId="0" borderId="1" xfId="0" applyFont="1" applyBorder="1" applyAlignment="1">
      <alignment horizontal="center" vertical="center" wrapText="1" indent="2"/>
    </xf>
    <xf numFmtId="0" fontId="64" fillId="0" borderId="5" xfId="0" applyFont="1" applyBorder="1" applyAlignment="1">
      <alignment horizontal="center" vertical="center" wrapText="1"/>
    </xf>
    <xf numFmtId="0" fontId="8" fillId="0" borderId="5" xfId="0" applyFont="1" applyBorder="1" applyAlignment="1">
      <alignment horizontal="center" wrapText="1"/>
    </xf>
    <xf numFmtId="0" fontId="7" fillId="3" borderId="1" xfId="0" applyFont="1" applyFill="1" applyBorder="1" applyAlignment="1">
      <alignment horizontal="center" wrapText="1"/>
    </xf>
    <xf numFmtId="0" fontId="43" fillId="28" borderId="1" xfId="0" applyFont="1" applyFill="1" applyBorder="1" applyAlignment="1">
      <alignment horizontal="center" vertical="center"/>
    </xf>
    <xf numFmtId="0" fontId="77" fillId="0" borderId="1" xfId="0" applyFont="1" applyBorder="1"/>
    <xf numFmtId="4" fontId="59" fillId="0" borderId="1" xfId="0" applyNumberFormat="1" applyFont="1" applyBorder="1"/>
    <xf numFmtId="0" fontId="9" fillId="0" borderId="0" xfId="0" applyFont="1" applyAlignment="1">
      <alignment horizontal="center" vertical="center" indent="1"/>
    </xf>
    <xf numFmtId="0" fontId="8" fillId="0" borderId="0" xfId="0" applyFont="1" applyAlignment="1">
      <alignment horizontal="center" vertical="center" indent="1"/>
    </xf>
    <xf numFmtId="0" fontId="9" fillId="28" borderId="18" xfId="0" applyFont="1" applyFill="1" applyBorder="1" applyAlignment="1">
      <alignment horizontal="center" vertical="center"/>
    </xf>
    <xf numFmtId="3" fontId="8" fillId="0" borderId="0" xfId="0" applyNumberFormat="1" applyFont="1" applyAlignment="1">
      <alignment horizontal="center" vertical="center"/>
    </xf>
    <xf numFmtId="0" fontId="19" fillId="0" borderId="0" xfId="0" applyFont="1" applyAlignment="1">
      <alignment horizontal="center"/>
    </xf>
    <xf numFmtId="0" fontId="8" fillId="0" borderId="3" xfId="0" applyFont="1" applyBorder="1" applyAlignment="1">
      <alignment horizontal="center" vertical="center" wrapText="1" indent="2"/>
    </xf>
    <xf numFmtId="0" fontId="5" fillId="17" borderId="1" xfId="0" applyFont="1" applyFill="1" applyBorder="1" applyAlignment="1">
      <alignment horizontal="center" vertical="center" wrapText="1"/>
    </xf>
    <xf numFmtId="15" fontId="5" fillId="17" borderId="1" xfId="0" applyNumberFormat="1" applyFont="1" applyFill="1" applyBorder="1" applyAlignment="1">
      <alignment horizontal="center" vertical="center" wrapText="1" indent="1"/>
    </xf>
    <xf numFmtId="15" fontId="5" fillId="17" borderId="1" xfId="0" applyNumberFormat="1" applyFont="1" applyFill="1" applyBorder="1" applyAlignment="1">
      <alignment horizontal="center" vertical="center" wrapText="1"/>
    </xf>
    <xf numFmtId="0" fontId="32" fillId="0" borderId="0" xfId="0" applyFont="1"/>
    <xf numFmtId="0" fontId="8" fillId="11" borderId="1" xfId="0" applyFont="1" applyFill="1" applyBorder="1" applyAlignment="1">
      <alignment horizontal="center" vertical="center" wrapText="1"/>
    </xf>
    <xf numFmtId="0" fontId="47" fillId="11" borderId="14" xfId="0" applyFont="1" applyFill="1" applyBorder="1"/>
    <xf numFmtId="164" fontId="8" fillId="11" borderId="1" xfId="0" applyNumberFormat="1" applyFont="1" applyFill="1" applyBorder="1" applyAlignment="1">
      <alignment horizontal="center" vertical="center"/>
    </xf>
    <xf numFmtId="0" fontId="8" fillId="11" borderId="0" xfId="0" applyFont="1" applyFill="1" applyAlignment="1">
      <alignment horizontal="center" vertical="center"/>
    </xf>
    <xf numFmtId="0" fontId="9" fillId="11" borderId="1" xfId="0" applyFont="1" applyFill="1" applyBorder="1" applyAlignment="1">
      <alignment horizontal="center" vertical="center" readingOrder="1"/>
    </xf>
    <xf numFmtId="4" fontId="8" fillId="11" borderId="1" xfId="0" applyNumberFormat="1" applyFont="1" applyFill="1" applyBorder="1" applyAlignment="1">
      <alignment horizontal="center" vertical="center"/>
    </xf>
    <xf numFmtId="0" fontId="47" fillId="11" borderId="14" xfId="0" applyFont="1" applyFill="1" applyBorder="1" applyAlignment="1">
      <alignment horizontal="center" vertical="center"/>
    </xf>
    <xf numFmtId="0" fontId="9" fillId="11" borderId="1" xfId="0" applyFont="1" applyFill="1" applyBorder="1" applyAlignment="1">
      <alignment horizontal="center" vertical="center"/>
    </xf>
    <xf numFmtId="0" fontId="8" fillId="11" borderId="1" xfId="0" applyFont="1" applyFill="1" applyBorder="1" applyAlignment="1">
      <alignment horizontal="center" vertical="center" readingOrder="1"/>
    </xf>
    <xf numFmtId="10" fontId="8" fillId="11" borderId="1" xfId="0" applyNumberFormat="1" applyFont="1" applyFill="1" applyBorder="1" applyAlignment="1">
      <alignment horizontal="center" vertical="center"/>
    </xf>
    <xf numFmtId="0" fontId="46" fillId="11" borderId="1" xfId="0" applyFont="1" applyFill="1" applyBorder="1" applyAlignment="1">
      <alignment horizontal="center" vertical="center" wrapText="1"/>
    </xf>
    <xf numFmtId="3" fontId="8" fillId="11" borderId="1" xfId="0" applyNumberFormat="1" applyFont="1" applyFill="1" applyBorder="1" applyAlignment="1">
      <alignment horizontal="center" vertical="center"/>
    </xf>
    <xf numFmtId="0" fontId="8" fillId="11" borderId="14" xfId="0" applyFont="1" applyFill="1" applyBorder="1" applyAlignment="1">
      <alignment horizontal="center" vertical="center"/>
    </xf>
    <xf numFmtId="3" fontId="8" fillId="11" borderId="1" xfId="0" applyNumberFormat="1" applyFont="1" applyFill="1" applyBorder="1" applyAlignment="1">
      <alignment horizontal="center" vertical="center" wrapText="1"/>
    </xf>
    <xf numFmtId="0" fontId="8" fillId="11" borderId="5" xfId="0" applyFont="1" applyFill="1" applyBorder="1" applyAlignment="1">
      <alignment horizontal="center" vertical="center"/>
    </xf>
    <xf numFmtId="164" fontId="8" fillId="11" borderId="2" xfId="0" applyNumberFormat="1" applyFont="1" applyFill="1" applyBorder="1" applyAlignment="1">
      <alignment horizontal="center" vertical="center"/>
    </xf>
    <xf numFmtId="164" fontId="8" fillId="28" borderId="1" xfId="0" applyNumberFormat="1" applyFont="1" applyFill="1" applyBorder="1" applyAlignment="1">
      <alignment horizontal="center" vertical="center"/>
    </xf>
    <xf numFmtId="1" fontId="8" fillId="28" borderId="1" xfId="0" applyNumberFormat="1" applyFont="1" applyFill="1" applyBorder="1" applyAlignment="1">
      <alignment horizontal="center" vertical="center" wrapText="1"/>
    </xf>
    <xf numFmtId="0" fontId="78" fillId="0" borderId="0" xfId="0" applyFont="1" applyAlignment="1">
      <alignment horizontal="center" vertical="center" wrapText="1"/>
    </xf>
    <xf numFmtId="0" fontId="78" fillId="36" borderId="1" xfId="0" applyFont="1" applyFill="1" applyBorder="1" applyAlignment="1">
      <alignment horizontal="center" vertical="center" wrapText="1"/>
    </xf>
    <xf numFmtId="0" fontId="47" fillId="0" borderId="1" xfId="0" applyFont="1" applyBorder="1" applyAlignment="1">
      <alignment vertical="center"/>
    </xf>
    <xf numFmtId="0" fontId="70" fillId="0" borderId="1" xfId="0" applyFont="1" applyBorder="1" applyAlignment="1">
      <alignment wrapText="1"/>
    </xf>
    <xf numFmtId="0" fontId="47" fillId="28" borderId="1" xfId="0" applyFont="1" applyFill="1" applyBorder="1" applyAlignment="1">
      <alignment vertical="center"/>
    </xf>
    <xf numFmtId="0" fontId="0" fillId="0" borderId="0" xfId="0" pivotButton="1"/>
    <xf numFmtId="0" fontId="9" fillId="0" borderId="0" xfId="0" applyFont="1"/>
    <xf numFmtId="4" fontId="8" fillId="0" borderId="3" xfId="0" applyNumberFormat="1" applyFont="1" applyBorder="1" applyAlignment="1">
      <alignment horizontal="center" vertical="center"/>
    </xf>
    <xf numFmtId="0" fontId="8" fillId="0" borderId="5" xfId="0" applyFont="1" applyBorder="1" applyAlignment="1">
      <alignment horizontal="center" vertical="center" indent="1"/>
    </xf>
    <xf numFmtId="0" fontId="9" fillId="28" borderId="0" xfId="0" applyFont="1" applyFill="1" applyAlignment="1">
      <alignment horizontal="center" vertical="center" wrapText="1"/>
    </xf>
    <xf numFmtId="0" fontId="10" fillId="0" borderId="0" xfId="0" applyFont="1" applyAlignment="1">
      <alignment horizontal="center" vertical="center"/>
    </xf>
    <xf numFmtId="0" fontId="9" fillId="28" borderId="0" xfId="0" applyFont="1" applyFill="1" applyAlignment="1">
      <alignment horizontal="center" vertical="center"/>
    </xf>
    <xf numFmtId="0" fontId="66" fillId="0" borderId="1" xfId="0" applyFont="1" applyBorder="1" applyAlignment="1">
      <alignment horizontal="center" vertical="center"/>
    </xf>
    <xf numFmtId="0" fontId="8" fillId="28" borderId="3" xfId="0" applyFont="1" applyFill="1" applyBorder="1" applyAlignment="1">
      <alignment horizontal="center" vertical="center"/>
    </xf>
    <xf numFmtId="164" fontId="10" fillId="0" borderId="3" xfId="0" applyNumberFormat="1" applyFont="1" applyBorder="1" applyAlignment="1">
      <alignment horizontal="center" vertical="center"/>
    </xf>
    <xf numFmtId="0" fontId="73" fillId="0" borderId="1" xfId="0" applyFont="1" applyBorder="1"/>
    <xf numFmtId="4" fontId="7" fillId="0" borderId="1" xfId="0" applyNumberFormat="1" applyFont="1" applyBorder="1"/>
    <xf numFmtId="4" fontId="9" fillId="0" borderId="1" xfId="0" applyNumberFormat="1" applyFont="1" applyBorder="1" applyAlignment="1">
      <alignment horizontal="center"/>
    </xf>
    <xf numFmtId="3" fontId="76" fillId="0" borderId="1" xfId="0" applyNumberFormat="1" applyFont="1" applyBorder="1"/>
    <xf numFmtId="4" fontId="71" fillId="0" borderId="1" xfId="0" applyNumberFormat="1" applyFont="1" applyBorder="1"/>
    <xf numFmtId="4" fontId="11" fillId="0" borderId="0" xfId="0" applyNumberFormat="1" applyFont="1" applyAlignment="1">
      <alignment horizontal="center" vertical="center"/>
    </xf>
    <xf numFmtId="0" fontId="9" fillId="0" borderId="0" xfId="0" applyFont="1" applyAlignment="1">
      <alignment horizontal="center"/>
    </xf>
    <xf numFmtId="4" fontId="73" fillId="0" borderId="1" xfId="0" applyNumberFormat="1" applyFont="1" applyBorder="1"/>
    <xf numFmtId="0" fontId="11" fillId="0" borderId="1" xfId="0" applyFont="1" applyBorder="1"/>
    <xf numFmtId="0" fontId="9" fillId="0" borderId="14" xfId="0" applyFont="1" applyBorder="1"/>
    <xf numFmtId="4" fontId="60" fillId="0" borderId="1" xfId="0" applyNumberFormat="1" applyFont="1" applyBorder="1"/>
    <xf numFmtId="4" fontId="8" fillId="0" borderId="0" xfId="0" applyNumberFormat="1" applyFont="1"/>
    <xf numFmtId="0" fontId="60" fillId="0" borderId="1" xfId="0" applyFont="1" applyBorder="1"/>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164" fontId="1" fillId="0" borderId="1" xfId="0" applyNumberFormat="1" applyFont="1" applyBorder="1" applyAlignment="1">
      <alignment horizontal="center" vertical="center" wrapText="1"/>
    </xf>
    <xf numFmtId="0" fontId="1" fillId="0" borderId="5" xfId="0" applyFont="1" applyBorder="1" applyAlignment="1">
      <alignment horizontal="center" vertical="center"/>
    </xf>
    <xf numFmtId="0" fontId="1" fillId="0" borderId="5" xfId="0" applyFont="1" applyBorder="1" applyAlignment="1">
      <alignment horizontal="center" vertical="center" wrapText="1"/>
    </xf>
    <xf numFmtId="164" fontId="1" fillId="0" borderId="1" xfId="0" applyNumberFormat="1" applyFont="1" applyBorder="1" applyAlignment="1">
      <alignment horizontal="center" vertical="center"/>
    </xf>
    <xf numFmtId="1" fontId="1" fillId="19" borderId="1" xfId="0" applyNumberFormat="1" applyFont="1" applyFill="1" applyBorder="1" applyAlignment="1">
      <alignment horizontal="center" vertical="center" wrapText="1"/>
    </xf>
    <xf numFmtId="0" fontId="1" fillId="0" borderId="1" xfId="0" applyFont="1" applyBorder="1" applyAlignment="1">
      <alignment wrapText="1"/>
    </xf>
    <xf numFmtId="0" fontId="1" fillId="0" borderId="1" xfId="0" applyFont="1" applyBorder="1"/>
    <xf numFmtId="1" fontId="1" fillId="0" borderId="1" xfId="0" applyNumberFormat="1" applyFont="1" applyBorder="1" applyAlignment="1">
      <alignment horizontal="center" vertical="center" wrapText="1"/>
    </xf>
    <xf numFmtId="0" fontId="1" fillId="0" borderId="0" xfId="0" applyFont="1" applyAlignment="1">
      <alignment horizontal="center"/>
    </xf>
    <xf numFmtId="0" fontId="1" fillId="0" borderId="0" xfId="0" applyFont="1"/>
    <xf numFmtId="0" fontId="1" fillId="0" borderId="7" xfId="0" applyFont="1" applyBorder="1" applyAlignment="1">
      <alignment horizontal="center" vertical="center"/>
    </xf>
    <xf numFmtId="0" fontId="1" fillId="0" borderId="3" xfId="0" applyFont="1" applyBorder="1" applyAlignment="1">
      <alignment horizontal="center" vertical="center"/>
    </xf>
    <xf numFmtId="1" fontId="1" fillId="19" borderId="5" xfId="0" applyNumberFormat="1" applyFont="1" applyFill="1" applyBorder="1" applyAlignment="1">
      <alignment horizontal="center" vertical="center" wrapText="1"/>
    </xf>
    <xf numFmtId="0" fontId="1" fillId="0" borderId="1" xfId="0" applyFont="1" applyBorder="1" applyAlignment="1">
      <alignment horizontal="center"/>
    </xf>
    <xf numFmtId="0" fontId="1" fillId="0" borderId="2" xfId="0" applyFont="1" applyBorder="1" applyAlignment="1">
      <alignment wrapText="1"/>
    </xf>
    <xf numFmtId="0" fontId="0" fillId="13" borderId="0" xfId="0" applyFill="1" applyAlignment="1">
      <alignment horizontal="center"/>
    </xf>
    <xf numFmtId="0" fontId="55" fillId="24" borderId="0" xfId="0" applyFont="1" applyFill="1" applyAlignment="1">
      <alignment horizontal="center" vertical="center"/>
    </xf>
    <xf numFmtId="0" fontId="36" fillId="0" borderId="5" xfId="0" applyFont="1" applyBorder="1" applyAlignment="1">
      <alignment horizontal="center" vertical="center"/>
    </xf>
    <xf numFmtId="0" fontId="36" fillId="0" borderId="2" xfId="0" applyFont="1" applyBorder="1" applyAlignment="1">
      <alignment horizontal="center" vertical="center"/>
    </xf>
    <xf numFmtId="0" fontId="55" fillId="13" borderId="1" xfId="0" applyFont="1" applyFill="1" applyBorder="1" applyAlignment="1">
      <alignment horizontal="center" vertical="center"/>
    </xf>
    <xf numFmtId="0" fontId="55" fillId="29" borderId="1" xfId="0" applyFont="1" applyFill="1" applyBorder="1" applyAlignment="1">
      <alignment horizontal="center"/>
    </xf>
    <xf numFmtId="0" fontId="55" fillId="29" borderId="3" xfId="0" applyFont="1" applyFill="1" applyBorder="1" applyAlignment="1">
      <alignment horizontal="center"/>
    </xf>
    <xf numFmtId="0" fontId="54" fillId="26" borderId="19" xfId="0" applyFont="1" applyFill="1" applyBorder="1" applyAlignment="1">
      <alignment horizontal="center" vertical="center"/>
    </xf>
    <xf numFmtId="0" fontId="54" fillId="26" borderId="0" xfId="0" applyFont="1" applyFill="1" applyAlignment="1">
      <alignment horizontal="center" vertical="center"/>
    </xf>
    <xf numFmtId="0" fontId="53" fillId="0" borderId="1" xfId="0" applyFont="1" applyBorder="1" applyAlignment="1">
      <alignment horizontal="center" vertical="top"/>
    </xf>
    <xf numFmtId="0" fontId="54" fillId="35" borderId="1" xfId="0" applyFont="1" applyFill="1" applyBorder="1" applyAlignment="1">
      <alignment horizontal="center" vertical="center"/>
    </xf>
    <xf numFmtId="0" fontId="53" fillId="0" borderId="14" xfId="0" applyFont="1" applyBorder="1" applyAlignment="1">
      <alignment horizontal="center" vertical="top"/>
    </xf>
    <xf numFmtId="0" fontId="53" fillId="35" borderId="1" xfId="0" applyFont="1" applyFill="1" applyBorder="1" applyAlignment="1">
      <alignment horizontal="center" vertical="top"/>
    </xf>
    <xf numFmtId="0" fontId="53" fillId="0" borderId="3" xfId="0" applyFont="1" applyBorder="1" applyAlignment="1">
      <alignment horizontal="center" vertical="top"/>
    </xf>
    <xf numFmtId="0" fontId="53" fillId="35" borderId="3" xfId="0" applyFont="1" applyFill="1" applyBorder="1" applyAlignment="1">
      <alignment horizontal="center" vertical="top"/>
    </xf>
    <xf numFmtId="0" fontId="36" fillId="26" borderId="1" xfId="0" applyFont="1" applyFill="1" applyBorder="1" applyAlignment="1">
      <alignment horizontal="center"/>
    </xf>
    <xf numFmtId="0" fontId="36" fillId="29" borderId="1" xfId="0" applyFont="1" applyFill="1" applyBorder="1" applyAlignment="1">
      <alignment horizontal="center"/>
    </xf>
    <xf numFmtId="0" fontId="36" fillId="0" borderId="1" xfId="0" applyFont="1" applyBorder="1" applyAlignment="1">
      <alignment horizontal="center" vertical="center"/>
    </xf>
    <xf numFmtId="0" fontId="50" fillId="26" borderId="4" xfId="0" applyFont="1" applyFill="1" applyBorder="1" applyAlignment="1">
      <alignment horizontal="center"/>
    </xf>
    <xf numFmtId="0" fontId="50" fillId="29" borderId="4" xfId="0" applyFont="1" applyFill="1" applyBorder="1" applyAlignment="1">
      <alignment horizontal="center"/>
    </xf>
    <xf numFmtId="0" fontId="50" fillId="13" borderId="4" xfId="0" applyFont="1" applyFill="1" applyBorder="1" applyAlignment="1">
      <alignment horizontal="center"/>
    </xf>
    <xf numFmtId="0" fontId="50" fillId="24" borderId="4" xfId="0" applyFont="1" applyFill="1" applyBorder="1" applyAlignment="1">
      <alignment horizontal="center"/>
    </xf>
    <xf numFmtId="0" fontId="36" fillId="13" borderId="1" xfId="0" applyFont="1" applyFill="1" applyBorder="1" applyAlignment="1">
      <alignment horizontal="center"/>
    </xf>
    <xf numFmtId="0" fontId="36" fillId="24" borderId="1" xfId="0" applyFont="1" applyFill="1" applyBorder="1" applyAlignment="1">
      <alignment horizontal="center"/>
    </xf>
  </cellXfs>
  <cellStyles count="1">
    <cellStyle name="Normal" xfId="0" builtinId="0"/>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2.xml"/><Relationship Id="rId33" Type="http://schemas.microsoft.com/office/2022/11/relationships/FeaturePropertyBag" Target="featurePropertyBag/featurePropertyBag.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xml"/><Relationship Id="rId32"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microsoft.com/office/2017/06/relationships/rdRichValue" Target="richData/rdrichvalue.xml"/><Relationship Id="rId8" Type="http://schemas.openxmlformats.org/officeDocument/2006/relationships/worksheet" Target="worksheets/sheet8.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30.603021759256" createdVersion="8" refreshedVersion="8" minRefreshableVersion="3" recordCount="3104" xr:uid="{788C227A-A503-40A4-9A02-AAF2890942EB}">
  <cacheSource type="worksheet">
    <worksheetSource ref="A1:AA3105" sheet="BRGY TECHNICAL ASISSTANCE"/>
  </cacheSource>
  <cacheFields count="27">
    <cacheField name="Province" numFmtId="0">
      <sharedItems containsBlank="1" count="8">
        <s v="Aurora"/>
        <s v="Bataan"/>
        <s v="Bulacan"/>
        <s v="Nueva_Ecija"/>
        <s v="Pampanga"/>
        <s v="Tarlac"/>
        <s v="Zambales"/>
        <m/>
      </sharedItems>
    </cacheField>
    <cacheField name="Municipality" numFmtId="0">
      <sharedItems containsBlank="1" count="130">
        <s v="Baler (Capital)"/>
        <s v="Casiguran"/>
        <s v="Dilasag"/>
        <s v="Dinalungan"/>
        <s v="Dingalan"/>
        <s v="Dipaculao"/>
        <s v="Maria Aurora"/>
        <s v="San Luis"/>
        <s v="Abucay"/>
        <s v="Bagac"/>
        <s v="City of Balanga (Capital)"/>
        <s v="City Of Balanga"/>
        <s v="Orion"/>
        <s v="Dinalupihan"/>
        <s v="Hermosa"/>
        <s v="Limay"/>
        <s v="Mariveles"/>
        <s v="Morong"/>
        <s v="Orani"/>
        <s v="Pilar"/>
        <s v="Samal"/>
        <s v="Angat"/>
        <s v="Balagtas"/>
        <s v="Baliuag"/>
        <s v="Bocaue"/>
        <s v="Bulakan"/>
        <s v="Bustos"/>
        <s v="Calumpit"/>
        <s v="City of Malolos (Capital)"/>
        <s v="City of Meycauayan"/>
        <s v="City of San Jose Del Monte"/>
        <s v="DRT"/>
        <s v="Guiguinto"/>
        <s v="Hagonoy"/>
        <s v="Marilao"/>
        <s v="Norzagaray"/>
        <s v="Obando"/>
        <s v="Pandi"/>
        <s v="Paombong"/>
        <s v="Plaridel"/>
        <s v="Pulilan"/>
        <s v="San Ildefonso"/>
        <s v="San Miguel"/>
        <s v="San Rafael"/>
        <s v="Sta. Maria"/>
        <s v="Aliaga"/>
        <s v="Bongabon"/>
        <s v="Cabanatuan City"/>
        <s v="Cabiao"/>
        <s v="Carranglan"/>
        <s v="City of Gapan"/>
        <s v="City of Palayan (Capital)"/>
        <s v="Cuyapo"/>
        <s v="Gabaldon"/>
        <s v="Gen. Mamerto Natividad"/>
        <s v="Gen. Tinio"/>
        <s v="Guimba"/>
        <s v="Jaen"/>
        <s v="Laur"/>
        <s v="Licab"/>
        <s v="Llanera"/>
        <s v="Lupao"/>
        <s v="Nampicuan"/>
        <s v="Pantabangan"/>
        <s v="Penaranda"/>
        <s v="Quezon"/>
        <s v="Rizal"/>
        <s v="San Antonio"/>
        <s v="San Isidro"/>
        <s v="San Jose City"/>
        <s v="San Leonardo"/>
        <s v="Santa Rosa"/>
        <s v="Santo Domingo"/>
        <s v="Science City of Munoz"/>
        <s v="Talavera"/>
        <s v="Talugtug"/>
        <s v="Zaragoza"/>
        <s v="Angeles City"/>
        <s v="Apalit"/>
        <s v="Arayat"/>
        <s v="Bacolor"/>
        <s v="Candaba"/>
        <s v="City of San Fernando"/>
        <s v="Floridablanca"/>
        <s v="Guagua"/>
        <s v="Lubao"/>
        <s v="Mabalacat City"/>
        <s v="Macabebe"/>
        <s v="Magalang"/>
        <s v="Masantol"/>
        <s v="Mexico"/>
        <s v="Minalin"/>
        <s v="Porac"/>
        <s v="San Simon"/>
        <s v="Santo Tomas"/>
        <s v="Sasmuan"/>
        <s v="Sta. Ana"/>
        <s v="Sta. Rita"/>
        <s v="Anao"/>
        <s v="Bamban"/>
        <s v="Camiling"/>
        <s v="Capas"/>
        <s v="Concepcion"/>
        <s v="Gerona"/>
        <s v="La Paz"/>
        <s v="Mayantoc"/>
        <s v="Moncada"/>
        <s v="Paniqui"/>
        <s v="Pura"/>
        <s v="Ramos"/>
        <s v="San Clemente"/>
        <s v="San Jose"/>
        <s v="San Manuel"/>
        <s v="Sta. Ignacia"/>
        <s v="Tarlac City (Capital)"/>
        <s v="Victoria"/>
        <s v="Botolan"/>
        <s v="Cabangan"/>
        <s v="Candelaria"/>
        <s v="Castillejos"/>
        <s v="Iba (Capital)"/>
        <s v="Masinloc"/>
        <s v="Olongapo City"/>
        <s v="Palauig"/>
        <s v="San Felipe"/>
        <s v="San Marcelino"/>
        <s v="San Narciso"/>
        <s v="Sta. Cruz"/>
        <s v="Subic"/>
        <m/>
      </sharedItems>
    </cacheField>
    <cacheField name="MBA" numFmtId="0">
      <sharedItems containsBlank="1"/>
    </cacheField>
    <cacheField name="Barangay" numFmtId="0">
      <sharedItems containsBlank="1"/>
    </cacheField>
    <cacheField name="2015 Population" numFmtId="0">
      <sharedItems containsString="0" containsBlank="1" containsNumber="1" containsInteger="1" minValue="34" maxValue="106603"/>
    </cacheField>
    <cacheField name="2020 Population" numFmtId="0">
      <sharedItems containsString="0" containsBlank="1" containsNumber="1" containsInteger="1" minValue="21" maxValue="127506"/>
    </cacheField>
    <cacheField name="Technical Assisstance" numFmtId="0">
      <sharedItems containsBlank="1"/>
    </cacheField>
    <cacheField name="Year Monitored" numFmtId="0">
      <sharedItems containsBlank="1" containsMixedTypes="1" containsNumber="1" containsInteger="1" minValue="2024" maxValue="2025"/>
    </cacheField>
    <cacheField name="Date conducted Technical Assistance" numFmtId="0">
      <sharedItems containsDate="1" containsBlank="1" containsMixedTypes="1" minDate="2024-01-25T00:00:00" maxDate="2026-10-04T00:00:00"/>
    </cacheField>
    <cacheField name="Accomplishment for the month of" numFmtId="0">
      <sharedItems containsBlank="1" count="15">
        <m/>
        <s v="March"/>
        <s v="January"/>
        <s v="February"/>
        <s v="April"/>
        <s v="October"/>
        <s v="May"/>
        <s v="September"/>
        <s v="July"/>
        <s v="August"/>
        <s v="June"/>
        <s v="November"/>
        <s v="October "/>
        <s v="September "/>
        <s v="June "/>
      </sharedItems>
    </cacheField>
    <cacheField name="ENMO Assigned" numFmtId="0">
      <sharedItems containsBlank="1"/>
    </cacheField>
    <cacheField name="ESWM Staff" numFmtId="0">
      <sharedItems containsBlank="1"/>
    </cacheField>
    <cacheField name="Focal Person" numFmtId="0">
      <sharedItems containsBlank="1"/>
    </cacheField>
    <cacheField name="IIS NUMBER" numFmtId="0">
      <sharedItems containsBlank="1"/>
    </cacheField>
    <cacheField name="Date Submitted to IIS (EnMO)" numFmtId="0">
      <sharedItems containsDate="1" containsBlank="1" containsMixedTypes="1" minDate="2025-01-15T00:00:00" maxDate="2025-11-12T00:00:00"/>
    </cacheField>
    <cacheField name="Date Report Reviewed (by ESWM Staff)" numFmtId="0">
      <sharedItems containsDate="1" containsBlank="1" containsMixedTypes="1" minDate="2025-01-16T00:00:00" maxDate="2025-11-20T00:00:00"/>
    </cacheField>
    <cacheField name="Date Report Reviewed (by Focal Person)" numFmtId="0">
      <sharedItems containsDate="1" containsBlank="1" containsMixedTypes="1" minDate="2025-01-21T00:00:00" maxDate="2025-11-20T00:00:00"/>
    </cacheField>
    <cacheField name="Date Report Approved" numFmtId="0">
      <sharedItems containsDate="1" containsBlank="1" containsMixedTypes="1" minDate="2025-01-21T00:00:00" maxDate="2025-11-20T00:00:00"/>
    </cacheField>
    <cacheField name="Total No. of Days (Report prepared)" numFmtId="0">
      <sharedItems containsBlank="1" containsMixedTypes="1" containsNumber="1" containsInteger="1" minValue="1" maxValue="21"/>
    </cacheField>
    <cacheField name="Total No. of Days (Report Reviewed by Sub Focal)" numFmtId="0">
      <sharedItems containsBlank="1" containsMixedTypes="1" containsNumber="1" containsInteger="1" minValue="1" maxValue="15"/>
    </cacheField>
    <cacheField name="Total No. of Days (Report Reviewed by Focal)" numFmtId="0">
      <sharedItems containsBlank="1" containsMixedTypes="1" containsNumber="1" containsInteger="1" minValue="1" maxValue="18"/>
    </cacheField>
    <cacheField name="Total No. of Days (Report Approved by C, ESWM)" numFmtId="0">
      <sharedItems containsBlank="1" containsMixedTypes="1" containsNumber="1" containsInteger="1" minValue="1" maxValue="7"/>
    </cacheField>
    <cacheField name="Tracking of Reports _x000a_(To be filled out by Planning Section)" numFmtId="0">
      <sharedItems containsBlank="1"/>
    </cacheField>
    <cacheField name="Type of Facility" numFmtId="0">
      <sharedItems containsBlank="1"/>
    </cacheField>
    <cacheField name="Status" numFmtId="0">
      <sharedItems containsBlank="1"/>
    </cacheField>
    <cacheField name="Interventions conducted" numFmtId="0">
      <sharedItems containsBlank="1"/>
    </cacheField>
    <cacheField name="Date of TC (if applicable)"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49.387975810183" createdVersion="8" refreshedVersion="8" minRefreshableVersion="3" recordCount="194" xr:uid="{466E22CF-89BF-4D9A-821D-CCD94EDCE8C2}">
  <cacheSource type="worksheet">
    <worksheetSource ref="A1:AR195" sheet="MRF"/>
  </cacheSource>
  <cacheFields count="44">
    <cacheField name="Province" numFmtId="0">
      <sharedItems count="8">
        <s v="Aurora"/>
        <s v="Bataan"/>
        <s v="Bataan "/>
        <s v="Bulacan"/>
        <s v="Zambales"/>
        <s v="Nueva Ecija"/>
        <s v="Tarlac"/>
        <s v="Pampanga"/>
      </sharedItems>
    </cacheField>
    <cacheField name="Municipality" numFmtId="0">
      <sharedItems/>
    </cacheField>
    <cacheField name="Barangay" numFmtId="0">
      <sharedItems containsMixedTypes="1" containsNumber="1" containsInteger="1" minValue="5" maxValue="5"/>
    </cacheField>
    <cacheField name="Manila Bay Area (MBA)" numFmtId="0">
      <sharedItems/>
    </cacheField>
    <cacheField name="Congressional District" numFmtId="0">
      <sharedItems containsBlank="1"/>
    </cacheField>
    <cacheField name="Lat" numFmtId="0">
      <sharedItems containsString="0" containsBlank="1" containsNumber="1" minValue="14.42460374" maxValue="16.391200000000001"/>
    </cacheField>
    <cacheField name="Long" numFmtId="0">
      <sharedItems containsString="0" containsBlank="1" containsNumber="1" minValue="119.889397" maxValue="122.211"/>
    </cacheField>
    <cacheField name="Coordinates" numFmtId="0">
      <sharedItems containsBlank="1"/>
    </cacheField>
    <cacheField name="Type of MRF" numFmtId="0">
      <sharedItems/>
    </cacheField>
    <cacheField name="No Funding Support" numFmtId="0">
      <sharedItems containsString="0" containsBlank="1" containsNumber="1" containsInteger="1" minValue="1" maxValue="3"/>
    </cacheField>
    <cacheField name="Year Granted" numFmtId="0">
      <sharedItems containsBlank="1" containsMixedTypes="1" containsNumber="1" containsInteger="1" minValue="2012" maxValue="2020"/>
    </cacheField>
    <cacheField name="Amount Granted" numFmtId="0">
      <sharedItems containsBlank="1" containsMixedTypes="1" containsNumber="1" minValue="190000" maxValue="530642.86"/>
    </cacheField>
    <cacheField name="Target Month" numFmtId="0">
      <sharedItems containsBlank="1"/>
    </cacheField>
    <cacheField name="ENMO Assigned" numFmtId="0">
      <sharedItems containsBlank="1"/>
    </cacheField>
    <cacheField name="ESWM Staff_x000a_" numFmtId="0">
      <sharedItems containsBlank="1"/>
    </cacheField>
    <cacheField name="Focal Person" numFmtId="0">
      <sharedItems containsBlank="1"/>
    </cacheField>
    <cacheField name="IIS NUMBER" numFmtId="0">
      <sharedItems containsBlank="1"/>
    </cacheField>
    <cacheField name="Date of Monitoring" numFmtId="0">
      <sharedItems containsNonDate="0" containsDate="1" containsString="0" containsBlank="1" minDate="2025-01-10T00:00:00" maxDate="2025-11-19T00:00:00"/>
    </cacheField>
    <cacheField name="Date Report Prepared (Submitted to IIS by ENMO)" numFmtId="0">
      <sharedItems containsNonDate="0" containsDate="1" containsString="0" containsBlank="1" minDate="2025-01-20T00:00:00" maxDate="2025-12-23T00:00:00"/>
    </cacheField>
    <cacheField name="Date Report Reviewed (by ESWM Staff)" numFmtId="0">
      <sharedItems containsNonDate="0" containsDate="1" containsString="0" containsBlank="1" minDate="2025-01-21T00:00:00" maxDate="2025-11-21T00:00:00"/>
    </cacheField>
    <cacheField name="Date Report Reviewed (by Focal Person)" numFmtId="0">
      <sharedItems containsNonDate="0" containsDate="1" containsString="0" containsBlank="1" minDate="2025-01-20T00:00:00" maxDate="2025-12-24T00:00:00"/>
    </cacheField>
    <cacheField name="Date Report Approved" numFmtId="0">
      <sharedItems containsNonDate="0" containsDate="1" containsString="0" containsBlank="1" minDate="2025-01-23T00:00:00" maxDate="2025-12-24T00:00:00"/>
    </cacheField>
    <cacheField name="Total No. of Days (Report prepared)" numFmtId="0">
      <sharedItems containsString="0" containsBlank="1" containsNumber="1" containsInteger="1" minValue="1" maxValue="48"/>
    </cacheField>
    <cacheField name="Total No. of Days (Report Reviewed by ESWM Staff)" numFmtId="0">
      <sharedItems containsBlank="1" containsMixedTypes="1" containsNumber="1" containsInteger="1" minValue="1" maxValue="11"/>
    </cacheField>
    <cacheField name="Total No. of Days (Report Reviewed by Focal)" numFmtId="0">
      <sharedItems containsBlank="1" containsMixedTypes="1" containsNumber="1" containsInteger="1" minValue="1" maxValue="21"/>
    </cacheField>
    <cacheField name="Total No. of Days (Report Approved by C, ESWM)" numFmtId="0">
      <sharedItems containsBlank="1" containsMixedTypes="1" containsNumber="1" containsInteger="1" minValue="1" maxValue="8"/>
    </cacheField>
    <cacheField name="Tracking of Reports_x000a_(To be Filled out by Planning Section)" numFmtId="0">
      <sharedItems containsBlank="1"/>
    </cacheField>
    <cacheField name="No. of Brgy. Served" numFmtId="0">
      <sharedItems containsBlank="1" containsMixedTypes="1" containsNumber="1" containsInteger="1" minValue="0" maxValue="59"/>
    </cacheField>
    <cacheField name="Equipment used in the Operation of the MRF" numFmtId="0">
      <sharedItems containsBlank="1" containsMixedTypes="1" containsNumber="1" containsInteger="1" minValue="0" maxValue="0"/>
    </cacheField>
    <cacheField name="Type of wastes received" numFmtId="0">
      <sharedItems containsBlank="1"/>
    </cacheField>
    <cacheField name="Quantity of waste diverted (kg)" numFmtId="0">
      <sharedItems containsBlank="1" containsMixedTypes="1" containsNumber="1" minValue="0" maxValue="101140"/>
    </cacheField>
    <cacheField name="Total Waste Generation (kg/day)" numFmtId="0">
      <sharedItems containsBlank="1" containsMixedTypes="1" containsNumber="1" minValue="0" maxValue="450000"/>
    </cacheField>
    <cacheField name="Waste Diversion Rate_x000a_(%)" numFmtId="0">
      <sharedItems containsBlank="1" containsMixedTypes="1" containsNumber="1" minValue="0" maxValue="5.335309373842164"/>
    </cacheField>
    <cacheField name="Status of MRF" numFmtId="0">
      <sharedItems containsBlank="1"/>
    </cacheField>
    <cacheField name="Remarks_x000a_(If Not Operational)" numFmtId="0">
      <sharedItems containsBlank="1" longText="1"/>
    </cacheField>
    <cacheField name="Remarks and Recommendation_x000a_(Compliant/ Non-Compliant)" numFmtId="0">
      <sharedItems containsBlank="1" longText="1"/>
    </cacheField>
    <cacheField name="Findings_x000a_(If not compliant)" numFmtId="0">
      <sharedItems containsBlank="1" longText="1"/>
    </cacheField>
    <cacheField name="Advise Letter/Notice Date Issued" numFmtId="0">
      <sharedItems containsDate="1" containsBlank="1" containsMixedTypes="1" minDate="2025-02-13T00:00:00" maxDate="2025-11-21T00:00:00"/>
    </cacheField>
    <cacheField name="Compliance of LGU to Issued Advise/ Letter" numFmtId="0">
      <sharedItems containsBlank="1"/>
    </cacheField>
    <cacheField name="Docket No. / NOV" numFmtId="0">
      <sharedItems containsBlank="1"/>
    </cacheField>
    <cacheField name="Violation_x000a_(Sec. ___ )" numFmtId="0">
      <sharedItems containsBlank="1"/>
    </cacheField>
    <cacheField name="Date of Issuance of NOV" numFmtId="0">
      <sharedItems containsBlank="1"/>
    </cacheField>
    <cacheField name="Date of Technical Conference" numFmtId="0">
      <sharedItems containsBlank="1"/>
    </cacheField>
    <cacheField name="Commitment/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04">
  <r>
    <x v="0"/>
    <x v="0"/>
    <s v="OUTSIDE MBA"/>
    <s v="Barangay I (Pob.)"/>
    <n v="587"/>
    <n v="514"/>
    <s v="CONDUCTED TECHNICAL ASSISTANCE"/>
    <n v="2024"/>
    <s v="March 1, 2024"/>
    <x v="0"/>
    <s v="Zaila Mae Leander"/>
    <m/>
    <s v="Ryan Christian R. Nunag"/>
    <m/>
    <m/>
    <m/>
    <m/>
    <m/>
    <s v=""/>
    <s v=""/>
    <s v=""/>
    <s v=""/>
    <m/>
    <s v="MRF"/>
    <s v="OPERATIONAL"/>
    <s v="Technical Assistance"/>
    <m/>
  </r>
  <r>
    <x v="0"/>
    <x v="0"/>
    <s v="OUTSIDE MBA"/>
    <s v="Barangay II (Pob.)"/>
    <n v="312"/>
    <n v="346"/>
    <s v="CONDUCTED TECHNICAL ASSISTANCE"/>
    <n v="2024"/>
    <s v="May 8, 2024"/>
    <x v="0"/>
    <s v="Zaila Mae Leander"/>
    <m/>
    <s v="Ryan Christian R. Nunag"/>
    <m/>
    <m/>
    <m/>
    <m/>
    <m/>
    <s v=""/>
    <s v=""/>
    <s v=""/>
    <s v=""/>
    <m/>
    <s v="MRS"/>
    <s v="OPERATIONAL"/>
    <s v="Technical Assistance"/>
    <m/>
  </r>
  <r>
    <x v="0"/>
    <x v="0"/>
    <s v="OUTSIDE MBA"/>
    <s v="Barangay III (Pob.)"/>
    <n v="357"/>
    <n v="375"/>
    <s v="CONDUCTED TECHNICAL ASSISTANCE"/>
    <n v="2024"/>
    <d v="2024-04-10T00:00:00"/>
    <x v="0"/>
    <s v="Zaila Mae Leander"/>
    <m/>
    <s v="Ryan Christian R. Nunag"/>
    <m/>
    <m/>
    <m/>
    <m/>
    <m/>
    <s v=""/>
    <s v=""/>
    <s v=""/>
    <s v=""/>
    <m/>
    <m/>
    <m/>
    <s v="Technical Assistance"/>
    <m/>
  </r>
  <r>
    <x v="0"/>
    <x v="0"/>
    <s v="OUTSIDE MBA"/>
    <s v="Barangay IV (Pob.)"/>
    <n v="363"/>
    <n v="324"/>
    <s v="CONDUCTED TECHNICAL ASSISTANCE"/>
    <n v="2024"/>
    <d v="2024-04-23T00:00:00"/>
    <x v="0"/>
    <s v="Zaila Mae Leander"/>
    <m/>
    <s v="Ryan Christian R. Nunag"/>
    <m/>
    <m/>
    <m/>
    <m/>
    <m/>
    <s v=""/>
    <s v=""/>
    <s v=""/>
    <s v=""/>
    <m/>
    <m/>
    <m/>
    <s v="Technical Assistance"/>
    <m/>
  </r>
  <r>
    <x v="0"/>
    <x v="0"/>
    <s v="OUTSIDE MBA"/>
    <s v="Barangay V (Pob.)"/>
    <n v="1718"/>
    <n v="1647"/>
    <s v="CONDUCTED TECHNICAL ASSISTANCE"/>
    <n v="2024"/>
    <s v="July 9, 2024"/>
    <x v="0"/>
    <s v="Zaila Mae Leander"/>
    <m/>
    <s v="Ryan Christian R. Nunag"/>
    <m/>
    <m/>
    <m/>
    <m/>
    <m/>
    <s v=""/>
    <s v=""/>
    <s v=""/>
    <s v=""/>
    <m/>
    <s v="MRF"/>
    <s v="OPERATIONAL"/>
    <s v="Technical Assistance"/>
    <m/>
  </r>
  <r>
    <x v="0"/>
    <x v="0"/>
    <s v="OUTSIDE MBA"/>
    <s v="Buhangin"/>
    <n v="5310"/>
    <n v="5985"/>
    <s v="CONDUCTED TECHNICAL ASSISTANCE"/>
    <n v="2024"/>
    <s v="July 5, 2024"/>
    <x v="0"/>
    <s v="Zaila Mae Leander"/>
    <m/>
    <s v="Ryan Christian R. Nunag"/>
    <m/>
    <m/>
    <m/>
    <m/>
    <m/>
    <s v=""/>
    <s v=""/>
    <s v=""/>
    <s v=""/>
    <m/>
    <s v="MRF"/>
    <s v="OPERATIONAL"/>
    <s v="Technical Assistance"/>
    <m/>
  </r>
  <r>
    <x v="0"/>
    <x v="0"/>
    <s v="OUTSIDE MBA"/>
    <s v="Calabuanan"/>
    <n v="3895"/>
    <n v="5536"/>
    <s v="CONDUCTED TECHNICAL ASSISTANCE"/>
    <n v="2024"/>
    <s v="May 8, 2024"/>
    <x v="0"/>
    <s v="Zaila Mae Leander"/>
    <m/>
    <s v="Ryan Christian R. Nunag"/>
    <m/>
    <m/>
    <m/>
    <m/>
    <m/>
    <s v=""/>
    <s v=""/>
    <s v=""/>
    <s v=""/>
    <m/>
    <m/>
    <m/>
    <s v="Technical Assistance"/>
    <m/>
  </r>
  <r>
    <x v="0"/>
    <x v="0"/>
    <s v="OUTSIDE MBA"/>
    <s v="Obligacion"/>
    <n v="1215"/>
    <n v="1392"/>
    <s v="CONDUCTED TECHNICAL ASSISTANCE"/>
    <n v="2024"/>
    <s v="July 5, 2024"/>
    <x v="0"/>
    <s v="Zaila Mae Leander"/>
    <m/>
    <s v="Ryan Christian R. Nunag"/>
    <m/>
    <m/>
    <m/>
    <m/>
    <m/>
    <s v=""/>
    <s v=""/>
    <s v=""/>
    <s v=""/>
    <m/>
    <s v="MRF"/>
    <s v="OPERATIONAL"/>
    <s v="Technical Assistance"/>
    <m/>
  </r>
  <r>
    <x v="0"/>
    <x v="0"/>
    <s v="OUTSIDE MBA"/>
    <s v="Pingit"/>
    <n v="5913"/>
    <n v="6563"/>
    <s v="CONDUCTED TECHNICAL ASSISTANCE"/>
    <n v="2024"/>
    <s v="July 15, 2024"/>
    <x v="1"/>
    <s v="Zaila Mae Leander"/>
    <m/>
    <s v="Ryan Christian R. Nunag"/>
    <s v="R3-2024-025283_x000a_R3-2025-003933"/>
    <s v="15-Jul-24_x000a_5-Feb-25"/>
    <m/>
    <s v="16-Jul-24_x000a_20-Feb-25"/>
    <s v="16-Jul-24_x000a_28-Feb-25"/>
    <m/>
    <s v=""/>
    <m/>
    <m/>
    <s v="Received by Planning"/>
    <s v="MRF"/>
    <s v="OPERATIONAL"/>
    <s v="Technical Assistance"/>
    <m/>
  </r>
  <r>
    <x v="0"/>
    <x v="0"/>
    <s v="OUTSIDE MBA"/>
    <s v="Reserva"/>
    <n v="4580"/>
    <n v="5158"/>
    <s v="CONDUCTED TECHNICAL ASSISTANCE"/>
    <n v="2024"/>
    <s v="February 6, 2024"/>
    <x v="0"/>
    <s v="Zaila Mae Leander"/>
    <m/>
    <s v="Ryan Christian R. Nunag"/>
    <m/>
    <m/>
    <m/>
    <m/>
    <m/>
    <s v=""/>
    <s v=""/>
    <s v=""/>
    <s v=""/>
    <m/>
    <m/>
    <m/>
    <s v="Technical Assistance"/>
    <m/>
  </r>
  <r>
    <x v="0"/>
    <x v="0"/>
    <s v="OUTSIDE MBA"/>
    <s v="Sabang"/>
    <n v="4833"/>
    <n v="4423"/>
    <s v="CONDUCTED TECHNICAL ASSISTANCE"/>
    <n v="2024"/>
    <d v="2024-05-08T00:00:00"/>
    <x v="0"/>
    <s v="Zaila Mae Leander"/>
    <m/>
    <s v="Ryan Christian R. Nunag"/>
    <m/>
    <m/>
    <m/>
    <m/>
    <m/>
    <s v=""/>
    <s v=""/>
    <s v=""/>
    <s v=""/>
    <m/>
    <m/>
    <m/>
    <s v="Technical Assistance"/>
    <m/>
  </r>
  <r>
    <x v="0"/>
    <x v="0"/>
    <s v="OUTSIDE MBA"/>
    <s v="Suclayin"/>
    <n v="6341"/>
    <n v="6573"/>
    <s v="CONDUCTED TECHNICAL ASSISTANCE"/>
    <n v="2025"/>
    <d v="2025-01-16T00:00:00"/>
    <x v="2"/>
    <s v="Zaila Mae Leander"/>
    <m/>
    <s v="Ryan Christian R. Nunag"/>
    <s v="R3-2025-001401 "/>
    <d v="2025-01-20T00:00:00"/>
    <m/>
    <d v="2025-01-21T00:00:00"/>
    <d v="2025-01-22T00:00:00"/>
    <n v="2"/>
    <s v=""/>
    <n v="1"/>
    <n v="1"/>
    <s v="Received by Planning"/>
    <s v="MRF"/>
    <s v="OPERATIONAL"/>
    <s v="Technical Assistance"/>
    <m/>
  </r>
  <r>
    <x v="0"/>
    <x v="0"/>
    <s v="OUTSIDE MBA"/>
    <s v="Zabali"/>
    <n v="4138"/>
    <n v="4949"/>
    <s v="CONDUCTED TECHNICAL ASSISTANCE"/>
    <n v="2024"/>
    <s v="July 9, 2024"/>
    <x v="0"/>
    <s v="Queenyvelle Laguisma"/>
    <m/>
    <s v="Ryan Christian R. Nunag"/>
    <m/>
    <m/>
    <m/>
    <m/>
    <m/>
    <s v=""/>
    <s v=""/>
    <s v=""/>
    <s v=""/>
    <m/>
    <s v="MRF"/>
    <s v="OPERATIONAL"/>
    <s v="Technical Assistance"/>
    <m/>
  </r>
  <r>
    <x v="0"/>
    <x v="1"/>
    <s v="OUTSIDE MBA"/>
    <s v="Barangay 1 (Pob.)"/>
    <n v="790"/>
    <n v="808"/>
    <s v="CONDUCTED TECHNICAL ASSISTANCE"/>
    <n v="2024"/>
    <s v="February 7, 2024"/>
    <x v="0"/>
    <s v="Queenyvelle Laguisma"/>
    <m/>
    <s v="Ryan Christian R. Nunag"/>
    <m/>
    <m/>
    <m/>
    <m/>
    <m/>
    <s v=""/>
    <s v=""/>
    <s v=""/>
    <s v=""/>
    <m/>
    <s v="MRF"/>
    <s v="OPERATIONAL"/>
    <s v="Technical Assistance"/>
    <m/>
  </r>
  <r>
    <x v="0"/>
    <x v="1"/>
    <s v="OUTSIDE MBA"/>
    <s v="Barangay 2 (Pob.)"/>
    <n v="665"/>
    <n v="655"/>
    <s v="CONDUCTED TECHNICAL ASSISTANCE"/>
    <n v="2024"/>
    <s v="February 7, 2024"/>
    <x v="0"/>
    <s v="Queenyvelle Laguisma"/>
    <m/>
    <s v="Ryan Christian R. Nunag"/>
    <m/>
    <m/>
    <m/>
    <m/>
    <m/>
    <s v=""/>
    <s v=""/>
    <s v=""/>
    <s v=""/>
    <m/>
    <s v="MRF"/>
    <s v="OPERATIONAL"/>
    <s v="Technical Assistance"/>
    <m/>
  </r>
  <r>
    <x v="0"/>
    <x v="1"/>
    <s v="OUTSIDE MBA"/>
    <s v="Barangay 3 (Pob.)"/>
    <n v="235"/>
    <n v="239"/>
    <s v="CONDUCTED TECHNICAL ASSISTANCE"/>
    <n v="2024"/>
    <s v="February 16, 2024"/>
    <x v="0"/>
    <s v="Queenyvelle Laguisma"/>
    <m/>
    <s v="Ryan Christian R. Nunag"/>
    <m/>
    <m/>
    <m/>
    <m/>
    <m/>
    <s v=""/>
    <s v=""/>
    <s v=""/>
    <s v=""/>
    <m/>
    <s v="MRF"/>
    <s v="OPERATIONAL"/>
    <s v="Technical Assistance"/>
    <m/>
  </r>
  <r>
    <x v="0"/>
    <x v="1"/>
    <s v="OUTSIDE MBA"/>
    <s v="Barangay 4 (Pob.)"/>
    <n v="307"/>
    <n v="313"/>
    <s v="CONDUCTED TECHNICAL ASSISTANCE"/>
    <n v="2024"/>
    <s v="February 16, 2024"/>
    <x v="0"/>
    <s v="Queenyvelle Laguisma"/>
    <m/>
    <s v="Ryan Christian R. Nunag"/>
    <m/>
    <m/>
    <m/>
    <m/>
    <m/>
    <s v=""/>
    <s v=""/>
    <s v=""/>
    <s v=""/>
    <m/>
    <s v="MRF"/>
    <s v="OPERATIONAL"/>
    <s v="Technical Assistance"/>
    <m/>
  </r>
  <r>
    <x v="0"/>
    <x v="1"/>
    <s v="OUTSIDE MBA"/>
    <s v="Barangay 5 (Pob.)"/>
    <n v="439"/>
    <n v="438"/>
    <s v="CONDUCTED TECHNICAL ASSISTANCE"/>
    <n v="2024"/>
    <d v="2024-05-02T00:00:00"/>
    <x v="0"/>
    <s v="Queenyvelle Laguisma"/>
    <m/>
    <s v="Ryan Christian R. Nunag"/>
    <m/>
    <m/>
    <m/>
    <m/>
    <m/>
    <s v=""/>
    <s v=""/>
    <s v=""/>
    <s v=""/>
    <m/>
    <s v="MRF"/>
    <s v="OPERATIONAL"/>
    <s v="Technical Assistance"/>
    <m/>
  </r>
  <r>
    <x v="0"/>
    <x v="1"/>
    <s v="OUTSIDE MBA"/>
    <s v="Barangay 6 (Pob.)"/>
    <n v="325"/>
    <n v="254"/>
    <s v="CONDUCTED TECHNICAL ASSISTANCE"/>
    <n v="2024"/>
    <d v="2024-05-02T00:00:00"/>
    <x v="0"/>
    <s v="Queenyvelle Laguisma"/>
    <m/>
    <s v="Ryan Christian R. Nunag"/>
    <m/>
    <m/>
    <m/>
    <m/>
    <m/>
    <s v=""/>
    <s v=""/>
    <s v=""/>
    <s v=""/>
    <m/>
    <s v="MRF"/>
    <s v="OPERATIONAL"/>
    <s v="Technical Assistance"/>
    <m/>
  </r>
  <r>
    <x v="0"/>
    <x v="1"/>
    <s v="OUTSIDE MBA"/>
    <s v="Barangay 7 (Pob.)"/>
    <n v="288"/>
    <n v="438"/>
    <s v="CONDUCTED TECHNICAL ASSISTANCE"/>
    <n v="2024"/>
    <d v="2024-05-03T00:00:00"/>
    <x v="0"/>
    <s v="Queenyvelle Laguisma"/>
    <m/>
    <s v="Ryan Christian R. Nunag"/>
    <m/>
    <m/>
    <m/>
    <m/>
    <m/>
    <s v=""/>
    <s v=""/>
    <s v=""/>
    <s v=""/>
    <m/>
    <s v="MRF"/>
    <s v="OPERATIONAL"/>
    <s v="Technical Assistance"/>
    <m/>
  </r>
  <r>
    <x v="0"/>
    <x v="1"/>
    <s v="OUTSIDE MBA"/>
    <s v="Barangay 8 (Pob.)"/>
    <n v="612"/>
    <n v="600"/>
    <s v="CONDUCTED TECHNICAL ASSISTANCE"/>
    <n v="2024"/>
    <d v="2024-05-03T00:00:00"/>
    <x v="0"/>
    <s v="Queenyvelle Laguisma"/>
    <m/>
    <s v="Ryan Christian R. Nunag"/>
    <m/>
    <m/>
    <m/>
    <m/>
    <m/>
    <s v=""/>
    <s v=""/>
    <s v=""/>
    <s v=""/>
    <m/>
    <s v="MRF"/>
    <s v="OPERATIONAL"/>
    <s v="Technical Assistance"/>
    <m/>
  </r>
  <r>
    <x v="0"/>
    <x v="1"/>
    <s v="OUTSIDE MBA"/>
    <s v="Bianoan"/>
    <n v="3443"/>
    <n v="3770"/>
    <s v="CONDUCTED TECHNICAL ASSISTANCE"/>
    <n v="2024"/>
    <d v="2024-09-10T00:00:00"/>
    <x v="0"/>
    <s v="Queenyvelle Laguisma"/>
    <m/>
    <s v="Ryan Christian R. Nunag"/>
    <m/>
    <m/>
    <m/>
    <m/>
    <m/>
    <s v=""/>
    <s v=""/>
    <s v=""/>
    <s v=""/>
    <m/>
    <s v="MRF"/>
    <s v="OPERATIONAL"/>
    <s v="Technical Assistance"/>
    <m/>
  </r>
  <r>
    <x v="0"/>
    <x v="1"/>
    <s v="OUTSIDE MBA"/>
    <s v="Calabgan"/>
    <n v="652"/>
    <n v="736"/>
    <s v="CONDUCTED TECHNICAL ASSISTANCE"/>
    <n v="2024"/>
    <s v="March 12, 2024"/>
    <x v="0"/>
    <s v="Queenyvelle Laguisma"/>
    <m/>
    <s v="Ryan Christian R. Nunag"/>
    <m/>
    <m/>
    <m/>
    <m/>
    <m/>
    <s v=""/>
    <s v=""/>
    <s v=""/>
    <s v=""/>
    <m/>
    <s v="MRF"/>
    <s v="OPERATIONAL"/>
    <s v="Technical Assistance"/>
    <m/>
  </r>
  <r>
    <x v="0"/>
    <x v="1"/>
    <s v="OUTSIDE MBA"/>
    <s v="Calangcuasan"/>
    <n v="1104"/>
    <n v="1150"/>
    <s v="CONDUCTED TECHNICAL ASSISTANCE"/>
    <n v="2024"/>
    <d v="2024-06-05T00:00:00"/>
    <x v="0"/>
    <s v="Queenyvelle Laguisma"/>
    <m/>
    <s v="Ryan Christian R. Nunag"/>
    <m/>
    <m/>
    <m/>
    <m/>
    <m/>
    <s v=""/>
    <s v=""/>
    <s v=""/>
    <s v=""/>
    <m/>
    <s v="MRF"/>
    <s v="OPERATIONAL"/>
    <s v="Technical Assistance"/>
    <m/>
  </r>
  <r>
    <x v="0"/>
    <x v="1"/>
    <s v="OUTSIDE MBA"/>
    <s v="Calantas"/>
    <n v="1916"/>
    <n v="1982"/>
    <s v="CONDUCTED TECHNICAL ASSISTANCE"/>
    <n v="2024"/>
    <d v="2024-04-16T00:00:00"/>
    <x v="0"/>
    <s v="Queenyvelle Laguisma"/>
    <m/>
    <s v="Ryan Christian R. Nunag"/>
    <m/>
    <m/>
    <m/>
    <m/>
    <m/>
    <s v=""/>
    <s v=""/>
    <s v=""/>
    <s v=""/>
    <m/>
    <s v="MRF"/>
    <s v="OPERATIONAL"/>
    <s v="Technical Assistance"/>
    <m/>
  </r>
  <r>
    <x v="0"/>
    <x v="1"/>
    <s v="OUTSIDE MBA"/>
    <s v="Cozo"/>
    <n v="1637"/>
    <n v="1929"/>
    <s v="CONDUCTED TECHNICAL ASSISTANCE"/>
    <n v="2024"/>
    <d v="2024-11-15T00:00:00"/>
    <x v="0"/>
    <s v="Queenyvelle Laguisma"/>
    <m/>
    <s v="Ryan Christian R. Nunag"/>
    <m/>
    <m/>
    <m/>
    <m/>
    <m/>
    <s v=""/>
    <s v=""/>
    <s v=""/>
    <s v=""/>
    <m/>
    <s v="MRF"/>
    <s v="OPERATIONAL"/>
    <s v="Technical Assistance"/>
    <m/>
  </r>
  <r>
    <x v="0"/>
    <x v="1"/>
    <s v="OUTSIDE MBA"/>
    <s v="Culat"/>
    <n v="776"/>
    <n v="1074"/>
    <s v="CONDUCTED TECHNICAL ASSISTANCE"/>
    <n v="2024"/>
    <d v="2024-06-11T00:00:00"/>
    <x v="0"/>
    <s v="Queenyvelle Laguisma"/>
    <m/>
    <s v="Ryan Christian R. Nunag"/>
    <m/>
    <m/>
    <m/>
    <m/>
    <m/>
    <s v=""/>
    <s v=""/>
    <s v=""/>
    <s v=""/>
    <m/>
    <s v="MRF"/>
    <s v="OPERATIONAL"/>
    <s v="Technical Assistance"/>
    <m/>
  </r>
  <r>
    <x v="0"/>
    <x v="1"/>
    <s v="OUTSIDE MBA"/>
    <s v="Dibacong"/>
    <n v="1954"/>
    <n v="2192"/>
    <s v="CONDUCTED TECHNICAL ASSISTANCE"/>
    <n v="2024"/>
    <d v="2024-09-10T00:00:00"/>
    <x v="0"/>
    <s v="Queenyvelle Laguisma"/>
    <m/>
    <s v="Ryan Christian R. Nunag"/>
    <m/>
    <m/>
    <m/>
    <m/>
    <m/>
    <s v=""/>
    <s v=""/>
    <s v=""/>
    <s v=""/>
    <m/>
    <s v="MRF"/>
    <s v="OPERATIONAL"/>
    <m/>
    <m/>
  </r>
  <r>
    <x v="0"/>
    <x v="1"/>
    <s v="OUTSIDE MBA"/>
    <s v="Dibet"/>
    <n v="973"/>
    <n v="1147"/>
    <s v="CONDUCTED TECHNICAL ASSISTANCE"/>
    <n v="2024"/>
    <d v="2024-10-09T00:00:00"/>
    <x v="0"/>
    <s v="Queenyvelle Laguisma"/>
    <m/>
    <s v="Ryan Christian R. Nunag"/>
    <m/>
    <m/>
    <m/>
    <m/>
    <m/>
    <s v=""/>
    <s v=""/>
    <s v=""/>
    <s v=""/>
    <m/>
    <s v="MRF"/>
    <s v="OPERATIONAL"/>
    <s v="Technical Assistance"/>
    <m/>
  </r>
  <r>
    <x v="0"/>
    <x v="1"/>
    <s v="OUTSIDE MBA"/>
    <s v="Ditinagyan"/>
    <n v="591"/>
    <n v="546"/>
    <s v="CONDUCTED TECHNICAL ASSISTANCE"/>
    <n v="2024"/>
    <d v="2024-10-09T00:00:00"/>
    <x v="0"/>
    <s v="Queenyvelle Laguisma"/>
    <m/>
    <s v="Ryan Christian R. Nunag"/>
    <m/>
    <m/>
    <m/>
    <m/>
    <m/>
    <s v=""/>
    <s v=""/>
    <s v=""/>
    <s v=""/>
    <m/>
    <s v="MRF"/>
    <s v="OPERATIONAL"/>
    <s v="Technical Assistance"/>
    <m/>
  </r>
  <r>
    <x v="0"/>
    <x v="1"/>
    <s v="OUTSIDE MBA"/>
    <s v="Esperanza"/>
    <n v="502"/>
    <n v="594"/>
    <s v="CONDUCTED TECHNICAL ASSISTANCE"/>
    <n v="2024"/>
    <d v="2024-11-08T00:00:00"/>
    <x v="0"/>
    <s v="Queenyvelle Laguisma"/>
    <m/>
    <s v="Ryan Christian R. Nunag"/>
    <m/>
    <m/>
    <m/>
    <m/>
    <m/>
    <s v=""/>
    <s v=""/>
    <s v=""/>
    <s v=""/>
    <m/>
    <s v="MRF"/>
    <s v="OPERATIONAL"/>
    <s v="Technical Assistance"/>
    <m/>
  </r>
  <r>
    <x v="0"/>
    <x v="1"/>
    <s v="OUTSIDE MBA"/>
    <s v="Esteves"/>
    <n v="1793"/>
    <n v="1895"/>
    <s v="CONDUCTED TECHNICAL ASSISTANCE"/>
    <n v="2024"/>
    <s v="March 1, 2024"/>
    <x v="0"/>
    <s v="Queenyvelle Laguisma"/>
    <m/>
    <s v="Ryan Christian R. Nunag"/>
    <m/>
    <m/>
    <m/>
    <m/>
    <m/>
    <s v=""/>
    <s v=""/>
    <s v=""/>
    <s v=""/>
    <m/>
    <s v="MRF"/>
    <s v="OPERATIONAL"/>
    <s v="Technical Assistance"/>
    <m/>
  </r>
  <r>
    <x v="0"/>
    <x v="1"/>
    <s v="OUTSIDE MBA"/>
    <s v="Lual"/>
    <n v="1588"/>
    <n v="1661"/>
    <s v="CONDUCTED TECHNICAL ASSISTANCE"/>
    <s v="2024_x000a_2025"/>
    <s v="16-Apr-24_x000a_12-Feb-25"/>
    <x v="1"/>
    <s v="Queenyvelle Laguisma"/>
    <m/>
    <s v="Ryan Christian R. Nunag"/>
    <s v="R3-2024-014192_x000a_R3-2025-005130"/>
    <s v="16-Apr-24_x000a_12-Feb-25"/>
    <m/>
    <s v="17-Apr-24_x000a_28-Feb-25"/>
    <s v="17-Apr-24_x000a_5-Mar-25"/>
    <m/>
    <s v=""/>
    <m/>
    <m/>
    <s v="Received by Planning"/>
    <s v="MRF"/>
    <s v="OPERATIONAL"/>
    <s v="Technical Assistance"/>
    <m/>
  </r>
  <r>
    <x v="0"/>
    <x v="1"/>
    <s v="OUTSIDE MBA"/>
    <s v="Marikit"/>
    <n v="735"/>
    <n v="964"/>
    <s v="CONDUCTED TECHNICAL ASSISTANCE"/>
    <n v="2024"/>
    <d v="2024-10-16T00:00:00"/>
    <x v="0"/>
    <s v="Queenyvelle Laguisma"/>
    <m/>
    <s v="Ryan Christian R. Nunag"/>
    <m/>
    <m/>
    <m/>
    <m/>
    <m/>
    <s v=""/>
    <s v=""/>
    <s v=""/>
    <s v=""/>
    <m/>
    <s v="MRF"/>
    <s v="OPERATIONAL"/>
    <s v="Technical Assistance"/>
    <m/>
  </r>
  <r>
    <x v="0"/>
    <x v="1"/>
    <s v="OUTSIDE MBA"/>
    <s v="San Ildefonso"/>
    <n v="1115"/>
    <n v="1118"/>
    <s v="CONDUCTED TECHNICAL ASSISTANCE"/>
    <n v="2024"/>
    <d v="2024-11-15T00:00:00"/>
    <x v="0"/>
    <s v="Queenyvelle Laguisma"/>
    <m/>
    <s v="Ryan Christian R. Nunag"/>
    <m/>
    <m/>
    <m/>
    <m/>
    <m/>
    <s v=""/>
    <s v=""/>
    <s v=""/>
    <s v=""/>
    <m/>
    <s v="MRF"/>
    <s v="OPERATIONAL"/>
    <s v="Technical Assistance"/>
    <m/>
  </r>
  <r>
    <x v="0"/>
    <x v="1"/>
    <s v="OUTSIDE MBA"/>
    <s v="Tabas"/>
    <n v="1043"/>
    <n v="1199"/>
    <s v="CONDUCTED TECHNICAL ASSISTANCE"/>
    <n v="2024"/>
    <d v="2024-11-08T00:00:00"/>
    <x v="0"/>
    <s v="Queenyvelle Laguisma"/>
    <m/>
    <s v="Ryan Christian R. Nunag"/>
    <m/>
    <m/>
    <m/>
    <m/>
    <m/>
    <s v=""/>
    <s v=""/>
    <s v=""/>
    <s v=""/>
    <m/>
    <s v="MRF"/>
    <s v="OPERATIONAL"/>
    <s v="Technical Assistance"/>
    <m/>
  </r>
  <r>
    <x v="0"/>
    <x v="1"/>
    <s v="OUTSIDE MBA"/>
    <s v="Tinib"/>
    <n v="830"/>
    <n v="862"/>
    <s v="CONDUCTED TECHNICAL ASSISTANCE"/>
    <n v="2024"/>
    <d v="2024-10-16T00:00:00"/>
    <x v="0"/>
    <s v="Queenyvelle Laguisma"/>
    <m/>
    <s v="Ryan Christian R. Nunag"/>
    <m/>
    <m/>
    <m/>
    <m/>
    <m/>
    <s v=""/>
    <s v=""/>
    <s v=""/>
    <s v=""/>
    <m/>
    <s v="MRF"/>
    <s v="OPERATIONAL"/>
    <s v="Technical Assistance"/>
    <m/>
  </r>
  <r>
    <x v="0"/>
    <x v="2"/>
    <s v="OUTSIDE MBA"/>
    <s v="Diagyan"/>
    <n v="2418"/>
    <n v="2579"/>
    <s v="CONDUCTED TECHNICAL ASSISTANCE"/>
    <n v="2025"/>
    <d v="2025-02-05T00:00:00"/>
    <x v="3"/>
    <s v="Queenyvelle Laguisma"/>
    <m/>
    <s v="Ryan Christian R. Nunag"/>
    <s v="R3-2025-003955"/>
    <d v="2025-02-05T00:00:00"/>
    <m/>
    <d v="2025-02-07T00:00:00"/>
    <d v="2025-02-07T00:00:00"/>
    <n v="1"/>
    <s v=""/>
    <n v="2"/>
    <n v="1"/>
    <s v="Received by Planning"/>
    <s v="MRS"/>
    <s v="OPERATIONAL"/>
    <s v="Technical Assistance"/>
    <m/>
  </r>
  <r>
    <x v="0"/>
    <x v="2"/>
    <s v="OUTSIDE MBA"/>
    <s v="Dicabasan"/>
    <n v="734"/>
    <n v="776"/>
    <s v="CONDUCTED TECHNICAL ASSISTANCE"/>
    <n v="2024"/>
    <d v="2024-11-06T00:00:00"/>
    <x v="0"/>
    <s v="Queenyvelle Laguisma"/>
    <m/>
    <s v="Ryan Christian R. Nunag"/>
    <m/>
    <m/>
    <m/>
    <m/>
    <m/>
    <s v=""/>
    <s v=""/>
    <s v=""/>
    <s v=""/>
    <m/>
    <s v="MRF"/>
    <s v="OPERATIONAL"/>
    <s v="Technical Assistance"/>
    <m/>
  </r>
  <r>
    <x v="0"/>
    <x v="2"/>
    <s v="OUTSIDE MBA"/>
    <s v="Dilaguidi"/>
    <n v="915"/>
    <n v="920"/>
    <s v="CONDUCTED TECHNICAL ASSISTANCE"/>
    <n v="2024"/>
    <d v="2024-11-06T00:00:00"/>
    <x v="0"/>
    <s v="Queenyvelle Laguisma"/>
    <m/>
    <s v="Ryan Christian R. Nunag"/>
    <m/>
    <m/>
    <m/>
    <m/>
    <m/>
    <s v=""/>
    <s v=""/>
    <s v=""/>
    <s v=""/>
    <m/>
    <s v="MRF"/>
    <s v="OPERATIONAL"/>
    <s v="Technical Assistance"/>
    <m/>
  </r>
  <r>
    <x v="0"/>
    <x v="2"/>
    <s v="OUTSIDE MBA"/>
    <s v="Dimaseset"/>
    <n v="1420"/>
    <n v="1466"/>
    <s v="CONDUCTED TECHNICAL ASSISTANCE"/>
    <n v="2024"/>
    <d v="2024-09-17T00:00:00"/>
    <x v="0"/>
    <s v="Queenyvelle Laguisma"/>
    <m/>
    <s v="Ryan Christian R. Nunag"/>
    <m/>
    <m/>
    <m/>
    <m/>
    <m/>
    <s v=""/>
    <s v=""/>
    <s v=""/>
    <s v=""/>
    <m/>
    <s v="MRF"/>
    <s v="OPERATIONAL"/>
    <m/>
    <m/>
  </r>
  <r>
    <x v="0"/>
    <x v="2"/>
    <s v="OUTSIDE MBA"/>
    <s v="Diniog"/>
    <n v="2485"/>
    <n v="2726"/>
    <s v="CONDUCTED TECHNICAL ASSISTANCE"/>
    <n v="2024"/>
    <d v="2024-11-05T00:00:00"/>
    <x v="0"/>
    <s v="Queenyvelle Laguisma"/>
    <m/>
    <s v="Ryan Christian R. Nunag"/>
    <m/>
    <m/>
    <m/>
    <m/>
    <m/>
    <s v=""/>
    <s v=""/>
    <s v=""/>
    <s v=""/>
    <m/>
    <s v="MRF"/>
    <s v="OPERATIONAL"/>
    <s v="Technical Assistance"/>
    <m/>
  </r>
  <r>
    <x v="0"/>
    <x v="2"/>
    <s v="OUTSIDE MBA"/>
    <s v="Esperanza"/>
    <n v="1266"/>
    <n v="1407"/>
    <s v="CONDUCTED TECHNICAL ASSISTANCE"/>
    <n v="2024"/>
    <d v="2024-11-14T00:00:00"/>
    <x v="0"/>
    <s v="Queenyvelle Laguisma"/>
    <m/>
    <s v="Ryan Christian R. Nunag"/>
    <m/>
    <m/>
    <m/>
    <m/>
    <m/>
    <s v=""/>
    <s v=""/>
    <s v=""/>
    <s v=""/>
    <m/>
    <s v="MRF"/>
    <s v="OPERATIONAL"/>
    <s v="Technical Assistance"/>
    <m/>
  </r>
  <r>
    <x v="0"/>
    <x v="2"/>
    <s v="OUTSIDE MBA"/>
    <s v="Lawang"/>
    <n v="511"/>
    <n v="473"/>
    <s v="CONDUCTED TECHNICAL ASSISTANCE"/>
    <n v="2025"/>
    <d v="2025-03-04T00:00:00"/>
    <x v="1"/>
    <s v="Queenyvelle Laguisma"/>
    <m/>
    <s v="Ryan Christian R. Nunag"/>
    <s v="R3-2025-007479"/>
    <d v="2025-03-04T00:00:00"/>
    <m/>
    <d v="2025-03-05T00:00:00"/>
    <d v="2025-03-05T00:00:00"/>
    <n v="1"/>
    <s v=""/>
    <n v="1"/>
    <n v="1"/>
    <s v="Received by Planning"/>
    <s v="MRS"/>
    <s v="OPERATIONAL"/>
    <s v="Technical Assistance"/>
    <m/>
  </r>
  <r>
    <x v="0"/>
    <x v="2"/>
    <s v="OUTSIDE MBA"/>
    <s v="Maligaya (Pob.)"/>
    <n v="1869"/>
    <n v="1915"/>
    <s v="CONDUCTED TECHNICAL ASSISTANCE"/>
    <n v="2024"/>
    <d v="2024-10-15T00:00:00"/>
    <x v="0"/>
    <s v="Queenyvelle Laguisma"/>
    <m/>
    <s v="Ryan Christian R. Nunag"/>
    <m/>
    <m/>
    <m/>
    <m/>
    <m/>
    <s v=""/>
    <s v=""/>
    <s v=""/>
    <s v=""/>
    <m/>
    <s v="MRF"/>
    <s v="OPERATIONAL"/>
    <s v="Technical Assistance"/>
    <m/>
  </r>
  <r>
    <x v="0"/>
    <x v="2"/>
    <s v="OUTSIDE MBA"/>
    <s v="Manggitahan"/>
    <n v="1742"/>
    <n v="1841"/>
    <s v="CONDUCTED TECHNICAL ASSISTANCE"/>
    <n v="2024"/>
    <d v="2024-09-17T00:00:00"/>
    <x v="0"/>
    <s v="Queenyvelle Laguisma"/>
    <m/>
    <s v="Ryan Christian R. Nunag"/>
    <m/>
    <m/>
    <m/>
    <m/>
    <m/>
    <s v=""/>
    <s v=""/>
    <s v=""/>
    <s v=""/>
    <m/>
    <s v="MRF"/>
    <s v="OPERATIONAL"/>
    <s v="Technical Assistance"/>
    <m/>
  </r>
  <r>
    <x v="0"/>
    <x v="2"/>
    <s v="OUTSIDE MBA"/>
    <s v="Masagana (Pob.)"/>
    <n v="1841"/>
    <n v="2280"/>
    <s v="CONDUCTED TECHNICAL ASSISTANCE"/>
    <n v="2024"/>
    <d v="2024-10-15T00:00:00"/>
    <x v="0"/>
    <s v="Queenyvelle Laguisma"/>
    <m/>
    <s v="Ryan Christian R. Nunag"/>
    <m/>
    <m/>
    <m/>
    <m/>
    <m/>
    <s v=""/>
    <s v=""/>
    <s v=""/>
    <s v=""/>
    <m/>
    <s v="MRF"/>
    <s v="OPERATIONAL"/>
    <s v="Technical Assistance"/>
    <m/>
  </r>
  <r>
    <x v="0"/>
    <x v="2"/>
    <s v="OUTSIDE MBA"/>
    <s v="Ura"/>
    <n v="634"/>
    <n v="719"/>
    <s v="CONDUCTED TECHNICAL ASSISTANCE"/>
    <n v="2025"/>
    <d v="2025-04-08T00:00:00"/>
    <x v="4"/>
    <s v="Queenyvelle Laguisma"/>
    <m/>
    <s v="Ryan Christian R. Nunag"/>
    <s v="R3-2025-011897"/>
    <d v="2025-04-08T00:00:00"/>
    <m/>
    <d v="2025-04-10T00:00:00"/>
    <d v="2025-04-10T00:00:00"/>
    <n v="1"/>
    <s v=""/>
    <n v="2"/>
    <n v="1"/>
    <s v="Received by Planning"/>
    <s v="MRS"/>
    <s v="OPERATIONAL"/>
    <s v="Technical Assistance"/>
    <m/>
  </r>
  <r>
    <x v="0"/>
    <x v="3"/>
    <s v="OUTSIDE MBA"/>
    <s v="Abuleg"/>
    <n v="1236"/>
    <n v="1293"/>
    <s v="CONDUCTED TECHNICAL ASSISTANCE"/>
    <n v="2024"/>
    <d v="2024-09-11T00:00:00"/>
    <x v="0"/>
    <s v="Queenyvelle Laguisma"/>
    <m/>
    <s v="Ryan Christian R. Nunag"/>
    <m/>
    <m/>
    <m/>
    <m/>
    <m/>
    <s v=""/>
    <s v=""/>
    <s v=""/>
    <s v=""/>
    <m/>
    <s v="MRF"/>
    <s v="OPERATIONAL"/>
    <s v="Technical Assistance"/>
    <m/>
  </r>
  <r>
    <x v="0"/>
    <x v="3"/>
    <s v="OUTSIDE MBA"/>
    <s v="Dibaraybay"/>
    <n v="1292"/>
    <n v="1682"/>
    <s v="CONDUCTED TECHNICAL ASSISTANCE"/>
    <n v="2024"/>
    <d v="2024-04-11T00:00:00"/>
    <x v="0"/>
    <s v="Queenyvelle Laguisma"/>
    <m/>
    <s v="Ryan Christian R. Nunag"/>
    <m/>
    <m/>
    <m/>
    <m/>
    <m/>
    <s v=""/>
    <s v=""/>
    <s v=""/>
    <s v=""/>
    <m/>
    <m/>
    <m/>
    <s v="Technical Assistance"/>
    <m/>
  </r>
  <r>
    <x v="0"/>
    <x v="3"/>
    <s v="OUTSIDE MBA"/>
    <s v="Ditawini"/>
    <n v="659"/>
    <n v="777"/>
    <s v="CONDUCTED TECHNICAL ASSISTANCE"/>
    <n v="2024"/>
    <d v="2024-09-11T00:00:00"/>
    <x v="0"/>
    <s v="Queenyvelle Laguisma"/>
    <m/>
    <s v="Ryan Christian R. Nunag"/>
    <m/>
    <m/>
    <m/>
    <m/>
    <m/>
    <s v=""/>
    <s v=""/>
    <s v=""/>
    <s v=""/>
    <m/>
    <s v="MRF"/>
    <s v="OPERATIONAL"/>
    <s v="Technical Assistance"/>
    <m/>
  </r>
  <r>
    <x v="0"/>
    <x v="3"/>
    <s v="OUTSIDE MBA"/>
    <s v="Mapalad"/>
    <n v="763"/>
    <n v="952"/>
    <s v="CONDUCTED TECHNICAL ASSISTANCE"/>
    <n v="2024"/>
    <d v="2024-06-06T00:00:00"/>
    <x v="0"/>
    <s v="Queenyvelle Laguisma"/>
    <m/>
    <s v="Ryan Christian R. Nunag"/>
    <m/>
    <m/>
    <m/>
    <m/>
    <m/>
    <s v=""/>
    <s v=""/>
    <s v=""/>
    <s v=""/>
    <m/>
    <m/>
    <m/>
    <s v="Technical Assistance"/>
    <m/>
  </r>
  <r>
    <x v="0"/>
    <x v="3"/>
    <s v="OUTSIDE MBA"/>
    <s v="Nipoo"/>
    <n v="905"/>
    <n v="1355"/>
    <s v="CONDUCTED TECHNICAL ASSISTANCE"/>
    <s v="2024_x000a_2025"/>
    <s v="10-Oct-24_x000a_14-Feb-25"/>
    <x v="1"/>
    <s v="Queenyvelle Laguisma"/>
    <m/>
    <s v="Ryan Christian R. Nunag"/>
    <s v="R3-2024-036436_x000a_R3-2025-005426"/>
    <s v="10-Oct-24_x000a_14-Feb-25"/>
    <m/>
    <s v="11-Oct-24_x000a_5-Mar-25"/>
    <s v="15-Oct-24_x000a_5-Mar-25"/>
    <m/>
    <s v=""/>
    <m/>
    <m/>
    <s v="Received by Planning"/>
    <s v="MRS"/>
    <s v="OPERATIONAL"/>
    <s v="Technical Assistance"/>
    <m/>
  </r>
  <r>
    <x v="0"/>
    <x v="3"/>
    <s v="OUTSIDE MBA"/>
    <s v="Paleg"/>
    <n v="1203"/>
    <n v="1298"/>
    <s v="CONDUCTED TECHNICAL ASSISTANCE"/>
    <s v="2024_x000a_2025"/>
    <s v="12-Apr-24_x000a_7-Feb-25"/>
    <x v="1"/>
    <s v="Queenyvelle Laguisma"/>
    <m/>
    <s v="Ryan Christian R. Nunag"/>
    <s v="R3-2024-013901_x000a_R3-2025-004333"/>
    <s v="15-Jul-24_x000a_7-Feb-25"/>
    <m/>
    <s v="16-Jul-24_x000a_20-Feb-25"/>
    <s v="16-Jul-24_x000a_28-Feb-25"/>
    <m/>
    <s v=""/>
    <m/>
    <m/>
    <s v="Received by Planning"/>
    <s v="MRF"/>
    <s v="OPERATIONAL"/>
    <s v="Technical Assistance"/>
    <m/>
  </r>
  <r>
    <x v="0"/>
    <x v="3"/>
    <s v="OUTSIDE MBA"/>
    <s v="Simbahan"/>
    <n v="1717"/>
    <n v="1750"/>
    <s v="CONDUCTED TECHNICAL ASSISTANCE"/>
    <n v="2024"/>
    <d v="2024-06-07T00:00:00"/>
    <x v="0"/>
    <s v="Queenyvelle Laguisma"/>
    <m/>
    <s v="Ryan Christian R. Nunag"/>
    <m/>
    <m/>
    <m/>
    <m/>
    <m/>
    <s v=""/>
    <s v=""/>
    <s v=""/>
    <s v=""/>
    <m/>
    <m/>
    <m/>
    <s v="Technical Assistance"/>
    <m/>
  </r>
  <r>
    <x v="0"/>
    <x v="3"/>
    <s v="OUTSIDE MBA"/>
    <s v="Zone I (Pob.)"/>
    <n v="1881"/>
    <n v="1553"/>
    <s v="CONDUCTED TECHNICAL ASSISTANCE"/>
    <n v="2024"/>
    <s v="March 6, 2024"/>
    <x v="0"/>
    <s v="Queenyvelle Laguisma"/>
    <m/>
    <s v="Ryan Christian R. Nunag"/>
    <m/>
    <m/>
    <m/>
    <m/>
    <m/>
    <s v=""/>
    <s v=""/>
    <s v=""/>
    <s v=""/>
    <m/>
    <m/>
    <m/>
    <s v="Technical Assistance"/>
    <m/>
  </r>
  <r>
    <x v="0"/>
    <x v="3"/>
    <s v="OUTSIDE MBA"/>
    <s v="Zone II (Pob.)"/>
    <n v="1666"/>
    <n v="1848"/>
    <s v="CONDUCTED TECHNICAL ASSISTANCE"/>
    <n v="2024"/>
    <s v="March 6, 2024"/>
    <x v="0"/>
    <s v="Queenyvelle Laguisma"/>
    <m/>
    <s v="Ryan Christian R. Nunag"/>
    <m/>
    <m/>
    <m/>
    <m/>
    <m/>
    <s v=""/>
    <s v=""/>
    <s v=""/>
    <s v=""/>
    <m/>
    <m/>
    <m/>
    <s v="Technical Assistance"/>
    <m/>
  </r>
  <r>
    <x v="0"/>
    <x v="4"/>
    <s v="OUTSIDE MBA"/>
    <s v="Aplaya"/>
    <n v="1802"/>
    <n v="2148"/>
    <s v="CONDUCTED TECHNICAL ASSISTANCE"/>
    <n v="2024"/>
    <d v="2024-11-15T00:00:00"/>
    <x v="0"/>
    <s v="Nikko Jay M. Valenzuela"/>
    <m/>
    <s v="Ryan Christian R. Nunag"/>
    <m/>
    <m/>
    <m/>
    <m/>
    <m/>
    <s v=""/>
    <s v=""/>
    <s v=""/>
    <s v=""/>
    <m/>
    <s v="MRF"/>
    <s v="OPERATIONAL"/>
    <s v="Technical Assistance"/>
    <m/>
  </r>
  <r>
    <x v="0"/>
    <x v="4"/>
    <s v="OUTSIDE MBA"/>
    <s v="Butas Na Bato"/>
    <n v="909"/>
    <n v="996"/>
    <s v="CONDUCTED TECHNICAL ASSISTANCE"/>
    <n v="2024"/>
    <d v="2024-11-15T00:00:00"/>
    <x v="0"/>
    <s v="Nikko Jay M. Valenzuela"/>
    <m/>
    <s v="Ryan Christian R. Nunag"/>
    <m/>
    <m/>
    <m/>
    <m/>
    <m/>
    <s v=""/>
    <s v=""/>
    <s v=""/>
    <s v=""/>
    <m/>
    <s v="MRF"/>
    <s v="OPERATIONAL"/>
    <s v="Technical Assistance"/>
    <m/>
  </r>
  <r>
    <x v="0"/>
    <x v="4"/>
    <s v="OUTSIDE MBA"/>
    <s v="Cabog"/>
    <n v="3356"/>
    <n v="3502"/>
    <s v="CONDUCTED TECHNICAL ASSISTANCE"/>
    <n v="2024"/>
    <d v="2024-11-14T00:00:00"/>
    <x v="0"/>
    <s v="Nikko Jay M. Valenzuela"/>
    <m/>
    <s v="Ryan Christian R. Nunag"/>
    <m/>
    <m/>
    <m/>
    <m/>
    <m/>
    <s v=""/>
    <s v=""/>
    <s v=""/>
    <s v=""/>
    <m/>
    <s v="MRF"/>
    <s v="OPERATIONAL"/>
    <s v="Technical Assistance"/>
    <m/>
  </r>
  <r>
    <x v="0"/>
    <x v="4"/>
    <s v="OUTSIDE MBA"/>
    <s v="Caragsacan"/>
    <n v="2992"/>
    <n v="3502"/>
    <s v="CONDUCTED TECHNICAL ASSISTANCE"/>
    <s v="2024_x000a_2025"/>
    <s v="10-Sep-24_x000a_5-Feb-25"/>
    <x v="1"/>
    <s v="Nikko Jay M. Valenzuela"/>
    <m/>
    <s v="Ryan Christian R. Nunag"/>
    <s v="R3-2024-032364_x000a_R3-2025-004583"/>
    <s v="10-Sep-24_x000a_10-Feb-25"/>
    <m/>
    <s v="11-Sep-24_x000a_20-Feb-25"/>
    <s v="11-Sep-24_x000a_28-Feb-25"/>
    <m/>
    <s v=""/>
    <m/>
    <m/>
    <s v="Received by Planning"/>
    <s v="MRF"/>
    <s v="OPERATIONAL"/>
    <s v="Technical Assistance"/>
    <m/>
  </r>
  <r>
    <x v="0"/>
    <x v="4"/>
    <s v="OUTSIDE MBA"/>
    <s v="Davildavilan"/>
    <n v="1036"/>
    <n v="1064"/>
    <s v="CONDUCTED TECHNICAL ASSISTANCE"/>
    <n v="2024"/>
    <s v="March 14, 2024"/>
    <x v="0"/>
    <s v="Nikko Jay M. Valenzuela"/>
    <m/>
    <s v="Ryan Christian R. Nunag"/>
    <m/>
    <m/>
    <m/>
    <m/>
    <m/>
    <s v=""/>
    <s v=""/>
    <s v=""/>
    <s v=""/>
    <m/>
    <m/>
    <m/>
    <m/>
    <m/>
  </r>
  <r>
    <x v="0"/>
    <x v="4"/>
    <s v="OUTSIDE MBA"/>
    <s v="Dikapanikian"/>
    <n v="404"/>
    <n v="414"/>
    <s v="CONDUCTED TECHNICAL ASSISTANCE"/>
    <n v="2025"/>
    <d v="2025-10-14T00:00:00"/>
    <x v="5"/>
    <s v="Nikko Jay M. Valenzuela"/>
    <m/>
    <s v="Ryan Christian R. Nunag"/>
    <s v="R3-2025-034983"/>
    <d v="2025-10-15T00:00:00"/>
    <m/>
    <d v="2025-10-16T00:00:00"/>
    <d v="2025-10-16T00:00:00"/>
    <n v="1"/>
    <s v=""/>
    <n v="1"/>
    <n v="1"/>
    <s v="Received by Planning"/>
    <s v="MRS"/>
    <s v="OPERATIONAL"/>
    <s v="Technical Assistance"/>
    <m/>
  </r>
  <r>
    <x v="0"/>
    <x v="4"/>
    <s v="OUTSIDE MBA"/>
    <s v="Ibona"/>
    <n v="3624"/>
    <n v="3814"/>
    <s v="CONDUCTED TECHNICAL ASSISTANCE"/>
    <n v="2024"/>
    <d v="2024-05-09T00:00:00"/>
    <x v="0"/>
    <s v="Nikko Jay M. Valenzuela"/>
    <m/>
    <s v="Ryan Christian R. Nunag"/>
    <m/>
    <m/>
    <m/>
    <m/>
    <m/>
    <s v=""/>
    <s v=""/>
    <s v=""/>
    <s v=""/>
    <m/>
    <m/>
    <m/>
    <s v="Technical Assistance"/>
    <m/>
  </r>
  <r>
    <x v="0"/>
    <x v="4"/>
    <s v="OUTSIDE MBA"/>
    <s v="Paltic"/>
    <n v="5075"/>
    <n v="5754"/>
    <s v="CONDUCTED TECHNICAL ASSISTANCE"/>
    <n v="2024"/>
    <d v="2024-11-14T00:00:00"/>
    <x v="0"/>
    <s v="Nikko Jay M. Valenzuela"/>
    <m/>
    <s v="Ryan Christian R. Nunag"/>
    <m/>
    <m/>
    <m/>
    <m/>
    <m/>
    <s v=""/>
    <s v=""/>
    <s v=""/>
    <s v=""/>
    <m/>
    <s v="MRF"/>
    <s v="OPERATIONAL"/>
    <s v="Technical Assistance"/>
    <m/>
  </r>
  <r>
    <x v="0"/>
    <x v="4"/>
    <s v="OUTSIDE MBA"/>
    <s v="Poblacion"/>
    <n v="1084"/>
    <n v="1092"/>
    <s v="CONDUCTED TECHNICAL ASSISTANCE"/>
    <n v="2024"/>
    <s v="March 1, 2024"/>
    <x v="0"/>
    <s v="Nikko Jay M. Valenzuela"/>
    <m/>
    <s v="Ryan Christian R. Nunag"/>
    <m/>
    <m/>
    <m/>
    <m/>
    <m/>
    <s v=""/>
    <s v=""/>
    <s v=""/>
    <s v=""/>
    <m/>
    <m/>
    <m/>
    <s v="Technical Assistance"/>
    <m/>
  </r>
  <r>
    <x v="0"/>
    <x v="4"/>
    <s v="OUTSIDE MBA"/>
    <s v="Tanawan"/>
    <n v="820"/>
    <n v="1039"/>
    <s v="CONDUCTED TECHNICAL ASSISTANCE"/>
    <s v="2024_x000a_2025"/>
    <s v="10-May-24_x000a_14-Feb-25"/>
    <x v="1"/>
    <s v="Nikko Jay M. Valenzuela"/>
    <m/>
    <s v="Ryan Christian R. Nunag"/>
    <s v="R3-2024-017205_x000a_R3-2025-005747"/>
    <s v="13-May-24_x000a_17-Feb-25"/>
    <m/>
    <s v="15-May-24_x000a_5-Mar-25"/>
    <s v="15-May-24_x000a_5-Mar-25"/>
    <m/>
    <s v=""/>
    <m/>
    <m/>
    <s v="Received by Planning"/>
    <s v="MRF"/>
    <s v="OPERATIONAL"/>
    <s v="Technical Assistance"/>
    <m/>
  </r>
  <r>
    <x v="0"/>
    <x v="4"/>
    <s v="OUTSIDE MBA"/>
    <s v="Umiray"/>
    <n v="4380"/>
    <n v="4553"/>
    <s v="CONDUCTED TECHNICAL ASSISTANCE"/>
    <n v="2024"/>
    <d v="2024-11-14T00:00:00"/>
    <x v="0"/>
    <s v="Nikko Jay M. Valenzuela"/>
    <m/>
    <s v="Ryan Christian R. Nunag"/>
    <m/>
    <m/>
    <m/>
    <m/>
    <m/>
    <s v=""/>
    <s v=""/>
    <s v=""/>
    <s v=""/>
    <m/>
    <s v="MRF"/>
    <s v="OPERATIONAL"/>
    <s v="Technical Assistance"/>
    <m/>
  </r>
  <r>
    <x v="0"/>
    <x v="5"/>
    <s v="OUTSIDE MBA"/>
    <s v="Bayabas"/>
    <n v="915"/>
    <n v="929"/>
    <s v="CONDUCTED TECHNICAL ASSISTANCE"/>
    <n v="2024"/>
    <d v="2024-10-03T00:00:00"/>
    <x v="0"/>
    <s v="Zaila Mae Leander"/>
    <m/>
    <s v="Ryan Christian R. Nunag"/>
    <m/>
    <m/>
    <m/>
    <m/>
    <m/>
    <s v=""/>
    <s v=""/>
    <s v=""/>
    <s v=""/>
    <m/>
    <s v="MRF"/>
    <s v="OPERATIONAL"/>
    <s v="Technical Assistance"/>
    <m/>
  </r>
  <r>
    <x v="0"/>
    <x v="5"/>
    <s v="OUTSIDE MBA"/>
    <s v="Borlongan"/>
    <n v="2416"/>
    <n v="2756"/>
    <s v="CONDUCTED TECHNICAL ASSISTANCE"/>
    <n v="2024"/>
    <d v="2024-11-13T00:00:00"/>
    <x v="0"/>
    <s v="Zaila Mae Leander"/>
    <m/>
    <s v="Ryan Christian R. Nunag"/>
    <m/>
    <m/>
    <m/>
    <m/>
    <m/>
    <s v=""/>
    <s v=""/>
    <s v=""/>
    <s v=""/>
    <m/>
    <s v="MRF"/>
    <s v="OPERATIONAL"/>
    <m/>
    <m/>
  </r>
  <r>
    <x v="0"/>
    <x v="5"/>
    <s v="OUTSIDE MBA"/>
    <s v="Buenavista"/>
    <n v="569"/>
    <n v="736"/>
    <s v="CONDUCTED TECHNICAL ASSISTANCE"/>
    <n v="2024"/>
    <d v="2024-06-06T00:00:00"/>
    <x v="0"/>
    <s v="Zaila Mae Leander"/>
    <m/>
    <s v="Ryan Christian R. Nunag"/>
    <m/>
    <m/>
    <m/>
    <m/>
    <m/>
    <s v=""/>
    <s v=""/>
    <s v=""/>
    <s v=""/>
    <m/>
    <m/>
    <m/>
    <s v="Technical Assistance"/>
    <m/>
  </r>
  <r>
    <x v="0"/>
    <x v="5"/>
    <s v="OUTSIDE MBA"/>
    <s v="Calaocan"/>
    <n v="816"/>
    <n v="838"/>
    <s v="CONDUCTED TECHNICAL ASSISTANCE"/>
    <n v="2024"/>
    <d v="2024-11-12T00:00:00"/>
    <x v="0"/>
    <s v="Zaila Mae Leander"/>
    <m/>
    <s v="Ryan Christian R. Nunag"/>
    <m/>
    <m/>
    <m/>
    <m/>
    <m/>
    <s v=""/>
    <s v=""/>
    <s v=""/>
    <s v=""/>
    <m/>
    <s v="MRF"/>
    <s v="OPERATIONAL"/>
    <s v="Technical Assistance"/>
    <m/>
  </r>
  <r>
    <x v="0"/>
    <x v="5"/>
    <s v="OUTSIDE MBA"/>
    <s v="Dianed"/>
    <n v="722"/>
    <n v="780"/>
    <s v="CONDUCTED TECHNICAL ASSISTANCE"/>
    <n v="2024"/>
    <d v="2024-11-12T00:00:00"/>
    <x v="0"/>
    <s v="Zaila Mae Leander"/>
    <m/>
    <s v="Ryan Christian R. Nunag"/>
    <m/>
    <m/>
    <m/>
    <m/>
    <m/>
    <s v=""/>
    <s v=""/>
    <s v=""/>
    <s v=""/>
    <m/>
    <s v="MRF"/>
    <s v="OPERATIONAL"/>
    <m/>
    <m/>
  </r>
  <r>
    <x v="0"/>
    <x v="5"/>
    <s v="OUTSIDE MBA"/>
    <s v="Diarabasin"/>
    <n v="1730"/>
    <n v="1801"/>
    <s v="CONDUCTED TECHNICAL ASSISTANCE"/>
    <n v="2024"/>
    <d v="2024-11-13T00:00:00"/>
    <x v="0"/>
    <s v="Zaila Mae Leander"/>
    <m/>
    <s v="Ryan Christian R. Nunag"/>
    <m/>
    <m/>
    <m/>
    <m/>
    <m/>
    <s v=""/>
    <s v=""/>
    <s v=""/>
    <s v=""/>
    <m/>
    <s v="MRF"/>
    <s v="OPERATIONAL"/>
    <m/>
    <m/>
  </r>
  <r>
    <x v="0"/>
    <x v="5"/>
    <s v="OUTSIDE MBA"/>
    <s v="Dibutunan"/>
    <n v="860"/>
    <n v="878"/>
    <s v="CONDUCTED TECHNICAL ASSISTANCE"/>
    <n v="2024"/>
    <d v="2024-08-15T00:00:00"/>
    <x v="0"/>
    <s v="Zaila Mae Leander"/>
    <m/>
    <s v="Ryan Christian R. Nunag"/>
    <m/>
    <m/>
    <m/>
    <m/>
    <m/>
    <s v=""/>
    <s v=""/>
    <s v=""/>
    <s v=""/>
    <m/>
    <s v="MRF"/>
    <s v="OPERATIONAL"/>
    <s v="Technical Assistance"/>
    <m/>
  </r>
  <r>
    <x v="0"/>
    <x v="5"/>
    <s v="OUTSIDE MBA"/>
    <s v="Dimabuno"/>
    <n v="1195"/>
    <n v="1378"/>
    <s v="CONDUCTED TECHNICAL ASSISTANCE"/>
    <n v="2024"/>
    <d v="2024-08-16T00:00:00"/>
    <x v="0"/>
    <s v="Zaila Mae Leander"/>
    <m/>
    <s v="Ryan Christian R. Nunag"/>
    <m/>
    <m/>
    <m/>
    <m/>
    <m/>
    <s v=""/>
    <s v=""/>
    <s v=""/>
    <s v=""/>
    <m/>
    <s v="MRF"/>
    <s v="OPERATIONAL"/>
    <s v="Technical Assistance"/>
    <m/>
  </r>
  <r>
    <x v="0"/>
    <x v="5"/>
    <s v="OUTSIDE MBA"/>
    <s v="Dinadiawan"/>
    <n v="3733"/>
    <n v="4344"/>
    <s v="CONDUCTED TECHNICAL ASSISTANCE"/>
    <n v="2024"/>
    <d v="2024-08-16T00:00:00"/>
    <x v="0"/>
    <s v="Zaila Mae Leander"/>
    <m/>
    <s v="Ryan Christian R. Nunag"/>
    <m/>
    <m/>
    <m/>
    <m/>
    <m/>
    <s v=""/>
    <s v=""/>
    <s v=""/>
    <s v=""/>
    <m/>
    <s v="MRF"/>
    <s v="OPERATIONAL"/>
    <s v="Technical Assistance"/>
    <m/>
  </r>
  <r>
    <x v="0"/>
    <x v="5"/>
    <s v="OUTSIDE MBA"/>
    <s v="Ditale"/>
    <n v="1398"/>
    <n v="1651"/>
    <s v="CONDUCTED TECHNICAL ASSISTANCE"/>
    <n v="2024"/>
    <d v="2024-08-15T00:00:00"/>
    <x v="0"/>
    <s v="Zaila Mae Leander"/>
    <m/>
    <s v="Ryan Christian R. Nunag"/>
    <m/>
    <m/>
    <m/>
    <m/>
    <m/>
    <s v=""/>
    <s v=""/>
    <s v=""/>
    <s v=""/>
    <m/>
    <s v="MRS"/>
    <s v="OPERATIONAL"/>
    <s v="Technical Assistance"/>
    <m/>
  </r>
  <r>
    <x v="0"/>
    <x v="5"/>
    <s v="OUTSIDE MBA"/>
    <s v="Gupa"/>
    <n v="1037"/>
    <n v="1114"/>
    <s v="CONDUCTED TECHNICAL ASSISTANCE"/>
    <n v="2024"/>
    <d v="2024-08-08T00:00:00"/>
    <x v="0"/>
    <s v="Zaila Mae Leander"/>
    <m/>
    <s v="Ryan Christian R. Nunag"/>
    <m/>
    <m/>
    <m/>
    <m/>
    <m/>
    <s v=""/>
    <s v=""/>
    <s v=""/>
    <s v=""/>
    <m/>
    <s v="MRF"/>
    <s v="OPERATIONAL"/>
    <s v="Technical Assistance"/>
    <m/>
  </r>
  <r>
    <x v="0"/>
    <x v="5"/>
    <s v="OUTSIDE MBA"/>
    <s v="Ipil"/>
    <n v="1154"/>
    <n v="1272"/>
    <s v="CONDUCTED TECHNICAL ASSISTANCE"/>
    <n v="2024"/>
    <s v="March 15, 2024"/>
    <x v="0"/>
    <s v="Zaila Mae Leander"/>
    <m/>
    <s v="Ryan Christian R. Nunag"/>
    <m/>
    <m/>
    <m/>
    <m/>
    <m/>
    <s v=""/>
    <s v=""/>
    <s v=""/>
    <s v=""/>
    <m/>
    <m/>
    <m/>
    <m/>
    <m/>
  </r>
  <r>
    <x v="0"/>
    <x v="5"/>
    <s v="OUTSIDE MBA"/>
    <s v="Laboy"/>
    <n v="454"/>
    <n v="515"/>
    <s v="CONDUCTED TECHNICAL ASSISTANCE"/>
    <n v="2024"/>
    <d v="2024-10-03T00:00:00"/>
    <x v="0"/>
    <s v="Zaila Mae Leander"/>
    <m/>
    <s v="Ryan Christian R. Nunag"/>
    <m/>
    <m/>
    <m/>
    <m/>
    <m/>
    <s v=""/>
    <s v=""/>
    <s v=""/>
    <s v=""/>
    <m/>
    <s v="MRF"/>
    <s v="OPERATIONAL"/>
    <s v="Technical Assistance"/>
    <m/>
  </r>
  <r>
    <x v="0"/>
    <x v="5"/>
    <s v="OUTSIDE MBA"/>
    <s v="Lipit"/>
    <n v="968"/>
    <n v="1073"/>
    <s v="CONDUCTED TECHNICAL ASSISTANCE"/>
    <n v="2024"/>
    <d v="2024-09-17T00:00:00"/>
    <x v="0"/>
    <s v="Zaila Mae Leander"/>
    <m/>
    <s v="Ryan Christian R. Nunag"/>
    <m/>
    <m/>
    <m/>
    <m/>
    <m/>
    <s v=""/>
    <s v=""/>
    <s v=""/>
    <s v=""/>
    <m/>
    <s v="MRF"/>
    <s v="OPERATIONAL"/>
    <s v="Technical Assistance"/>
    <m/>
  </r>
  <r>
    <x v="0"/>
    <x v="5"/>
    <s v="OUTSIDE MBA"/>
    <s v="Lobbot"/>
    <n v="580"/>
    <n v="622"/>
    <s v="CONDUCTED TECHNICAL ASSISTANCE"/>
    <n v="2024"/>
    <d v="2024-10-10T00:00:00"/>
    <x v="0"/>
    <s v="Zaila Mae Leander"/>
    <m/>
    <s v="Ryan Christian R. Nunag"/>
    <m/>
    <m/>
    <m/>
    <m/>
    <m/>
    <s v=""/>
    <s v=""/>
    <s v=""/>
    <s v=""/>
    <m/>
    <s v="MRF"/>
    <s v="OPERATIONAL"/>
    <s v="Technical Assistance"/>
    <m/>
  </r>
  <r>
    <x v="0"/>
    <x v="5"/>
    <s v="OUTSIDE MBA"/>
    <s v="Maligaya"/>
    <n v="665"/>
    <n v="822"/>
    <s v="CONDUCTED TECHNICAL ASSISTANCE"/>
    <n v="2024"/>
    <d v="2024-09-17T00:00:00"/>
    <x v="0"/>
    <s v="Zaila Mae Leander"/>
    <m/>
    <s v="Ryan Christian R. Nunag"/>
    <m/>
    <m/>
    <m/>
    <m/>
    <m/>
    <s v=""/>
    <s v=""/>
    <s v=""/>
    <s v=""/>
    <m/>
    <s v="MRF"/>
    <s v="OPERATIONAL"/>
    <s v="Technical Assistance"/>
    <m/>
  </r>
  <r>
    <x v="0"/>
    <x v="5"/>
    <s v="OUTSIDE MBA"/>
    <s v="Mijares"/>
    <n v="1134"/>
    <n v="1240"/>
    <s v="CONDUCTED TECHNICAL ASSISTANCE"/>
    <n v="2024"/>
    <d v="2024-08-12T00:00:00"/>
    <x v="0"/>
    <s v="Zaila Mae Leander"/>
    <m/>
    <s v="Ryan Christian R. Nunag"/>
    <m/>
    <m/>
    <m/>
    <m/>
    <m/>
    <s v=""/>
    <s v=""/>
    <s v=""/>
    <s v=""/>
    <m/>
    <s v="MRF"/>
    <s v="OPERATIONAL"/>
    <s v="Technical Assistance"/>
    <m/>
  </r>
  <r>
    <x v="0"/>
    <x v="5"/>
    <s v="OUTSIDE MBA"/>
    <s v="Mucdol"/>
    <n v="1479"/>
    <n v="1497"/>
    <s v="CONDUCTED TECHNICAL ASSISTANCE"/>
    <n v="2024"/>
    <d v="2024-09-11T00:00:00"/>
    <x v="0"/>
    <s v="Zaila Mae Leander"/>
    <m/>
    <s v="Ryan Christian R. Nunag"/>
    <m/>
    <m/>
    <m/>
    <m/>
    <m/>
    <s v=""/>
    <s v=""/>
    <s v=""/>
    <s v=""/>
    <m/>
    <s v="MRF"/>
    <s v="OPERATIONAL"/>
    <s v="Technical Assistance"/>
    <m/>
  </r>
  <r>
    <x v="0"/>
    <x v="5"/>
    <s v="OUTSIDE MBA"/>
    <s v="North Poblacion"/>
    <n v="2059"/>
    <n v="2181"/>
    <s v="CONDUCTED TECHNICAL ASSISTANCE"/>
    <s v="2024_x000a_2025"/>
    <s v="11-Sep-24_x000a_5-Feb-25"/>
    <x v="1"/>
    <s v="Zaila Mae Leander"/>
    <m/>
    <s v="Ryan Christian R. Nunag"/>
    <s v="R3-2024-032678_x000a_R3-2025-004215"/>
    <s v="16-Sep-24_x000a_7-Feb-25"/>
    <m/>
    <s v="17-Sep-24_x000a_20-Feb-25"/>
    <s v="17-Sep-24_x000a_28-Feb-25"/>
    <m/>
    <s v=""/>
    <m/>
    <m/>
    <s v="Received by Planning"/>
    <s v="NO FACILITY"/>
    <s v="Disposal to SLF"/>
    <s v="Technical Assistance"/>
    <m/>
  </r>
  <r>
    <x v="0"/>
    <x v="5"/>
    <s v="OUTSIDE MBA"/>
    <s v="Puangi"/>
    <n v="1430"/>
    <n v="1789"/>
    <s v="CONDUCTED TECHNICAL ASSISTANCE"/>
    <n v="2024"/>
    <d v="2024-06-07T00:00:00"/>
    <x v="0"/>
    <s v="Zaila Mae Leander"/>
    <m/>
    <s v="Ryan Christian R. Nunag"/>
    <m/>
    <m/>
    <m/>
    <m/>
    <m/>
    <s v=""/>
    <s v=""/>
    <s v=""/>
    <s v=""/>
    <m/>
    <s v="MRF"/>
    <m/>
    <s v="Technical Assistance"/>
    <m/>
  </r>
  <r>
    <x v="0"/>
    <x v="5"/>
    <s v="OUTSIDE MBA"/>
    <s v="Salay"/>
    <n v="1417"/>
    <n v="1440"/>
    <s v="CONDUCTED TECHNICAL ASSISTANCE"/>
    <n v="2024"/>
    <d v="2024-11-08T00:00:00"/>
    <x v="0"/>
    <s v="Zaila Mae Leander"/>
    <m/>
    <s v="Ryan Christian R. Nunag"/>
    <m/>
    <m/>
    <m/>
    <m/>
    <m/>
    <s v=""/>
    <s v=""/>
    <s v=""/>
    <s v=""/>
    <m/>
    <s v="MRF"/>
    <m/>
    <s v="Technical Assistance"/>
    <m/>
  </r>
  <r>
    <x v="0"/>
    <x v="5"/>
    <s v="OUTSIDE MBA"/>
    <s v="Sapangkawayan"/>
    <n v="405"/>
    <n v="442"/>
    <s v="CONDUCTED TECHNICAL ASSISTANCE"/>
    <n v="2025"/>
    <d v="2025-05-15T00:00:00"/>
    <x v="6"/>
    <s v="Zaila Mae Leander"/>
    <m/>
    <s v="Ryan Christian R. Nunag"/>
    <s v=" R3-2025-016646"/>
    <d v="2025-05-19T00:00:00"/>
    <m/>
    <d v="2025-05-19T00:00:00"/>
    <d v="2025-05-20T00:00:00"/>
    <n v="2"/>
    <s v=""/>
    <n v="1"/>
    <n v="1"/>
    <s v="Received by Planning"/>
    <s v="MRS"/>
    <s v="OPERATIONAL"/>
    <s v="Technical Assistance"/>
    <m/>
  </r>
  <r>
    <x v="0"/>
    <x v="5"/>
    <s v="OUTSIDE MBA"/>
    <s v="South Poblacion"/>
    <n v="1693"/>
    <n v="1924"/>
    <s v="CONDUCTED TECHNICAL ASSISTANCE"/>
    <n v="2024"/>
    <d v="2024-10-10T00:00:00"/>
    <x v="0"/>
    <s v="Zaila Mae Leander"/>
    <m/>
    <s v="Ryan Christian R. Nunag"/>
    <m/>
    <m/>
    <m/>
    <m/>
    <m/>
    <s v=""/>
    <s v=""/>
    <s v=""/>
    <s v=""/>
    <m/>
    <s v="MRS"/>
    <m/>
    <s v="Technical Assistance"/>
    <m/>
  </r>
  <r>
    <x v="0"/>
    <x v="5"/>
    <s v="OUTSIDE MBA"/>
    <s v="Toytoyan"/>
    <n v="576"/>
    <n v="706"/>
    <s v="CONDUCTED TECHNICAL ASSISTANCE"/>
    <n v="2024"/>
    <d v="2024-10-11T00:00:00"/>
    <x v="0"/>
    <s v="Zaila Mae Leander"/>
    <m/>
    <s v="Ryan Christian R. Nunag"/>
    <m/>
    <m/>
    <m/>
    <m/>
    <m/>
    <s v=""/>
    <s v=""/>
    <s v=""/>
    <s v=""/>
    <m/>
    <s v="MRF"/>
    <s v="OPERATIONAL"/>
    <s v="Technical Assistance"/>
    <m/>
  </r>
  <r>
    <x v="0"/>
    <x v="5"/>
    <s v="OUTSIDE MBA"/>
    <s v="Diamanen"/>
    <n v="331"/>
    <n v="403"/>
    <s v="CONDUCTED TECHNICAL ASSISTANCE"/>
    <n v="2025"/>
    <d v="2025-09-02T00:00:00"/>
    <x v="7"/>
    <s v="Zaila Mae Leander"/>
    <m/>
    <s v="Ryan Christian R. Nunag"/>
    <s v="R3-2025-029657"/>
    <d v="2025-09-04T00:00:00"/>
    <m/>
    <d v="2025-09-08T00:00:00"/>
    <d v="2025-09-08T00:00:00"/>
    <n v="2"/>
    <s v=""/>
    <n v="2"/>
    <n v="1"/>
    <s v="Received by Planning"/>
    <s v="MRF"/>
    <s v="OPERATIONAL"/>
    <s v="Technical Assistance"/>
    <m/>
  </r>
  <r>
    <x v="0"/>
    <x v="6"/>
    <s v="OUTSIDE MBA"/>
    <s v="Alcala"/>
    <n v="553"/>
    <n v="613"/>
    <s v="CONDUCTED TECHNICAL ASSISTANCE"/>
    <n v="2024"/>
    <d v="2024-06-05T00:00:00"/>
    <x v="0"/>
    <s v="Nikko Jay M. Valenzuela"/>
    <m/>
    <s v="Ryan Christian R. Nunag"/>
    <m/>
    <m/>
    <m/>
    <m/>
    <m/>
    <s v=""/>
    <s v=""/>
    <s v=""/>
    <s v=""/>
    <m/>
    <m/>
    <m/>
    <s v="Technical Assistance"/>
    <m/>
  </r>
  <r>
    <x v="0"/>
    <x v="6"/>
    <s v="OUTSIDE MBA"/>
    <s v="Bagtu"/>
    <n v="779"/>
    <n v="849"/>
    <s v="CONDUCTED TECHNICAL ASSISTANCE"/>
    <n v="2024"/>
    <d v="2024-07-09T00:00:00"/>
    <x v="0"/>
    <s v="Nikko Jay M. Valenzuela"/>
    <m/>
    <s v="Ryan Christian R. Nunag"/>
    <m/>
    <m/>
    <m/>
    <m/>
    <m/>
    <s v=""/>
    <s v=""/>
    <s v=""/>
    <s v=""/>
    <m/>
    <s v="MRF"/>
    <s v="OPERATIONAL"/>
    <s v="Technical Assistance"/>
    <m/>
  </r>
  <r>
    <x v="0"/>
    <x v="6"/>
    <s v="OUTSIDE MBA"/>
    <s v="Bangco"/>
    <n v="676"/>
    <n v="766"/>
    <s v="CONDUCTED TECHNICAL ASSISTANCE"/>
    <n v="2024"/>
    <d v="2024-06-11T00:00:00"/>
    <x v="0"/>
    <s v="Nikko Jay M. Valenzuela"/>
    <m/>
    <s v="Ryan Christian R. Nunag"/>
    <m/>
    <m/>
    <m/>
    <m/>
    <m/>
    <s v=""/>
    <s v=""/>
    <s v=""/>
    <s v=""/>
    <m/>
    <m/>
    <m/>
    <s v="Technical Assistance"/>
    <m/>
  </r>
  <r>
    <x v="0"/>
    <x v="6"/>
    <s v="OUTSIDE MBA"/>
    <s v="Bannawag"/>
    <n v="496"/>
    <n v="603"/>
    <s v="CONDUCTED TECHNICAL ASSISTANCE"/>
    <n v="2024"/>
    <d v="2024-09-17T00:00:00"/>
    <x v="0"/>
    <s v="Nikko Jay M. Valenzuela"/>
    <m/>
    <s v="Ryan Christian R. Nunag"/>
    <m/>
    <m/>
    <m/>
    <m/>
    <m/>
    <s v=""/>
    <s v=""/>
    <s v=""/>
    <s v=""/>
    <m/>
    <s v="MRF"/>
    <s v="OPERATIONAL"/>
    <s v="Technical Assistance"/>
    <m/>
  </r>
  <r>
    <x v="0"/>
    <x v="6"/>
    <s v="OUTSIDE MBA"/>
    <s v="Barangay I (Pob.)"/>
    <n v="1356"/>
    <n v="1327"/>
    <s v="CONDUCTED TECHNICAL ASSISTANCE"/>
    <n v="2024"/>
    <s v="April 11, 2024"/>
    <x v="0"/>
    <s v="Nikko Jay M. Valenzuela"/>
    <m/>
    <s v="Ryan Christian R. Nunag"/>
    <m/>
    <m/>
    <m/>
    <m/>
    <m/>
    <s v=""/>
    <s v=""/>
    <s v=""/>
    <s v=""/>
    <m/>
    <m/>
    <m/>
    <s v="Technical Assistance"/>
    <m/>
  </r>
  <r>
    <x v="0"/>
    <x v="6"/>
    <s v="OUTSIDE MBA"/>
    <s v="Barangay II (Pob.)"/>
    <n v="1930"/>
    <n v="2317"/>
    <s v="CONDUCTED TECHNICAL ASSISTANCE"/>
    <n v="2024"/>
    <s v="April 16, 2024"/>
    <x v="0"/>
    <s v="Nikko Jay M. Valenzuela"/>
    <m/>
    <s v="Ryan Christian R. Nunag"/>
    <m/>
    <m/>
    <m/>
    <m/>
    <m/>
    <s v=""/>
    <s v=""/>
    <s v=""/>
    <s v=""/>
    <m/>
    <m/>
    <m/>
    <s v="Technical Assistance"/>
    <m/>
  </r>
  <r>
    <x v="0"/>
    <x v="6"/>
    <s v="OUTSIDE MBA"/>
    <s v="Barangay III (Pob.)"/>
    <n v="894"/>
    <n v="1052"/>
    <s v="CONDUCTED TECHNICAL ASSISTANCE"/>
    <n v="2024"/>
    <s v="February 6, 2024"/>
    <x v="0"/>
    <s v="Nikko Jay M. Valenzuela"/>
    <m/>
    <s v="Ryan Christian R. Nunag"/>
    <m/>
    <m/>
    <m/>
    <m/>
    <m/>
    <s v=""/>
    <s v=""/>
    <s v=""/>
    <s v=""/>
    <m/>
    <m/>
    <m/>
    <m/>
    <m/>
  </r>
  <r>
    <x v="0"/>
    <x v="6"/>
    <s v="OUTSIDE MBA"/>
    <s v="Barangay IV (Pob.)"/>
    <n v="2458"/>
    <n v="2535"/>
    <s v="CONDUCTED TECHNICAL ASSISTANCE"/>
    <n v="2024"/>
    <d v="2024-08-07T00:00:00"/>
    <x v="0"/>
    <s v="Nikko Jay M. Valenzuela"/>
    <m/>
    <s v="Ryan Christian R. Nunag"/>
    <m/>
    <m/>
    <m/>
    <m/>
    <m/>
    <s v=""/>
    <s v=""/>
    <s v=""/>
    <s v=""/>
    <m/>
    <s v="MRF"/>
    <s v="OPERATIONAL"/>
    <s v="Technical Assistance"/>
    <m/>
  </r>
  <r>
    <x v="0"/>
    <x v="6"/>
    <s v="OUTSIDE MBA"/>
    <s v="Baubo"/>
    <n v="642"/>
    <n v="683"/>
    <s v="CONDUCTED TECHNICAL ASSISTANCE"/>
    <n v="2024"/>
    <d v="2024-08-06T00:00:00"/>
    <x v="0"/>
    <s v="Nikko Jay M. Valenzuela"/>
    <m/>
    <s v="Ryan Christian R. Nunag"/>
    <m/>
    <m/>
    <m/>
    <m/>
    <m/>
    <s v=""/>
    <s v=""/>
    <s v=""/>
    <s v=""/>
    <m/>
    <s v="MRF"/>
    <s v="OPERATIONAL"/>
    <s v="Technical Assistance"/>
    <m/>
  </r>
  <r>
    <x v="0"/>
    <x v="6"/>
    <s v="OUTSIDE MBA"/>
    <s v="Bayanihan"/>
    <n v="1425"/>
    <n v="1418"/>
    <s v="CONDUCTED TECHNICAL ASSISTANCE"/>
    <n v="2024"/>
    <d v="2024-09-17T00:00:00"/>
    <x v="0"/>
    <s v="Nikko Jay M. Valenzuela"/>
    <m/>
    <s v="Ryan Christian R. Nunag"/>
    <m/>
    <m/>
    <m/>
    <m/>
    <m/>
    <s v=""/>
    <s v=""/>
    <s v=""/>
    <s v=""/>
    <m/>
    <s v="MRF"/>
    <s v="OPERATIONAL"/>
    <s v="Technical Assistance"/>
    <m/>
  </r>
  <r>
    <x v="0"/>
    <x v="6"/>
    <s v="OUTSIDE MBA"/>
    <s v="Bazal"/>
    <n v="1368"/>
    <n v="1538"/>
    <s v="CONDUCTED TECHNICAL ASSISTANCE"/>
    <n v="2024"/>
    <s v="February 7, 2024"/>
    <x v="0"/>
    <s v="Nikko Jay M. Valenzuela"/>
    <m/>
    <s v="Ryan Christian R. Nunag"/>
    <m/>
    <m/>
    <m/>
    <m/>
    <m/>
    <s v=""/>
    <s v=""/>
    <s v=""/>
    <s v=""/>
    <m/>
    <m/>
    <m/>
    <m/>
    <m/>
  </r>
  <r>
    <x v="0"/>
    <x v="6"/>
    <s v="OUTSIDE MBA"/>
    <s v="Cabituculan East"/>
    <n v="676"/>
    <n v="679"/>
    <s v="CONDUCTED TECHNICAL ASSISTANCE"/>
    <n v="2024"/>
    <d v="2024-09-05T00:00:00"/>
    <x v="0"/>
    <s v="Nikko Jay M. Valenzuela"/>
    <m/>
    <s v="Ryan Christian R. Nunag"/>
    <m/>
    <m/>
    <m/>
    <m/>
    <m/>
    <s v=""/>
    <s v=""/>
    <s v=""/>
    <s v=""/>
    <m/>
    <s v="MRF"/>
    <s v="OPERATIONAL"/>
    <s v="Technical Assistance"/>
    <m/>
  </r>
  <r>
    <x v="0"/>
    <x v="6"/>
    <s v="OUTSIDE MBA"/>
    <s v="Cabituculan West"/>
    <n v="534"/>
    <n v="604"/>
    <s v="CONDUCTED TECHNICAL ASSISTANCE"/>
    <n v="2024"/>
    <s v="March 12, 2024"/>
    <x v="0"/>
    <s v="Nikko Jay M. Valenzuela"/>
    <m/>
    <s v="Ryan Christian R. Nunag"/>
    <m/>
    <m/>
    <m/>
    <m/>
    <m/>
    <s v=""/>
    <s v=""/>
    <s v=""/>
    <s v=""/>
    <m/>
    <m/>
    <m/>
    <m/>
    <m/>
  </r>
  <r>
    <x v="0"/>
    <x v="6"/>
    <s v="OUTSIDE MBA"/>
    <s v="Cadayacan"/>
    <n v="1357"/>
    <n v="1531"/>
    <s v="CONDUCTED TECHNICAL ASSISTANCE"/>
    <n v="2024"/>
    <d v="2024-07-10T00:00:00"/>
    <x v="0"/>
    <s v="Nikko Jay M. Valenzuela"/>
    <m/>
    <s v="Ryan Christian R. Nunag"/>
    <m/>
    <m/>
    <m/>
    <m/>
    <m/>
    <s v=""/>
    <s v=""/>
    <s v=""/>
    <s v=""/>
    <m/>
    <s v="MRF"/>
    <s v="OPERATIONAL"/>
    <s v="Technical Assistance"/>
    <m/>
  </r>
  <r>
    <x v="0"/>
    <x v="6"/>
    <s v="OUTSIDE MBA"/>
    <s v="Debucao"/>
    <n v="1385"/>
    <n v="1479"/>
    <s v="CONDUCTED TECHNICAL ASSISTANCE"/>
    <n v="2024"/>
    <d v="2024-07-10T00:00:00"/>
    <x v="0"/>
    <s v="Nikko Jay M. Valenzuela"/>
    <m/>
    <s v="Ryan Christian R. Nunag"/>
    <m/>
    <m/>
    <m/>
    <m/>
    <m/>
    <s v=""/>
    <s v=""/>
    <s v=""/>
    <s v=""/>
    <m/>
    <s v="MRF"/>
    <s v="OPERATIONAL"/>
    <s v="Technical Assistance"/>
    <m/>
  </r>
  <r>
    <x v="0"/>
    <x v="6"/>
    <s v="OUTSIDE MBA"/>
    <s v="Decoliat"/>
    <n v="472"/>
    <n v="486"/>
    <s v="CONDUCTED TECHNICAL ASSISTANCE"/>
    <n v="2024"/>
    <d v="2024-10-08T00:00:00"/>
    <x v="0"/>
    <s v="Nikko Jay M. Valenzuela"/>
    <m/>
    <s v="Ryan Christian R. Nunag"/>
    <m/>
    <m/>
    <m/>
    <m/>
    <m/>
    <s v=""/>
    <s v=""/>
    <s v=""/>
    <s v=""/>
    <m/>
    <s v="MRF"/>
    <s v="OPERATIONAL"/>
    <s v="Technical Assistance"/>
    <m/>
  </r>
  <r>
    <x v="0"/>
    <x v="6"/>
    <s v="OUTSIDE MBA"/>
    <s v="Detailen"/>
    <n v="879"/>
    <n v="989"/>
    <s v="CONDUCTED TECHNICAL ASSISTANCE"/>
    <n v="2024"/>
    <d v="2024-05-07T00:00:00"/>
    <x v="0"/>
    <s v="Nikko Jay M. Valenzuela"/>
    <m/>
    <s v="Ryan Christian R. Nunag"/>
    <m/>
    <m/>
    <m/>
    <m/>
    <m/>
    <s v=""/>
    <s v=""/>
    <s v=""/>
    <s v=""/>
    <m/>
    <m/>
    <m/>
    <s v="Technical Assistance"/>
    <m/>
  </r>
  <r>
    <x v="0"/>
    <x v="6"/>
    <s v="OUTSIDE MBA"/>
    <s v="Diaat"/>
    <n v="1528"/>
    <n v="1576"/>
    <s v="CONDUCTED TECHNICAL ASSISTANCE"/>
    <n v="2024"/>
    <d v="2024-08-13T00:00:00"/>
    <x v="0"/>
    <s v="Nikko Jay M. Valenzuela"/>
    <m/>
    <s v="Ryan Christian R. Nunag"/>
    <m/>
    <m/>
    <m/>
    <m/>
    <m/>
    <s v=""/>
    <s v=""/>
    <s v=""/>
    <s v=""/>
    <m/>
    <s v="MRF"/>
    <s v="OPERATIONAL"/>
    <s v="Technical Assistance"/>
    <m/>
  </r>
  <r>
    <x v="0"/>
    <x v="6"/>
    <s v="OUTSIDE MBA"/>
    <s v="Dialatman"/>
    <n v="198"/>
    <n v="229"/>
    <s v="CONDUCTED TECHNICAL ASSISTANCE"/>
    <n v="2024"/>
    <d v="2024-10-15T00:00:00"/>
    <x v="0"/>
    <s v="Nikko Jay M. Valenzuela"/>
    <m/>
    <s v="Ryan Christian R. Nunag"/>
    <m/>
    <m/>
    <m/>
    <m/>
    <m/>
    <s v=""/>
    <s v=""/>
    <s v=""/>
    <s v=""/>
    <m/>
    <s v="MRF"/>
    <s v="OPERATIONAL"/>
    <s v="Technical Assistance"/>
    <m/>
  </r>
  <r>
    <x v="0"/>
    <x v="6"/>
    <s v="OUTSIDE MBA"/>
    <s v="Diaman"/>
    <n v="257"/>
    <n v="252"/>
    <s v="CONDUCTED TECHNICAL ASSISTANCE"/>
    <n v="2024"/>
    <d v="2024-10-15T00:00:00"/>
    <x v="0"/>
    <s v="Nikko Jay M. Valenzuela"/>
    <m/>
    <s v="Ryan Christian R. Nunag"/>
    <m/>
    <m/>
    <m/>
    <m/>
    <m/>
    <s v=""/>
    <s v=""/>
    <s v=""/>
    <s v=""/>
    <m/>
    <s v="MRF"/>
    <s v="OPERATIONAL"/>
    <s v="Technical Assistance"/>
    <m/>
  </r>
  <r>
    <x v="0"/>
    <x v="6"/>
    <s v="OUTSIDE MBA"/>
    <s v="Dianawan"/>
    <n v="1191"/>
    <n v="1343"/>
    <s v="CONDUCTED TECHNICAL ASSISTANCE"/>
    <n v="2024"/>
    <d v="2024-10-11T00:00:00"/>
    <x v="0"/>
    <s v="Nikko Jay M. Valenzuela"/>
    <m/>
    <s v="Ryan Christian R. Nunag"/>
    <m/>
    <m/>
    <m/>
    <m/>
    <m/>
    <s v=""/>
    <s v=""/>
    <s v=""/>
    <s v=""/>
    <m/>
    <s v="MRF"/>
    <s v="OPERATIONAL"/>
    <s v="Technical Assistance"/>
    <m/>
  </r>
  <r>
    <x v="0"/>
    <x v="6"/>
    <s v="OUTSIDE MBA"/>
    <s v="Dikildit"/>
    <n v="1019"/>
    <n v="1208"/>
    <s v="CONDUCTED TECHNICAL ASSISTANCE"/>
    <n v="2024"/>
    <s v="February 7, 2024"/>
    <x v="0"/>
    <s v="Nikko Jay M. Valenzuela"/>
    <m/>
    <s v="Ryan Christian R. Nunag"/>
    <m/>
    <m/>
    <m/>
    <m/>
    <m/>
    <s v=""/>
    <s v=""/>
    <s v=""/>
    <s v=""/>
    <m/>
    <m/>
    <m/>
    <m/>
    <m/>
  </r>
  <r>
    <x v="0"/>
    <x v="6"/>
    <s v="OUTSIDE MBA"/>
    <s v="Dimanpudso"/>
    <n v="1353"/>
    <n v="1440"/>
    <s v="CONDUCTED TECHNICAL ASSISTANCE"/>
    <n v="2024"/>
    <s v="March 12, 2024"/>
    <x v="0"/>
    <s v="Nikko Jay M. Valenzuela"/>
    <m/>
    <s v="Ryan Christian R. Nunag"/>
    <m/>
    <m/>
    <m/>
    <m/>
    <m/>
    <s v=""/>
    <s v=""/>
    <s v=""/>
    <s v=""/>
    <m/>
    <m/>
    <m/>
    <m/>
    <m/>
  </r>
  <r>
    <x v="0"/>
    <x v="6"/>
    <s v="OUTSIDE MBA"/>
    <s v="Diome"/>
    <n v="857"/>
    <n v="872"/>
    <s v="CONDUCTED TECHNICAL ASSISTANCE"/>
    <n v="2024"/>
    <d v="2024-08-13T00:00:00"/>
    <x v="0"/>
    <s v="Nikko Jay M. Valenzuela"/>
    <m/>
    <s v="Ryan Christian R. Nunag"/>
    <m/>
    <m/>
    <m/>
    <m/>
    <m/>
    <s v=""/>
    <s v=""/>
    <s v=""/>
    <s v=""/>
    <m/>
    <s v="MRF"/>
    <s v="OPERATIONAL"/>
    <s v="Technical Assistance"/>
    <m/>
  </r>
  <r>
    <x v="0"/>
    <x v="6"/>
    <s v="OUTSIDE MBA"/>
    <s v="Estonilo(Sto. Cristo)"/>
    <n v="784"/>
    <n v="900"/>
    <s v="CONDUCTED TECHNICAL ASSISTANCE"/>
    <n v="2024"/>
    <d v="2024-09-09T00:00:00"/>
    <x v="0"/>
    <s v="Nikko Jay M. Valenzuela"/>
    <m/>
    <s v="Ryan Christian R. Nunag"/>
    <m/>
    <m/>
    <m/>
    <m/>
    <m/>
    <s v=""/>
    <s v=""/>
    <s v=""/>
    <s v=""/>
    <m/>
    <s v="MRF"/>
    <s v="NON-OPERATIONAL"/>
    <s v="Technical Assistance"/>
    <m/>
  </r>
  <r>
    <x v="0"/>
    <x v="6"/>
    <s v="OUTSIDE MBA"/>
    <s v="Florida"/>
    <n v="1825"/>
    <n v="2210"/>
    <s v="CONDUCTED TECHNICAL ASSISTANCE"/>
    <n v="2024"/>
    <d v="2024-11-12T00:00:00"/>
    <x v="0"/>
    <s v="Nikko Jay M. Valenzuela"/>
    <m/>
    <s v="Ryan Christian R. Nunag"/>
    <m/>
    <m/>
    <m/>
    <m/>
    <m/>
    <s v=""/>
    <s v=""/>
    <s v=""/>
    <s v=""/>
    <m/>
    <s v="MRF"/>
    <s v="OPERATIONAL"/>
    <s v="Technical Assistance"/>
    <m/>
  </r>
  <r>
    <x v="0"/>
    <x v="6"/>
    <s v="OUTSIDE MBA"/>
    <s v="Galintuja"/>
    <n v="729"/>
    <n v="974"/>
    <s v="CONDUCTED TECHNICAL ASSISTANCE"/>
    <n v="2024"/>
    <d v="2024-10-11T00:00:00"/>
    <x v="0"/>
    <s v="Nikko Jay M. Valenzuela"/>
    <m/>
    <s v="Ryan Christian R. Nunag"/>
    <m/>
    <m/>
    <m/>
    <m/>
    <m/>
    <s v=""/>
    <s v=""/>
    <s v=""/>
    <s v=""/>
    <m/>
    <s v="MRF"/>
    <s v="OPERATIONAL"/>
    <s v="Technical Assistance"/>
    <m/>
  </r>
  <r>
    <x v="0"/>
    <x v="6"/>
    <s v="OUTSIDE MBA"/>
    <s v="Malasin"/>
    <n v="654"/>
    <n v="788"/>
    <s v="CONDUCTED TECHNICAL ASSISTANCE"/>
    <n v="2024"/>
    <d v="2024-05-08T00:00:00"/>
    <x v="0"/>
    <s v="Nikko Jay M. Valenzuela"/>
    <m/>
    <s v="Ryan Christian R. Nunag"/>
    <m/>
    <m/>
    <m/>
    <m/>
    <m/>
    <s v=""/>
    <s v=""/>
    <s v=""/>
    <s v=""/>
    <m/>
    <m/>
    <m/>
    <s v="Technical Assistance"/>
    <m/>
  </r>
  <r>
    <x v="0"/>
    <x v="6"/>
    <s v="OUTSIDE MBA"/>
    <s v="Ponglo"/>
    <n v="466"/>
    <n v="448"/>
    <s v="CONDUCTED TECHNICAL ASSISTANCE"/>
    <n v="2025"/>
    <d v="2025-11-04T00:00:00"/>
    <x v="0"/>
    <s v="Nikko Jay M. Valenzuela"/>
    <m/>
    <s v="Ryan Christian R. Nunag"/>
    <s v="R3-2025-036982"/>
    <d v="2025-11-04T00:00:00"/>
    <m/>
    <d v="2025-11-05T00:00:00"/>
    <d v="2025-11-05T00:00:00"/>
    <n v="1"/>
    <s v=""/>
    <n v="1"/>
    <n v="1"/>
    <s v="Received by Planning"/>
    <s v="MRS"/>
    <s v="OPERATIONAL"/>
    <s v="Technical Assistance"/>
    <m/>
  </r>
  <r>
    <x v="0"/>
    <x v="6"/>
    <s v="OUTSIDE MBA"/>
    <s v="Quirino"/>
    <n v="1843"/>
    <n v="1913"/>
    <s v="CONDUCTED TECHNICAL ASSISTANCE"/>
    <n v="2024"/>
    <d v="2024-09-17T00:00:00"/>
    <x v="0"/>
    <s v="Nikko Jay M. Valenzuela"/>
    <m/>
    <s v="Ryan Christian R. Nunag"/>
    <m/>
    <m/>
    <m/>
    <m/>
    <m/>
    <s v=""/>
    <s v=""/>
    <s v=""/>
    <s v=""/>
    <m/>
    <s v="MRF"/>
    <s v="OPERATIONAL"/>
    <s v="Technical Assistance"/>
    <m/>
  </r>
  <r>
    <x v="0"/>
    <x v="6"/>
    <s v="OUTSIDE MBA"/>
    <s v="Ramada"/>
    <n v="1843"/>
    <n v="1382"/>
    <s v="CONDUCTED TECHNICAL ASSISTANCE"/>
    <n v="2024"/>
    <d v="2024-04-17T00:00:00"/>
    <x v="0"/>
    <s v="Nikko Jay M. Valenzuela"/>
    <m/>
    <s v="Ryan Christian R. Nunag"/>
    <m/>
    <m/>
    <m/>
    <m/>
    <m/>
    <s v=""/>
    <s v=""/>
    <s v=""/>
    <s v=""/>
    <m/>
    <m/>
    <m/>
    <s v="Technical Assistance"/>
    <m/>
  </r>
  <r>
    <x v="0"/>
    <x v="6"/>
    <s v="OUTSIDE MBA"/>
    <s v="San Joaquin"/>
    <n v="1714"/>
    <n v="2086"/>
    <s v="CONDUCTED TECHNICAL ASSISTANCE"/>
    <n v="2024"/>
    <s v="February 6, 2024"/>
    <x v="0"/>
    <s v="Nikko Jay M. Valenzuela"/>
    <m/>
    <s v="Ryan Christian R. Nunag"/>
    <m/>
    <m/>
    <m/>
    <m/>
    <m/>
    <s v=""/>
    <s v=""/>
    <s v=""/>
    <s v=""/>
    <m/>
    <m/>
    <m/>
    <m/>
    <m/>
  </r>
  <r>
    <x v="0"/>
    <x v="6"/>
    <s v="OUTSIDE MBA"/>
    <s v="San Jose"/>
    <n v="1677"/>
    <n v="1773"/>
    <s v="CONDUCTED TECHNICAL ASSISTANCE"/>
    <n v="2024"/>
    <s v="April 3, 2024"/>
    <x v="0"/>
    <s v="Nikko Jay M. Valenzuela"/>
    <m/>
    <s v="Ryan Christian R. Nunag"/>
    <m/>
    <m/>
    <m/>
    <m/>
    <m/>
    <s v=""/>
    <s v=""/>
    <s v=""/>
    <s v=""/>
    <m/>
    <m/>
    <m/>
    <s v="Technical Assistance"/>
    <m/>
  </r>
  <r>
    <x v="0"/>
    <x v="6"/>
    <s v="OUTSIDE MBA"/>
    <s v="San Juan"/>
    <n v="876"/>
    <n v="1048"/>
    <s v="CONDUCTED TECHNICAL ASSISTANCE"/>
    <n v="2024"/>
    <d v="2024-10-09T00:00:00"/>
    <x v="0"/>
    <s v="Nikko Jay M. Valenzuela"/>
    <m/>
    <s v="Ryan Christian R. Nunag"/>
    <m/>
    <m/>
    <m/>
    <m/>
    <m/>
    <s v=""/>
    <s v=""/>
    <s v=""/>
    <s v=""/>
    <m/>
    <s v="MRF"/>
    <s v="OPERATIONAL"/>
    <s v="Technical Assistance"/>
    <m/>
  </r>
  <r>
    <x v="0"/>
    <x v="6"/>
    <s v="OUTSIDE MBA"/>
    <s v="San Leonardo"/>
    <n v="455"/>
    <n v="595"/>
    <s v="CONDUCTED TECHNICAL ASSISTANCE"/>
    <n v="2024"/>
    <d v="2024-06-06T00:00:00"/>
    <x v="0"/>
    <s v="Nikko Jay M. Valenzuela"/>
    <m/>
    <s v="Ryan Christian R. Nunag"/>
    <m/>
    <m/>
    <m/>
    <m/>
    <m/>
    <s v=""/>
    <s v=""/>
    <s v=""/>
    <s v=""/>
    <m/>
    <m/>
    <m/>
    <s v="Technical Assistance"/>
    <m/>
  </r>
  <r>
    <x v="0"/>
    <x v="6"/>
    <s v="OUTSIDE MBA"/>
    <s v="Santa Lucia"/>
    <n v="578"/>
    <n v="566"/>
    <s v="CONDUCTED TECHNICAL ASSISTANCE"/>
    <n v="2024"/>
    <d v="2024-06-11T00:00:00"/>
    <x v="0"/>
    <s v="Nikko Jay M. Valenzuela"/>
    <m/>
    <s v="Ryan Christian R. Nunag"/>
    <m/>
    <m/>
    <m/>
    <m/>
    <m/>
    <s v=""/>
    <s v=""/>
    <s v=""/>
    <s v=""/>
    <m/>
    <m/>
    <m/>
    <s v="Technical Assistance"/>
    <m/>
  </r>
  <r>
    <x v="0"/>
    <x v="6"/>
    <s v="OUTSIDE MBA"/>
    <s v="Santo Tomas"/>
    <n v="697"/>
    <n v="776"/>
    <s v="CONDUCTED TECHNICAL ASSISTANCE"/>
    <n v="2024"/>
    <d v="2024-08-06T00:00:00"/>
    <x v="0"/>
    <s v="Nikko Jay M. Valenzuela"/>
    <m/>
    <s v="Ryan Christian R. Nunag"/>
    <m/>
    <m/>
    <m/>
    <m/>
    <m/>
    <s v=""/>
    <s v=""/>
    <s v=""/>
    <s v=""/>
    <m/>
    <s v="MRF"/>
    <s v="OPERATIONAL"/>
    <s v="Technical Assistance"/>
    <m/>
  </r>
  <r>
    <x v="0"/>
    <x v="6"/>
    <s v="OUTSIDE MBA"/>
    <s v="Suguit"/>
    <n v="604"/>
    <n v="608"/>
    <s v="CONDUCTED TECHNICAL ASSISTANCE"/>
    <n v="2024"/>
    <d v="2024-10-16T00:00:00"/>
    <x v="0"/>
    <s v="Nikko Jay M. Valenzuela"/>
    <m/>
    <s v="Ryan Christian R. Nunag"/>
    <m/>
    <m/>
    <m/>
    <m/>
    <m/>
    <s v=""/>
    <s v=""/>
    <s v=""/>
    <s v=""/>
    <m/>
    <s v="MRF"/>
    <s v="OPERATIONAL"/>
    <s v="Technical Assistance"/>
    <m/>
  </r>
  <r>
    <x v="0"/>
    <x v="6"/>
    <s v="OUTSIDE MBA"/>
    <s v="Villa Aurora"/>
    <n v="878"/>
    <n v="845"/>
    <s v="CONDUCTED TECHNICAL ASSISTANCE"/>
    <n v="2024"/>
    <d v="2024-11-13T00:00:00"/>
    <x v="0"/>
    <s v="Nikko Jay M. Valenzuela"/>
    <m/>
    <s v="Ryan Christian R. Nunag"/>
    <m/>
    <m/>
    <m/>
    <m/>
    <m/>
    <s v=""/>
    <s v=""/>
    <s v=""/>
    <s v=""/>
    <m/>
    <s v="MRF"/>
    <s v="OPERATIONAL"/>
    <s v="Technical Assistance"/>
    <m/>
  </r>
  <r>
    <x v="0"/>
    <x v="6"/>
    <s v="OUTSIDE MBA"/>
    <s v="Wenceslao"/>
    <n v="1499"/>
    <n v="1657"/>
    <s v="CONDUCTED TECHNICAL ASSISTANCE"/>
    <n v="2024"/>
    <d v="2024-07-09T00:00:00"/>
    <x v="0"/>
    <s v="Nikko Jay M. Valenzuela"/>
    <m/>
    <s v="Ryan Christian R. Nunag"/>
    <m/>
    <m/>
    <m/>
    <m/>
    <m/>
    <s v=""/>
    <s v=""/>
    <s v=""/>
    <s v=""/>
    <m/>
    <s v="MRF"/>
    <s v="OPERATIONAL"/>
    <s v="Technical Assistance"/>
    <m/>
  </r>
  <r>
    <x v="0"/>
    <x v="7"/>
    <s v="OUTSIDE MBA"/>
    <s v="Bacong"/>
    <n v="1773"/>
    <n v="2026"/>
    <s v="CONDUCTED TECHNICAL ASSISTANCE"/>
    <s v="2024_x000a_2025"/>
    <s v="3-Apr-24_x000a_13-Feb-25"/>
    <x v="1"/>
    <s v="Zaila Mae Leander"/>
    <m/>
    <s v="Ryan Christian R. Nunag"/>
    <s v="R3-2024-014253_x000a_R3-2025-005414"/>
    <s v="17-Apr-24_x000a_14-Feb-25"/>
    <m/>
    <s v="17-Apr-24_x000a_5-Mar-25"/>
    <s v="25-Apr-24_x000a_5-Mar-25"/>
    <m/>
    <s v=""/>
    <m/>
    <m/>
    <s v="Received by Planning"/>
    <s v="MRF"/>
    <s v="OPERATIONAL"/>
    <s v="Technical Assistance"/>
    <m/>
  </r>
  <r>
    <x v="0"/>
    <x v="7"/>
    <s v="OUTSIDE MBA"/>
    <s v="Barangay I (Pob.)"/>
    <n v="368"/>
    <n v="449"/>
    <s v="CONDUCTED TECHNICAL ASSISTANCE"/>
    <n v="2024"/>
    <s v="March 6, 2024"/>
    <x v="0"/>
    <s v="Zaila Mae Leander"/>
    <m/>
    <s v="Ryan Christian R. Nunag"/>
    <m/>
    <m/>
    <m/>
    <m/>
    <m/>
    <s v=""/>
    <s v=""/>
    <s v=""/>
    <s v=""/>
    <m/>
    <m/>
    <m/>
    <m/>
    <m/>
  </r>
  <r>
    <x v="0"/>
    <x v="7"/>
    <s v="OUTSIDE MBA"/>
    <s v="Barangay II (Pob.)"/>
    <n v="756"/>
    <n v="737"/>
    <s v="CONDUCTED TECHNICAL ASSISTANCE"/>
    <n v="2024"/>
    <s v="Februay 8, 2024"/>
    <x v="0"/>
    <s v="Zaila Mae Leander"/>
    <m/>
    <s v="Ryan Christian R. Nunag"/>
    <m/>
    <m/>
    <m/>
    <m/>
    <m/>
    <s v=""/>
    <s v=""/>
    <s v=""/>
    <s v=""/>
    <m/>
    <m/>
    <m/>
    <m/>
    <m/>
  </r>
  <r>
    <x v="0"/>
    <x v="7"/>
    <s v="OUTSIDE MBA"/>
    <s v="Barangay III (Pob.)"/>
    <n v="730"/>
    <n v="842"/>
    <s v="CONDUCTED TECHNICAL ASSISTANCE"/>
    <n v="2024"/>
    <s v="Februay 8, 2024"/>
    <x v="0"/>
    <s v="Zaila Mae Leander"/>
    <m/>
    <s v="Ryan Christian R. Nunag"/>
    <m/>
    <m/>
    <m/>
    <m/>
    <m/>
    <s v=""/>
    <s v=""/>
    <s v=""/>
    <s v=""/>
    <m/>
    <m/>
    <m/>
    <m/>
    <m/>
  </r>
  <r>
    <x v="0"/>
    <x v="7"/>
    <s v="OUTSIDE MBA"/>
    <s v="Barangay IV (Pob.)"/>
    <n v="1301"/>
    <n v="1214"/>
    <s v="CONDUCTED TECHNICAL ASSISTANCE"/>
    <n v="2024"/>
    <d v="2024-10-04T00:00:00"/>
    <x v="0"/>
    <s v="Zaila Mae Leander"/>
    <m/>
    <s v="Ryan Christian R. Nunag"/>
    <m/>
    <m/>
    <m/>
    <m/>
    <m/>
    <s v=""/>
    <s v=""/>
    <s v=""/>
    <s v=""/>
    <m/>
    <s v="MRF"/>
    <s v="OPERATIONAL"/>
    <s v="Technical Assistance"/>
    <m/>
  </r>
  <r>
    <x v="0"/>
    <x v="7"/>
    <s v="OUTSIDE MBA"/>
    <s v="Dibalo"/>
    <n v="137"/>
    <n v="182"/>
    <s v="CONDUCTED TECHNICAL ASSISTANCE"/>
    <n v="2024"/>
    <d v="2024-11-07T00:00:00"/>
    <x v="0"/>
    <s v="Zaila Mae Leander"/>
    <m/>
    <s v="Ryan Christian R. Nunag"/>
    <m/>
    <m/>
    <m/>
    <m/>
    <m/>
    <s v=""/>
    <s v=""/>
    <s v=""/>
    <s v=""/>
    <m/>
    <s v="MRS"/>
    <s v="CATER BY LGU"/>
    <s v="Technical Assistance"/>
    <m/>
  </r>
  <r>
    <x v="0"/>
    <x v="7"/>
    <s v="OUTSIDE MBA"/>
    <s v="Dibayabay"/>
    <n v="1177"/>
    <n v="1008"/>
    <s v="CONDUCTED TECHNICAL ASSISTANCE"/>
    <n v="2025"/>
    <d v="2025-06-26T00:00:00"/>
    <x v="8"/>
    <s v="Zaila Mae Leander"/>
    <m/>
    <s v="Ryan Christian R. Nunag"/>
    <s v="R3-2025-021616"/>
    <d v="2025-07-01T00:00:00"/>
    <m/>
    <d v="2025-07-07T00:00:00"/>
    <d v="2025-07-07T00:00:00"/>
    <n v="3"/>
    <s v=""/>
    <n v="4"/>
    <n v="1"/>
    <s v="Received by Planning"/>
    <s v="MRF"/>
    <s v="NON-OPERATIONAL"/>
    <s v="Technical Assistance"/>
    <m/>
  </r>
  <r>
    <x v="0"/>
    <x v="7"/>
    <s v="OUTSIDE MBA"/>
    <s v="Dibut"/>
    <n v="909"/>
    <n v="779"/>
    <s v="CONDUCTED TECHNICAL ASSISTANCE"/>
    <n v="2025"/>
    <d v="2025-06-27T00:00:00"/>
    <x v="8"/>
    <s v="Zaila Mae Leander"/>
    <m/>
    <s v="Ryan Christian R. Nunag"/>
    <s v="R3-2025-021668"/>
    <d v="2025-07-01T00:00:00"/>
    <m/>
    <d v="2025-07-02T00:00:00"/>
    <d v="2025-07-07T00:00:00"/>
    <n v="2"/>
    <s v=""/>
    <n v="1"/>
    <n v="3"/>
    <s v="Received by Planning"/>
    <s v="MRS"/>
    <s v="NON-OPERATIONAL"/>
    <s v="Technical Assistance"/>
    <m/>
  </r>
  <r>
    <x v="0"/>
    <x v="7"/>
    <s v="OUTSIDE MBA"/>
    <s v="Dikapinisan"/>
    <n v="2159"/>
    <n v="1836"/>
    <s v="CONDUCTED TECHNICAL ASSISTANCE"/>
    <n v="2025"/>
    <d v="2025-06-26T00:00:00"/>
    <x v="8"/>
    <s v="Zaila Mae Leander"/>
    <m/>
    <s v="Ryan Christian R. Nunag"/>
    <s v="R3-2025-021600"/>
    <d v="2025-07-01T00:00:00"/>
    <m/>
    <d v="2025-07-07T00:00:00"/>
    <d v="2025-07-07T00:00:00"/>
    <n v="3"/>
    <s v=""/>
    <n v="4"/>
    <n v="1"/>
    <s v="Received by Planning"/>
    <s v="MRS"/>
    <s v="NON-OPERATIONAL"/>
    <s v="Technical Assistance"/>
    <m/>
  </r>
  <r>
    <x v="0"/>
    <x v="7"/>
    <s v="OUTSIDE MBA"/>
    <s v="Dimanayat"/>
    <n v="1243"/>
    <n v="1322"/>
    <s v="CONDUCTED TECHNICAL ASSISTANCE"/>
    <n v="2025"/>
    <d v="2025-06-24T00:00:00"/>
    <x v="8"/>
    <s v="Zaila Mae Leander"/>
    <m/>
    <s v="Ryan Christian R. Nunag"/>
    <s v="R3-2025-021526"/>
    <d v="2025-07-01T00:00:00"/>
    <m/>
    <d v="2025-07-02T00:00:00"/>
    <d v="2025-07-07T00:00:00"/>
    <n v="5"/>
    <s v=""/>
    <n v="1"/>
    <n v="3"/>
    <s v="Received by Planning"/>
    <s v="NO FACILITY"/>
    <s v="CATER BY LGU"/>
    <s v="Technical Assistance"/>
    <m/>
  </r>
  <r>
    <x v="0"/>
    <x v="7"/>
    <s v="OUTSIDE MBA"/>
    <s v="Diteki"/>
    <n v="1573"/>
    <n v="1784"/>
    <s v="CONDUCTED TECHNICAL ASSISTANCE"/>
    <n v="2024"/>
    <s v="March 6, 2024"/>
    <x v="0"/>
    <s v="Zaila Mae Leander"/>
    <m/>
    <s v="Ryan Christian R. Nunag"/>
    <m/>
    <m/>
    <m/>
    <m/>
    <m/>
    <s v=""/>
    <s v=""/>
    <s v=""/>
    <s v=""/>
    <m/>
    <m/>
    <m/>
    <m/>
    <m/>
  </r>
  <r>
    <x v="0"/>
    <x v="7"/>
    <s v="OUTSIDE MBA"/>
    <s v="Ditumabo"/>
    <n v="3485"/>
    <n v="3888"/>
    <s v="CONDUCTED TECHNICAL ASSISTANCE"/>
    <n v="2024"/>
    <d v="2024-06-11T00:00:00"/>
    <x v="0"/>
    <s v="Zaila Mae Leander"/>
    <m/>
    <s v="Ryan Christian R. Nunag"/>
    <m/>
    <m/>
    <m/>
    <m/>
    <m/>
    <s v=""/>
    <s v=""/>
    <s v=""/>
    <s v=""/>
    <m/>
    <m/>
    <m/>
    <s v="Technical Assistance"/>
    <m/>
  </r>
  <r>
    <x v="0"/>
    <x v="7"/>
    <s v="OUTSIDE MBA"/>
    <s v="L. Pimentel"/>
    <n v="1074"/>
    <n v="1220"/>
    <s v="CONDUCTED TECHNICAL ASSISTANCE"/>
    <n v="2024"/>
    <d v="2024-09-10T00:00:00"/>
    <x v="0"/>
    <s v="Zaila Mae Leander"/>
    <m/>
    <s v="Ryan Christian R. Nunag"/>
    <m/>
    <m/>
    <m/>
    <m/>
    <m/>
    <s v=""/>
    <s v=""/>
    <s v=""/>
    <s v=""/>
    <m/>
    <s v="MRF"/>
    <s v="OPERATIONAL"/>
    <s v="Technical Assistance"/>
    <m/>
  </r>
  <r>
    <x v="0"/>
    <x v="7"/>
    <s v="OUTSIDE MBA"/>
    <s v="Nonong Senior"/>
    <n v="4278"/>
    <n v="5206"/>
    <s v="CONDUCTED TECHNICAL ASSISTANCE"/>
    <n v="2024"/>
    <d v="2024-04-11T00:00:00"/>
    <x v="0"/>
    <s v="Zaila Mae Leander"/>
    <m/>
    <s v="Ryan Christian R. Nunag"/>
    <m/>
    <m/>
    <m/>
    <m/>
    <m/>
    <s v=""/>
    <s v=""/>
    <s v=""/>
    <s v=""/>
    <m/>
    <m/>
    <m/>
    <s v="Technical Assistance"/>
    <m/>
  </r>
  <r>
    <x v="0"/>
    <x v="7"/>
    <s v="OUTSIDE MBA"/>
    <s v="Real"/>
    <n v="1228"/>
    <n v="1300"/>
    <s v="CONDUCTED TECHNICAL ASSISTANCE"/>
    <n v="2024"/>
    <s v="February 13, 2024"/>
    <x v="0"/>
    <s v="Zaila Mae Leander"/>
    <m/>
    <s v="Ryan Christian R. Nunag"/>
    <m/>
    <m/>
    <m/>
    <m/>
    <m/>
    <s v=""/>
    <s v=""/>
    <s v=""/>
    <s v=""/>
    <m/>
    <m/>
    <m/>
    <m/>
    <m/>
  </r>
  <r>
    <x v="0"/>
    <x v="7"/>
    <s v="OUTSIDE MBA"/>
    <s v="San Isidro"/>
    <n v="2171"/>
    <n v="2596"/>
    <s v="CONDUCTED TECHNICAL ASSISTANCE"/>
    <n v="2024"/>
    <d v="2024-06-18T00:00:00"/>
    <x v="0"/>
    <s v="Zaila Mae Leander"/>
    <m/>
    <s v="Ryan Christian R. Nunag"/>
    <m/>
    <m/>
    <m/>
    <m/>
    <m/>
    <s v=""/>
    <s v=""/>
    <s v=""/>
    <s v=""/>
    <m/>
    <m/>
    <m/>
    <s v="Technical Assistance"/>
    <m/>
  </r>
  <r>
    <x v="0"/>
    <x v="7"/>
    <s v="OUTSIDE MBA"/>
    <s v="San Jose"/>
    <n v="541"/>
    <n v="547"/>
    <s v="CONDUCTED TECHNICAL ASSISTANCE"/>
    <n v="2024"/>
    <d v="2024-09-10T00:00:00"/>
    <x v="0"/>
    <s v="Zaila Mae Leander"/>
    <m/>
    <s v="Ryan Christian R. Nunag"/>
    <m/>
    <m/>
    <m/>
    <m/>
    <m/>
    <s v=""/>
    <s v=""/>
    <s v=""/>
    <s v=""/>
    <m/>
    <s v="MRF"/>
    <s v="OPERATIONAL"/>
    <s v="Technical Assistance"/>
    <m/>
  </r>
  <r>
    <x v="0"/>
    <x v="7"/>
    <s v="OUTSIDE MBA"/>
    <s v="Zarah"/>
    <n v="2449"/>
    <n v="2888"/>
    <s v="CONDUCTED TECHNICAL ASSISTANCE"/>
    <n v="2024"/>
    <d v="2024-05-16T00:00:00"/>
    <x v="0"/>
    <s v="Zaila Mae Leander"/>
    <m/>
    <s v="Ryan Christian R. Nunag"/>
    <m/>
    <m/>
    <m/>
    <m/>
    <m/>
    <s v=""/>
    <s v=""/>
    <s v=""/>
    <s v=""/>
    <m/>
    <m/>
    <m/>
    <s v="Technical Assistance"/>
    <m/>
  </r>
  <r>
    <x v="1"/>
    <x v="8"/>
    <s v="MBA"/>
    <s v="Bangkal"/>
    <n v="695"/>
    <n v="843"/>
    <s v="CONDUCTED TECHNICAL ASSISTANCE"/>
    <n v="2024"/>
    <s v="May 22, 2024"/>
    <x v="0"/>
    <s v="Dennis Tolentino"/>
    <m/>
    <s v="Christle David"/>
    <m/>
    <m/>
    <m/>
    <m/>
    <m/>
    <s v=""/>
    <s v=""/>
    <s v=""/>
    <s v=""/>
    <m/>
    <s v="MRS"/>
    <s v="OPERATIONAL"/>
    <s v="Technical Assistance"/>
    <m/>
  </r>
  <r>
    <x v="1"/>
    <x v="8"/>
    <s v="MBA"/>
    <s v="Calaylayan (Pob.)"/>
    <n v="4833"/>
    <n v="5627"/>
    <s v="CONDUCTED TECHNICAL ASSISTANCE"/>
    <n v="2024"/>
    <s v="February 21, 2024"/>
    <x v="0"/>
    <s v="Dennis Tolentino"/>
    <m/>
    <s v="Christle David"/>
    <m/>
    <m/>
    <m/>
    <m/>
    <m/>
    <s v=""/>
    <s v=""/>
    <s v=""/>
    <s v=""/>
    <m/>
    <s v="MRF"/>
    <s v="OPERATIONAL"/>
    <s v="Technical Assistance"/>
    <m/>
  </r>
  <r>
    <x v="1"/>
    <x v="8"/>
    <s v="MBA"/>
    <s v="Capitangan"/>
    <n v="6742"/>
    <n v="7280"/>
    <s v="CONDUCTED TECHNICAL ASSISTANCE"/>
    <n v="2024"/>
    <s v="May 02, 2024"/>
    <x v="0"/>
    <s v="Dennis Tolentino"/>
    <m/>
    <s v="Christle David"/>
    <m/>
    <m/>
    <m/>
    <m/>
    <m/>
    <s v=""/>
    <s v=""/>
    <s v=""/>
    <s v=""/>
    <m/>
    <s v="MRS"/>
    <s v="CATER BY LGU"/>
    <s v="Technical Assistance"/>
    <m/>
  </r>
  <r>
    <x v="1"/>
    <x v="8"/>
    <s v="MBA"/>
    <s v="Gabon"/>
    <n v="5405"/>
    <n v="5707"/>
    <s v="CONDUCTED TECHNICAL ASSISTANCE"/>
    <n v="2024"/>
    <s v="March 22, 2024"/>
    <x v="0"/>
    <s v="Dennis Tolentino"/>
    <m/>
    <s v="Christle David"/>
    <m/>
    <m/>
    <m/>
    <m/>
    <m/>
    <s v=""/>
    <s v=""/>
    <s v=""/>
    <s v=""/>
    <m/>
    <s v="MRS"/>
    <s v="OPERATIONAL"/>
    <s v="Technical Assistance"/>
    <m/>
  </r>
  <r>
    <x v="1"/>
    <x v="8"/>
    <s v="MBA"/>
    <s v="Laon (Pob.)"/>
    <n v="2303"/>
    <n v="2415"/>
    <s v="CONDUCTED TECHNICAL ASSISTANCE"/>
    <n v="2024"/>
    <s v="April 17, 2024"/>
    <x v="0"/>
    <s v="Dennis Tolentino"/>
    <m/>
    <s v="Christle David"/>
    <m/>
    <m/>
    <m/>
    <m/>
    <m/>
    <s v=""/>
    <s v=""/>
    <s v=""/>
    <s v=""/>
    <m/>
    <s v="MRS"/>
    <s v="OPERATIONAL"/>
    <s v="Technical Assistance"/>
    <m/>
  </r>
  <r>
    <x v="1"/>
    <x v="8"/>
    <s v="MBA"/>
    <s v="Mabatang"/>
    <n v="9165"/>
    <n v="9650"/>
    <s v="CONDUCTED TECHNICAL ASSISTANCE"/>
    <n v="2024"/>
    <s v="March 28, 2024"/>
    <x v="0"/>
    <s v="Dennis Tolentino"/>
    <m/>
    <s v="Christle David"/>
    <m/>
    <m/>
    <m/>
    <m/>
    <m/>
    <s v=""/>
    <s v=""/>
    <s v=""/>
    <s v=""/>
    <m/>
    <s v="MRS"/>
    <s v="OPERATIONAL"/>
    <s v="Technical Assistance"/>
    <m/>
  </r>
  <r>
    <x v="1"/>
    <x v="8"/>
    <s v="MBA"/>
    <s v="Omboy"/>
    <n v="3149"/>
    <n v="3387"/>
    <s v="CONDUCTED TECHNICAL ASSISTANCE"/>
    <n v="2024"/>
    <s v="March 28, 2024"/>
    <x v="0"/>
    <s v="Dennis Tolentino"/>
    <m/>
    <s v="Christle David"/>
    <m/>
    <m/>
    <m/>
    <m/>
    <m/>
    <s v=""/>
    <s v=""/>
    <s v=""/>
    <s v=""/>
    <m/>
    <s v="MRS"/>
    <s v="OPERATIONAL"/>
    <s v="Technical Assistance"/>
    <m/>
  </r>
  <r>
    <x v="1"/>
    <x v="8"/>
    <s v="MBA"/>
    <s v="Salian"/>
    <n v="3199"/>
    <n v="3832"/>
    <s v="CONDUCTED TECHNICAL ASSISTANCE"/>
    <n v="2024"/>
    <s v="July 03, 2024"/>
    <x v="0"/>
    <s v="Dennis Tolentino"/>
    <m/>
    <s v="Christle David"/>
    <m/>
    <m/>
    <m/>
    <m/>
    <m/>
    <s v=""/>
    <s v=""/>
    <s v=""/>
    <s v=""/>
    <m/>
    <s v="MRS"/>
    <s v="OPERATIONAL"/>
    <s v="Technical Assistance"/>
    <m/>
  </r>
  <r>
    <x v="1"/>
    <x v="8"/>
    <s v="MBA"/>
    <s v="Wawa (Pob.)"/>
    <n v="4389"/>
    <n v="4243"/>
    <s v="CONDUCTED TECHNICAL ASSISTANCE"/>
    <n v="2024"/>
    <s v="April 23, 2024"/>
    <x v="0"/>
    <s v="Dennis Tolentino"/>
    <m/>
    <s v="Christle David"/>
    <m/>
    <m/>
    <m/>
    <m/>
    <m/>
    <s v=""/>
    <s v=""/>
    <s v=""/>
    <s v=""/>
    <m/>
    <s v="MRS"/>
    <s v="OPERATIONAL"/>
    <s v="Technical Assistance"/>
    <m/>
  </r>
  <r>
    <x v="1"/>
    <x v="9"/>
    <s v="MBA"/>
    <s v="Atilano L. Ricardo"/>
    <n v="2447"/>
    <n v="3319"/>
    <s v="CONDUCTED TECHNICAL ASSISTANCE"/>
    <n v="2024"/>
    <d v="2024-10-15T00:00:00"/>
    <x v="0"/>
    <s v="Laurence Radasa"/>
    <m/>
    <s v="Christle David"/>
    <m/>
    <m/>
    <m/>
    <m/>
    <m/>
    <s v=""/>
    <s v=""/>
    <s v=""/>
    <s v=""/>
    <m/>
    <s v="MRF"/>
    <s v="OPERATIONAL"/>
    <s v="Technical Assistance"/>
    <m/>
  </r>
  <r>
    <x v="1"/>
    <x v="9"/>
    <s v="MBA"/>
    <s v="Bagumbayan (Pob.)"/>
    <n v="1978"/>
    <n v="2135"/>
    <s v="CONDUCTED TECHNICAL ASSISTANCE"/>
    <n v="2024"/>
    <s v="October 01, 2024"/>
    <x v="0"/>
    <s v="Laurence Radasa"/>
    <m/>
    <s v="Christle David"/>
    <m/>
    <m/>
    <m/>
    <m/>
    <m/>
    <s v=""/>
    <s v=""/>
    <s v=""/>
    <s v=""/>
    <m/>
    <s v="MRF"/>
    <s v="OPERATIONAL"/>
    <s v="Technical Assistance"/>
    <m/>
  </r>
  <r>
    <x v="1"/>
    <x v="9"/>
    <s v="MBA"/>
    <s v="Banawang"/>
    <n v="2784"/>
    <n v="3460"/>
    <s v="CONDUCTED TECHNICAL ASSISTANCE"/>
    <n v="2024"/>
    <s v="October 04, 2024"/>
    <x v="0"/>
    <s v="Laurence Radasa"/>
    <m/>
    <s v="Christle David"/>
    <m/>
    <m/>
    <m/>
    <m/>
    <m/>
    <s v=""/>
    <s v=""/>
    <s v=""/>
    <s v=""/>
    <m/>
    <s v="MRF"/>
    <s v="OPERATIONAL"/>
    <s v="Technical Assistance"/>
    <m/>
  </r>
  <r>
    <x v="1"/>
    <x v="9"/>
    <s v="MBA"/>
    <s v="Binuangan"/>
    <n v="613"/>
    <n v="752"/>
    <s v="CONDUCTED TECHNICAL ASSISTANCE"/>
    <n v="2024"/>
    <d v="2024-11-05T00:00:00"/>
    <x v="0"/>
    <s v="Laurence Radasa"/>
    <m/>
    <s v="Christle David"/>
    <m/>
    <m/>
    <m/>
    <m/>
    <m/>
    <s v=""/>
    <s v=""/>
    <s v=""/>
    <s v=""/>
    <m/>
    <s v="MRF"/>
    <s v="OPERATIONAL"/>
    <s v="Technical Assistance"/>
    <m/>
  </r>
  <r>
    <x v="1"/>
    <x v="9"/>
    <s v="MBA"/>
    <s v="Binukawan"/>
    <n v="2356"/>
    <n v="2814"/>
    <s v="CONDUCTED TECHNICAL ASSISTANCE"/>
    <n v="2024"/>
    <s v="September 20, 2024"/>
    <x v="0"/>
    <s v="Laurence Radasa"/>
    <m/>
    <s v="Christle David"/>
    <m/>
    <m/>
    <m/>
    <m/>
    <m/>
    <s v=""/>
    <s v=""/>
    <s v=""/>
    <s v=""/>
    <m/>
    <s v="MRF"/>
    <s v="OPERATIONAL"/>
    <s v="Technical Assistance"/>
    <m/>
  </r>
  <r>
    <x v="1"/>
    <x v="9"/>
    <s v="MBA"/>
    <s v="Ibaba"/>
    <n v="1689"/>
    <n v="1920"/>
    <s v="CONDUCTED TECHNICAL ASSISTANCE"/>
    <n v="2025"/>
    <d v="2025-03-28T00:00:00"/>
    <x v="4"/>
    <s v="Laurence Radasa"/>
    <m/>
    <s v="Christle David"/>
    <s v="R3-2025-010834"/>
    <d v="2025-03-31T00:00:00"/>
    <m/>
    <d v="2025-03-31T00:00:00"/>
    <d v="2025-04-02T00:00:00"/>
    <n v="1"/>
    <s v=""/>
    <n v="1"/>
    <n v="2"/>
    <s v="Received by Planning"/>
    <s v="NO FACILITY"/>
    <s v="Not Applicable"/>
    <s v="Technical Assistance"/>
    <m/>
  </r>
  <r>
    <x v="1"/>
    <x v="9"/>
    <s v="MBA"/>
    <s v="Ibis"/>
    <n v="1660"/>
    <n v="1884"/>
    <s v="CONDUCTED TECHNICAL ASSISTANCE"/>
    <n v="2024"/>
    <d v="2024-10-29T00:00:00"/>
    <x v="0"/>
    <s v="Laurence Radasa"/>
    <m/>
    <s v="Christle David"/>
    <m/>
    <m/>
    <m/>
    <m/>
    <m/>
    <s v=""/>
    <s v=""/>
    <s v=""/>
    <s v=""/>
    <m/>
    <s v="MRF"/>
    <s v="OPERATIONAL"/>
    <s v="Technical Assistance"/>
    <m/>
  </r>
  <r>
    <x v="1"/>
    <x v="9"/>
    <s v="MBA"/>
    <s v="Pag-asa"/>
    <n v="3271"/>
    <n v="3729"/>
    <s v="CONDUCTED TECHNICAL ASSISTANCE"/>
    <n v="2024"/>
    <d v="2024-10-22T00:00:00"/>
    <x v="0"/>
    <s v="Laurence Radasa"/>
    <m/>
    <s v="Christle David"/>
    <m/>
    <m/>
    <m/>
    <m/>
    <m/>
    <s v=""/>
    <s v=""/>
    <s v=""/>
    <s v=""/>
    <m/>
    <s v="MRF"/>
    <s v="OPERATIONAL"/>
    <s v="Technical Assistance"/>
    <m/>
  </r>
  <r>
    <x v="1"/>
    <x v="9"/>
    <s v="MBA"/>
    <s v="Parang"/>
    <n v="3248"/>
    <n v="3480"/>
    <s v="CONDUCTED TECHNICAL ASSISTANCE"/>
    <n v="2024"/>
    <s v="September 11, 2024"/>
    <x v="0"/>
    <s v="Laurence Radasa"/>
    <m/>
    <s v="Christle David"/>
    <m/>
    <m/>
    <m/>
    <m/>
    <m/>
    <s v=""/>
    <s v=""/>
    <s v=""/>
    <s v=""/>
    <m/>
    <s v="MRF"/>
    <s v="OPERATIONAL"/>
    <s v="Technical Assistance"/>
    <m/>
  </r>
  <r>
    <x v="1"/>
    <x v="9"/>
    <s v="MBA"/>
    <s v="Paysawan"/>
    <n v="731"/>
    <n v="862"/>
    <s v="CONDUCTED TECHNICAL ASSISTANCE"/>
    <n v="2024"/>
    <d v="2024-11-05T00:00:00"/>
    <x v="0"/>
    <s v="Laurence Radasa"/>
    <m/>
    <s v="Christle David"/>
    <m/>
    <m/>
    <m/>
    <m/>
    <m/>
    <s v=""/>
    <s v=""/>
    <s v=""/>
    <s v=""/>
    <m/>
    <s v="MRF"/>
    <s v="OPERATIONAL"/>
    <s v="Technical Assistance"/>
    <m/>
  </r>
  <r>
    <x v="1"/>
    <x v="9"/>
    <s v="MBA"/>
    <s v="Quinawan"/>
    <n v="574"/>
    <n v="710"/>
    <s v="CONDUCTED TECHNICAL ASSISTANCE"/>
    <n v="2024"/>
    <d v="2024-11-08T00:00:00"/>
    <x v="0"/>
    <s v="Laurence Radasa"/>
    <m/>
    <s v="Christle David"/>
    <m/>
    <m/>
    <m/>
    <m/>
    <m/>
    <s v=""/>
    <s v=""/>
    <s v=""/>
    <s v=""/>
    <m/>
    <s v="MRF"/>
    <s v="OPERATIONAL"/>
    <s v="Technical Assistance"/>
    <m/>
  </r>
  <r>
    <x v="1"/>
    <x v="9"/>
    <s v="MBA"/>
    <s v="San Antonio"/>
    <n v="1445"/>
    <n v="1511"/>
    <s v="CONDUCTED TECHNICAL ASSISTANCE"/>
    <n v="2024"/>
    <s v="September 26, 2024"/>
    <x v="0"/>
    <s v="Laurence Radasa"/>
    <m/>
    <s v="Christle David"/>
    <m/>
    <m/>
    <m/>
    <m/>
    <m/>
    <s v=""/>
    <s v=""/>
    <s v=""/>
    <s v=""/>
    <m/>
    <s v="MRF"/>
    <s v="OPERATIONAL"/>
    <s v="Technical Assistance"/>
    <m/>
  </r>
  <r>
    <x v="1"/>
    <x v="9"/>
    <s v="MBA"/>
    <s v="Saysain"/>
    <n v="2859"/>
    <n v="3468"/>
    <s v="CONDUCTED TECHNICAL ASSISTANCE"/>
    <n v="2024"/>
    <d v="2024-10-31T00:00:00"/>
    <x v="0"/>
    <s v="Laurence Radasa"/>
    <m/>
    <s v="Christle David"/>
    <m/>
    <m/>
    <m/>
    <m/>
    <m/>
    <s v=""/>
    <s v=""/>
    <s v=""/>
    <s v=""/>
    <m/>
    <s v="MRF"/>
    <s v="OPERATIONAL"/>
    <s v="Technical Assistance"/>
    <m/>
  </r>
  <r>
    <x v="1"/>
    <x v="9"/>
    <s v="MBA"/>
    <s v="Tabing-Ilog (Pob.)"/>
    <n v="1281"/>
    <n v="1321"/>
    <s v="CONDUCTED TECHNICAL ASSISTANCE"/>
    <n v="2024"/>
    <d v="2024-10-18T00:00:00"/>
    <x v="0"/>
    <s v="Laurence Radasa"/>
    <m/>
    <s v="Christle David"/>
    <m/>
    <m/>
    <m/>
    <m/>
    <m/>
    <s v=""/>
    <s v=""/>
    <s v=""/>
    <s v=""/>
    <m/>
    <s v="MRF"/>
    <s v="OPERATIONAL"/>
    <s v="Technical Assistance"/>
    <m/>
  </r>
  <r>
    <x v="1"/>
    <x v="10"/>
    <s v="MBA"/>
    <s v="Bagong Silang"/>
    <n v="5472"/>
    <n v="6388"/>
    <s v="CONDUCTED TECHNICAL ASSISTANCE"/>
    <n v="2024"/>
    <s v="September 20, 2024"/>
    <x v="0"/>
    <s v="Dennis Tolentino"/>
    <m/>
    <s v="Christle David"/>
    <m/>
    <m/>
    <m/>
    <m/>
    <m/>
    <s v=""/>
    <s v=""/>
    <s v=""/>
    <s v=""/>
    <m/>
    <s v="MRF"/>
    <s v="OPERATIONAL"/>
    <s v="Technical Assistance"/>
    <m/>
  </r>
  <r>
    <x v="1"/>
    <x v="10"/>
    <s v="MBA"/>
    <s v="Bagumbayan"/>
    <n v="2074"/>
    <n v="2067"/>
    <s v="CONDUCTED TECHNICAL ASSISTANCE"/>
    <n v="2024"/>
    <s v="March 19, 2024"/>
    <x v="0"/>
    <s v="Dennis Tolentino"/>
    <m/>
    <s v="Christle David"/>
    <m/>
    <m/>
    <m/>
    <m/>
    <m/>
    <s v=""/>
    <s v=""/>
    <s v=""/>
    <s v=""/>
    <m/>
    <s v="MRF"/>
    <s v="OPERATIONAL"/>
    <s v="Technical Assistance"/>
    <m/>
  </r>
  <r>
    <x v="1"/>
    <x v="10"/>
    <s v="MBA"/>
    <s v="Cabog-Cabog"/>
    <n v="2046"/>
    <n v="2211"/>
    <s v="CONDUCTED TECHNICAL ASSISTANCE"/>
    <n v="2024"/>
    <s v="June 14, 2024"/>
    <x v="0"/>
    <s v="Dennis Tolentino"/>
    <m/>
    <s v="Christle David"/>
    <m/>
    <m/>
    <m/>
    <m/>
    <m/>
    <s v=""/>
    <s v=""/>
    <s v=""/>
    <s v=""/>
    <m/>
    <s v="MRF"/>
    <s v="OPERATIONAL"/>
    <s v="Technical Assistance"/>
    <m/>
  </r>
  <r>
    <x v="1"/>
    <x v="10"/>
    <s v="MBA"/>
    <s v="Camacho"/>
    <n v="4170"/>
    <n v="3844"/>
    <s v="CONDUCTED TECHNICAL ASSISTANCE"/>
    <n v="2024"/>
    <s v="May 23, 2024"/>
    <x v="0"/>
    <s v="Dennis Tolentino"/>
    <m/>
    <s v="Christle David"/>
    <m/>
    <m/>
    <m/>
    <m/>
    <m/>
    <s v=""/>
    <s v=""/>
    <s v=""/>
    <s v=""/>
    <m/>
    <s v="MRF"/>
    <s v="OPERATIONAL"/>
    <s v="Technical Assistance"/>
    <m/>
  </r>
  <r>
    <x v="1"/>
    <x v="10"/>
    <s v="MBA"/>
    <s v="Cataning"/>
    <n v="8137"/>
    <n v="9775"/>
    <s v="CONDUCTED TECHNICAL ASSISTANCE"/>
    <n v="2024"/>
    <s v="June 07, 2024"/>
    <x v="0"/>
    <s v="Dennis Tolentino"/>
    <m/>
    <s v="Christle David"/>
    <m/>
    <m/>
    <m/>
    <m/>
    <m/>
    <s v=""/>
    <s v=""/>
    <s v=""/>
    <s v=""/>
    <m/>
    <s v="MRF"/>
    <s v="OPERATIONAL"/>
    <s v="Technical Assistance"/>
    <m/>
  </r>
  <r>
    <x v="1"/>
    <x v="10"/>
    <s v="MBA"/>
    <s v="Central"/>
    <n v="5472"/>
    <n v="7083"/>
    <s v="CONDUCTED TECHNICAL ASSISTANCE"/>
    <n v="2025"/>
    <d v="2025-02-18T00:00:00"/>
    <x v="3"/>
    <s v="Dennis Tolentino"/>
    <m/>
    <s v="Christle David"/>
    <s v="R3-2025-005957"/>
    <d v="2025-02-18T00:00:00"/>
    <m/>
    <d v="2025-02-18T00:00:00"/>
    <d v="2025-02-19T00:00:00"/>
    <n v="1"/>
    <s v=""/>
    <n v="1"/>
    <n v="1"/>
    <s v="Received by Planning"/>
    <s v="MRF"/>
    <s v="OPERATIONAL"/>
    <s v="Technical Assistance"/>
    <m/>
  </r>
  <r>
    <x v="1"/>
    <x v="10"/>
    <s v="MBA"/>
    <s v="Cupang North"/>
    <n v="2536"/>
    <n v="2543"/>
    <s v="CONDUCTED TECHNICAL ASSISTANCE"/>
    <n v="2024"/>
    <s v="May 09, 2024"/>
    <x v="0"/>
    <s v="Dennis Tolentino"/>
    <m/>
    <s v="Christle David"/>
    <m/>
    <m/>
    <m/>
    <m/>
    <m/>
    <s v=""/>
    <s v=""/>
    <s v=""/>
    <s v=""/>
    <m/>
    <s v="MRF"/>
    <s v="OPERATIONAL"/>
    <s v="Technical Assistance"/>
    <m/>
  </r>
  <r>
    <x v="1"/>
    <x v="10"/>
    <s v="MBA"/>
    <s v="Cupang Proper"/>
    <n v="9583"/>
    <n v="11581"/>
    <s v="CONDUCTED TECHNICAL ASSISTANCE"/>
    <n v="2025"/>
    <d v="2025-05-16T00:00:00"/>
    <x v="6"/>
    <s v="Dennis Tolentino"/>
    <m/>
    <s v="Christle David"/>
    <s v="R3-2025-016653"/>
    <d v="2025-05-19T00:00:00"/>
    <m/>
    <d v="2025-05-19T00:00:00"/>
    <d v="2025-05-20T00:00:00"/>
    <n v="1"/>
    <s v=""/>
    <n v="1"/>
    <n v="1"/>
    <s v="Received by Planning"/>
    <s v="MRS"/>
    <s v="OPERATIONAL"/>
    <s v="Technical Assistance"/>
    <m/>
  </r>
  <r>
    <x v="1"/>
    <x v="10"/>
    <s v="MBA"/>
    <s v="Cupang West"/>
    <n v="1811"/>
    <n v="2031"/>
    <s v="CONDUCTED TECHNICAL ASSISTANCE"/>
    <n v="2025"/>
    <d v="2025-01-22T00:00:00"/>
    <x v="2"/>
    <s v="Dennis Tolentino"/>
    <m/>
    <s v="Christle David"/>
    <s v="R3-2025-001998"/>
    <d v="2025-01-22T00:00:00"/>
    <m/>
    <d v="2025-01-22T00:00:00"/>
    <d v="2025-01-23T00:00:00"/>
    <n v="1"/>
    <s v=""/>
    <n v="1"/>
    <n v="1"/>
    <s v="Received by Planning"/>
    <s v="MRF"/>
    <s v="OPERATIONAL"/>
    <s v="Technical Assistance"/>
    <m/>
  </r>
  <r>
    <x v="1"/>
    <x v="10"/>
    <s v="MBA"/>
    <s v="Dangcol"/>
    <n v="1784"/>
    <n v="1776"/>
    <s v="CONDUCTED TECHNICAL ASSISTANCE"/>
    <n v="2025"/>
    <d v="2025-03-27T00:00:00"/>
    <x v="4"/>
    <s v="Dennis Tolentino"/>
    <m/>
    <s v="Christle David"/>
    <s v="R3-2025-010728"/>
    <d v="2025-03-30T00:00:00"/>
    <m/>
    <d v="2025-03-30T00:00:00"/>
    <d v="2025-03-31T00:00:00"/>
    <n v="1"/>
    <s v=""/>
    <n v="1"/>
    <n v="1"/>
    <s v="Received by Planning"/>
    <s v="MRS"/>
    <s v="NON-OPERATIONAL"/>
    <s v="Technical Assistance"/>
    <m/>
  </r>
  <r>
    <x v="1"/>
    <x v="10"/>
    <s v="MBA"/>
    <s v="Doña Francisca"/>
    <n v="2219"/>
    <n v="2322"/>
    <s v="CONDUCTED TECHNICAL ASSISTANCE"/>
    <n v="2024"/>
    <s v="March 19, 2024"/>
    <x v="0"/>
    <s v="Dennis Tolentino"/>
    <m/>
    <s v="Christle David"/>
    <m/>
    <m/>
    <m/>
    <m/>
    <m/>
    <s v=""/>
    <s v=""/>
    <s v=""/>
    <s v=""/>
    <m/>
    <s v="MRF"/>
    <s v="NON-OPERATIONAL"/>
    <s v="Technical Assistance"/>
    <m/>
  </r>
  <r>
    <x v="1"/>
    <x v="10"/>
    <s v="MBA"/>
    <s v="Ibayo"/>
    <n v="2570"/>
    <n v="2277"/>
    <s v="CONDUCTED TECHNICAL ASSISTANCE"/>
    <n v="2024"/>
    <s v="February 27, 2024"/>
    <x v="0"/>
    <s v="Dennis Tolentino"/>
    <m/>
    <s v="Christle David"/>
    <m/>
    <m/>
    <m/>
    <m/>
    <m/>
    <s v=""/>
    <s v=""/>
    <s v=""/>
    <s v=""/>
    <m/>
    <s v="MRF"/>
    <s v="OPERATIONAL"/>
    <s v="Technical Assistance"/>
    <m/>
  </r>
  <r>
    <x v="1"/>
    <x v="10"/>
    <s v="MBA"/>
    <s v="Lote"/>
    <n v="2483"/>
    <n v="2670"/>
    <s v="CONDUCTED TECHNICAL ASSISTANCE"/>
    <n v="2024"/>
    <s v="June 18, 2024"/>
    <x v="0"/>
    <s v="Dennis Tolentino"/>
    <m/>
    <s v="Christle David"/>
    <m/>
    <m/>
    <m/>
    <m/>
    <m/>
    <s v=""/>
    <s v=""/>
    <s v=""/>
    <s v=""/>
    <m/>
    <s v="MRF"/>
    <s v="OPERATIONAL"/>
    <s v="Technical Assistance"/>
    <m/>
  </r>
  <r>
    <x v="1"/>
    <x v="10"/>
    <s v="MBA"/>
    <s v="Malabia"/>
    <n v="723"/>
    <n v="725"/>
    <s v="CONDUCTED TECHNICAL ASSISTANCE"/>
    <n v="2024"/>
    <s v="February 23, 2024"/>
    <x v="0"/>
    <s v="Dennis Tolentino"/>
    <m/>
    <s v="Christle David"/>
    <m/>
    <m/>
    <m/>
    <m/>
    <m/>
    <s v=""/>
    <s v=""/>
    <s v=""/>
    <s v=""/>
    <m/>
    <s v="MRF"/>
    <s v="OPERATIONAL"/>
    <s v="Technical Assistance"/>
    <m/>
  </r>
  <r>
    <x v="1"/>
    <x v="10"/>
    <s v="MBA"/>
    <s v="Munting Batangas"/>
    <n v="2755"/>
    <n v="3320"/>
    <s v="CONDUCTED TECHNICAL ASSISTANCE"/>
    <n v="2024"/>
    <s v="February 28, 2024"/>
    <x v="0"/>
    <s v="Dennis Tolentino"/>
    <m/>
    <s v="Christle David"/>
    <m/>
    <m/>
    <m/>
    <m/>
    <m/>
    <s v=""/>
    <s v=""/>
    <s v=""/>
    <s v=""/>
    <m/>
    <s v="MRF"/>
    <s v="OPERATIONAL"/>
    <s v="Technical Assistance"/>
    <m/>
  </r>
  <r>
    <x v="1"/>
    <x v="10"/>
    <s v="MBA"/>
    <s v="Poblacion"/>
    <n v="799"/>
    <n v="736"/>
    <s v="CONDUCTED TECHNICAL ASSISTANCE"/>
    <n v="2024"/>
    <s v="July 02, 2024"/>
    <x v="0"/>
    <s v="Dennis Tolentino"/>
    <m/>
    <s v="Christle David"/>
    <m/>
    <m/>
    <m/>
    <m/>
    <m/>
    <s v=""/>
    <s v=""/>
    <s v=""/>
    <s v=""/>
    <m/>
    <s v="MRF"/>
    <s v="OPERATIONAL"/>
    <s v="Technical Assistance"/>
    <m/>
  </r>
  <r>
    <x v="1"/>
    <x v="10"/>
    <s v="MBA"/>
    <s v="Pto. Rivas Ibaba"/>
    <n v="4315"/>
    <n v="4287"/>
    <s v="CONDUCTED TECHNICAL ASSISTANCE"/>
    <n v="2024"/>
    <s v="March 27, 2024"/>
    <x v="0"/>
    <s v="Dennis Tolentino"/>
    <m/>
    <s v="Christle David"/>
    <m/>
    <m/>
    <m/>
    <m/>
    <m/>
    <s v=""/>
    <s v=""/>
    <s v=""/>
    <s v=""/>
    <m/>
    <s v="MRF"/>
    <m/>
    <s v="Technical Assistance"/>
    <m/>
  </r>
  <r>
    <x v="1"/>
    <x v="10"/>
    <s v="MBA"/>
    <s v="Pto. Rivas Itaas"/>
    <n v="1816"/>
    <n v="1822"/>
    <s v="CONDUCTED TECHNICAL ASSISTANCE"/>
    <n v="2024"/>
    <s v="March 27, 2024"/>
    <x v="0"/>
    <s v="Dennis Tolentino"/>
    <m/>
    <s v="Christle David"/>
    <m/>
    <m/>
    <m/>
    <m/>
    <m/>
    <s v=""/>
    <s v=""/>
    <s v=""/>
    <s v=""/>
    <m/>
    <s v="MRF"/>
    <m/>
    <s v="Technical Assistance"/>
    <m/>
  </r>
  <r>
    <x v="1"/>
    <x v="10"/>
    <s v="MBA"/>
    <s v="San Jose"/>
    <n v="6274"/>
    <n v="6718"/>
    <s v="CONDUCTED TECHNICAL ASSISTANCE"/>
    <n v="2024"/>
    <s v="April 03, 2024"/>
    <x v="0"/>
    <s v="Dennis Tolentino"/>
    <m/>
    <s v="Christle David"/>
    <m/>
    <m/>
    <m/>
    <m/>
    <m/>
    <s v=""/>
    <s v=""/>
    <s v=""/>
    <s v=""/>
    <m/>
    <s v="MRF"/>
    <s v="OPERATIONAL"/>
    <s v="Technical Assistance"/>
    <m/>
  </r>
  <r>
    <x v="1"/>
    <x v="10"/>
    <s v="MBA"/>
    <s v="Sibacan"/>
    <n v="2256"/>
    <n v="2766"/>
    <s v="CONDUCTED TECHNICAL ASSISTANCE"/>
    <n v="2024"/>
    <d v="2024-11-06T00:00:00"/>
    <x v="0"/>
    <s v="Dennis Tolentino"/>
    <m/>
    <s v="Christle David"/>
    <m/>
    <m/>
    <m/>
    <m/>
    <m/>
    <s v=""/>
    <s v=""/>
    <s v=""/>
    <s v=""/>
    <m/>
    <s v="MRF"/>
    <s v="OPERATIONAL"/>
    <s v="Technical Assistance"/>
    <m/>
  </r>
  <r>
    <x v="1"/>
    <x v="10"/>
    <s v="MBA"/>
    <s v="Talisay"/>
    <n v="1907"/>
    <n v="2181"/>
    <s v="CONDUCTED TECHNICAL ASSISTANCE"/>
    <n v="2024"/>
    <s v="May 29, 2024"/>
    <x v="0"/>
    <s v="Dennis Tolentino"/>
    <m/>
    <s v="Christle David"/>
    <m/>
    <m/>
    <m/>
    <m/>
    <m/>
    <s v=""/>
    <s v=""/>
    <s v=""/>
    <s v=""/>
    <m/>
    <s v="MRF"/>
    <s v="NON-OPERATIONAL"/>
    <s v="Technical Assistance"/>
    <m/>
  </r>
  <r>
    <x v="1"/>
    <x v="11"/>
    <s v="MBA"/>
    <s v="Tanato"/>
    <n v="818"/>
    <n v="914"/>
    <s v="CONDUCTED TECHNICAL ASSISTANCE"/>
    <n v="2025"/>
    <d v="2025-08-06T00:00:00"/>
    <x v="9"/>
    <s v="Dennis Tolentino"/>
    <m/>
    <s v="Christle David"/>
    <s v="R3-2025-026555"/>
    <d v="2025-08-11T00:00:00"/>
    <m/>
    <d v="2025-08-11T00:00:00"/>
    <d v="2025-08-13T00:00:00"/>
    <n v="3"/>
    <s v=""/>
    <n v="1"/>
    <n v="2"/>
    <s v="Received by Planning"/>
    <s v="MRS"/>
    <s v="OPERATIONAL"/>
    <s v="Technical Assistance"/>
    <m/>
  </r>
  <r>
    <x v="1"/>
    <x v="10"/>
    <s v="MBA"/>
    <s v="Tenejero"/>
    <n v="10964"/>
    <n v="9227"/>
    <s v="CONDUCTED TECHNICAL ASSISTANCE"/>
    <n v="2024"/>
    <s v="May 03, 2024"/>
    <x v="0"/>
    <s v="Dennis Tolentino"/>
    <m/>
    <s v="Christle David"/>
    <m/>
    <m/>
    <m/>
    <m/>
    <m/>
    <s v=""/>
    <s v=""/>
    <s v=""/>
    <s v=""/>
    <m/>
    <s v="MRF"/>
    <s v="OPERATIONAL"/>
    <s v="Technical Assistance"/>
    <m/>
  </r>
  <r>
    <x v="1"/>
    <x v="10"/>
    <s v="MBA"/>
    <s v="Tortugas"/>
    <n v="2971"/>
    <n v="2852"/>
    <s v="CONDUCTED TECHNICAL ASSISTANCE"/>
    <n v="2024"/>
    <s v="October 02, 2024"/>
    <x v="0"/>
    <s v="Dennis Tolentino"/>
    <m/>
    <s v="Christle David"/>
    <m/>
    <m/>
    <m/>
    <m/>
    <m/>
    <s v=""/>
    <s v=""/>
    <s v=""/>
    <s v=""/>
    <m/>
    <s v="MRF"/>
    <s v="OPERATIONAL"/>
    <s v="Technical Assistance"/>
    <m/>
  </r>
  <r>
    <x v="1"/>
    <x v="10"/>
    <s v="MBA"/>
    <s v="Tuyo"/>
    <n v="10106"/>
    <n v="12057"/>
    <s v="CONDUCTED TECHNICAL ASSISTANCE"/>
    <n v="2024"/>
    <s v="April 26, 2024"/>
    <x v="0"/>
    <s v="Dennis Tolentino"/>
    <m/>
    <s v="Christle David"/>
    <m/>
    <m/>
    <m/>
    <m/>
    <m/>
    <s v=""/>
    <s v=""/>
    <s v=""/>
    <s v=""/>
    <m/>
    <s v="MRF"/>
    <s v="NON-OPERATIONAL"/>
    <s v="Technical Assistance"/>
    <m/>
  </r>
  <r>
    <x v="1"/>
    <x v="12"/>
    <s v="MBA"/>
    <s v="Bilolo"/>
    <n v="6803"/>
    <n v="7829"/>
    <s v="CONDUCTED TECHNICAL ASSISTANCE"/>
    <n v="2025"/>
    <d v="2025-09-16T00:00:00"/>
    <x v="7"/>
    <s v="Dennis Tolentino"/>
    <m/>
    <s v="Christle David"/>
    <s v="R3-2025-031486"/>
    <d v="2025-09-17T00:00:00"/>
    <m/>
    <d v="2025-09-17T00:00:00"/>
    <d v="2025-09-18T00:00:00"/>
    <n v="1"/>
    <s v=""/>
    <n v="1"/>
    <n v="1"/>
    <s v="Received by Planning"/>
    <s v="MRS"/>
    <s v="OPERATIONAL"/>
    <s v="Technical Assistance"/>
    <m/>
  </r>
  <r>
    <x v="1"/>
    <x v="13"/>
    <s v="MBA"/>
    <s v="Aquino"/>
    <n v="95"/>
    <n v="114"/>
    <s v="CONDUCTED TECHNICAL ASSISTANCE"/>
    <n v="2024"/>
    <d v="2024-10-31T00:00:00"/>
    <x v="0"/>
    <s v="John-lester Signio"/>
    <m/>
    <s v="Christle David"/>
    <m/>
    <m/>
    <m/>
    <m/>
    <m/>
    <s v=""/>
    <s v=""/>
    <s v=""/>
    <s v=""/>
    <m/>
    <s v="MRF"/>
    <s v="OPERATIONAL"/>
    <s v="Technical Assistance"/>
    <m/>
  </r>
  <r>
    <x v="1"/>
    <x v="13"/>
    <s v="MBA"/>
    <s v="Bangal"/>
    <n v="4774"/>
    <n v="5053"/>
    <s v="CONDUCTED TECHNICAL ASSISTANCE"/>
    <n v="2024"/>
    <s v="May 21, 2024"/>
    <x v="0"/>
    <s v="John-lester Signio"/>
    <m/>
    <s v="Christle David"/>
    <m/>
    <m/>
    <m/>
    <m/>
    <m/>
    <s v=""/>
    <s v=""/>
    <s v=""/>
    <s v=""/>
    <m/>
    <s v="MRF"/>
    <s v="OPERATIONAL"/>
    <s v="Technical Assistance"/>
    <m/>
  </r>
  <r>
    <x v="1"/>
    <x v="13"/>
    <s v="MBA"/>
    <s v="Gen. Luna (Pob.)"/>
    <n v="608"/>
    <n v="528"/>
    <s v="CONDUCTED TECHNICAL ASSISTANCE"/>
    <n v="2025"/>
    <d v="2025-09-02T00:00:00"/>
    <x v="7"/>
    <s v="John-lester Signio"/>
    <m/>
    <s v="Christle David"/>
    <s v="R3-2025-030057"/>
    <d v="2025-09-08T00:00:00"/>
    <m/>
    <d v="2025-09-09T00:00:00"/>
    <d v="2025-09-09T00:00:00"/>
    <n v="4"/>
    <s v=""/>
    <n v="1"/>
    <n v="1"/>
    <s v="Received by Planning"/>
    <s v="MRS"/>
    <s v="OPERATIONAL"/>
    <s v="Technical Assistance"/>
    <m/>
  </r>
  <r>
    <x v="1"/>
    <x v="13"/>
    <s v="MBA"/>
    <s v="Bonifacio (Pob.)"/>
    <n v="488"/>
    <n v="366"/>
    <s v="CONDUCTED TECHNICAL ASSISTANCE"/>
    <n v="2024"/>
    <s v="September 24, 2024"/>
    <x v="0"/>
    <s v="John-lester Signio"/>
    <m/>
    <s v="Christle David"/>
    <m/>
    <m/>
    <m/>
    <m/>
    <m/>
    <s v=""/>
    <s v=""/>
    <s v=""/>
    <s v=""/>
    <m/>
    <s v="MRF"/>
    <s v="OPERATIONAL"/>
    <s v="Technical Assistance"/>
    <m/>
  </r>
  <r>
    <x v="1"/>
    <x v="13"/>
    <s v="MBA"/>
    <s v="Burgos (Pob.)"/>
    <n v="411"/>
    <n v="331"/>
    <s v="CONDUCTED TECHNICAL ASSISTANCE"/>
    <n v="2024"/>
    <s v="October 08, 2024"/>
    <x v="0"/>
    <s v="John-lester Signio"/>
    <m/>
    <s v="Christle David"/>
    <m/>
    <m/>
    <m/>
    <m/>
    <m/>
    <s v=""/>
    <s v=""/>
    <s v=""/>
    <s v=""/>
    <m/>
    <s v="MRF"/>
    <s v="NON-OPERATIONAL"/>
    <s v="Technical Assistance"/>
    <m/>
  </r>
  <r>
    <x v="1"/>
    <x v="13"/>
    <s v="MBA"/>
    <s v="Colo"/>
    <n v="3135"/>
    <n v="3651"/>
    <s v="CONDUCTED TECHNICAL ASSISTANCE"/>
    <n v="2024"/>
    <s v="February 27, 2024"/>
    <x v="0"/>
    <s v="John-lester Signio"/>
    <m/>
    <s v="Christle David"/>
    <m/>
    <m/>
    <m/>
    <m/>
    <m/>
    <s v=""/>
    <s v=""/>
    <s v=""/>
    <s v=""/>
    <m/>
    <s v="MRF"/>
    <s v="OPERATIONAL"/>
    <s v="Technical Assistance"/>
    <m/>
  </r>
  <r>
    <x v="1"/>
    <x v="13"/>
    <s v="MBA"/>
    <s v="Daang Bago"/>
    <n v="2822"/>
    <n v="3247"/>
    <s v="CONDUCTED TECHNICAL ASSISTANCE"/>
    <n v="2025"/>
    <d v="2025-01-30T00:00:00"/>
    <x v="3"/>
    <s v="John-lester Signio"/>
    <m/>
    <s v="Christle David"/>
    <s v="R3-2025-003340"/>
    <d v="2025-02-01T00:00:00"/>
    <m/>
    <d v="2025-02-03T00:00:00"/>
    <d v="2025-02-04T00:00:00"/>
    <n v="1"/>
    <s v=""/>
    <n v="1"/>
    <n v="1"/>
    <s v="Received by Planning"/>
    <s v="MRS"/>
    <s v="NON-OPERATIONAL"/>
    <s v="Technical Assistance"/>
    <m/>
  </r>
  <r>
    <x v="1"/>
    <x v="13"/>
    <s v="MBA"/>
    <s v="Dalao"/>
    <n v="1573"/>
    <n v="1830"/>
    <s v="CONDUCTED TECHNICAL ASSISTANCE"/>
    <n v="2024"/>
    <s v="March 19, 2024"/>
    <x v="0"/>
    <s v="John-lester Signio"/>
    <m/>
    <s v="Christle David"/>
    <m/>
    <m/>
    <m/>
    <m/>
    <m/>
    <s v=""/>
    <s v=""/>
    <s v=""/>
    <s v=""/>
    <m/>
    <s v="MRF"/>
    <s v="OPERATIONAL"/>
    <s v="Technical Assistance"/>
    <m/>
  </r>
  <r>
    <x v="1"/>
    <x v="13"/>
    <s v="MBA"/>
    <s v="Del Pilar (Pob.)"/>
    <n v="291"/>
    <n v="265"/>
    <s v="CONDUCTED TECHNICAL ASSISTANCE"/>
    <n v="2024"/>
    <s v="August 28, 2024"/>
    <x v="0"/>
    <s v="John-lester Signio"/>
    <m/>
    <s v="Christle David"/>
    <m/>
    <m/>
    <m/>
    <m/>
    <m/>
    <s v=""/>
    <s v=""/>
    <s v=""/>
    <s v=""/>
    <m/>
    <s v="MRF"/>
    <s v="OPERATIONAL"/>
    <s v="Technical Assistance"/>
    <m/>
  </r>
  <r>
    <x v="1"/>
    <x v="13"/>
    <s v="MBA"/>
    <s v="Bayan-bayanan"/>
    <n v="728"/>
    <n v="953"/>
    <s v="CONDUCTED TECHNICAL ASSISTANCE"/>
    <n v="2025"/>
    <d v="2025-10-14T00:00:00"/>
    <x v="5"/>
    <s v="John-lester Signio"/>
    <m/>
    <s v="Christle David"/>
    <s v="R3-2025-035084"/>
    <d v="2025-10-16T00:00:00"/>
    <m/>
    <d v="2025-10-16T00:00:00"/>
    <d v="2025-10-16T00:00:00"/>
    <n v="2"/>
    <s v=""/>
    <n v="1"/>
    <n v="1"/>
    <s v="Received by Planning"/>
    <s v="MRF"/>
    <s v="OPERATIONAL"/>
    <s v="Technical Assistance"/>
    <m/>
  </r>
  <r>
    <x v="1"/>
    <x v="13"/>
    <s v="MBA"/>
    <s v="Gomez (Pob.)"/>
    <n v="292"/>
    <n v="307"/>
    <s v="CONDUCTED TECHNICAL ASSISTANCE"/>
    <n v="2024"/>
    <s v="September 18, 2024"/>
    <x v="0"/>
    <s v="John-lester Signio"/>
    <m/>
    <s v="Christle David"/>
    <m/>
    <m/>
    <m/>
    <m/>
    <m/>
    <s v=""/>
    <s v=""/>
    <s v=""/>
    <s v=""/>
    <m/>
    <s v="MRF"/>
    <s v="OPERATIONAL"/>
    <s v="Technical Assistance"/>
    <m/>
  </r>
  <r>
    <x v="1"/>
    <x v="13"/>
    <s v="MBA"/>
    <s v="Happy Valley"/>
    <n v="1744"/>
    <n v="1913"/>
    <s v="CONDUCTED TECHNICAL ASSISTANCE"/>
    <n v="2024"/>
    <s v="June 20, 2024"/>
    <x v="0"/>
    <s v="John-lester Signio"/>
    <m/>
    <s v="Christle David"/>
    <m/>
    <m/>
    <m/>
    <m/>
    <m/>
    <s v=""/>
    <s v=""/>
    <s v=""/>
    <s v=""/>
    <m/>
    <s v="MRF"/>
    <s v="NON-OPERATIONAL"/>
    <s v="Technical Assistance"/>
    <m/>
  </r>
  <r>
    <x v="1"/>
    <x v="13"/>
    <s v="MBA"/>
    <s v="Jose C. Payumo, Jr."/>
    <n v="3360"/>
    <n v="3906"/>
    <s v="CONDUCTED TECHNICAL ASSISTANCE"/>
    <n v="2025"/>
    <d v="2025-06-17T00:00:00"/>
    <x v="10"/>
    <s v="John-lester Signio"/>
    <m/>
    <s v="Christle David"/>
    <s v="R3-2025-020177"/>
    <d v="2025-06-18T00:00:00"/>
    <m/>
    <d v="2025-06-18T00:00:00"/>
    <d v="2025-06-19T00:00:00"/>
    <n v="1"/>
    <s v=""/>
    <n v="1"/>
    <n v="1"/>
    <s v="Received by Planning"/>
    <s v="MRS"/>
    <s v="OPERATIONAL"/>
    <s v="Technical Assistance"/>
    <m/>
  </r>
  <r>
    <x v="1"/>
    <x v="13"/>
    <s v="MBA"/>
    <s v="Kataasan"/>
    <n v="2990"/>
    <n v="3082"/>
    <s v="CONDUCTED TECHNICAL ASSISTANCE"/>
    <n v="2024"/>
    <s v="March 27, 2024"/>
    <x v="0"/>
    <s v="John-lester Signio"/>
    <m/>
    <s v="Christle David"/>
    <m/>
    <m/>
    <m/>
    <m/>
    <m/>
    <s v=""/>
    <s v=""/>
    <s v=""/>
    <s v=""/>
    <m/>
    <s v="MRF"/>
    <s v="OPERATIONAL"/>
    <s v="Technical Assistance"/>
    <m/>
  </r>
  <r>
    <x v="1"/>
    <x v="13"/>
    <s v="MBA"/>
    <s v="Layac"/>
    <n v="1416"/>
    <n v="1363"/>
    <s v="CONDUCTED TECHNICAL ASSISTANCE"/>
    <n v="2024"/>
    <d v="2024-11-08T00:00:00"/>
    <x v="0"/>
    <s v="John-lester Signio"/>
    <m/>
    <s v="Christle David"/>
    <m/>
    <m/>
    <m/>
    <m/>
    <m/>
    <s v=""/>
    <s v=""/>
    <s v=""/>
    <s v=""/>
    <m/>
    <s v="MRF"/>
    <s v="OPERATIONAL"/>
    <s v="Technical Assistance"/>
    <m/>
  </r>
  <r>
    <x v="1"/>
    <x v="13"/>
    <s v="MBA"/>
    <s v="Luacan"/>
    <n v="6184"/>
    <n v="5953"/>
    <s v="CONDUCTED TECHNICAL ASSISTANCE"/>
    <n v="2024"/>
    <s v="July 11, 2024"/>
    <x v="0"/>
    <s v="John-lester Signio"/>
    <m/>
    <s v="Christle David"/>
    <m/>
    <m/>
    <m/>
    <m/>
    <m/>
    <s v=""/>
    <s v=""/>
    <s v=""/>
    <s v=""/>
    <m/>
    <s v="MRF"/>
    <s v="OPERATIONAL"/>
    <s v="Technical Assistance"/>
    <m/>
  </r>
  <r>
    <x v="1"/>
    <x v="13"/>
    <s v="MBA"/>
    <s v="Mabini Ext. (Pob.)"/>
    <n v="703"/>
    <n v="726"/>
    <s v="CONDUCTED TECHNICAL ASSISTANCE"/>
    <n v="2024"/>
    <s v="October 01, 2024"/>
    <x v="0"/>
    <s v="John-lester Signio"/>
    <m/>
    <s v="Christle David"/>
    <m/>
    <m/>
    <m/>
    <m/>
    <m/>
    <s v=""/>
    <s v=""/>
    <s v=""/>
    <s v=""/>
    <m/>
    <s v="MRF"/>
    <s v="OPERATIONAL"/>
    <s v="Technical Assistance"/>
    <m/>
  </r>
  <r>
    <x v="1"/>
    <x v="13"/>
    <s v="MBA"/>
    <s v="Mabini Proper (Pob.)"/>
    <n v="324"/>
    <n v="321"/>
    <s v="CONDUCTED TECHNICAL ASSISTANCE"/>
    <n v="2024"/>
    <s v="October 01, 2024"/>
    <x v="0"/>
    <s v="John-lester Signio"/>
    <m/>
    <s v="Christle David"/>
    <m/>
    <m/>
    <m/>
    <m/>
    <m/>
    <s v=""/>
    <s v=""/>
    <s v=""/>
    <s v=""/>
    <m/>
    <s v="MRF"/>
    <s v="OPERATIONAL"/>
    <s v="Technical Assistance"/>
    <m/>
  </r>
  <r>
    <x v="1"/>
    <x v="13"/>
    <s v="MBA"/>
    <s v="Padre Dandan (Pob.)"/>
    <n v="159"/>
    <n v="189"/>
    <s v="CONDUCTED TECHNICAL ASSISTANCE"/>
    <n v="2025"/>
    <d v="2025-09-16T00:00:00"/>
    <x v="7"/>
    <s v="John-lester Signio"/>
    <m/>
    <s v="Christle David"/>
    <s v="R3-2025-031502"/>
    <d v="2025-09-17T00:00:00"/>
    <m/>
    <d v="2025-09-17T00:00:00"/>
    <d v="2025-09-18T00:00:00"/>
    <n v="1"/>
    <s v=""/>
    <n v="1"/>
    <n v="1"/>
    <s v="Received by Planning"/>
    <s v="MRS"/>
    <s v="NON-OPERATIONAL"/>
    <s v="Technical Assistance"/>
    <m/>
  </r>
  <r>
    <x v="1"/>
    <x v="13"/>
    <s v="MBA"/>
    <s v="Magsaysay"/>
    <n v="1737"/>
    <n v="2103"/>
    <s v="CONDUCTED TECHNICAL ASSISTANCE"/>
    <n v="2025"/>
    <d v="2025-08-05T00:00:00"/>
    <x v="9"/>
    <s v="John-lester Signio"/>
    <m/>
    <s v="Christle David"/>
    <s v="R3-2025-026574"/>
    <d v="2025-08-11T00:00:00"/>
    <m/>
    <d v="2025-08-11T00:00:00"/>
    <d v="2025-08-13T00:00:00"/>
    <n v="4"/>
    <s v=""/>
    <n v="1"/>
    <n v="2"/>
    <s v="Received by Planning"/>
    <s v="MRS"/>
    <s v="NON-OPERATIONAL"/>
    <s v="Technical Assistance"/>
    <m/>
  </r>
  <r>
    <x v="1"/>
    <x v="13"/>
    <s v="MBA"/>
    <s v="Naparing"/>
    <n v="2705"/>
    <n v="3105"/>
    <s v="CONDUCTED TECHNICAL ASSISTANCE"/>
    <n v="2024"/>
    <s v="April 26, 2024"/>
    <x v="0"/>
    <s v="John-lester Signio"/>
    <m/>
    <s v="Christle David"/>
    <m/>
    <m/>
    <m/>
    <m/>
    <m/>
    <s v=""/>
    <s v=""/>
    <s v=""/>
    <s v=""/>
    <m/>
    <s v="MRF"/>
    <s v="OPERATIONAL"/>
    <s v="Technical Assistance"/>
    <m/>
  </r>
  <r>
    <x v="1"/>
    <x v="13"/>
    <s v="MBA"/>
    <s v="New San Jose"/>
    <n v="6012"/>
    <n v="6646"/>
    <s v="CONDUCTED TECHNICAL ASSISTANCE"/>
    <n v="2024"/>
    <s v="April 02, 2024"/>
    <x v="0"/>
    <s v="John-lester Signio"/>
    <m/>
    <s v="Christle David"/>
    <m/>
    <m/>
    <m/>
    <m/>
    <m/>
    <s v=""/>
    <s v=""/>
    <s v=""/>
    <s v=""/>
    <m/>
    <s v="MRF"/>
    <s v="NON-OPERATIONAL"/>
    <s v="Technical Assistance"/>
    <m/>
  </r>
  <r>
    <x v="1"/>
    <x v="13"/>
    <s v="MBA"/>
    <s v="Old San Jose"/>
    <n v="2421"/>
    <n v="2485"/>
    <s v="CONDUCTED TECHNICAL ASSISTANCE"/>
    <n v="2025"/>
    <d v="2025-02-27T00:00:00"/>
    <x v="1"/>
    <s v="John-lester Signio"/>
    <m/>
    <s v="Christle David"/>
    <s v="R3-2025-007071"/>
    <d v="2025-03-01T00:00:00"/>
    <m/>
    <d v="2025-03-03T00:00:00"/>
    <d v="2025-03-03T00:00:00"/>
    <n v="1"/>
    <s v=""/>
    <n v="1"/>
    <n v="1"/>
    <s v="Received by Planning"/>
    <s v="MRS"/>
    <s v="OPERATIONAL"/>
    <s v="Technical Assistance"/>
    <m/>
  </r>
  <r>
    <x v="1"/>
    <x v="13"/>
    <s v="MBA"/>
    <s v="Pagalanggang"/>
    <n v="3931"/>
    <n v="4214"/>
    <s v="CONDUCTED TECHNICAL ASSISTANCE"/>
    <n v="2024"/>
    <s v="April 22, 2024"/>
    <x v="0"/>
    <s v="John-lester Signio"/>
    <m/>
    <s v="Christle David"/>
    <m/>
    <m/>
    <m/>
    <m/>
    <m/>
    <s v=""/>
    <s v=""/>
    <s v=""/>
    <s v=""/>
    <m/>
    <s v="MRF"/>
    <s v="OPERATIONAL"/>
    <s v="Technical Assistance"/>
    <m/>
  </r>
  <r>
    <x v="1"/>
    <x v="13"/>
    <s v="MBA"/>
    <s v="Pag-asa"/>
    <n v="1981"/>
    <n v="2466"/>
    <s v="CONDUCTED TECHNICAL ASSISTANCE"/>
    <n v="2024"/>
    <s v="February 27, 2024"/>
    <x v="0"/>
    <s v="John-lester Signio"/>
    <m/>
    <s v="Christle David"/>
    <m/>
    <m/>
    <m/>
    <m/>
    <m/>
    <s v=""/>
    <s v=""/>
    <s v=""/>
    <s v=""/>
    <m/>
    <s v="MRF"/>
    <s v="OPERATIONAL"/>
    <s v="Technical Assistance"/>
    <m/>
  </r>
  <r>
    <x v="1"/>
    <x v="13"/>
    <s v="MBA"/>
    <s v="Payangan"/>
    <n v="770"/>
    <n v="888"/>
    <s v="CONDUCTED TECHNICAL ASSISTANCE"/>
    <n v="2024"/>
    <s v="June 04, 2024"/>
    <x v="0"/>
    <s v="John-lester Signio"/>
    <m/>
    <s v="Christle David"/>
    <m/>
    <m/>
    <m/>
    <m/>
    <m/>
    <s v=""/>
    <s v=""/>
    <s v=""/>
    <s v=""/>
    <m/>
    <s v="MRF"/>
    <s v="NON-OPERATIONAL"/>
    <s v="Technical Assistance"/>
    <m/>
  </r>
  <r>
    <x v="1"/>
    <x v="13"/>
    <s v="MBA"/>
    <s v="Pentor"/>
    <n v="3041"/>
    <n v="3283"/>
    <s v="CONDUCTED TECHNICAL ASSISTANCE"/>
    <n v="2024"/>
    <s v="August 13, 2024"/>
    <x v="0"/>
    <s v="John-lester Signio"/>
    <m/>
    <s v="Christle David"/>
    <m/>
    <m/>
    <m/>
    <m/>
    <m/>
    <s v=""/>
    <s v=""/>
    <s v=""/>
    <s v=""/>
    <m/>
    <s v="MRF"/>
    <s v="OPERATIONAL"/>
    <s v="Technical Assistance"/>
    <m/>
  </r>
  <r>
    <x v="1"/>
    <x v="13"/>
    <s v="MBA"/>
    <s v="Maligaya"/>
    <n v="1565"/>
    <n v="1953"/>
    <s v="CONDUCTED TECHNICAL ASSISTANCE"/>
    <n v="2025"/>
    <d v="2025-07-31T00:00:00"/>
    <x v="9"/>
    <s v="John-lester Signio"/>
    <m/>
    <s v="Christle David"/>
    <s v="R3-2025-025647"/>
    <d v="2025-08-04T00:00:00"/>
    <m/>
    <d v="2025-08-05T00:00:00"/>
    <d v="2025-08-05T00:00:00"/>
    <n v="2"/>
    <s v=""/>
    <n v="1"/>
    <n v="1"/>
    <s v="Received by Planning"/>
    <s v="MRS"/>
    <s v="NON-OPERATIONAL"/>
    <s v="Technical Assistance"/>
    <m/>
  </r>
  <r>
    <x v="1"/>
    <x v="13"/>
    <s v="MBA"/>
    <s v="Pita"/>
    <n v="3578"/>
    <n v="4080"/>
    <s v="CONDUCTED TECHNICAL ASSISTANCE"/>
    <n v="2024"/>
    <s v="March 14, 2024"/>
    <x v="0"/>
    <s v="John-lester Signio"/>
    <m/>
    <s v="Christle David"/>
    <m/>
    <m/>
    <m/>
    <m/>
    <m/>
    <s v=""/>
    <s v=""/>
    <s v=""/>
    <s v=""/>
    <m/>
    <s v="MRF"/>
    <s v="OPERATIONAL"/>
    <s v="Technical Assistance"/>
    <m/>
  </r>
  <r>
    <x v="1"/>
    <x v="13"/>
    <s v="MBA"/>
    <s v="Rizal (Pob.)"/>
    <n v="249"/>
    <n v="211"/>
    <s v="CONDUCTED TECHNICAL ASSISTANCE"/>
    <n v="2024"/>
    <s v="September 24, 2024"/>
    <x v="0"/>
    <s v="John-lester Signio"/>
    <m/>
    <s v="Christle David"/>
    <m/>
    <m/>
    <m/>
    <m/>
    <m/>
    <s v=""/>
    <s v=""/>
    <s v=""/>
    <s v=""/>
    <m/>
    <s v="MRS"/>
    <s v="OPERATIONAL"/>
    <s v="Technical Assistance"/>
    <m/>
  </r>
  <r>
    <x v="1"/>
    <x v="13"/>
    <s v="MBA"/>
    <s v="Roosevelt"/>
    <n v="9032"/>
    <n v="11011"/>
    <s v="CONDUCTED TECHNICAL ASSISTANCE"/>
    <n v="2024"/>
    <s v="May 09, 2024"/>
    <x v="0"/>
    <s v="John-lester Signio"/>
    <m/>
    <s v="Christle David"/>
    <m/>
    <m/>
    <m/>
    <m/>
    <m/>
    <s v=""/>
    <s v=""/>
    <s v=""/>
    <s v=""/>
    <m/>
    <s v="MRF"/>
    <s v="NON-OPERATIONAL"/>
    <s v="Technical Assistance"/>
    <m/>
  </r>
  <r>
    <x v="1"/>
    <x v="13"/>
    <s v="MBA"/>
    <s v="Roxas (Pob.)"/>
    <n v="293"/>
    <n v="272"/>
    <s v="CONDUCTED TECHNICAL ASSISTANCE"/>
    <n v="2025"/>
    <d v="2025-05-15T00:00:00"/>
    <x v="6"/>
    <s v="John-lester Signio"/>
    <m/>
    <s v="Christle David"/>
    <s v="R3-2025-016601"/>
    <d v="2025-05-19T00:00:00"/>
    <m/>
    <d v="2025-05-19T00:00:00"/>
    <d v="2025-05-20T00:00:00"/>
    <n v="2"/>
    <s v=""/>
    <n v="1"/>
    <n v="1"/>
    <s v="Received by Planning"/>
    <s v="MRS"/>
    <s v="OPERATIONAL"/>
    <s v="Technical Assistance"/>
    <m/>
  </r>
  <r>
    <x v="1"/>
    <x v="13"/>
    <s v="MBA"/>
    <s v="Saguing"/>
    <n v="4455"/>
    <n v="5192"/>
    <s v="CONDUCTED TECHNICAL ASSISTANCE"/>
    <n v="2025"/>
    <d v="2025-05-07T00:00:00"/>
    <x v="6"/>
    <s v="John-lester Signio"/>
    <m/>
    <s v="Christle David"/>
    <s v="R3-2025-015576"/>
    <d v="2025-05-12T00:00:00"/>
    <m/>
    <d v="2025-05-12T00:00:00"/>
    <d v="2025-05-14T00:00:00"/>
    <n v="3"/>
    <s v=""/>
    <n v="1"/>
    <n v="2"/>
    <s v="Received by Planning"/>
    <s v="MRS"/>
    <s v="NON-OPERATIONAL"/>
    <s v="Technical Assistance"/>
    <m/>
  </r>
  <r>
    <x v="1"/>
    <x v="13"/>
    <s v="MBA"/>
    <s v="Pinulot"/>
    <n v="4159"/>
    <n v="4555"/>
    <s v="CONDUCTED TECHNICAL ASSISTANCE"/>
    <n v="2025"/>
    <d v="2025-07-01T00:00:00"/>
    <x v="8"/>
    <s v="John-lester Signio"/>
    <m/>
    <s v="Christle David"/>
    <s v="R3-2025-022302"/>
    <d v="2025-07-07T00:00:00"/>
    <m/>
    <d v="2025-07-07T00:00:00"/>
    <d v="2025-07-09T00:00:00"/>
    <n v="4"/>
    <s v=""/>
    <n v="1"/>
    <n v="2"/>
    <s v="Received by Planning"/>
    <s v="MRS"/>
    <s v="OPERATIONAL"/>
    <s v="Technical Assistance"/>
    <m/>
  </r>
  <r>
    <x v="1"/>
    <x v="13"/>
    <s v="MBA"/>
    <s v="San Isidro (Pob.)"/>
    <n v="983"/>
    <n v="899"/>
    <s v="CONDUCTED TECHNICAL ASSISTANCE"/>
    <n v="2024"/>
    <s v="August 20, 2024"/>
    <x v="0"/>
    <s v="John-lester Signio"/>
    <m/>
    <s v="Christle David"/>
    <m/>
    <m/>
    <m/>
    <m/>
    <m/>
    <s v=""/>
    <s v=""/>
    <s v=""/>
    <s v=""/>
    <m/>
    <s v="MRF"/>
    <s v="OPERATIONAL"/>
    <s v="Technical Assistance"/>
    <m/>
  </r>
  <r>
    <x v="1"/>
    <x v="13"/>
    <s v="MBA"/>
    <s v="San Pablo"/>
    <n v="5942"/>
    <n v="7735"/>
    <s v="CONDUCTED TECHNICAL ASSISTANCE"/>
    <n v="2024"/>
    <s v="May 29, 2024"/>
    <x v="0"/>
    <s v="John-lester Signio"/>
    <m/>
    <s v="Christle David"/>
    <m/>
    <m/>
    <m/>
    <m/>
    <m/>
    <s v=""/>
    <s v=""/>
    <s v=""/>
    <s v=""/>
    <m/>
    <s v="MRF"/>
    <s v="OPERATIONAL"/>
    <s v="Technical Assistance"/>
    <m/>
  </r>
  <r>
    <x v="1"/>
    <x v="13"/>
    <s v="MBA"/>
    <s v="San Ramon"/>
    <n v="3904"/>
    <n v="3784"/>
    <s v="CONDUCTED TECHNICAL ASSISTANCE"/>
    <n v="2024"/>
    <d v="2024-10-16T00:00:00"/>
    <x v="0"/>
    <s v="John-lester Signio"/>
    <m/>
    <s v="Christle David"/>
    <m/>
    <m/>
    <m/>
    <m/>
    <m/>
    <s v=""/>
    <s v=""/>
    <s v=""/>
    <s v=""/>
    <m/>
    <s v="MRF"/>
    <s v="OPERATIONAL"/>
    <s v="Technical Assistance"/>
    <m/>
  </r>
  <r>
    <x v="1"/>
    <x v="13"/>
    <s v="MBA"/>
    <s v="San Simon"/>
    <n v="1800"/>
    <n v="1890"/>
    <s v="CONDUCTED TECHNICAL ASSISTANCE"/>
    <n v="2024"/>
    <s v="April 22, 2024"/>
    <x v="0"/>
    <s v="John-lester Signio"/>
    <m/>
    <s v="Christle David"/>
    <m/>
    <m/>
    <m/>
    <m/>
    <m/>
    <s v=""/>
    <s v=""/>
    <s v=""/>
    <s v=""/>
    <m/>
    <s v="MRF"/>
    <s v="NON-OPERATIONAL"/>
    <s v="Technical Assistance"/>
    <m/>
  </r>
  <r>
    <x v="1"/>
    <x v="13"/>
    <s v="MBA"/>
    <s v="Santa Isabel"/>
    <n v="2412"/>
    <n v="2699"/>
    <s v="CONDUCTED TECHNICAL ASSISTANCE"/>
    <n v="2025"/>
    <d v="2025-06-03T00:00:00"/>
    <x v="10"/>
    <s v="John-lester Signio"/>
    <m/>
    <s v="Christle David"/>
    <s v="R3-2025-018855"/>
    <d v="2025-06-07T00:00:00"/>
    <m/>
    <d v="2025-06-07T00:00:00"/>
    <d v="2025-06-09T00:00:00"/>
    <n v="3"/>
    <s v=""/>
    <n v="1"/>
    <n v="1"/>
    <s v="Received by Planning"/>
    <s v="MRS"/>
    <s v="OPERATIONAL"/>
    <s v="Technical Assistance"/>
    <m/>
  </r>
  <r>
    <x v="1"/>
    <x v="13"/>
    <s v="MBA"/>
    <s v="Santo Niño"/>
    <n v="3190"/>
    <n v="3478"/>
    <s v="CONDUCTED TECHNICAL ASSISTANCE"/>
    <n v="2024"/>
    <s v="March 27, 2024"/>
    <x v="0"/>
    <s v="John-lester Signio"/>
    <m/>
    <s v="Christle David"/>
    <m/>
    <m/>
    <m/>
    <m/>
    <m/>
    <s v=""/>
    <s v=""/>
    <s v=""/>
    <s v=""/>
    <m/>
    <s v="MRF"/>
    <s v="NON-OPERATIONAL"/>
    <s v="Technical Assistance"/>
    <m/>
  </r>
  <r>
    <x v="1"/>
    <x v="13"/>
    <s v="MBA"/>
    <s v="San Benito"/>
    <n v="2739"/>
    <n v="2953"/>
    <s v="CONDUCTED TECHNICAL ASSISTANCE"/>
    <n v="2025"/>
    <d v="2025-10-07T00:00:00"/>
    <x v="5"/>
    <s v="John-lester Signio"/>
    <m/>
    <s v="Christle David"/>
    <s v="R3-2025-034104"/>
    <d v="2025-10-10T00:00:00"/>
    <m/>
    <d v="2025-10-10T00:00:00"/>
    <d v="2025-10-15T00:00:00"/>
    <n v="3"/>
    <s v=""/>
    <n v="1"/>
    <n v="3"/>
    <s v="Received by Planning"/>
    <s v="MRS"/>
    <s v="NON-OPERATIONAL"/>
    <s v="Technical Assistance"/>
    <m/>
  </r>
  <r>
    <x v="1"/>
    <x v="13"/>
    <s v="MBA"/>
    <s v="Torres Bugauen (Pob.)"/>
    <n v="915"/>
    <n v="858"/>
    <s v="CONDUCTED TECHNICAL ASSISTANCE"/>
    <n v="2025"/>
    <d v="2025-06-10T00:00:00"/>
    <x v="10"/>
    <s v="John-lester Signio"/>
    <m/>
    <s v="Christle David"/>
    <s v="R3-2025-019599"/>
    <d v="2025-06-14T00:00:00"/>
    <m/>
    <d v="2025-06-16T00:00:00"/>
    <d v="2025-06-16T00:00:00"/>
    <n v="3"/>
    <s v=""/>
    <n v="1"/>
    <n v="1"/>
    <s v="Received by Planning"/>
    <s v="MRS"/>
    <s v="OPERATIONAL"/>
    <s v="Technical Assistance"/>
    <m/>
  </r>
  <r>
    <x v="1"/>
    <x v="13"/>
    <s v="MBA"/>
    <s v="Tubo-tubo"/>
    <n v="549"/>
    <n v="856"/>
    <s v="CONDUCTED TECHNICAL ASSISTANCE"/>
    <n v="2024"/>
    <s v="June 27, 2024"/>
    <x v="0"/>
    <s v="John-lester Signio"/>
    <m/>
    <s v="Christle David"/>
    <m/>
    <m/>
    <m/>
    <m/>
    <m/>
    <s v=""/>
    <s v=""/>
    <s v=""/>
    <s v=""/>
    <m/>
    <s v="MRF"/>
    <s v="NON-OPERATIONAL"/>
    <s v="Technical Assistance"/>
    <m/>
  </r>
  <r>
    <x v="1"/>
    <x v="13"/>
    <s v="MBA"/>
    <s v="Tucop"/>
    <n v="4284"/>
    <n v="4580"/>
    <s v="CONDUCTED TECHNICAL ASSISTANCE"/>
    <n v="2024"/>
    <s v="March 07, 2024"/>
    <x v="0"/>
    <s v="John-lester Signio"/>
    <m/>
    <s v="Christle David"/>
    <m/>
    <m/>
    <m/>
    <m/>
    <m/>
    <s v=""/>
    <s v=""/>
    <s v=""/>
    <s v=""/>
    <m/>
    <s v="MRF"/>
    <s v="OPERATIONAL"/>
    <s v="Technical Assistance"/>
    <m/>
  </r>
  <r>
    <x v="1"/>
    <x v="13"/>
    <s v="MBA"/>
    <s v="Zamora (Pob.)"/>
    <n v="356"/>
    <n v="372"/>
    <s v="CONDUCTED TECHNICAL ASSISTANCE"/>
    <n v="2024"/>
    <s v="September 10, 2024"/>
    <x v="0"/>
    <s v="John-lester Signio"/>
    <m/>
    <s v="Christle David"/>
    <m/>
    <m/>
    <m/>
    <m/>
    <m/>
    <s v=""/>
    <s v=""/>
    <s v=""/>
    <s v=""/>
    <m/>
    <s v="MRF"/>
    <s v="NON-OPERATIONAL"/>
    <s v="Technical Assistance"/>
    <m/>
  </r>
  <r>
    <x v="1"/>
    <x v="14"/>
    <s v="MBA"/>
    <s v="A. Rivera (Pob.)"/>
    <n v="1675"/>
    <n v="1705"/>
    <s v="CONDUCTED TECHNICAL ASSISTANCE"/>
    <n v="2024"/>
    <s v="March 08, 2024"/>
    <x v="0"/>
    <s v="John-lester Signio"/>
    <m/>
    <s v="Christle David"/>
    <m/>
    <m/>
    <m/>
    <m/>
    <m/>
    <s v=""/>
    <s v=""/>
    <s v=""/>
    <s v=""/>
    <m/>
    <s v="MRF"/>
    <s v="OPERATIONAL"/>
    <s v="Technical Assistance"/>
    <m/>
  </r>
  <r>
    <x v="1"/>
    <x v="14"/>
    <s v="MBA"/>
    <s v="Almacen"/>
    <n v="2175"/>
    <n v="2176"/>
    <s v="CONDUCTED TECHNICAL ASSISTANCE"/>
    <n v="2024"/>
    <s v="April 19, 2024"/>
    <x v="0"/>
    <s v="John-lester Signio"/>
    <m/>
    <s v="Christle David"/>
    <m/>
    <m/>
    <m/>
    <m/>
    <m/>
    <s v=""/>
    <s v=""/>
    <s v=""/>
    <s v=""/>
    <m/>
    <s v="MRF"/>
    <s v="OPERATIONAL"/>
    <s v="Technical Assistance"/>
    <m/>
  </r>
  <r>
    <x v="1"/>
    <x v="14"/>
    <s v="MBA"/>
    <s v="Bacong"/>
    <n v="2828"/>
    <n v="3117"/>
    <s v="CONDUCTED TECHNICAL ASSISTANCE"/>
    <n v="2024"/>
    <s v="June 21, 2024"/>
    <x v="0"/>
    <s v="John-lester Signio"/>
    <m/>
    <s v="Christle David"/>
    <m/>
    <m/>
    <m/>
    <m/>
    <m/>
    <s v=""/>
    <s v=""/>
    <s v=""/>
    <s v=""/>
    <m/>
    <s v="MRF"/>
    <s v="OPERATIONAL"/>
    <s v="Technical Assistance"/>
    <m/>
  </r>
  <r>
    <x v="1"/>
    <x v="14"/>
    <s v="MBA"/>
    <s v="Balsic"/>
    <n v="6594"/>
    <n v="7840"/>
    <s v="CONDUCTED TECHNICAL ASSISTANCE"/>
    <n v="2024"/>
    <s v="May 23, 2024"/>
    <x v="0"/>
    <s v="John-lester Signio"/>
    <m/>
    <s v="Christle David"/>
    <m/>
    <m/>
    <m/>
    <m/>
    <m/>
    <s v=""/>
    <s v=""/>
    <s v=""/>
    <s v=""/>
    <m/>
    <m/>
    <m/>
    <s v="Technical Assistance"/>
    <m/>
  </r>
  <r>
    <x v="1"/>
    <x v="14"/>
    <s v="MBA"/>
    <s v="Bamban"/>
    <n v="2379"/>
    <n v="2613"/>
    <s v="CONDUCTED TECHNICAL ASSISTANCE"/>
    <n v="2024"/>
    <s v="May 30, 2024"/>
    <x v="0"/>
    <s v="John-lester Signio"/>
    <m/>
    <s v="Christle David"/>
    <m/>
    <m/>
    <m/>
    <m/>
    <m/>
    <s v=""/>
    <s v=""/>
    <s v=""/>
    <s v=""/>
    <m/>
    <s v="MRF"/>
    <s v="OPERATIONAL"/>
    <s v="Technical Assistance"/>
    <m/>
  </r>
  <r>
    <x v="1"/>
    <x v="14"/>
    <s v="MBA"/>
    <s v="Burgos-Soliman (Pob.)"/>
    <n v="556"/>
    <n v="437"/>
    <s v="CONDUCTED TECHNICAL ASSISTANCE"/>
    <n v="2024"/>
    <s v="March 13, 2024"/>
    <x v="0"/>
    <s v="John-lester Signio"/>
    <m/>
    <s v="Christle David"/>
    <m/>
    <m/>
    <m/>
    <m/>
    <m/>
    <s v=""/>
    <s v=""/>
    <s v=""/>
    <s v=""/>
    <m/>
    <s v="MRF"/>
    <s v="OPERATIONAL"/>
    <s v="Technical Assistance"/>
    <m/>
  </r>
  <r>
    <x v="1"/>
    <x v="14"/>
    <s v="MBA"/>
    <s v="Cataning (Pob.)"/>
    <n v="3018"/>
    <n v="3000"/>
    <s v="CONDUCTED TECHNICAL ASSISTANCE"/>
    <n v="2024"/>
    <s v="February 29, 2024"/>
    <x v="0"/>
    <s v="John-lester Signio"/>
    <m/>
    <s v="Christle David"/>
    <m/>
    <m/>
    <m/>
    <m/>
    <m/>
    <s v=""/>
    <s v=""/>
    <s v=""/>
    <s v=""/>
    <m/>
    <s v="MRF"/>
    <s v="OPERATIONAL"/>
    <s v="Technical Assistance"/>
    <m/>
  </r>
  <r>
    <x v="1"/>
    <x v="14"/>
    <s v="MBA"/>
    <s v="Culis"/>
    <n v="8610"/>
    <n v="10322"/>
    <s v="CONDUCTED TECHNICAL ASSISTANCE"/>
    <n v="2024"/>
    <s v="February 23, 2024"/>
    <x v="0"/>
    <s v="John-lester Signio"/>
    <m/>
    <s v="Christle David"/>
    <m/>
    <m/>
    <m/>
    <m/>
    <m/>
    <s v=""/>
    <s v=""/>
    <s v=""/>
    <s v=""/>
    <m/>
    <s v="MRF"/>
    <s v="OPERATIONAL"/>
    <s v="Technical Assistance"/>
    <m/>
  </r>
  <r>
    <x v="1"/>
    <x v="14"/>
    <s v="MBA"/>
    <s v="Daungan (Pob.)"/>
    <n v="962"/>
    <n v="943"/>
    <s v="CONDUCTED TECHNICAL ASSISTANCE"/>
    <n v="2024"/>
    <s v="May 08, 2024"/>
    <x v="0"/>
    <s v="John-lester Signio"/>
    <m/>
    <s v="Christle David"/>
    <m/>
    <m/>
    <m/>
    <m/>
    <m/>
    <s v=""/>
    <s v=""/>
    <s v=""/>
    <s v=""/>
    <m/>
    <s v="MRF"/>
    <s v="OPERATIONAL"/>
    <s v="Technical Assistance"/>
    <m/>
  </r>
  <r>
    <x v="1"/>
    <x v="14"/>
    <s v="MBA"/>
    <s v="Judge Roman Cruz Sr. (Mandama)"/>
    <n v="3816"/>
    <n v="4544"/>
    <s v="CONDUCTED TECHNICAL ASSISTANCE"/>
    <n v="2024"/>
    <s v="February 29, 2024"/>
    <x v="0"/>
    <s v="John-lester Signio"/>
    <m/>
    <s v="Christle David"/>
    <m/>
    <m/>
    <m/>
    <m/>
    <m/>
    <s v=""/>
    <s v=""/>
    <s v=""/>
    <s v=""/>
    <m/>
    <s v="MRF"/>
    <s v="OPERATIONAL"/>
    <s v="Technical Assistance"/>
    <m/>
  </r>
  <r>
    <x v="1"/>
    <x v="14"/>
    <s v="MBA"/>
    <s v="Mabiga"/>
    <n v="2902"/>
    <n v="3287"/>
    <s v="CONDUCTED TECHNICAL ASSISTANCE"/>
    <n v="2024"/>
    <s v="June 25, 2024"/>
    <x v="0"/>
    <s v="John-lester Signio"/>
    <m/>
    <s v="Christle David"/>
    <m/>
    <m/>
    <m/>
    <m/>
    <m/>
    <s v=""/>
    <s v=""/>
    <s v=""/>
    <s v=""/>
    <m/>
    <s v="MRF"/>
    <s v="OPERATIONAL"/>
    <s v="Technical Assistance"/>
    <m/>
  </r>
  <r>
    <x v="1"/>
    <x v="14"/>
    <s v="MBA"/>
    <s v="Mabuco"/>
    <n v="3238"/>
    <n v="5496"/>
    <s v="CONDUCTED TECHNICAL ASSISTANCE"/>
    <n v="2024"/>
    <s v="March 22, 2024"/>
    <x v="0"/>
    <s v="John-lester Signio"/>
    <m/>
    <s v="Christle David"/>
    <m/>
    <m/>
    <m/>
    <m/>
    <m/>
    <s v=""/>
    <s v=""/>
    <s v=""/>
    <s v=""/>
    <m/>
    <s v="MRF"/>
    <s v="OPERATIONAL"/>
    <s v="Technical Assistance"/>
    <m/>
  </r>
  <r>
    <x v="1"/>
    <x v="14"/>
    <s v="MBA"/>
    <s v="Maite"/>
    <n v="1706"/>
    <n v="2025"/>
    <s v="CONDUCTED TECHNICAL ASSISTANCE"/>
    <n v="2024"/>
    <s v="August 14, 2024"/>
    <x v="0"/>
    <s v="John-lester Signio"/>
    <m/>
    <s v="Christle David"/>
    <m/>
    <m/>
    <m/>
    <m/>
    <m/>
    <s v=""/>
    <s v=""/>
    <s v=""/>
    <s v=""/>
    <m/>
    <s v="MRF"/>
    <s v="OPERATIONAL"/>
    <s v="Technical Assistance"/>
    <m/>
  </r>
  <r>
    <x v="1"/>
    <x v="14"/>
    <s v="MBA"/>
    <s v="Mambog - Mandama"/>
    <n v="2922"/>
    <n v="3699"/>
    <s v="CONDUCTED TECHNICAL ASSISTANCE"/>
    <n v="2024"/>
    <s v="May 16, 2024"/>
    <x v="0"/>
    <s v="John-lester Signio"/>
    <m/>
    <s v="Christle David"/>
    <m/>
    <m/>
    <m/>
    <m/>
    <m/>
    <s v=""/>
    <s v=""/>
    <s v=""/>
    <s v=""/>
    <m/>
    <s v="MRF"/>
    <s v="OPERATIONAL"/>
    <s v="Technical Assistance"/>
    <m/>
  </r>
  <r>
    <x v="1"/>
    <x v="14"/>
    <s v="MBA"/>
    <s v="Palihan"/>
    <n v="6129"/>
    <n v="6556"/>
    <s v="CONDUCTED TECHNICAL ASSISTANCE"/>
    <n v="2024"/>
    <s v="February 23, 2024"/>
    <x v="0"/>
    <s v="John-lester Signio"/>
    <m/>
    <s v="Christle David"/>
    <m/>
    <m/>
    <m/>
    <m/>
    <m/>
    <s v=""/>
    <s v=""/>
    <s v=""/>
    <s v=""/>
    <m/>
    <s v="MRF"/>
    <s v="OPERATIONAL"/>
    <s v="Technical Assistance"/>
    <m/>
  </r>
  <r>
    <x v="1"/>
    <x v="14"/>
    <s v="MBA"/>
    <s v="Pandatung"/>
    <n v="2048"/>
    <n v="2421"/>
    <s v="CONDUCTED TECHNICAL ASSISTANCE"/>
    <n v="2024"/>
    <s v="July 12, 2024"/>
    <x v="0"/>
    <s v="John-lester Signio"/>
    <m/>
    <s v="Christle David"/>
    <m/>
    <m/>
    <m/>
    <m/>
    <m/>
    <s v=""/>
    <s v=""/>
    <s v=""/>
    <s v=""/>
    <m/>
    <s v="MRF"/>
    <s v="OPERATIONAL"/>
    <s v="Technical Assistance"/>
    <m/>
  </r>
  <r>
    <x v="1"/>
    <x v="14"/>
    <s v="MBA"/>
    <s v="Pulo"/>
    <n v="579"/>
    <n v="631"/>
    <s v="CONDUCTED TECHNICAL ASSISTANCE"/>
    <n v="2024"/>
    <s v="June 05, 2024"/>
    <x v="0"/>
    <s v="John-lester Signio"/>
    <m/>
    <s v="Christle David"/>
    <m/>
    <m/>
    <m/>
    <m/>
    <m/>
    <s v=""/>
    <s v=""/>
    <s v=""/>
    <s v=""/>
    <m/>
    <s v="MRF"/>
    <s v="OPERATIONAL"/>
    <s v="Technical Assistance"/>
    <m/>
  </r>
  <r>
    <x v="1"/>
    <x v="14"/>
    <s v="MBA"/>
    <s v="Saba"/>
    <n v="1875"/>
    <n v="2151"/>
    <s v="CONDUCTED TECHNICAL ASSISTANCE"/>
    <n v="2024"/>
    <s v="June 14, 2024"/>
    <x v="0"/>
    <s v="John-lester Signio"/>
    <m/>
    <s v="Christle David"/>
    <m/>
    <m/>
    <m/>
    <m/>
    <m/>
    <s v=""/>
    <s v=""/>
    <s v=""/>
    <s v=""/>
    <m/>
    <s v="MRF"/>
    <s v="OPERATIONAL"/>
    <s v="Technical Assistance"/>
    <m/>
  </r>
  <r>
    <x v="1"/>
    <x v="14"/>
    <s v="MBA"/>
    <s v="Sacrifice Valley"/>
    <n v="1248"/>
    <n v="1746"/>
    <s v="CONDUCTED TECHNICAL ASSISTANCE"/>
    <n v="2024"/>
    <s v="July 02, 2024"/>
    <x v="0"/>
    <s v="John-lester Signio"/>
    <m/>
    <s v="Christle David"/>
    <m/>
    <m/>
    <m/>
    <m/>
    <m/>
    <s v=""/>
    <s v=""/>
    <s v=""/>
    <s v=""/>
    <m/>
    <s v="MRF"/>
    <s v="OPERATIONAL"/>
    <s v="Technical Assistance"/>
    <m/>
  </r>
  <r>
    <x v="1"/>
    <x v="14"/>
    <s v="MBA"/>
    <s v="San Pedro (Pob.)"/>
    <n v="2318"/>
    <n v="2324"/>
    <s v="CONDUCTED TECHNICAL ASSISTANCE"/>
    <n v="2024"/>
    <s v="April 03, 2024"/>
    <x v="0"/>
    <s v="John-lester Signio"/>
    <m/>
    <s v="Christle David"/>
    <m/>
    <m/>
    <m/>
    <m/>
    <m/>
    <s v=""/>
    <s v=""/>
    <s v=""/>
    <s v=""/>
    <m/>
    <s v="MRF"/>
    <s v="OPERATIONAL"/>
    <s v="Technical Assistance"/>
    <m/>
  </r>
  <r>
    <x v="1"/>
    <x v="14"/>
    <s v="MBA"/>
    <s v="Santo Cristo (Pob.)"/>
    <n v="896"/>
    <n v="896"/>
    <s v="CONDUCTED TECHNICAL ASSISTANCE"/>
    <n v="2024"/>
    <s v="Aparil 23, 2024"/>
    <x v="0"/>
    <s v="John-lester Signio"/>
    <m/>
    <s v="Christle David"/>
    <m/>
    <m/>
    <m/>
    <m/>
    <m/>
    <s v=""/>
    <s v=""/>
    <s v=""/>
    <s v=""/>
    <m/>
    <m/>
    <m/>
    <s v="Technical Assistance"/>
    <m/>
  </r>
  <r>
    <x v="1"/>
    <x v="14"/>
    <s v="MBA"/>
    <s v="Sumalo"/>
    <n v="1923"/>
    <n v="2640"/>
    <s v="CONDUCTED TECHNICAL ASSISTANCE"/>
    <n v="2024"/>
    <s v="August 08, 2024"/>
    <x v="0"/>
    <s v="John-lester Signio"/>
    <m/>
    <s v="Christle David"/>
    <m/>
    <m/>
    <m/>
    <m/>
    <m/>
    <s v=""/>
    <s v=""/>
    <s v=""/>
    <s v=""/>
    <m/>
    <s v="MRF"/>
    <s v="OPERATIONAL"/>
    <s v="Technical Assistance"/>
    <m/>
  </r>
  <r>
    <x v="1"/>
    <x v="14"/>
    <s v="MBA"/>
    <s v="Tipo"/>
    <n v="5465"/>
    <n v="6874"/>
    <s v="CONDUCTED TECHNICAL ASSISTANCE"/>
    <n v="2024"/>
    <s v="August 14, 2024"/>
    <x v="0"/>
    <s v="John-lester Signio"/>
    <m/>
    <s v="Christle David"/>
    <m/>
    <m/>
    <m/>
    <m/>
    <m/>
    <s v=""/>
    <s v=""/>
    <s v=""/>
    <s v=""/>
    <m/>
    <s v="MRF"/>
    <s v="OPERATIONAL"/>
    <s v="Technical Assistance"/>
    <m/>
  </r>
  <r>
    <x v="1"/>
    <x v="15"/>
    <s v="MBA"/>
    <s v="Alangan"/>
    <n v="5803"/>
    <n v="6869"/>
    <s v="CONDUCTED TECHNICAL ASSISTANCE"/>
    <n v="2024"/>
    <s v="March 07, 2024"/>
    <x v="0"/>
    <s v="Dennis Tolentino"/>
    <m/>
    <s v="Christle David"/>
    <m/>
    <m/>
    <m/>
    <m/>
    <m/>
    <s v=""/>
    <s v=""/>
    <s v=""/>
    <s v=""/>
    <m/>
    <s v="MRF"/>
    <s v="OPERATIONAL"/>
    <s v="Technical Assistance"/>
    <m/>
  </r>
  <r>
    <x v="1"/>
    <x v="15"/>
    <s v="MBA"/>
    <s v="Duale"/>
    <n v="7358"/>
    <n v="8905"/>
    <s v="CONDUCTED TECHNICAL ASSISTANCE"/>
    <n v="2024"/>
    <s v="March 07, 2024"/>
    <x v="0"/>
    <s v="Dennis Tolentino"/>
    <m/>
    <s v="Christle David"/>
    <m/>
    <m/>
    <m/>
    <m/>
    <m/>
    <s v=""/>
    <s v=""/>
    <s v=""/>
    <s v=""/>
    <m/>
    <s v="MRF"/>
    <s v="OPERATIONAL"/>
    <s v="Technical Assistance"/>
    <m/>
  </r>
  <r>
    <x v="1"/>
    <x v="15"/>
    <s v="MBA"/>
    <s v="Kitang 2 &amp; Luz"/>
    <n v="4777"/>
    <n v="6141"/>
    <s v="CONDUCTED TECHNICAL ASSISTANCE"/>
    <n v="2024"/>
    <s v="April 05, 2024"/>
    <x v="0"/>
    <s v="Dennis Tolentino"/>
    <m/>
    <s v="Christle David"/>
    <m/>
    <m/>
    <m/>
    <m/>
    <m/>
    <s v=""/>
    <s v=""/>
    <s v=""/>
    <s v=""/>
    <m/>
    <s v="MRF"/>
    <s v="OPERATIONAL"/>
    <s v="Technical Assistance"/>
    <m/>
  </r>
  <r>
    <x v="1"/>
    <x v="15"/>
    <s v="MBA"/>
    <s v="Kitang I"/>
    <n v="1930"/>
    <n v="2089"/>
    <s v="CONDUCTED TECHNICAL ASSISTANCE"/>
    <n v="2024"/>
    <s v="September 06, 2024"/>
    <x v="0"/>
    <s v="Dennis Tolentino"/>
    <m/>
    <s v="Christle David"/>
    <m/>
    <m/>
    <m/>
    <m/>
    <m/>
    <s v=""/>
    <s v=""/>
    <s v=""/>
    <s v=""/>
    <m/>
    <s v="MRF"/>
    <s v="OPERATIONAL"/>
    <s v="Technical Assistance"/>
    <m/>
  </r>
  <r>
    <x v="1"/>
    <x v="15"/>
    <s v="MBA"/>
    <s v="Lamao"/>
    <n v="19329"/>
    <n v="19946"/>
    <s v="CONDUCTED TECHNICAL ASSISTANCE"/>
    <n v="2024"/>
    <s v="March 07, 2024"/>
    <x v="0"/>
    <s v="Dennis Tolentino"/>
    <m/>
    <s v="Christle David"/>
    <m/>
    <m/>
    <m/>
    <m/>
    <m/>
    <s v=""/>
    <s v=""/>
    <s v=""/>
    <s v=""/>
    <m/>
    <s v="MRF"/>
    <s v="OPERATIONAL"/>
    <s v="Technical Assistance"/>
    <m/>
  </r>
  <r>
    <x v="1"/>
    <x v="15"/>
    <s v="MBA"/>
    <s v="Landing"/>
    <n v="3209"/>
    <n v="3191"/>
    <s v="CONDUCTED TECHNICAL ASSISTANCE"/>
    <n v="2024"/>
    <s v="August 09, 2024"/>
    <x v="0"/>
    <s v="Dennis Tolentino"/>
    <m/>
    <s v="Christle David"/>
    <m/>
    <m/>
    <m/>
    <m/>
    <m/>
    <s v=""/>
    <s v=""/>
    <s v=""/>
    <s v=""/>
    <m/>
    <s v="MRF"/>
    <s v="OPERATIONAL"/>
    <s v="Technical Assistance"/>
    <m/>
  </r>
  <r>
    <x v="1"/>
    <x v="15"/>
    <s v="MBA"/>
    <s v="Poblacion"/>
    <n v="701"/>
    <n v="653"/>
    <s v="CONDUCTED TECHNICAL ASSISTANCE"/>
    <n v="2024"/>
    <s v="April 19, 2024"/>
    <x v="0"/>
    <s v="Dennis Tolentino"/>
    <m/>
    <s v="Christle David"/>
    <m/>
    <m/>
    <m/>
    <m/>
    <m/>
    <s v=""/>
    <s v=""/>
    <s v=""/>
    <s v=""/>
    <m/>
    <s v="MRF"/>
    <s v="OPERATIONAL"/>
    <s v="Technical Assistance"/>
    <m/>
  </r>
  <r>
    <x v="1"/>
    <x v="15"/>
    <s v="MBA"/>
    <s v="Reformista"/>
    <n v="4711"/>
    <n v="5169"/>
    <s v="CONDUCTED TECHNICAL ASSISTANCE"/>
    <n v="2024"/>
    <s v="June 28, 2024"/>
    <x v="0"/>
    <s v="Dennis Tolentino"/>
    <m/>
    <s v="Christle David"/>
    <m/>
    <m/>
    <m/>
    <m/>
    <m/>
    <s v=""/>
    <s v=""/>
    <s v=""/>
    <s v=""/>
    <m/>
    <s v="MRF"/>
    <s v="OPERATIONAL"/>
    <s v="Technical Assistance"/>
    <m/>
  </r>
  <r>
    <x v="1"/>
    <x v="15"/>
    <s v="MBA"/>
    <s v="San Francisco de Asis"/>
    <n v="5900"/>
    <n v="6290"/>
    <s v="CONDUCTED TECHNICAL ASSISTANCE"/>
    <n v="2024"/>
    <s v="June 21, 2024"/>
    <x v="0"/>
    <s v="Dennis Tolentino"/>
    <m/>
    <s v="Christle David"/>
    <m/>
    <m/>
    <m/>
    <m/>
    <m/>
    <s v=""/>
    <s v=""/>
    <s v=""/>
    <s v=""/>
    <m/>
    <s v="MRS"/>
    <s v="OPERATIONAL"/>
    <s v="Technical Assistance"/>
    <m/>
  </r>
  <r>
    <x v="1"/>
    <x v="15"/>
    <s v="MBA"/>
    <s v="St. Francis II"/>
    <n v="8615"/>
    <n v="12852"/>
    <s v="CONDUCTED TECHNICAL ASSISTANCE"/>
    <n v="2024"/>
    <s v="March 13, 2024"/>
    <x v="0"/>
    <s v="Dennis Tolentino"/>
    <m/>
    <s v="Christle David"/>
    <m/>
    <m/>
    <m/>
    <m/>
    <m/>
    <s v=""/>
    <s v=""/>
    <s v=""/>
    <s v=""/>
    <m/>
    <s v="MRS"/>
    <s v="OPERATIONAL"/>
    <s v="Technical Assistance"/>
    <m/>
  </r>
  <r>
    <x v="1"/>
    <x v="15"/>
    <s v="MBA"/>
    <s v="Townsite"/>
    <n v="5178"/>
    <n v="5623"/>
    <s v="CONDUCTED TECHNICAL ASSISTANCE"/>
    <n v="2024"/>
    <s v="June 04, 2024"/>
    <x v="0"/>
    <s v="Dennis Tolentino"/>
    <m/>
    <s v="Christle David"/>
    <m/>
    <m/>
    <m/>
    <m/>
    <m/>
    <s v=""/>
    <s v=""/>
    <s v=""/>
    <s v=""/>
    <m/>
    <s v="MRF"/>
    <s v="OPERATIONAL"/>
    <s v="Technical Assistance"/>
    <m/>
  </r>
  <r>
    <x v="1"/>
    <x v="15"/>
    <s v="MBA"/>
    <s v="Wawa"/>
    <n v="560"/>
    <n v="544"/>
    <s v="CONDUCTED TECHNICAL ASSISTANCE"/>
    <n v="2024"/>
    <s v="August 30, 2024"/>
    <x v="0"/>
    <s v="Dennis Tolentino"/>
    <m/>
    <s v="Christle David"/>
    <m/>
    <m/>
    <m/>
    <m/>
    <m/>
    <s v=""/>
    <s v=""/>
    <s v=""/>
    <s v=""/>
    <m/>
    <s v="MRS"/>
    <s v="OPERATIONAL"/>
    <s v="Technical Assistance"/>
    <m/>
  </r>
  <r>
    <x v="1"/>
    <x v="13"/>
    <s v="MBA"/>
    <s v="Sapang Balas"/>
    <n v="1271"/>
    <n v="1543"/>
    <s v="CONDUCTED TECHNICAL ASSISTANCE"/>
    <n v="2025"/>
    <d v="2025-07-16T00:00:00"/>
    <x v="8"/>
    <s v="John-lester Signio"/>
    <m/>
    <s v="Christle David"/>
    <s v="R3-2025-023842"/>
    <d v="2025-07-17T00:00:00"/>
    <m/>
    <d v="2025-07-17T00:00:00"/>
    <d v="2025-07-17T00:00:00"/>
    <n v="1"/>
    <s v=""/>
    <n v="1"/>
    <n v="1"/>
    <s v="Received by Planning"/>
    <s v="MRS"/>
    <s v="OPERATIONAL"/>
    <s v="Technical Assistance"/>
    <m/>
  </r>
  <r>
    <x v="1"/>
    <x v="16"/>
    <s v="MBA"/>
    <s v="Alas-asin"/>
    <n v="15047"/>
    <n v="18868"/>
    <s v="CONDUCTED TECHNICAL ASSISTANCE"/>
    <n v="2025"/>
    <d v="2025-02-06T00:00:00"/>
    <x v="3"/>
    <s v="Laurence Radasa"/>
    <m/>
    <s v="Christle David"/>
    <s v="R3-2025-004655"/>
    <d v="2025-02-10T00:00:00"/>
    <m/>
    <d v="2025-02-10T00:00:00"/>
    <d v="2025-02-10T00:00:00"/>
    <n v="2"/>
    <s v=""/>
    <n v="1"/>
    <n v="1"/>
    <s v="Received by Planning"/>
    <s v="MRF"/>
    <s v="OPERATIONAL"/>
    <s v="Technical Assistance"/>
    <m/>
  </r>
  <r>
    <x v="1"/>
    <x v="16"/>
    <s v="MBA"/>
    <s v="Alion"/>
    <n v="3264"/>
    <n v="3389"/>
    <s v="CONDUCTED TECHNICAL ASSISTANCE"/>
    <n v="2025"/>
    <d v="2025-04-25T00:00:00"/>
    <x v="6"/>
    <s v="Laurence Radasa"/>
    <m/>
    <s v="Christle David"/>
    <s v="R3-2025-014306"/>
    <d v="2025-04-28T00:00:00"/>
    <m/>
    <d v="2025-04-28T00:00:00"/>
    <d v="2025-05-02T00:00:00"/>
    <n v="1"/>
    <s v=""/>
    <n v="1"/>
    <n v="4"/>
    <s v="Received by Planning"/>
    <s v="MRF"/>
    <s v="OPERATIONAL"/>
    <s v="Technical Assistance"/>
    <m/>
  </r>
  <r>
    <x v="1"/>
    <x v="16"/>
    <s v="MBA"/>
    <s v="Malaya"/>
    <n v="4910"/>
    <n v="4939"/>
    <s v="CONDUCTED TECHNICAL ASSISTANCE"/>
    <n v="2025"/>
    <d v="2025-09-09T00:00:00"/>
    <x v="7"/>
    <s v="Laurence Radasa"/>
    <m/>
    <s v="Christle David"/>
    <s v="R3-2025-030919"/>
    <d v="2025-09-15T00:00:00"/>
    <m/>
    <d v="2025-09-15T00:00:00"/>
    <d v="2025-09-17T00:00:00"/>
    <n v="4"/>
    <s v=""/>
    <n v="1"/>
    <n v="2"/>
    <s v="Received by Planning"/>
    <s v="MRF"/>
    <s v="OPERATIONAL"/>
    <s v="Technical Assistance"/>
    <m/>
  </r>
  <r>
    <x v="1"/>
    <x v="16"/>
    <s v="MBA"/>
    <s v="Balon-Anito"/>
    <n v="12286"/>
    <n v="15820"/>
    <s v="CONDUCTED TECHNICAL ASSISTANCE"/>
    <n v="2025"/>
    <d v="2025-10-16T00:00:00"/>
    <x v="5"/>
    <s v="Laurence Radasa"/>
    <m/>
    <s v="Christle David"/>
    <s v="R3-2025-035299"/>
    <d v="2025-10-17T00:00:00"/>
    <m/>
    <d v="2025-10-18T00:00:00"/>
    <d v="2025-10-20T00:00:00"/>
    <n v="1"/>
    <s v=""/>
    <n v="1"/>
    <n v="1"/>
    <s v="Received by Planning"/>
    <s v="MRF"/>
    <s v="OPERATIONAL"/>
    <s v="Technical Assistance"/>
    <m/>
  </r>
  <r>
    <x v="1"/>
    <x v="16"/>
    <s v="MBA"/>
    <s v="Batangas II"/>
    <n v="5951"/>
    <n v="5811"/>
    <s v="CONDUCTED TECHNICAL ASSISTANCE"/>
    <n v="2025"/>
    <d v="2025-03-25T00:00:00"/>
    <x v="4"/>
    <s v="Laurence Radasa"/>
    <m/>
    <s v="Christle David"/>
    <s v="R3-2025-010807"/>
    <d v="2025-03-31T00:00:00"/>
    <m/>
    <d v="2025-03-31T00:00:00"/>
    <d v="2025-03-31T00:00:00"/>
    <n v="4"/>
    <s v=""/>
    <n v="1"/>
    <n v="1"/>
    <s v="Received by Planning"/>
    <s v="MRF"/>
    <s v="OPERATIONAL"/>
    <s v="Technical Assistance"/>
    <m/>
  </r>
  <r>
    <x v="1"/>
    <x v="16"/>
    <s v="MBA"/>
    <s v="Biaan"/>
    <n v="1837"/>
    <n v="2663"/>
    <s v="CONDUCTED TECHNICAL ASSISTANCE"/>
    <n v="2024"/>
    <d v="2024-10-16T00:00:00"/>
    <x v="0"/>
    <s v="Laurence Radasa"/>
    <m/>
    <s v="Christle David"/>
    <m/>
    <m/>
    <m/>
    <m/>
    <m/>
    <s v=""/>
    <s v=""/>
    <s v=""/>
    <s v=""/>
    <m/>
    <s v="MRF"/>
    <s v="NON-OPERATIONAL"/>
    <s v="Technical Assistance"/>
    <m/>
  </r>
  <r>
    <x v="1"/>
    <x v="16"/>
    <s v="MBA"/>
    <s v="Cabcaben"/>
    <n v="6427"/>
    <n v="7665"/>
    <s v="CONDUCTED TECHNICAL ASSISTANCE"/>
    <n v="2024"/>
    <d v="2024-10-10T00:00:00"/>
    <x v="0"/>
    <s v="Laurence Radasa"/>
    <m/>
    <s v="Christle David"/>
    <m/>
    <m/>
    <m/>
    <m/>
    <m/>
    <s v=""/>
    <s v=""/>
    <s v=""/>
    <s v=""/>
    <m/>
    <s v="MRF"/>
    <s v="NON-OPERATIONAL"/>
    <s v="Technical Assistance"/>
    <m/>
  </r>
  <r>
    <x v="1"/>
    <x v="16"/>
    <s v="MBA"/>
    <s v="Camaya"/>
    <n v="14869"/>
    <n v="18803"/>
    <s v="CONDUCTED TECHNICAL ASSISTANCE"/>
    <n v="2025"/>
    <d v="2025-02-25T00:00:00"/>
    <x v="1"/>
    <s v="Laurence Radasa"/>
    <m/>
    <s v="Christle David"/>
    <s v="R3-2025-007213"/>
    <d v="2025-03-03T00:00:00"/>
    <m/>
    <d v="2025-03-03T00:00:00"/>
    <d v="2025-03-03T00:00:00"/>
    <n v="4"/>
    <s v=""/>
    <n v="1"/>
    <n v="1"/>
    <s v="Received by Planning"/>
    <s v="MRS"/>
    <s v="NON-OPERATIONAL"/>
    <s v="Technical Assistance"/>
    <m/>
  </r>
  <r>
    <x v="1"/>
    <x v="16"/>
    <s v="MBA"/>
    <s v="Baseco Country"/>
    <n v="4581"/>
    <n v="4781"/>
    <s v="CONDUCTED TECHNICAL ASSISTANCE"/>
    <n v="2025"/>
    <d v="2025-07-09T00:00:00"/>
    <x v="8"/>
    <s v="Laurence Radasa"/>
    <m/>
    <s v="Christle David"/>
    <s v="R3-2025-023329"/>
    <d v="2025-07-14T00:00:00"/>
    <m/>
    <d v="2025-07-15T00:00:00"/>
    <d v="2025-07-16T00:00:00"/>
    <n v="3"/>
    <s v=""/>
    <n v="1"/>
    <n v="1"/>
    <s v="Received by Planning"/>
    <s v="MRF"/>
    <s v="OPERATIONAL"/>
    <s v="Technical Assistance"/>
    <m/>
  </r>
  <r>
    <x v="1"/>
    <x v="16"/>
    <s v="MBA"/>
    <s v="Ipag"/>
    <n v="10010"/>
    <n v="11503"/>
    <s v="CONDUCTED TECHNICAL ASSISTANCE"/>
    <n v="2025"/>
    <d v="2025-08-07T00:00:00"/>
    <x v="9"/>
    <s v="Laurence Radasa"/>
    <m/>
    <s v="Christle David"/>
    <s v="R3-2025-026615"/>
    <d v="2025-08-11T00:00:00"/>
    <m/>
    <d v="2025-08-12T00:00:00"/>
    <d v="2025-08-13T00:00:00"/>
    <n v="2"/>
    <s v=""/>
    <n v="1"/>
    <n v="1"/>
    <s v="Received by Planning"/>
    <s v="MRS"/>
    <s v="OPERATIONAL"/>
    <s v="Technical Assistance"/>
    <m/>
  </r>
  <r>
    <x v="1"/>
    <x v="16"/>
    <s v="MBA"/>
    <s v="Lucanin"/>
    <n v="5169"/>
    <n v="7189"/>
    <s v="CONDUCTED TECHNICAL ASSISTANCE"/>
    <n v="2025"/>
    <d v="2025-10-16T00:00:00"/>
    <x v="5"/>
    <s v="Laurence Radasa"/>
    <m/>
    <s v="Christle David"/>
    <s v="R3-2025-035295"/>
    <d v="2025-10-17T00:00:00"/>
    <m/>
    <d v="2025-10-18T00:00:00"/>
    <d v="2025-10-20T00:00:00"/>
    <n v="1"/>
    <s v=""/>
    <n v="1"/>
    <n v="1"/>
    <s v="Received by Planning"/>
    <s v="NO FACILITY"/>
    <s v="CATER BY LGU"/>
    <s v="Technical Assistance"/>
    <m/>
  </r>
  <r>
    <x v="1"/>
    <x v="16"/>
    <s v="MBA"/>
    <s v="Mt. View"/>
    <n v="10461"/>
    <n v="13082"/>
    <s v="CONDUCTED TECHNICAL ASSISTANCE"/>
    <n v="2024"/>
    <s v="October 10, 2024"/>
    <x v="0"/>
    <s v="Laurence Radasa"/>
    <m/>
    <s v="Christle David"/>
    <m/>
    <m/>
    <m/>
    <m/>
    <m/>
    <s v=""/>
    <s v=""/>
    <s v=""/>
    <s v=""/>
    <m/>
    <s v="MRS"/>
    <s v="OPERATIONAL"/>
    <s v="Technical Assistance"/>
    <m/>
  </r>
  <r>
    <x v="1"/>
    <x v="16"/>
    <s v="MBA"/>
    <s v="Poblacion"/>
    <n v="7938"/>
    <n v="8458"/>
    <s v="CONDUCTED TECHNICAL ASSISTANCE"/>
    <n v="2025"/>
    <d v="2025-01-21T00:00:00"/>
    <x v="2"/>
    <s v="Laurence Radasa"/>
    <m/>
    <s v="Christle David"/>
    <s v="R3-2025-001880"/>
    <d v="2025-01-21T00:00:00"/>
    <m/>
    <d v="2025-01-22T00:00:00"/>
    <d v="2025-01-23T00:00:00"/>
    <n v="1"/>
    <s v=""/>
    <n v="1"/>
    <n v="1"/>
    <s v="Received by Planning"/>
    <s v="MRS"/>
    <s v="NON-OPERATIONAL"/>
    <s v="Technical Assistance"/>
    <m/>
  </r>
  <r>
    <x v="1"/>
    <x v="16"/>
    <s v="MBA"/>
    <s v="San Carlos"/>
    <n v="1517"/>
    <n v="1481"/>
    <s v="CONDUCTED TECHNICAL ASSISTANCE"/>
    <n v="2024"/>
    <d v="2024-10-30T00:00:00"/>
    <x v="0"/>
    <s v="Laurence Radasa"/>
    <m/>
    <s v="Christle David"/>
    <m/>
    <m/>
    <m/>
    <m/>
    <m/>
    <s v=""/>
    <s v=""/>
    <s v=""/>
    <s v=""/>
    <m/>
    <s v="MRS"/>
    <s v="OPERATIONAL"/>
    <s v="Technical Assistance"/>
    <m/>
  </r>
  <r>
    <x v="1"/>
    <x v="16"/>
    <s v="MBA"/>
    <s v="Maligaya"/>
    <n v="4407"/>
    <n v="4442"/>
    <s v="CONDUCTED TECHNICAL ASSISTANCE"/>
    <n v="2025"/>
    <d v="2025-08-27T00:00:00"/>
    <x v="7"/>
    <s v="Laurence Radasa"/>
    <m/>
    <s v="Christle David"/>
    <s v="R3-2025-029091"/>
    <d v="2025-09-01T00:00:00"/>
    <m/>
    <d v="2025-09-01T00:00:00"/>
    <d v="2025-09-02T00:00:00"/>
    <n v="3"/>
    <s v=""/>
    <n v="1"/>
    <n v="1"/>
    <s v="Received by Planning"/>
    <s v="MRS"/>
    <s v="OPERATIONAL"/>
    <s v="Technical Assistance"/>
    <m/>
  </r>
  <r>
    <x v="1"/>
    <x v="16"/>
    <s v="MBA"/>
    <s v="San Isidro"/>
    <n v="5761"/>
    <n v="6515"/>
    <s v="CONDUCTED TECHNICAL ASSISTANCE"/>
    <n v="2025"/>
    <d v="2025-10-07T00:00:00"/>
    <x v="5"/>
    <s v="Laurence Radasa"/>
    <m/>
    <s v="Christle David"/>
    <s v="R3-2025-034285"/>
    <d v="2025-10-10T00:00:00"/>
    <m/>
    <d v="2025-10-13T00:00:00"/>
    <d v="2025-10-14T00:00:00"/>
    <n v="3"/>
    <s v=""/>
    <n v="1"/>
    <n v="1"/>
    <s v="Received by Planning"/>
    <s v="MRS"/>
    <s v="OPERATIONAL"/>
    <s v="Technical Assistance"/>
    <m/>
  </r>
  <r>
    <x v="1"/>
    <x v="16"/>
    <s v="MBA"/>
    <s v="Sisiman"/>
    <n v="6221"/>
    <n v="7267"/>
    <s v="CONDUCTED TECHNICAL ASSISTANCE"/>
    <n v="2025"/>
    <d v="2025-07-09T00:00:00"/>
    <x v="8"/>
    <s v="Laurence Radasa"/>
    <m/>
    <s v="Christle David"/>
    <s v="R3-2025-023338"/>
    <d v="2025-07-14T00:00:00"/>
    <m/>
    <d v="2025-07-15T00:00:00"/>
    <d v="2025-07-17T00:00:00"/>
    <n v="3"/>
    <s v=""/>
    <n v="1"/>
    <n v="2"/>
    <s v="Received by Planning"/>
    <s v="MRF"/>
    <s v="OPERATIONAL"/>
    <s v="Technical Assistance"/>
    <m/>
  </r>
  <r>
    <x v="1"/>
    <x v="17"/>
    <s v="MBA"/>
    <s v="Binaritan"/>
    <n v="5966"/>
    <n v="7122"/>
    <s v="CONDUCTED TECHNICAL ASSISTANCE"/>
    <n v="2025"/>
    <d v="2025-02-20T00:00:00"/>
    <x v="1"/>
    <s v="Laurence Radasa"/>
    <m/>
    <s v="Christle David"/>
    <s v="R3-2025-006501"/>
    <d v="2025-02-20T00:00:00"/>
    <m/>
    <d v="2025-02-24T00:00:00"/>
    <d v="2025-02-28T00:00:00"/>
    <n v="1"/>
    <s v=""/>
    <n v="2"/>
    <n v="4"/>
    <s v="Received by Planning"/>
    <s v="MRS"/>
    <s v="OPERATIONAL"/>
    <s v="Technical Assistance"/>
    <m/>
  </r>
  <r>
    <x v="1"/>
    <x v="16"/>
    <s v="MBA"/>
    <s v="Townsite"/>
    <n v="6880"/>
    <n v="7203"/>
    <s v="CONDUCTED TECHNICAL ASSISTANCE"/>
    <n v="2025"/>
    <d v="2025-10-16T00:00:00"/>
    <x v="5"/>
    <s v="Laurence Radasa"/>
    <m/>
    <s v="Christle David"/>
    <s v="R3-2025-035297"/>
    <d v="2025-10-17T00:00:00"/>
    <m/>
    <d v="2025-10-18T00:00:00"/>
    <d v="2025-10-20T00:00:00"/>
    <n v="1"/>
    <s v=""/>
    <n v="1"/>
    <n v="1"/>
    <s v="Received by Planning"/>
    <s v="NO FACILITY"/>
    <s v="CATER BY LGU"/>
    <s v="Technical Assistance"/>
    <m/>
  </r>
  <r>
    <x v="1"/>
    <x v="17"/>
    <s v="MBA"/>
    <s v="Nagbalayong"/>
    <n v="6207"/>
    <n v="6756"/>
    <s v="CONDUCTED TECHNICAL ASSISTANCE"/>
    <n v="2024"/>
    <s v="September 19, 2024"/>
    <x v="0"/>
    <s v="Laurence Radasa"/>
    <m/>
    <s v="Christle David"/>
    <m/>
    <m/>
    <m/>
    <m/>
    <m/>
    <s v=""/>
    <s v=""/>
    <s v=""/>
    <s v=""/>
    <m/>
    <s v="MRF"/>
    <s v="NON-OPERATIONAL"/>
    <s v="Technical Assistance"/>
    <m/>
  </r>
  <r>
    <x v="1"/>
    <x v="17"/>
    <s v="MBA"/>
    <s v="Poblacion"/>
    <n v="5511"/>
    <n v="7329"/>
    <s v="CONDUCTED TECHNICAL ASSISTANCE"/>
    <n v="2024"/>
    <s v="September 10, 2024"/>
    <x v="0"/>
    <s v="Laurence Radasa"/>
    <m/>
    <s v="Christle David"/>
    <m/>
    <m/>
    <m/>
    <m/>
    <m/>
    <s v=""/>
    <s v=""/>
    <s v=""/>
    <s v=""/>
    <m/>
    <s v="MRF"/>
    <s v="OPERATIONAL"/>
    <s v="Technical Assistance"/>
    <m/>
  </r>
  <r>
    <x v="1"/>
    <x v="17"/>
    <s v="MBA"/>
    <s v="Sabang"/>
    <n v="7446"/>
    <n v="8031"/>
    <s v="CONDUCTED TECHNICAL ASSISTANCE"/>
    <n v="2024"/>
    <d v="2024-10-17T00:00:00"/>
    <x v="0"/>
    <s v="Laurence Radasa"/>
    <m/>
    <s v="Christle David"/>
    <m/>
    <m/>
    <m/>
    <m/>
    <m/>
    <s v=""/>
    <s v=""/>
    <s v=""/>
    <s v=""/>
    <m/>
    <s v="MRS"/>
    <s v="CATER BY LGU"/>
    <s v="Technical Assistance"/>
    <m/>
  </r>
  <r>
    <x v="1"/>
    <x v="18"/>
    <s v="MBA"/>
    <s v="Apollo"/>
    <n v="1955"/>
    <n v="1865"/>
    <s v="CONDUCTED TECHNICAL ASSISTANCE"/>
    <n v="2024"/>
    <s v="April 24, 2024"/>
    <x v="0"/>
    <s v="John-lester Signio"/>
    <m/>
    <s v="Christle David"/>
    <m/>
    <m/>
    <m/>
    <m/>
    <m/>
    <s v=""/>
    <s v=""/>
    <s v=""/>
    <s v=""/>
    <m/>
    <m/>
    <m/>
    <s v="Technical Assistance"/>
    <m/>
  </r>
  <r>
    <x v="1"/>
    <x v="18"/>
    <s v="MBA"/>
    <s v="Bagong Paraiso (Pob.)"/>
    <n v="2835"/>
    <n v="3119"/>
    <s v="CONDUCTED TECHNICAL ASSISTANCE"/>
    <n v="2024"/>
    <s v="February 21, 2024"/>
    <x v="0"/>
    <s v="John-lester Signio"/>
    <m/>
    <s v="Christle David"/>
    <m/>
    <m/>
    <m/>
    <m/>
    <m/>
    <s v=""/>
    <s v=""/>
    <s v=""/>
    <s v=""/>
    <m/>
    <s v="MRF"/>
    <s v="OPERATIONAL"/>
    <s v="Technical Assistance"/>
    <m/>
  </r>
  <r>
    <x v="1"/>
    <x v="18"/>
    <s v="MBA"/>
    <s v="Balut (Pob.)"/>
    <n v="1355"/>
    <n v="1263"/>
    <s v="CONDUCTED TECHNICAL ASSISTANCE"/>
    <n v="2024"/>
    <s v="May 24, 2024"/>
    <x v="0"/>
    <s v="John-lester Signio"/>
    <m/>
    <s v="Christle David"/>
    <m/>
    <m/>
    <m/>
    <m/>
    <m/>
    <s v=""/>
    <s v=""/>
    <s v=""/>
    <s v=""/>
    <m/>
    <s v="MRF"/>
    <s v="OPERATIONAL"/>
    <s v="Technical Assistance"/>
    <m/>
  </r>
  <r>
    <x v="1"/>
    <x v="18"/>
    <s v="MBA"/>
    <s v="Bayan (Pob.)"/>
    <n v="6018"/>
    <n v="6378"/>
    <s v="CONDUCTED TECHNICAL ASSISTANCE"/>
    <n v="2024"/>
    <d v="2024-11-06T00:00:00"/>
    <x v="0"/>
    <s v="John-lester Signio"/>
    <m/>
    <s v="Christle David"/>
    <m/>
    <m/>
    <m/>
    <m/>
    <m/>
    <s v=""/>
    <s v=""/>
    <s v=""/>
    <s v=""/>
    <m/>
    <s v="MRF"/>
    <s v="NON-OPERATIONAL"/>
    <s v="Technical Assistance"/>
    <m/>
  </r>
  <r>
    <x v="1"/>
    <x v="18"/>
    <s v="MBA"/>
    <s v="Calero (Pob.)"/>
    <n v="1438"/>
    <n v="1402"/>
    <s v="CONDUCTED TECHNICAL ASSISTANCE"/>
    <n v="2024"/>
    <s v="September 26, 2024"/>
    <x v="0"/>
    <s v="John-lester Signio"/>
    <m/>
    <s v="Christle David"/>
    <m/>
    <m/>
    <m/>
    <m/>
    <m/>
    <s v=""/>
    <s v=""/>
    <s v=""/>
    <s v=""/>
    <m/>
    <s v="MRF"/>
    <s v="OPERATIONAL"/>
    <s v="Technical Assistance"/>
    <m/>
  </r>
  <r>
    <x v="1"/>
    <x v="18"/>
    <s v="MBA"/>
    <s v="Centro I (Pob.)"/>
    <n v="501"/>
    <n v="491"/>
    <s v="CONDUCTED TECHNICAL ASSISTANCE"/>
    <n v="2024"/>
    <s v="May 14, 2024"/>
    <x v="0"/>
    <s v="John-lester Signio"/>
    <m/>
    <s v="Christle David"/>
    <m/>
    <m/>
    <m/>
    <m/>
    <m/>
    <s v=""/>
    <s v=""/>
    <s v=""/>
    <s v=""/>
    <m/>
    <s v="MRF"/>
    <s v="OPERATIONAL"/>
    <s v="Technical Assistance"/>
    <m/>
  </r>
  <r>
    <x v="1"/>
    <x v="18"/>
    <s v="MBA"/>
    <s v="Centro II (Pob.)"/>
    <n v="431"/>
    <n v="434"/>
    <s v="CONDUCTED TECHNICAL ASSISTANCE"/>
    <n v="2024"/>
    <s v="June 26, 2024"/>
    <x v="0"/>
    <s v="John-lester Signio"/>
    <m/>
    <s v="Christle David"/>
    <m/>
    <m/>
    <m/>
    <m/>
    <m/>
    <s v=""/>
    <s v=""/>
    <s v=""/>
    <s v=""/>
    <m/>
    <s v="MRF"/>
    <s v="NON-OPERATIONAL"/>
    <s v="Technical Assistance"/>
    <m/>
  </r>
  <r>
    <x v="1"/>
    <x v="18"/>
    <s v="MBA"/>
    <s v="Dona"/>
    <n v="1249"/>
    <n v="1788"/>
    <s v="CONDUCTED TECHNICAL ASSISTANCE"/>
    <n v="2024"/>
    <s v="July 05, 2024"/>
    <x v="0"/>
    <s v="John-lester Signio"/>
    <m/>
    <s v="Christle David"/>
    <m/>
    <m/>
    <m/>
    <m/>
    <m/>
    <s v=""/>
    <s v=""/>
    <s v=""/>
    <s v=""/>
    <m/>
    <s v="MRF"/>
    <s v="NON-OPERATIONAL"/>
    <s v="Technical Assistance"/>
    <m/>
  </r>
  <r>
    <x v="1"/>
    <x v="18"/>
    <s v="MBA"/>
    <s v="Kabalutan"/>
    <n v="2462"/>
    <n v="3019"/>
    <s v="CONDUCTED TECHNICAL ASSISTANCE"/>
    <n v="2025"/>
    <d v="2025-01-22T00:00:00"/>
    <x v="2"/>
    <s v="John-lester Signio"/>
    <m/>
    <s v="Christle David"/>
    <s v="R3-2025-002003"/>
    <d v="2025-01-22T00:00:00"/>
    <m/>
    <d v="2025-01-22T00:00:00"/>
    <d v="2025-01-23T00:00:00"/>
    <n v="1"/>
    <s v=""/>
    <n v="1"/>
    <n v="1"/>
    <s v="Received by Planning"/>
    <s v="MRS"/>
    <s v="OPERATIONAL"/>
    <s v="Technical Assistance"/>
    <m/>
  </r>
  <r>
    <x v="1"/>
    <x v="18"/>
    <s v="MBA"/>
    <s v="Kaparangan"/>
    <n v="3021"/>
    <n v="2975"/>
    <s v="CONDUCTED TECHNICAL ASSISTANCE"/>
    <n v="2024"/>
    <s v="September 20, 2024"/>
    <x v="0"/>
    <s v="John-lester Signio"/>
    <m/>
    <s v="Christle David"/>
    <m/>
    <m/>
    <m/>
    <m/>
    <m/>
    <s v=""/>
    <s v=""/>
    <s v=""/>
    <s v=""/>
    <m/>
    <s v="MRF"/>
    <s v="NON-OPERATIONAL"/>
    <s v="Technical Assistance"/>
    <m/>
  </r>
  <r>
    <x v="1"/>
    <x v="18"/>
    <s v="MBA"/>
    <s v="Maria Fe"/>
    <n v="2146"/>
    <n v="2192"/>
    <s v="CONDUCTED TECHNICAL ASSISTANCE"/>
    <n v="2024"/>
    <s v="February 21, 2024"/>
    <x v="0"/>
    <s v="John-lester Signio"/>
    <m/>
    <s v="Christle David"/>
    <m/>
    <m/>
    <m/>
    <m/>
    <m/>
    <s v=""/>
    <s v=""/>
    <s v=""/>
    <s v=""/>
    <m/>
    <s v="MRF"/>
    <s v="OPERATIONAL"/>
    <s v="Technical Assistance"/>
    <m/>
  </r>
  <r>
    <x v="1"/>
    <x v="18"/>
    <s v="MBA"/>
    <s v="Masantol"/>
    <n v="690"/>
    <n v="530"/>
    <s v="CONDUCTED TECHNICAL ASSISTANCE"/>
    <n v="2024"/>
    <s v="July 09, 2024"/>
    <x v="0"/>
    <s v="John-lester Signio"/>
    <m/>
    <s v="Christle David"/>
    <m/>
    <m/>
    <m/>
    <m/>
    <m/>
    <s v=""/>
    <s v=""/>
    <s v=""/>
    <s v=""/>
    <m/>
    <s v="MRS"/>
    <s v="NON-OPERATIONAL"/>
    <s v="Technical Assistance"/>
    <m/>
  </r>
  <r>
    <x v="1"/>
    <x v="18"/>
    <s v="MBA"/>
    <s v="Mulawin"/>
    <n v="4380"/>
    <n v="4746"/>
    <s v="CONDUCTED TECHNICAL ASSISTANCE"/>
    <n v="2024"/>
    <s v="February 22, 2024"/>
    <x v="0"/>
    <s v="John-lester Signio"/>
    <m/>
    <s v="Christle David"/>
    <m/>
    <m/>
    <m/>
    <m/>
    <m/>
    <s v=""/>
    <s v=""/>
    <s v=""/>
    <s v=""/>
    <m/>
    <s v="MRF"/>
    <s v="OPERATIONAL"/>
    <s v="Technical Assistance"/>
    <m/>
  </r>
  <r>
    <x v="1"/>
    <x v="18"/>
    <s v="MBA"/>
    <s v="Pag-asa"/>
    <n v="2486"/>
    <n v="2802"/>
    <s v="CONDUCTED TECHNICAL ASSISTANCE"/>
    <n v="2024"/>
    <s v="August 01, 2024"/>
    <x v="0"/>
    <s v="John-lester Signio"/>
    <m/>
    <s v="Christle David"/>
    <m/>
    <m/>
    <m/>
    <m/>
    <m/>
    <s v=""/>
    <s v=""/>
    <s v=""/>
    <s v=""/>
    <m/>
    <s v="MRF"/>
    <s v="OPERATIONAL"/>
    <s v="Technical Assistance"/>
    <m/>
  </r>
  <r>
    <x v="1"/>
    <x v="18"/>
    <s v="MBA"/>
    <s v="Paking-Carbonero (Pob.)"/>
    <n v="1164"/>
    <n v="927"/>
    <s v="CONDUCTED TECHNICAL ASSISTANCE"/>
    <n v="2024"/>
    <s v="August 22, 2024"/>
    <x v="0"/>
    <s v="John-lester Signio"/>
    <m/>
    <s v="Christle David"/>
    <m/>
    <m/>
    <m/>
    <m/>
    <m/>
    <s v=""/>
    <s v=""/>
    <s v=""/>
    <s v=""/>
    <m/>
    <s v="MRF"/>
    <s v="NON-OPERATIONAL"/>
    <s v="Technical Assistance"/>
    <m/>
  </r>
  <r>
    <x v="1"/>
    <x v="18"/>
    <s v="MBA"/>
    <s v="Palihan (Pob.)"/>
    <n v="2581"/>
    <n v="2521"/>
    <s v="CONDUCTED TECHNICAL ASSISTANCE"/>
    <n v="2024"/>
    <s v="February 28, 2024"/>
    <x v="0"/>
    <s v="John-lester Signio"/>
    <m/>
    <s v="Christle David"/>
    <m/>
    <m/>
    <m/>
    <m/>
    <m/>
    <s v=""/>
    <s v=""/>
    <s v=""/>
    <s v=""/>
    <m/>
    <s v="MRF"/>
    <s v="NON-OPERATIONAL"/>
    <s v="Technical Assistance"/>
    <m/>
  </r>
  <r>
    <x v="1"/>
    <x v="18"/>
    <s v="MBA"/>
    <s v="Pantalan Bago (Pob.)"/>
    <n v="2250"/>
    <n v="2269"/>
    <s v="CONDUCTED TECHNICAL ASSISTANCE"/>
    <n v="2024"/>
    <s v="April 05, 2024"/>
    <x v="0"/>
    <s v="John-lester Signio"/>
    <m/>
    <s v="Christle David"/>
    <m/>
    <m/>
    <m/>
    <m/>
    <m/>
    <s v=""/>
    <s v=""/>
    <s v=""/>
    <s v=""/>
    <m/>
    <s v="MRF"/>
    <s v="OPERATIONAL"/>
    <s v="Technical Assistance"/>
    <m/>
  </r>
  <r>
    <x v="1"/>
    <x v="18"/>
    <s v="MBA"/>
    <s v="Pantalan Luma (Pob.)"/>
    <n v="5563"/>
    <n v="5612"/>
    <s v="CONDUCTED TECHNICAL ASSISTANCE"/>
    <n v="2024"/>
    <s v="May 02, 2024"/>
    <x v="0"/>
    <s v="John-lester Signio"/>
    <m/>
    <s v="Christle David"/>
    <m/>
    <m/>
    <m/>
    <m/>
    <m/>
    <s v=""/>
    <s v=""/>
    <s v=""/>
    <s v=""/>
    <m/>
    <s v="MRF"/>
    <s v="OPERATIONAL"/>
    <s v="Technical Assistance"/>
    <m/>
  </r>
  <r>
    <x v="1"/>
    <x v="18"/>
    <s v="MBA"/>
    <s v="Parang Parang (Pob.)"/>
    <n v="1407"/>
    <n v="1305"/>
    <s v="CONDUCTED TECHNICAL ASSISTANCE"/>
    <n v="2024"/>
    <s v="February 22, 2024"/>
    <x v="0"/>
    <s v="John-lester Signio"/>
    <m/>
    <s v="Christle David"/>
    <m/>
    <m/>
    <m/>
    <m/>
    <m/>
    <s v=""/>
    <s v=""/>
    <s v=""/>
    <s v=""/>
    <m/>
    <s v="MRF"/>
    <s v="NON-OPERATIONAL"/>
    <s v="Technical Assistance"/>
    <m/>
  </r>
  <r>
    <x v="1"/>
    <x v="18"/>
    <s v="MBA"/>
    <s v="Puksuan"/>
    <n v="645"/>
    <n v="625"/>
    <s v="CONDUCTED TECHNICAL ASSISTANCE"/>
    <n v="2024"/>
    <s v="June 07, 22024"/>
    <x v="0"/>
    <s v="John-lester Signio"/>
    <m/>
    <s v="Christle David"/>
    <m/>
    <m/>
    <m/>
    <m/>
    <m/>
    <s v=""/>
    <s v=""/>
    <s v=""/>
    <s v=""/>
    <m/>
    <s v="MRF"/>
    <s v="NON-OPERATIONAL"/>
    <s v="Technical Assistance"/>
    <m/>
  </r>
  <r>
    <x v="1"/>
    <x v="18"/>
    <s v="MBA"/>
    <s v="Sibul"/>
    <n v="1283"/>
    <n v="1366"/>
    <s v="CONDUCTED TECHNICAL ASSISTANCE"/>
    <n v="2024"/>
    <d v="2024-10-30T00:00:00"/>
    <x v="0"/>
    <s v="John-lester Signio"/>
    <m/>
    <s v="Christle David"/>
    <m/>
    <m/>
    <m/>
    <m/>
    <m/>
    <s v=""/>
    <s v=""/>
    <s v=""/>
    <s v=""/>
    <m/>
    <s v="MRF"/>
    <s v="NON-OPERATIONAL"/>
    <s v="Technical Assistance"/>
    <m/>
  </r>
  <r>
    <x v="1"/>
    <x v="18"/>
    <s v="MBA"/>
    <s v="Silahis"/>
    <n v="510"/>
    <n v="583"/>
    <s v="CONDUCTED TECHNICAL ASSISTANCE"/>
    <n v="2024"/>
    <s v="February 28, 2024"/>
    <x v="0"/>
    <s v="John-lester Signio"/>
    <m/>
    <s v="Christle David"/>
    <m/>
    <m/>
    <m/>
    <m/>
    <m/>
    <s v=""/>
    <s v=""/>
    <s v=""/>
    <s v=""/>
    <m/>
    <s v="MRF"/>
    <s v="OPERATIONAL"/>
    <s v="Technical Assistance"/>
    <m/>
  </r>
  <r>
    <x v="1"/>
    <x v="18"/>
    <s v="MBA"/>
    <s v="Tagumpay"/>
    <n v="2003"/>
    <n v="2551"/>
    <s v="CONDUCTED TECHNICAL ASSISTANCE"/>
    <n v="2024"/>
    <s v="September 04, 2024"/>
    <x v="0"/>
    <s v="John-lester Signio"/>
    <m/>
    <s v="Christle David"/>
    <m/>
    <m/>
    <m/>
    <m/>
    <m/>
    <s v=""/>
    <s v=""/>
    <s v=""/>
    <s v=""/>
    <m/>
    <s v="MRF"/>
    <s v="OPERATIONAL"/>
    <s v="Technical Assistance"/>
    <m/>
  </r>
  <r>
    <x v="1"/>
    <x v="18"/>
    <s v="MBA"/>
    <s v="Tala"/>
    <n v="1467"/>
    <n v="1632"/>
    <s v="CONDUCTED TECHNICAL ASSISTANCE"/>
    <n v="2024"/>
    <s v="April 16, 2024"/>
    <x v="0"/>
    <s v="John-lester Signio"/>
    <m/>
    <s v="Christle David"/>
    <m/>
    <m/>
    <m/>
    <m/>
    <m/>
    <s v=""/>
    <s v=""/>
    <s v=""/>
    <s v=""/>
    <m/>
    <s v="MRF"/>
    <s v="OPERATIONAL"/>
    <s v="Technical Assistance"/>
    <m/>
  </r>
  <r>
    <x v="1"/>
    <x v="18"/>
    <s v="MBA"/>
    <s v="Talimundoc"/>
    <n v="2493"/>
    <n v="2511"/>
    <s v="CONDUCTED TECHNICAL ASSISTANCE"/>
    <n v="2024"/>
    <s v="March 20, 2024"/>
    <x v="0"/>
    <s v="John-lester Signio"/>
    <m/>
    <s v="Christle David"/>
    <m/>
    <m/>
    <m/>
    <m/>
    <m/>
    <s v=""/>
    <s v=""/>
    <s v=""/>
    <s v=""/>
    <m/>
    <m/>
    <m/>
    <s v="Technical Assistance"/>
    <m/>
  </r>
  <r>
    <x v="1"/>
    <x v="18"/>
    <s v="MBA"/>
    <s v="Tapulao"/>
    <n v="5023"/>
    <n v="4928"/>
    <s v="CONDUCTED TECHNICAL ASSISTANCE"/>
    <n v="2024"/>
    <s v="March 12, 2024"/>
    <x v="0"/>
    <s v="John-lester Signio"/>
    <m/>
    <s v="Christle David"/>
    <m/>
    <m/>
    <m/>
    <m/>
    <m/>
    <s v=""/>
    <s v=""/>
    <s v=""/>
    <s v=""/>
    <m/>
    <s v="MRF"/>
    <s v="OPERATIONAL"/>
    <s v="Technical Assistance"/>
    <m/>
  </r>
  <r>
    <x v="1"/>
    <x v="18"/>
    <s v="MBA"/>
    <s v="Tenejero (Pob.)"/>
    <n v="1968"/>
    <n v="1672"/>
    <s v="CONDUCTED TECHNICAL ASSISTANCE"/>
    <n v="2024"/>
    <s v="April 30, 2024"/>
    <x v="0"/>
    <s v="John-lester Signio"/>
    <m/>
    <s v="Christle David"/>
    <m/>
    <m/>
    <m/>
    <m/>
    <m/>
    <s v=""/>
    <s v=""/>
    <s v=""/>
    <s v=""/>
    <m/>
    <m/>
    <m/>
    <s v="Technical Assistance"/>
    <m/>
  </r>
  <r>
    <x v="1"/>
    <x v="18"/>
    <s v="MBA"/>
    <s v="Tugatog"/>
    <n v="6856"/>
    <n v="8138"/>
    <s v="CONDUCTED TECHNICAL ASSISTANCE"/>
    <n v="2024"/>
    <d v="2024-10-30T00:00:00"/>
    <x v="0"/>
    <s v="John-lester Signio"/>
    <m/>
    <s v="Christle David"/>
    <m/>
    <m/>
    <m/>
    <m/>
    <m/>
    <s v=""/>
    <s v=""/>
    <s v=""/>
    <s v=""/>
    <m/>
    <s v="MRF"/>
    <s v="NON-OPERATIONAL"/>
    <s v="Technical Assistance"/>
    <m/>
  </r>
  <r>
    <x v="1"/>
    <x v="18"/>
    <s v="MBA"/>
    <s v="Wawa (Pob.)"/>
    <n v="729"/>
    <n v="698"/>
    <s v="CONDUCTED TECHNICAL ASSISTANCE"/>
    <n v="2024"/>
    <s v="May 10, 2024"/>
    <x v="0"/>
    <s v="John-lester Signio"/>
    <m/>
    <s v="Christle David"/>
    <m/>
    <m/>
    <m/>
    <m/>
    <m/>
    <s v=""/>
    <s v=""/>
    <s v=""/>
    <s v=""/>
    <m/>
    <s v="MRF"/>
    <s v="OPERATIONAL"/>
    <s v="Technical Assistance"/>
    <m/>
  </r>
  <r>
    <x v="1"/>
    <x v="17"/>
    <s v="MBA"/>
    <s v="Mabayo"/>
    <n v="4771"/>
    <n v="6156"/>
    <s v="CONDUCTED TECHNICAL ASSISTANCE"/>
    <n v="2025"/>
    <d v="2025-07-10T00:00:00"/>
    <x v="8"/>
    <s v="Laurence Radasa"/>
    <m/>
    <s v="Christle David"/>
    <s v="R3-2025-023347"/>
    <d v="2025-07-14T00:00:00"/>
    <m/>
    <d v="2025-07-15T00:00:00"/>
    <d v="2025-07-17T00:00:00"/>
    <n v="2"/>
    <s v=""/>
    <n v="1"/>
    <n v="2"/>
    <s v="Received by Planning"/>
    <s v="NO FACILITY"/>
    <s v="CATER BY LGU"/>
    <s v="Technical Assistance"/>
    <m/>
  </r>
  <r>
    <x v="1"/>
    <x v="12"/>
    <s v="MBA"/>
    <s v="Arellano (Pob.)"/>
    <n v="644"/>
    <n v="516"/>
    <s v="CONDUCTED TECHNICAL ASSISTANCE"/>
    <n v="2024"/>
    <s v="March 12, 2024"/>
    <x v="0"/>
    <s v="Dennis Tolentino"/>
    <m/>
    <s v="Christle David"/>
    <m/>
    <m/>
    <m/>
    <m/>
    <m/>
    <s v=""/>
    <s v=""/>
    <s v=""/>
    <s v=""/>
    <m/>
    <s v="MRF"/>
    <s v="OPERATIONAL"/>
    <s v="Technical Assistance"/>
    <m/>
  </r>
  <r>
    <x v="1"/>
    <x v="12"/>
    <s v="MBA"/>
    <s v="Bagumbayan (Pob.)"/>
    <n v="1309"/>
    <n v="1146"/>
    <s v="CONDUCTED TECHNICAL ASSISTANCE"/>
    <n v="2024"/>
    <s v="September 25, 2024"/>
    <x v="0"/>
    <s v="Dennis Tolentino"/>
    <m/>
    <s v="Christle David"/>
    <m/>
    <m/>
    <m/>
    <m/>
    <m/>
    <s v=""/>
    <s v=""/>
    <s v=""/>
    <s v=""/>
    <m/>
    <s v="MRF"/>
    <s v="OPERATIONAL"/>
    <s v="Technical Assistance"/>
    <m/>
  </r>
  <r>
    <x v="1"/>
    <x v="12"/>
    <s v="MBA"/>
    <s v="Balagtas (Pob.)"/>
    <n v="1963"/>
    <n v="1995"/>
    <s v="CONDUCTED TECHNICAL ASSISTANCE"/>
    <n v="2024"/>
    <d v="2024-05-15T00:00:00"/>
    <x v="0"/>
    <s v="Dennis Tolentino"/>
    <m/>
    <s v="Christle David"/>
    <m/>
    <m/>
    <m/>
    <m/>
    <m/>
    <s v=""/>
    <s v=""/>
    <s v=""/>
    <s v=""/>
    <m/>
    <s v="MRF"/>
    <s v="OPERATIONAL"/>
    <s v="Technical Assistance"/>
    <m/>
  </r>
  <r>
    <x v="1"/>
    <x v="12"/>
    <s v="MBA"/>
    <s v="Balut (Pob.)"/>
    <n v="1391"/>
    <n v="1399"/>
    <s v="CONDUCTED TECHNICAL ASSISTANCE"/>
    <n v="2024"/>
    <s v="October 03, 2024"/>
    <x v="0"/>
    <s v="Dennis Tolentino"/>
    <m/>
    <s v="Christle David"/>
    <m/>
    <m/>
    <m/>
    <m/>
    <m/>
    <s v=""/>
    <s v=""/>
    <s v=""/>
    <s v=""/>
    <m/>
    <s v="MRF"/>
    <s v="OPERATIONAL"/>
    <s v="Technical Assistance"/>
    <m/>
  </r>
  <r>
    <x v="1"/>
    <x v="12"/>
    <s v="MBA"/>
    <s v="Bantan"/>
    <n v="1403"/>
    <n v="1387"/>
    <s v="CONDUCTED TECHNICAL ASSISTANCE"/>
    <n v="2024"/>
    <s v="May 30, 2024"/>
    <x v="0"/>
    <s v="Dennis Tolentino"/>
    <m/>
    <s v="Christle David"/>
    <m/>
    <m/>
    <m/>
    <m/>
    <m/>
    <s v=""/>
    <s v=""/>
    <s v=""/>
    <s v=""/>
    <m/>
    <s v="MRF"/>
    <s v="OPERATIONAL"/>
    <s v="Technical Assistance"/>
    <m/>
  </r>
  <r>
    <x v="1"/>
    <x v="12"/>
    <s v="MBA"/>
    <s v="Calungusan"/>
    <n v="1610"/>
    <n v="1807"/>
    <s v="CONDUCTED TECHNICAL ASSISTANCE"/>
    <n v="2024"/>
    <s v="August 15, 2024"/>
    <x v="0"/>
    <s v="Dennis Tolentino"/>
    <m/>
    <s v="Christle David"/>
    <m/>
    <m/>
    <m/>
    <m/>
    <m/>
    <s v=""/>
    <s v=""/>
    <s v=""/>
    <s v=""/>
    <m/>
    <s v="MRF"/>
    <s v="OPERATIONAL"/>
    <s v="Technical Assistance"/>
    <m/>
  </r>
  <r>
    <x v="1"/>
    <x v="12"/>
    <s v="MBA"/>
    <s v="Camachile"/>
    <n v="1587"/>
    <n v="1707"/>
    <s v="CONDUCTED TECHNICAL ASSISTANCE"/>
    <n v="2024"/>
    <s v="April 26, 2024"/>
    <x v="0"/>
    <s v="Dennis Tolentino"/>
    <m/>
    <s v="Christle David"/>
    <m/>
    <m/>
    <m/>
    <m/>
    <m/>
    <s v=""/>
    <s v=""/>
    <s v=""/>
    <s v=""/>
    <m/>
    <s v="MRF"/>
    <s v="OPERATIONAL"/>
    <s v="Technical Assistance"/>
    <m/>
  </r>
  <r>
    <x v="1"/>
    <x v="12"/>
    <s v="MBA"/>
    <s v="Daang Bago (Pob.)"/>
    <n v="969"/>
    <n v="1064"/>
    <s v="CONDUCTED TECHNICAL ASSISTANCE"/>
    <n v="2024"/>
    <d v="2024-10-18T00:00:00"/>
    <x v="0"/>
    <s v="Dennis Tolentino"/>
    <m/>
    <s v="Christle David"/>
    <m/>
    <m/>
    <m/>
    <m/>
    <m/>
    <s v=""/>
    <s v=""/>
    <s v=""/>
    <s v=""/>
    <m/>
    <s v="MRF"/>
    <s v="OPERATIONAL"/>
    <s v="Technical Assistance"/>
    <m/>
  </r>
  <r>
    <x v="1"/>
    <x v="12"/>
    <s v="MBA"/>
    <s v="Daang Bilolo (Pob.)"/>
    <n v="2745"/>
    <n v="3069"/>
    <s v="CONDUCTED TECHNICAL ASSISTANCE"/>
    <n v="2024"/>
    <d v="2024-10-31T00:00:00"/>
    <x v="0"/>
    <s v="Dennis Tolentino"/>
    <m/>
    <s v="Christle David"/>
    <m/>
    <m/>
    <m/>
    <m/>
    <m/>
    <s v=""/>
    <s v=""/>
    <s v=""/>
    <s v=""/>
    <m/>
    <s v="MRF"/>
    <s v="OPERATIONAL"/>
    <s v="Technical Assistance"/>
    <m/>
  </r>
  <r>
    <x v="1"/>
    <x v="12"/>
    <s v="MBA"/>
    <s v="Daang Pare"/>
    <n v="6297"/>
    <n v="8056"/>
    <s v="CONDUCTED TECHNICAL ASSISTANCE"/>
    <n v="2024"/>
    <s v="June 05, 2024"/>
    <x v="0"/>
    <s v="Dennis Tolentino"/>
    <m/>
    <s v="Christle David"/>
    <m/>
    <m/>
    <m/>
    <m/>
    <m/>
    <s v=""/>
    <s v=""/>
    <s v=""/>
    <s v=""/>
    <m/>
    <s v="MRF"/>
    <s v="OPERATIONAL"/>
    <s v="Technical Assistance"/>
    <m/>
  </r>
  <r>
    <x v="1"/>
    <x v="12"/>
    <s v="MBA"/>
    <s v="General Lim"/>
    <n v="3956"/>
    <n v="5343"/>
    <s v="CONDUCTED TECHNICAL ASSISTANCE"/>
    <n v="2025"/>
    <d v="2025-04-15T00:00:00"/>
    <x v="4"/>
    <s v="Dennis Tolentino"/>
    <m/>
    <s v="Christle David"/>
    <s v="R3-2025-012953"/>
    <d v="2025-04-15T00:00:00"/>
    <m/>
    <d v="2025-04-15T00:00:00"/>
    <d v="2025-04-16T00:00:00"/>
    <n v="1"/>
    <s v=""/>
    <n v="1"/>
    <n v="1"/>
    <s v="Received by Planning"/>
    <s v="MRS"/>
    <s v="OPERATIONAL"/>
    <s v="Technical Assistance"/>
    <m/>
  </r>
  <r>
    <x v="1"/>
    <x v="12"/>
    <s v="MBA"/>
    <s v="Kapunitan"/>
    <n v="5237"/>
    <n v="4137"/>
    <s v="CONDUCTED TECHNICAL ASSISTANCE"/>
    <n v="2024"/>
    <s v="August 29, 2024"/>
    <x v="0"/>
    <s v="Dennis Tolentino"/>
    <m/>
    <s v="Christle David"/>
    <m/>
    <m/>
    <m/>
    <m/>
    <m/>
    <s v=""/>
    <s v=""/>
    <s v=""/>
    <s v=""/>
    <m/>
    <s v="MRF"/>
    <s v="OPERATIONAL"/>
    <s v="Technical Assistance"/>
    <m/>
  </r>
  <r>
    <x v="1"/>
    <x v="12"/>
    <s v="MBA"/>
    <s v="Lati (Pob.)"/>
    <n v="1113"/>
    <n v="1289"/>
    <s v="CONDUCTED TECHNICAL ASSISTANCE"/>
    <n v="2024"/>
    <s v="July 05, 2024"/>
    <x v="0"/>
    <s v="Dennis Tolentino"/>
    <m/>
    <s v="Christle David"/>
    <m/>
    <m/>
    <m/>
    <m/>
    <m/>
    <s v=""/>
    <s v=""/>
    <s v=""/>
    <s v=""/>
    <m/>
    <s v="MRF"/>
    <s v="OPERATIONAL"/>
    <s v="Technical Assistance"/>
    <m/>
  </r>
  <r>
    <x v="1"/>
    <x v="12"/>
    <s v="MBA"/>
    <s v="Lusungan (Pob.)"/>
    <n v="1647"/>
    <n v="1456"/>
    <s v="CONDUCTED TECHNICAL ASSISTANCE"/>
    <n v="2024"/>
    <d v="2024-10-18T00:00:00"/>
    <x v="0"/>
    <s v="Dennis Tolentino"/>
    <m/>
    <s v="Christle David"/>
    <m/>
    <m/>
    <m/>
    <m/>
    <m/>
    <s v=""/>
    <s v=""/>
    <s v=""/>
    <s v=""/>
    <m/>
    <s v="MRF"/>
    <s v="OPERATIONAL"/>
    <s v="Technical Assistance"/>
    <m/>
  </r>
  <r>
    <x v="1"/>
    <x v="12"/>
    <s v="MBA"/>
    <s v="Puting Buhangin"/>
    <n v="2696"/>
    <n v="3053"/>
    <s v="CONDUCTED TECHNICAL ASSISTANCE"/>
    <n v="2024"/>
    <s v="September 18, 2024"/>
    <x v="0"/>
    <s v="Dennis Tolentino"/>
    <m/>
    <s v="Christle David"/>
    <m/>
    <m/>
    <m/>
    <m/>
    <m/>
    <s v=""/>
    <s v=""/>
    <s v=""/>
    <s v=""/>
    <m/>
    <s v="MRF"/>
    <s v="OPERATIONAL"/>
    <s v="Technical Assistance"/>
    <m/>
  </r>
  <r>
    <x v="1"/>
    <x v="12"/>
    <s v="MBA"/>
    <s v="Sabatan"/>
    <n v="3651"/>
    <n v="3763"/>
    <s v="CONDUCTED TECHNICAL ASSISTANCE"/>
    <n v="2025"/>
    <d v="2025-06-11T00:00:00"/>
    <x v="10"/>
    <s v="Dennis Tolentino"/>
    <m/>
    <s v="Christle David"/>
    <s v="R3-2025-019682"/>
    <d v="2025-06-15T00:00:00"/>
    <m/>
    <d v="2025-06-16T00:00:00"/>
    <d v="2025-06-17T00:00:00"/>
    <n v="2"/>
    <s v=""/>
    <n v="1"/>
    <n v="1"/>
    <s v="Received by Planning"/>
    <s v="MRS"/>
    <s v="OPERATIONAL"/>
    <s v="Technical Assistance"/>
    <m/>
  </r>
  <r>
    <x v="1"/>
    <x v="12"/>
    <s v="MBA"/>
    <s v="San Vicente (Pob.)"/>
    <n v="1391"/>
    <n v="1332"/>
    <s v="CONDUCTED TECHNICAL ASSISTANCE"/>
    <n v="2024"/>
    <s v="March 05, 2024"/>
    <x v="0"/>
    <s v="Dennis Tolentino"/>
    <m/>
    <s v="Christle David"/>
    <m/>
    <m/>
    <m/>
    <m/>
    <m/>
    <s v=""/>
    <s v=""/>
    <s v=""/>
    <s v=""/>
    <m/>
    <s v="MRF"/>
    <s v="NON-OPERATIONAL"/>
    <s v="Technical Assistance"/>
    <m/>
  </r>
  <r>
    <x v="1"/>
    <x v="12"/>
    <s v="MBA"/>
    <s v="Santa Elena"/>
    <n v="1736"/>
    <n v="1974"/>
    <s v="CONDUCTED TECHNICAL ASSISTANCE"/>
    <n v="2024"/>
    <s v="September 05, 2024"/>
    <x v="0"/>
    <s v="Dennis Tolentino"/>
    <m/>
    <s v="Christle David"/>
    <m/>
    <m/>
    <m/>
    <m/>
    <m/>
    <s v=""/>
    <s v=""/>
    <s v=""/>
    <s v=""/>
    <m/>
    <s v="MRF"/>
    <s v="NON-OPERATIONAL"/>
    <s v="Technical Assistance"/>
    <m/>
  </r>
  <r>
    <x v="1"/>
    <x v="12"/>
    <s v="MBA"/>
    <s v="Santo Domingo"/>
    <n v="4107"/>
    <n v="4394"/>
    <s v="CONDUCTED TECHNICAL ASSISTANCE"/>
    <n v="2024"/>
    <s v="June 27, 2024"/>
    <x v="0"/>
    <s v="Dennis Tolentino"/>
    <m/>
    <s v="Christle David"/>
    <m/>
    <m/>
    <m/>
    <m/>
    <m/>
    <s v=""/>
    <s v=""/>
    <s v=""/>
    <s v=""/>
    <m/>
    <s v="MRF"/>
    <s v="OPERATIONAL"/>
    <s v="Technical Assistance"/>
    <m/>
  </r>
  <r>
    <x v="1"/>
    <x v="12"/>
    <s v="MBA"/>
    <s v="Villa Angeles (Pob.)"/>
    <n v="1161"/>
    <n v="1271"/>
    <s v="CONDUCTED TECHNICAL ASSISTANCE"/>
    <n v="2024"/>
    <s v="August 08, 2024"/>
    <x v="0"/>
    <s v="Dennis Tolentino"/>
    <m/>
    <s v="Christle David"/>
    <m/>
    <m/>
    <m/>
    <m/>
    <m/>
    <s v=""/>
    <s v=""/>
    <s v=""/>
    <s v=""/>
    <m/>
    <s v="MRF"/>
    <s v="OPERATIONAL"/>
    <s v="Technical Assistance"/>
    <m/>
  </r>
  <r>
    <x v="1"/>
    <x v="12"/>
    <s v="MBA"/>
    <s v="Wakas (Pob.)"/>
    <n v="768"/>
    <n v="977"/>
    <s v="CONDUCTED TECHNICAL ASSISTANCE"/>
    <n v="2024"/>
    <s v="June 20, 2024"/>
    <x v="0"/>
    <s v="Dennis Tolentino"/>
    <m/>
    <s v="Christle David"/>
    <m/>
    <m/>
    <m/>
    <m/>
    <m/>
    <s v=""/>
    <s v=""/>
    <s v=""/>
    <s v=""/>
    <m/>
    <s v="MRF"/>
    <s v="OPERATIONAL"/>
    <s v="Technical Assistance"/>
    <m/>
  </r>
  <r>
    <x v="1"/>
    <x v="12"/>
    <s v="MBA"/>
    <s v="Wawa (Pob.)"/>
    <n v="1818"/>
    <n v="1807"/>
    <s v="CONDUCTED TECHNICAL ASSISTANCE"/>
    <n v="2024"/>
    <s v="February 20, 2024"/>
    <x v="0"/>
    <s v="Dennis Tolentino"/>
    <m/>
    <s v="Christle David"/>
    <m/>
    <m/>
    <m/>
    <m/>
    <m/>
    <s v=""/>
    <s v=""/>
    <s v=""/>
    <s v=""/>
    <m/>
    <s v="MRF"/>
    <s v="OPERATIONAL"/>
    <s v="Technical Assistance"/>
    <m/>
  </r>
  <r>
    <x v="1"/>
    <x v="19"/>
    <s v="MBA"/>
    <s v="Ala-uli"/>
    <n v="4458"/>
    <n v="5414"/>
    <s v="CONDUCTED TECHNICAL ASSISTANCE"/>
    <n v="2024"/>
    <s v="July 04, 2024"/>
    <x v="0"/>
    <s v="Dennis Tolentino"/>
    <m/>
    <s v="Christle David"/>
    <m/>
    <m/>
    <m/>
    <m/>
    <m/>
    <s v=""/>
    <s v=""/>
    <s v=""/>
    <s v=""/>
    <m/>
    <s v="MRF"/>
    <s v="OPERATIONAL"/>
    <s v="Technical Assistance"/>
    <m/>
  </r>
  <r>
    <x v="1"/>
    <x v="19"/>
    <s v="MBA"/>
    <s v="Bagumbayan"/>
    <n v="1427"/>
    <n v="1466"/>
    <s v="CONDUCTED TECHNICAL ASSISTANCE"/>
    <n v="2024"/>
    <s v="June 06, 2024"/>
    <x v="0"/>
    <s v="Dennis Tolentino"/>
    <m/>
    <s v="Christle David"/>
    <m/>
    <m/>
    <m/>
    <m/>
    <m/>
    <s v=""/>
    <s v=""/>
    <s v=""/>
    <s v=""/>
    <m/>
    <s v="MRF"/>
    <s v="OPERATIONAL"/>
    <s v="Technical Assistance"/>
    <m/>
  </r>
  <r>
    <x v="1"/>
    <x v="19"/>
    <s v="MBA"/>
    <s v="Balut I"/>
    <n v="1151"/>
    <n v="1315"/>
    <s v="CONDUCTED TECHNICAL ASSISTANCE"/>
    <n v="2024"/>
    <s v="June 26, 2024"/>
    <x v="0"/>
    <s v="Dennis Tolentino"/>
    <m/>
    <s v="Christle David"/>
    <m/>
    <m/>
    <m/>
    <m/>
    <m/>
    <s v=""/>
    <s v=""/>
    <s v=""/>
    <s v=""/>
    <m/>
    <s v="MRF"/>
    <s v="OPERATIONAL"/>
    <s v="Technical Assistance"/>
    <m/>
  </r>
  <r>
    <x v="1"/>
    <x v="19"/>
    <s v="MBA"/>
    <s v="Balut II"/>
    <n v="1260"/>
    <n v="1302"/>
    <s v="CONDUCTED TECHNICAL ASSISTANCE"/>
    <n v="2024"/>
    <s v="July 31, 2024"/>
    <x v="0"/>
    <s v="Dennis Tolentino"/>
    <m/>
    <s v="Christle David"/>
    <m/>
    <m/>
    <m/>
    <m/>
    <m/>
    <s v=""/>
    <s v=""/>
    <s v=""/>
    <s v=""/>
    <m/>
    <s v="MRF"/>
    <s v="OPERATIONAL"/>
    <s v="Technical Assistance"/>
    <m/>
  </r>
  <r>
    <x v="1"/>
    <x v="19"/>
    <s v="MBA"/>
    <s v="Bantan Munti"/>
    <n v="467"/>
    <n v="484"/>
    <s v="CONDUCTED TECHNICAL ASSISTANCE"/>
    <n v="2024"/>
    <s v="May 08, 2024"/>
    <x v="0"/>
    <s v="Dennis Tolentino"/>
    <m/>
    <s v="Christle David"/>
    <m/>
    <m/>
    <m/>
    <m/>
    <m/>
    <s v=""/>
    <s v=""/>
    <s v=""/>
    <s v=""/>
    <m/>
    <s v="MRS"/>
    <s v="OPERATIONAL"/>
    <s v="Technical Assistance"/>
    <m/>
  </r>
  <r>
    <x v="1"/>
    <x v="19"/>
    <s v="MBA"/>
    <s v="Burgos"/>
    <n v="1227"/>
    <n v="1188"/>
    <s v="CONDUCTED TECHNICAL ASSISTANCE"/>
    <n v="2024"/>
    <s v="May 31, 2024"/>
    <x v="0"/>
    <s v="Dennis Tolentino"/>
    <m/>
    <s v="Christle David"/>
    <m/>
    <m/>
    <m/>
    <m/>
    <m/>
    <s v=""/>
    <s v=""/>
    <s v=""/>
    <s v=""/>
    <m/>
    <s v="MRF"/>
    <s v="OPERATIONAL"/>
    <s v="Technical Assistance"/>
    <m/>
  </r>
  <r>
    <x v="1"/>
    <x v="19"/>
    <s v="MBA"/>
    <s v="Del Rosario (Pob.)"/>
    <n v="1847"/>
    <n v="2647"/>
    <s v="CONDUCTED TECHNICAL ASSISTANCE"/>
    <n v="2024"/>
    <s v="April 25, 2024"/>
    <x v="0"/>
    <s v="Dennis Tolentino"/>
    <m/>
    <s v="Christle David"/>
    <m/>
    <m/>
    <m/>
    <m/>
    <m/>
    <s v=""/>
    <s v=""/>
    <s v=""/>
    <s v=""/>
    <m/>
    <m/>
    <m/>
    <s v="Technical Assistance"/>
    <m/>
  </r>
  <r>
    <x v="1"/>
    <x v="19"/>
    <s v="MBA"/>
    <s v="Diwa"/>
    <n v="2491"/>
    <n v="2816"/>
    <s v="CONDUCTED TECHNICAL ASSISTANCE"/>
    <n v="2024"/>
    <s v="August 28, 2024"/>
    <x v="0"/>
    <s v="Dennis Tolentino"/>
    <m/>
    <s v="Christle David"/>
    <m/>
    <m/>
    <m/>
    <m/>
    <m/>
    <s v=""/>
    <s v=""/>
    <s v=""/>
    <s v=""/>
    <m/>
    <s v="MRF"/>
    <s v="OPERATIONAL"/>
    <s v="Technical Assistance"/>
    <m/>
  </r>
  <r>
    <x v="1"/>
    <x v="19"/>
    <s v="MBA"/>
    <s v="Landing"/>
    <n v="1311"/>
    <n v="1316"/>
    <s v="CONDUCTED TECHNICAL ASSISTANCE"/>
    <n v="2024"/>
    <s v="August 21, 2024"/>
    <x v="0"/>
    <s v="Dennis Tolentino"/>
    <m/>
    <s v="Christle David"/>
    <m/>
    <m/>
    <m/>
    <m/>
    <m/>
    <s v=""/>
    <s v=""/>
    <s v=""/>
    <s v=""/>
    <m/>
    <s v="MRF"/>
    <s v="OPERATIONAL"/>
    <s v="Technical Assistance"/>
    <m/>
  </r>
  <r>
    <x v="1"/>
    <x v="19"/>
    <s v="MBA"/>
    <s v="Liyang"/>
    <n v="2345"/>
    <n v="2728"/>
    <s v="CONDUCTED TECHNICAL ASSISTANCE"/>
    <n v="2024"/>
    <s v="October 04, 2024"/>
    <x v="0"/>
    <s v="Dennis Tolentino"/>
    <m/>
    <s v="Christle David"/>
    <m/>
    <m/>
    <m/>
    <m/>
    <m/>
    <s v=""/>
    <s v=""/>
    <s v=""/>
    <s v=""/>
    <m/>
    <s v="MRF"/>
    <s v="OPERATIONAL"/>
    <s v="Technical Assistance"/>
    <m/>
  </r>
  <r>
    <x v="1"/>
    <x v="19"/>
    <s v="MBA"/>
    <s v="Nagwaling"/>
    <n v="3006"/>
    <n v="3571"/>
    <s v="CONDUCTED TECHNICAL ASSISTANCE"/>
    <n v="2024"/>
    <s v="August 13, 2024"/>
    <x v="0"/>
    <s v="Dennis Tolentino"/>
    <m/>
    <s v="Christle David"/>
    <m/>
    <m/>
    <m/>
    <m/>
    <m/>
    <s v=""/>
    <s v=""/>
    <s v=""/>
    <s v=""/>
    <m/>
    <s v="MRF"/>
    <s v="NON-OPERATIONAL"/>
    <s v="Technical Assistance"/>
    <m/>
  </r>
  <r>
    <x v="1"/>
    <x v="19"/>
    <s v="MBA"/>
    <s v="Panilao"/>
    <n v="5488"/>
    <n v="5857"/>
    <s v="CONDUCTED TECHNICAL ASSISTANCE"/>
    <n v="2024"/>
    <s v="February 29, 2024"/>
    <x v="0"/>
    <s v="Dennis Tolentino"/>
    <m/>
    <s v="Christle David"/>
    <m/>
    <m/>
    <m/>
    <m/>
    <m/>
    <s v=""/>
    <s v=""/>
    <s v=""/>
    <s v=""/>
    <m/>
    <s v="MRF"/>
    <s v="OPERATIONAL"/>
    <s v="Technical Assistance"/>
    <m/>
  </r>
  <r>
    <x v="1"/>
    <x v="19"/>
    <s v="MBA"/>
    <s v="Pantingan"/>
    <n v="1442"/>
    <n v="1482"/>
    <s v="CONDUCTED TECHNICAL ASSISTANCE"/>
    <n v="2024"/>
    <s v="October 04, 2024"/>
    <x v="0"/>
    <s v="Dennis Tolentino"/>
    <m/>
    <s v="Christle David"/>
    <m/>
    <m/>
    <m/>
    <m/>
    <m/>
    <s v=""/>
    <s v=""/>
    <s v=""/>
    <s v=""/>
    <m/>
    <s v="MRF"/>
    <s v="OPERATIONAL"/>
    <s v="Technical Assistance"/>
    <m/>
  </r>
  <r>
    <x v="1"/>
    <x v="19"/>
    <s v="MBA"/>
    <s v="Poblacion"/>
    <n v="1399"/>
    <n v="1311"/>
    <s v="CONDUCTED TECHNICAL ASSISTANCE"/>
    <n v="2024"/>
    <s v="March 21, 2024"/>
    <x v="0"/>
    <s v="Dennis Tolentino"/>
    <m/>
    <s v="Christle David"/>
    <m/>
    <m/>
    <m/>
    <m/>
    <m/>
    <s v=""/>
    <s v=""/>
    <s v=""/>
    <s v=""/>
    <m/>
    <s v="MRS"/>
    <s v="OPERATIONAL"/>
    <s v="Technical Assistance"/>
    <m/>
  </r>
  <r>
    <x v="1"/>
    <x v="19"/>
    <s v="MBA"/>
    <s v="Rizal (Pob.)"/>
    <n v="847"/>
    <n v="1114"/>
    <s v="CONDUCTED TECHNICAL ASSISTANCE"/>
    <n v="2024"/>
    <s v="May 16, 2024"/>
    <x v="0"/>
    <s v="Dennis Tolentino"/>
    <m/>
    <s v="Christle David"/>
    <m/>
    <m/>
    <m/>
    <m/>
    <m/>
    <s v=""/>
    <s v=""/>
    <s v=""/>
    <s v=""/>
    <m/>
    <s v="MRF"/>
    <s v="OPERATIONAL"/>
    <s v="Technical Assistance"/>
    <m/>
  </r>
  <r>
    <x v="1"/>
    <x v="19"/>
    <s v="MBA"/>
    <s v="Santa Rosa"/>
    <n v="6942"/>
    <n v="7179"/>
    <s v="CONDUCTED TECHNICAL ASSISTANCE"/>
    <n v="2024"/>
    <s v="February 23, 2024"/>
    <x v="0"/>
    <s v="Dennis Tolentino"/>
    <m/>
    <s v="Christle David"/>
    <m/>
    <m/>
    <m/>
    <m/>
    <m/>
    <s v=""/>
    <s v=""/>
    <s v=""/>
    <s v=""/>
    <m/>
    <s v="MRF"/>
    <s v="OPERATIONAL"/>
    <s v="Technical Assistance"/>
    <m/>
  </r>
  <r>
    <x v="1"/>
    <x v="19"/>
    <s v="MBA"/>
    <s v="Wakas North"/>
    <n v="1109"/>
    <n v="1299"/>
    <s v="CONDUCTED TECHNICAL ASSISTANCE"/>
    <n v="2024"/>
    <s v="May 21, 2024"/>
    <x v="0"/>
    <s v="Dennis Tolentino"/>
    <m/>
    <s v="Christle David"/>
    <m/>
    <m/>
    <m/>
    <m/>
    <m/>
    <s v=""/>
    <s v=""/>
    <s v=""/>
    <s v=""/>
    <m/>
    <s v="MRF"/>
    <s v="OPERATIONAL"/>
    <s v="Technical Assistance"/>
    <m/>
  </r>
  <r>
    <x v="1"/>
    <x v="19"/>
    <s v="MBA"/>
    <s v="Wakas South"/>
    <n v="1616"/>
    <n v="1461"/>
    <s v="CONDUCTED TECHNICAL ASSISTANCE"/>
    <n v="2024"/>
    <s v="June 19, 2024"/>
    <x v="0"/>
    <s v="Dennis Tolentino"/>
    <m/>
    <s v="Christle David"/>
    <m/>
    <m/>
    <m/>
    <m/>
    <m/>
    <s v=""/>
    <s v=""/>
    <s v=""/>
    <s v=""/>
    <m/>
    <m/>
    <m/>
    <s v="Technical Assistance"/>
    <m/>
  </r>
  <r>
    <x v="1"/>
    <x v="19"/>
    <s v="MBA"/>
    <s v="Wawa"/>
    <n v="1990"/>
    <n v="2289"/>
    <s v="CONDUCTED TECHNICAL ASSISTANCE"/>
    <n v="2024"/>
    <s v="September 19, 2024"/>
    <x v="0"/>
    <s v="Dennis Tolentino"/>
    <m/>
    <s v="Christle David"/>
    <m/>
    <m/>
    <m/>
    <m/>
    <m/>
    <s v=""/>
    <s v=""/>
    <s v=""/>
    <s v=""/>
    <m/>
    <s v="MRF"/>
    <s v="OPERATIONAL"/>
    <s v="Technical Assistance"/>
    <m/>
  </r>
  <r>
    <x v="1"/>
    <x v="20"/>
    <s v="MBA"/>
    <s v="East Calaguiman (Pob.)"/>
    <n v="2573"/>
    <n v="2789"/>
    <s v="CONDUCTED TECHNICAL ASSISTANCE"/>
    <n v="2024"/>
    <s v="May 03, 2024"/>
    <x v="0"/>
    <s v="John-lester Signio"/>
    <m/>
    <s v="Christle David"/>
    <m/>
    <m/>
    <m/>
    <m/>
    <m/>
    <s v=""/>
    <s v=""/>
    <s v=""/>
    <s v=""/>
    <m/>
    <s v="MRF"/>
    <s v="NON-OPERATIONAL"/>
    <s v="Technical Assistance"/>
    <m/>
  </r>
  <r>
    <x v="1"/>
    <x v="20"/>
    <s v="MBA"/>
    <s v="East Daang Bago (Pob.)"/>
    <n v="1169"/>
    <n v="1314"/>
    <s v="CONDUCTED TECHNICAL ASSISTANCE"/>
    <n v="2024"/>
    <s v="February 22, 2024"/>
    <x v="0"/>
    <s v="John-lester Signio"/>
    <m/>
    <s v="Christle David"/>
    <m/>
    <m/>
    <m/>
    <m/>
    <m/>
    <s v=""/>
    <s v=""/>
    <s v=""/>
    <s v=""/>
    <m/>
    <s v="MRF"/>
    <s v="OPERATIONAL"/>
    <s v="Technical Assistance"/>
    <m/>
  </r>
  <r>
    <x v="1"/>
    <x v="20"/>
    <s v="MBA"/>
    <s v="Gugo"/>
    <n v="3756"/>
    <n v="3639"/>
    <s v="CONDUCTED TECHNICAL ASSISTANCE"/>
    <n v="2024"/>
    <s v="May 22, 2024"/>
    <x v="0"/>
    <s v="John-lester Signio"/>
    <m/>
    <s v="Christle David"/>
    <m/>
    <m/>
    <m/>
    <m/>
    <m/>
    <s v=""/>
    <s v=""/>
    <s v=""/>
    <s v=""/>
    <m/>
    <m/>
    <m/>
    <s v="Technical Assistance"/>
    <m/>
  </r>
  <r>
    <x v="1"/>
    <x v="20"/>
    <s v="MBA"/>
    <s v="Ibaba (Pob.)"/>
    <n v="3210"/>
    <n v="3230"/>
    <s v="CONDUCTED TECHNICAL ASSISTANCE"/>
    <n v="2024"/>
    <s v="April 04, 2024"/>
    <x v="0"/>
    <s v="John-lester Signio"/>
    <m/>
    <s v="Christle David"/>
    <m/>
    <m/>
    <m/>
    <m/>
    <m/>
    <s v=""/>
    <s v=""/>
    <s v=""/>
    <s v=""/>
    <m/>
    <s v="MRF"/>
    <s v="OPERATIONAL"/>
    <s v="Technical Assistance"/>
    <m/>
  </r>
  <r>
    <x v="1"/>
    <x v="20"/>
    <s v="MBA"/>
    <s v="Imelda"/>
    <n v="2665"/>
    <n v="3058"/>
    <s v="CONDUCTED TECHNICAL ASSISTANCE"/>
    <n v="2024"/>
    <s v="March 05, 2024"/>
    <x v="0"/>
    <s v="John-lester Signio"/>
    <m/>
    <s v="Christle David"/>
    <m/>
    <m/>
    <m/>
    <m/>
    <m/>
    <s v=""/>
    <s v=""/>
    <s v=""/>
    <s v=""/>
    <m/>
    <s v="MRF"/>
    <s v="OPERATIONAL"/>
    <s v="Technical Assistance"/>
    <m/>
  </r>
  <r>
    <x v="1"/>
    <x v="20"/>
    <s v="MBA"/>
    <s v="Lalawigan"/>
    <n v="3926"/>
    <n v="4787"/>
    <s v="CONDUCTED TECHNICAL ASSISTANCE"/>
    <n v="2024"/>
    <s v="March 05, 2024"/>
    <x v="0"/>
    <s v="John-lester Signio"/>
    <m/>
    <s v="Christle David"/>
    <m/>
    <m/>
    <m/>
    <m/>
    <m/>
    <s v=""/>
    <s v=""/>
    <s v=""/>
    <s v=""/>
    <m/>
    <s v="MRF"/>
    <s v="NON-OPERATIONAL"/>
    <s v="Technical Assistance"/>
    <m/>
  </r>
  <r>
    <x v="1"/>
    <x v="20"/>
    <s v="MBA"/>
    <s v="Palili"/>
    <n v="2092"/>
    <n v="2284"/>
    <s v="CONDUCTED TECHNICAL ASSISTANCE"/>
    <n v="2024"/>
    <s v="May 31, 2024"/>
    <x v="0"/>
    <s v="John-lester Signio"/>
    <m/>
    <s v="Christle David"/>
    <m/>
    <m/>
    <m/>
    <m/>
    <m/>
    <s v=""/>
    <s v=""/>
    <s v=""/>
    <s v=""/>
    <m/>
    <m/>
    <m/>
    <s v="Technical Assistance"/>
    <m/>
  </r>
  <r>
    <x v="1"/>
    <x v="20"/>
    <s v="MBA"/>
    <s v="San Juan (Pob.)"/>
    <n v="4230"/>
    <n v="4456"/>
    <s v="CONDUCTED TECHNICAL ASSISTANCE"/>
    <n v="2024"/>
    <s v="April 18, 2024"/>
    <x v="0"/>
    <s v="John-lester Signio"/>
    <m/>
    <s v="Christle David"/>
    <m/>
    <m/>
    <m/>
    <m/>
    <m/>
    <s v=""/>
    <s v=""/>
    <s v=""/>
    <s v=""/>
    <m/>
    <m/>
    <m/>
    <s v="Technical Assistance"/>
    <m/>
  </r>
  <r>
    <x v="1"/>
    <x v="20"/>
    <s v="MBA"/>
    <s v="San Roque (Pob.)"/>
    <n v="1159"/>
    <n v="936"/>
    <s v="CONDUCTED TECHNICAL ASSISTANCE"/>
    <n v="2024"/>
    <s v="March 15, 2024"/>
    <x v="0"/>
    <s v="John-lester Signio"/>
    <m/>
    <s v="Christle David"/>
    <m/>
    <m/>
    <m/>
    <m/>
    <m/>
    <s v=""/>
    <s v=""/>
    <s v=""/>
    <s v=""/>
    <m/>
    <s v="MRF"/>
    <s v="OPERATIONAL"/>
    <s v="Technical Assistance"/>
    <m/>
  </r>
  <r>
    <x v="1"/>
    <x v="20"/>
    <s v="MBA"/>
    <s v="Santa Lucia"/>
    <n v="2480"/>
    <n v="2555"/>
    <s v="CONDUCTED TECHNICAL ASSISTANCE"/>
    <n v="2024"/>
    <s v="April 25, 2024"/>
    <x v="0"/>
    <s v="John-lester Signio"/>
    <m/>
    <s v="Christle David"/>
    <m/>
    <m/>
    <m/>
    <m/>
    <m/>
    <s v=""/>
    <s v=""/>
    <s v=""/>
    <s v=""/>
    <m/>
    <m/>
    <m/>
    <s v="Technical Assistance"/>
    <m/>
  </r>
  <r>
    <x v="1"/>
    <x v="20"/>
    <s v="MBA"/>
    <s v="Sapa"/>
    <n v="3682"/>
    <n v="4638"/>
    <s v="CONDUCTED TECHNICAL ASSISTANCE"/>
    <n v="2024"/>
    <s v="March 26, 2024"/>
    <x v="0"/>
    <s v="John-lester Signio"/>
    <m/>
    <s v="Christle David"/>
    <m/>
    <m/>
    <m/>
    <m/>
    <m/>
    <s v=""/>
    <s v=""/>
    <s v=""/>
    <s v=""/>
    <m/>
    <s v="MRF"/>
    <s v="OPERATIONAL"/>
    <s v="Technical Assistance"/>
    <m/>
  </r>
  <r>
    <x v="1"/>
    <x v="20"/>
    <s v="MBA"/>
    <s v="Tabing Ilog"/>
    <n v="2184"/>
    <n v="2289"/>
    <s v="CONDUCTED TECHNICAL ASSISTANCE"/>
    <n v="2024"/>
    <s v="March 15, 2024"/>
    <x v="0"/>
    <s v="John-lester Signio"/>
    <m/>
    <s v="Christle David"/>
    <m/>
    <m/>
    <m/>
    <m/>
    <m/>
    <s v=""/>
    <s v=""/>
    <s v=""/>
    <s v=""/>
    <m/>
    <s v="MRF"/>
    <s v="OPERATIONAL"/>
    <s v="Technical Assistance"/>
    <m/>
  </r>
  <r>
    <x v="1"/>
    <x v="20"/>
    <s v="MBA"/>
    <s v="West Calaguiman (Pob.)"/>
    <n v="1419"/>
    <n v="1534"/>
    <s v="CONDUCTED TECHNICAL ASSISTANCE"/>
    <n v="2024"/>
    <s v="May 17, 2024"/>
    <x v="0"/>
    <s v="John-lester Signio"/>
    <m/>
    <s v="Christle David"/>
    <m/>
    <m/>
    <m/>
    <m/>
    <m/>
    <s v=""/>
    <s v=""/>
    <s v=""/>
    <s v=""/>
    <m/>
    <s v="MRF"/>
    <s v="OPERATIONAL"/>
    <s v="Technical Assistance"/>
    <m/>
  </r>
  <r>
    <x v="1"/>
    <x v="20"/>
    <s v="MBA"/>
    <s v="West Daang Bago (Pob.)"/>
    <n v="753"/>
    <n v="793"/>
    <s v="CONDUCTED TECHNICAL ASSISTANCE"/>
    <n v="2024"/>
    <s v="February 22, 2024"/>
    <x v="0"/>
    <s v="John-lester Signio"/>
    <m/>
    <s v="Christle David"/>
    <m/>
    <m/>
    <m/>
    <m/>
    <m/>
    <s v=""/>
    <s v=""/>
    <s v=""/>
    <s v=""/>
    <m/>
    <s v="MRF"/>
    <s v="OPERATIONAL"/>
    <s v="Technical Assistance"/>
    <m/>
  </r>
  <r>
    <x v="2"/>
    <x v="21"/>
    <s v="MBA"/>
    <s v="Donacion"/>
    <n v="2603"/>
    <n v="2902"/>
    <s v="CONDUCTED TECHNICAL ASSISTANCE"/>
    <n v="2025"/>
    <d v="2025-09-12T00:00:00"/>
    <x v="7"/>
    <s v="Ronaldo P. Roque, Jr."/>
    <s v="Maria Cecilia S. Pascual"/>
    <s v="Diozelle L. Cabalar"/>
    <s v="R3-2025-031081"/>
    <d v="2025-09-15T00:00:00"/>
    <d v="2025-09-16T00:00:00"/>
    <d v="2025-09-16T00:00:00"/>
    <d v="2025-09-18T00:00:00"/>
    <n v="1"/>
    <n v="1"/>
    <n v="1"/>
    <n v="2"/>
    <s v="Received by Planning"/>
    <s v="NO FACILITY"/>
    <s v="CATER BY LGU"/>
    <s v="Technical Assistance"/>
    <m/>
  </r>
  <r>
    <x v="2"/>
    <x v="21"/>
    <s v="MBA"/>
    <s v="Banaban"/>
    <n v="2140"/>
    <n v="2327"/>
    <s v="CONDUCTED TECHNICAL ASSISTANCE"/>
    <n v="2025"/>
    <d v="2025-05-14T00:00:00"/>
    <x v="6"/>
    <s v="Ronaldo P. Roque, Jr."/>
    <m/>
    <s v="Diozelle L. Cabalar"/>
    <s v="R3-2025-016519"/>
    <d v="2025-05-19T00:00:00"/>
    <m/>
    <d v="2025-05-20T00:00:00"/>
    <d v="2025-05-20T00:00:00"/>
    <n v="3"/>
    <s v=""/>
    <n v="1"/>
    <n v="1"/>
    <s v="Received by Planning"/>
    <s v="MRS"/>
    <s v="OPERATIONAL"/>
    <s v="Technical Assistance"/>
    <m/>
  </r>
  <r>
    <x v="2"/>
    <x v="21"/>
    <s v="MBA"/>
    <s v="Baybay"/>
    <n v="855"/>
    <n v="910"/>
    <s v="CONDUCTED TECHNICAL ASSISTANCE"/>
    <n v="2025"/>
    <d v="2025-05-14T00:00:00"/>
    <x v="6"/>
    <s v="Ronaldo P. Roque, Jr."/>
    <m/>
    <s v="Diozelle L. Cabalar"/>
    <s v="R3-2025-016518 "/>
    <d v="2025-05-19T00:00:00"/>
    <m/>
    <d v="2025-05-20T00:00:00"/>
    <d v="2025-05-20T00:00:00"/>
    <n v="3"/>
    <s v=""/>
    <n v="1"/>
    <n v="1"/>
    <s v="Received by Planning"/>
    <s v="MRS"/>
    <s v="OPERATIONAL"/>
    <s v="Technical Assistance"/>
    <m/>
  </r>
  <r>
    <x v="2"/>
    <x v="21"/>
    <s v="MBA"/>
    <s v="Binagbag"/>
    <n v="5182"/>
    <n v="5560"/>
    <s v="CONDUCTED TECHNICAL ASSISTANCE"/>
    <n v="2025"/>
    <d v="2025-05-14T00:00:00"/>
    <x v="6"/>
    <s v="Ronaldo P. Roque, Jr."/>
    <m/>
    <s v="Diozelle L. Cabalar"/>
    <s v="R3-2025-016517 "/>
    <d v="2025-05-19T00:00:00"/>
    <m/>
    <d v="2025-05-20T00:00:00"/>
    <d v="2025-05-20T00:00:00"/>
    <n v="3"/>
    <s v=""/>
    <n v="1"/>
    <n v="1"/>
    <s v="Received by Planning"/>
    <s v="MRF"/>
    <s v="OPERATIONAL"/>
    <s v="Technical Assistance"/>
    <m/>
  </r>
  <r>
    <x v="2"/>
    <x v="21"/>
    <s v="MBA"/>
    <s v="Marungko"/>
    <n v="4344"/>
    <n v="5552"/>
    <s v="CONDUCTED TECHNICAL ASSISTANCE"/>
    <n v="2025"/>
    <d v="2025-09-12T00:00:00"/>
    <x v="7"/>
    <s v="Ronaldo P. Roque, Jr."/>
    <s v="Maria Cecilia S. Pascual"/>
    <s v="Diozelle L. Cabalar"/>
    <s v="R3-2025-031082"/>
    <d v="2025-09-15T00:00:00"/>
    <d v="2025-09-16T00:00:00"/>
    <d v="2025-09-16T00:00:00"/>
    <d v="2025-09-18T00:00:00"/>
    <n v="1"/>
    <n v="1"/>
    <n v="1"/>
    <n v="2"/>
    <s v="Received by Planning"/>
    <s v="MRF"/>
    <s v="OPERATIONAL"/>
    <s v="Technical Assistance"/>
    <m/>
  </r>
  <r>
    <x v="2"/>
    <x v="21"/>
    <s v="MBA"/>
    <s v="Encanto"/>
    <n v="4665"/>
    <n v="5116"/>
    <s v="CONDUCTED TECHNICAL ASSISTANCE"/>
    <n v="2025"/>
    <d v="2025-11-07T00:00:00"/>
    <x v="11"/>
    <s v="Ronaldo P. Roque, Jr."/>
    <s v="Maria Cecilia S. Pascual"/>
    <s v="Diozelle L. Cabalar"/>
    <s v="R3-2025-037534"/>
    <d v="2025-11-10T00:00:00"/>
    <d v="2025-11-18T00:00:00"/>
    <d v="2025-11-19T00:00:00"/>
    <d v="2025-11-19T00:00:00"/>
    <n v="1"/>
    <n v="1"/>
    <n v="1"/>
    <n v="1"/>
    <s v="Received by Planning"/>
    <s v="MRS"/>
    <s v="OPERATIONAL"/>
    <s v="Technical Assistance"/>
    <m/>
  </r>
  <r>
    <x v="2"/>
    <x v="21"/>
    <s v="MBA"/>
    <s v="Laog"/>
    <n v="1225"/>
    <n v="1787"/>
    <s v="CONDUCTED TECHNICAL ASSISTANCE"/>
    <n v="2025"/>
    <d v="2025-11-07T00:00:00"/>
    <x v="11"/>
    <s v="Ronaldo P. Roque, Jr."/>
    <s v="Maria Cecilia S. Pascual"/>
    <s v="Diozelle L. Cabalar"/>
    <s v="R3-2025-037536"/>
    <d v="2025-11-10T00:00:00"/>
    <d v="2025-11-18T00:00:00"/>
    <d v="2025-11-19T00:00:00"/>
    <d v="2025-11-19T00:00:00"/>
    <n v="1"/>
    <n v="1"/>
    <n v="1"/>
    <n v="1"/>
    <s v="Received by Planning"/>
    <s v="MRF"/>
    <s v="NON-OPERATIONAL"/>
    <s v="Technical Assistance"/>
    <m/>
  </r>
  <r>
    <x v="2"/>
    <x v="21"/>
    <s v="MBA"/>
    <s v="Niugan"/>
    <n v="4607"/>
    <n v="5256"/>
    <s v="CONDUCTED TECHNICAL ASSISTANCE"/>
    <n v="2025"/>
    <d v="2025-09-12T00:00:00"/>
    <x v="7"/>
    <s v="Ronaldo P. Roque, Jr."/>
    <s v="Maria Cecilia S. Pascual"/>
    <s v="Diozelle L. Cabalar"/>
    <s v="R3-2025-031079"/>
    <d v="2025-09-15T00:00:00"/>
    <d v="2025-09-17T00:00:00"/>
    <d v="2025-09-17T00:00:00"/>
    <d v="2025-09-18T00:00:00"/>
    <n v="1"/>
    <n v="1"/>
    <n v="1"/>
    <n v="1"/>
    <s v="Received by Planning"/>
    <s v="MRF"/>
    <s v="NON-OPERATIONAL"/>
    <s v="Technical Assistance"/>
    <m/>
  </r>
  <r>
    <x v="2"/>
    <x v="21"/>
    <s v="MBA"/>
    <s v="Santa Cruz (Pob.)"/>
    <n v="5641"/>
    <n v="5875"/>
    <s v="CONDUCTED TECHNICAL ASSISTANCE"/>
    <n v="2025"/>
    <d v="2025-09-12T00:00:00"/>
    <x v="7"/>
    <s v="Ronaldo P. Roque, Jr."/>
    <s v="Maria Cecilia S. Pascual"/>
    <s v="Diozelle L. Cabalar"/>
    <s v="R3-2025-031085"/>
    <d v="2025-09-15T00:00:00"/>
    <d v="2025-09-17T00:00:00"/>
    <d v="2025-09-17T00:00:00"/>
    <d v="2025-09-18T00:00:00"/>
    <n v="1"/>
    <n v="1"/>
    <n v="1"/>
    <n v="1"/>
    <s v="Received by Planning"/>
    <s v="NO FACILITY"/>
    <s v="CATER BY LGU"/>
    <s v="Technical Assistance"/>
    <m/>
  </r>
  <r>
    <x v="2"/>
    <x v="21"/>
    <s v="MBA"/>
    <s v="Paltok"/>
    <n v="1447"/>
    <n v="1738"/>
    <s v="CONDUCTED TECHNICAL ASSISTANCE"/>
    <n v="2025"/>
    <d v="2025-08-12T00:00:00"/>
    <x v="9"/>
    <s v="Ronaldo P. Roque, Jr."/>
    <m/>
    <s v="Diozelle L. Cabalar"/>
    <s v="R3-2025-027546"/>
    <d v="2025-08-16T00:00:00"/>
    <m/>
    <d v="2025-08-18T00:00:00"/>
    <d v="2025-08-19T00:00:00"/>
    <n v="3"/>
    <s v=""/>
    <n v="1"/>
    <n v="1"/>
    <s v="Received by Planning"/>
    <s v="MRF"/>
    <s v="NON-OPERATIONAL"/>
    <s v="Technical Assistance"/>
    <m/>
  </r>
  <r>
    <x v="2"/>
    <x v="21"/>
    <s v="MBA"/>
    <s v="Pulong Yantok"/>
    <n v="4940"/>
    <n v="5940"/>
    <s v="CONDUCTED TECHNICAL ASSISTANCE"/>
    <n v="2025"/>
    <d v="2025-11-07T00:00:00"/>
    <x v="11"/>
    <s v="Ronaldo P. Roque, Jr."/>
    <s v="Maria Cecilia S. Pascual"/>
    <s v="Diozelle L. Cabalar"/>
    <s v="R3-2025-037535"/>
    <d v="2025-11-10T00:00:00"/>
    <d v="2025-11-18T00:00:00"/>
    <d v="2025-11-19T00:00:00"/>
    <d v="2025-11-19T00:00:00"/>
    <n v="1"/>
    <n v="1"/>
    <n v="1"/>
    <n v="1"/>
    <s v="Received by Planning"/>
    <s v="MRF"/>
    <s v="NON-OPERATIONAL"/>
    <s v="Technical Assistance"/>
    <m/>
  </r>
  <r>
    <x v="2"/>
    <x v="21"/>
    <s v="MBA"/>
    <s v="San Roque (Pob.)"/>
    <n v="5168"/>
    <n v="4747"/>
    <s v="CONDUCTED TECHNICAL ASSISTANCE"/>
    <n v="2025"/>
    <d v="2025-08-12T00:00:00"/>
    <x v="9"/>
    <s v="Ronaldo P. Roque, Jr."/>
    <m/>
    <s v="Diozelle L. Cabalar"/>
    <s v="R3-2025-027549"/>
    <d v="2025-08-16T00:00:00"/>
    <m/>
    <d v="2025-08-19T00:00:00"/>
    <d v="2025-08-19T00:00:00"/>
    <n v="3"/>
    <s v=""/>
    <n v="1"/>
    <n v="1"/>
    <s v="Received by Planning"/>
    <s v="MRF"/>
    <s v="OPERATIONAL"/>
    <s v="Technical Assistance"/>
    <m/>
  </r>
  <r>
    <x v="2"/>
    <x v="21"/>
    <s v="MBA"/>
    <s v="Santa Lucia"/>
    <n v="2475"/>
    <n v="2911"/>
    <s v="CONDUCTED TECHNICAL ASSISTANCE"/>
    <n v="2025"/>
    <d v="2025-09-12T00:00:00"/>
    <x v="7"/>
    <s v="Ronaldo P. Roque, Jr."/>
    <s v="Maria Cecilia S. Pascual"/>
    <s v="Diozelle L. Cabalar"/>
    <s v="R3-2025-031083"/>
    <d v="2025-09-15T00:00:00"/>
    <d v="2025-09-17T00:00:00"/>
    <d v="2025-09-17T00:00:00"/>
    <d v="2025-09-18T00:00:00"/>
    <n v="1"/>
    <n v="1"/>
    <n v="1"/>
    <n v="1"/>
    <s v="Received by Planning"/>
    <s v="NO FACILITY"/>
    <s v="CATER BY LGU"/>
    <s v="Technical Assistance"/>
    <m/>
  </r>
  <r>
    <x v="2"/>
    <x v="21"/>
    <s v="MBA"/>
    <s v="Santo Cristo (Pob.)"/>
    <n v="4999"/>
    <n v="5132"/>
    <s v="CONDUCTED TECHNICAL ASSISTANCE"/>
    <n v="2025"/>
    <d v="2025-09-12T00:00:00"/>
    <x v="7"/>
    <s v="Ronaldo P. Roque, Jr."/>
    <s v="Maria Cecilia S. Pascual"/>
    <s v="Diozelle L. Cabalar"/>
    <s v="R3-2025-031086"/>
    <d v="2025-09-15T00:00:00"/>
    <d v="2025-09-17T00:00:00"/>
    <d v="2025-09-17T00:00:00"/>
    <d v="2025-09-18T00:00:00"/>
    <n v="1"/>
    <n v="1"/>
    <n v="1"/>
    <n v="1"/>
    <s v="Received by Planning"/>
    <s v="MRF"/>
    <s v="OPERATIONAL"/>
    <s v="Technical Assistance"/>
    <m/>
  </r>
  <r>
    <x v="2"/>
    <x v="21"/>
    <s v="MBA"/>
    <s v="Sulucan"/>
    <n v="5723"/>
    <n v="5910"/>
    <s v="CONDUCTED TECHNICAL ASSISTANCE"/>
    <n v="2025"/>
    <d v="2025-08-12T00:00:00"/>
    <x v="9"/>
    <s v="Ronaldo P. Roque, Jr."/>
    <m/>
    <s v="Diozelle L. Cabalar"/>
    <s v="R3-2025-027548"/>
    <d v="2025-08-16T00:00:00"/>
    <m/>
    <d v="2025-08-18T00:00:00"/>
    <d v="2025-08-19T00:00:00"/>
    <n v="3"/>
    <s v=""/>
    <n v="1"/>
    <n v="1"/>
    <s v="Received by Planning"/>
    <s v="MRF"/>
    <s v="NON-OPERATIONAL"/>
    <s v="Technical Assistance"/>
    <m/>
  </r>
  <r>
    <x v="2"/>
    <x v="21"/>
    <s v="MBA"/>
    <s v="Taboc"/>
    <n v="3223"/>
    <n v="3954"/>
    <s v="CONDUCTED TECHNICAL ASSISTANCE"/>
    <n v="2025"/>
    <d v="2025-08-12T00:00:00"/>
    <x v="9"/>
    <s v="Ronaldo P. Roque, Jr."/>
    <m/>
    <s v="Diozelle L. Cabalar"/>
    <s v="R3-2025-027547"/>
    <d v="2025-08-16T00:00:00"/>
    <m/>
    <d v="2025-08-18T00:00:00"/>
    <d v="2025-08-19T00:00:00"/>
    <n v="3"/>
    <s v=""/>
    <n v="1"/>
    <n v="1"/>
    <s v="Received by Planning"/>
    <s v="MRF"/>
    <s v="NON-OPERATIONAL"/>
    <s v="Technical Assistance"/>
    <m/>
  </r>
  <r>
    <x v="2"/>
    <x v="22"/>
    <s v="MBA"/>
    <s v="Borol 1st"/>
    <n v="10190"/>
    <n v="10780"/>
    <s v="CONDUCTED TECHNICAL ASSISTANCE"/>
    <n v="2024"/>
    <d v="2024-04-11T00:00:00"/>
    <x v="0"/>
    <m/>
    <s v="Rod Ross S. De Jesus"/>
    <s v="Diozelle L. Cabalar"/>
    <m/>
    <m/>
    <m/>
    <m/>
    <m/>
    <s v=""/>
    <s v=""/>
    <s v=""/>
    <s v=""/>
    <m/>
    <m/>
    <m/>
    <s v="Technical Assistance"/>
    <m/>
  </r>
  <r>
    <x v="2"/>
    <x v="22"/>
    <s v="MBA"/>
    <s v="Borol 2nd"/>
    <n v="7243"/>
    <n v="8360"/>
    <s v="CONDUCTED TECHNICAL ASSISTANCE"/>
    <n v="2024"/>
    <d v="2024-04-11T00:00:00"/>
    <x v="0"/>
    <m/>
    <s v="Rod Ross S. De Jesus"/>
    <s v="Diozelle L. Cabalar"/>
    <m/>
    <m/>
    <m/>
    <m/>
    <m/>
    <s v=""/>
    <s v=""/>
    <s v=""/>
    <s v=""/>
    <m/>
    <m/>
    <m/>
    <s v="Technical Assistance"/>
    <m/>
  </r>
  <r>
    <x v="2"/>
    <x v="22"/>
    <s v="MBA"/>
    <s v="Dalig"/>
    <n v="1949"/>
    <n v="2081"/>
    <s v="CONDUCTED TECHNICAL ASSISTANCE"/>
    <n v="2024"/>
    <d v="2024-04-11T00:00:00"/>
    <x v="0"/>
    <m/>
    <s v="Rod Ross S. De Jesus"/>
    <s v="Diozelle L. Cabalar"/>
    <m/>
    <m/>
    <m/>
    <m/>
    <m/>
    <s v=""/>
    <s v=""/>
    <s v=""/>
    <s v=""/>
    <m/>
    <m/>
    <m/>
    <s v="Technical Assistance"/>
    <m/>
  </r>
  <r>
    <x v="2"/>
    <x v="22"/>
    <s v="MBA"/>
    <s v="Longos"/>
    <n v="2779"/>
    <n v="2711"/>
    <s v="CONDUCTED TECHNICAL ASSISTANCE"/>
    <n v="2024"/>
    <d v="2024-04-12T00:00:00"/>
    <x v="0"/>
    <m/>
    <s v="Rod Ross S. De Jesus"/>
    <s v="Diozelle L. Cabalar"/>
    <m/>
    <m/>
    <m/>
    <m/>
    <m/>
    <s v=""/>
    <s v=""/>
    <s v=""/>
    <s v=""/>
    <m/>
    <m/>
    <m/>
    <s v="Technical Assistance"/>
    <m/>
  </r>
  <r>
    <x v="2"/>
    <x v="22"/>
    <s v="MBA"/>
    <s v="Panginay"/>
    <n v="12578"/>
    <n v="13992"/>
    <s v="CONDUCTED TECHNICAL ASSISTANCE"/>
    <n v="2024"/>
    <d v="2024-04-12T00:00:00"/>
    <x v="0"/>
    <m/>
    <s v="Rod Ross S. De Jesus"/>
    <s v="Diozelle L. Cabalar"/>
    <m/>
    <m/>
    <m/>
    <m/>
    <m/>
    <s v=""/>
    <s v=""/>
    <s v=""/>
    <s v=""/>
    <m/>
    <m/>
    <m/>
    <s v="Technical Assistance"/>
    <m/>
  </r>
  <r>
    <x v="2"/>
    <x v="22"/>
    <s v="MBA"/>
    <s v="Pulong Gubat"/>
    <n v="7701"/>
    <n v="7759"/>
    <s v="CONDUCTED TECHNICAL ASSISTANCE"/>
    <n v="2024"/>
    <d v="2024-04-11T00:00:00"/>
    <x v="0"/>
    <m/>
    <s v="Rod Ross S. De Jesus"/>
    <s v="Diozelle L. Cabalar"/>
    <m/>
    <m/>
    <m/>
    <m/>
    <m/>
    <s v=""/>
    <s v=""/>
    <s v=""/>
    <s v=""/>
    <m/>
    <m/>
    <m/>
    <s v="Technical Assistance"/>
    <m/>
  </r>
  <r>
    <x v="2"/>
    <x v="22"/>
    <s v="MBA"/>
    <s v="San Juan"/>
    <n v="10158"/>
    <n v="9415"/>
    <s v="CONDUCTED TECHNICAL ASSISTANCE"/>
    <n v="2024"/>
    <s v="March 14, 2024"/>
    <x v="0"/>
    <m/>
    <s v="Rod Ross S. De Jesus"/>
    <s v="Diozelle L. Cabalar"/>
    <m/>
    <m/>
    <m/>
    <m/>
    <m/>
    <s v=""/>
    <s v=""/>
    <s v=""/>
    <s v=""/>
    <m/>
    <m/>
    <m/>
    <m/>
    <m/>
  </r>
  <r>
    <x v="2"/>
    <x v="22"/>
    <s v="MBA"/>
    <s v="Santol"/>
    <n v="16346"/>
    <n v="17050"/>
    <s v="CONDUCTED TECHNICAL ASSISTANCE"/>
    <n v="2024"/>
    <d v="2024-04-11T00:00:00"/>
    <x v="0"/>
    <m/>
    <s v="Rod Ross S. De Jesus"/>
    <s v="Diozelle L. Cabalar"/>
    <m/>
    <m/>
    <m/>
    <m/>
    <m/>
    <s v=""/>
    <s v=""/>
    <s v=""/>
    <s v=""/>
    <m/>
    <m/>
    <m/>
    <s v="Technical Assistance"/>
    <m/>
  </r>
  <r>
    <x v="2"/>
    <x v="22"/>
    <s v="MBA"/>
    <s v="Wawa (Pob.)"/>
    <n v="4985"/>
    <n v="4870"/>
    <s v="CONDUCTED TECHNICAL ASSISTANCE"/>
    <n v="2024"/>
    <d v="2024-04-12T00:00:00"/>
    <x v="0"/>
    <m/>
    <s v="Rod Ross S. De Jesus"/>
    <s v="Diozelle L. Cabalar"/>
    <m/>
    <m/>
    <m/>
    <m/>
    <m/>
    <s v=""/>
    <s v=""/>
    <s v=""/>
    <s v=""/>
    <m/>
    <m/>
    <m/>
    <s v="Technical Assistance"/>
    <m/>
  </r>
  <r>
    <x v="2"/>
    <x v="23"/>
    <s v="MBA"/>
    <s v="Bagong Nayon"/>
    <n v="5616"/>
    <n v="4249"/>
    <s v="NO TECHNICAL ASSISTANCE CONDUCTED"/>
    <m/>
    <m/>
    <x v="0"/>
    <s v="Ronaldo P. Roque, Jr."/>
    <s v="Rod Ross S. De Jesus"/>
    <s v="Diozelle L. Cabalar"/>
    <m/>
    <m/>
    <m/>
    <m/>
    <m/>
    <s v=""/>
    <s v=""/>
    <s v=""/>
    <s v=""/>
    <m/>
    <m/>
    <m/>
    <m/>
    <m/>
  </r>
  <r>
    <x v="2"/>
    <x v="23"/>
    <s v="MBA"/>
    <s v="Barangca"/>
    <n v="3051"/>
    <n v="3385"/>
    <s v="NO TECHNICAL ASSISTANCE CONDUCTED"/>
    <m/>
    <m/>
    <x v="0"/>
    <s v="Ronaldo P. Roque, Jr."/>
    <s v="Rod Ross S. De Jesus"/>
    <s v="Diozelle L. Cabalar"/>
    <m/>
    <m/>
    <m/>
    <m/>
    <m/>
    <s v=""/>
    <s v=""/>
    <s v=""/>
    <s v=""/>
    <m/>
    <m/>
    <m/>
    <m/>
    <m/>
  </r>
  <r>
    <x v="2"/>
    <x v="23"/>
    <s v="MBA"/>
    <s v="Calantipay"/>
    <n v="2784"/>
    <n v="3522"/>
    <s v="CONDUCTED TECHNICAL ASSISTANCE"/>
    <n v="2025"/>
    <d v="2025-11-05T00:00:00"/>
    <x v="11"/>
    <s v="Ronaldo P. Roque, Jr."/>
    <s v="Maria Cecilia S. Pascual"/>
    <s v="Diozelle L. Cabalar"/>
    <s v="R3-2025-037314"/>
    <d v="2025-11-08T00:00:00"/>
    <d v="2025-11-08T00:00:00"/>
    <d v="2025-11-19T00:00:00"/>
    <d v="2025-11-19T00:00:00"/>
    <n v="2"/>
    <n v="7"/>
    <n v="7"/>
    <n v="1"/>
    <s v="Received by Planning"/>
    <s v="MRS"/>
    <s v="CATER BY LGU"/>
    <s v="Technical Assistance"/>
    <m/>
  </r>
  <r>
    <x v="2"/>
    <x v="23"/>
    <s v="MBA"/>
    <s v="Catulinan"/>
    <n v="1916"/>
    <n v="2123"/>
    <s v="CONDUCTED TECHNICAL ASSISTANCE"/>
    <n v="2025"/>
    <d v="2025-11-05T00:00:00"/>
    <x v="11"/>
    <s v="Ronaldo P. Roque, Jr."/>
    <s v="Maria Cecilia S. Pascual"/>
    <s v="Diozelle L. Cabalar"/>
    <s v="R3-2025-037312"/>
    <d v="2025-11-08T00:00:00"/>
    <d v="2025-11-08T00:00:00"/>
    <d v="2025-11-19T00:00:00"/>
    <d v="2025-11-19T00:00:00"/>
    <n v="2"/>
    <n v="7"/>
    <n v="7"/>
    <n v="1"/>
    <s v="Received by Planning"/>
    <s v="MRS"/>
    <s v="CATER BY LGU"/>
    <s v="Technical Assistance"/>
    <m/>
  </r>
  <r>
    <x v="2"/>
    <x v="23"/>
    <s v="MBA"/>
    <s v="Concepcion"/>
    <n v="9933"/>
    <n v="10159"/>
    <s v="CONDUCTED TECHNICAL ASSISTANCE"/>
    <n v="2024"/>
    <d v="2024-07-11T00:00:00"/>
    <x v="0"/>
    <s v="Ronaldo P. Roque, Jr."/>
    <s v="Rod Ross S. De Jesus"/>
    <s v="Diozelle L. Cabalar"/>
    <m/>
    <m/>
    <m/>
    <m/>
    <m/>
    <s v=""/>
    <s v=""/>
    <s v=""/>
    <s v=""/>
    <m/>
    <s v="MRF"/>
    <s v="NON-OPERATIONAL"/>
    <s v="Technical Assistance"/>
    <m/>
  </r>
  <r>
    <x v="2"/>
    <x v="23"/>
    <s v="MBA"/>
    <s v="Hinukay"/>
    <n v="2140"/>
    <n v="2226"/>
    <s v="CONDUCTED TECHNICAL ASSISTANCE"/>
    <m/>
    <m/>
    <x v="0"/>
    <s v="Ronaldo P. Roque, Jr."/>
    <s v="Rod Ross S. De Jesus"/>
    <s v="Diozelle L. Cabalar"/>
    <m/>
    <m/>
    <m/>
    <m/>
    <m/>
    <s v=""/>
    <s v=""/>
    <s v=""/>
    <s v=""/>
    <m/>
    <m/>
    <m/>
    <m/>
    <m/>
  </r>
  <r>
    <x v="2"/>
    <x v="23"/>
    <s v="MBA"/>
    <s v="Makinabang"/>
    <n v="11715"/>
    <n v="12637"/>
    <s v="CONDUCTED TECHNICAL ASSISTANCE"/>
    <n v="2025"/>
    <d v="2025-10-07T00:00:00"/>
    <x v="5"/>
    <s v="Ronaldo P. Roque, Jr."/>
    <s v="Maria Cecilia S. Pascual"/>
    <s v="Diozelle L. Cabalar"/>
    <s v="R3-2025-034064"/>
    <d v="2025-10-09T00:00:00"/>
    <d v="2025-10-16T00:00:00"/>
    <d v="2025-10-19T00:00:00"/>
    <d v="2025-10-20T00:00:00"/>
    <n v="2"/>
    <n v="1"/>
    <n v="1"/>
    <n v="1"/>
    <s v="Received by Planning"/>
    <s v="NO FACILITY"/>
    <s v="CATER BY LGU"/>
    <s v="Technical Assistance"/>
    <m/>
  </r>
  <r>
    <x v="2"/>
    <x v="23"/>
    <s v="MBA"/>
    <s v="Matangtubig"/>
    <n v="2630"/>
    <n v="3332"/>
    <s v="CONDUCTED TECHNICAL ASSISTANCE"/>
    <n v="2025"/>
    <d v="2025-11-05T00:00:00"/>
    <x v="11"/>
    <s v="Ronaldo P. Roque, Jr."/>
    <s v="Maria Cecilia S. Pascual"/>
    <s v="Diozelle L. Cabalar"/>
    <s v="R3-2025-037318"/>
    <d v="2025-11-08T00:00:00"/>
    <d v="2025-11-19T00:00:00"/>
    <d v="2025-11-19T00:00:00"/>
    <d v="2025-11-19T00:00:00"/>
    <n v="2"/>
    <n v="1"/>
    <n v="1"/>
    <n v="1"/>
    <s v="Received by Planning"/>
    <s v="MRS"/>
    <s v="CATER BY LGU"/>
    <s v="Technical Assistance"/>
    <m/>
  </r>
  <r>
    <x v="2"/>
    <x v="23"/>
    <s v="MBA"/>
    <s v="Pagala"/>
    <n v="3843"/>
    <n v="7235"/>
    <s v="NO TECHNICAL ASSISTANCE CONDUCTED"/>
    <m/>
    <m/>
    <x v="0"/>
    <s v="Ronaldo P. Roque, Jr."/>
    <s v="Rod Ross S. De Jesus"/>
    <s v="Diozelle L. Cabalar"/>
    <m/>
    <m/>
    <m/>
    <m/>
    <m/>
    <s v=""/>
    <s v=""/>
    <s v=""/>
    <s v=""/>
    <m/>
    <m/>
    <m/>
    <m/>
    <m/>
  </r>
  <r>
    <x v="2"/>
    <x v="23"/>
    <s v="MBA"/>
    <s v="Paitan"/>
    <n v="1517"/>
    <n v="1863"/>
    <s v="NO TECHNICAL ASSISTANCE CONDUCTED"/>
    <m/>
    <m/>
    <x v="0"/>
    <s v="Ronaldo P. Roque, Jr."/>
    <s v="Rod Ross S. De Jesus"/>
    <s v="Diozelle L. Cabalar"/>
    <m/>
    <m/>
    <m/>
    <m/>
    <m/>
    <s v=""/>
    <s v=""/>
    <s v=""/>
    <s v=""/>
    <m/>
    <m/>
    <m/>
    <m/>
    <m/>
  </r>
  <r>
    <x v="2"/>
    <x v="23"/>
    <s v="MBA"/>
    <s v="Piel"/>
    <n v="2229"/>
    <n v="2648"/>
    <s v="NO TECHNICAL ASSISTANCE CONDUCTED"/>
    <m/>
    <m/>
    <x v="0"/>
    <s v="Ronaldo P. Roque, Jr."/>
    <s v="Rod Ross S. De Jesus"/>
    <s v="Diozelle L. Cabalar"/>
    <m/>
    <m/>
    <m/>
    <m/>
    <m/>
    <s v=""/>
    <s v=""/>
    <s v=""/>
    <s v=""/>
    <m/>
    <m/>
    <m/>
    <m/>
    <m/>
  </r>
  <r>
    <x v="2"/>
    <x v="23"/>
    <s v="MBA"/>
    <s v="Pinagbarilan"/>
    <n v="5357"/>
    <n v="6580"/>
    <s v="CONDUCTED TECHNICAL ASSISTANCE"/>
    <n v="2025"/>
    <d v="2025-10-07T00:00:00"/>
    <x v="12"/>
    <s v="Ronaldo P. Roque, Jr."/>
    <s v="Maria Cecilia S. Pascual"/>
    <s v="Diozelle L. Cabalar"/>
    <s v="R3-2025-034057"/>
    <d v="2025-10-09T00:00:00"/>
    <d v="2025-10-17T00:00:00"/>
    <d v="2025-10-19T00:00:00"/>
    <d v="2025-10-20T00:00:00"/>
    <n v="2"/>
    <n v="1"/>
    <n v="1"/>
    <n v="1"/>
    <s v="Received by Planning"/>
    <s v="NO FACILITY"/>
    <s v="CATER BY LGU"/>
    <s v="Technical Assistance"/>
    <m/>
  </r>
  <r>
    <x v="2"/>
    <x v="23"/>
    <s v="MBA"/>
    <s v="Poblacion"/>
    <n v="9448"/>
    <n v="10573"/>
    <s v="CONDUCTED TECHNICAL ASSISTANCE"/>
    <n v="2025"/>
    <d v="2025-10-07T00:00:00"/>
    <x v="12"/>
    <s v="Ronaldo P. Roque, Jr."/>
    <s v="Maria Cecilia S. Pascual"/>
    <s v="Diozelle L. Cabalar"/>
    <s v="R3-2025-034060"/>
    <d v="2025-10-09T00:00:00"/>
    <d v="2025-10-16T00:00:00"/>
    <d v="2025-10-20T00:00:00"/>
    <d v="2025-10-20T00:00:00"/>
    <n v="2"/>
    <n v="2"/>
    <n v="2"/>
    <n v="1"/>
    <s v="Received by Planning"/>
    <s v="NO FACILITY"/>
    <s v="CATER BY LGU"/>
    <s v="Technical Assistance"/>
    <m/>
  </r>
  <r>
    <x v="2"/>
    <x v="23"/>
    <s v="MBA"/>
    <s v="Sabang"/>
    <n v="11350"/>
    <n v="12547"/>
    <s v="CONDUCTED TECHNICAL ASSISTANCE"/>
    <n v="2024"/>
    <d v="2024-10-08T00:00:00"/>
    <x v="0"/>
    <s v="Ronaldo P. Roque, Jr."/>
    <s v="Rod Ross S. De Jesus"/>
    <s v="Diozelle L. Cabalar"/>
    <m/>
    <m/>
    <m/>
    <m/>
    <m/>
    <s v=""/>
    <s v=""/>
    <s v=""/>
    <s v=""/>
    <m/>
    <s v="MRF"/>
    <s v="NON-OPERATIONAL"/>
    <s v="Technical Assistance"/>
    <m/>
  </r>
  <r>
    <x v="2"/>
    <x v="23"/>
    <s v="MBA"/>
    <s v="San Jose"/>
    <n v="6575"/>
    <n v="6739"/>
    <s v="CONDUCTED TECHNICAL ASSISTANCE"/>
    <n v="2025"/>
    <d v="2025-10-08T00:00:00"/>
    <x v="11"/>
    <s v="Ronaldo P. Roque, Jr."/>
    <s v="Maria Cecilia S. Pascual"/>
    <s v="Diozelle L. Cabalar"/>
    <s v="R3-2025-034063"/>
    <d v="2025-10-09T00:00:00"/>
    <d v="2025-10-16T00:00:00"/>
    <d v="2025-10-20T00:00:00"/>
    <d v="2025-10-20T00:00:00"/>
    <n v="1"/>
    <n v="2"/>
    <n v="2"/>
    <n v="1"/>
    <s v="Received by Planning"/>
    <s v="NO FACILITY"/>
    <s v="CATER BY LGU"/>
    <s v="Technical Assistance"/>
    <m/>
  </r>
  <r>
    <x v="2"/>
    <x v="23"/>
    <s v="MBA"/>
    <s v="San Roque"/>
    <n v="3554"/>
    <n v="3967"/>
    <s v="NO TECHNICAL ASSISTANCE CONDUCTED"/>
    <m/>
    <m/>
    <x v="0"/>
    <s v="Ronaldo P. Roque, Jr."/>
    <s v="Rod Ross S. De Jesus"/>
    <s v="Diozelle L. Cabalar"/>
    <m/>
    <m/>
    <m/>
    <m/>
    <m/>
    <s v=""/>
    <s v=""/>
    <s v=""/>
    <s v=""/>
    <m/>
    <m/>
    <m/>
    <m/>
    <m/>
  </r>
  <r>
    <x v="2"/>
    <x v="23"/>
    <s v="MBA"/>
    <s v="Santa Barbara"/>
    <n v="11676"/>
    <n v="12638"/>
    <s v="CONDUCTED TECHNICAL ASSISTANCE"/>
    <n v="2025"/>
    <d v="2025-10-07T00:00:00"/>
    <x v="5"/>
    <s v="Ronaldo P. Roque, Jr."/>
    <s v="Maria Cecilia S. Pascual"/>
    <s v="Diozelle L. Cabalar"/>
    <s v="R3-2025-034062"/>
    <d v="2025-10-09T00:00:00"/>
    <d v="2025-10-17T00:00:00"/>
    <d v="2025-10-19T00:00:00"/>
    <d v="2025-10-20T00:00:00"/>
    <n v="2"/>
    <n v="1"/>
    <n v="1"/>
    <n v="1"/>
    <s v="Received by Planning"/>
    <s v="NO FACILITY"/>
    <s v="CATER BY LGU"/>
    <s v="Technical Assistance"/>
    <m/>
  </r>
  <r>
    <x v="2"/>
    <x v="23"/>
    <s v="MBA"/>
    <s v="Santo Cristo"/>
    <n v="8840"/>
    <n v="9600"/>
    <s v="CONDUCTED TECHNICAL ASSISTANCE"/>
    <n v="2024"/>
    <d v="2024-10-15T00:00:00"/>
    <x v="0"/>
    <s v="Ronaldo P. Roque, Jr."/>
    <s v="Rod Ross S. De Jesus"/>
    <s v="Diozelle L. Cabalar"/>
    <m/>
    <m/>
    <m/>
    <m/>
    <m/>
    <s v=""/>
    <s v=""/>
    <s v=""/>
    <s v=""/>
    <m/>
    <s v="MRF"/>
    <s v="NON-OPERATIONAL"/>
    <s v="Technical Assistance"/>
    <m/>
  </r>
  <r>
    <x v="2"/>
    <x v="23"/>
    <s v="MBA"/>
    <s v="Santo Niño"/>
    <n v="3818"/>
    <n v="4324"/>
    <s v="CONDUCTED TECHNICAL ASSISTANCE"/>
    <n v="2025"/>
    <d v="2025-01-15T00:00:00"/>
    <x v="2"/>
    <s v="Ronaldo P. Roque, Jr."/>
    <s v="Rod Ross S. De Jesus"/>
    <s v="Diozelle L. Cabalar"/>
    <s v="R3-2025-001270"/>
    <d v="2025-01-17T00:00:00"/>
    <d v="2025-01-19T00:00:00"/>
    <d v="2025-01-21T00:00:00"/>
    <d v="2025-01-22T00:00:00"/>
    <n v="2"/>
    <n v="1"/>
    <n v="1"/>
    <n v="1"/>
    <s v="Received by Planning"/>
    <s v="MRS"/>
    <s v="OPERATIONAL"/>
    <s v="Technical Assistance"/>
    <s v="No"/>
  </r>
  <r>
    <x v="2"/>
    <x v="23"/>
    <s v="MBA"/>
    <s v="Subic"/>
    <n v="5506"/>
    <n v="6437"/>
    <s v="CONDUCTED TECHNICAL ASSISTANCE"/>
    <n v="2024"/>
    <d v="2024-04-15T00:00:00"/>
    <x v="0"/>
    <s v="Ronaldo P. Roque, Jr."/>
    <s v="Rod Ross S. De Jesus"/>
    <s v="Diozelle L. Cabalar"/>
    <m/>
    <m/>
    <m/>
    <m/>
    <m/>
    <s v=""/>
    <s v=""/>
    <s v=""/>
    <s v=""/>
    <m/>
    <m/>
    <m/>
    <s v="Technical Assistance"/>
    <m/>
  </r>
  <r>
    <x v="2"/>
    <x v="23"/>
    <s v="MBA"/>
    <s v="Sulivan"/>
    <n v="5070"/>
    <n v="5894"/>
    <s v="CONDUCTED TECHNICAL ASSISTANCE"/>
    <n v="2024"/>
    <d v="2024-10-09T00:00:00"/>
    <x v="0"/>
    <s v="Ronaldo P. Roque, Jr."/>
    <s v="Rod Ross S. De Jesus"/>
    <s v="Diozelle L. Cabalar"/>
    <m/>
    <m/>
    <m/>
    <m/>
    <m/>
    <s v=""/>
    <s v=""/>
    <s v=""/>
    <s v=""/>
    <m/>
    <s v="MRF"/>
    <s v="NON-OPERATIONAL"/>
    <s v="Technical Assistance"/>
    <m/>
  </r>
  <r>
    <x v="2"/>
    <x v="23"/>
    <s v="MBA"/>
    <s v="Tangos"/>
    <n v="5699"/>
    <n v="7767"/>
    <s v="CONDUCTED TECHNICAL ASSISTANCE"/>
    <n v="2024"/>
    <d v="2024-10-08T00:00:00"/>
    <x v="0"/>
    <s v="Ronaldo P. Roque, Jr."/>
    <s v="Rod Ross S. De Jesus"/>
    <s v="Diozelle L. Cabalar"/>
    <m/>
    <m/>
    <m/>
    <m/>
    <m/>
    <s v=""/>
    <s v=""/>
    <s v=""/>
    <s v=""/>
    <m/>
    <s v="MRF"/>
    <s v="OPERATIONAL"/>
    <s v="Technical Assistance"/>
    <m/>
  </r>
  <r>
    <x v="2"/>
    <x v="23"/>
    <s v="MBA"/>
    <s v="Tarcan"/>
    <n v="7333"/>
    <n v="8809"/>
    <s v="CONDUCTED TECHNICAL ASSISTANCE"/>
    <n v="2025"/>
    <d v="2025-11-05T00:00:00"/>
    <x v="11"/>
    <s v="Ronaldo P. Roque, Jr."/>
    <s v="Maria Cecilia S. Pascual"/>
    <s v="Diozelle L. Cabalar"/>
    <s v="R3-2025-037311"/>
    <d v="2025-11-07T00:00:00"/>
    <d v="2025-11-19T00:00:00"/>
    <d v="2025-11-19T00:00:00"/>
    <d v="2025-11-19T00:00:00"/>
    <n v="2"/>
    <n v="1"/>
    <n v="1"/>
    <n v="1"/>
    <s v="Received by Planning"/>
    <s v="MRS"/>
    <s v="CATER BY LGU"/>
    <s v="Technical Assistance"/>
    <m/>
  </r>
  <r>
    <x v="2"/>
    <x v="23"/>
    <s v="MBA"/>
    <s v="Tiaong"/>
    <n v="5006"/>
    <n v="5861"/>
    <s v="CONDUCTED TECHNICAL ASSISTANCE"/>
    <n v="2024"/>
    <d v="2024-10-09T00:00:00"/>
    <x v="0"/>
    <s v="Ronaldo P. Roque, Jr."/>
    <s v="Rod Ross S. De Jesus"/>
    <s v="Diozelle L. Cabalar"/>
    <m/>
    <m/>
    <m/>
    <m/>
    <m/>
    <s v=""/>
    <s v=""/>
    <s v=""/>
    <s v=""/>
    <m/>
    <s v="MRF"/>
    <s v="NON-OPERATIONAL"/>
    <s v="Technical Assistance"/>
    <m/>
  </r>
  <r>
    <x v="2"/>
    <x v="23"/>
    <s v="MBA"/>
    <s v="Tibag"/>
    <n v="3014"/>
    <n v="2979"/>
    <s v="CONDUCTED TECHNICAL ASSISTANCE"/>
    <n v="2025"/>
    <d v="2025-10-07T00:00:00"/>
    <x v="5"/>
    <s v="Ronaldo P. Roque, Jr."/>
    <s v="Maria Cecilia S. Pascual"/>
    <s v="Diozelle L. Cabalar"/>
    <s v="R3-2025-034059"/>
    <d v="2025-10-09T00:00:00"/>
    <d v="2025-10-14T00:00:00"/>
    <d v="2025-10-14T00:00:00"/>
    <d v="2025-10-20T00:00:00"/>
    <n v="2"/>
    <n v="1"/>
    <n v="1"/>
    <n v="4"/>
    <s v="Received by Planning"/>
    <s v="NO FACILITY"/>
    <s v="CATER BY LGU"/>
    <s v="Technical Assistance"/>
    <m/>
  </r>
  <r>
    <x v="2"/>
    <x v="23"/>
    <s v="MBA"/>
    <s v="Tilapayong"/>
    <n v="3389"/>
    <n v="3023"/>
    <s v="NO TECHNICAL ASSISTANCE CONDUCTED"/>
    <m/>
    <m/>
    <x v="0"/>
    <s v="Ronaldo P. Roque, Jr."/>
    <s v="Rod Ross S. De Jesus"/>
    <s v="Diozelle L. Cabalar"/>
    <m/>
    <m/>
    <m/>
    <m/>
    <m/>
    <s v=""/>
    <s v=""/>
    <s v=""/>
    <s v=""/>
    <m/>
    <m/>
    <m/>
    <m/>
    <m/>
  </r>
  <r>
    <x v="2"/>
    <x v="23"/>
    <s v="MBA"/>
    <s v="Virgen delas Flores"/>
    <n v="6945"/>
    <n v="7353"/>
    <s v="CONDUCTED TECHNICAL ASSISTANCE"/>
    <n v="2024"/>
    <d v="2024-06-07T00:00:00"/>
    <x v="0"/>
    <s v="Ronaldo P. Roque, Jr."/>
    <s v="Rod Ross S. De Jesus"/>
    <s v="Diozelle L. Cabalar"/>
    <m/>
    <m/>
    <m/>
    <m/>
    <m/>
    <s v=""/>
    <s v=""/>
    <s v=""/>
    <s v=""/>
    <m/>
    <m/>
    <m/>
    <s v="Technical Assistance"/>
    <m/>
  </r>
  <r>
    <x v="2"/>
    <x v="24"/>
    <s v="MBA"/>
    <s v="Antipona"/>
    <n v="2289"/>
    <n v="1736"/>
    <s v="CONDUCTED TECHNICAL ASSISTANCE"/>
    <n v="2025"/>
    <d v="2025-09-11T00:00:00"/>
    <x v="13"/>
    <s v="Jasmin Marie N. Siapco"/>
    <s v="Maria Cecilia S. Pascual"/>
    <s v="Diozelle L. Cabalar"/>
    <s v="R3-2025-031074"/>
    <d v="2025-09-15T00:00:00"/>
    <d v="2025-09-17T00:00:00"/>
    <d v="2025-09-17T00:00:00"/>
    <d v="2025-09-18T00:00:00"/>
    <n v="2"/>
    <n v="1"/>
    <n v="1"/>
    <n v="1"/>
    <s v="Received by Planning"/>
    <s v="NO FACILITY"/>
    <s v="CATER BY LGU"/>
    <s v="Technical Assistance"/>
    <m/>
  </r>
  <r>
    <x v="2"/>
    <x v="24"/>
    <s v="MBA"/>
    <s v="Bagumbayan"/>
    <n v="3573"/>
    <n v="3863"/>
    <s v="CONDUCTED TECHNICAL ASSISTANCE"/>
    <n v="2025"/>
    <d v="2025-09-11T00:00:00"/>
    <x v="7"/>
    <s v="Jasmin Marie N. Siapco"/>
    <s v="Maria Cecilia S. Pascual"/>
    <s v="Diozelle L. Cabalar"/>
    <s v="R3-2025-031303"/>
    <d v="2025-09-16T00:00:00"/>
    <d v="2025-09-17T00:00:00"/>
    <d v="2025-09-17T00:00:00"/>
    <d v="2025-09-18T00:00:00"/>
    <n v="3"/>
    <n v="1"/>
    <n v="1"/>
    <n v="1"/>
    <s v="Received by Planning"/>
    <s v="NO FACILITY"/>
    <s v="CATER BY LGU"/>
    <s v="Technical Assistance"/>
    <m/>
  </r>
  <r>
    <x v="2"/>
    <x v="24"/>
    <s v="MBA"/>
    <s v="Bambang"/>
    <n v="7830"/>
    <n v="8841"/>
    <s v="CONDUCTED TECHNICAL ASSISTANCE"/>
    <n v="2025"/>
    <d v="2025-09-16T00:00:00"/>
    <x v="7"/>
    <s v="Jasmin Marie N. Siapco"/>
    <s v="Maria Cecilia S. Pascual"/>
    <s v="Diozelle L. Cabalar"/>
    <s v="R3-2025-031263"/>
    <d v="2025-09-16T00:00:00"/>
    <d v="2025-09-16T00:00:00"/>
    <d v="2025-09-17T00:00:00"/>
    <d v="2025-09-18T00:00:00"/>
    <n v="1"/>
    <n v="1"/>
    <n v="1"/>
    <n v="1"/>
    <s v="Received by Planning"/>
    <s v="MRF"/>
    <s v="OPERATIONAL"/>
    <s v="Technical Assistance"/>
    <m/>
  </r>
  <r>
    <x v="2"/>
    <x v="24"/>
    <s v="MBA"/>
    <s v="Batia"/>
    <n v="31663"/>
    <n v="40700"/>
    <s v="CONDUCTED TECHNICAL ASSISTANCE"/>
    <n v="2025"/>
    <d v="2025-09-11T00:00:00"/>
    <x v="13"/>
    <s v="Jasmin Marie N. Siapco"/>
    <s v="Maria Cecilia S. Pascual"/>
    <s v="Diozelle L. Cabalar"/>
    <s v="R3-2025-031302"/>
    <d v="2025-09-16T00:00:00"/>
    <d v="2025-09-17T00:00:00"/>
    <d v="2025-09-17T00:00:00"/>
    <d v="2025-09-18T00:00:00"/>
    <n v="3"/>
    <n v="1"/>
    <n v="1"/>
    <n v="1"/>
    <s v="Received by Planning"/>
    <s v="MRF"/>
    <s v="NON-OPERATIONAL"/>
    <s v="Technical Assistance"/>
    <m/>
  </r>
  <r>
    <x v="2"/>
    <x v="24"/>
    <s v="MBA"/>
    <s v="Bolacan"/>
    <n v="1199"/>
    <n v="1566"/>
    <s v="CONDUCTED TECHNICAL ASSISTANCE"/>
    <n v="2025"/>
    <d v="2025-09-11T00:00:00"/>
    <x v="13"/>
    <s v="Jasmin Marie N. Siapco"/>
    <s v="Maria Cecilia S. Pascual"/>
    <s v="Diozelle L. Cabalar"/>
    <s v="R3-2025-031076"/>
    <d v="2025-09-15T00:00:00"/>
    <d v="2025-09-17T00:00:00"/>
    <d v="2025-09-17T00:00:00"/>
    <d v="2025-09-18T00:00:00"/>
    <n v="2"/>
    <n v="1"/>
    <n v="1"/>
    <n v="1"/>
    <s v="Received by Planning"/>
    <s v="MRF"/>
    <s v="OPERATIONAL"/>
    <s v="Technical Assistance"/>
    <m/>
  </r>
  <r>
    <x v="2"/>
    <x v="24"/>
    <s v="MBA"/>
    <s v="Biñang 1st"/>
    <n v="3496"/>
    <n v="3406"/>
    <s v="CONDUCTED TECHNICAL ASSISTANCE"/>
    <n v="2025"/>
    <d v="2025-08-14T00:00:00"/>
    <x v="9"/>
    <s v="Jasmin Marie N. Siapco"/>
    <m/>
    <s v="Diozelle L. Cabalar"/>
    <s v="R3-2025-027519"/>
    <d v="2025-08-16T00:00:00"/>
    <m/>
    <d v="2025-08-19T00:00:00"/>
    <d v="2025-08-19T00:00:00"/>
    <n v="1"/>
    <s v=""/>
    <n v="1"/>
    <n v="1"/>
    <s v="Received by Planning"/>
    <s v="NO FACILITY"/>
    <s v="CATER BY LGU"/>
    <s v="Technical Assistance"/>
    <m/>
  </r>
  <r>
    <x v="2"/>
    <x v="24"/>
    <s v="MBA"/>
    <s v="Biñang 2nd"/>
    <n v="2072"/>
    <n v="2113"/>
    <s v="CONDUCTED TECHNICAL ASSISTANCE"/>
    <n v="2025"/>
    <d v="2025-06-11T00:00:00"/>
    <x v="10"/>
    <s v="Jasmin Marie N. Siapco"/>
    <m/>
    <s v="Diozelle L. Cabalar"/>
    <s v="R3-2025-019787"/>
    <d v="2025-06-16T00:00:00"/>
    <m/>
    <d v="2025-06-19T00:00:00"/>
    <d v="2025-06-19T00:00:00"/>
    <n v="3"/>
    <s v=""/>
    <n v="3"/>
    <n v="1"/>
    <s v="Received by Planning"/>
    <s v="MRF"/>
    <s v="OPERATIONAL"/>
    <s v="Technical Assistance"/>
    <m/>
  </r>
  <r>
    <x v="2"/>
    <x v="24"/>
    <s v="MBA"/>
    <s v="Bunlo"/>
    <n v="4686"/>
    <n v="4018"/>
    <s v="CONDUCTED TECHNICAL ASSISTANCE"/>
    <n v="2025"/>
    <d v="2025-09-16T00:00:00"/>
    <x v="7"/>
    <s v="Jasmin Marie N. Siapco"/>
    <s v="Maria Cecilia S. Pascual"/>
    <s v="Diozelle L. Cabalar"/>
    <s v="R3-2025-031264"/>
    <d v="2025-09-16T00:00:00"/>
    <d v="2025-09-16T00:00:00"/>
    <d v="2025-09-17T00:00:00"/>
    <d v="2025-09-18T00:00:00"/>
    <n v="1"/>
    <n v="1"/>
    <n v="1"/>
    <n v="1"/>
    <s v="Received by Planning"/>
    <s v="NO FACILITY"/>
    <s v="CATER BY LGU"/>
    <s v="Technical Assistance"/>
    <m/>
  </r>
  <r>
    <x v="2"/>
    <x v="24"/>
    <s v="MBA"/>
    <s v="Bundukan"/>
    <n v="6796"/>
    <n v="11129"/>
    <s v="CONDUCTED TECHNICAL ASSISTANCE"/>
    <n v="2025"/>
    <d v="2025-06-13T00:00:00"/>
    <x v="10"/>
    <s v="Jasmin Marie N. Siapco"/>
    <m/>
    <s v="Diozelle L. Cabalar"/>
    <s v="R3-2025-019793"/>
    <d v="2025-06-16T00:00:00"/>
    <m/>
    <d v="2025-06-19T00:00:00"/>
    <d v="2025-06-19T00:00:00"/>
    <n v="1"/>
    <s v=""/>
    <n v="3"/>
    <n v="1"/>
    <s v="Received by Planning"/>
    <s v="NO FACILITY"/>
    <s v="CATER BY LGU"/>
    <s v="Technical Assistance"/>
    <m/>
  </r>
  <r>
    <x v="2"/>
    <x v="24"/>
    <s v="MBA"/>
    <s v="Poblacion"/>
    <n v="405"/>
    <n v="709"/>
    <s v="CONDUCTED TECHNICAL ASSISTANCE"/>
    <n v="2025"/>
    <d v="2025-09-16T00:00:00"/>
    <x v="7"/>
    <s v="Jasmin Marie N. Siapco"/>
    <s v="Maria Cecilia S. Pascual"/>
    <s v="Diozelle L. Cabalar"/>
    <s v="R3-2025-031260"/>
    <d v="2025-09-16T00:00:00"/>
    <d v="2025-09-17T00:00:00"/>
    <d v="2025-09-17T00:00:00"/>
    <d v="2025-09-18T00:00:00"/>
    <n v="1"/>
    <n v="1"/>
    <n v="1"/>
    <n v="1"/>
    <s v="Received by Planning"/>
    <s v="NO FACILITY"/>
    <s v="CATER BY LGU"/>
    <s v="Technical Assistance"/>
    <m/>
  </r>
  <r>
    <x v="2"/>
    <x v="24"/>
    <s v="MBA"/>
    <s v="Caingin"/>
    <n v="5551"/>
    <n v="4813"/>
    <s v="CONDUCTED TECHNICAL ASSISTANCE"/>
    <n v="2025"/>
    <d v="2025-08-14T00:00:00"/>
    <x v="9"/>
    <s v="Jasmin Marie N. Siapco"/>
    <m/>
    <s v="Diozelle L. Cabalar"/>
    <s v="R3-2025-027518"/>
    <d v="2025-08-16T00:00:00"/>
    <m/>
    <d v="2025-08-18T00:00:00"/>
    <d v="2025-08-19T00:00:00"/>
    <n v="1"/>
    <s v=""/>
    <n v="1"/>
    <n v="1"/>
    <s v="Received by Planning"/>
    <s v="NO FACILITY"/>
    <s v="CATER BY LGU"/>
    <s v="Technical Assistance"/>
    <m/>
  </r>
  <r>
    <x v="2"/>
    <x v="24"/>
    <s v="MBA"/>
    <s v="Duhat"/>
    <n v="7444"/>
    <n v="8905"/>
    <s v="CONDUCTED TECHNICAL ASSISTANCE"/>
    <n v="2025"/>
    <d v="2025-06-11T00:00:00"/>
    <x v="10"/>
    <s v="Jasmin Marie N. Siapco"/>
    <m/>
    <s v="Diozelle L. Cabalar"/>
    <s v="R3-2025-019788"/>
    <d v="2025-06-16T00:00:00"/>
    <m/>
    <d v="2025-06-19T00:00:00"/>
    <d v="2025-06-19T00:00:00"/>
    <n v="3"/>
    <s v=""/>
    <n v="3"/>
    <n v="1"/>
    <s v="Received by Planning"/>
    <s v="MRF"/>
    <s v="OPERATIONAL"/>
    <s v="Technical Assistance"/>
    <m/>
  </r>
  <r>
    <x v="2"/>
    <x v="24"/>
    <s v="MBA"/>
    <s v="Igulot"/>
    <n v="1408"/>
    <n v="1871"/>
    <s v="CONDUCTED TECHNICAL ASSISTANCE"/>
    <n v="2025"/>
    <d v="2025-06-13T00:00:00"/>
    <x v="10"/>
    <s v="Jasmin Marie N. Siapco"/>
    <m/>
    <s v="Diozelle L. Cabalar"/>
    <s v="R3-2025-019790"/>
    <d v="2025-06-16T00:00:00"/>
    <m/>
    <d v="2025-06-19T00:00:00"/>
    <d v="2025-06-19T00:00:00"/>
    <s v="                  "/>
    <s v=""/>
    <n v="3"/>
    <n v="1"/>
    <s v="Received by Planning"/>
    <s v="MRF"/>
    <s v="NON-OPERATIONAL"/>
    <s v="Technical Assistance"/>
    <m/>
  </r>
  <r>
    <x v="2"/>
    <x v="24"/>
    <s v="MBA"/>
    <s v="Lolomboy"/>
    <n v="16507"/>
    <n v="14437"/>
    <s v="CONDUCTED TECHNICAL ASSISTANCE"/>
    <n v="2025"/>
    <d v="2025-06-13T00:00:00"/>
    <x v="10"/>
    <s v="James Wilson T. Pena"/>
    <m/>
    <s v="Diozelle L. Cabalar"/>
    <s v="R3-2025-019998"/>
    <d v="2025-06-17T00:00:00"/>
    <m/>
    <d v="2025-06-19T00:00:00"/>
    <d v="2025-06-19T00:00:00"/>
    <n v="2"/>
    <s v=""/>
    <n v="2"/>
    <n v="1"/>
    <s v="Received by Planning"/>
    <s v="NO FACILITY"/>
    <s v="CATER BY LGU"/>
    <s v="Technical Assistance"/>
    <m/>
  </r>
  <r>
    <x v="2"/>
    <x v="24"/>
    <s v="MBA"/>
    <s v="Sulucan"/>
    <n v="2572"/>
    <n v="2793"/>
    <s v="CONDUCTED TECHNICAL ASSISTANCE"/>
    <n v="2025"/>
    <d v="2025-09-16T00:00:00"/>
    <x v="7"/>
    <s v="Jasmin Marie N. Siapco"/>
    <s v="Maria Cecilia S. Pascual"/>
    <s v="Diozelle L. Cabalar"/>
    <s v="R3-2025-031262"/>
    <d v="2025-09-16T00:00:00"/>
    <d v="2025-09-17T00:00:00"/>
    <d v="2025-09-17T00:00:00"/>
    <d v="2025-09-18T00:00:00"/>
    <n v="1"/>
    <n v="1"/>
    <n v="1"/>
    <n v="1"/>
    <s v="Received by Planning"/>
    <s v="NO FACILITY"/>
    <s v="CATER BY LGU"/>
    <s v="Technical Assistance"/>
    <m/>
  </r>
  <r>
    <x v="2"/>
    <x v="24"/>
    <s v="MBA"/>
    <s v="Tambobong"/>
    <n v="5558"/>
    <n v="7323"/>
    <s v="CONDUCTED TECHNICAL ASSISTANCE"/>
    <n v="2025"/>
    <d v="2025-09-11T00:00:00"/>
    <x v="13"/>
    <s v="Jasmin Marie N. Siapco"/>
    <s v="Maria Cecilia S. Pascual"/>
    <s v="Diozelle L. Cabalar"/>
    <s v="R3-2025-031072"/>
    <d v="2025-09-15T00:00:00"/>
    <d v="2025-09-17T00:00:00"/>
    <d v="2025-09-17T00:00:00"/>
    <d v="2025-09-18T00:00:00"/>
    <n v="2"/>
    <n v="1"/>
    <n v="1"/>
    <n v="1"/>
    <s v="Received by Planning"/>
    <s v="NO FACILITY"/>
    <s v="CATER BY LGU"/>
    <s v="Technical Assistance"/>
    <m/>
  </r>
  <r>
    <x v="2"/>
    <x v="24"/>
    <s v="MBA"/>
    <s v="Taal"/>
    <n v="8681"/>
    <n v="9082"/>
    <s v="CONDUCTED TECHNICAL ASSISTANCE"/>
    <n v="2025"/>
    <d v="2025-08-14T00:00:00"/>
    <x v="9"/>
    <s v="Jasmin Marie N. Siapco"/>
    <m/>
    <s v="Diozelle L. Cabalar"/>
    <s v="R3-2025-027517"/>
    <d v="2025-08-16T00:00:00"/>
    <m/>
    <d v="2025-08-18T00:00:00"/>
    <d v="2025-08-19T00:00:00"/>
    <n v="1"/>
    <s v=""/>
    <n v="1"/>
    <n v="1"/>
    <s v="Received by Planning"/>
    <s v="NO FACILITY"/>
    <s v="CATER BY LGU"/>
    <s v="Technical Assistance"/>
    <m/>
  </r>
  <r>
    <x v="2"/>
    <x v="24"/>
    <s v="MBA"/>
    <s v="Turo"/>
    <n v="6058"/>
    <n v="11864"/>
    <s v="CONDUCTED TECHNICAL ASSISTANCE"/>
    <n v="2025"/>
    <d v="2025-09-11T00:00:00"/>
    <x v="13"/>
    <s v="Jasmin Marie N. Siapco"/>
    <s v="Maria Cecilia S. Pascual"/>
    <s v="Diozelle L. Cabalar"/>
    <s v="R3-2025-031077"/>
    <d v="2025-09-15T00:00:00"/>
    <d v="2025-09-17T00:00:00"/>
    <d v="2025-09-17T00:00:00"/>
    <d v="2025-09-17T00:00:00"/>
    <n v="2"/>
    <n v="1"/>
    <n v="1"/>
    <n v="1"/>
    <s v="Received by Planning"/>
    <s v="MRS"/>
    <s v="OPERATIONAL"/>
    <s v="Technical Assistance"/>
    <m/>
  </r>
  <r>
    <x v="2"/>
    <x v="24"/>
    <s v="MBA"/>
    <s v="Wakas"/>
    <n v="1887"/>
    <n v="2243"/>
    <s v="CONDUCTED TECHNICAL ASSISTANCE"/>
    <n v="2025"/>
    <d v="2025-08-14T00:00:00"/>
    <x v="9"/>
    <s v="Jasmin Marie N. Siapco"/>
    <m/>
    <s v="Diozelle L. Cabalar"/>
    <s v="R3-2025-027520"/>
    <d v="2025-08-16T00:00:00"/>
    <m/>
    <d v="2025-08-18T00:00:00"/>
    <d v="2025-08-19T00:00:00"/>
    <n v="1"/>
    <s v=""/>
    <n v="1"/>
    <n v="1"/>
    <s v="Received by Planning"/>
    <s v="NO FACILITY"/>
    <s v="CATER BY LGU"/>
    <s v="Technical Assistance"/>
    <m/>
  </r>
  <r>
    <x v="2"/>
    <x v="25"/>
    <s v="MBA"/>
    <s v="Bagumbayan"/>
    <n v="3701"/>
    <n v="4297"/>
    <s v="CONDUCTED TECHNICAL ASSISTANCE"/>
    <n v="2024"/>
    <d v="2024-08-01T00:00:00"/>
    <x v="0"/>
    <m/>
    <s v="Rod Ross S. De Jesus"/>
    <s v="Diozelle L. Cabalar"/>
    <m/>
    <m/>
    <m/>
    <m/>
    <m/>
    <s v=""/>
    <s v=""/>
    <s v=""/>
    <s v=""/>
    <m/>
    <s v="MRS"/>
    <m/>
    <s v="Technical Assistance"/>
    <m/>
  </r>
  <r>
    <x v="2"/>
    <x v="25"/>
    <s v="MBA"/>
    <s v="Balubad"/>
    <n v="3357"/>
    <n v="3738"/>
    <s v="CONDUCTED TECHNICAL ASSISTANCE"/>
    <n v="2024"/>
    <d v="2024-05-14T00:00:00"/>
    <x v="0"/>
    <m/>
    <s v="Rod Ross S. De Jesus"/>
    <s v="Diozelle L. Cabalar"/>
    <m/>
    <m/>
    <m/>
    <m/>
    <m/>
    <s v=""/>
    <s v=""/>
    <s v=""/>
    <s v=""/>
    <m/>
    <m/>
    <m/>
    <s v="Technical Assistance"/>
    <m/>
  </r>
  <r>
    <x v="2"/>
    <x v="25"/>
    <s v="MBA"/>
    <s v="Bambang"/>
    <n v="13604"/>
    <n v="14257"/>
    <s v="CONDUCTED TECHNICAL ASSISTANCE"/>
    <n v="2024"/>
    <d v="2024-08-01T00:00:00"/>
    <x v="0"/>
    <m/>
    <s v="Rod Ross S. De Jesus"/>
    <s v="Diozelle L. Cabalar"/>
    <m/>
    <m/>
    <m/>
    <m/>
    <m/>
    <s v=""/>
    <s v=""/>
    <s v=""/>
    <s v=""/>
    <m/>
    <s v="MRS"/>
    <m/>
    <s v="Technical Assistance"/>
    <m/>
  </r>
  <r>
    <x v="2"/>
    <x v="25"/>
    <s v="MBA"/>
    <s v="Matungao"/>
    <n v="11646"/>
    <n v="12950"/>
    <s v="CONDUCTED TECHNICAL ASSISTANCE"/>
    <n v="2024"/>
    <d v="2024-08-07T00:00:00"/>
    <x v="0"/>
    <m/>
    <s v="Rod Ross S. De Jesus"/>
    <s v="Diozelle L. Cabalar"/>
    <m/>
    <m/>
    <m/>
    <m/>
    <m/>
    <s v=""/>
    <s v=""/>
    <s v=""/>
    <s v=""/>
    <m/>
    <s v="MRS"/>
    <m/>
    <s v="Technical Assistance"/>
    <m/>
  </r>
  <r>
    <x v="2"/>
    <x v="25"/>
    <s v="MBA"/>
    <s v="Maysantol"/>
    <n v="2768"/>
    <n v="2955"/>
    <s v="CONDUCTED TECHNICAL ASSISTANCE"/>
    <n v="2024"/>
    <d v="2024-08-01T00:00:00"/>
    <x v="0"/>
    <m/>
    <s v="Rod Ross S. De Jesus"/>
    <s v="Diozelle L. Cabalar"/>
    <m/>
    <m/>
    <m/>
    <m/>
    <m/>
    <s v=""/>
    <s v=""/>
    <s v=""/>
    <s v=""/>
    <m/>
    <s v="MRS"/>
    <m/>
    <s v="Technical Assistance"/>
    <m/>
  </r>
  <r>
    <x v="2"/>
    <x v="25"/>
    <s v="MBA"/>
    <s v="Perez"/>
    <n v="2381"/>
    <n v="2047"/>
    <s v="CONDUCTED TECHNICAL ASSISTANCE"/>
    <n v="2024"/>
    <d v="2024-08-06T00:00:00"/>
    <x v="0"/>
    <m/>
    <s v="Rod Ross S. De Jesus"/>
    <s v="Diozelle L. Cabalar"/>
    <m/>
    <m/>
    <m/>
    <m/>
    <m/>
    <s v=""/>
    <s v=""/>
    <s v=""/>
    <s v=""/>
    <m/>
    <s v="MRS"/>
    <m/>
    <s v="Technical Assistance"/>
    <m/>
  </r>
  <r>
    <x v="2"/>
    <x v="25"/>
    <s v="MBA"/>
    <s v="Pitpitan"/>
    <n v="4516"/>
    <n v="5077"/>
    <s v="CONDUCTED TECHNICAL ASSISTANCE"/>
    <n v="2024"/>
    <d v="2024-08-06T00:00:00"/>
    <x v="0"/>
    <m/>
    <s v="Rod Ross S. De Jesus"/>
    <s v="Diozelle L. Cabalar"/>
    <m/>
    <m/>
    <m/>
    <m/>
    <m/>
    <s v=""/>
    <s v=""/>
    <s v=""/>
    <s v=""/>
    <m/>
    <s v="MRS"/>
    <m/>
    <s v="Technical Assistance"/>
    <m/>
  </r>
  <r>
    <x v="2"/>
    <x v="25"/>
    <s v="MBA"/>
    <s v="San Francisco"/>
    <n v="6145"/>
    <n v="7486"/>
    <s v="CONDUCTED TECHNICAL ASSISTANCE"/>
    <n v="2024"/>
    <d v="2024-05-14T00:00:00"/>
    <x v="0"/>
    <m/>
    <s v="Rod Ross S. De Jesus"/>
    <s v="Diozelle L. Cabalar"/>
    <m/>
    <m/>
    <m/>
    <m/>
    <m/>
    <s v=""/>
    <s v=""/>
    <s v=""/>
    <s v=""/>
    <m/>
    <m/>
    <m/>
    <s v="Technical Assistance"/>
    <m/>
  </r>
  <r>
    <x v="2"/>
    <x v="25"/>
    <s v="MBA"/>
    <s v="San Jose (Pob.)"/>
    <n v="3372"/>
    <n v="3570"/>
    <s v="CONDUCTED TECHNICAL ASSISTANCE"/>
    <n v="2024"/>
    <d v="2024-08-01T00:00:00"/>
    <x v="0"/>
    <m/>
    <s v="Rod Ross S. De Jesus"/>
    <s v="Diozelle L. Cabalar"/>
    <m/>
    <m/>
    <m/>
    <m/>
    <m/>
    <s v=""/>
    <s v=""/>
    <s v=""/>
    <s v=""/>
    <m/>
    <s v="MRS"/>
    <m/>
    <s v="Technical Assistance"/>
    <m/>
  </r>
  <r>
    <x v="2"/>
    <x v="25"/>
    <s v="MBA"/>
    <s v="San Nicolas"/>
    <n v="5804"/>
    <n v="6279"/>
    <s v="CONDUCTED TECHNICAL ASSISTANCE"/>
    <n v="2024"/>
    <d v="2024-08-06T00:00:00"/>
    <x v="0"/>
    <m/>
    <s v="Rod Ross S. De Jesus"/>
    <s v="Diozelle L. Cabalar"/>
    <m/>
    <m/>
    <m/>
    <m/>
    <m/>
    <s v=""/>
    <s v=""/>
    <s v=""/>
    <s v=""/>
    <m/>
    <s v="MRS"/>
    <m/>
    <s v="Technical Assistance"/>
    <m/>
  </r>
  <r>
    <x v="2"/>
    <x v="25"/>
    <s v="MBA"/>
    <s v="Santa Ana"/>
    <n v="8122"/>
    <n v="7998"/>
    <s v="CONDUCTED TECHNICAL ASSISTANCE"/>
    <n v="2024"/>
    <d v="2024-08-01T00:00:00"/>
    <x v="0"/>
    <m/>
    <s v="Rod Ross S. De Jesus"/>
    <s v="Diozelle L. Cabalar"/>
    <m/>
    <m/>
    <m/>
    <m/>
    <m/>
    <s v=""/>
    <s v=""/>
    <s v=""/>
    <s v=""/>
    <m/>
    <s v="MRS"/>
    <m/>
    <s v="Technical Assistance"/>
    <m/>
  </r>
  <r>
    <x v="2"/>
    <x v="25"/>
    <s v="MBA"/>
    <s v="Santa Ines"/>
    <n v="2508"/>
    <n v="2399"/>
    <s v="CONDUCTED TECHNICAL ASSISTANCE"/>
    <n v="2024"/>
    <d v="2024-08-06T00:00:00"/>
    <x v="0"/>
    <m/>
    <s v="Rod Ross S. De Jesus"/>
    <s v="Diozelle L. Cabalar"/>
    <m/>
    <m/>
    <m/>
    <m/>
    <m/>
    <s v=""/>
    <s v=""/>
    <s v=""/>
    <s v=""/>
    <m/>
    <s v="MRS"/>
    <m/>
    <s v="Technical Assistance"/>
    <m/>
  </r>
  <r>
    <x v="2"/>
    <x v="25"/>
    <s v="MBA"/>
    <s v="Taliptip"/>
    <n v="5490"/>
    <n v="5005"/>
    <s v="CONDUCTED TECHNICAL ASSISTANCE"/>
    <n v="2024"/>
    <d v="2024-08-06T00:00:00"/>
    <x v="0"/>
    <m/>
    <s v="Rod Ross S. De Jesus"/>
    <s v="Diozelle L. Cabalar"/>
    <m/>
    <m/>
    <m/>
    <m/>
    <m/>
    <s v=""/>
    <s v=""/>
    <s v=""/>
    <s v=""/>
    <m/>
    <s v="MRS"/>
    <m/>
    <s v="Technical Assistance"/>
    <m/>
  </r>
  <r>
    <x v="2"/>
    <x v="25"/>
    <s v="MBA"/>
    <s v="Tibig"/>
    <n v="3151"/>
    <n v="3174"/>
    <s v="CONDUCTED TECHNICAL ASSISTANCE"/>
    <n v="2024"/>
    <d v="2024-08-01T00:00:00"/>
    <x v="0"/>
    <m/>
    <s v="Rod Ross S. De Jesus"/>
    <s v="Diozelle L. Cabalar"/>
    <m/>
    <m/>
    <m/>
    <m/>
    <m/>
    <s v=""/>
    <s v=""/>
    <s v=""/>
    <s v=""/>
    <m/>
    <s v="MRS"/>
    <m/>
    <s v="Technical Assistance"/>
    <m/>
  </r>
  <r>
    <x v="2"/>
    <x v="26"/>
    <s v="MBA"/>
    <s v="Catacte"/>
    <n v="7990"/>
    <n v="8401"/>
    <s v="CONDUCTED TECHNICAL ASSISTANCE"/>
    <n v="2025"/>
    <d v="2025-09-16T00:00:00"/>
    <x v="7"/>
    <s v="Ronaldo P. Roque, Jr."/>
    <s v="Maria Cecilia S. Pascual"/>
    <s v="Diozelle L. Cabalar"/>
    <s v="R3-2025-031331"/>
    <d v="2025-09-16T00:00:00"/>
    <d v="2025-09-16T00:00:00"/>
    <d v="2025-09-16T00:00:00"/>
    <d v="2025-09-18T00:00:00"/>
    <n v="1"/>
    <n v="1"/>
    <n v="1"/>
    <n v="2"/>
    <s v="Received by Planning"/>
    <s v="NO FACILITY"/>
    <s v="CATER BY LGU"/>
    <s v="Technical Assistance"/>
    <m/>
  </r>
  <r>
    <x v="2"/>
    <x v="26"/>
    <s v="MBA"/>
    <s v="Bonga Mayor"/>
    <n v="3792"/>
    <n v="6494"/>
    <s v="CONDUCTED TECHNICAL ASSISTANCE"/>
    <n v="2025"/>
    <d v="2025-02-12T00:00:00"/>
    <x v="3"/>
    <s v="Ronaldo P. Roque, Jr."/>
    <s v="Rod Ross S. De Jesus"/>
    <s v="Diozelle L. Cabalar"/>
    <s v="R3-2025-005549"/>
    <d v="2025-02-16T00:00:00"/>
    <d v="2025-02-17T00:00:00"/>
    <d v="2025-02-17T00:00:00"/>
    <d v="2025-02-18T00:00:00"/>
    <n v="2"/>
    <n v="1"/>
    <n v="1"/>
    <n v="1"/>
    <s v="Received by Planning"/>
    <s v="MRS"/>
    <s v="OPERATIONAL"/>
    <s v="Technical Assistance"/>
    <m/>
  </r>
  <r>
    <x v="2"/>
    <x v="26"/>
    <s v="MBA"/>
    <s v="Bonga Menor"/>
    <n v="4619"/>
    <n v="5301"/>
    <s v="CONDUCTED TECHNICAL ASSISTANCE"/>
    <n v="2025"/>
    <d v="2025-02-12T00:00:00"/>
    <x v="3"/>
    <s v="Ronaldo P. Roque, Jr."/>
    <s v="Rod Ross S. De Jesus"/>
    <s v="Diozelle L. Cabalar"/>
    <s v=" R3-2025-005548"/>
    <d v="2025-02-16T00:00:00"/>
    <d v="2025-02-17T00:00:00"/>
    <d v="2025-02-17T00:00:00"/>
    <d v="2025-02-18T00:00:00"/>
    <n v="2"/>
    <n v="1"/>
    <n v="1"/>
    <n v="1"/>
    <s v="Received by Planning"/>
    <s v="MRF"/>
    <s v="OPERATIONAL"/>
    <s v="Technical Assistance"/>
    <m/>
  </r>
  <r>
    <x v="2"/>
    <x v="26"/>
    <s v="MBA"/>
    <s v="Buisan"/>
    <n v="1869"/>
    <n v="1876"/>
    <s v="CONDUCTED TECHNICAL ASSISTANCE"/>
    <n v="2025"/>
    <d v="2025-02-18T00:00:00"/>
    <x v="3"/>
    <s v="Ronaldo P. Roque, Jr."/>
    <s v="Rod Ross S. De Jesus"/>
    <s v="Diozelle L. Cabalar"/>
    <s v="R3-2025-005898"/>
    <d v="2025-02-18T00:00:00"/>
    <d v="2025-02-18T00:00:00"/>
    <d v="2025-02-18T00:00:00"/>
    <d v="2025-02-19T00:00:00"/>
    <n v="1"/>
    <n v="1"/>
    <n v="1"/>
    <n v="1"/>
    <s v="Received by Planning"/>
    <s v="MRS"/>
    <s v="OPERATIONAL"/>
    <s v="Technical Assistance"/>
    <m/>
  </r>
  <r>
    <x v="2"/>
    <x v="26"/>
    <s v="MBA"/>
    <s v="Camachilihan"/>
    <n v="2552"/>
    <n v="2542"/>
    <s v="NO TECHNICAL ASSISTANCE CONDUCTED"/>
    <m/>
    <m/>
    <x v="0"/>
    <s v="Ronaldo P. Roque, Jr."/>
    <s v="Rod Ross S. De Jesus"/>
    <s v="Diozelle L. Cabalar"/>
    <m/>
    <m/>
    <m/>
    <m/>
    <m/>
    <s v=""/>
    <s v=""/>
    <s v=""/>
    <s v=""/>
    <m/>
    <m/>
    <m/>
    <m/>
    <m/>
  </r>
  <r>
    <x v="2"/>
    <x v="26"/>
    <s v="MBA"/>
    <s v="Cambaog"/>
    <n v="6242"/>
    <n v="6600"/>
    <s v="NO TECHNICAL ASSISTANCE CONDUCTED"/>
    <m/>
    <m/>
    <x v="0"/>
    <s v="Ronaldo P. Roque, Jr."/>
    <s v="Rod Ross S. De Jesus"/>
    <s v="Diozelle L. Cabalar"/>
    <m/>
    <m/>
    <m/>
    <m/>
    <m/>
    <s v=""/>
    <s v=""/>
    <s v=""/>
    <s v=""/>
    <m/>
    <m/>
    <m/>
    <m/>
    <m/>
  </r>
  <r>
    <x v="2"/>
    <x v="26"/>
    <s v="MBA"/>
    <s v="Liciada"/>
    <n v="5017"/>
    <n v="6138"/>
    <s v="CONDUCTED TECHNICAL ASSISTANCE"/>
    <n v="2025"/>
    <d v="2025-09-16T00:00:00"/>
    <x v="7"/>
    <s v="Ronaldo P. Roque, Jr."/>
    <s v="Maria Cecilia S. Pascual"/>
    <s v="Diozelle L. Cabalar"/>
    <s v="R3-2025-031333"/>
    <d v="2025-09-16T00:00:00"/>
    <d v="2025-09-16T00:00:00"/>
    <d v="2025-09-16T00:00:00"/>
    <d v="2025-09-18T00:00:00"/>
    <n v="1"/>
    <n v="1"/>
    <n v="1"/>
    <n v="2"/>
    <s v="Received by Planning"/>
    <s v="NO FACILITY"/>
    <s v="CATER BY LGU"/>
    <s v="Technical Assistance"/>
    <m/>
  </r>
  <r>
    <x v="2"/>
    <x v="26"/>
    <s v="MBA"/>
    <s v="Malawak"/>
    <n v="2789"/>
    <n v="2950"/>
    <s v="CONDUCTED TECHNICAL ASSISTANCE"/>
    <n v="2025"/>
    <d v="2025-09-16T00:00:00"/>
    <x v="7"/>
    <s v="Ronaldo P. Roque, Jr."/>
    <s v="Maria Cecilia S. Pascual"/>
    <s v="Diozelle L. Cabalar"/>
    <s v="R3-2025-031332"/>
    <d v="2025-09-16T00:00:00"/>
    <d v="2025-09-16T00:00:00"/>
    <d v="2025-09-17T00:00:00"/>
    <d v="2025-09-18T00:00:00"/>
    <n v="1"/>
    <n v="1"/>
    <n v="1"/>
    <n v="1"/>
    <s v="Received by Planning"/>
    <s v="NO FACILITY"/>
    <s v="CATER BY LGU"/>
    <s v="Technical Assistance"/>
    <m/>
  </r>
  <r>
    <x v="2"/>
    <x v="26"/>
    <s v="MBA"/>
    <s v="Malamig"/>
    <n v="5633"/>
    <n v="7658"/>
    <s v="CONDUCTED TECHNICAL ASSISTANCE"/>
    <n v="2024"/>
    <s v="March 08, 2024"/>
    <x v="0"/>
    <s v="Ronaldo P. Roque, Jr."/>
    <s v="Rod Ross S. De Jesus"/>
    <s v="Diozelle L. Cabalar"/>
    <m/>
    <m/>
    <m/>
    <m/>
    <m/>
    <s v=""/>
    <s v=""/>
    <s v=""/>
    <s v=""/>
    <m/>
    <m/>
    <m/>
    <m/>
    <m/>
  </r>
  <r>
    <x v="2"/>
    <x v="26"/>
    <s v="MBA"/>
    <s v="Poblacion"/>
    <n v="7153"/>
    <n v="8262"/>
    <s v="NO TECHNICAL ASSISTANCE CONDUCTED"/>
    <m/>
    <m/>
    <x v="0"/>
    <s v="Ronaldo P. Roque, Jr."/>
    <s v="Rod Ross S. De Jesus"/>
    <s v="Diozelle L. Cabalar"/>
    <m/>
    <m/>
    <m/>
    <m/>
    <m/>
    <s v=""/>
    <s v=""/>
    <s v=""/>
    <s v=""/>
    <m/>
    <m/>
    <m/>
    <m/>
    <m/>
  </r>
  <r>
    <x v="2"/>
    <x v="26"/>
    <s v="MBA"/>
    <s v="San Pedro"/>
    <n v="6994"/>
    <n v="8113"/>
    <s v="CONDUCTED TECHNICAL ASSISTANCE"/>
    <n v="2024"/>
    <s v="March 08, 2024"/>
    <x v="0"/>
    <s v="Ronaldo P. Roque, Jr."/>
    <s v="Rod Ross S. De Jesus"/>
    <s v="Diozelle L. Cabalar"/>
    <m/>
    <m/>
    <m/>
    <m/>
    <m/>
    <s v=""/>
    <s v=""/>
    <s v=""/>
    <s v=""/>
    <m/>
    <m/>
    <m/>
    <m/>
    <m/>
  </r>
  <r>
    <x v="2"/>
    <x v="26"/>
    <s v="MBA"/>
    <s v="Talampas"/>
    <n v="3325"/>
    <n v="3637"/>
    <s v="CONDUCTED TECHNICAL ASSISTANCE"/>
    <n v="2024"/>
    <s v="March 08, 2024"/>
    <x v="0"/>
    <s v="Ronaldo P. Roque, Jr."/>
    <s v="Rod Ross S. De Jesus"/>
    <s v="Diozelle L. Cabalar"/>
    <m/>
    <m/>
    <m/>
    <m/>
    <m/>
    <s v=""/>
    <s v=""/>
    <s v=""/>
    <s v=""/>
    <m/>
    <m/>
    <m/>
    <m/>
    <m/>
  </r>
  <r>
    <x v="2"/>
    <x v="26"/>
    <s v="MBA"/>
    <s v="Tanawan"/>
    <n v="2862"/>
    <n v="2731"/>
    <s v="CONDUCTED TECHNICAL ASSISTANCE"/>
    <n v="2024"/>
    <s v="March 08, 2024"/>
    <x v="0"/>
    <s v="Ronaldo P. Roque, Jr."/>
    <s v="Rod Ross S. De Jesus"/>
    <s v="Diozelle L. Cabalar"/>
    <m/>
    <m/>
    <m/>
    <m/>
    <m/>
    <s v=""/>
    <s v=""/>
    <s v=""/>
    <s v=""/>
    <m/>
    <m/>
    <m/>
    <m/>
    <m/>
  </r>
  <r>
    <x v="2"/>
    <x v="26"/>
    <s v="MBA"/>
    <s v="Tibagan"/>
    <n v="6202"/>
    <n v="6496"/>
    <s v="NO TECHNICAL ASSISTANCE CONDUCTED"/>
    <m/>
    <m/>
    <x v="0"/>
    <s v="Ronaldo P. Roque, Jr."/>
    <s v="Rod Ross S. De Jesus"/>
    <s v="Diozelle L. Cabalar"/>
    <m/>
    <m/>
    <m/>
    <m/>
    <m/>
    <s v=""/>
    <s v=""/>
    <s v=""/>
    <s v=""/>
    <m/>
    <m/>
    <m/>
    <m/>
    <m/>
  </r>
  <r>
    <x v="2"/>
    <x v="27"/>
    <s v="MBA"/>
    <s v="Balite"/>
    <n v="3216"/>
    <n v="5016"/>
    <s v="CONDUCTED TECHNICAL ASSISTANCE"/>
    <n v="2024"/>
    <d v="2024-05-14T00:00:00"/>
    <x v="0"/>
    <m/>
    <s v="Rod Ross S. De Jesus"/>
    <s v="Diozelle L. Cabalar"/>
    <m/>
    <m/>
    <m/>
    <m/>
    <m/>
    <s v=""/>
    <s v=""/>
    <s v=""/>
    <s v=""/>
    <m/>
    <m/>
    <m/>
    <s v="Technical Assistance"/>
    <m/>
  </r>
  <r>
    <x v="2"/>
    <x v="27"/>
    <s v="MBA"/>
    <s v="Balungao"/>
    <n v="5044"/>
    <n v="5720"/>
    <s v="CONDUCTED TECHNICAL ASSISTANCE"/>
    <n v="2025"/>
    <d v="2025-05-14T00:00:00"/>
    <x v="6"/>
    <s v="Ronaldo P. Roque, Jr."/>
    <s v="Rod Ross S. De Jesus"/>
    <s v="Diozelle L. Cabalar"/>
    <s v="R3-2025-016516 "/>
    <d v="2025-05-19T00:00:00"/>
    <m/>
    <d v="2025-05-20T00:00:00"/>
    <d v="2025-05-20T00:00:00"/>
    <n v="3"/>
    <s v=""/>
    <n v="1"/>
    <n v="1"/>
    <s v="Received by Planning"/>
    <s v="MRS"/>
    <s v="OPERATIONAL"/>
    <s v="Technical Assistance"/>
    <m/>
  </r>
  <r>
    <x v="2"/>
    <x v="27"/>
    <s v="MBA"/>
    <s v="Buguion"/>
    <n v="3296"/>
    <n v="3841"/>
    <s v="CONDUCTED TECHNICAL ASSISTANCE"/>
    <n v="2025"/>
    <d v="2025-03-12T00:00:00"/>
    <x v="1"/>
    <s v="Ronaldo P. Roque, Jr."/>
    <s v="Rod Ross S. De Jesus"/>
    <s v="Diozelle L. Cabalar"/>
    <s v="R3-2025-008813"/>
    <d v="2025-03-16T00:00:00"/>
    <d v="2025-03-17T00:00:00"/>
    <d v="2025-03-18T00:00:00"/>
    <d v="2025-03-19T00:00:00"/>
    <n v="2"/>
    <n v="1"/>
    <n v="1"/>
    <n v="1"/>
    <s v="Received by Planning"/>
    <s v="MRS"/>
    <s v="OPERATIONAL"/>
    <s v="Technical Assistance"/>
    <m/>
  </r>
  <r>
    <x v="2"/>
    <x v="27"/>
    <s v="MBA"/>
    <s v="Bulusan"/>
    <n v="2564"/>
    <n v="2603"/>
    <s v="NO TECHNICAL ASSISTANCE CONDUCTED"/>
    <m/>
    <m/>
    <x v="0"/>
    <m/>
    <s v="Rod Ross S. De Jesus"/>
    <s v="Diozelle L. Cabalar"/>
    <m/>
    <m/>
    <m/>
    <m/>
    <m/>
    <s v=""/>
    <s v=""/>
    <s v=""/>
    <s v=""/>
    <m/>
    <m/>
    <m/>
    <m/>
    <m/>
  </r>
  <r>
    <x v="2"/>
    <x v="27"/>
    <s v="MBA"/>
    <s v="Calizon"/>
    <n v="1999"/>
    <n v="2221"/>
    <s v="NO TECHNICAL ASSISTANCE CONDUCTED"/>
    <m/>
    <m/>
    <x v="0"/>
    <m/>
    <s v="Rod Ross S. De Jesus"/>
    <s v="Diozelle L. Cabalar"/>
    <m/>
    <m/>
    <m/>
    <m/>
    <m/>
    <s v=""/>
    <s v=""/>
    <s v=""/>
    <s v=""/>
    <m/>
    <m/>
    <m/>
    <m/>
    <m/>
  </r>
  <r>
    <x v="2"/>
    <x v="27"/>
    <s v="MBA"/>
    <s v="Calumpang"/>
    <n v="4159"/>
    <n v="3517"/>
    <s v="CONDUCTED TECHNICAL ASSISTANCE"/>
    <n v="2025"/>
    <d v="2025-10-08T00:00:00"/>
    <x v="5"/>
    <s v="Ronaldo P. Roque, Jr."/>
    <s v="Maria Cecilia S. Pascual"/>
    <s v="Diozelle L. Cabalar"/>
    <s v="R3-2025-034399"/>
    <d v="2025-10-12T00:00:00"/>
    <d v="2025-10-15T00:00:00"/>
    <d v="2025-10-15T00:00:00"/>
    <d v="2025-10-20T00:00:00"/>
    <n v="2"/>
    <n v="1"/>
    <n v="1"/>
    <n v="3"/>
    <s v="Received by Planning"/>
    <s v="NO FACILITY"/>
    <s v="CATER BY LGU"/>
    <s v="Technical Assistance"/>
    <m/>
  </r>
  <r>
    <x v="2"/>
    <x v="27"/>
    <s v="MBA"/>
    <s v="Caniogan"/>
    <n v="4278"/>
    <n v="4510"/>
    <s v="CONDUCTED TECHNICAL ASSISTANCE"/>
    <n v="2025"/>
    <d v="2025-08-14T00:00:00"/>
    <x v="9"/>
    <s v="Ronaldo P. Roque, Jr."/>
    <s v="Rod Ross S. De Jesus"/>
    <s v="Diozelle L. Cabalar"/>
    <s v="R3-2025-027870"/>
    <d v="2025-08-18T00:00:00"/>
    <m/>
    <d v="2025-08-19T00:00:00"/>
    <d v="2025-08-19T00:00:00"/>
    <n v="2"/>
    <s v=""/>
    <n v="1"/>
    <n v="1"/>
    <s v="Received by Planning"/>
    <s v="MRS"/>
    <s v="OPERATIONAL"/>
    <s v="Technical Assistance"/>
    <m/>
  </r>
  <r>
    <x v="2"/>
    <x v="27"/>
    <s v="MBA"/>
    <s v="Corazon"/>
    <n v="2458"/>
    <n v="2175"/>
    <s v="CONDUCTED TECHNICAL ASSISTANCE"/>
    <n v="2025"/>
    <d v="2025-08-14T00:00:00"/>
    <x v="9"/>
    <s v="Ronaldo P. Roque, Jr."/>
    <s v="Rod Ross S. De Jesus"/>
    <s v="Diozelle L. Cabalar"/>
    <s v="R3-2025-027868"/>
    <d v="2025-08-18T00:00:00"/>
    <m/>
    <d v="2025-08-19T00:00:00"/>
    <d v="2025-08-19T00:00:00"/>
    <n v="2"/>
    <s v=""/>
    <n v="1"/>
    <n v="1"/>
    <s v="Received by Planning"/>
    <s v="MRS"/>
    <s v="OPERATIONAL"/>
    <s v="Technical Assistance"/>
    <m/>
  </r>
  <r>
    <x v="2"/>
    <x v="27"/>
    <s v="MBA"/>
    <s v="Frances"/>
    <n v="5770"/>
    <n v="6129"/>
    <s v="NO TECHNICAL ASSISTANCE CONDUCTED"/>
    <m/>
    <m/>
    <x v="0"/>
    <m/>
    <s v="Rod Ross S. De Jesus"/>
    <s v="Diozelle L. Cabalar"/>
    <m/>
    <m/>
    <m/>
    <m/>
    <m/>
    <s v=""/>
    <s v=""/>
    <s v=""/>
    <s v=""/>
    <m/>
    <m/>
    <m/>
    <m/>
    <m/>
  </r>
  <r>
    <x v="2"/>
    <x v="27"/>
    <s v="MBA"/>
    <s v="Gatbuca"/>
    <n v="6332"/>
    <n v="6384"/>
    <s v="CONDUCTED TECHNICAL ASSISTANCE"/>
    <n v="2025"/>
    <d v="2025-03-12T00:00:00"/>
    <x v="1"/>
    <s v="Ronaldo P. Roque, Jr."/>
    <s v="Rod Ross S. De Jesus"/>
    <s v="Diozelle L. Cabalar"/>
    <s v="R3-2025-008815"/>
    <d v="2025-03-16T00:00:00"/>
    <d v="2025-03-17T00:00:00"/>
    <d v="2025-03-18T00:00:00"/>
    <d v="2025-03-19T00:00:00"/>
    <n v="2"/>
    <n v="1"/>
    <n v="1"/>
    <n v="1"/>
    <s v="Received by Planning"/>
    <s v="MRS"/>
    <s v="OPERATIONAL"/>
    <s v="Technical Assistance"/>
    <m/>
  </r>
  <r>
    <x v="2"/>
    <x v="27"/>
    <s v="MBA"/>
    <s v="Gugo"/>
    <n v="1770"/>
    <n v="1960"/>
    <s v="NO TECHNICAL ASSISTANCE CONDUCTED"/>
    <m/>
    <m/>
    <x v="0"/>
    <m/>
    <s v="Rod Ross S. De Jesus"/>
    <s v="Diozelle L. Cabalar"/>
    <m/>
    <m/>
    <m/>
    <m/>
    <m/>
    <s v=""/>
    <s v=""/>
    <s v=""/>
    <s v=""/>
    <m/>
    <m/>
    <m/>
    <m/>
    <m/>
  </r>
  <r>
    <x v="2"/>
    <x v="27"/>
    <s v="MBA"/>
    <s v="Iba Este"/>
    <n v="2754"/>
    <n v="4161"/>
    <s v="CONDUCTED TECHNICAL ASSISTANCE"/>
    <n v="2025"/>
    <d v="2025-08-14T00:00:00"/>
    <x v="9"/>
    <s v="Ronaldo P. Roque, Jr."/>
    <s v="Rod Ross S. De Jesus"/>
    <s v="Diozelle L. Cabalar"/>
    <s v="R3-2025-027871"/>
    <d v="2025-08-18T00:00:00"/>
    <m/>
    <d v="2025-08-19T00:00:00"/>
    <d v="2025-08-19T00:00:00"/>
    <n v="2"/>
    <s v=""/>
    <n v="1"/>
    <n v="1"/>
    <s v="Received by Planning"/>
    <s v="MRS"/>
    <s v="OPERATIONAL"/>
    <s v="Technical Assistance"/>
    <m/>
  </r>
  <r>
    <x v="2"/>
    <x v="27"/>
    <s v="MBA"/>
    <s v="Iba O'Este"/>
    <n v="12359"/>
    <n v="14085"/>
    <s v="NO TECHNICAL ASSISTANCE CONDUCTED"/>
    <m/>
    <m/>
    <x v="0"/>
    <m/>
    <s v="Rod Ross S. De Jesus"/>
    <s v="Diozelle L. Cabalar"/>
    <m/>
    <m/>
    <m/>
    <m/>
    <m/>
    <s v=""/>
    <s v=""/>
    <s v=""/>
    <s v=""/>
    <m/>
    <m/>
    <m/>
    <m/>
    <m/>
  </r>
  <r>
    <x v="2"/>
    <x v="27"/>
    <s v="MBA"/>
    <s v="Longos"/>
    <n v="3444"/>
    <n v="4265"/>
    <s v="NO TECHNICAL ASSISTANCE CONDUCTED"/>
    <m/>
    <m/>
    <x v="0"/>
    <m/>
    <s v="Rod Ross S. De Jesus"/>
    <s v="Diozelle L. Cabalar"/>
    <m/>
    <m/>
    <m/>
    <m/>
    <m/>
    <s v=""/>
    <s v=""/>
    <s v=""/>
    <s v=""/>
    <m/>
    <m/>
    <m/>
    <m/>
    <m/>
  </r>
  <r>
    <x v="2"/>
    <x v="27"/>
    <s v="MBA"/>
    <s v="Meysulao"/>
    <n v="4109"/>
    <n v="4280"/>
    <s v="NO TECHNICAL ASSISTANCE CONDUCTED"/>
    <m/>
    <m/>
    <x v="0"/>
    <m/>
    <s v="Rod Ross S. De Jesus"/>
    <s v="Diozelle L. Cabalar"/>
    <m/>
    <m/>
    <m/>
    <m/>
    <m/>
    <s v=""/>
    <s v=""/>
    <s v=""/>
    <s v=""/>
    <m/>
    <m/>
    <m/>
    <m/>
    <m/>
  </r>
  <r>
    <x v="2"/>
    <x v="27"/>
    <s v="MBA"/>
    <s v="Meyto"/>
    <n v="2971"/>
    <n v="2925"/>
    <s v="NO TECHNICAL ASSISTANCE CONDUCTED"/>
    <m/>
    <m/>
    <x v="0"/>
    <m/>
    <s v="Rod Ross S. De Jesus"/>
    <s v="Diozelle L. Cabalar"/>
    <m/>
    <m/>
    <m/>
    <m/>
    <m/>
    <s v=""/>
    <s v=""/>
    <s v=""/>
    <s v=""/>
    <m/>
    <m/>
    <m/>
    <m/>
    <m/>
  </r>
  <r>
    <x v="2"/>
    <x v="27"/>
    <s v="MBA"/>
    <s v="Palimbang"/>
    <n v="2117"/>
    <n v="1684"/>
    <s v="CONDUCTED TECHNICAL ASSISTANCE"/>
    <n v="2025"/>
    <d v="2025-08-14T00:00:00"/>
    <x v="9"/>
    <s v="Ronaldo P. Roque, Jr."/>
    <s v="Rod Ross S. De Jesus"/>
    <s v="Diozelle L. Cabalar"/>
    <s v="R3-2025-027873"/>
    <d v="2025-08-18T00:00:00"/>
    <m/>
    <d v="2025-08-19T00:00:00"/>
    <d v="2025-08-19T00:00:00"/>
    <n v="2"/>
    <s v=""/>
    <n v="1"/>
    <n v="1"/>
    <s v="Received by Planning"/>
    <s v="MRS"/>
    <s v="OPERATIONAL"/>
    <s v="Technical Assistance"/>
    <m/>
  </r>
  <r>
    <x v="2"/>
    <x v="27"/>
    <s v="MBA"/>
    <s v="Panducot"/>
    <n v="2501"/>
    <n v="1752"/>
    <s v="NO TECHNICAL ASSISTANCE CONDUCTED"/>
    <m/>
    <m/>
    <x v="0"/>
    <m/>
    <s v="Rod Ross S. De Jesus"/>
    <s v="Diozelle L. Cabalar"/>
    <m/>
    <m/>
    <m/>
    <m/>
    <m/>
    <s v=""/>
    <s v=""/>
    <s v=""/>
    <s v=""/>
    <m/>
    <m/>
    <m/>
    <m/>
    <m/>
  </r>
  <r>
    <x v="2"/>
    <x v="27"/>
    <s v="MBA"/>
    <s v="Pio Cruzcosa"/>
    <n v="4336"/>
    <n v="4663"/>
    <s v="NO TECHNICAL ASSISTANCE CONDUCTED"/>
    <m/>
    <m/>
    <x v="0"/>
    <m/>
    <s v="Rod Ross S. De Jesus"/>
    <s v="Diozelle L. Cabalar"/>
    <m/>
    <m/>
    <m/>
    <m/>
    <m/>
    <s v=""/>
    <s v=""/>
    <s v=""/>
    <s v=""/>
    <m/>
    <m/>
    <m/>
    <m/>
    <m/>
  </r>
  <r>
    <x v="2"/>
    <x v="27"/>
    <s v="MBA"/>
    <s v="Poblacion"/>
    <n v="1909"/>
    <n v="1785"/>
    <s v="CONDUCTED TECHNICAL ASSISTANCE"/>
    <n v="2025"/>
    <d v="2025-03-12T00:00:00"/>
    <x v="1"/>
    <s v="Ronaldo P. Roque, Jr."/>
    <s v="Rod Ross S. De Jesus"/>
    <s v="Diozelle L. Cabalar"/>
    <s v="R3-2025-008814"/>
    <d v="2025-03-16T00:00:00"/>
    <d v="2025-03-17T00:00:00"/>
    <d v="2025-03-18T00:00:00"/>
    <d v="2025-03-19T00:00:00"/>
    <n v="2"/>
    <n v="1"/>
    <n v="1"/>
    <n v="1"/>
    <s v="Received by Planning"/>
    <s v="MRS"/>
    <s v="OPERATIONAL"/>
    <s v="Technical Assistance"/>
    <m/>
  </r>
  <r>
    <x v="2"/>
    <x v="27"/>
    <s v="MBA"/>
    <s v="Pungo"/>
    <n v="8347"/>
    <n v="9528"/>
    <s v="CONDUCTED TECHNICAL ASSISTANCE"/>
    <n v="2025"/>
    <d v="2025-10-08T00:00:00"/>
    <x v="5"/>
    <s v="Ronaldo P. Roque, Jr."/>
    <s v="Maria Cecilia S. Pascual"/>
    <s v="Diozelle L. Cabalar"/>
    <s v="R3-2025-034398"/>
    <d v="2025-10-12T00:00:00"/>
    <d v="2025-10-14T00:00:00"/>
    <d v="2025-10-15T00:00:00"/>
    <d v="2025-10-20T00:00:00"/>
    <n v="2"/>
    <n v="1"/>
    <n v="1"/>
    <n v="3"/>
    <s v="Received by Planning"/>
    <s v="NO FACILITY"/>
    <s v="CATER BY LGU"/>
    <s v="Technical Assistance"/>
    <m/>
  </r>
  <r>
    <x v="2"/>
    <x v="27"/>
    <s v="MBA"/>
    <s v="San Jose"/>
    <n v="5437"/>
    <n v="5661"/>
    <s v="NO TECHNICAL ASSISTANCE CONDUCTED"/>
    <m/>
    <m/>
    <x v="0"/>
    <m/>
    <s v="Rod Ross S. De Jesus"/>
    <s v="Diozelle L. Cabalar"/>
    <m/>
    <m/>
    <m/>
    <m/>
    <m/>
    <s v=""/>
    <s v=""/>
    <s v=""/>
    <s v=""/>
    <m/>
    <m/>
    <m/>
    <m/>
    <m/>
  </r>
  <r>
    <x v="2"/>
    <x v="27"/>
    <s v="MBA"/>
    <s v="San Marcos"/>
    <n v="2255"/>
    <n v="2671"/>
    <s v="CONDUCTED TECHNICAL ASSISTANCE"/>
    <n v="2025"/>
    <d v="2025-08-14T00:00:00"/>
    <x v="9"/>
    <s v="Ronaldo P. Roque, Jr."/>
    <s v="Rod Ross S. De Jesus"/>
    <s v="Diozelle L. Cabalar"/>
    <s v="R3-2025-027867"/>
    <d v="2025-08-18T00:00:00"/>
    <m/>
    <d v="2025-08-19T00:00:00"/>
    <d v="2025-08-19T00:00:00"/>
    <n v="2"/>
    <s v=""/>
    <n v="1"/>
    <n v="1"/>
    <s v="Received by Planning"/>
    <s v="MRS"/>
    <s v="OPERATIONAL"/>
    <s v="Technical Assistance"/>
    <m/>
  </r>
  <r>
    <x v="2"/>
    <x v="27"/>
    <s v="MBA"/>
    <s v="San Miguel"/>
    <n v="4998"/>
    <n v="6005"/>
    <s v="NO TECHNICAL ASSISTANCE CONDUCTED"/>
    <m/>
    <m/>
    <x v="0"/>
    <m/>
    <s v="Rod Ross S. De Jesus"/>
    <s v="Diozelle L. Cabalar"/>
    <m/>
    <m/>
    <m/>
    <m/>
    <m/>
    <s v=""/>
    <s v=""/>
    <s v=""/>
    <s v=""/>
    <m/>
    <m/>
    <m/>
    <m/>
    <m/>
  </r>
  <r>
    <x v="2"/>
    <x v="27"/>
    <s v="MBA"/>
    <s v="Santa Lucia"/>
    <n v="2206"/>
    <n v="2460"/>
    <s v="NO TECHNICAL ASSISTANCE CONDUCTED"/>
    <m/>
    <m/>
    <x v="0"/>
    <m/>
    <s v="Rod Ross S. De Jesus"/>
    <s v="Diozelle L. Cabalar"/>
    <m/>
    <m/>
    <m/>
    <m/>
    <m/>
    <s v=""/>
    <s v=""/>
    <s v=""/>
    <s v=""/>
    <m/>
    <m/>
    <m/>
    <m/>
    <m/>
  </r>
  <r>
    <x v="2"/>
    <x v="27"/>
    <s v="MBA"/>
    <s v="Santo Niño"/>
    <n v="1955"/>
    <n v="2544"/>
    <s v="CONDUCTED TECHNICAL ASSISTANCE"/>
    <n v="2025"/>
    <d v="2025-10-05T00:00:00"/>
    <x v="5"/>
    <s v="Ronaldo P. Roque, Jr."/>
    <s v="Maria Cecilia S. Pascual"/>
    <s v="Diozelle L. Cabalar"/>
    <s v="R3-2025-034397"/>
    <d v="2025-10-12T00:00:00"/>
    <d v="2025-10-14T00:00:00"/>
    <d v="2025-10-15T00:00:00"/>
    <d v="2025-10-20T00:00:00"/>
    <n v="4"/>
    <n v="1"/>
    <n v="1"/>
    <n v="3"/>
    <s v="Received by Planning"/>
    <s v="NO FACILITY"/>
    <s v="CATER BY LGU"/>
    <s v="Technical Assistance"/>
    <m/>
  </r>
  <r>
    <x v="2"/>
    <x v="27"/>
    <s v="MBA"/>
    <s v="Sapang Bayan"/>
    <n v="2762"/>
    <n v="3140"/>
    <s v="NO TECHNICAL ASSISTANCE CONDUCTED"/>
    <m/>
    <m/>
    <x v="0"/>
    <m/>
    <s v="Rod Ross S. De Jesus"/>
    <s v="Diozelle L. Cabalar"/>
    <m/>
    <m/>
    <m/>
    <m/>
    <m/>
    <s v=""/>
    <s v=""/>
    <s v=""/>
    <s v=""/>
    <m/>
    <m/>
    <m/>
    <m/>
    <m/>
  </r>
  <r>
    <x v="2"/>
    <x v="27"/>
    <s v="MBA"/>
    <s v="Sergio Bayan"/>
    <n v="1967"/>
    <n v="1727"/>
    <s v="NO TECHNICAL ASSISTANCE CONDUCTED"/>
    <m/>
    <m/>
    <x v="0"/>
    <m/>
    <s v="Rod Ross S. De Jesus"/>
    <s v="Diozelle L. Cabalar"/>
    <m/>
    <m/>
    <m/>
    <m/>
    <m/>
    <s v=""/>
    <s v=""/>
    <s v=""/>
    <s v=""/>
    <m/>
    <m/>
    <m/>
    <m/>
    <m/>
  </r>
  <r>
    <x v="2"/>
    <x v="27"/>
    <s v="MBA"/>
    <s v="Sucol"/>
    <n v="1444"/>
    <n v="1059"/>
    <s v="CONDUCTED TECHNICAL ASSISTANCE"/>
    <n v="2025"/>
    <d v="2025-10-08T00:00:00"/>
    <x v="5"/>
    <s v="Ronaldo P. Roque, Jr."/>
    <s v="Maria Cecilia S. Pascual"/>
    <s v="Diozelle L. Cabalar"/>
    <s v="R3-2025-034396"/>
    <d v="2025-10-12T00:00:00"/>
    <d v="2025-10-14T00:00:00"/>
    <d v="2025-10-15T00:00:00"/>
    <d v="2025-10-20T00:00:00"/>
    <n v="2"/>
    <n v="1"/>
    <n v="1"/>
    <n v="3"/>
    <s v="Received by Planning"/>
    <s v="NO FACILITY"/>
    <s v="CATER BY LGU"/>
    <s v="Technical Assistance"/>
    <m/>
  </r>
  <r>
    <x v="2"/>
    <x v="28"/>
    <s v="MBA"/>
    <s v="Barihan"/>
    <n v="5833"/>
    <n v="5852"/>
    <s v="CONDUCTED TECHNICAL ASSISTANCE"/>
    <n v="2025"/>
    <d v="2025-09-09T00:00:00"/>
    <x v="13"/>
    <s v="Ronaldo P. Roque, Jr."/>
    <s v="Maria Cecilia S. Pascual"/>
    <s v="Diozelle L. Cabalar"/>
    <s v="R3-2025-031006"/>
    <d v="2025-09-15T00:00:00"/>
    <d v="2025-09-17T00:00:00"/>
    <d v="2025-09-17T00:00:00"/>
    <d v="2025-09-18T00:00:00"/>
    <n v="4"/>
    <n v="1"/>
    <n v="1"/>
    <n v="1"/>
    <s v="Received by Planning"/>
    <s v="NO FACILITY"/>
    <s v="CATER BY LGU"/>
    <s v="Technical Assistance"/>
    <m/>
  </r>
  <r>
    <x v="2"/>
    <x v="28"/>
    <s v="MBA"/>
    <s v="Anilao"/>
    <n v="3078"/>
    <n v="3013"/>
    <s v="CONDUCTED TECHNICAL ASSISTANCE"/>
    <n v="2025"/>
    <d v="2025-02-04T00:00:00"/>
    <x v="3"/>
    <s v="Ronaldo P. Roque, Jr."/>
    <s v="Rod Ross S. De Jesus"/>
    <s v="Diozelle L. Cabalar"/>
    <s v="R3-2025-004157"/>
    <d v="2025-02-07T00:00:00"/>
    <d v="2025-02-07T00:00:00"/>
    <d v="2025-02-10T00:00:00"/>
    <d v="2025-02-13T00:00:00"/>
    <n v="3"/>
    <n v="1"/>
    <n v="1"/>
    <n v="3"/>
    <s v="Received by Planning"/>
    <s v="MRS"/>
    <s v="OPERATIONAL"/>
    <s v="Technical Assistance"/>
    <m/>
  </r>
  <r>
    <x v="2"/>
    <x v="28"/>
    <s v="MBA"/>
    <s v="Atlag"/>
    <n v="5294"/>
    <n v="4675"/>
    <s v="CONDUCTED TECHNICAL ASSISTANCE"/>
    <n v="2025"/>
    <d v="2025-03-07T00:00:00"/>
    <x v="1"/>
    <s v="Ronaldo P. Roque, Jr."/>
    <s v="Rod Ross S. De Jesus"/>
    <s v="Diozelle L. Cabalar"/>
    <s v="R3-2025-008017"/>
    <d v="2025-03-09T00:00:00"/>
    <d v="2025-03-17T00:00:00"/>
    <d v="2025-03-17T00:00:00"/>
    <d v="2025-03-19T00:00:00"/>
    <n v="1"/>
    <n v="1"/>
    <n v="1"/>
    <n v="2"/>
    <s v="Received by Planning"/>
    <s v="MRS"/>
    <s v="OPERATIONAL"/>
    <s v="Technical Assistance"/>
    <m/>
  </r>
  <r>
    <x v="2"/>
    <x v="28"/>
    <s v="MBA"/>
    <s v="Babatnin"/>
    <n v="958"/>
    <n v="741"/>
    <s v="NO TECHNICAL ASSISTANCE CONDUCTED"/>
    <m/>
    <m/>
    <x v="0"/>
    <s v="Ronaldo P. Roque, Jr."/>
    <s v="Rod Ross S. De Jesus"/>
    <s v="Diozelle L. Cabalar"/>
    <m/>
    <m/>
    <m/>
    <m/>
    <m/>
    <s v=""/>
    <s v=""/>
    <s v=""/>
    <s v=""/>
    <m/>
    <m/>
    <m/>
    <m/>
    <m/>
  </r>
  <r>
    <x v="2"/>
    <x v="28"/>
    <s v="MBA"/>
    <s v="Bagna"/>
    <n v="5321"/>
    <n v="4947"/>
    <s v="NO TECHNICAL ASSISTANCE CONDUCTED"/>
    <m/>
    <m/>
    <x v="0"/>
    <s v="Ronaldo P. Roque, Jr."/>
    <s v="Rod Ross S. De Jesus"/>
    <s v="Diozelle L. Cabalar"/>
    <m/>
    <m/>
    <m/>
    <m/>
    <m/>
    <s v=""/>
    <s v=""/>
    <s v=""/>
    <s v=""/>
    <m/>
    <m/>
    <m/>
    <m/>
    <m/>
  </r>
  <r>
    <x v="2"/>
    <x v="28"/>
    <s v="MBA"/>
    <s v="Bagong Bayan"/>
    <n v="3688"/>
    <n v="3068"/>
    <s v="CONDUCTED TECHNICAL ASSISTANCE"/>
    <n v="2025"/>
    <d v="2025-10-15T00:00:00"/>
    <x v="11"/>
    <s v="Ronaldo P. Roque, Jr."/>
    <s v="Maria Cecilia S. Pascual"/>
    <s v="Diozelle L. Cabalar"/>
    <s v="R3-2025-034961"/>
    <d v="2025-10-16T00:00:00"/>
    <d v="2025-10-17T00:00:00"/>
    <d v="2025-10-20T00:00:00"/>
    <d v="2025-10-20T00:00:00"/>
    <n v="1"/>
    <n v="1"/>
    <n v="1"/>
    <n v="1"/>
    <s v="Received by Planning"/>
    <s v="MRS"/>
    <s v="OPERATIONAL"/>
    <s v="Technical Assistance"/>
    <m/>
  </r>
  <r>
    <x v="2"/>
    <x v="28"/>
    <s v="MBA"/>
    <s v="Balayong"/>
    <n v="3338"/>
    <n v="3549"/>
    <s v="NO TECHNICAL ASSISTANCE CONDUCTED"/>
    <m/>
    <m/>
    <x v="0"/>
    <s v="Ronaldo P. Roque, Jr."/>
    <s v="Rod Ross S. De Jesus"/>
    <s v="Diozelle L. Cabalar"/>
    <m/>
    <m/>
    <m/>
    <m/>
    <m/>
    <s v=""/>
    <s v=""/>
    <s v=""/>
    <s v=""/>
    <m/>
    <m/>
    <m/>
    <m/>
    <m/>
  </r>
  <r>
    <x v="2"/>
    <x v="28"/>
    <s v="MBA"/>
    <s v="Balite"/>
    <n v="2813"/>
    <n v="3468"/>
    <s v="CONDUCTED TECHNICAL ASSISTANCE"/>
    <n v="2025"/>
    <d v="2025-10-15T00:00:00"/>
    <x v="5"/>
    <s v="Ronaldo P. Roque, Jr."/>
    <s v="Maria Cecilia S. Pascual"/>
    <s v="Diozelle L. Cabalar"/>
    <s v="R3-2025-034962"/>
    <d v="2025-10-16T00:00:00"/>
    <d v="2025-10-17T00:00:00"/>
    <d v="2025-10-20T00:00:00"/>
    <d v="2025-10-20T00:00:00"/>
    <n v="1"/>
    <n v="1"/>
    <n v="1"/>
    <n v="1"/>
    <s v="Received by Planning"/>
    <s v="NO FACILITY"/>
    <s v="CATER BY LGU"/>
    <s v="Technical Assistance"/>
    <m/>
  </r>
  <r>
    <x v="2"/>
    <x v="28"/>
    <s v="MBA"/>
    <s v="Bangkal"/>
    <n v="12437"/>
    <n v="12322"/>
    <s v="CONDUCTED TECHNICAL ASSISTANCE"/>
    <n v="2025"/>
    <d v="2025-10-01T00:00:00"/>
    <x v="5"/>
    <s v="Ronaldo P. Roque, Jr."/>
    <s v="Maria Cecilia S. Pascual"/>
    <s v="Diozelle L. Cabalar"/>
    <s v="R3-2025-033487"/>
    <d v="2025-10-06T00:00:00"/>
    <d v="2025-10-18T00:00:00"/>
    <d v="2025-10-19T00:00:00"/>
    <d v="2025-10-20T00:00:00"/>
    <n v="3"/>
    <n v="1"/>
    <n v="1"/>
    <n v="1"/>
    <s v="Received by Planning"/>
    <s v="MRS"/>
    <s v="OPERATIONAL"/>
    <s v="Technical Assistance"/>
    <m/>
  </r>
  <r>
    <x v="2"/>
    <x v="28"/>
    <s v="MBA"/>
    <s v="Guinhawa"/>
    <n v="4086"/>
    <n v="4217"/>
    <s v="CONDUCTED TECHNICAL ASSISTANCE"/>
    <n v="2025"/>
    <d v="2025-09-09T00:00:00"/>
    <x v="13"/>
    <s v="Ronaldo P. Roque, Jr."/>
    <s v="Maria Cecilia S. Pascual"/>
    <s v="Diozelle L. Cabalar"/>
    <s v="R3-2025-031008"/>
    <d v="2025-09-15T00:00:00"/>
    <d v="2025-09-17T00:00:00"/>
    <d v="2025-09-17T00:00:00"/>
    <d v="2025-09-18T00:00:00"/>
    <n v="4"/>
    <n v="1"/>
    <n v="1"/>
    <n v="1"/>
    <s v="Received by Planning"/>
    <s v="MRF"/>
    <s v="OPERATIONAL"/>
    <s v="Technical Assistance"/>
    <m/>
  </r>
  <r>
    <x v="2"/>
    <x v="28"/>
    <s v="MBA"/>
    <s v="Bulihan"/>
    <n v="13510"/>
    <n v="15865"/>
    <s v="CONDUCTED TECHNICAL ASSISTANCE"/>
    <n v="2024"/>
    <d v="2024-10-08T00:00:00"/>
    <x v="0"/>
    <s v="Ronaldo P. Roque, Jr."/>
    <s v="Rod Ross S. De Jesus"/>
    <s v="Diozelle L. Cabalar"/>
    <m/>
    <m/>
    <m/>
    <m/>
    <m/>
    <s v=""/>
    <s v=""/>
    <s v=""/>
    <s v=""/>
    <m/>
    <s v="MRS"/>
    <m/>
    <s v="Technical Assistance"/>
    <m/>
  </r>
  <r>
    <x v="2"/>
    <x v="28"/>
    <s v="MBA"/>
    <s v="Bungahan"/>
    <n v="2965"/>
    <n v="3025"/>
    <s v="CONDUCTED TECHNICAL ASSISTANCE"/>
    <n v="2024"/>
    <d v="2024-05-15T00:00:00"/>
    <x v="0"/>
    <s v="Ronaldo P. Roque, Jr."/>
    <s v="Rod Ross S. De Jesus"/>
    <s v="Diozelle L. Cabalar"/>
    <m/>
    <m/>
    <m/>
    <m/>
    <m/>
    <s v=""/>
    <s v=""/>
    <s v=""/>
    <s v=""/>
    <m/>
    <m/>
    <m/>
    <s v="Technical Assistance"/>
    <m/>
  </r>
  <r>
    <x v="2"/>
    <x v="28"/>
    <s v="MBA"/>
    <s v="Caingin"/>
    <n v="6899"/>
    <n v="7348"/>
    <s v="CONDUCTED TECHNICAL ASSISTANCE"/>
    <n v="2024"/>
    <d v="2024-04-11T00:00:00"/>
    <x v="0"/>
    <s v="Ronaldo P. Roque, Jr."/>
    <s v="Rod Ross S. De Jesus"/>
    <s v="Diozelle L. Cabalar"/>
    <m/>
    <m/>
    <m/>
    <m/>
    <m/>
    <s v=""/>
    <s v=""/>
    <s v=""/>
    <s v=""/>
    <m/>
    <m/>
    <m/>
    <s v="Technical Assistance"/>
    <m/>
  </r>
  <r>
    <x v="2"/>
    <x v="28"/>
    <s v="MBA"/>
    <s v="Calero"/>
    <n v="1281"/>
    <n v="1316"/>
    <s v="NO TECHNICAL ASSISTANCE CONDUCTED"/>
    <m/>
    <m/>
    <x v="0"/>
    <s v="Ronaldo P. Roque, Jr."/>
    <s v="Rod Ross S. De Jesus"/>
    <s v="Diozelle L. Cabalar"/>
    <m/>
    <m/>
    <m/>
    <m/>
    <m/>
    <s v=""/>
    <s v=""/>
    <s v=""/>
    <s v=""/>
    <m/>
    <m/>
    <m/>
    <m/>
    <m/>
  </r>
  <r>
    <x v="2"/>
    <x v="28"/>
    <s v="MBA"/>
    <s v="Caliligawan"/>
    <n v="302"/>
    <n v="498"/>
    <s v="NO TECHNICAL ASSISTANCE CONDUCTED"/>
    <m/>
    <m/>
    <x v="0"/>
    <s v="Ronaldo P. Roque, Jr."/>
    <s v="Rod Ross S. De Jesus"/>
    <s v="Diozelle L. Cabalar"/>
    <m/>
    <m/>
    <m/>
    <m/>
    <m/>
    <s v=""/>
    <s v=""/>
    <s v=""/>
    <s v=""/>
    <m/>
    <m/>
    <m/>
    <m/>
    <m/>
  </r>
  <r>
    <x v="2"/>
    <x v="28"/>
    <s v="MBA"/>
    <s v="Canalate"/>
    <n v="4124"/>
    <n v="3632"/>
    <s v="NO TECHNICAL ASSISTANCE CONDUCTED"/>
    <m/>
    <m/>
    <x v="0"/>
    <s v="Ronaldo P. Roque, Jr."/>
    <s v="Rod Ross S. De Jesus"/>
    <s v="Diozelle L. Cabalar"/>
    <m/>
    <m/>
    <m/>
    <m/>
    <m/>
    <s v=""/>
    <s v=""/>
    <s v=""/>
    <s v=""/>
    <m/>
    <m/>
    <m/>
    <m/>
    <m/>
  </r>
  <r>
    <x v="2"/>
    <x v="28"/>
    <s v="MBA"/>
    <s v="Caniogan"/>
    <n v="5132"/>
    <n v="5219"/>
    <s v="CONDUCTED TECHNICAL ASSISTANCE"/>
    <n v="2024"/>
    <d v="2024-10-08T00:00:00"/>
    <x v="0"/>
    <s v="Ronaldo P. Roque, Jr."/>
    <s v="Rod Ross S. De Jesus"/>
    <s v="Diozelle L. Cabalar"/>
    <m/>
    <m/>
    <m/>
    <m/>
    <m/>
    <s v=""/>
    <s v=""/>
    <s v=""/>
    <s v=""/>
    <m/>
    <s v="MRS"/>
    <m/>
    <s v="Technical Assistance"/>
    <s v="Forwarded to Ms. Diozelle"/>
  </r>
  <r>
    <x v="2"/>
    <x v="28"/>
    <s v="MBA"/>
    <s v="Catmon"/>
    <n v="2382"/>
    <n v="2248"/>
    <s v="CONDUCTED TECHNICAL ASSISTANCE"/>
    <n v="2024"/>
    <d v="2024-10-08T00:00:00"/>
    <x v="0"/>
    <s v="Ronaldo P. Roque, Jr."/>
    <s v="Rod Ross S. De Jesus"/>
    <s v="Diozelle L. Cabalar"/>
    <m/>
    <m/>
    <m/>
    <m/>
    <m/>
    <s v=""/>
    <s v=""/>
    <s v=""/>
    <s v=""/>
    <m/>
    <s v="MRF"/>
    <s v="OPERATIONAL"/>
    <s v="Technical Assistance"/>
    <m/>
  </r>
  <r>
    <x v="2"/>
    <x v="28"/>
    <s v="MBA"/>
    <s v="Cofradia"/>
    <n v="3937"/>
    <n v="4608"/>
    <s v="NO TECHNICAL ASSISTANCE CONDUCTED"/>
    <m/>
    <m/>
    <x v="0"/>
    <s v="Ronaldo P. Roque, Jr."/>
    <s v="Rod Ross S. De Jesus"/>
    <s v="Diozelle L. Cabalar"/>
    <m/>
    <m/>
    <m/>
    <m/>
    <m/>
    <s v=""/>
    <s v=""/>
    <s v=""/>
    <s v=""/>
    <m/>
    <m/>
    <m/>
    <m/>
    <m/>
  </r>
  <r>
    <x v="2"/>
    <x v="28"/>
    <s v="MBA"/>
    <s v="Dakila"/>
    <n v="5352"/>
    <n v="6806"/>
    <s v="CONDUCTED TECHNICAL ASSISTANCE"/>
    <n v="2025"/>
    <d v="2025-11-06T00:00:00"/>
    <x v="11"/>
    <s v="Ronaldo P. Roque, Jr."/>
    <s v="Maria Cecilia S. Pascual"/>
    <s v="Diozelle L. Cabalar"/>
    <s v="R3-2025-037820"/>
    <d v="2025-11-11T00:00:00"/>
    <d v="2025-11-11T00:00:00"/>
    <d v="2025-11-11T00:00:00"/>
    <d v="2025-11-18T00:00:00"/>
    <n v="3"/>
    <n v="1"/>
    <n v="1"/>
    <n v="5"/>
    <s v="Received by Planning"/>
    <s v="MRF"/>
    <s v="OPERATIONAL"/>
    <s v="Technical Assistance"/>
    <m/>
  </r>
  <r>
    <x v="2"/>
    <x v="28"/>
    <s v="MBA"/>
    <s v="Pinagbakahan"/>
    <n v="6087"/>
    <n v="7563"/>
    <s v="CONDUCTED TECHNICAL ASSISTANCE"/>
    <n v="2025"/>
    <d v="2025-09-09T00:00:00"/>
    <x v="13"/>
    <s v="Ronaldo P. Roque, Jr."/>
    <s v="Maria Cecilia S. Pascual"/>
    <s v="Diozelle L. Cabalar"/>
    <s v="R3-2025-031005"/>
    <d v="2025-09-15T00:00:00"/>
    <d v="2025-09-17T00:00:00"/>
    <d v="2025-09-17T00:00:00"/>
    <d v="2025-09-18T00:00:00"/>
    <n v="4"/>
    <n v="1"/>
    <n v="1"/>
    <n v="1"/>
    <s v="Received by Planning"/>
    <s v="MRS"/>
    <s v="OPERATIONAL"/>
    <s v="Technical Assistance"/>
    <m/>
  </r>
  <r>
    <x v="2"/>
    <x v="28"/>
    <s v="MBA"/>
    <s v="Ligas"/>
    <n v="6624"/>
    <n v="6656"/>
    <s v="NO TECHNICAL ASSISTANCE CONDUCTED"/>
    <m/>
    <m/>
    <x v="0"/>
    <s v="Ronaldo P. Roque, Jr."/>
    <s v="Rod Ross S. De Jesus"/>
    <s v="Diozelle L. Cabalar"/>
    <m/>
    <m/>
    <m/>
    <m/>
    <m/>
    <s v=""/>
    <s v=""/>
    <s v=""/>
    <s v=""/>
    <m/>
    <m/>
    <m/>
    <m/>
    <m/>
  </r>
  <r>
    <x v="2"/>
    <x v="28"/>
    <s v="MBA"/>
    <s v="Liyang"/>
    <n v="1661"/>
    <n v="1338"/>
    <s v="CONDUCTED TECHNICAL ASSISTANCE"/>
    <n v="2025"/>
    <d v="2025-07-17T00:00:00"/>
    <x v="9"/>
    <s v="Ronaldo P. Roque, Jr."/>
    <m/>
    <s v="Diozelle L. Cabalar"/>
    <s v="R3-2025-024072"/>
    <d v="2025-07-18T00:00:00"/>
    <m/>
    <d v="2025-07-21T00:00:00"/>
    <d v="2025-07-21T00:00:00"/>
    <n v="1"/>
    <s v=""/>
    <n v="1"/>
    <n v="1"/>
    <s v="Received by Planning"/>
    <s v="MRS"/>
    <s v="OPERATIONAL"/>
    <s v="Technical Assistance"/>
    <m/>
  </r>
  <r>
    <x v="2"/>
    <x v="28"/>
    <s v="MBA"/>
    <s v="Longos"/>
    <n v="14864"/>
    <n v="16999"/>
    <s v="CONDUCTED TECHNICAL ASSISTANCE"/>
    <n v="2024"/>
    <d v="2024-10-08T00:00:00"/>
    <x v="0"/>
    <s v="Ronaldo P. Roque, Jr."/>
    <s v="Rod Ross S. De Jesus"/>
    <s v="Diozelle L. Cabalar"/>
    <m/>
    <m/>
    <m/>
    <m/>
    <m/>
    <s v=""/>
    <s v=""/>
    <s v=""/>
    <s v=""/>
    <m/>
    <s v="MRS"/>
    <m/>
    <s v="Technical Assistance"/>
    <m/>
  </r>
  <r>
    <x v="2"/>
    <x v="28"/>
    <s v="MBA"/>
    <s v="Look 1st"/>
    <n v="6808"/>
    <n v="9611"/>
    <s v="CONDUCTED TECHNICAL ASSISTANCE"/>
    <n v="2025"/>
    <d v="2025-10-15T00:00:00"/>
    <x v="11"/>
    <s v="Ronaldo P. Roque, Jr."/>
    <s v="Maria Cecilia S. Pascual"/>
    <s v="Diozelle L. Cabalar"/>
    <s v="R3-2025-034958"/>
    <d v="2025-10-15T00:00:00"/>
    <d v="2025-10-16T00:00:00"/>
    <d v="2025-10-17T00:00:00"/>
    <d v="2025-10-20T00:00:00"/>
    <n v="1"/>
    <n v="1"/>
    <n v="1"/>
    <n v="1"/>
    <s v="Received by Planning"/>
    <s v="NO FACILITY"/>
    <s v="CATER BY LGU"/>
    <s v="Technical Assistance"/>
    <m/>
  </r>
  <r>
    <x v="2"/>
    <x v="28"/>
    <s v="MBA"/>
    <s v="Look 2nd"/>
    <n v="3108"/>
    <n v="3081"/>
    <s v="CONDUCTED TECHNICAL ASSISTANCE"/>
    <n v="2025"/>
    <d v="2025-10-01T00:00:00"/>
    <x v="11"/>
    <s v="Ronaldo P. Roque, Jr."/>
    <s v="Maria Cecilia S. Pascual"/>
    <s v="Diozelle L. Cabalar"/>
    <s v="R3-2025-033488"/>
    <d v="2025-10-06T00:00:00"/>
    <d v="2025-10-18T00:00:00"/>
    <d v="2025-10-19T00:00:00"/>
    <d v="2025-10-20T00:00:00"/>
    <n v="3"/>
    <n v="1"/>
    <n v="1"/>
    <n v="1"/>
    <s v="Received by Planning"/>
    <s v="MRF"/>
    <s v="NON-OPERATIONAL"/>
    <s v="Technical Assistance"/>
    <m/>
  </r>
  <r>
    <x v="2"/>
    <x v="28"/>
    <s v="MBA"/>
    <s v="Lugam"/>
    <n v="4711"/>
    <n v="4744"/>
    <s v="CONDUCTED TECHNICAL ASSISTANCE"/>
    <n v="2025"/>
    <d v="2025-10-15T00:00:00"/>
    <x v="11"/>
    <s v="Ronaldo P. Roque, Jr."/>
    <s v="Maria Cecilia S. Pascual"/>
    <s v="Diozelle L. Cabalar"/>
    <s v="R3-2025-034960"/>
    <d v="2025-10-16T00:00:00"/>
    <d v="2025-10-17T00:00:00"/>
    <d v="2025-10-19T00:00:00"/>
    <d v="2025-10-20T00:00:00"/>
    <n v="1"/>
    <n v="1"/>
    <n v="1"/>
    <n v="1"/>
    <s v="Received by Planning"/>
    <s v="NO FACILITY"/>
    <s v="CATER BY LGU"/>
    <s v="Technical Assistance"/>
    <m/>
  </r>
  <r>
    <x v="2"/>
    <x v="28"/>
    <s v="MBA"/>
    <s v="Mabolo"/>
    <n v="6435"/>
    <n v="6281"/>
    <s v="CONDUCTED TECHNICAL ASSISTANCE"/>
    <n v="2024"/>
    <d v="2024-10-08T00:00:00"/>
    <x v="0"/>
    <s v="Ronaldo P. Roque, Jr."/>
    <s v="Rod Ross S. De Jesus"/>
    <s v="Diozelle L. Cabalar"/>
    <m/>
    <m/>
    <m/>
    <m/>
    <m/>
    <s v=""/>
    <s v=""/>
    <s v=""/>
    <s v=""/>
    <m/>
    <s v="MRS"/>
    <m/>
    <s v="Technical Assistance"/>
    <m/>
  </r>
  <r>
    <x v="2"/>
    <x v="28"/>
    <s v="MBA"/>
    <s v="Mambog"/>
    <n v="2673"/>
    <n v="2836"/>
    <s v="CONDUCTED TECHNICAL ASSISTANCE"/>
    <n v="2025"/>
    <d v="2025-08-13T00:00:00"/>
    <x v="9"/>
    <s v="Ronaldo P. Roque, Jr."/>
    <m/>
    <s v="Diozelle L. Cabalar"/>
    <s v="R3-2025-027668"/>
    <d v="2025-08-17T00:00:00"/>
    <m/>
    <d v="2025-08-19T00:00:00"/>
    <d v="2025-08-19T00:00:00"/>
    <n v="2"/>
    <s v=""/>
    <n v="1"/>
    <n v="1"/>
    <s v="Received by Planning"/>
    <s v="MRS"/>
    <s v="OPERATIONAL"/>
    <s v="Technical Assistance"/>
    <m/>
  </r>
  <r>
    <x v="2"/>
    <x v="28"/>
    <s v="MBA"/>
    <s v="Masile"/>
    <n v="832"/>
    <n v="772"/>
    <s v="NO TECHNICAL ASSISTANCE CONDUCTED"/>
    <m/>
    <m/>
    <x v="0"/>
    <s v="Ronaldo P. Roque, Jr."/>
    <s v="Rod Ross S. De Jesus"/>
    <s v="Diozelle L. Cabalar"/>
    <m/>
    <m/>
    <m/>
    <m/>
    <m/>
    <s v=""/>
    <s v=""/>
    <s v=""/>
    <s v=""/>
    <m/>
    <m/>
    <m/>
    <m/>
    <m/>
  </r>
  <r>
    <x v="2"/>
    <x v="28"/>
    <s v="MBA"/>
    <s v="Matimbo"/>
    <n v="6516"/>
    <n v="6649"/>
    <s v="CONDUCTED TECHNICAL ASSISTANCE"/>
    <n v="2025"/>
    <d v="2025-08-13T00:00:00"/>
    <x v="9"/>
    <s v="Ronaldo P. Roque, Jr."/>
    <m/>
    <s v="Diozelle L. Cabalar"/>
    <s v="R3-2025-027670"/>
    <d v="2025-08-17T00:00:00"/>
    <m/>
    <d v="2025-08-19T00:00:00"/>
    <d v="2025-08-19T00:00:00"/>
    <n v="2"/>
    <s v=""/>
    <n v="1"/>
    <n v="1"/>
    <s v="Received by Planning"/>
    <s v="MRF"/>
    <s v="OPERATIONAL"/>
    <s v="Technical Assistance"/>
    <m/>
  </r>
  <r>
    <x v="2"/>
    <x v="28"/>
    <s v="MBA"/>
    <s v="Mojon"/>
    <n v="18239"/>
    <n v="16169"/>
    <s v="CONDUCTED TECHNICAL ASSISTANCE"/>
    <n v="2024"/>
    <d v="2024-05-17T00:00:00"/>
    <x v="0"/>
    <s v="Ronaldo P. Roque, Jr."/>
    <s v="Rod Ross S. De Jesus"/>
    <s v="Diozelle L. Cabalar"/>
    <m/>
    <m/>
    <m/>
    <m/>
    <m/>
    <s v=""/>
    <s v=""/>
    <s v=""/>
    <s v=""/>
    <m/>
    <m/>
    <m/>
    <s v="Technical Assistance"/>
    <m/>
  </r>
  <r>
    <x v="2"/>
    <x v="28"/>
    <s v="MBA"/>
    <s v="Namayan"/>
    <n v="771"/>
    <n v="712"/>
    <s v="NO TECHNICAL ASSISTANCE CONDUCTED"/>
    <m/>
    <m/>
    <x v="0"/>
    <s v="Ronaldo P. Roque, Jr."/>
    <s v="Rod Ross S. De Jesus"/>
    <s v="Diozelle L. Cabalar"/>
    <m/>
    <m/>
    <m/>
    <m/>
    <m/>
    <s v=""/>
    <s v=""/>
    <s v=""/>
    <s v=""/>
    <m/>
    <m/>
    <m/>
    <m/>
    <m/>
  </r>
  <r>
    <x v="2"/>
    <x v="28"/>
    <s v="MBA"/>
    <s v="Niugan"/>
    <n v="828"/>
    <n v="715"/>
    <s v="NO TECHNICAL ASSISTANCE CONDUCTED"/>
    <m/>
    <m/>
    <x v="0"/>
    <s v="Ronaldo P. Roque, Jr."/>
    <s v="Rod Ross S. De Jesus"/>
    <s v="Diozelle L. Cabalar"/>
    <m/>
    <m/>
    <m/>
    <m/>
    <m/>
    <s v=""/>
    <s v=""/>
    <s v=""/>
    <s v=""/>
    <m/>
    <m/>
    <m/>
    <m/>
    <m/>
  </r>
  <r>
    <x v="2"/>
    <x v="28"/>
    <s v="MBA"/>
    <s v="Pamarawan"/>
    <n v="3336"/>
    <n v="3094"/>
    <s v="CONDUCTED TECHNICAL ASSISTANCE"/>
    <n v="2024"/>
    <d v="2024-11-13T00:00:00"/>
    <x v="0"/>
    <s v="Ronaldo P. Roque, Jr."/>
    <s v="Rod Ross S. De Jesus"/>
    <s v="Diozelle L. Cabalar"/>
    <m/>
    <m/>
    <m/>
    <m/>
    <m/>
    <s v=""/>
    <s v=""/>
    <s v=""/>
    <s v=""/>
    <m/>
    <s v="MRF"/>
    <s v="OPERATIONAL"/>
    <s v="Technical Assistance"/>
    <m/>
  </r>
  <r>
    <x v="2"/>
    <x v="28"/>
    <s v="MBA"/>
    <s v="Panasahan"/>
    <n v="8818"/>
    <n v="9484"/>
    <s v="CONDUCTED TECHNICAL ASSISTANCE"/>
    <n v="2025"/>
    <d v="2025-03-07T00:00:00"/>
    <x v="1"/>
    <s v="Ronaldo P. Roque, Jr."/>
    <s v="Rod Ross S. De Jesus"/>
    <s v="Diozelle L. Cabalar"/>
    <s v="R3-2025-008016"/>
    <d v="2025-03-09T00:00:00"/>
    <d v="2025-03-17T00:00:00"/>
    <d v="2025-03-18T00:00:00"/>
    <d v="2025-03-19T00:00:00"/>
    <n v="1"/>
    <n v="1"/>
    <n v="1"/>
    <n v="1"/>
    <s v="Received by Planning"/>
    <s v="NO FACILITY"/>
    <s v="CATER BY LGU"/>
    <s v="Technical Assistance"/>
    <s v="ISSUANCE OF TC"/>
  </r>
  <r>
    <x v="2"/>
    <x v="28"/>
    <s v="MBA"/>
    <s v="Santisima Trinidad"/>
    <n v="6524"/>
    <n v="6688"/>
    <s v="CONDUCTED TECHNICAL ASSISTANCE"/>
    <n v="2025"/>
    <d v="2025-09-09T00:00:00"/>
    <x v="7"/>
    <s v="Ronaldo P. Roque, Jr."/>
    <s v="Maria Cecilia S. Pascual"/>
    <s v="Diozelle L. Cabalar"/>
    <s v="R3-2025-031004"/>
    <d v="2025-09-15T00:00:00"/>
    <d v="2025-09-17T00:00:00"/>
    <d v="2025-09-17T00:00:00"/>
    <d v="2025-09-18T00:00:00"/>
    <n v="4"/>
    <n v="1"/>
    <n v="1"/>
    <n v="1"/>
    <s v="Received by Planning"/>
    <s v="MRF"/>
    <s v="OPERATIONAL"/>
    <s v="Technical Assistance"/>
    <m/>
  </r>
  <r>
    <x v="2"/>
    <x v="28"/>
    <s v="MBA"/>
    <s v="San Agustin"/>
    <n v="2262"/>
    <n v="1945"/>
    <s v="CONDUCTED TECHNICAL ASSISTANCE"/>
    <n v="2024"/>
    <d v="2024-05-15T00:00:00"/>
    <x v="0"/>
    <s v="Ronaldo P. Roque, Jr."/>
    <s v="Rod Ross S. De Jesus"/>
    <s v="Diozelle L. Cabalar"/>
    <m/>
    <m/>
    <m/>
    <m/>
    <m/>
    <s v=""/>
    <s v=""/>
    <s v=""/>
    <s v=""/>
    <m/>
    <m/>
    <m/>
    <s v="Technical Assistance"/>
    <m/>
  </r>
  <r>
    <x v="2"/>
    <x v="28"/>
    <s v="MBA"/>
    <s v="San Gabriel"/>
    <n v="2467"/>
    <n v="2012"/>
    <s v="CONDUCTED TECHNICAL ASSISTANCE"/>
    <n v="2024"/>
    <d v="2024-11-07T00:00:00"/>
    <x v="0"/>
    <s v="Ronaldo P. Roque, Jr."/>
    <s v="Rod Ross S. De Jesus"/>
    <s v="Diozelle L. Cabalar"/>
    <m/>
    <m/>
    <m/>
    <m/>
    <m/>
    <s v=""/>
    <s v=""/>
    <s v=""/>
    <s v=""/>
    <m/>
    <s v="MRS"/>
    <s v="CATER BY LGU"/>
    <s v="Technical Assistance"/>
    <m/>
  </r>
  <r>
    <x v="2"/>
    <x v="28"/>
    <s v="MBA"/>
    <s v="San Juan"/>
    <n v="4388"/>
    <n v="4566"/>
    <s v="CONDUCTED TECHNICAL ASSISTANCE"/>
    <n v="2024"/>
    <d v="2024-11-08T00:00:00"/>
    <x v="0"/>
    <s v="Ronaldo P. Roque, Jr."/>
    <s v="Rod Ross S. De Jesus"/>
    <s v="Diozelle L. Cabalar"/>
    <m/>
    <m/>
    <m/>
    <m/>
    <m/>
    <s v=""/>
    <s v=""/>
    <s v=""/>
    <s v=""/>
    <m/>
    <s v="MRS"/>
    <s v="CATER BY LGU"/>
    <s v="Technical Assistance"/>
    <m/>
  </r>
  <r>
    <x v="2"/>
    <x v="28"/>
    <s v="MBA"/>
    <s v="San Pablo"/>
    <n v="5240"/>
    <n v="4991"/>
    <s v="CONDUCTED TECHNICAL ASSISTANCE"/>
    <n v="2024"/>
    <d v="2024-11-07T00:00:00"/>
    <x v="0"/>
    <s v="Ronaldo P. Roque, Jr."/>
    <s v="Rod Ross S. De Jesus"/>
    <s v="Diozelle L. Cabalar"/>
    <m/>
    <m/>
    <m/>
    <m/>
    <m/>
    <s v=""/>
    <s v=""/>
    <s v=""/>
    <s v=""/>
    <m/>
    <s v="MRS"/>
    <s v="CATER BY LGU"/>
    <s v="Technical Assistance"/>
    <m/>
  </r>
  <r>
    <x v="2"/>
    <x v="28"/>
    <s v="MBA"/>
    <s v="San Vicente (Pob.)"/>
    <n v="2790"/>
    <n v="2402"/>
    <s v="CONDUCTED TECHNICAL ASSISTANCE"/>
    <n v="2025"/>
    <d v="2025-07-17T00:00:00"/>
    <x v="8"/>
    <s v="Ronaldo P. Roque, Jr."/>
    <m/>
    <s v="Diozelle L. Cabalar"/>
    <s v="R3-2025-024073"/>
    <d v="2025-07-18T00:00:00"/>
    <m/>
    <d v="2025-07-21T00:00:00"/>
    <d v="2025-07-21T00:00:00"/>
    <n v="1"/>
    <s v=""/>
    <n v="1"/>
    <n v="1"/>
    <s v="Received by Planning"/>
    <s v="MRS"/>
    <s v="OPERATIONAL"/>
    <s v="Technical Assistance"/>
    <m/>
  </r>
  <r>
    <x v="2"/>
    <x v="28"/>
    <s v="MBA"/>
    <s v="Santiago"/>
    <n v="1973"/>
    <n v="1534"/>
    <s v="CONDUCTED TECHNICAL ASSISTANCE"/>
    <n v="2025"/>
    <d v="2025-10-01T00:00:00"/>
    <x v="5"/>
    <s v="Ronaldo P. Roque, Jr."/>
    <s v="Maria Cecilia S. Pascual"/>
    <s v="Diozelle L. Cabalar"/>
    <s v="R3-2025-033491"/>
    <d v="2025-10-06T00:00:00"/>
    <d v="2025-10-18T00:00:00"/>
    <d v="2025-10-19T00:00:00"/>
    <d v="2025-10-20T00:00:00"/>
    <n v="3"/>
    <n v="1"/>
    <n v="1"/>
    <n v="1"/>
    <s v="Received by Planning"/>
    <s v="NO FACILITY"/>
    <s v="CATER BY LGU"/>
    <s v="Technical Assistance"/>
    <m/>
  </r>
  <r>
    <x v="2"/>
    <x v="28"/>
    <s v="MBA"/>
    <s v="Santo Cristo"/>
    <n v="2025"/>
    <n v="2035"/>
    <s v="NO TECHNICAL ASSISTANCE CONDUCTED"/>
    <m/>
    <m/>
    <x v="0"/>
    <s v="Ronaldo P. Roque, Jr."/>
    <s v="Rod Ross S. De Jesus"/>
    <s v="Diozelle L. Cabalar"/>
    <m/>
    <m/>
    <m/>
    <m/>
    <m/>
    <s v=""/>
    <s v=""/>
    <s v=""/>
    <s v=""/>
    <m/>
    <m/>
    <m/>
    <m/>
    <m/>
  </r>
  <r>
    <x v="2"/>
    <x v="28"/>
    <s v="MBA"/>
    <s v="Santo Niño (Pob.)"/>
    <n v="561"/>
    <n v="574"/>
    <s v="CONDUCTED TECHNICAL ASSISTANCE"/>
    <n v="2025"/>
    <d v="2025-10-01T00:00:00"/>
    <x v="5"/>
    <s v="Ronaldo P. Roque, Jr."/>
    <s v="Maria Cecilia S. Pascual"/>
    <s v="Diozelle L. Cabalar"/>
    <s v="R3-2025-033493"/>
    <d v="2025-10-06T00:00:00"/>
    <d v="2025-10-18T00:00:00"/>
    <d v="2025-10-19T00:00:00"/>
    <d v="2025-10-20T00:00:00"/>
    <n v="3"/>
    <n v="1"/>
    <n v="1"/>
    <n v="1"/>
    <s v="Received by Planning"/>
    <s v="NO FACILITY"/>
    <s v="CATER BY LGU"/>
    <s v="Technical Assistance"/>
    <m/>
  </r>
  <r>
    <x v="2"/>
    <x v="28"/>
    <s v="MBA"/>
    <s v="Santo Rosario (Pob.)"/>
    <n v="7633"/>
    <n v="7333"/>
    <s v="CONDUCTED TECHNICAL ASSISTANCE"/>
    <n v="2025"/>
    <d v="2025-10-01T00:00:00"/>
    <x v="11"/>
    <s v="Ronaldo P. Roque, Jr."/>
    <s v="Maria Cecilia S. Pascual"/>
    <s v="Diozelle L. Cabalar"/>
    <s v="R3-2025-033528"/>
    <d v="2025-10-09T00:00:00"/>
    <d v="2025-10-18T00:00:00"/>
    <d v="2025-10-19T00:00:00"/>
    <d v="2025-10-20T00:00:00"/>
    <n v="6"/>
    <n v="1"/>
    <n v="1"/>
    <n v="1"/>
    <s v="Received by Planning"/>
    <s v="MRF"/>
    <s v="OPERATIONAL"/>
    <s v="Technical Assistance"/>
    <m/>
  </r>
  <r>
    <x v="2"/>
    <x v="28"/>
    <s v="MBA"/>
    <s v="Santol"/>
    <n v="8646"/>
    <n v="8550"/>
    <s v="CONDUCTED TECHNICAL ASSISTANCE"/>
    <n v="2025"/>
    <d v="2025-08-13T00:00:00"/>
    <x v="9"/>
    <s v="Ronaldo P. Roque, Jr."/>
    <m/>
    <s v="Diozelle L. Cabalar"/>
    <s v="R3-2025-027667"/>
    <d v="2025-08-17T00:00:00"/>
    <m/>
    <d v="2025-08-18T00:00:00"/>
    <d v="2025-08-19T00:00:00"/>
    <n v="2"/>
    <s v=""/>
    <n v="1"/>
    <n v="1"/>
    <s v="Received by Planning"/>
    <s v="MRS"/>
    <s v="OPERATIONAL"/>
    <s v="Technical Assistance"/>
    <m/>
  </r>
  <r>
    <x v="2"/>
    <x v="28"/>
    <s v="MBA"/>
    <s v="Sumapang Bata"/>
    <n v="2645"/>
    <n v="2442"/>
    <s v="CONDUCTED TECHNICAL ASSISTANCE"/>
    <n v="2024"/>
    <d v="2024-04-11T00:00:00"/>
    <x v="0"/>
    <s v="Ronaldo P. Roque, Jr."/>
    <s v="Rod Ross S. De Jesus"/>
    <s v="Diozelle L. Cabalar"/>
    <m/>
    <m/>
    <m/>
    <m/>
    <m/>
    <s v=""/>
    <s v=""/>
    <s v=""/>
    <s v=""/>
    <m/>
    <m/>
    <m/>
    <s v="Technical Assistance"/>
    <m/>
  </r>
  <r>
    <x v="2"/>
    <x v="28"/>
    <s v="MBA"/>
    <s v="Sumapang Matanda"/>
    <n v="7554"/>
    <n v="8719"/>
    <s v="CONDUCTED TECHNICAL ASSISTANCE"/>
    <n v="2024"/>
    <d v="2024-04-11T00:00:00"/>
    <x v="0"/>
    <s v="Ronaldo P. Roque, Jr."/>
    <s v="Rod Ross S. De Jesus"/>
    <s v="Diozelle L. Cabalar"/>
    <m/>
    <m/>
    <m/>
    <m/>
    <m/>
    <s v=""/>
    <s v=""/>
    <s v=""/>
    <s v=""/>
    <m/>
    <m/>
    <m/>
    <s v="Technical Assistance"/>
    <m/>
  </r>
  <r>
    <x v="2"/>
    <x v="28"/>
    <s v="MBA"/>
    <s v="Taal"/>
    <n v="2231"/>
    <n v="1677"/>
    <s v="CONDUCTED TECHNICAL ASSISTANCE"/>
    <n v="2025"/>
    <d v="2025-08-13T00:00:00"/>
    <x v="9"/>
    <s v="Ronaldo P. Roque, Jr."/>
    <m/>
    <s v="Diozelle L. Cabalar"/>
    <s v="R3-2025-027669"/>
    <d v="2025-08-17T00:00:00"/>
    <m/>
    <d v="2025-08-19T00:00:00"/>
    <d v="2025-08-19T00:00:00"/>
    <n v="2"/>
    <s v=""/>
    <n v="1"/>
    <n v="1"/>
    <s v="Received by Planning"/>
    <s v="MRS"/>
    <s v="OPERATIONAL"/>
    <s v="Technical Assistance"/>
    <m/>
  </r>
  <r>
    <x v="2"/>
    <x v="28"/>
    <s v="MBA"/>
    <s v="Tikay"/>
    <n v="10094"/>
    <n v="12600"/>
    <s v="CONDUCTED TECHNICAL ASSISTANCE"/>
    <n v="2024"/>
    <d v="2024-08-09T00:00:00"/>
    <x v="0"/>
    <s v="Ronaldo P. Roque, Jr."/>
    <s v="Rod Ross S. De Jesus"/>
    <s v="Diozelle L. Cabalar"/>
    <m/>
    <m/>
    <m/>
    <m/>
    <m/>
    <s v=""/>
    <s v=""/>
    <s v=""/>
    <s v=""/>
    <m/>
    <s v="MRS"/>
    <m/>
    <s v="Technical Assistance"/>
    <m/>
  </r>
  <r>
    <x v="2"/>
    <x v="29"/>
    <s v="MBA"/>
    <s v="Bagbaguin"/>
    <n v="7760"/>
    <n v="8426"/>
    <s v="CONDUCTED TECHNICAL ASSISTANCE"/>
    <n v="2025"/>
    <d v="2025-04-08T00:00:00"/>
    <x v="4"/>
    <s v="James Wilson T. Pena"/>
    <s v="Rod Ross S. De Jesus"/>
    <s v="Diozelle L. Cabalar"/>
    <s v="R3-2025-012448"/>
    <d v="2025-04-12T00:00:00"/>
    <m/>
    <d v="2025-04-15T00:00:00"/>
    <d v="2025-04-15T00:00:00"/>
    <n v="3"/>
    <s v=""/>
    <n v="1"/>
    <n v="1"/>
    <s v="Received by Planning"/>
    <s v="MRS"/>
    <s v="OPERATIONAL"/>
    <s v="Technical Assistance"/>
    <m/>
  </r>
  <r>
    <x v="2"/>
    <x v="29"/>
    <s v="MBA"/>
    <s v="Bahay Pare"/>
    <n v="11568"/>
    <n v="13232"/>
    <s v="CONDUCTED TECHNICAL ASSISTANCE"/>
    <n v="2024"/>
    <s v="February 21, 2024"/>
    <x v="0"/>
    <s v="James Wilson T. Pena"/>
    <s v="Rod Ross S. De Jesus"/>
    <s v="Diozelle L. Cabalar"/>
    <m/>
    <m/>
    <m/>
    <m/>
    <m/>
    <s v=""/>
    <s v=""/>
    <s v=""/>
    <s v=""/>
    <m/>
    <m/>
    <m/>
    <m/>
    <m/>
  </r>
  <r>
    <x v="2"/>
    <x v="29"/>
    <s v="MBA"/>
    <s v="Bancal"/>
    <n v="12589"/>
    <n v="12687"/>
    <s v="CONDUCTED TECHNICAL ASSISTANCE"/>
    <n v="2024"/>
    <s v="March 12, 2024"/>
    <x v="0"/>
    <s v="James Wilson T. Pena"/>
    <s v="Rod Ross S. De Jesus"/>
    <s v="Diozelle L. Cabalar"/>
    <m/>
    <m/>
    <m/>
    <m/>
    <m/>
    <s v=""/>
    <s v=""/>
    <s v=""/>
    <s v=""/>
    <m/>
    <m/>
    <m/>
    <m/>
    <m/>
  </r>
  <r>
    <x v="2"/>
    <x v="29"/>
    <s v="MBA"/>
    <s v="Banga"/>
    <n v="2913"/>
    <n v="2524"/>
    <s v="CONDUCTED TECHNICAL ASSISTANCE"/>
    <n v="2025"/>
    <d v="2025-04-08T00:00:00"/>
    <x v="4"/>
    <s v="James Wilson T. Pena"/>
    <s v="Rod Ross S. De Jesus"/>
    <s v="Diozelle L. Cabalar"/>
    <s v="R3-2025-012449"/>
    <d v="2025-04-12T00:00:00"/>
    <d v="2025-04-15T00:00:00"/>
    <d v="2025-04-15T00:00:00"/>
    <d v="2025-04-15T00:00:00"/>
    <n v="3"/>
    <n v="1"/>
    <n v="1"/>
    <n v="1"/>
    <s v="Received by Planning"/>
    <s v="MRS"/>
    <s v="OPERATIONAL"/>
    <s v="Technical Assistance"/>
    <m/>
  </r>
  <r>
    <x v="2"/>
    <x v="29"/>
    <s v="MBA"/>
    <s v="Bayugo"/>
    <n v="18560"/>
    <n v="19195"/>
    <s v="CONDUCTED TECHNICAL ASSISTANCE"/>
    <n v="2024"/>
    <s v="March 12, 2024"/>
    <x v="0"/>
    <s v="James Wilson T. Pena"/>
    <s v="Rod Ross S. De Jesus"/>
    <s v="Diozelle L. Cabalar"/>
    <m/>
    <m/>
    <m/>
    <m/>
    <m/>
    <s v=""/>
    <s v=""/>
    <s v=""/>
    <s v=""/>
    <m/>
    <m/>
    <m/>
    <m/>
    <m/>
  </r>
  <r>
    <x v="2"/>
    <x v="29"/>
    <s v="MBA"/>
    <s v="Caingin"/>
    <n v="5443"/>
    <n v="6895"/>
    <s v="NO TECHNICAL ASSISTANCE CONDUCTED"/>
    <m/>
    <m/>
    <x v="0"/>
    <s v="James Wilson T. Pena"/>
    <s v="Rod Ross S. De Jesus"/>
    <s v="Diozelle L. Cabalar"/>
    <m/>
    <m/>
    <m/>
    <m/>
    <m/>
    <s v=""/>
    <s v=""/>
    <s v=""/>
    <s v=""/>
    <m/>
    <m/>
    <m/>
    <m/>
    <m/>
  </r>
  <r>
    <x v="2"/>
    <x v="29"/>
    <s v="MBA"/>
    <s v="Calvario"/>
    <n v="5317"/>
    <n v="5074"/>
    <s v="NO TECHNICAL ASSISTANCE CONDUCTED"/>
    <m/>
    <m/>
    <x v="0"/>
    <s v="James Wilson T. Pena"/>
    <s v="Rod Ross S. De Jesus"/>
    <s v="Diozelle L. Cabalar"/>
    <m/>
    <m/>
    <m/>
    <m/>
    <m/>
    <s v=""/>
    <s v=""/>
    <s v=""/>
    <s v=""/>
    <m/>
    <m/>
    <m/>
    <m/>
    <m/>
  </r>
  <r>
    <x v="2"/>
    <x v="29"/>
    <s v="MBA"/>
    <s v="Camalig"/>
    <n v="8972"/>
    <n v="8388"/>
    <s v="CONDUCTED TECHNICAL ASSISTANCE"/>
    <n v="2025"/>
    <d v="2025-05-13T00:00:00"/>
    <x v="6"/>
    <s v="James Wilson T. Pena"/>
    <s v="Rod Ross S. De Jesus"/>
    <s v="Diozelle L. Cabalar"/>
    <s v="R3-2025-016531 "/>
    <d v="2025-05-19T00:00:00"/>
    <m/>
    <d v="2025-05-19T00:00:00"/>
    <d v="2025-05-20T00:00:00"/>
    <n v="4"/>
    <s v=""/>
    <n v="1"/>
    <n v="1"/>
    <s v="Received by Planning"/>
    <s v="MRF"/>
    <s v="OPERATIONAL"/>
    <s v="Technical Assistance"/>
    <m/>
  </r>
  <r>
    <x v="2"/>
    <x v="29"/>
    <s v="MBA"/>
    <s v="Hulo"/>
    <n v="1675"/>
    <n v="2683"/>
    <s v="CONDUCTED TECHNICAL ASSISTANCE"/>
    <n v="2025"/>
    <d v="2025-05-13T00:00:00"/>
    <x v="6"/>
    <s v="James Wilson T. Pena"/>
    <s v="Rod Ross S. De Jesus"/>
    <s v="Diozelle L. Cabalar"/>
    <s v="R3-2025-016463"/>
    <d v="2025-05-17T00:00:00"/>
    <m/>
    <d v="2025-05-19T00:00:00"/>
    <d v="2025-05-20T00:00:00"/>
    <n v="3"/>
    <s v=""/>
    <n v="1"/>
    <n v="1"/>
    <s v="Received by Planning"/>
    <s v="MRF"/>
    <s v="OPERATIONAL"/>
    <s v="Technical Assistance"/>
    <m/>
  </r>
  <r>
    <x v="2"/>
    <x v="29"/>
    <s v="MBA"/>
    <s v="Iba"/>
    <n v="8032"/>
    <n v="9367"/>
    <s v="CONDUCTED TECHNICAL ASSISTANCE"/>
    <n v="2024"/>
    <s v="February 21, 2024"/>
    <x v="0"/>
    <s v="James Wilson T. Pena"/>
    <s v="Rod Ross S. De Jesus"/>
    <s v="Diozelle L. Cabalar"/>
    <m/>
    <m/>
    <m/>
    <m/>
    <m/>
    <s v=""/>
    <s v=""/>
    <s v=""/>
    <s v=""/>
    <m/>
    <m/>
    <m/>
    <m/>
    <m/>
  </r>
  <r>
    <x v="2"/>
    <x v="29"/>
    <s v="MBA"/>
    <s v="Langka"/>
    <n v="3871"/>
    <n v="4319"/>
    <s v="CONDUCTED TECHNICAL ASSISTANCE"/>
    <n v="2025"/>
    <d v="2025-03-13T00:00:00"/>
    <x v="1"/>
    <s v="James Wilson T. Pena"/>
    <s v="Rod Ross S. De Jesus"/>
    <s v="Diozelle L. Cabalar"/>
    <s v="R3-2025-008935"/>
    <d v="2025-03-17T00:00:00"/>
    <d v="2025-03-17T00:00:00"/>
    <d v="2025-03-17T00:00:00"/>
    <d v="2025-03-18T00:00:00"/>
    <n v="2"/>
    <n v="1"/>
    <n v="1"/>
    <n v="1"/>
    <s v="Received by Planning"/>
    <s v="MRF"/>
    <s v="OPERATIONAL"/>
    <s v="Technical Assistance"/>
    <m/>
  </r>
  <r>
    <x v="2"/>
    <x v="29"/>
    <s v="MBA"/>
    <s v="Lawa"/>
    <n v="12854"/>
    <n v="15592"/>
    <s v="CONDUCTED TECHNICAL ASSISTANCE"/>
    <n v="2025"/>
    <d v="2025-03-13T00:00:00"/>
    <x v="1"/>
    <s v="James Wilson T. Pena"/>
    <s v="Rod Ross S. De Jesus"/>
    <s v="Diozelle L. Cabalar"/>
    <s v="R3-2025-008938"/>
    <d v="2025-03-17T00:00:00"/>
    <d v="2025-03-17T00:00:00"/>
    <d v="2025-03-18T00:00:00"/>
    <d v="2025-03-18T00:00:00"/>
    <n v="2"/>
    <n v="1"/>
    <n v="1"/>
    <n v="1"/>
    <s v="Received by Planning"/>
    <s v="MRF"/>
    <s v="OPERATIONAL"/>
    <s v="Technical Assistance"/>
    <m/>
  </r>
  <r>
    <x v="2"/>
    <x v="29"/>
    <s v="MBA"/>
    <s v="Libtong"/>
    <n v="10552"/>
    <n v="12742"/>
    <s v="CONDUCTED TECHNICAL ASSISTANCE"/>
    <n v="2025"/>
    <d v="2025-03-13T00:00:00"/>
    <x v="1"/>
    <s v="James Wilson T. Pena"/>
    <s v="Rod Ross S. De Jesus"/>
    <s v="Diozelle L. Cabalar"/>
    <s v="R3-2025-008939"/>
    <d v="2025-03-17T00:00:00"/>
    <d v="2025-03-17T00:00:00"/>
    <d v="2025-03-18T00:00:00"/>
    <d v="2025-03-18T00:00:00"/>
    <n v="2"/>
    <n v="1"/>
    <n v="1"/>
    <n v="1"/>
    <s v="Received by Planning"/>
    <s v="MRS"/>
    <s v="OPERATIONAL"/>
    <s v="Technical Assistance"/>
    <m/>
  </r>
  <r>
    <x v="2"/>
    <x v="29"/>
    <s v="MBA"/>
    <s v="Liputan"/>
    <n v="1584"/>
    <n v="1615"/>
    <s v="NO TECHNICAL ASSISTANCE CONDUCTED"/>
    <m/>
    <m/>
    <x v="0"/>
    <s v="James Wilson T. Pena"/>
    <s v="Rod Ross S. De Jesus"/>
    <s v="Diozelle L. Cabalar"/>
    <m/>
    <m/>
    <m/>
    <m/>
    <m/>
    <s v=""/>
    <s v=""/>
    <s v=""/>
    <s v=""/>
    <m/>
    <m/>
    <m/>
    <m/>
    <m/>
  </r>
  <r>
    <x v="2"/>
    <x v="29"/>
    <s v="MBA"/>
    <s v="Longos"/>
    <n v="3412"/>
    <n v="2903"/>
    <s v="CONDUCTED TECHNICAL ASSISTANCE"/>
    <n v="2024"/>
    <s v="March 12, 2024"/>
    <x v="0"/>
    <s v="James Wilson T. Pena"/>
    <s v="Rod Ross S. De Jesus"/>
    <s v="Diozelle L. Cabalar"/>
    <m/>
    <m/>
    <m/>
    <m/>
    <m/>
    <s v=""/>
    <s v=""/>
    <s v=""/>
    <s v=""/>
    <m/>
    <m/>
    <m/>
    <m/>
    <m/>
  </r>
  <r>
    <x v="2"/>
    <x v="29"/>
    <s v="MBA"/>
    <s v="Malhacan"/>
    <n v="22205"/>
    <n v="21540"/>
    <s v="CONDUCTED TECHNICAL ASSISTANCE"/>
    <n v="2024"/>
    <s v="March 12, 2024"/>
    <x v="0"/>
    <s v="James Wilson T. Pena"/>
    <s v="Rod Ross S. De Jesus"/>
    <s v="Diozelle L. Cabalar"/>
    <m/>
    <m/>
    <m/>
    <m/>
    <m/>
    <s v=""/>
    <s v=""/>
    <s v=""/>
    <s v=""/>
    <m/>
    <m/>
    <m/>
    <m/>
    <m/>
  </r>
  <r>
    <x v="2"/>
    <x v="29"/>
    <s v="MBA"/>
    <s v="Pajo"/>
    <n v="6166"/>
    <n v="7752"/>
    <s v="CONDUCTED TECHNICAL ASSISTANCE"/>
    <n v="2024"/>
    <s v="February 21, 2024"/>
    <x v="0"/>
    <s v="James Wilson T. Pena"/>
    <s v="Rod Ross S. De Jesus"/>
    <s v="Diozelle L. Cabalar"/>
    <m/>
    <m/>
    <m/>
    <m/>
    <m/>
    <s v=""/>
    <s v=""/>
    <s v=""/>
    <s v=""/>
    <m/>
    <m/>
    <m/>
    <m/>
    <m/>
  </r>
  <r>
    <x v="2"/>
    <x v="29"/>
    <s v="MBA"/>
    <s v="Pandayan"/>
    <n v="15264"/>
    <n v="17171"/>
    <s v="CONDUCTED TECHNICAL ASSISTANCE"/>
    <n v="2024"/>
    <s v="March 12, 2024"/>
    <x v="0"/>
    <s v="James Wilson T. Pena"/>
    <s v="Rod Ross S. De Jesus"/>
    <s v="Diozelle L. Cabalar"/>
    <m/>
    <m/>
    <m/>
    <m/>
    <m/>
    <s v=""/>
    <s v=""/>
    <s v=""/>
    <s v=""/>
    <m/>
    <m/>
    <m/>
    <m/>
    <m/>
  </r>
  <r>
    <x v="2"/>
    <x v="29"/>
    <s v="MBA"/>
    <s v="Pantoc"/>
    <n v="11804"/>
    <n v="12577"/>
    <s v="CONDUCTED TECHNICAL ASSISTANCE"/>
    <n v="2024"/>
    <s v="February 21, 2024"/>
    <x v="0"/>
    <s v="James Wilson T. Pena"/>
    <s v="Rod Ross S. De Jesus"/>
    <s v="Diozelle L. Cabalar"/>
    <m/>
    <m/>
    <m/>
    <m/>
    <m/>
    <s v=""/>
    <s v=""/>
    <s v=""/>
    <s v=""/>
    <m/>
    <m/>
    <m/>
    <m/>
    <m/>
  </r>
  <r>
    <x v="2"/>
    <x v="29"/>
    <s v="MBA"/>
    <s v="Perez"/>
    <n v="17251"/>
    <n v="18848"/>
    <s v="CONDUCTED TECHNICAL ASSISTANCE"/>
    <n v="2024"/>
    <s v="February 21, 2024"/>
    <x v="0"/>
    <s v="James Wilson T. Pena"/>
    <s v="Rod Ross S. De Jesus"/>
    <s v="Diozelle L. Cabalar"/>
    <m/>
    <m/>
    <m/>
    <m/>
    <m/>
    <s v=""/>
    <s v=""/>
    <s v=""/>
    <s v=""/>
    <m/>
    <m/>
    <m/>
    <m/>
    <m/>
  </r>
  <r>
    <x v="2"/>
    <x v="29"/>
    <s v="MBA"/>
    <s v="Poblacion"/>
    <n v="348"/>
    <n v="304"/>
    <s v="CONDUCTED TECHNICAL ASSISTANCE"/>
    <n v="2025"/>
    <d v="2025-01-17T00:00:00"/>
    <x v="2"/>
    <s v="James Wilson T. Pena"/>
    <s v="Rod Ross S. De Jesus"/>
    <s v="Diozelle L. Cabalar"/>
    <s v="R3-2025-001387"/>
    <d v="2025-01-20T00:00:00"/>
    <d v="2025-01-21T00:00:00"/>
    <d v="2025-01-21T00:00:00"/>
    <d v="2025-01-22T00:00:00"/>
    <n v="1"/>
    <n v="1"/>
    <n v="1"/>
    <n v="1"/>
    <s v="Received by Planning"/>
    <s v="MRF"/>
    <s v="OPERATIONAL"/>
    <s v="Technical Assistance"/>
    <s v="No"/>
  </r>
  <r>
    <x v="2"/>
    <x v="29"/>
    <s v="MBA"/>
    <s v="Saint Francis (Gasak)"/>
    <n v="1288"/>
    <n v="1313"/>
    <s v="CONDUCTED TECHNICAL ASSISTANCE"/>
    <n v="2025"/>
    <d v="2025-08-14T00:00:00"/>
    <x v="9"/>
    <s v="James Wilson T. Pena"/>
    <m/>
    <s v="Diozelle L. Cabalar"/>
    <s v="R3-2025-027619"/>
    <d v="2025-08-17T00:00:00"/>
    <m/>
    <d v="2025-08-18T00:00:00"/>
    <d v="2025-08-19T00:00:00"/>
    <n v="1"/>
    <s v=""/>
    <n v="1"/>
    <n v="1"/>
    <s v="Received by Planning"/>
    <s v="MRS"/>
    <s v="OPERATIONAL"/>
    <s v="Technical Assistance"/>
    <m/>
  </r>
  <r>
    <x v="2"/>
    <x v="29"/>
    <s v="MBA"/>
    <s v="Saluysoy"/>
    <n v="10347"/>
    <n v="11024"/>
    <s v="CONDUCTED TECHNICAL ASSISTANCE"/>
    <n v="2025"/>
    <d v="2025-08-14T00:00:00"/>
    <x v="9"/>
    <s v="James Wilson T. Pena"/>
    <m/>
    <s v="Diozelle L. Cabalar"/>
    <s v="R3-2025-027620"/>
    <d v="2025-08-17T00:00:00"/>
    <m/>
    <d v="2025-08-18T00:00:00"/>
    <d v="2025-08-19T00:00:00"/>
    <n v="1"/>
    <s v=""/>
    <n v="1"/>
    <n v="1"/>
    <s v="Received by Planning"/>
    <s v="MRF"/>
    <s v="OPERATIONAL"/>
    <s v="Technical Assistance"/>
    <m/>
  </r>
  <r>
    <x v="2"/>
    <x v="29"/>
    <s v="MBA"/>
    <s v="Tugatog"/>
    <n v="4407"/>
    <n v="4852"/>
    <s v="CONDUCTED TECHNICAL ASSISTANCE"/>
    <n v="2024"/>
    <s v="March 12, 2024"/>
    <x v="0"/>
    <s v="James Wilson T. Pena"/>
    <s v="Rod Ross S. De Jesus"/>
    <s v="Diozelle L. Cabalar"/>
    <m/>
    <m/>
    <m/>
    <m/>
    <m/>
    <s v=""/>
    <s v=""/>
    <s v=""/>
    <s v=""/>
    <m/>
    <m/>
    <m/>
    <m/>
    <m/>
  </r>
  <r>
    <x v="2"/>
    <x v="29"/>
    <s v="MBA"/>
    <s v="Ubihan"/>
    <n v="2255"/>
    <n v="2280"/>
    <s v="CONDUCTED TECHNICAL ASSISTANCE"/>
    <n v="2025"/>
    <d v="2025-08-14T00:00:00"/>
    <x v="9"/>
    <s v="James Wilson T. Pena"/>
    <m/>
    <s v="Diozelle L. Cabalar"/>
    <s v="R3-2025-027617"/>
    <d v="2025-08-17T00:00:00"/>
    <m/>
    <d v="2025-08-18T00:00:00"/>
    <d v="2025-08-19T00:00:00"/>
    <n v="1"/>
    <s v=""/>
    <n v="1"/>
    <n v="1"/>
    <s v="Received by Planning"/>
    <s v="MRF"/>
    <s v="OPERATIONAL"/>
    <s v="Technical Assistance"/>
    <m/>
  </r>
  <r>
    <x v="2"/>
    <x v="29"/>
    <s v="MBA"/>
    <s v="Zamora"/>
    <n v="2646"/>
    <n v="2370"/>
    <s v="NO TECHNICAL ASSISTANCE CONDUCTED"/>
    <m/>
    <m/>
    <x v="0"/>
    <s v="James Wilson T. Pena"/>
    <s v="Rod Ross S. De Jesus"/>
    <s v="Diozelle L. Cabalar"/>
    <m/>
    <m/>
    <m/>
    <d v="2025-08-18T00:00:00"/>
    <m/>
    <s v=""/>
    <s v=""/>
    <s v=""/>
    <s v=""/>
    <m/>
    <m/>
    <m/>
    <m/>
    <m/>
  </r>
  <r>
    <x v="2"/>
    <x v="30"/>
    <s v="MBA"/>
    <s v="Assumption"/>
    <n v="4460"/>
    <n v="4362"/>
    <s v="NO TECHNICAL ASSISTANCE CONDUCTED"/>
    <m/>
    <m/>
    <x v="0"/>
    <s v="James Wilson T. Pena"/>
    <s v="Rod Ross S. De Jesus"/>
    <s v="Diozelle L. Cabalar"/>
    <m/>
    <m/>
    <m/>
    <m/>
    <m/>
    <s v=""/>
    <s v=""/>
    <s v=""/>
    <s v=""/>
    <m/>
    <m/>
    <m/>
    <m/>
    <m/>
  </r>
  <r>
    <x v="2"/>
    <x v="30"/>
    <s v="MBA"/>
    <s v="Bagong Buhay"/>
    <n v="7258"/>
    <n v="7264"/>
    <s v="CONDUCTED TECHNICAL ASSISTANCE"/>
    <n v="2025"/>
    <d v="2025-07-11T00:00:00"/>
    <x v="8"/>
    <s v="James Wilson T. Pena"/>
    <m/>
    <s v="Diozelle L. Cabalar"/>
    <s v="R3-2025-024019"/>
    <d v="2025-07-17T00:00:00"/>
    <m/>
    <d v="2025-07-18T00:00:00"/>
    <d v="2025-07-18T00:00:00"/>
    <n v="4"/>
    <s v=""/>
    <n v="1"/>
    <n v="1"/>
    <s v="Received by Planning"/>
    <s v="NO FACILITY"/>
    <s v="CATER BY LGU"/>
    <s v="Technical Assistance"/>
    <m/>
  </r>
  <r>
    <x v="2"/>
    <x v="30"/>
    <s v="MBA"/>
    <s v="Bagong Buhay II"/>
    <n v="4301"/>
    <n v="4175"/>
    <s v="CONDUCTED TECHNICAL ASSISTANCE"/>
    <n v="2025"/>
    <d v="2025-07-11T00:00:00"/>
    <x v="9"/>
    <s v="James Wilson T. Pena"/>
    <m/>
    <s v="Diozelle L. Cabalar"/>
    <s v="R3-2025-024131"/>
    <d v="2025-07-18T00:00:00"/>
    <m/>
    <d v="2025-07-21T00:00:00"/>
    <d v="2025-07-21T00:00:00"/>
    <n v="5"/>
    <s v=""/>
    <n v="1"/>
    <n v="1"/>
    <s v="Received by Planning"/>
    <s v="NO FACILITY"/>
    <s v="CATER BY LGU"/>
    <s v="Technical Assistance"/>
    <m/>
  </r>
  <r>
    <x v="2"/>
    <x v="30"/>
    <s v="MBA"/>
    <s v="Bagong Buhay III"/>
    <n v="5854"/>
    <n v="5698"/>
    <s v="NO TECHNICAL ASSISTANCE CONDUCTED"/>
    <m/>
    <m/>
    <x v="0"/>
    <s v="James Wilson T. Pena"/>
    <s v="Rod Ross S. De Jesus"/>
    <s v="Diozelle L. Cabalar"/>
    <m/>
    <m/>
    <m/>
    <m/>
    <m/>
    <s v=""/>
    <s v=""/>
    <s v=""/>
    <s v=""/>
    <m/>
    <m/>
    <m/>
    <m/>
    <m/>
  </r>
  <r>
    <x v="2"/>
    <x v="30"/>
    <s v="MBA"/>
    <s v="Citrus"/>
    <n v="20937"/>
    <n v="22893"/>
    <s v="NO TECHNICAL ASSISTANCE CONDUCTED"/>
    <m/>
    <m/>
    <x v="0"/>
    <s v="James Wilson T. Pena"/>
    <s v="Rod Ross S. De Jesus"/>
    <s v="Diozelle L. Cabalar"/>
    <m/>
    <m/>
    <m/>
    <m/>
    <m/>
    <s v=""/>
    <s v=""/>
    <s v=""/>
    <s v=""/>
    <m/>
    <m/>
    <m/>
    <m/>
    <m/>
  </r>
  <r>
    <x v="2"/>
    <x v="30"/>
    <s v="MBA"/>
    <s v="Ciudad Real"/>
    <n v="2519"/>
    <n v="1826"/>
    <s v="NO TECHNICAL ASSISTANCE CONDUCTED"/>
    <m/>
    <m/>
    <x v="0"/>
    <s v="James Wilson T. Pena"/>
    <s v="Rod Ross S. De Jesus"/>
    <s v="Diozelle L. Cabalar"/>
    <m/>
    <m/>
    <m/>
    <m/>
    <m/>
    <s v=""/>
    <s v=""/>
    <s v=""/>
    <s v=""/>
    <m/>
    <m/>
    <m/>
    <m/>
    <m/>
  </r>
  <r>
    <x v="2"/>
    <x v="30"/>
    <s v="MBA"/>
    <s v="Dulong Bayan"/>
    <n v="8806"/>
    <n v="11008"/>
    <s v="CONDUCTED TECHNICAL ASSISTANCE"/>
    <n v="2024"/>
    <d v="2024-10-10T00:00:00"/>
    <x v="0"/>
    <s v="James Wilson T. Pena"/>
    <s v="Rod Ross S. De Jesus"/>
    <s v="Diozelle L. Cabalar"/>
    <m/>
    <m/>
    <m/>
    <m/>
    <m/>
    <s v=""/>
    <s v=""/>
    <s v=""/>
    <s v=""/>
    <m/>
    <s v="MRF"/>
    <s v="OPERATIONAL"/>
    <s v="Technical Assistance"/>
    <m/>
  </r>
  <r>
    <x v="2"/>
    <x v="30"/>
    <s v="MBA"/>
    <s v="Fatima"/>
    <n v="3085"/>
    <n v="3109"/>
    <s v="NO TECHNICAL ASSISTANCE CONDUCTED"/>
    <m/>
    <m/>
    <x v="0"/>
    <s v="James Wilson T. Pena"/>
    <s v="Rod Ross S. De Jesus"/>
    <s v="Diozelle L. Cabalar"/>
    <m/>
    <m/>
    <m/>
    <m/>
    <m/>
    <s v=""/>
    <s v=""/>
    <s v=""/>
    <s v=""/>
    <m/>
    <m/>
    <m/>
    <m/>
    <m/>
  </r>
  <r>
    <x v="2"/>
    <x v="30"/>
    <s v="MBA"/>
    <s v="Fatima II"/>
    <n v="1855"/>
    <n v="1890"/>
    <s v="NO TECHNICAL ASSISTANCE CONDUCTED"/>
    <m/>
    <m/>
    <x v="0"/>
    <s v="James Wilson T. Pena"/>
    <s v="Rod Ross S. De Jesus"/>
    <s v="Diozelle L. Cabalar"/>
    <m/>
    <m/>
    <m/>
    <m/>
    <m/>
    <s v=""/>
    <s v=""/>
    <s v=""/>
    <s v=""/>
    <m/>
    <m/>
    <m/>
    <m/>
    <m/>
  </r>
  <r>
    <x v="2"/>
    <x v="30"/>
    <s v="MBA"/>
    <s v="Fatima III"/>
    <n v="1922"/>
    <n v="1950"/>
    <s v="NO TECHNICAL ASSISTANCE CONDUCTED"/>
    <m/>
    <m/>
    <x v="0"/>
    <s v="James Wilson T. Pena"/>
    <s v="Rod Ross S. De Jesus"/>
    <s v="Diozelle L. Cabalar"/>
    <m/>
    <m/>
    <m/>
    <m/>
    <m/>
    <s v=""/>
    <s v=""/>
    <s v=""/>
    <s v=""/>
    <m/>
    <m/>
    <m/>
    <m/>
    <m/>
  </r>
  <r>
    <x v="2"/>
    <x v="30"/>
    <s v="MBA"/>
    <s v="Fatima IV"/>
    <n v="2243"/>
    <n v="2121"/>
    <s v="NO TECHNICAL ASSISTANCE CONDUCTED"/>
    <m/>
    <m/>
    <x v="0"/>
    <s v="James Wilson T. Pena"/>
    <s v="Rod Ross S. De Jesus"/>
    <s v="Diozelle L. Cabalar"/>
    <m/>
    <m/>
    <m/>
    <m/>
    <m/>
    <s v=""/>
    <s v=""/>
    <s v=""/>
    <s v=""/>
    <m/>
    <m/>
    <m/>
    <m/>
    <m/>
  </r>
  <r>
    <x v="2"/>
    <x v="30"/>
    <s v="MBA"/>
    <s v="Fatima V"/>
    <n v="2519"/>
    <n v="2195"/>
    <s v="NO TECHNICAL ASSISTANCE CONDUCTED"/>
    <m/>
    <m/>
    <x v="0"/>
    <s v="James Wilson T. Pena"/>
    <s v="Rod Ross S. De Jesus"/>
    <s v="Diozelle L. Cabalar"/>
    <m/>
    <m/>
    <m/>
    <m/>
    <m/>
    <s v=""/>
    <s v=""/>
    <s v=""/>
    <s v=""/>
    <m/>
    <m/>
    <m/>
    <m/>
    <m/>
  </r>
  <r>
    <x v="2"/>
    <x v="30"/>
    <s v="MBA"/>
    <s v="Francisco Homes-Guijo"/>
    <n v="6132"/>
    <n v="6972"/>
    <s v="NO TECHNICAL ASSISTANCE CONDUCTED"/>
    <m/>
    <m/>
    <x v="0"/>
    <s v="James Wilson T. Pena"/>
    <s v="Rod Ross S. De Jesus"/>
    <s v="Diozelle L. Cabalar"/>
    <m/>
    <m/>
    <m/>
    <m/>
    <m/>
    <s v=""/>
    <s v=""/>
    <s v=""/>
    <s v=""/>
    <m/>
    <m/>
    <m/>
    <m/>
    <m/>
  </r>
  <r>
    <x v="2"/>
    <x v="30"/>
    <s v="MBA"/>
    <s v="Francisco Homes-Mulawin"/>
    <n v="11608"/>
    <n v="11226"/>
    <s v="CONDUCTED TECHNICAL ASSISTANCE"/>
    <n v="2024"/>
    <d v="2024-10-10T00:00:00"/>
    <x v="0"/>
    <s v="James Wilson T. Pena"/>
    <s v="Rod Ross S. De Jesus"/>
    <s v="Diozelle L. Cabalar"/>
    <m/>
    <m/>
    <m/>
    <m/>
    <m/>
    <s v=""/>
    <s v=""/>
    <s v=""/>
    <s v=""/>
    <m/>
    <s v="MRF"/>
    <s v="OPERATIONAL"/>
    <s v="Technical Assistance"/>
    <m/>
  </r>
  <r>
    <x v="2"/>
    <x v="30"/>
    <s v="MBA"/>
    <s v="Francisco Homes-Narra"/>
    <n v="7152"/>
    <n v="8293"/>
    <s v="NO TECHNICAL ASSISTANCE CONDUCTED"/>
    <m/>
    <m/>
    <x v="0"/>
    <s v="James Wilson T. Pena"/>
    <s v="Rod Ross S. De Jesus"/>
    <s v="Diozelle L. Cabalar"/>
    <m/>
    <m/>
    <m/>
    <m/>
    <m/>
    <s v=""/>
    <s v=""/>
    <s v=""/>
    <s v=""/>
    <m/>
    <m/>
    <m/>
    <m/>
    <m/>
  </r>
  <r>
    <x v="2"/>
    <x v="30"/>
    <s v="MBA"/>
    <s v="Francisco Homes-Yakal"/>
    <n v="3327"/>
    <n v="3721"/>
    <s v="NO TECHNICAL ASSISTANCE CONDUCTED"/>
    <m/>
    <m/>
    <x v="0"/>
    <s v="James Wilson T. Pena"/>
    <s v="Rod Ross S. De Jesus"/>
    <s v="Diozelle L. Cabalar"/>
    <m/>
    <m/>
    <m/>
    <m/>
    <m/>
    <s v=""/>
    <s v=""/>
    <s v=""/>
    <s v=""/>
    <m/>
    <m/>
    <m/>
    <m/>
    <m/>
  </r>
  <r>
    <x v="2"/>
    <x v="30"/>
    <s v="MBA"/>
    <s v="Gaya-gaya"/>
    <n v="43683"/>
    <n v="56896"/>
    <s v="CONDUCTED TECHNICAL ASSISTANCE"/>
    <n v="2025"/>
    <d v="2025-02-04T00:00:00"/>
    <x v="3"/>
    <s v="James Wilson T. Pena"/>
    <s v="Rod Ross S. De Jesus"/>
    <s v="Diozelle L. Cabalar"/>
    <s v="R3-2025-004778"/>
    <d v="2025-02-10T00:00:00"/>
    <d v="2025-02-17T00:00:00"/>
    <d v="2025-02-17T00:00:00"/>
    <d v="2025-02-17T00:00:00"/>
    <n v="4"/>
    <n v="1"/>
    <n v="1"/>
    <n v="1"/>
    <s v="Received by Planning"/>
    <s v="MRF"/>
    <s v="OPERATIONAL"/>
    <s v="Technical Assistance"/>
    <m/>
  </r>
  <r>
    <x v="2"/>
    <x v="30"/>
    <s v="MBA"/>
    <s v="Graceville"/>
    <n v="38478"/>
    <n v="42207"/>
    <s v="NO TECHNICAL ASSISTANCE CONDUCTED"/>
    <m/>
    <m/>
    <x v="0"/>
    <s v="James Wilson T. Pena"/>
    <s v="Rod Ross S. De Jesus"/>
    <s v="Diozelle L. Cabalar"/>
    <m/>
    <m/>
    <m/>
    <m/>
    <m/>
    <s v=""/>
    <s v=""/>
    <s v=""/>
    <s v=""/>
    <m/>
    <m/>
    <m/>
    <m/>
    <m/>
  </r>
  <r>
    <x v="2"/>
    <x v="30"/>
    <s v="MBA"/>
    <s v="Gumaoc Central"/>
    <n v="3864"/>
    <n v="4123"/>
    <s v="NO TECHNICAL ASSISTANCE CONDUCTED"/>
    <m/>
    <m/>
    <x v="0"/>
    <s v="James Wilson T. Pena"/>
    <s v="Rod Ross S. De Jesus"/>
    <s v="Diozelle L. Cabalar"/>
    <m/>
    <m/>
    <m/>
    <m/>
    <m/>
    <s v=""/>
    <s v=""/>
    <s v=""/>
    <s v=""/>
    <m/>
    <m/>
    <m/>
    <m/>
    <m/>
  </r>
  <r>
    <x v="2"/>
    <x v="30"/>
    <s v="MBA"/>
    <s v="Gumaoc East"/>
    <n v="5352"/>
    <n v="5376"/>
    <s v="CONDUCTED TECHNICAL ASSISTANCE"/>
    <n v="2024"/>
    <d v="2024-10-11T00:00:00"/>
    <x v="0"/>
    <s v="James Wilson T. Pena"/>
    <s v="Rod Ross S. De Jesus"/>
    <s v="Diozelle L. Cabalar"/>
    <m/>
    <m/>
    <m/>
    <m/>
    <m/>
    <s v=""/>
    <s v=""/>
    <s v=""/>
    <s v=""/>
    <m/>
    <s v="MRF"/>
    <s v="OPERATIONAL"/>
    <s v="Technical Assistance"/>
    <m/>
  </r>
  <r>
    <x v="2"/>
    <x v="30"/>
    <s v="MBA"/>
    <s v="Gumaoc West"/>
    <n v="7828"/>
    <n v="8885"/>
    <s v="NO TECHNICAL ASSISTANCE CONDUCTED"/>
    <m/>
    <m/>
    <x v="0"/>
    <s v="James Wilson T. Pena"/>
    <s v="Rod Ross S. De Jesus"/>
    <s v="Diozelle L. Cabalar"/>
    <m/>
    <m/>
    <m/>
    <m/>
    <m/>
    <s v=""/>
    <s v=""/>
    <s v=""/>
    <s v=""/>
    <m/>
    <m/>
    <m/>
    <m/>
    <m/>
  </r>
  <r>
    <x v="2"/>
    <x v="30"/>
    <s v="MBA"/>
    <s v="Kaybanban"/>
    <n v="2974"/>
    <n v="3245"/>
    <s v="CONDUCTED TECHNICAL ASSISTANCE"/>
    <n v="2025"/>
    <d v="2025-02-04T00:00:00"/>
    <x v="3"/>
    <s v="James Wilson T. Pena"/>
    <s v="Rod Ross S. De Jesus"/>
    <s v="Diozelle L. Cabalar"/>
    <s v="R3-2025-004781"/>
    <d v="2025-02-04T00:00:00"/>
    <d v="2025-02-10T00:00:00"/>
    <d v="2025-02-10T00:00:00"/>
    <d v="2025-02-13T00:00:00"/>
    <n v="1"/>
    <n v="1"/>
    <n v="1"/>
    <n v="3"/>
    <s v="Received by Planning"/>
    <s v="MRF"/>
    <s v="OPERATIONAL"/>
    <s v="Technical Assistance"/>
    <m/>
  </r>
  <r>
    <x v="2"/>
    <x v="30"/>
    <s v="MBA"/>
    <s v="Kaypian"/>
    <n v="38407"/>
    <n v="46045"/>
    <s v="CONDUCTED TECHNICAL ASSISTANCE"/>
    <n v="2025"/>
    <d v="2025-07-02T00:00:00"/>
    <x v="8"/>
    <s v="James Wilson T. Pena"/>
    <m/>
    <s v="Diozelle L. Cabalar"/>
    <s v="R3-2025-024020"/>
    <d v="2025-07-17T00:00:00"/>
    <m/>
    <d v="2025-07-18T00:00:00"/>
    <d v="2025-07-18T00:00:00"/>
    <n v="11"/>
    <s v=""/>
    <n v="1"/>
    <n v="1"/>
    <s v="Received by Planning"/>
    <s v="MRF"/>
    <s v="OPERATIONAL"/>
    <s v="Technical Assistance"/>
    <m/>
  </r>
  <r>
    <x v="2"/>
    <x v="30"/>
    <s v="MBA"/>
    <s v="Lawang Pari"/>
    <n v="3969"/>
    <n v="5075"/>
    <s v="NO TECHNICAL ASSISTANCE CONDUCTED"/>
    <m/>
    <m/>
    <x v="0"/>
    <s v="James Wilson T. Pena"/>
    <s v="Rod Ross S. De Jesus"/>
    <s v="Diozelle L. Cabalar"/>
    <m/>
    <m/>
    <m/>
    <m/>
    <m/>
    <s v=""/>
    <s v=""/>
    <s v=""/>
    <s v=""/>
    <m/>
    <m/>
    <m/>
    <m/>
    <m/>
  </r>
  <r>
    <x v="2"/>
    <x v="30"/>
    <s v="MBA"/>
    <s v="Maharlika"/>
    <n v="3282"/>
    <n v="3057"/>
    <s v="NO TECHNICAL ASSISTANCE CONDUCTED"/>
    <m/>
    <m/>
    <x v="0"/>
    <s v="James Wilson T. Pena"/>
    <s v="Rod Ross S. De Jesus"/>
    <s v="Diozelle L. Cabalar"/>
    <m/>
    <m/>
    <m/>
    <m/>
    <m/>
    <s v=""/>
    <s v=""/>
    <s v=""/>
    <s v=""/>
    <m/>
    <m/>
    <m/>
    <m/>
    <m/>
  </r>
  <r>
    <x v="2"/>
    <x v="30"/>
    <s v="MBA"/>
    <s v="Minuyan"/>
    <n v="3344"/>
    <n v="3333"/>
    <s v="CONDUCTED TECHNICAL ASSISTANCE"/>
    <n v="2025"/>
    <d v="2025-07-02T00:00:00"/>
    <x v="8"/>
    <s v="James Wilson T. Pena"/>
    <m/>
    <s v="Diozelle L. Cabalar"/>
    <s v="R3-2025-024021"/>
    <d v="2025-07-17T00:00:00"/>
    <m/>
    <d v="2025-07-18T00:00:00"/>
    <d v="2025-07-18T00:00:00"/>
    <n v="11"/>
    <s v=""/>
    <n v="1"/>
    <n v="1"/>
    <s v="Received by Planning"/>
    <s v="MRF"/>
    <s v="OPERATIONAL"/>
    <s v="Technical Assistance"/>
    <m/>
  </r>
  <r>
    <x v="2"/>
    <x v="30"/>
    <s v="MBA"/>
    <s v="Minuyan II"/>
    <n v="5641"/>
    <n v="5977"/>
    <s v="NO TECHNICAL ASSISTANCE CONDUCTED"/>
    <m/>
    <m/>
    <x v="0"/>
    <s v="James Wilson T. Pena"/>
    <s v="Rod Ross S. De Jesus"/>
    <s v="Diozelle L. Cabalar"/>
    <m/>
    <m/>
    <m/>
    <m/>
    <m/>
    <s v=""/>
    <s v=""/>
    <s v=""/>
    <s v=""/>
    <m/>
    <m/>
    <m/>
    <m/>
    <m/>
  </r>
  <r>
    <x v="2"/>
    <x v="30"/>
    <s v="MBA"/>
    <s v="Minuyan III"/>
    <n v="2773"/>
    <n v="2673"/>
    <s v="NO TECHNICAL ASSISTANCE CONDUCTED"/>
    <m/>
    <m/>
    <x v="0"/>
    <s v="James Wilson T. Pena"/>
    <s v="Rod Ross S. De Jesus"/>
    <s v="Diozelle L. Cabalar"/>
    <m/>
    <m/>
    <m/>
    <m/>
    <m/>
    <s v=""/>
    <s v=""/>
    <s v=""/>
    <s v=""/>
    <m/>
    <m/>
    <m/>
    <m/>
    <m/>
  </r>
  <r>
    <x v="2"/>
    <x v="30"/>
    <s v="MBA"/>
    <s v="Minuyan IV"/>
    <n v="5191"/>
    <n v="4769"/>
    <s v="NO TECHNICAL ASSISTANCE CONDUCTED"/>
    <m/>
    <m/>
    <x v="0"/>
    <s v="James Wilson T. Pena"/>
    <s v="Rod Ross S. De Jesus"/>
    <s v="Diozelle L. Cabalar"/>
    <m/>
    <m/>
    <m/>
    <m/>
    <m/>
    <s v=""/>
    <s v=""/>
    <s v=""/>
    <s v=""/>
    <m/>
    <m/>
    <m/>
    <m/>
    <m/>
  </r>
  <r>
    <x v="2"/>
    <x v="30"/>
    <s v="MBA"/>
    <s v="Minuyan Proper"/>
    <n v="38846"/>
    <n v="46171"/>
    <s v="NO TECHNICAL ASSISTANCE CONDUCTED"/>
    <m/>
    <m/>
    <x v="0"/>
    <s v="James Wilson T. Pena"/>
    <s v="Rod Ross S. De Jesus"/>
    <s v="Diozelle L. Cabalar"/>
    <m/>
    <m/>
    <m/>
    <m/>
    <m/>
    <s v=""/>
    <s v=""/>
    <s v=""/>
    <s v=""/>
    <m/>
    <m/>
    <m/>
    <m/>
    <m/>
  </r>
  <r>
    <x v="2"/>
    <x v="30"/>
    <s v="MBA"/>
    <s v="Minuyan V"/>
    <n v="2478"/>
    <n v="2200"/>
    <s v="NO TECHNICAL ASSISTANCE CONDUCTED"/>
    <m/>
    <m/>
    <x v="0"/>
    <s v="James Wilson T. Pena"/>
    <s v="Rod Ross S. De Jesus"/>
    <s v="Diozelle L. Cabalar"/>
    <m/>
    <m/>
    <m/>
    <m/>
    <m/>
    <s v=""/>
    <s v=""/>
    <s v=""/>
    <s v=""/>
    <m/>
    <m/>
    <m/>
    <m/>
    <m/>
  </r>
  <r>
    <x v="2"/>
    <x v="30"/>
    <s v="MBA"/>
    <s v="Muzon"/>
    <n v="106603"/>
    <n v="127506"/>
    <s v="CONDUCTED TECHNICAL ASSISTANCE"/>
    <n v="2025"/>
    <d v="2025-07-11T00:00:00"/>
    <x v="8"/>
    <s v="James Wilson T. Pena"/>
    <m/>
    <s v="Diozelle L. Cabalar"/>
    <s v="R3-2025-024022"/>
    <d v="2025-07-17T00:00:00"/>
    <m/>
    <d v="2025-07-18T00:00:00"/>
    <d v="2025-07-18T00:00:00"/>
    <n v="4"/>
    <s v=""/>
    <n v="1"/>
    <n v="1"/>
    <s v="Received by Planning"/>
    <s v="MRF"/>
    <s v="OPERATIONAL"/>
    <s v="Technical Assistance"/>
    <m/>
  </r>
  <r>
    <x v="2"/>
    <x v="30"/>
    <s v="MBA"/>
    <s v="Paradise III"/>
    <n v="4088"/>
    <n v="5318"/>
    <s v="NO TECHNICAL ASSISTANCE CONDUCTED"/>
    <m/>
    <m/>
    <x v="0"/>
    <s v="James Wilson T. Pena"/>
    <s v="Rod Ross S. De Jesus"/>
    <s v="Diozelle L. Cabalar"/>
    <m/>
    <m/>
    <m/>
    <m/>
    <m/>
    <s v=""/>
    <s v=""/>
    <s v=""/>
    <s v=""/>
    <m/>
    <m/>
    <m/>
    <m/>
    <m/>
  </r>
  <r>
    <x v="2"/>
    <x v="30"/>
    <s v="MBA"/>
    <s v="Poblacion"/>
    <n v="2161"/>
    <n v="2273"/>
    <s v="NO TECHNICAL ASSISTANCE CONDUCTED"/>
    <m/>
    <m/>
    <x v="0"/>
    <s v="James Wilson T. Pena"/>
    <s v="Rod Ross S. De Jesus"/>
    <s v="Diozelle L. Cabalar"/>
    <m/>
    <m/>
    <m/>
    <m/>
    <m/>
    <s v=""/>
    <s v=""/>
    <s v=""/>
    <s v=""/>
    <m/>
    <m/>
    <m/>
    <m/>
    <m/>
  </r>
  <r>
    <x v="2"/>
    <x v="30"/>
    <s v="MBA"/>
    <s v="Poblacion I"/>
    <n v="4445"/>
    <n v="5617"/>
    <s v="CONDUCTED TECHNICAL ASSISTANCE"/>
    <n v="2024"/>
    <d v="2024-10-11T00:00:00"/>
    <x v="0"/>
    <s v="James Wilson T. Pena"/>
    <s v="Rod Ross S. De Jesus"/>
    <s v="Diozelle L. Cabalar"/>
    <m/>
    <m/>
    <m/>
    <m/>
    <m/>
    <s v=""/>
    <s v=""/>
    <s v=""/>
    <s v=""/>
    <m/>
    <s v="MRS"/>
    <s v="CATER BY LGU"/>
    <s v="Technical Assistance"/>
    <m/>
  </r>
  <r>
    <x v="2"/>
    <x v="30"/>
    <s v="MBA"/>
    <s v="San Isidro"/>
    <n v="5767"/>
    <n v="4282"/>
    <s v="NO TECHNICAL ASSISTANCE CONDUCTED"/>
    <m/>
    <m/>
    <x v="0"/>
    <s v="James Wilson T. Pena"/>
    <s v="Rod Ross S. De Jesus"/>
    <s v="Diozelle L. Cabalar"/>
    <m/>
    <m/>
    <m/>
    <m/>
    <m/>
    <s v=""/>
    <s v=""/>
    <s v=""/>
    <s v=""/>
    <m/>
    <m/>
    <m/>
    <m/>
    <m/>
  </r>
  <r>
    <x v="2"/>
    <x v="30"/>
    <s v="MBA"/>
    <s v="San Manuel"/>
    <n v="11452"/>
    <n v="11432"/>
    <s v="NO TECHNICAL ASSISTANCE CONDUCTED"/>
    <m/>
    <m/>
    <x v="0"/>
    <s v="James Wilson T. Pena"/>
    <s v="Rod Ross S. De Jesus"/>
    <s v="Diozelle L. Cabalar"/>
    <m/>
    <m/>
    <m/>
    <m/>
    <m/>
    <s v=""/>
    <s v=""/>
    <s v=""/>
    <s v=""/>
    <m/>
    <m/>
    <m/>
    <m/>
    <m/>
  </r>
  <r>
    <x v="2"/>
    <x v="30"/>
    <s v="MBA"/>
    <s v="San Martin"/>
    <n v="3897"/>
    <n v="4095"/>
    <s v="NO TECHNICAL ASSISTANCE CONDUCTED"/>
    <m/>
    <m/>
    <x v="0"/>
    <s v="James Wilson T. Pena"/>
    <s v="Rod Ross S. De Jesus"/>
    <s v="Diozelle L. Cabalar"/>
    <m/>
    <m/>
    <m/>
    <m/>
    <m/>
    <s v=""/>
    <s v=""/>
    <s v=""/>
    <s v=""/>
    <m/>
    <m/>
    <m/>
    <m/>
    <m/>
  </r>
  <r>
    <x v="2"/>
    <x v="30"/>
    <s v="MBA"/>
    <s v="San Martin II"/>
    <n v="3554"/>
    <n v="3527"/>
    <s v="NO TECHNICAL ASSISTANCE CONDUCTED"/>
    <m/>
    <m/>
    <x v="0"/>
    <s v="James Wilson T. Pena"/>
    <s v="Rod Ross S. De Jesus"/>
    <s v="Diozelle L. Cabalar"/>
    <m/>
    <m/>
    <m/>
    <m/>
    <m/>
    <s v=""/>
    <s v=""/>
    <s v=""/>
    <s v=""/>
    <m/>
    <m/>
    <m/>
    <m/>
    <m/>
  </r>
  <r>
    <x v="2"/>
    <x v="30"/>
    <s v="MBA"/>
    <s v="San Martin III"/>
    <n v="3163"/>
    <n v="3695"/>
    <s v="NO TECHNICAL ASSISTANCE CONDUCTED"/>
    <m/>
    <m/>
    <x v="0"/>
    <s v="James Wilson T. Pena"/>
    <s v="Rod Ross S. De Jesus"/>
    <s v="Diozelle L. Cabalar"/>
    <m/>
    <m/>
    <m/>
    <m/>
    <m/>
    <s v=""/>
    <s v=""/>
    <s v=""/>
    <s v=""/>
    <m/>
    <m/>
    <m/>
    <m/>
    <m/>
  </r>
  <r>
    <x v="2"/>
    <x v="30"/>
    <s v="MBA"/>
    <s v="San Martin IV"/>
    <n v="3830"/>
    <n v="4085"/>
    <s v="NO TECHNICAL ASSISTANCE CONDUCTED"/>
    <m/>
    <m/>
    <x v="0"/>
    <s v="James Wilson T. Pena"/>
    <s v="Rod Ross S. De Jesus"/>
    <s v="Diozelle L. Cabalar"/>
    <m/>
    <m/>
    <m/>
    <m/>
    <m/>
    <s v=""/>
    <s v=""/>
    <s v=""/>
    <s v=""/>
    <m/>
    <m/>
    <m/>
    <m/>
    <m/>
  </r>
  <r>
    <x v="2"/>
    <x v="30"/>
    <s v="MBA"/>
    <s v="San Pedro"/>
    <n v="15565"/>
    <n v="16439"/>
    <s v="NO TECHNICAL ASSISTANCE CONDUCTED"/>
    <m/>
    <m/>
    <x v="0"/>
    <s v="James Wilson T. Pena"/>
    <s v="Rod Ross S. De Jesus"/>
    <s v="Diozelle L. Cabalar"/>
    <m/>
    <m/>
    <m/>
    <m/>
    <m/>
    <s v=""/>
    <s v=""/>
    <s v=""/>
    <s v=""/>
    <m/>
    <m/>
    <m/>
    <m/>
    <m/>
  </r>
  <r>
    <x v="2"/>
    <x v="30"/>
    <s v="MBA"/>
    <s v="San Rafael I"/>
    <n v="3249"/>
    <n v="3362"/>
    <s v="CONDUCTED TECHNICAL ASSISTANCE"/>
    <n v="2024"/>
    <d v="2024-11-07T00:00:00"/>
    <x v="0"/>
    <s v="James Wilson T. Pena"/>
    <s v="Rod Ross S. De Jesus"/>
    <s v="Diozelle L. Cabalar"/>
    <m/>
    <m/>
    <m/>
    <m/>
    <m/>
    <s v=""/>
    <s v=""/>
    <s v=""/>
    <s v=""/>
    <m/>
    <s v="MRF"/>
    <s v="OPERATIONAL"/>
    <s v="Technical Assistance"/>
    <m/>
  </r>
  <r>
    <x v="2"/>
    <x v="30"/>
    <s v="MBA"/>
    <s v="San Rafael II"/>
    <n v="3112"/>
    <n v="2716"/>
    <s v="CONDUCTED TECHNICAL ASSISTANCE"/>
    <n v="2024"/>
    <d v="2024-11-07T00:00:00"/>
    <x v="0"/>
    <s v="James Wilson T. Pena"/>
    <s v="Rod Ross S. De Jesus"/>
    <s v="Diozelle L. Cabalar"/>
    <m/>
    <m/>
    <m/>
    <m/>
    <m/>
    <s v=""/>
    <s v=""/>
    <s v=""/>
    <s v=""/>
    <m/>
    <s v="MRF"/>
    <s v="OPERATIONAL"/>
    <s v="Technical Assistance"/>
    <m/>
  </r>
  <r>
    <x v="2"/>
    <x v="30"/>
    <s v="MBA"/>
    <s v="San Rafael III"/>
    <n v="3031"/>
    <n v="2718"/>
    <s v="CONDUCTED TECHNICAL ASSISTANCE"/>
    <n v="2024"/>
    <d v="2024-11-07T00:00:00"/>
    <x v="0"/>
    <s v="James Wilson T. Pena"/>
    <s v="Rod Ross S. De Jesus"/>
    <s v="Diozelle L. Cabalar"/>
    <m/>
    <m/>
    <m/>
    <m/>
    <m/>
    <s v=""/>
    <s v=""/>
    <s v=""/>
    <s v=""/>
    <m/>
    <s v="MRF"/>
    <s v="OPERATIONAL"/>
    <s v="Technical Assistance"/>
    <m/>
  </r>
  <r>
    <x v="2"/>
    <x v="30"/>
    <s v="MBA"/>
    <s v="San Rafael IV"/>
    <n v="6732"/>
    <n v="6447"/>
    <s v="CONDUCTED TECHNICAL ASSISTANCE"/>
    <n v="2024"/>
    <d v="2024-05-16T00:00:00"/>
    <x v="0"/>
    <s v="James Wilson T. Pena"/>
    <s v="Rod Ross S. De Jesus"/>
    <s v="Diozelle L. Cabalar"/>
    <m/>
    <m/>
    <m/>
    <m/>
    <m/>
    <s v=""/>
    <s v=""/>
    <s v=""/>
    <s v=""/>
    <m/>
    <m/>
    <m/>
    <s v="Technical Assistance"/>
    <m/>
  </r>
  <r>
    <x v="2"/>
    <x v="30"/>
    <s v="MBA"/>
    <s v="San Rafael V"/>
    <n v="2982"/>
    <n v="2844"/>
    <s v="CONDUCTED TECHNICAL ASSISTANCE"/>
    <n v="2024"/>
    <d v="2024-11-07T00:00:00"/>
    <x v="0"/>
    <s v="James Wilson T. Pena"/>
    <s v="Rod Ross S. De Jesus"/>
    <s v="Diozelle L. Cabalar"/>
    <m/>
    <m/>
    <m/>
    <m/>
    <m/>
    <s v=""/>
    <s v=""/>
    <s v=""/>
    <s v=""/>
    <m/>
    <s v="MRF"/>
    <s v="OPERATIONAL"/>
    <s v="Technical Assistance"/>
    <m/>
  </r>
  <r>
    <x v="2"/>
    <x v="30"/>
    <s v="MBA"/>
    <s v="San Roque"/>
    <n v="2188"/>
    <n v="2492"/>
    <s v="NO TECHNICAL ASSISTANCE CONDUCTED"/>
    <m/>
    <m/>
    <x v="0"/>
    <s v="James Wilson T. Pena"/>
    <s v="Rod Ross S. De Jesus"/>
    <s v="Diozelle L. Cabalar"/>
    <m/>
    <m/>
    <m/>
    <m/>
    <m/>
    <s v=""/>
    <s v=""/>
    <s v=""/>
    <s v=""/>
    <m/>
    <m/>
    <m/>
    <m/>
    <m/>
  </r>
  <r>
    <x v="2"/>
    <x v="30"/>
    <s v="MBA"/>
    <s v="Santa Cruz"/>
    <n v="4613"/>
    <n v="4854"/>
    <s v="NO TECHNICAL ASSISTANCE CONDUCTED"/>
    <m/>
    <m/>
    <x v="0"/>
    <s v="James Wilson T. Pena"/>
    <s v="Rod Ross S. De Jesus"/>
    <s v="Diozelle L. Cabalar"/>
    <m/>
    <m/>
    <m/>
    <m/>
    <m/>
    <s v=""/>
    <s v=""/>
    <s v=""/>
    <s v=""/>
    <m/>
    <m/>
    <m/>
    <m/>
    <m/>
  </r>
  <r>
    <x v="2"/>
    <x v="30"/>
    <s v="MBA"/>
    <s v="Santa Cruz II"/>
    <n v="3110"/>
    <n v="3405"/>
    <s v="CONDUCTED TECHNICAL ASSISTANCE"/>
    <n v="2024"/>
    <d v="2024-11-08T00:00:00"/>
    <x v="0"/>
    <s v="James Wilson T. Pena"/>
    <s v="Rod Ross S. De Jesus"/>
    <s v="Diozelle L. Cabalar"/>
    <m/>
    <m/>
    <m/>
    <m/>
    <m/>
    <s v=""/>
    <s v=""/>
    <s v=""/>
    <s v=""/>
    <m/>
    <s v="MRF"/>
    <s v="OPERATIONAL"/>
    <s v="Technical Assistance"/>
    <m/>
  </r>
  <r>
    <x v="2"/>
    <x v="30"/>
    <s v="MBA"/>
    <s v="Santa Cruz III"/>
    <n v="2829"/>
    <n v="3029"/>
    <s v="NO TECHNICAL ASSISTANCE CONDUCTED"/>
    <m/>
    <m/>
    <x v="0"/>
    <s v="James Wilson T. Pena"/>
    <s v="Rod Ross S. De Jesus"/>
    <s v="Diozelle L. Cabalar"/>
    <m/>
    <m/>
    <m/>
    <m/>
    <m/>
    <s v=""/>
    <s v=""/>
    <s v=""/>
    <s v=""/>
    <m/>
    <m/>
    <m/>
    <m/>
    <m/>
  </r>
  <r>
    <x v="2"/>
    <x v="30"/>
    <s v="MBA"/>
    <s v="Santa Cruz IV"/>
    <n v="3132"/>
    <n v="3175"/>
    <s v="CONDUCTED TECHNICAL ASSISTANCE"/>
    <n v="2024"/>
    <d v="2024-11-08T00:00:00"/>
    <x v="0"/>
    <s v="James Wilson T. Pena"/>
    <s v="Rod Ross S. De Jesus"/>
    <s v="Diozelle L. Cabalar"/>
    <m/>
    <m/>
    <m/>
    <m/>
    <m/>
    <s v=""/>
    <s v=""/>
    <s v=""/>
    <s v=""/>
    <m/>
    <s v="MRF"/>
    <s v="OPERATIONAL"/>
    <s v="Technical Assistance"/>
    <m/>
  </r>
  <r>
    <x v="2"/>
    <x v="30"/>
    <s v="MBA"/>
    <s v="Santa Cruz V"/>
    <n v="3957"/>
    <n v="3811"/>
    <s v="CONDUCTED TECHNICAL ASSISTANCE"/>
    <n v="2024"/>
    <d v="2024-11-08T00:00:00"/>
    <x v="0"/>
    <s v="James Wilson T. Pena"/>
    <s v="Rod Ross S. De Jesus"/>
    <s v="Diozelle L. Cabalar"/>
    <m/>
    <m/>
    <m/>
    <m/>
    <m/>
    <s v=""/>
    <s v=""/>
    <s v=""/>
    <s v=""/>
    <m/>
    <s v="MRF"/>
    <s v="OPERATIONAL"/>
    <s v="Technical Assistance"/>
    <m/>
  </r>
  <r>
    <x v="2"/>
    <x v="30"/>
    <s v="MBA"/>
    <s v="Santo Cristo"/>
    <n v="39039"/>
    <n v="49579"/>
    <s v="CONDUCTED TECHNICAL ASSISTANCE"/>
    <n v="2024"/>
    <d v="2024-10-11T00:00:00"/>
    <x v="0"/>
    <s v="James Wilson T. Pena"/>
    <s v="Rod Ross S. De Jesus"/>
    <s v="Diozelle L. Cabalar"/>
    <m/>
    <m/>
    <m/>
    <m/>
    <m/>
    <s v=""/>
    <s v=""/>
    <s v=""/>
    <s v=""/>
    <m/>
    <s v="MRF"/>
    <s v="OPERATIONAL"/>
    <s v="Technical Assistance"/>
    <m/>
  </r>
  <r>
    <x v="2"/>
    <x v="30"/>
    <s v="MBA"/>
    <s v="Santo Niño"/>
    <n v="2770"/>
    <n v="2610"/>
    <s v="NO TECHNICAL ASSISTANCE CONDUCTED"/>
    <m/>
    <m/>
    <x v="0"/>
    <s v="James Wilson T. Pena"/>
    <s v="Rod Ross S. De Jesus"/>
    <s v="Diozelle L. Cabalar"/>
    <m/>
    <m/>
    <m/>
    <m/>
    <m/>
    <s v=""/>
    <s v=""/>
    <s v=""/>
    <s v=""/>
    <m/>
    <m/>
    <m/>
    <m/>
    <m/>
  </r>
  <r>
    <x v="2"/>
    <x v="30"/>
    <s v="MBA"/>
    <s v="Santo Niño II"/>
    <n v="3046"/>
    <n v="3746"/>
    <s v="NO TECHNICAL ASSISTANCE CONDUCTED"/>
    <m/>
    <m/>
    <x v="0"/>
    <s v="James Wilson T. Pena"/>
    <s v="Rod Ross S. De Jesus"/>
    <s v="Diozelle L. Cabalar"/>
    <m/>
    <m/>
    <m/>
    <m/>
    <m/>
    <s v=""/>
    <s v=""/>
    <s v=""/>
    <s v=""/>
    <m/>
    <m/>
    <m/>
    <m/>
    <m/>
  </r>
  <r>
    <x v="2"/>
    <x v="30"/>
    <s v="MBA"/>
    <s v="Sapang Palay"/>
    <n v="5563"/>
    <n v="5804"/>
    <s v="NO TECHNICAL ASSISTANCE CONDUCTED"/>
    <m/>
    <m/>
    <x v="0"/>
    <s v="James Wilson T. Pena"/>
    <s v="Rod Ross S. De Jesus"/>
    <s v="Diozelle L. Cabalar"/>
    <m/>
    <m/>
    <m/>
    <m/>
    <m/>
    <s v=""/>
    <s v=""/>
    <s v=""/>
    <s v=""/>
    <m/>
    <m/>
    <m/>
    <m/>
    <m/>
  </r>
  <r>
    <x v="2"/>
    <x v="30"/>
    <s v="MBA"/>
    <s v="St. Martin de Porres"/>
    <n v="2326"/>
    <n v="2470"/>
    <s v="NO TECHNICAL ASSISTANCE CONDUCTED"/>
    <m/>
    <m/>
    <x v="0"/>
    <s v="James Wilson T. Pena"/>
    <s v="Rod Ross S. De Jesus"/>
    <s v="Diozelle L. Cabalar"/>
    <m/>
    <m/>
    <m/>
    <m/>
    <m/>
    <s v=""/>
    <s v=""/>
    <s v=""/>
    <s v=""/>
    <m/>
    <m/>
    <m/>
    <m/>
    <m/>
  </r>
  <r>
    <x v="2"/>
    <x v="30"/>
    <s v="MBA"/>
    <s v="Tungkong Mangga"/>
    <n v="12856"/>
    <n v="16324"/>
    <s v="NO TECHNICAL ASSISTANCE CONDUCTED"/>
    <m/>
    <m/>
    <x v="0"/>
    <s v="James Wilson T. Pena"/>
    <s v="Rod Ross S. De Jesus"/>
    <s v="Diozelle L. Cabalar"/>
    <m/>
    <m/>
    <m/>
    <m/>
    <m/>
    <s v=""/>
    <s v=""/>
    <s v=""/>
    <s v=""/>
    <m/>
    <m/>
    <m/>
    <m/>
    <m/>
  </r>
  <r>
    <x v="2"/>
    <x v="31"/>
    <s v="MBA"/>
    <s v="Bayabas"/>
    <n v="1575"/>
    <n v="2050"/>
    <s v="CONDUCTED TECHNICAL ASSISTANCE"/>
    <n v="2025"/>
    <d v="2025-07-01T00:00:00"/>
    <x v="8"/>
    <s v="Jasmin Marie N. Siapco"/>
    <m/>
    <s v="Diozelle L. Cabalar"/>
    <s v="R3-2025-024007"/>
    <d v="2025-07-17T00:00:00"/>
    <m/>
    <d v="2025-07-18T00:00:00"/>
    <d v="2025-07-18T00:00:00"/>
    <n v="12"/>
    <s v=""/>
    <n v="1"/>
    <n v="1"/>
    <s v="Received by Planning"/>
    <s v="MRF"/>
    <s v="OPERATIONAL"/>
    <s v="Technical Assistance"/>
    <m/>
  </r>
  <r>
    <x v="2"/>
    <x v="31"/>
    <s v="MBA"/>
    <s v="Camachile"/>
    <n v="4166"/>
    <n v="4611"/>
    <s v="NO TECHNICAL ASSISTANCE CONDUCTED"/>
    <m/>
    <m/>
    <x v="0"/>
    <m/>
    <s v="Rod Ross S. De Jesus"/>
    <s v="Diozelle L. Cabalar"/>
    <m/>
    <m/>
    <m/>
    <m/>
    <m/>
    <s v=""/>
    <s v=""/>
    <s v=""/>
    <s v=""/>
    <m/>
    <m/>
    <m/>
    <m/>
    <m/>
  </r>
  <r>
    <x v="2"/>
    <x v="31"/>
    <s v="MBA"/>
    <s v="Camachin"/>
    <n v="1043"/>
    <n v="1744"/>
    <s v="NO TECHNICAL ASSISTANCE CONDUCTED"/>
    <m/>
    <m/>
    <x v="0"/>
    <m/>
    <s v="Rod Ross S. De Jesus"/>
    <s v="Diozelle L. Cabalar"/>
    <m/>
    <m/>
    <m/>
    <m/>
    <m/>
    <s v=""/>
    <s v=""/>
    <s v=""/>
    <s v=""/>
    <m/>
    <m/>
    <m/>
    <m/>
    <m/>
  </r>
  <r>
    <x v="2"/>
    <x v="31"/>
    <s v="MBA"/>
    <s v="Kabayunan"/>
    <n v="1745"/>
    <n v="2196"/>
    <s v="NO TECHNICAL ASSISTANCE CONDUCTED"/>
    <m/>
    <m/>
    <x v="0"/>
    <m/>
    <s v="Rod Ross S. De Jesus"/>
    <s v="Diozelle L. Cabalar"/>
    <m/>
    <m/>
    <m/>
    <m/>
    <m/>
    <s v=""/>
    <s v=""/>
    <s v=""/>
    <s v=""/>
    <m/>
    <m/>
    <m/>
    <m/>
    <m/>
  </r>
  <r>
    <x v="2"/>
    <x v="31"/>
    <s v="MBA"/>
    <s v="Kalawakan"/>
    <n v="6909"/>
    <n v="8802"/>
    <s v="NO TECHNICAL ASSISTANCE CONDUCTED"/>
    <m/>
    <m/>
    <x v="0"/>
    <m/>
    <s v="Rod Ross S. De Jesus"/>
    <s v="Diozelle L. Cabalar"/>
    <m/>
    <m/>
    <m/>
    <m/>
    <m/>
    <s v=""/>
    <s v=""/>
    <s v=""/>
    <s v=""/>
    <m/>
    <m/>
    <m/>
    <m/>
    <m/>
  </r>
  <r>
    <x v="2"/>
    <x v="31"/>
    <s v="MBA"/>
    <s v="Pulong Sampalok"/>
    <n v="2859"/>
    <n v="3574"/>
    <s v="CONDUCTED TECHNICAL ASSISTANCE"/>
    <n v="2025"/>
    <d v="2025-07-01T00:00:00"/>
    <x v="8"/>
    <s v="Jasmin Marie N. Siapco"/>
    <m/>
    <s v="Diozelle L. Cabalar"/>
    <s v="R3-2025-024008"/>
    <d v="2025-07-17T00:00:00"/>
    <m/>
    <d v="2025-07-18T00:00:00"/>
    <d v="2025-07-18T00:00:00"/>
    <n v="12"/>
    <s v=""/>
    <n v="1"/>
    <n v="1"/>
    <s v="Received by Planning"/>
    <s v="MRF"/>
    <s v="OPERATIONAL"/>
    <s v="Technical Assistance"/>
    <m/>
  </r>
  <r>
    <x v="2"/>
    <x v="31"/>
    <s v="MBA"/>
    <s v="Sapang Bulak"/>
    <n v="2620"/>
    <n v="3810"/>
    <s v="NO TECHNICAL ASSISTANCE CONDUCTED"/>
    <m/>
    <m/>
    <x v="0"/>
    <m/>
    <s v="Rod Ross S. De Jesus"/>
    <s v="Diozelle L. Cabalar"/>
    <m/>
    <m/>
    <m/>
    <m/>
    <m/>
    <s v=""/>
    <s v=""/>
    <s v=""/>
    <s v=""/>
    <m/>
    <m/>
    <m/>
    <m/>
    <m/>
  </r>
  <r>
    <x v="2"/>
    <x v="31"/>
    <s v="MBA"/>
    <s v="Talbak"/>
    <n v="1746"/>
    <n v="1869"/>
    <s v="NO TECHNICAL ASSISTANCE CONDUCTED"/>
    <m/>
    <m/>
    <x v="0"/>
    <m/>
    <s v="Rod Ross S. De Jesus"/>
    <s v="Diozelle L. Cabalar"/>
    <m/>
    <m/>
    <m/>
    <m/>
    <m/>
    <s v=""/>
    <s v=""/>
    <s v=""/>
    <s v=""/>
    <m/>
    <m/>
    <m/>
    <m/>
    <m/>
  </r>
  <r>
    <x v="2"/>
    <x v="32"/>
    <s v="MBA"/>
    <s v="Cutcut"/>
    <n v="2940"/>
    <n v="3518"/>
    <s v="CONDUCTED TECHNICAL ASSISTANCE"/>
    <n v="2025"/>
    <d v="2025-03-13T00:00:00"/>
    <x v="1"/>
    <s v="Jasmin Marie N. Siapco"/>
    <s v="Rod Ross S. De Jesus"/>
    <s v="Diozelle L. Cabalar"/>
    <s v="R3-2025-008762"/>
    <d v="2025-03-16T00:00:00"/>
    <d v="2025-03-17T00:00:00"/>
    <d v="2025-03-17T00:00:00"/>
    <d v="2025-03-19T00:00:00"/>
    <n v="1"/>
    <n v="1"/>
    <n v="1"/>
    <n v="2"/>
    <s v="Received by Planning"/>
    <s v="MRS"/>
    <s v="CATER BY LGU"/>
    <s v="Technical Assistance"/>
    <m/>
  </r>
  <r>
    <x v="2"/>
    <x v="32"/>
    <s v="MBA"/>
    <s v="Daungan"/>
    <n v="1800"/>
    <n v="2140"/>
    <s v="CONDUCTED TECHNICAL ASSISTANCE"/>
    <n v="2025"/>
    <d v="2025-03-13T00:00:00"/>
    <x v="1"/>
    <s v="Jasmin Marie N. Siapco"/>
    <s v="Rod Ross S. De Jesus"/>
    <s v="Diozelle L. Cabalar"/>
    <s v="R3-2025-008763"/>
    <d v="2025-03-16T00:00:00"/>
    <d v="2025-03-17T00:00:00"/>
    <d v="2025-03-17T00:00:00"/>
    <d v="2025-03-19T00:00:00"/>
    <n v="1"/>
    <n v="1"/>
    <n v="1"/>
    <n v="2"/>
    <s v="Received by Planning"/>
    <s v="MRS"/>
    <s v="CATER BY LGU"/>
    <s v="Technical Assistance"/>
    <m/>
  </r>
  <r>
    <x v="2"/>
    <x v="32"/>
    <s v="MBA"/>
    <s v="Ilang-Ilang"/>
    <n v="5628"/>
    <n v="5746"/>
    <s v="CONDUCTED TECHNICAL ASSISTANCE"/>
    <n v="2025"/>
    <d v="2025-03-12T00:00:00"/>
    <x v="1"/>
    <s v="Jasmin Marie N. Siapco"/>
    <s v="Rod Ross S. De Jesus"/>
    <s v="Diozelle L. Cabalar"/>
    <s v="R3-2025-008764"/>
    <d v="2025-03-16T00:00:00"/>
    <d v="2025-03-17T00:00:00"/>
    <d v="2025-03-17T00:00:00"/>
    <d v="2025-03-19T00:00:00"/>
    <n v="2"/>
    <n v="1"/>
    <n v="1"/>
    <n v="2"/>
    <s v="Received by Planning"/>
    <s v="MRS"/>
    <s v="CATER BY LGU"/>
    <s v="Technical Assistance"/>
    <m/>
  </r>
  <r>
    <x v="2"/>
    <x v="32"/>
    <s v="MBA"/>
    <s v="Malis"/>
    <n v="16223"/>
    <n v="16851"/>
    <s v="CONDUCTED TECHNICAL ASSISTANCE"/>
    <n v="2024"/>
    <d v="2024-08-14T00:00:00"/>
    <x v="0"/>
    <s v="Jasmin Marie N. Siapco"/>
    <s v="Rod Ross S. De Jesus"/>
    <s v="Diozelle L. Cabalar"/>
    <m/>
    <m/>
    <m/>
    <m/>
    <m/>
    <s v=""/>
    <s v=""/>
    <s v=""/>
    <s v=""/>
    <m/>
    <s v="MRF"/>
    <s v="OPERATIONAL"/>
    <s v="Technical Assistance"/>
    <m/>
  </r>
  <r>
    <x v="2"/>
    <x v="32"/>
    <s v="MBA"/>
    <s v="Panginay"/>
    <n v="1528"/>
    <n v="1693"/>
    <s v="CONDUCTED TECHNICAL ASSISTANCE"/>
    <n v="2025"/>
    <d v="2025-03-13T00:00:00"/>
    <x v="1"/>
    <s v="Jasmin Marie N. Siapco"/>
    <s v="Rod Ross S. De Jesus"/>
    <s v="Diozelle L. Cabalar"/>
    <s v="R3-2025-008766"/>
    <d v="2025-03-16T00:00:00"/>
    <d v="2025-03-17T00:00:00"/>
    <d v="2025-03-17T00:00:00"/>
    <d v="2025-03-19T00:00:00"/>
    <n v="1"/>
    <n v="1"/>
    <n v="1"/>
    <n v="2"/>
    <s v="Received by Planning"/>
    <s v="MRS"/>
    <s v="CATER BY LGU"/>
    <s v="Technical Assistance"/>
    <m/>
  </r>
  <r>
    <x v="2"/>
    <x v="32"/>
    <s v="MBA"/>
    <s v="Poblacion"/>
    <n v="4099"/>
    <n v="3468"/>
    <s v="CONDUCTED TECHNICAL ASSISTANCE"/>
    <n v="2025"/>
    <d v="2025-02-04T00:00:00"/>
    <x v="3"/>
    <s v="Jasmin Marie N. Siapco"/>
    <s v="Rod Ross S. De Jesus"/>
    <s v="Diozelle L. Cabalar"/>
    <s v="R3-2025-004431"/>
    <d v="2025-02-09T00:00:00"/>
    <d v="2025-02-10T00:00:00"/>
    <d v="2025-02-11T00:00:00"/>
    <d v="2025-02-13T00:00:00"/>
    <n v="3"/>
    <n v="1"/>
    <n v="1"/>
    <n v="2"/>
    <s v="Received by Planning"/>
    <s v="MRS"/>
    <s v="CATER BY LGU"/>
    <s v="Technical Assistance"/>
    <m/>
  </r>
  <r>
    <x v="2"/>
    <x v="32"/>
    <s v="MBA"/>
    <s v="Pritil"/>
    <n v="5172"/>
    <n v="5270"/>
    <s v="CONDUCTED TECHNICAL ASSISTANCE"/>
    <n v="2024"/>
    <d v="2024-11-08T00:00:00"/>
    <x v="0"/>
    <s v="Jasmin Marie N. Siapco"/>
    <s v="Rod Ross S. De Jesus"/>
    <s v="Diozelle L. Cabalar"/>
    <m/>
    <m/>
    <m/>
    <m/>
    <m/>
    <s v=""/>
    <s v=""/>
    <s v=""/>
    <s v=""/>
    <m/>
    <s v="MRS"/>
    <s v="CATER BY LGU"/>
    <s v="Technical Assistance"/>
    <m/>
  </r>
  <r>
    <x v="2"/>
    <x v="32"/>
    <s v="MBA"/>
    <s v="Pulong Gubat"/>
    <n v="1879"/>
    <n v="3915"/>
    <s v="CONDUCTED TECHNICAL ASSISTANCE"/>
    <n v="2025"/>
    <d v="2025-03-13T00:00:00"/>
    <x v="1"/>
    <s v="Jasmin Marie N. Siapco"/>
    <s v="Rod Ross S. De Jesus"/>
    <s v="Diozelle L. Cabalar"/>
    <s v="R3-2025-008765"/>
    <d v="2025-03-16T00:00:00"/>
    <d v="2025-03-17T00:00:00"/>
    <d v="2025-03-17T00:00:00"/>
    <d v="2025-03-19T00:00:00"/>
    <n v="1"/>
    <n v="1"/>
    <n v="1"/>
    <n v="2"/>
    <s v="Received by Planning"/>
    <s v="MRS"/>
    <s v="CATER BY LGU"/>
    <s v="Technical Assistance"/>
    <m/>
  </r>
  <r>
    <x v="2"/>
    <x v="32"/>
    <s v="MBA"/>
    <s v="Santa Cruz"/>
    <n v="12216"/>
    <n v="11739"/>
    <s v="CONDUCTED TECHNICAL ASSISTANCE"/>
    <n v="2024"/>
    <d v="2024-11-08T00:00:00"/>
    <x v="0"/>
    <s v="Jasmin Marie N. Siapco"/>
    <s v="Rod Ross S. De Jesus"/>
    <s v="Diozelle L. Cabalar"/>
    <m/>
    <m/>
    <m/>
    <m/>
    <m/>
    <s v=""/>
    <s v=""/>
    <s v=""/>
    <s v=""/>
    <m/>
    <s v="MRS"/>
    <s v="CATER BY LGU"/>
    <s v="Technical Assistance"/>
    <m/>
  </r>
  <r>
    <x v="2"/>
    <x v="32"/>
    <s v="MBA"/>
    <s v="Santa Rita"/>
    <n v="13687"/>
    <n v="16386"/>
    <s v="CONDUCTED TECHNICAL ASSISTANCE"/>
    <n v="2024"/>
    <d v="2024-11-07T00:00:00"/>
    <x v="0"/>
    <s v="Jasmin Marie N. Siapco"/>
    <s v="Rod Ross S. De Jesus"/>
    <s v="Diozelle L. Cabalar"/>
    <m/>
    <m/>
    <m/>
    <m/>
    <m/>
    <s v=""/>
    <s v=""/>
    <s v=""/>
    <s v=""/>
    <m/>
    <s v="MRF"/>
    <s v="OPERATIONAL"/>
    <s v="Technical Assistance"/>
    <m/>
  </r>
  <r>
    <x v="2"/>
    <x v="32"/>
    <s v="MBA"/>
    <s v="Tabang"/>
    <n v="8832"/>
    <n v="11465"/>
    <s v="CONDUCTED TECHNICAL ASSISTANCE"/>
    <n v="2025"/>
    <d v="2025-01-17T00:00:00"/>
    <x v="2"/>
    <s v="Jasmin Marie N. Siapco"/>
    <s v="Rod Ross S. De Jesus"/>
    <s v="Diozelle L. Cabalar"/>
    <s v="R3-2025-001382"/>
    <d v="2025-01-17T00:00:00"/>
    <d v="2025-01-21T00:00:00"/>
    <d v="2025-01-21T00:00:00"/>
    <d v="2025-01-22T00:00:00"/>
    <n v="1"/>
    <n v="1"/>
    <n v="1"/>
    <n v="1"/>
    <s v="Received by Planning"/>
    <s v="NO FACILITY"/>
    <s v="CATER BY LGU"/>
    <s v="Technical Assistance"/>
    <m/>
  </r>
  <r>
    <x v="2"/>
    <x v="32"/>
    <s v="MBA"/>
    <s v="Tabe"/>
    <n v="8310"/>
    <n v="9212"/>
    <s v="CONDUCTED TECHNICAL ASSISTANCE"/>
    <n v="2025"/>
    <d v="2025-02-04T00:00:00"/>
    <x v="3"/>
    <s v="Jasmin Marie N. Siapco"/>
    <s v="Rod Ross S. De Jesus"/>
    <s v="Diozelle L. Cabalar"/>
    <s v="R3-2025-004430"/>
    <d v="2025-02-09T00:00:00"/>
    <d v="2025-02-10T00:00:00"/>
    <d v="2025-02-11T00:00:00"/>
    <d v="2025-02-13T00:00:00"/>
    <n v="3"/>
    <n v="1"/>
    <n v="1"/>
    <n v="2"/>
    <s v="Received by Planning"/>
    <s v="MRS"/>
    <s v="OPERATIONAL"/>
    <s v="Technical Assistance"/>
    <m/>
  </r>
  <r>
    <x v="2"/>
    <x v="32"/>
    <s v="MBA"/>
    <s v="Tiaong"/>
    <n v="7640"/>
    <n v="10151"/>
    <s v="CONDUCTED TECHNICAL ASSISTANCE"/>
    <n v="2024"/>
    <d v="2024-05-10T00:00:00"/>
    <x v="0"/>
    <s v="Jasmin Marie N. Siapco"/>
    <s v="Rod Ross S. De Jesus"/>
    <s v="Diozelle L. Cabalar"/>
    <m/>
    <m/>
    <m/>
    <m/>
    <m/>
    <s v=""/>
    <s v=""/>
    <s v=""/>
    <s v=""/>
    <m/>
    <m/>
    <m/>
    <s v="Technical Assistance"/>
    <m/>
  </r>
  <r>
    <x v="2"/>
    <x v="32"/>
    <s v="MBA"/>
    <s v="Tuktukan"/>
    <n v="9776"/>
    <n v="11861"/>
    <s v="CONDUCTED TECHNICAL ASSISTANCE"/>
    <n v="2025"/>
    <d v="2025-02-07T00:00:00"/>
    <x v="3"/>
    <s v="Jasmin Marie N. Siapco"/>
    <s v="Rod Ross S. De Jesus"/>
    <s v="Diozelle L. Cabalar"/>
    <s v="R3-2025-005700"/>
    <d v="2025-02-17T00:00:00"/>
    <d v="2025-02-17T00:00:00"/>
    <d v="2025-02-17T00:00:00"/>
    <d v="2025-02-18T00:00:00"/>
    <n v="6"/>
    <n v="1"/>
    <n v="1"/>
    <n v="1"/>
    <s v="Received by Planning"/>
    <s v="MRF"/>
    <s v="OPERATIONAL"/>
    <s v="Technical Assistance"/>
    <m/>
  </r>
  <r>
    <x v="2"/>
    <x v="33"/>
    <s v="MBA"/>
    <s v="Abulalas"/>
    <n v="5283"/>
    <n v="6522"/>
    <s v="CONDUCTED TECHNICAL ASSISTANCE"/>
    <n v="2024"/>
    <d v="2024-06-06T00:00:00"/>
    <x v="0"/>
    <m/>
    <s v="Rod Ross S. De Jesus"/>
    <s v="Diozelle L. Cabalar"/>
    <m/>
    <m/>
    <m/>
    <m/>
    <m/>
    <s v=""/>
    <s v=""/>
    <s v=""/>
    <s v=""/>
    <m/>
    <m/>
    <m/>
    <s v="Technical Assistance"/>
    <m/>
  </r>
  <r>
    <x v="2"/>
    <x v="33"/>
    <s v="MBA"/>
    <s v="Carillo"/>
    <n v="1708"/>
    <n v="1808"/>
    <s v="CONDUCTED TECHNICAL ASSISTANCE"/>
    <n v="2024"/>
    <d v="2024-06-13T00:00:00"/>
    <x v="0"/>
    <m/>
    <s v="Rod Ross S. De Jesus"/>
    <s v="Diozelle L. Cabalar"/>
    <m/>
    <m/>
    <m/>
    <m/>
    <m/>
    <s v=""/>
    <s v=""/>
    <s v=""/>
    <s v=""/>
    <m/>
    <m/>
    <m/>
    <s v="Technical Assistance"/>
    <m/>
  </r>
  <r>
    <x v="2"/>
    <x v="33"/>
    <s v="MBA"/>
    <s v="Iba"/>
    <n v="5321"/>
    <n v="6466"/>
    <s v="CONDUCTED TECHNICAL ASSISTANCE"/>
    <n v="2024"/>
    <d v="2024-09-04T00:00:00"/>
    <x v="0"/>
    <m/>
    <s v="Rod Ross S. De Jesus"/>
    <s v="Diozelle L. Cabalar"/>
    <m/>
    <m/>
    <m/>
    <m/>
    <m/>
    <s v=""/>
    <s v=""/>
    <s v=""/>
    <s v=""/>
    <m/>
    <s v="MRF"/>
    <s v="OPERATIONAL"/>
    <s v="Technical Assistance"/>
    <m/>
  </r>
  <r>
    <x v="2"/>
    <x v="33"/>
    <s v="MBA"/>
    <s v="Iba-Ibayo"/>
    <n v="2564"/>
    <n v="2791"/>
    <s v="CONDUCTED TECHNICAL ASSISTANCE"/>
    <n v="2024"/>
    <d v="2024-09-04T00:00:00"/>
    <x v="0"/>
    <m/>
    <s v="Rod Ross S. De Jesus"/>
    <s v="Diozelle L. Cabalar"/>
    <m/>
    <m/>
    <m/>
    <m/>
    <m/>
    <s v=""/>
    <s v=""/>
    <s v=""/>
    <s v=""/>
    <m/>
    <s v="MRF"/>
    <s v="OPERATIONAL"/>
    <s v="Technical Assistance"/>
    <m/>
  </r>
  <r>
    <x v="2"/>
    <x v="33"/>
    <s v="MBA"/>
    <s v="Mercado"/>
    <n v="7114"/>
    <n v="7286"/>
    <s v="CONDUCTED TECHNICAL ASSISTANCE"/>
    <n v="2025"/>
    <d v="2025-07-16T00:00:00"/>
    <x v="9"/>
    <s v="Ronaldo P. Roque, Jr."/>
    <m/>
    <s v="Diozelle L. Cabalar"/>
    <s v="R3-2025-024069"/>
    <d v="2025-07-18T00:00:00"/>
    <d v="2025-07-21T00:00:00"/>
    <d v="2025-07-21T00:00:00"/>
    <d v="2025-07-21T00:00:00"/>
    <n v="2"/>
    <n v="1"/>
    <n v="1"/>
    <n v="1"/>
    <s v="Received by Planning"/>
    <s v="MRF"/>
    <s v="OPERATIONAL"/>
    <s v="Technical Assistance"/>
    <m/>
  </r>
  <r>
    <x v="2"/>
    <x v="33"/>
    <s v="MBA"/>
    <s v="Palapat"/>
    <n v="2364"/>
    <n v="2342"/>
    <s v="CONDUCTED TECHNICAL ASSISTANCE"/>
    <n v="2025"/>
    <d v="2025-07-16T00:00:00"/>
    <x v="9"/>
    <s v="Ronaldo P. Roque, Jr."/>
    <s v="Rod Ross S. De Jesus"/>
    <s v="Diozelle L. Cabalar"/>
    <s v="R3-2025-024070"/>
    <d v="2025-07-18T00:00:00"/>
    <m/>
    <d v="2025-07-21T00:00:00"/>
    <d v="2025-07-21T00:00:00"/>
    <n v="2"/>
    <s v=""/>
    <n v="1"/>
    <n v="1"/>
    <s v="Received by Planning"/>
    <s v="MRF"/>
    <s v="OPERATIONAL"/>
    <s v="Technical Assistance"/>
    <m/>
  </r>
  <r>
    <x v="2"/>
    <x v="33"/>
    <s v="MBA"/>
    <s v="Pugad"/>
    <n v="1907"/>
    <n v="1636"/>
    <s v="NO TECHNICAL ASSISTANCE CONDUCTED"/>
    <m/>
    <m/>
    <x v="0"/>
    <m/>
    <s v="Rod Ross S. De Jesus"/>
    <s v="Diozelle L. Cabalar"/>
    <m/>
    <m/>
    <m/>
    <m/>
    <m/>
    <s v=""/>
    <s v=""/>
    <s v=""/>
    <s v=""/>
    <m/>
    <m/>
    <m/>
    <m/>
    <m/>
  </r>
  <r>
    <x v="2"/>
    <x v="33"/>
    <s v="MBA"/>
    <s v="Sagrada Familia"/>
    <n v="6569"/>
    <n v="6494"/>
    <s v="CONDUCTED TECHNICAL ASSISTANCE"/>
    <n v="2025"/>
    <d v="2025-03-13T00:00:00"/>
    <x v="1"/>
    <s v="Ronaldo P. Roque, Jr."/>
    <s v="Rod Ross S. De Jesus"/>
    <s v="Diozelle L. Cabalar"/>
    <s v="R3-2025-008817"/>
    <d v="2025-03-16T00:00:00"/>
    <d v="2025-03-17T00:00:00"/>
    <d v="2025-03-18T00:00:00"/>
    <d v="2025-03-19T00:00:00"/>
    <n v="1"/>
    <n v="1"/>
    <n v="1"/>
    <n v="1"/>
    <s v="Received by Planning"/>
    <s v="MRS"/>
    <s v="OPERATIONAL"/>
    <s v="Technical Assistance"/>
    <m/>
  </r>
  <r>
    <x v="2"/>
    <x v="33"/>
    <s v="MBA"/>
    <s v="San Agustin"/>
    <n v="10336"/>
    <n v="10387"/>
    <s v="CONDUCTED TECHNICAL ASSISTANCE"/>
    <n v="2025"/>
    <d v="2025-03-13T00:00:00"/>
    <x v="1"/>
    <s v="Ronaldo P. Roque, Jr."/>
    <s v="Rod Ross S. De Jesus"/>
    <s v="Diozelle L. Cabalar"/>
    <s v="R3-2025-008816"/>
    <d v="2025-03-16T00:00:00"/>
    <d v="2025-03-17T00:00:00"/>
    <d v="2025-03-18T00:00:00"/>
    <d v="2025-03-19T00:00:00"/>
    <n v="1"/>
    <n v="1"/>
    <n v="1"/>
    <n v="1"/>
    <s v="Received by Planning"/>
    <s v="MRS"/>
    <s v="OPERATIONAL"/>
    <s v="Technical Assistance"/>
    <m/>
  </r>
  <r>
    <x v="2"/>
    <x v="33"/>
    <s v="MBA"/>
    <s v="San Isidro"/>
    <n v="8102"/>
    <n v="8489"/>
    <s v="NO TECHNICAL ASSISTANCE CONDUCTED"/>
    <m/>
    <m/>
    <x v="0"/>
    <m/>
    <s v="Rod Ross S. De Jesus"/>
    <s v="Diozelle L. Cabalar"/>
    <m/>
    <m/>
    <m/>
    <m/>
    <m/>
    <s v=""/>
    <s v=""/>
    <s v=""/>
    <s v=""/>
    <m/>
    <m/>
    <m/>
    <m/>
    <m/>
  </r>
  <r>
    <x v="2"/>
    <x v="33"/>
    <s v="MBA"/>
    <s v="San Jose"/>
    <n v="4646"/>
    <n v="4275"/>
    <s v="NO TECHNICAL ASSISTANCE CONDUCTED"/>
    <m/>
    <m/>
    <x v="0"/>
    <m/>
    <s v="Rod Ross S. De Jesus"/>
    <s v="Diozelle L. Cabalar"/>
    <m/>
    <m/>
    <m/>
    <m/>
    <m/>
    <s v=""/>
    <s v=""/>
    <s v=""/>
    <s v=""/>
    <m/>
    <m/>
    <m/>
    <m/>
    <m/>
  </r>
  <r>
    <x v="2"/>
    <x v="33"/>
    <s v="MBA"/>
    <s v="San Juan"/>
    <n v="3542"/>
    <n v="3700"/>
    <s v="NO TECHNICAL ASSISTANCE CONDUCTED"/>
    <m/>
    <m/>
    <x v="0"/>
    <m/>
    <s v="Rod Ross S. De Jesus"/>
    <s v="Diozelle L. Cabalar"/>
    <m/>
    <m/>
    <m/>
    <m/>
    <m/>
    <s v=""/>
    <s v=""/>
    <s v=""/>
    <s v=""/>
    <m/>
    <m/>
    <m/>
    <m/>
    <m/>
  </r>
  <r>
    <x v="2"/>
    <x v="33"/>
    <s v="MBA"/>
    <s v="San Miguel"/>
    <n v="5888"/>
    <n v="6167"/>
    <s v="NO TECHNICAL ASSISTANCE CONDUCTED"/>
    <m/>
    <m/>
    <x v="0"/>
    <m/>
    <s v="Rod Ross S. De Jesus"/>
    <s v="Diozelle L. Cabalar"/>
    <m/>
    <m/>
    <m/>
    <m/>
    <m/>
    <s v=""/>
    <s v=""/>
    <s v=""/>
    <s v=""/>
    <m/>
    <m/>
    <m/>
    <m/>
    <m/>
  </r>
  <r>
    <x v="2"/>
    <x v="33"/>
    <s v="MBA"/>
    <s v="San Nicolas"/>
    <n v="5113"/>
    <n v="4642"/>
    <s v="NO TECHNICAL ASSISTANCE CONDUCTED"/>
    <m/>
    <m/>
    <x v="0"/>
    <m/>
    <s v="Rod Ross S. De Jesus"/>
    <s v="Diozelle L. Cabalar"/>
    <m/>
    <m/>
    <m/>
    <m/>
    <m/>
    <s v=""/>
    <s v=""/>
    <s v=""/>
    <s v=""/>
    <m/>
    <m/>
    <m/>
    <m/>
    <m/>
  </r>
  <r>
    <x v="2"/>
    <x v="33"/>
    <s v="MBA"/>
    <s v="San Pablo"/>
    <n v="3346"/>
    <n v="3470"/>
    <s v="NO TECHNICAL ASSISTANCE CONDUCTED"/>
    <m/>
    <m/>
    <x v="0"/>
    <m/>
    <s v="Rod Ross S. De Jesus"/>
    <s v="Diozelle L. Cabalar"/>
    <m/>
    <m/>
    <m/>
    <m/>
    <m/>
    <s v=""/>
    <s v=""/>
    <s v=""/>
    <s v=""/>
    <m/>
    <m/>
    <m/>
    <m/>
    <m/>
  </r>
  <r>
    <x v="2"/>
    <x v="33"/>
    <s v="MBA"/>
    <s v="San Pascual"/>
    <n v="5957"/>
    <n v="5754"/>
    <s v="NO TECHNICAL ASSISTANCE CONDUCTED"/>
    <m/>
    <m/>
    <x v="0"/>
    <m/>
    <s v="Rod Ross S. De Jesus"/>
    <s v="Diozelle L. Cabalar"/>
    <m/>
    <m/>
    <m/>
    <m/>
    <m/>
    <s v=""/>
    <s v=""/>
    <s v=""/>
    <s v=""/>
    <m/>
    <m/>
    <m/>
    <m/>
    <m/>
  </r>
  <r>
    <x v="2"/>
    <x v="33"/>
    <s v="MBA"/>
    <s v="San Pedro"/>
    <n v="5042"/>
    <n v="5698"/>
    <s v="CONDUCTED TECHNICAL ASSISTANCE"/>
    <n v="2024"/>
    <d v="2024-07-10T00:00:00"/>
    <x v="0"/>
    <s v="Ronaldo P. Roque, Jr."/>
    <s v="Rod Ross S. De Jesus"/>
    <s v="Diozelle L. Cabalar"/>
    <m/>
    <m/>
    <m/>
    <m/>
    <m/>
    <s v=""/>
    <s v=""/>
    <s v=""/>
    <s v=""/>
    <m/>
    <s v="MRF"/>
    <s v="OPERATIONAL"/>
    <s v="Technical Assistance"/>
    <m/>
  </r>
  <r>
    <x v="2"/>
    <x v="33"/>
    <s v="MBA"/>
    <s v="San Roque"/>
    <n v="4908"/>
    <n v="5197"/>
    <s v="NO TECHNICAL ASSISTANCE CONDUCTED"/>
    <m/>
    <m/>
    <x v="0"/>
    <m/>
    <s v="Rod Ross S. De Jesus"/>
    <s v="Diozelle L. Cabalar"/>
    <m/>
    <m/>
    <m/>
    <m/>
    <m/>
    <s v=""/>
    <s v=""/>
    <s v=""/>
    <s v=""/>
    <m/>
    <m/>
    <m/>
    <m/>
    <m/>
  </r>
  <r>
    <x v="2"/>
    <x v="33"/>
    <s v="MBA"/>
    <s v="San Sebastian"/>
    <n v="8193"/>
    <n v="7522"/>
    <s v="NO TECHNICAL ASSISTANCE CONDUCTED"/>
    <m/>
    <m/>
    <x v="0"/>
    <m/>
    <s v="Rod Ross S. De Jesus"/>
    <s v="Diozelle L. Cabalar"/>
    <m/>
    <m/>
    <m/>
    <m/>
    <m/>
    <s v=""/>
    <s v=""/>
    <s v=""/>
    <s v=""/>
    <m/>
    <m/>
    <m/>
    <m/>
    <m/>
  </r>
  <r>
    <x v="2"/>
    <x v="33"/>
    <s v="MBA"/>
    <s v="Santa Cruz"/>
    <n v="3484"/>
    <n v="3223"/>
    <s v="NO TECHNICAL ASSISTANCE CONDUCTED"/>
    <m/>
    <m/>
    <x v="0"/>
    <m/>
    <s v="Rod Ross S. De Jesus"/>
    <s v="Diozelle L. Cabalar"/>
    <m/>
    <m/>
    <m/>
    <m/>
    <m/>
    <s v=""/>
    <s v=""/>
    <s v=""/>
    <s v=""/>
    <m/>
    <m/>
    <m/>
    <m/>
    <m/>
  </r>
  <r>
    <x v="2"/>
    <x v="33"/>
    <s v="MBA"/>
    <s v="Santa Elena"/>
    <n v="4918"/>
    <n v="5494"/>
    <s v="NO TECHNICAL ASSISTANCE CONDUCTED"/>
    <m/>
    <m/>
    <x v="0"/>
    <m/>
    <s v="Rod Ross S. De Jesus"/>
    <s v="Diozelle L. Cabalar"/>
    <m/>
    <m/>
    <m/>
    <m/>
    <m/>
    <s v=""/>
    <s v=""/>
    <s v=""/>
    <s v=""/>
    <m/>
    <m/>
    <m/>
    <m/>
    <m/>
  </r>
  <r>
    <x v="2"/>
    <x v="33"/>
    <s v="MBA"/>
    <s v="Santa Monica"/>
    <n v="8317"/>
    <n v="8168"/>
    <s v="NO TECHNICAL ASSISTANCE CONDUCTED"/>
    <m/>
    <m/>
    <x v="0"/>
    <m/>
    <s v="Rod Ross S. De Jesus"/>
    <s v="Diozelle L. Cabalar"/>
    <m/>
    <m/>
    <m/>
    <m/>
    <m/>
    <s v=""/>
    <s v=""/>
    <s v=""/>
    <s v=""/>
    <m/>
    <m/>
    <m/>
    <m/>
    <m/>
  </r>
  <r>
    <x v="2"/>
    <x v="33"/>
    <s v="MBA"/>
    <s v="Santo Niño (Pob.)"/>
    <n v="4415"/>
    <n v="4554"/>
    <s v="CONDUCTED TECHNICAL ASSISTANCE"/>
    <n v="2025"/>
    <d v="2025-07-16T00:00:00"/>
    <x v="9"/>
    <s v="Ronaldo P. Roque, Jr."/>
    <m/>
    <s v="Diozelle L. Cabalar"/>
    <s v="R3-2025-024071"/>
    <d v="2025-07-18T00:00:00"/>
    <m/>
    <d v="2025-07-21T00:00:00"/>
    <d v="2025-07-21T00:00:00"/>
    <n v="2"/>
    <s v=""/>
    <n v="1"/>
    <n v="1"/>
    <s v="Received by Planning"/>
    <s v="MRF"/>
    <s v="OPERATIONAL"/>
    <s v="Technical Assistance"/>
    <s v="Unable to do site visit due to flooding"/>
  </r>
  <r>
    <x v="2"/>
    <x v="33"/>
    <s v="MBA"/>
    <s v="Santo Rosario"/>
    <n v="5251"/>
    <n v="5052"/>
    <s v="NO TECHNICAL ASSISTANCE CONDUCTED"/>
    <m/>
    <m/>
    <x v="0"/>
    <m/>
    <s v="Rod Ross S. De Jesus"/>
    <s v="Diozelle L. Cabalar"/>
    <m/>
    <m/>
    <m/>
    <m/>
    <m/>
    <s v=""/>
    <s v=""/>
    <s v=""/>
    <s v=""/>
    <m/>
    <m/>
    <m/>
    <m/>
    <m/>
  </r>
  <r>
    <x v="2"/>
    <x v="33"/>
    <s v="MBA"/>
    <s v="Tampok"/>
    <n v="2635"/>
    <n v="3011"/>
    <s v="NO TECHNICAL ASSISTANCE CONDUCTED"/>
    <m/>
    <m/>
    <x v="0"/>
    <m/>
    <s v="Rod Ross S. De Jesus"/>
    <s v="Diozelle L. Cabalar"/>
    <m/>
    <m/>
    <m/>
    <m/>
    <m/>
    <s v=""/>
    <s v=""/>
    <s v=""/>
    <s v=""/>
    <m/>
    <m/>
    <m/>
    <m/>
    <m/>
  </r>
  <r>
    <x v="2"/>
    <x v="33"/>
    <s v="MBA"/>
    <s v="Tibaguin"/>
    <n v="2884"/>
    <n v="3300"/>
    <s v="NO TECHNICAL ASSISTANCE CONDUCTED"/>
    <m/>
    <m/>
    <x v="0"/>
    <m/>
    <s v="Rod Ross S. De Jesus"/>
    <s v="Diozelle L. Cabalar"/>
    <m/>
    <m/>
    <m/>
    <m/>
    <m/>
    <s v=""/>
    <s v=""/>
    <s v=""/>
    <s v=""/>
    <m/>
    <m/>
    <m/>
    <m/>
    <m/>
  </r>
  <r>
    <x v="2"/>
    <x v="34"/>
    <s v="MBA"/>
    <s v="Abangan Norte"/>
    <n v="9424"/>
    <n v="11417"/>
    <s v="CONDUCTED TECHNICAL ASSISTANCE"/>
    <n v="2025"/>
    <d v="2025-04-10T00:00:00"/>
    <x v="4"/>
    <s v="James Wilson T. Pena"/>
    <s v="Rod Ross S. De Jesus"/>
    <s v="Diozelle L. Cabalar"/>
    <s v="R3-2025-012450"/>
    <d v="2025-04-12T00:00:00"/>
    <d v="2025-04-15T00:00:00"/>
    <d v="2025-04-15T00:00:00"/>
    <d v="2025-04-15T00:00:00"/>
    <n v="1"/>
    <n v="1"/>
    <n v="1"/>
    <n v="1"/>
    <s v="Received by Planning"/>
    <s v="MRS"/>
    <s v="OPERATIONAL"/>
    <s v="Technical Assistance"/>
    <m/>
  </r>
  <r>
    <x v="2"/>
    <x v="34"/>
    <s v="MBA"/>
    <s v="Abangan Sur"/>
    <n v="9625"/>
    <n v="10595"/>
    <s v="CONDUCTED TECHNICAL ASSISTANCE"/>
    <n v="2025"/>
    <d v="2025-04-10T00:00:00"/>
    <x v="4"/>
    <s v="James Wilson T. Pena"/>
    <s v="Rod Ross S. De Jesus"/>
    <s v="Diozelle L. Cabalar"/>
    <s v="R3-2025-012452"/>
    <d v="2025-04-12T00:00:00"/>
    <d v="2025-04-15T00:00:00"/>
    <d v="2025-04-15T00:00:00"/>
    <d v="2025-04-15T00:00:00"/>
    <n v="1"/>
    <n v="1"/>
    <n v="1"/>
    <n v="1"/>
    <s v="Received by Planning"/>
    <s v="MRS"/>
    <s v="OPERATIONAL"/>
    <s v="Technical Assistance"/>
    <m/>
  </r>
  <r>
    <x v="2"/>
    <x v="34"/>
    <s v="MBA"/>
    <s v="Ibayo"/>
    <n v="10103"/>
    <n v="8310"/>
    <s v="CONDUCTED TECHNICAL ASSISTANCE"/>
    <n v="2025"/>
    <d v="2025-06-10T00:00:00"/>
    <x v="10"/>
    <s v="James Wilson T. Pena"/>
    <m/>
    <s v="Diozelle L. Cabalar"/>
    <s v="R3-2025-020059"/>
    <d v="2025-06-17T00:00:00"/>
    <m/>
    <d v="2025-06-19T00:00:00"/>
    <d v="2025-06-19T00:00:00"/>
    <n v="5"/>
    <s v=""/>
    <n v="2"/>
    <n v="1"/>
    <s v="Received by Planning"/>
    <s v="MRS"/>
    <s v="OPERATIONAL"/>
    <s v="Technical Assistance"/>
    <m/>
  </r>
  <r>
    <x v="2"/>
    <x v="34"/>
    <s v="MBA"/>
    <s v="Lambakin"/>
    <n v="42821"/>
    <n v="48184"/>
    <s v="CONDUCTED TECHNICAL ASSISTANCE"/>
    <n v="2025"/>
    <d v="2025-06-10T00:00:00"/>
    <x v="10"/>
    <s v="James Wilson T. Pena"/>
    <m/>
    <s v="Diozelle L. Cabalar"/>
    <s v="R3-2025-020062"/>
    <d v="2025-06-17T00:00:00"/>
    <m/>
    <d v="2025-06-19T00:00:00"/>
    <d v="2025-06-19T00:00:00"/>
    <n v="5"/>
    <s v=""/>
    <n v="2"/>
    <n v="1"/>
    <s v="Received by Planning"/>
    <s v="MRS"/>
    <s v="OPERATIONAL"/>
    <s v="Technical Assistance"/>
    <m/>
  </r>
  <r>
    <x v="2"/>
    <x v="34"/>
    <s v="MBA"/>
    <s v="Lias"/>
    <n v="12900"/>
    <n v="15256"/>
    <s v="NO TECHNICAL ASSISTANCE CONDUCTED"/>
    <m/>
    <m/>
    <x v="0"/>
    <s v="James Wilson T. Pena"/>
    <s v="Rod Ross S. De Jesus"/>
    <s v="Diozelle L. Cabalar"/>
    <m/>
    <m/>
    <m/>
    <m/>
    <m/>
    <s v=""/>
    <s v=""/>
    <s v=""/>
    <s v=""/>
    <m/>
    <m/>
    <m/>
    <m/>
    <m/>
  </r>
  <r>
    <x v="2"/>
    <x v="34"/>
    <s v="MBA"/>
    <s v="Loma de Gato"/>
    <n v="57569"/>
    <n v="71258"/>
    <s v="CONDUCTED TECHNICAL ASSISTANCE"/>
    <n v="2025"/>
    <d v="2025-05-16T00:00:00"/>
    <x v="6"/>
    <s v="James Wilson T. Pena"/>
    <s v="Rod Ross S. De Jesus"/>
    <s v="Diozelle L. Cabalar"/>
    <s v="R3-2025-016465"/>
    <d v="2025-05-17T00:00:00"/>
    <m/>
    <d v="2025-05-19T00:00:00"/>
    <d v="2025-05-20T00:00:00"/>
    <n v="1"/>
    <s v=""/>
    <n v="1"/>
    <n v="1"/>
    <s v="Received by Planning"/>
    <s v="MRS"/>
    <s v="OPERATIONAL"/>
    <s v="Technical Assistance"/>
    <m/>
  </r>
  <r>
    <x v="2"/>
    <x v="34"/>
    <s v="MBA"/>
    <s v="Nagbalon"/>
    <n v="4015"/>
    <n v="3518"/>
    <s v="NO TECHNICAL ASSISTANCE CONDUCTED"/>
    <m/>
    <m/>
    <x v="0"/>
    <s v="James Wilson T. Pena"/>
    <s v="Rod Ross S. De Jesus"/>
    <s v="Diozelle L. Cabalar"/>
    <m/>
    <m/>
    <m/>
    <m/>
    <m/>
    <s v=""/>
    <s v=""/>
    <s v=""/>
    <s v=""/>
    <m/>
    <m/>
    <m/>
    <m/>
    <m/>
  </r>
  <r>
    <x v="2"/>
    <x v="34"/>
    <s v="MBA"/>
    <s v="Patubig"/>
    <n v="7501"/>
    <n v="8419"/>
    <s v="CONDUCTED TECHNICAL ASSISTANCE"/>
    <n v="2025"/>
    <d v="2025-05-14T00:00:00"/>
    <x v="6"/>
    <s v="James Wilson T. Pena"/>
    <s v="Rod Ross S. De Jesus"/>
    <s v="Diozelle L. Cabalar"/>
    <s v="R3-2025-016464"/>
    <d v="2025-05-17T00:00:00"/>
    <m/>
    <d v="2025-05-19T00:00:00"/>
    <d v="2025-05-20T00:00:00"/>
    <n v="2"/>
    <s v=""/>
    <n v="1"/>
    <n v="1"/>
    <s v="Received by Planning"/>
    <s v="MRS"/>
    <s v="OPERATIONAL"/>
    <s v="Technical Assistance"/>
    <m/>
  </r>
  <r>
    <x v="2"/>
    <x v="34"/>
    <s v="MBA"/>
    <s v="Poblacion I"/>
    <n v="1826"/>
    <n v="1419"/>
    <s v="CONDUCTED TECHNICAL ASSISTANCE"/>
    <n v="2025"/>
    <d v="2025-06-10T00:00:00"/>
    <x v="10"/>
    <s v="James Wilson T. Pena"/>
    <m/>
    <s v="Diozelle L. Cabalar"/>
    <s v="R3-2025-020060"/>
    <d v="2025-06-17T00:00:00"/>
    <m/>
    <d v="2025-06-19T00:00:00"/>
    <d v="2025-06-19T00:00:00"/>
    <n v="5"/>
    <s v=""/>
    <n v="2"/>
    <n v="1"/>
    <s v="Received by Planning"/>
    <s v="MRS"/>
    <s v="OPERATIONAL"/>
    <s v="Technical Assistance"/>
    <m/>
  </r>
  <r>
    <x v="2"/>
    <x v="34"/>
    <s v="MBA"/>
    <s v="Poblacion II"/>
    <n v="5475"/>
    <n v="4968"/>
    <s v="CONDUCTED TECHNICAL ASSISTANCE"/>
    <n v="2025"/>
    <d v="2025-06-10T00:00:00"/>
    <x v="10"/>
    <s v="James Wilson T. Pena"/>
    <m/>
    <s v="Diozelle L. Cabalar"/>
    <s v="R3-2025-020061"/>
    <d v="2025-06-17T00:00:00"/>
    <m/>
    <d v="2025-06-19T00:00:00"/>
    <d v="2025-06-19T00:00:00"/>
    <n v="5"/>
    <s v=""/>
    <n v="2"/>
    <n v="1"/>
    <s v="Received by Planning"/>
    <s v="MRS"/>
    <s v="OPERATIONAL"/>
    <s v="Technical Assistance"/>
    <m/>
  </r>
  <r>
    <x v="2"/>
    <x v="34"/>
    <s v="MBA"/>
    <s v="Prenza I"/>
    <n v="7065"/>
    <n v="9019"/>
    <s v="CONDUCTED TECHNICAL ASSISTANCE"/>
    <n v="2025"/>
    <d v="2025-08-07T00:00:00"/>
    <x v="9"/>
    <s v="James Wilson T. Pena"/>
    <m/>
    <s v="Diozelle L. Cabalar"/>
    <s v="R3-2025-027601"/>
    <d v="2025-08-17T00:00:00"/>
    <m/>
    <d v="2025-08-19T00:00:00"/>
    <d v="2025-08-19T00:00:00"/>
    <n v="6"/>
    <s v=""/>
    <n v="1"/>
    <n v="1"/>
    <s v="Received by Planning"/>
    <s v="MRS"/>
    <s v="OPERATIONAL"/>
    <s v="Technical Assistance"/>
    <m/>
  </r>
  <r>
    <x v="2"/>
    <x v="34"/>
    <s v="MBA"/>
    <s v="Prenza II"/>
    <n v="11229"/>
    <n v="13784"/>
    <s v="CONDUCTED TECHNICAL ASSISTANCE"/>
    <n v="2025"/>
    <d v="2025-08-07T00:00:00"/>
    <x v="9"/>
    <s v="James Wilson T. Pena"/>
    <m/>
    <s v="Diozelle L. Cabalar"/>
    <s v="R3-2025-027615 "/>
    <d v="2025-08-17T00:00:00"/>
    <m/>
    <d v="2025-08-19T00:00:00"/>
    <d v="2025-08-19T00:00:00"/>
    <n v="6"/>
    <s v=""/>
    <n v="1"/>
    <n v="1"/>
    <s v="Received by Planning"/>
    <s v="MRS"/>
    <s v="OPERATIONAL"/>
    <s v="Technical Assistance"/>
    <m/>
  </r>
  <r>
    <x v="2"/>
    <x v="34"/>
    <s v="MBA"/>
    <s v="Santa Rosa I"/>
    <n v="10793"/>
    <n v="11260"/>
    <s v="NO TECHNICAL ASSISTANCE CONDUCTED"/>
    <m/>
    <m/>
    <x v="0"/>
    <s v="James Wilson T. Pena"/>
    <s v="Rod Ross S. De Jesus"/>
    <s v="Diozelle L. Cabalar"/>
    <m/>
    <m/>
    <m/>
    <m/>
    <m/>
    <s v=""/>
    <s v=""/>
    <s v=""/>
    <s v=""/>
    <m/>
    <m/>
    <m/>
    <m/>
    <m/>
  </r>
  <r>
    <x v="2"/>
    <x v="34"/>
    <s v="MBA"/>
    <s v="Santa Rosa II"/>
    <n v="9648"/>
    <n v="13378"/>
    <s v="CONDUCTED TECHNICAL ASSISTANCE"/>
    <n v="2024"/>
    <d v="2024-09-11T00:00:00"/>
    <x v="0"/>
    <s v="James Wilson T. Pena"/>
    <s v="Rod Ross S. De Jesus"/>
    <s v="Diozelle L. Cabalar"/>
    <m/>
    <m/>
    <m/>
    <m/>
    <m/>
    <s v=""/>
    <s v=""/>
    <s v=""/>
    <s v=""/>
    <m/>
    <s v="MRS"/>
    <m/>
    <s v="Technical Assistance"/>
    <m/>
  </r>
  <r>
    <x v="2"/>
    <x v="34"/>
    <s v="MBA"/>
    <s v="Saog"/>
    <n v="14950"/>
    <n v="15612"/>
    <s v="CONDUCTED TECHNICAL ASSISTANCE"/>
    <n v="2025"/>
    <d v="2025-02-06T00:00:00"/>
    <x v="3"/>
    <s v="James Wilson T. Pena"/>
    <s v="Rod Ross S. De Jesus"/>
    <s v="Diozelle L. Cabalar"/>
    <s v="R3-2025-004788"/>
    <d v="2025-02-10T00:00:00"/>
    <d v="2025-02-12T00:00:00"/>
    <d v="2025-02-12T00:00:00"/>
    <d v="2025-02-17T00:00:00"/>
    <n v="2"/>
    <n v="1"/>
    <n v="1"/>
    <n v="3"/>
    <s v="Received by Planning"/>
    <s v="MRS"/>
    <s v="CATER BY LGU"/>
    <s v="Technical Assistance"/>
    <m/>
  </r>
  <r>
    <x v="2"/>
    <x v="34"/>
    <s v="MBA"/>
    <s v="Tabing Ilog"/>
    <n v="7021"/>
    <n v="8056"/>
    <s v="CONDUCTED TECHNICAL ASSISTANCE"/>
    <n v="2025"/>
    <d v="2025-02-06T00:00:00"/>
    <x v="3"/>
    <s v="James Wilson T. Pena"/>
    <s v="Rod Ross S. De Jesus"/>
    <s v="Diozelle L. Cabalar"/>
    <s v="R3-2025-004789"/>
    <d v="2025-02-10T00:00:00"/>
    <d v="2025-02-12T00:00:00"/>
    <d v="2025-02-12T00:00:00"/>
    <d v="2025-02-17T00:00:00"/>
    <n v="2"/>
    <n v="1"/>
    <n v="1"/>
    <n v="3"/>
    <s v="Received by Planning"/>
    <s v="MRS"/>
    <s v="OPERATIONAL"/>
    <s v="Technical Assistance"/>
    <m/>
  </r>
  <r>
    <x v="2"/>
    <x v="35"/>
    <s v="MBA"/>
    <s v="Bangkal"/>
    <n v="1419"/>
    <n v="907"/>
    <s v="CONDUCTED TECHNICAL ASSISTANCE"/>
    <n v="2025"/>
    <d v="2025-03-12T00:00:00"/>
    <x v="1"/>
    <s v="James Wilson T. Pena"/>
    <s v="Rod Ross S. De Jesus"/>
    <s v="Diozelle L. Cabalar"/>
    <s v="R3-2025-008940"/>
    <d v="2025-03-17T00:00:00"/>
    <d v="2025-03-17T00:00:00"/>
    <d v="2025-03-18T00:00:00"/>
    <d v="2025-03-19T00:00:00"/>
    <n v="3"/>
    <n v="1"/>
    <n v="1"/>
    <n v="1"/>
    <s v="Received by Planning"/>
    <s v="MRS"/>
    <s v="OPERATIONAL"/>
    <s v="Technical Assistance"/>
    <m/>
  </r>
  <r>
    <x v="2"/>
    <x v="35"/>
    <s v="MBA"/>
    <s v="Baraka"/>
    <n v="523"/>
    <n v="548"/>
    <s v="CONDUCTED TECHNICAL ASSISTANCE"/>
    <n v="2025"/>
    <d v="2025-03-12T00:00:00"/>
    <x v="1"/>
    <s v="James Wilson T. Pena"/>
    <s v="Rod Ross S. De Jesus"/>
    <s v="Diozelle L. Cabalar"/>
    <s v="R3-2025-008941"/>
    <d v="2025-03-17T00:00:00"/>
    <d v="2025-03-17T00:00:00"/>
    <d v="2025-03-18T00:00:00"/>
    <d v="2025-03-19T00:00:00"/>
    <n v="3"/>
    <n v="1"/>
    <n v="1"/>
    <n v="1"/>
    <s v="Received by Planning"/>
    <s v="MRS"/>
    <s v="OPERATIONAL"/>
    <s v="Technical Assistance"/>
    <m/>
  </r>
  <r>
    <x v="2"/>
    <x v="35"/>
    <s v="MBA"/>
    <s v="Bigte"/>
    <n v="12118"/>
    <n v="15119"/>
    <s v="CONDUCTED TECHNICAL ASSISTANCE"/>
    <n v="2024"/>
    <s v="February 13, 2024"/>
    <x v="0"/>
    <s v="James Wilson T. Pena"/>
    <s v="Rod Ross S. De Jesus"/>
    <s v="Diozelle L. Cabalar"/>
    <m/>
    <m/>
    <m/>
    <m/>
    <m/>
    <s v=""/>
    <s v=""/>
    <s v=""/>
    <s v=""/>
    <m/>
    <m/>
    <m/>
    <m/>
    <m/>
  </r>
  <r>
    <x v="2"/>
    <x v="35"/>
    <s v="MBA"/>
    <s v="Bitungol"/>
    <n v="10177"/>
    <n v="18427"/>
    <s v="CONDUCTED TECHNICAL ASSISTANCE"/>
    <n v="2024"/>
    <s v="February 13, 2024"/>
    <x v="0"/>
    <s v="James Wilson T. Pena"/>
    <s v="Rod Ross S. De Jesus"/>
    <s v="Diozelle L. Cabalar"/>
    <m/>
    <m/>
    <m/>
    <m/>
    <m/>
    <s v=""/>
    <s v=""/>
    <s v=""/>
    <s v=""/>
    <m/>
    <m/>
    <m/>
    <m/>
    <m/>
  </r>
  <r>
    <x v="2"/>
    <x v="35"/>
    <s v="MBA"/>
    <s v="Friendship Village Resources"/>
    <n v="14690"/>
    <n v="14208"/>
    <s v="NO TECHNICAL ASSISTANCE CONDUCTED"/>
    <m/>
    <m/>
    <x v="0"/>
    <s v="James Wilson T. Pena"/>
    <s v="Rod Ross S. De Jesus"/>
    <s v="Diozelle L. Cabalar"/>
    <m/>
    <m/>
    <m/>
    <m/>
    <m/>
    <s v=""/>
    <s v=""/>
    <s v=""/>
    <s v=""/>
    <m/>
    <m/>
    <m/>
    <m/>
    <m/>
  </r>
  <r>
    <x v="2"/>
    <x v="35"/>
    <s v="MBA"/>
    <s v="Matictic"/>
    <n v="12025"/>
    <n v="13553"/>
    <s v="CONDUCTED TECHNICAL ASSISTANCE"/>
    <n v="2024"/>
    <s v="February 13, 2024"/>
    <x v="0"/>
    <s v="James Wilson T. Pena"/>
    <s v="Rod Ross S. De Jesus"/>
    <s v="Diozelle L. Cabalar"/>
    <m/>
    <m/>
    <m/>
    <m/>
    <m/>
    <s v=""/>
    <s v=""/>
    <s v=""/>
    <s v=""/>
    <m/>
    <m/>
    <m/>
    <m/>
    <m/>
  </r>
  <r>
    <x v="2"/>
    <x v="35"/>
    <s v="MBA"/>
    <s v="Minuyan"/>
    <n v="10038"/>
    <n v="11186"/>
    <s v="CONDUCTED TECHNICAL ASSISTANCE"/>
    <n v="2024"/>
    <s v="February 13, 2024"/>
    <x v="0"/>
    <s v="James Wilson T. Pena"/>
    <s v="Rod Ross S. De Jesus"/>
    <s v="Diozelle L. Cabalar"/>
    <m/>
    <m/>
    <m/>
    <m/>
    <m/>
    <s v=""/>
    <s v=""/>
    <s v=""/>
    <s v=""/>
    <m/>
    <m/>
    <m/>
    <m/>
    <m/>
  </r>
  <r>
    <x v="2"/>
    <x v="35"/>
    <s v="MBA"/>
    <s v="Partida"/>
    <n v="5422"/>
    <n v="6827"/>
    <s v="NO TECHNICAL ASSISTANCE CONDUCTED"/>
    <m/>
    <m/>
    <x v="0"/>
    <s v="James Wilson T. Pena"/>
    <s v="Rod Ross S. De Jesus"/>
    <s v="Diozelle L. Cabalar"/>
    <m/>
    <m/>
    <m/>
    <m/>
    <m/>
    <s v=""/>
    <s v=""/>
    <s v=""/>
    <s v=""/>
    <m/>
    <m/>
    <m/>
    <m/>
    <m/>
  </r>
  <r>
    <x v="2"/>
    <x v="35"/>
    <s v="MBA"/>
    <s v="Pinagtulayan"/>
    <n v="1996"/>
    <n v="1799"/>
    <s v="NO TECHNICAL ASSISTANCE CONDUCTED"/>
    <m/>
    <m/>
    <x v="0"/>
    <s v="James Wilson T. Pena"/>
    <s v="Rod Ross S. De Jesus"/>
    <s v="Diozelle L. Cabalar"/>
    <m/>
    <m/>
    <m/>
    <m/>
    <m/>
    <s v=""/>
    <s v=""/>
    <s v=""/>
    <s v=""/>
    <m/>
    <m/>
    <m/>
    <m/>
    <m/>
  </r>
  <r>
    <x v="2"/>
    <x v="35"/>
    <s v="MBA"/>
    <s v="Poblacion"/>
    <n v="16262"/>
    <n v="15265"/>
    <s v="NO TECHNICAL ASSISTANCE CONDUCTED"/>
    <m/>
    <m/>
    <x v="0"/>
    <s v="James Wilson T. Pena"/>
    <s v="Rod Ross S. De Jesus"/>
    <s v="Diozelle L. Cabalar"/>
    <m/>
    <m/>
    <m/>
    <m/>
    <m/>
    <s v=""/>
    <s v=""/>
    <s v=""/>
    <s v=""/>
    <m/>
    <m/>
    <m/>
    <m/>
    <m/>
  </r>
  <r>
    <x v="2"/>
    <x v="35"/>
    <s v="MBA"/>
    <s v="San Lorenzo"/>
    <n v="1990"/>
    <n v="2402"/>
    <s v="NO TECHNICAL ASSISTANCE CONDUCTED"/>
    <m/>
    <m/>
    <x v="0"/>
    <s v="James Wilson T. Pena"/>
    <s v="Rod Ross S. De Jesus"/>
    <s v="Diozelle L. Cabalar"/>
    <m/>
    <m/>
    <m/>
    <m/>
    <m/>
    <s v=""/>
    <s v=""/>
    <s v=""/>
    <s v=""/>
    <m/>
    <m/>
    <m/>
    <m/>
    <m/>
  </r>
  <r>
    <x v="2"/>
    <x v="35"/>
    <s v="MBA"/>
    <s v="San Mateo"/>
    <n v="8630"/>
    <n v="12145"/>
    <s v="NO TECHNICAL ASSISTANCE CONDUCTED"/>
    <m/>
    <m/>
    <x v="0"/>
    <s v="James Wilson T. Pena"/>
    <s v="Rod Ross S. De Jesus"/>
    <s v="Diozelle L. Cabalar"/>
    <m/>
    <m/>
    <m/>
    <m/>
    <m/>
    <s v=""/>
    <s v=""/>
    <s v=""/>
    <s v=""/>
    <m/>
    <m/>
    <m/>
    <m/>
    <m/>
  </r>
  <r>
    <x v="2"/>
    <x v="35"/>
    <s v="MBA"/>
    <s v="Tigbe"/>
    <n v="16058"/>
    <n v="23678"/>
    <s v="CONDUCTED TECHNICAL ASSISTANCE"/>
    <n v="2024"/>
    <d v="2024-05-10T00:00:00"/>
    <x v="0"/>
    <s v="James Wilson T. Pena"/>
    <s v="Rod Ross S. De Jesus"/>
    <s v="Diozelle L. Cabalar"/>
    <m/>
    <m/>
    <m/>
    <m/>
    <m/>
    <s v=""/>
    <s v=""/>
    <s v=""/>
    <s v=""/>
    <m/>
    <m/>
    <m/>
    <s v="Technical Assistance"/>
    <m/>
  </r>
  <r>
    <x v="2"/>
    <x v="36"/>
    <s v="MBA"/>
    <s v="Binuangan"/>
    <n v="5218"/>
    <n v="5045"/>
    <s v="NO TECHNICAL ASSISTANCE CONDUCTED"/>
    <m/>
    <m/>
    <x v="0"/>
    <s v="James Wilson T. Pena"/>
    <s v="Rod Ross S. De Jesus"/>
    <s v="Diozelle L. Cabalar"/>
    <m/>
    <m/>
    <m/>
    <m/>
    <m/>
    <s v=""/>
    <s v=""/>
    <s v=""/>
    <s v=""/>
    <m/>
    <m/>
    <m/>
    <m/>
    <m/>
  </r>
  <r>
    <x v="2"/>
    <x v="36"/>
    <s v="MBA"/>
    <s v="Catanghalan"/>
    <n v="3164"/>
    <n v="3238"/>
    <s v="CONDUCTED TECHNICAL ASSISTANCE"/>
    <n v="2025"/>
    <d v="2025-03-07T00:00:00"/>
    <x v="1"/>
    <s v="James Wilson T. Pena"/>
    <s v="Rod Ross S. De Jesus"/>
    <s v="Diozelle L. Cabalar"/>
    <s v="R3-2025-008881"/>
    <d v="2025-03-17T00:00:00"/>
    <d v="2025-03-17T00:00:00"/>
    <d v="2025-03-18T00:00:00"/>
    <d v="2025-03-18T00:00:00"/>
    <n v="6"/>
    <n v="1"/>
    <n v="1"/>
    <n v="1"/>
    <s v="Received by Planning"/>
    <s v="MRS"/>
    <s v="OPERATIONAL"/>
    <s v="Technical Assistance"/>
    <m/>
  </r>
  <r>
    <x v="2"/>
    <x v="36"/>
    <s v="MBA"/>
    <s v="Hulo"/>
    <n v="2503"/>
    <n v="2465"/>
    <s v="NO TECHNICAL ASSISTANCE CONDUCTED"/>
    <m/>
    <m/>
    <x v="0"/>
    <s v="James Wilson T. Pena"/>
    <s v="Rod Ross S. De Jesus"/>
    <s v="Diozelle L. Cabalar"/>
    <m/>
    <m/>
    <m/>
    <m/>
    <m/>
    <s v=""/>
    <s v=""/>
    <s v=""/>
    <s v=""/>
    <m/>
    <m/>
    <m/>
    <m/>
    <m/>
  </r>
  <r>
    <x v="2"/>
    <x v="36"/>
    <s v="MBA"/>
    <s v="Lawa"/>
    <n v="8452"/>
    <n v="8885"/>
    <s v="NO TECHNICAL ASSISTANCE CONDUCTED"/>
    <m/>
    <m/>
    <x v="0"/>
    <s v="James Wilson T. Pena"/>
    <s v="Rod Ross S. De Jesus"/>
    <s v="Diozelle L. Cabalar"/>
    <m/>
    <m/>
    <m/>
    <m/>
    <m/>
    <s v=""/>
    <s v=""/>
    <s v=""/>
    <s v=""/>
    <m/>
    <m/>
    <m/>
    <m/>
    <m/>
  </r>
  <r>
    <x v="2"/>
    <x v="36"/>
    <s v="MBA"/>
    <s v="Paco"/>
    <n v="6866"/>
    <n v="7078"/>
    <s v="CONDUCTED TECHNICAL ASSISTANCE"/>
    <n v="2024"/>
    <d v="2024-06-07T00:00:00"/>
    <x v="0"/>
    <m/>
    <s v="Rod Ross S. De Jesus"/>
    <s v="Diozelle L. Cabalar"/>
    <m/>
    <m/>
    <m/>
    <m/>
    <m/>
    <s v=""/>
    <s v=""/>
    <s v=""/>
    <s v=""/>
    <m/>
    <m/>
    <m/>
    <s v="Technical Assistance"/>
    <m/>
  </r>
  <r>
    <x v="2"/>
    <x v="36"/>
    <s v="MBA"/>
    <s v="Pag-asa (Pob.)"/>
    <n v="3458"/>
    <n v="3448"/>
    <s v="NO TECHNICAL ASSISTANCE CONDUCTED"/>
    <m/>
    <m/>
    <x v="0"/>
    <m/>
    <s v="Rod Ross S. De Jesus"/>
    <s v="Diozelle L. Cabalar"/>
    <m/>
    <m/>
    <m/>
    <m/>
    <m/>
    <s v=""/>
    <s v=""/>
    <s v=""/>
    <s v=""/>
    <m/>
    <m/>
    <m/>
    <m/>
    <m/>
  </r>
  <r>
    <x v="2"/>
    <x v="36"/>
    <s v="MBA"/>
    <s v="Paliwas"/>
    <n v="6113"/>
    <n v="5500"/>
    <s v="NO TECHNICAL ASSISTANCE CONDUCTED"/>
    <m/>
    <m/>
    <x v="0"/>
    <m/>
    <s v="Rod Ross S. De Jesus"/>
    <s v="Diozelle L. Cabalar"/>
    <m/>
    <m/>
    <m/>
    <m/>
    <m/>
    <s v=""/>
    <s v=""/>
    <s v=""/>
    <s v=""/>
    <m/>
    <m/>
    <m/>
    <m/>
    <m/>
  </r>
  <r>
    <x v="2"/>
    <x v="36"/>
    <s v="MBA"/>
    <s v="Panghulo"/>
    <n v="12763"/>
    <n v="13122"/>
    <s v="NO TECHNICAL ASSISTANCE CONDUCTED"/>
    <m/>
    <m/>
    <x v="0"/>
    <m/>
    <s v="Rod Ross S. De Jesus"/>
    <s v="Diozelle L. Cabalar"/>
    <m/>
    <m/>
    <m/>
    <m/>
    <m/>
    <s v=""/>
    <s v=""/>
    <s v=""/>
    <s v=""/>
    <m/>
    <m/>
    <m/>
    <m/>
    <m/>
  </r>
  <r>
    <x v="2"/>
    <x v="36"/>
    <s v="MBA"/>
    <s v="Salambao"/>
    <n v="1575"/>
    <n v="1575"/>
    <s v="NO TECHNICAL ASSISTANCE CONDUCTED"/>
    <m/>
    <m/>
    <x v="0"/>
    <m/>
    <s v="Rod Ross S. De Jesus"/>
    <s v="Diozelle L. Cabalar"/>
    <m/>
    <m/>
    <m/>
    <m/>
    <m/>
    <s v=""/>
    <s v=""/>
    <s v=""/>
    <s v=""/>
    <m/>
    <m/>
    <m/>
    <m/>
    <m/>
  </r>
  <r>
    <x v="2"/>
    <x v="36"/>
    <s v="MBA"/>
    <s v="San Pascual"/>
    <n v="7228"/>
    <n v="7769"/>
    <s v="NO TECHNICAL ASSISTANCE CONDUCTED"/>
    <m/>
    <m/>
    <x v="0"/>
    <m/>
    <s v="Rod Ross S. De Jesus"/>
    <s v="Diozelle L. Cabalar"/>
    <m/>
    <m/>
    <m/>
    <m/>
    <m/>
    <s v=""/>
    <s v=""/>
    <s v=""/>
    <s v=""/>
    <m/>
    <m/>
    <m/>
    <m/>
    <m/>
  </r>
  <r>
    <x v="2"/>
    <x v="36"/>
    <s v="MBA"/>
    <s v="Tawiran"/>
    <n v="1857"/>
    <n v="1853"/>
    <s v="CONDUCTED TECHNICAL ASSISTANCE"/>
    <n v="2024"/>
    <d v="2024-06-07T00:00:00"/>
    <x v="0"/>
    <m/>
    <s v="Rod Ross S. De Jesus"/>
    <s v="Diozelle L. Cabalar"/>
    <m/>
    <m/>
    <m/>
    <m/>
    <m/>
    <s v=""/>
    <s v=""/>
    <s v=""/>
    <s v=""/>
    <m/>
    <m/>
    <m/>
    <m/>
    <m/>
  </r>
  <r>
    <x v="2"/>
    <x v="37"/>
    <s v="MBA"/>
    <s v="Bagbaguin"/>
    <n v="2327"/>
    <n v="2445"/>
    <s v="CONDUCTED TECHNICAL ASSISTANCE"/>
    <n v="2025"/>
    <d v="2025-04-03T00:00:00"/>
    <x v="4"/>
    <s v="Ronaldo P. Roque, Jr."/>
    <s v="Rod Ross S. De Jesus"/>
    <s v="Diozelle L. Cabalar"/>
    <s v="R3-2025-011419"/>
    <d v="2025-04-05T00:00:00"/>
    <m/>
    <d v="2025-04-10T00:00:00"/>
    <d v="2025-04-14T00:00:00"/>
    <n v="1"/>
    <s v=""/>
    <n v="3"/>
    <n v="2"/>
    <s v="Received by Planning"/>
    <s v="MRF"/>
    <s v="OPERATIONAL"/>
    <s v="Technical Assistance"/>
    <m/>
  </r>
  <r>
    <x v="2"/>
    <x v="37"/>
    <s v="MBA"/>
    <s v="Bagong Barrio"/>
    <n v="10857"/>
    <n v="15340"/>
    <s v="CONDUCTED TECHNICAL ASSISTANCE"/>
    <n v="2024"/>
    <s v="February 21, 2024"/>
    <x v="0"/>
    <s v="Ronaldo P. Roque, Jr."/>
    <s v="Rod Ross S. De Jesus"/>
    <s v="Diozelle L. Cabalar"/>
    <m/>
    <m/>
    <m/>
    <m/>
    <m/>
    <s v=""/>
    <s v=""/>
    <s v=""/>
    <s v=""/>
    <m/>
    <m/>
    <m/>
    <m/>
    <m/>
  </r>
  <r>
    <x v="2"/>
    <x v="37"/>
    <s v="MBA"/>
    <s v="Baka-bakahan"/>
    <n v="848"/>
    <n v="759"/>
    <s v="NO TECHNICAL ASSISTANCE CONDUCTED"/>
    <m/>
    <m/>
    <x v="0"/>
    <s v="Ronaldo P. Roque, Jr."/>
    <s v="Rod Ross S. De Jesus"/>
    <s v="Diozelle L. Cabalar"/>
    <m/>
    <m/>
    <m/>
    <m/>
    <m/>
    <s v=""/>
    <s v=""/>
    <s v=""/>
    <s v=""/>
    <m/>
    <m/>
    <m/>
    <m/>
    <m/>
  </r>
  <r>
    <x v="2"/>
    <x v="37"/>
    <s v="MBA"/>
    <s v="Bunsuran I"/>
    <n v="4607"/>
    <n v="5326"/>
    <s v="CONDUCTED TECHNICAL ASSISTANCE"/>
    <n v="2025"/>
    <d v="2025-06-11T00:00:00"/>
    <x v="10"/>
    <s v="Ronaldo P. Roque, Jr."/>
    <m/>
    <s v="Diozelle L. Cabalar"/>
    <s v="R3-2025-019628"/>
    <d v="2025-06-14T00:00:00"/>
    <m/>
    <d v="2025-06-17T00:00:00"/>
    <d v="2025-06-18T00:00:00"/>
    <n v="2"/>
    <s v=""/>
    <n v="1"/>
    <n v="1"/>
    <s v="Received by Planning"/>
    <s v="MRF"/>
    <s v="OPERATIONAL"/>
    <s v="Technical Assistance"/>
    <m/>
  </r>
  <r>
    <x v="2"/>
    <x v="37"/>
    <s v="MBA"/>
    <s v="Bunsuran II"/>
    <n v="3404"/>
    <n v="3651"/>
    <s v="CONDUCTED TECHNICAL ASSISTANCE"/>
    <n v="2024"/>
    <d v="2024-09-02T00:00:00"/>
    <x v="0"/>
    <s v="Ronaldo P. Roque, Jr."/>
    <s v="Rod Ross S. De Jesus"/>
    <s v="Diozelle L. Cabalar"/>
    <m/>
    <m/>
    <m/>
    <m/>
    <m/>
    <s v=""/>
    <s v=""/>
    <s v=""/>
    <s v=""/>
    <m/>
    <s v="MRF"/>
    <s v="OPERATIONAL"/>
    <s v="Technical Assistance"/>
    <m/>
  </r>
  <r>
    <x v="2"/>
    <x v="37"/>
    <s v="MBA"/>
    <s v="Bunsuran III"/>
    <n v="2416"/>
    <n v="2451"/>
    <s v="CONDUCTED TECHNICAL ASSISTANCE"/>
    <n v="2025"/>
    <d v="2025-06-11T00:00:00"/>
    <x v="10"/>
    <s v="Ronaldo P. Roque, Jr."/>
    <s v="Rod Ross S. De Jesus"/>
    <s v="Diozelle L. Cabalar"/>
    <s v="R3-2025-019629"/>
    <d v="2025-06-14T00:00:00"/>
    <m/>
    <d v="2025-06-17T00:00:00"/>
    <d v="2025-06-18T00:00:00"/>
    <n v="2"/>
    <s v=""/>
    <n v="1"/>
    <n v="1"/>
    <s v="Received by Planning"/>
    <s v="MRF"/>
    <s v="OPERATIONAL"/>
    <s v="Technical Assistance"/>
    <m/>
  </r>
  <r>
    <x v="2"/>
    <x v="37"/>
    <s v="MBA"/>
    <s v="Cacarong Bata"/>
    <n v="1434"/>
    <n v="14638"/>
    <s v="CONDUCTED TECHNICAL ASSISTANCE"/>
    <n v="2025"/>
    <d v="2025-06-11T00:00:00"/>
    <x v="10"/>
    <s v="Ronaldo P. Roque, Jr."/>
    <s v="Jasmin Marie N. Siapco"/>
    <s v="Diozelle L. Cabalar"/>
    <s v="R3-2025-019630"/>
    <d v="2025-06-14T00:00:00"/>
    <d v="2025-06-15T00:00:00"/>
    <d v="2025-06-17T00:00:00"/>
    <d v="2025-06-18T00:00:00"/>
    <n v="2"/>
    <n v="1"/>
    <n v="1"/>
    <n v="1"/>
    <s v="Received by Planning"/>
    <s v="MRF"/>
    <s v="OPERATIONAL"/>
    <s v="Technical Assistance"/>
    <m/>
  </r>
  <r>
    <x v="2"/>
    <x v="37"/>
    <s v="MBA"/>
    <s v="Cacarong Matanda"/>
    <n v="6193"/>
    <n v="12494"/>
    <s v="CONDUCTED TECHNICAL ASSISTANCE"/>
    <n v="2025"/>
    <d v="2025-02-07T00:00:00"/>
    <x v="3"/>
    <s v="Ronaldo P. Roque, Jr."/>
    <s v="Rod Ross S. De Jesus"/>
    <s v="Diozelle L. Cabalar"/>
    <s v="R3-2025-004439"/>
    <d v="2025-02-09T00:00:00"/>
    <d v="2025-02-10T00:00:00"/>
    <d v="2025-02-11T00:00:00"/>
    <d v="2025-02-13T00:00:00"/>
    <n v="1"/>
    <n v="1"/>
    <n v="1"/>
    <n v="2"/>
    <s v="Received by Planning"/>
    <s v="MRF"/>
    <s v="OPERATIONAL"/>
    <s v="Technical Assistance"/>
    <m/>
  </r>
  <r>
    <x v="2"/>
    <x v="37"/>
    <s v="MBA"/>
    <s v="Cupang"/>
    <n v="2719"/>
    <n v="2965"/>
    <s v="NO TECHNICAL ASSISTANCE CONDUCTED"/>
    <m/>
    <m/>
    <x v="0"/>
    <s v="Ronaldo P. Roque, Jr."/>
    <s v="Rod Ross S. De Jesus"/>
    <s v="Diozelle L. Cabalar"/>
    <m/>
    <m/>
    <m/>
    <m/>
    <m/>
    <s v=""/>
    <s v=""/>
    <s v=""/>
    <s v=""/>
    <m/>
    <m/>
    <m/>
    <m/>
    <m/>
  </r>
  <r>
    <x v="2"/>
    <x v="37"/>
    <s v="MBA"/>
    <s v="Malibong Bata"/>
    <n v="2387"/>
    <n v="2578"/>
    <s v="NO TECHNICAL ASSISTANCE CONDUCTED"/>
    <m/>
    <m/>
    <x v="0"/>
    <s v="Ronaldo P. Roque, Jr."/>
    <s v="Rod Ross S. De Jesus"/>
    <s v="Diozelle L. Cabalar"/>
    <m/>
    <m/>
    <m/>
    <m/>
    <m/>
    <s v=""/>
    <s v=""/>
    <s v=""/>
    <s v=""/>
    <m/>
    <m/>
    <m/>
    <m/>
    <m/>
  </r>
  <r>
    <x v="2"/>
    <x v="37"/>
    <s v="MBA"/>
    <s v="Malibong Matanda"/>
    <n v="6296"/>
    <n v="6813"/>
    <s v="NO TECHNICAL ASSISTANCE CONDUCTED"/>
    <m/>
    <m/>
    <x v="0"/>
    <s v="Ronaldo P. Roque, Jr."/>
    <s v="Rod Ross S. De Jesus"/>
    <s v="Diozelle L. Cabalar"/>
    <m/>
    <m/>
    <m/>
    <m/>
    <m/>
    <s v=""/>
    <s v=""/>
    <s v=""/>
    <s v=""/>
    <m/>
    <m/>
    <m/>
    <m/>
    <m/>
  </r>
  <r>
    <x v="2"/>
    <x v="37"/>
    <s v="MBA"/>
    <s v="Manatal"/>
    <n v="3047"/>
    <n v="3153"/>
    <s v="CONDUCTED TECHNICAL ASSISTANCE"/>
    <n v="2024"/>
    <d v="2024-09-05T00:00:00"/>
    <x v="0"/>
    <s v="Ronaldo P. Roque, Jr."/>
    <s v="Rod Ross S. De Jesus"/>
    <s v="Diozelle L. Cabalar"/>
    <m/>
    <m/>
    <m/>
    <m/>
    <m/>
    <s v=""/>
    <s v=""/>
    <s v=""/>
    <s v=""/>
    <m/>
    <s v="MRF"/>
    <s v="OPERATIONAL"/>
    <s v="Technical Assistance"/>
    <m/>
  </r>
  <r>
    <x v="2"/>
    <x v="37"/>
    <s v="MBA"/>
    <s v="Mapulang Lupa"/>
    <n v="8775"/>
    <n v="30233"/>
    <s v="CONDUCTED TECHNICAL ASSISTANCE"/>
    <n v="2025"/>
    <d v="2025-02-07T00:00:00"/>
    <x v="3"/>
    <s v="Ronaldo P. Roque, Jr."/>
    <s v="Rod Ross S. De Jesus"/>
    <s v="Diozelle L. Cabalar"/>
    <s v="R3-2025-004437"/>
    <d v="2025-02-09T00:00:00"/>
    <d v="2025-02-10T00:00:00"/>
    <d v="2025-02-11T00:00:00"/>
    <d v="2025-02-13T00:00:00"/>
    <n v="1"/>
    <n v="1"/>
    <n v="1"/>
    <n v="2"/>
    <s v="Received by Planning"/>
    <s v="MRF"/>
    <s v="OPERATIONAL"/>
    <s v="Technical Assistance"/>
    <m/>
  </r>
  <r>
    <x v="2"/>
    <x v="37"/>
    <s v="MBA"/>
    <s v="Masagana"/>
    <n v="2496"/>
    <n v="2938"/>
    <s v="CONDUCTED TECHNICAL ASSISTANCE"/>
    <n v="2025"/>
    <d v="2025-04-03T00:00:00"/>
    <x v="4"/>
    <s v="Ronaldo P. Roque, Jr."/>
    <s v="Rod Ross S. De Jesus"/>
    <s v="Diozelle L. Cabalar"/>
    <s v="R3-2025-011418"/>
    <d v="2025-04-05T00:00:00"/>
    <m/>
    <d v="2025-04-10T00:00:00"/>
    <d v="2025-04-14T00:00:00"/>
    <n v="1"/>
    <s v=""/>
    <n v="3"/>
    <n v="2"/>
    <s v="Received by Planning"/>
    <s v="MRF"/>
    <s v="OPERATIONAL"/>
    <s v="Technical Assistance"/>
    <m/>
  </r>
  <r>
    <x v="2"/>
    <x v="37"/>
    <s v="MBA"/>
    <s v="Masuso"/>
    <n v="3240"/>
    <n v="8312"/>
    <s v="NO TECHNICAL ASSISTANCE CONDUCTED"/>
    <m/>
    <m/>
    <x v="0"/>
    <s v="Ronaldo P. Roque, Jr."/>
    <s v="Rod Ross S. De Jesus"/>
    <s v="Diozelle L. Cabalar"/>
    <m/>
    <m/>
    <m/>
    <m/>
    <m/>
    <s v=""/>
    <s v=""/>
    <s v=""/>
    <s v=""/>
    <m/>
    <m/>
    <m/>
    <m/>
    <m/>
  </r>
  <r>
    <x v="2"/>
    <x v="37"/>
    <s v="MBA"/>
    <s v="Pinagkuartelan"/>
    <n v="4013"/>
    <n v="6899"/>
    <s v="NO TECHNICAL ASSISTANCE CONDUCTED"/>
    <m/>
    <m/>
    <x v="0"/>
    <s v="Ronaldo P. Roque, Jr."/>
    <s v="Rod Ross S. De Jesus"/>
    <s v="Diozelle L. Cabalar"/>
    <m/>
    <m/>
    <m/>
    <m/>
    <m/>
    <s v=""/>
    <s v=""/>
    <s v=""/>
    <s v=""/>
    <m/>
    <m/>
    <m/>
    <m/>
    <m/>
  </r>
  <r>
    <x v="2"/>
    <x v="37"/>
    <s v="MBA"/>
    <s v="Poblacion"/>
    <n v="7764"/>
    <n v="8679"/>
    <s v="CONDUCTED TECHNICAL ASSISTANCE"/>
    <n v="2024"/>
    <s v="February 21, 2024"/>
    <x v="0"/>
    <s v="Ronaldo P. Roque, Jr."/>
    <s v="Rod Ross S. De Jesus"/>
    <s v="Diozelle L. Cabalar"/>
    <m/>
    <m/>
    <m/>
    <m/>
    <m/>
    <s v=""/>
    <s v=""/>
    <s v=""/>
    <s v=""/>
    <m/>
    <m/>
    <m/>
    <m/>
    <m/>
  </r>
  <r>
    <x v="2"/>
    <x v="37"/>
    <s v="MBA"/>
    <s v="Real de Cacarong"/>
    <n v="3421"/>
    <n v="4660"/>
    <s v="NO TECHNICAL ASSISTANCE CONDUCTED"/>
    <m/>
    <m/>
    <x v="0"/>
    <s v="Ronaldo P. Roque, Jr."/>
    <s v="Rod Ross S. De Jesus"/>
    <s v="Diozelle L. Cabalar"/>
    <m/>
    <m/>
    <m/>
    <m/>
    <m/>
    <s v=""/>
    <s v=""/>
    <s v=""/>
    <s v=""/>
    <m/>
    <m/>
    <m/>
    <m/>
    <m/>
  </r>
  <r>
    <x v="2"/>
    <x v="37"/>
    <s v="MBA"/>
    <s v="San Roque"/>
    <n v="2676"/>
    <n v="2894"/>
    <s v="NO TECHNICAL ASSISTANCE CONDUCTED"/>
    <m/>
    <m/>
    <x v="0"/>
    <s v="Ronaldo P. Roque, Jr."/>
    <s v="Rod Ross S. De Jesus"/>
    <s v="Diozelle L. Cabalar"/>
    <m/>
    <m/>
    <m/>
    <m/>
    <m/>
    <s v=""/>
    <s v=""/>
    <s v=""/>
    <s v=""/>
    <m/>
    <m/>
    <m/>
    <m/>
    <m/>
  </r>
  <r>
    <x v="2"/>
    <x v="37"/>
    <s v="MBA"/>
    <s v="Santo Niño"/>
    <n v="1601"/>
    <n v="1749"/>
    <s v="NO TECHNICAL ASSISTANCE CONDUCTED"/>
    <m/>
    <m/>
    <x v="0"/>
    <s v="Ronaldo P. Roque, Jr."/>
    <s v="Rod Ross S. De Jesus"/>
    <s v="Diozelle L. Cabalar"/>
    <m/>
    <m/>
    <m/>
    <m/>
    <m/>
    <s v=""/>
    <s v=""/>
    <s v=""/>
    <s v=""/>
    <m/>
    <m/>
    <m/>
    <m/>
    <m/>
  </r>
  <r>
    <x v="2"/>
    <x v="37"/>
    <s v="MBA"/>
    <s v="Siling Bata"/>
    <n v="4875"/>
    <n v="12578"/>
    <s v="NO TECHNICAL ASSISTANCE CONDUCTED"/>
    <m/>
    <m/>
    <x v="0"/>
    <s v="Ronaldo P. Roque, Jr."/>
    <s v="Rod Ross S. De Jesus"/>
    <s v="Diozelle L. Cabalar"/>
    <m/>
    <m/>
    <m/>
    <m/>
    <m/>
    <s v=""/>
    <s v=""/>
    <s v=""/>
    <s v=""/>
    <m/>
    <m/>
    <m/>
    <m/>
    <m/>
  </r>
  <r>
    <x v="2"/>
    <x v="37"/>
    <s v="MBA"/>
    <s v="Siling Matanda"/>
    <n v="3679"/>
    <n v="3560"/>
    <s v="NO TECHNICAL ASSISTANCE CONDUCTED"/>
    <m/>
    <m/>
    <x v="0"/>
    <s v="Ronaldo P. Roque, Jr."/>
    <s v="Rod Ross S. De Jesus"/>
    <s v="Diozelle L. Cabalar"/>
    <m/>
    <m/>
    <m/>
    <m/>
    <m/>
    <s v=""/>
    <s v=""/>
    <s v=""/>
    <s v=""/>
    <m/>
    <m/>
    <m/>
    <m/>
    <m/>
  </r>
  <r>
    <x v="2"/>
    <x v="38"/>
    <s v="MBA"/>
    <s v="Pinalagdan"/>
    <n v="3163"/>
    <n v="3253"/>
    <s v="CONDUCTED TECHNICAL ASSISTANCE"/>
    <n v="2025"/>
    <d v="2025-08-06T00:00:00"/>
    <x v="13"/>
    <s v="Ronaldo P. Roque, Jr."/>
    <s v="Rod Ross S. De Jesus"/>
    <s v="Diozelle L. Cabalar"/>
    <s v="R3-2025-026817"/>
    <d v="2025-08-11T00:00:00"/>
    <m/>
    <d v="2025-09-04T00:00:00"/>
    <d v="2025-09-09T00:00:00"/>
    <n v="3"/>
    <s v=""/>
    <n v="18"/>
    <n v="3"/>
    <s v="Received by Planning"/>
    <s v="MRF"/>
    <s v="NON-OPERATIONAL"/>
    <s v="Technical Assistance"/>
    <m/>
  </r>
  <r>
    <x v="2"/>
    <x v="38"/>
    <s v="MBA"/>
    <s v="Binakod"/>
    <n v="1582"/>
    <n v="1886"/>
    <s v="NO TECHNICAL ASSISTANCE CONDUCTED"/>
    <m/>
    <m/>
    <x v="0"/>
    <m/>
    <s v="Rod Ross S. De Jesus"/>
    <s v="Diozelle L. Cabalar"/>
    <m/>
    <m/>
    <m/>
    <m/>
    <m/>
    <s v=""/>
    <s v=""/>
    <s v=""/>
    <s v=""/>
    <m/>
    <m/>
    <m/>
    <m/>
    <m/>
  </r>
  <r>
    <x v="2"/>
    <x v="38"/>
    <s v="MBA"/>
    <s v="Kapitangan"/>
    <n v="4262"/>
    <n v="4708"/>
    <s v="CONDUCTED TECHNICAL ASSISTANCE"/>
    <n v="2025"/>
    <d v="2025-04-08T00:00:00"/>
    <x v="4"/>
    <s v="Ronaldo P. Roque, Jr."/>
    <s v="Rod Ross S. De Jesus"/>
    <s v="Diozelle L. Cabalar"/>
    <s v="R3-2025-012415"/>
    <d v="2025-04-11T00:00:00"/>
    <m/>
    <d v="2025-04-14T00:00:00"/>
    <d v="2025-04-15T00:00:00"/>
    <n v="3"/>
    <s v=""/>
    <n v="1"/>
    <n v="1"/>
    <s v="Received by Planning"/>
    <s v="MRF"/>
    <s v="OPERATIONAL"/>
    <s v="Technical Assistance"/>
    <m/>
  </r>
  <r>
    <x v="2"/>
    <x v="38"/>
    <s v="MBA"/>
    <s v="Masukol"/>
    <n v="1545"/>
    <n v="1389"/>
    <s v="NO TECHNICAL ASSISTANCE CONDUCTED"/>
    <m/>
    <m/>
    <x v="0"/>
    <s v="Ronaldo P. Roque, Jr."/>
    <s v="Rod Ross S. De Jesus"/>
    <s v="Diozelle L. Cabalar"/>
    <m/>
    <m/>
    <m/>
    <m/>
    <m/>
    <s v=""/>
    <s v=""/>
    <s v=""/>
    <s v=""/>
    <m/>
    <m/>
    <m/>
    <m/>
    <m/>
  </r>
  <r>
    <x v="2"/>
    <x v="38"/>
    <s v="MBA"/>
    <s v="San Roque"/>
    <n v="4847"/>
    <n v="4810"/>
    <s v="CONDUCTED TECHNICAL ASSISTANCE"/>
    <n v="2025"/>
    <d v="2025-08-06T00:00:00"/>
    <x v="13"/>
    <s v="Ronaldo P. Roque, Jr."/>
    <s v="Rod Ross S. De Jesus"/>
    <s v="Diozelle L. Cabalar"/>
    <s v="R3-2025-026816"/>
    <d v="2025-08-11T00:00:00"/>
    <m/>
    <d v="2025-09-04T00:00:00"/>
    <d v="2025-09-09T00:00:00"/>
    <n v="3"/>
    <s v=""/>
    <n v="18"/>
    <n v="3"/>
    <s v="Received by Planning"/>
    <s v="MRF"/>
    <s v="OPERATIONAL"/>
    <s v="Technical Assistance"/>
    <m/>
  </r>
  <r>
    <x v="2"/>
    <x v="38"/>
    <s v="MBA"/>
    <s v="Poblacion"/>
    <n v="1194"/>
    <n v="1462"/>
    <s v="CONDUCTED TECHNICAL ASSISTANCE"/>
    <n v="2024"/>
    <d v="2024-06-07T00:00:00"/>
    <x v="0"/>
    <s v="Ronaldo P. Roque, Jr."/>
    <s v="Rod Ross S. De Jesus"/>
    <s v="Diozelle L. Cabalar"/>
    <m/>
    <m/>
    <m/>
    <m/>
    <m/>
    <s v=""/>
    <s v=""/>
    <s v=""/>
    <s v=""/>
    <m/>
    <m/>
    <m/>
    <s v="Technical Assistance"/>
    <m/>
  </r>
  <r>
    <x v="2"/>
    <x v="38"/>
    <s v="MBA"/>
    <s v="Malumot"/>
    <n v="1439"/>
    <n v="1423"/>
    <s v="NO TECHNICAL ASSISTANCE CONDUCTED"/>
    <m/>
    <m/>
    <x v="0"/>
    <s v="Ronaldo P. Roque, Jr."/>
    <s v="Rod Ross S. De Jesus"/>
    <s v="Diozelle L. Cabalar"/>
    <m/>
    <m/>
    <m/>
    <m/>
    <m/>
    <s v=""/>
    <s v=""/>
    <s v=""/>
    <s v=""/>
    <m/>
    <m/>
    <m/>
    <m/>
    <m/>
  </r>
  <r>
    <x v="2"/>
    <x v="38"/>
    <s v="MBA"/>
    <s v="San Isidro I"/>
    <n v="3641"/>
    <n v="3427"/>
    <s v="CONDUCTED TECHNICAL ASSISTANCE"/>
    <n v="2025"/>
    <d v="2025-06-13T00:00:00"/>
    <x v="10"/>
    <s v="Ronaldo P. Roque, Jr."/>
    <s v="Rod Ross S. De Jesus"/>
    <s v="Diozelle L. Cabalar"/>
    <s v="R3-2025-019643"/>
    <d v="2025-06-14T00:00:00"/>
    <d v="2025-06-15T00:00:00"/>
    <d v="2025-06-15T00:00:00"/>
    <d v="2025-06-18T00:00:00"/>
    <n v="1"/>
    <n v="1"/>
    <n v="1"/>
    <n v="2"/>
    <s v="Received by Planning"/>
    <s v="MRF"/>
    <s v="UNDER CONSTRUCTION"/>
    <s v="Technical Assistance"/>
    <m/>
  </r>
  <r>
    <x v="2"/>
    <x v="38"/>
    <s v="MBA"/>
    <s v="San Isidro II"/>
    <n v="11177"/>
    <n v="12011"/>
    <s v="CONDUCTED TECHNICAL ASSISTANCE"/>
    <n v="2024"/>
    <d v="2024-07-11T00:00:00"/>
    <x v="0"/>
    <s v="Ronaldo P. Roque, Jr."/>
    <s v="Rod Ross S. De Jesus"/>
    <s v="Diozelle L. Cabalar"/>
    <m/>
    <m/>
    <m/>
    <m/>
    <m/>
    <s v=""/>
    <s v=""/>
    <s v=""/>
    <s v=""/>
    <m/>
    <s v="MRF"/>
    <s v="OPERATIONAL"/>
    <s v="Technical Assistance"/>
    <m/>
  </r>
  <r>
    <x v="2"/>
    <x v="38"/>
    <s v="MBA"/>
    <s v="San Jose"/>
    <n v="5211"/>
    <n v="5209"/>
    <s v="NO TECHNICAL ASSISTANCE CONDUCTED"/>
    <m/>
    <m/>
    <x v="0"/>
    <s v="Ronaldo P. Roque, Jr."/>
    <s v="Rod Ross S. De Jesus"/>
    <s v="Diozelle L. Cabalar"/>
    <m/>
    <m/>
    <m/>
    <m/>
    <m/>
    <s v=""/>
    <s v=""/>
    <s v=""/>
    <s v=""/>
    <m/>
    <m/>
    <m/>
    <m/>
    <m/>
  </r>
  <r>
    <x v="2"/>
    <x v="38"/>
    <s v="MBA"/>
    <s v="San Vicente"/>
    <n v="2811"/>
    <n v="3176"/>
    <s v="CONDUCTED TECHNICAL ASSISTANCE"/>
    <n v="2024"/>
    <d v="2024-07-11T00:00:00"/>
    <x v="0"/>
    <s v="Ronaldo P. Roque, Jr."/>
    <s v="Rod Ross S. De Jesus"/>
    <s v="Diozelle L. Cabalar"/>
    <m/>
    <m/>
    <m/>
    <m/>
    <m/>
    <s v=""/>
    <s v=""/>
    <s v=""/>
    <s v=""/>
    <m/>
    <s v="MRF"/>
    <s v="OPERATIONAL"/>
    <s v="Technical Assistance"/>
    <m/>
  </r>
  <r>
    <x v="2"/>
    <x v="38"/>
    <s v="MBA"/>
    <s v="Santa Cruz"/>
    <n v="1611"/>
    <n v="1386"/>
    <s v="NO TECHNICAL ASSISTANCE CONDUCTED"/>
    <m/>
    <m/>
    <x v="0"/>
    <s v="Ronaldo P. Roque, Jr."/>
    <s v="Rod Ross S. De Jesus"/>
    <s v="Diozelle L. Cabalar"/>
    <m/>
    <m/>
    <m/>
    <m/>
    <m/>
    <s v=""/>
    <s v=""/>
    <s v=""/>
    <s v=""/>
    <m/>
    <m/>
    <m/>
    <m/>
    <m/>
  </r>
  <r>
    <x v="2"/>
    <x v="38"/>
    <s v="MBA"/>
    <s v="Santo Niño"/>
    <n v="3640"/>
    <n v="3574"/>
    <s v="CONDUCTED TECHNICAL ASSISTANCE"/>
    <n v="2025"/>
    <d v="2025-06-13T00:00:00"/>
    <x v="14"/>
    <s v="Ronaldo P. Roque, Jr."/>
    <s v="Jasmin Marie N. Siapco"/>
    <s v="Diozelle L. Cabalar"/>
    <s v="R3-2025-019642"/>
    <d v="2025-06-14T00:00:00"/>
    <d v="2025-06-15T00:00:00"/>
    <d v="2025-06-17T00:00:00"/>
    <d v="2025-06-18T00:00:00"/>
    <n v="1"/>
    <n v="1"/>
    <n v="1"/>
    <n v="1"/>
    <s v="Received by Planning"/>
    <s v="MRF"/>
    <s v="UNDER CONSTRUCTION"/>
    <s v="Technical Assistance"/>
    <m/>
  </r>
  <r>
    <x v="2"/>
    <x v="38"/>
    <s v="MBA"/>
    <s v="Santo Rosario"/>
    <n v="7171"/>
    <n v="7982"/>
    <s v="CONDUCTED TECHNICAL ASSISTANCE"/>
    <n v="2025"/>
    <d v="2025-04-08T00:00:00"/>
    <x v="4"/>
    <s v="Ronaldo P. Roque, Jr."/>
    <s v="Rod Ross S. De Jesus"/>
    <s v="Diozelle L. Cabalar"/>
    <s v="R3-2025-012416"/>
    <d v="2025-04-08T00:00:00"/>
    <m/>
    <d v="2025-04-14T00:00:00"/>
    <d v="2025-04-15T00:00:00"/>
    <n v="1"/>
    <s v=""/>
    <n v="4"/>
    <n v="1"/>
    <s v="Received by Planning"/>
    <s v="MRF"/>
    <s v="OPERATIONAL"/>
    <s v="Technical Assistance"/>
    <m/>
  </r>
  <r>
    <x v="2"/>
    <x v="39"/>
    <s v="MBA"/>
    <s v="Agnaya"/>
    <n v="2585"/>
    <n v="2821"/>
    <s v="CONDUCTED TECHNICAL ASSISTANCE"/>
    <n v="2024"/>
    <d v="2024-09-17T00:00:00"/>
    <x v="0"/>
    <s v="Jasmin Marie N. Siapco"/>
    <s v="Rod Ross S. De Jesus"/>
    <s v="Diozelle L. Cabalar"/>
    <m/>
    <m/>
    <m/>
    <m/>
    <m/>
    <s v=""/>
    <s v=""/>
    <s v=""/>
    <s v=""/>
    <m/>
    <s v="MRF"/>
    <s v="OPERATIONAL"/>
    <s v="Technical Assistance"/>
    <m/>
  </r>
  <r>
    <x v="2"/>
    <x v="39"/>
    <s v="MBA"/>
    <s v="Bagong Silang"/>
    <n v="3322"/>
    <n v="4237"/>
    <s v="CONDUCTED TECHNICAL ASSISTANCE"/>
    <n v="2024"/>
    <d v="2024-06-14T00:00:00"/>
    <x v="0"/>
    <s v="Jasmin Marie N. Siapco"/>
    <s v="Rod Ross S. De Jesus"/>
    <s v="Diozelle L. Cabalar"/>
    <m/>
    <m/>
    <m/>
    <m/>
    <m/>
    <s v=""/>
    <s v=""/>
    <s v=""/>
    <s v=""/>
    <m/>
    <m/>
    <m/>
    <m/>
    <m/>
  </r>
  <r>
    <x v="2"/>
    <x v="39"/>
    <s v="MBA"/>
    <s v="Banga I"/>
    <n v="7030"/>
    <n v="5892"/>
    <s v="CONDUCTED TECHNICAL ASSISTANCE"/>
    <n v="2024"/>
    <s v="February 13, 2024"/>
    <x v="0"/>
    <s v="Jasmin Marie N. Siapco"/>
    <s v="Rod Ross S. De Jesus"/>
    <s v="Diozelle L. Cabalar"/>
    <m/>
    <m/>
    <m/>
    <m/>
    <m/>
    <s v=""/>
    <s v=""/>
    <s v=""/>
    <s v=""/>
    <m/>
    <m/>
    <m/>
    <m/>
    <m/>
  </r>
  <r>
    <x v="2"/>
    <x v="39"/>
    <s v="MBA"/>
    <s v="Banga II"/>
    <n v="9036"/>
    <n v="8741"/>
    <s v="CONDUCTED TECHNICAL ASSISTANCE"/>
    <n v="2024"/>
    <d v="2024-10-10T00:00:00"/>
    <x v="0"/>
    <s v="Jasmin Marie N. Siapco"/>
    <s v="Rod Ross S. De Jesus"/>
    <s v="Diozelle L. Cabalar"/>
    <m/>
    <m/>
    <m/>
    <m/>
    <m/>
    <s v=""/>
    <s v=""/>
    <s v=""/>
    <s v=""/>
    <m/>
    <s v="MRF"/>
    <s v="OPERATIONAL"/>
    <s v="Technical Assistance"/>
    <m/>
  </r>
  <r>
    <x v="2"/>
    <x v="39"/>
    <s v="MBA"/>
    <s v="Bintog"/>
    <n v="4122"/>
    <n v="4585"/>
    <s v="CONDUCTED TECHNICAL ASSISTANCE"/>
    <n v="2024"/>
    <d v="2024-10-10T00:00:00"/>
    <x v="0"/>
    <s v="Jasmin Marie N. Siapco"/>
    <s v="Rod Ross S. De Jesus"/>
    <s v="Diozelle L. Cabalar"/>
    <m/>
    <m/>
    <m/>
    <m/>
    <m/>
    <s v=""/>
    <s v=""/>
    <s v=""/>
    <s v=""/>
    <m/>
    <s v="MRS"/>
    <s v="CATER BY LGU"/>
    <s v="Technical Assistance"/>
    <m/>
  </r>
  <r>
    <x v="2"/>
    <x v="39"/>
    <s v="MBA"/>
    <s v="Bulihan"/>
    <n v="5721"/>
    <n v="6755"/>
    <s v="NO TECHNICAL ASSISTANCE CONDUCTED"/>
    <m/>
    <m/>
    <x v="0"/>
    <s v="Jasmin Marie N. Siapco"/>
    <s v="Rod Ross S. De Jesus"/>
    <s v="Diozelle L. Cabalar"/>
    <m/>
    <m/>
    <m/>
    <m/>
    <m/>
    <s v=""/>
    <s v=""/>
    <s v=""/>
    <s v=""/>
    <m/>
    <m/>
    <m/>
    <m/>
    <m/>
  </r>
  <r>
    <x v="2"/>
    <x v="39"/>
    <s v="MBA"/>
    <s v="Culianin"/>
    <n v="4130"/>
    <n v="6731"/>
    <s v="CONDUCTED TECHNICAL ASSISTANCE"/>
    <n v="2024"/>
    <d v="2024-10-10T00:00:00"/>
    <x v="0"/>
    <s v="Jasmin Marie N. Siapco"/>
    <s v="Rod Ross S. De Jesus"/>
    <s v="Diozelle L. Cabalar"/>
    <m/>
    <m/>
    <m/>
    <m/>
    <m/>
    <s v=""/>
    <s v=""/>
    <s v=""/>
    <s v=""/>
    <m/>
    <s v="MRF"/>
    <s v="OPERATIONAL"/>
    <s v="Technical Assistance"/>
    <m/>
  </r>
  <r>
    <x v="2"/>
    <x v="39"/>
    <s v="MBA"/>
    <s v="Dampol"/>
    <n v="3183"/>
    <n v="3476"/>
    <s v="CONDUCTED TECHNICAL ASSISTANCE"/>
    <n v="2025"/>
    <d v="2025-02-14T00:00:00"/>
    <x v="3"/>
    <s v="Jasmin Marie N. Siapco"/>
    <s v="Rod Ross S. De Jesus"/>
    <s v="Diozelle L. Cabalar"/>
    <s v="R3-2025-005805"/>
    <d v="2025-02-17T00:00:00"/>
    <d v="2025-02-17T00:00:00"/>
    <d v="2025-02-17T00:00:00"/>
    <d v="2025-02-18T00:00:00"/>
    <n v="1"/>
    <n v="1"/>
    <n v="1"/>
    <n v="1"/>
    <s v="Received by Planning"/>
    <s v="MRF"/>
    <s v="OPERATIONAL"/>
    <s v="Technical Assistance"/>
    <m/>
  </r>
  <r>
    <x v="2"/>
    <x v="39"/>
    <s v="MBA"/>
    <s v="Lagundi"/>
    <n v="4243"/>
    <n v="4962"/>
    <s v="CONDUCTED TECHNICAL ASSISTANCE"/>
    <n v="2025"/>
    <d v="2025-02-05T00:00:00"/>
    <x v="3"/>
    <s v="Jasmin Marie N. Siapco"/>
    <s v="Rod Ross S. De Jesus"/>
    <s v="Diozelle L. Cabalar"/>
    <s v="R3-2025-004433"/>
    <d v="2025-02-09T00:00:00"/>
    <d v="2025-02-10T00:00:00"/>
    <d v="2025-02-11T00:00:00"/>
    <d v="2025-02-13T00:00:00"/>
    <n v="2"/>
    <n v="1"/>
    <n v="1"/>
    <n v="2"/>
    <s v="Received by Planning"/>
    <s v="MRS"/>
    <s v="CATER BY LGU"/>
    <s v="Technical Assistance"/>
    <m/>
  </r>
  <r>
    <x v="2"/>
    <x v="39"/>
    <s v="MBA"/>
    <s v="Lalangan"/>
    <n v="2077"/>
    <n v="2259"/>
    <s v="CONDUCTED TECHNICAL ASSISTANCE"/>
    <n v="2024"/>
    <d v="2024-09-17T00:00:00"/>
    <x v="0"/>
    <s v="Jasmin Marie N. Siapco"/>
    <s v="Rod Ross S. De Jesus"/>
    <s v="Diozelle L. Cabalar"/>
    <m/>
    <m/>
    <m/>
    <m/>
    <m/>
    <s v=""/>
    <s v=""/>
    <s v=""/>
    <s v=""/>
    <m/>
    <s v="MRS"/>
    <s v="NON-OPERATIONAL"/>
    <s v="Technical Assistance"/>
    <m/>
  </r>
  <r>
    <x v="2"/>
    <x v="39"/>
    <s v="MBA"/>
    <s v="Lumang Bayan"/>
    <n v="5361"/>
    <n v="5609"/>
    <s v="CONDUCTED TECHNICAL ASSISTANCE"/>
    <n v="2024"/>
    <d v="2024-09-17T00:00:00"/>
    <x v="0"/>
    <s v="Jasmin Marie N. Siapco"/>
    <s v="Rod Ross S. De Jesus"/>
    <s v="Diozelle L. Cabalar"/>
    <m/>
    <m/>
    <m/>
    <m/>
    <m/>
    <s v=""/>
    <s v=""/>
    <s v=""/>
    <s v=""/>
    <m/>
    <s v="MRF"/>
    <s v="OPERATIONAL"/>
    <s v="Technical Assistance"/>
    <m/>
  </r>
  <r>
    <x v="2"/>
    <x v="39"/>
    <s v="MBA"/>
    <s v="Parulan"/>
    <n v="7590"/>
    <n v="8935"/>
    <s v="CONDUCTED TECHNICAL ASSISTANCE"/>
    <n v="2024"/>
    <d v="2024-10-10T00:00:00"/>
    <x v="0"/>
    <s v="Jasmin Marie N. Siapco"/>
    <s v="Rod Ross S. De Jesus"/>
    <s v="Diozelle L. Cabalar"/>
    <m/>
    <m/>
    <m/>
    <m/>
    <m/>
    <s v=""/>
    <s v=""/>
    <s v=""/>
    <s v=""/>
    <m/>
    <s v="MRF"/>
    <s v="OPERATIONAL"/>
    <s v="Technical Assistance"/>
    <m/>
  </r>
  <r>
    <x v="2"/>
    <x v="39"/>
    <s v="MBA"/>
    <s v="Poblacion"/>
    <n v="3901"/>
    <n v="3878"/>
    <s v="CONDUCTED TECHNICAL ASSISTANCE"/>
    <n v="2025"/>
    <d v="2025-08-07T00:00:00"/>
    <x v="9"/>
    <s v="Jasmin Marie N. Siapco"/>
    <m/>
    <s v="Diozelle L. Cabalar"/>
    <s v="R3-2025-027514"/>
    <d v="2025-08-16T00:00:00"/>
    <m/>
    <d v="2025-08-19T00:00:00"/>
    <d v="2025-08-19T00:00:00"/>
    <n v="6"/>
    <s v=""/>
    <n v="1"/>
    <n v="1"/>
    <s v="Received by Planning"/>
    <s v="NO FACILITY"/>
    <s v="CATER BY LGU"/>
    <s v="Technical Assistance"/>
    <m/>
  </r>
  <r>
    <x v="2"/>
    <x v="39"/>
    <s v="MBA"/>
    <s v="Rueda"/>
    <n v="1803"/>
    <n v="1821"/>
    <s v="CONDUCTED TECHNICAL ASSISTANCE"/>
    <n v="2025"/>
    <d v="2025-02-05T00:00:00"/>
    <x v="3"/>
    <s v="Jasmin Marie N. Siapco"/>
    <s v="Rod Ross S. De Jesus"/>
    <s v="Diozelle L. Cabalar"/>
    <s v="R3-2025-004432"/>
    <d v="2025-02-09T00:00:00"/>
    <d v="2025-02-10T00:00:00"/>
    <d v="2025-02-11T00:00:00"/>
    <d v="2025-02-17T00:00:00"/>
    <n v="2"/>
    <n v="1"/>
    <n v="1"/>
    <n v="4"/>
    <s v="Received by Planning"/>
    <s v="MRF"/>
    <s v="OPERATIONAL"/>
    <s v="Technical Assistance"/>
    <m/>
  </r>
  <r>
    <x v="2"/>
    <x v="39"/>
    <s v="MBA"/>
    <s v="San Jose"/>
    <n v="4448"/>
    <n v="5016"/>
    <s v="CONDUCTED TECHNICAL ASSISTANCE"/>
    <n v="2024"/>
    <d v="2024-10-10T00:00:00"/>
    <x v="0"/>
    <s v="Jasmin Marie N. Siapco"/>
    <s v="Rod Ross S. De Jesus"/>
    <s v="Diozelle L. Cabalar"/>
    <m/>
    <m/>
    <m/>
    <m/>
    <m/>
    <s v=""/>
    <s v=""/>
    <s v=""/>
    <s v=""/>
    <m/>
    <s v="MRF"/>
    <s v="OPERATIONAL"/>
    <s v="Technical Assistance"/>
    <m/>
  </r>
  <r>
    <x v="2"/>
    <x v="39"/>
    <s v="MBA"/>
    <s v="Santa Ines"/>
    <n v="2953"/>
    <n v="2922"/>
    <s v="CONDUCTED TECHNICAL ASSISTANCE"/>
    <n v="2024"/>
    <d v="2024-05-14T00:00:00"/>
    <x v="0"/>
    <s v="Jasmin Marie N. Siapco"/>
    <s v="Rod Ross S. De Jesus"/>
    <s v="Diozelle L. Cabalar"/>
    <m/>
    <m/>
    <m/>
    <m/>
    <m/>
    <s v=""/>
    <s v=""/>
    <s v=""/>
    <s v=""/>
    <m/>
    <m/>
    <m/>
    <m/>
    <m/>
  </r>
  <r>
    <x v="2"/>
    <x v="39"/>
    <s v="MBA"/>
    <s v="Santo Niño"/>
    <n v="10761"/>
    <n v="10721"/>
    <s v="CONDUCTED TECHNICAL ASSISTANCE"/>
    <n v="2024"/>
    <d v="2024-07-10T00:00:00"/>
    <x v="6"/>
    <s v="Jasmin Marie N. Siapco"/>
    <s v="Rod Ross S. De Jesus"/>
    <s v="Diozelle L. Cabalar"/>
    <m/>
    <m/>
    <m/>
    <m/>
    <m/>
    <s v=""/>
    <s v=""/>
    <s v=""/>
    <s v=""/>
    <m/>
    <s v="MRF"/>
    <s v="OPERATIONAL"/>
    <s v="Technical Assistance"/>
    <m/>
  </r>
  <r>
    <x v="2"/>
    <x v="39"/>
    <s v="MBA"/>
    <s v="Sipat"/>
    <n v="5856"/>
    <n v="7822"/>
    <s v="CONDUCTED TECHNICAL ASSISTANCE"/>
    <n v="2025"/>
    <d v="2025-03-05T00:00:00"/>
    <x v="1"/>
    <s v="Jasmin Marie N. Siapco"/>
    <s v="Rod Ross S. De Jesus"/>
    <s v="Diozelle L. Cabalar"/>
    <s v="R3-2025-008761"/>
    <d v="2025-03-16T00:00:00"/>
    <d v="2025-03-17T00:00:00"/>
    <d v="2025-03-17T00:00:00"/>
    <d v="2025-03-19T00:00:00"/>
    <n v="7"/>
    <n v="1"/>
    <n v="1"/>
    <n v="2"/>
    <s v="Received by Planning"/>
    <s v="MRF"/>
    <s v="OPERATIONAL"/>
    <s v="Technical Assistance"/>
    <m/>
  </r>
  <r>
    <x v="2"/>
    <x v="39"/>
    <s v="MBA"/>
    <s v="Tabang"/>
    <n v="19683"/>
    <n v="17249"/>
    <s v="CONDUCTED TECHNICAL ASSISTANCE"/>
    <n v="2024"/>
    <d v="2024-06-13T00:00:00"/>
    <x v="0"/>
    <s v="Jasmin Marie N. Siapco"/>
    <s v="Rod Ross S. De Jesus"/>
    <s v="Diozelle L. Cabalar"/>
    <m/>
    <m/>
    <m/>
    <m/>
    <m/>
    <s v=""/>
    <s v=""/>
    <s v=""/>
    <s v=""/>
    <m/>
    <m/>
    <m/>
    <m/>
    <m/>
  </r>
  <r>
    <x v="2"/>
    <x v="40"/>
    <s v="MBA"/>
    <s v="Dulong Malabon"/>
    <n v="3926"/>
    <n v="4114"/>
    <s v="CONDUCTED TECHNICAL ASSISTANCE"/>
    <n v="2025"/>
    <d v="2025-09-10T00:00:00"/>
    <x v="13"/>
    <s v="Jasmin Marie N. Siapco"/>
    <s v="Maria Cecilia S. Pascual"/>
    <s v="Diozelle L. Cabalar"/>
    <s v="R3-2025-030552"/>
    <d v="2025-09-11T00:00:00"/>
    <d v="2025-09-15T00:00:00"/>
    <d v="2025-09-16T00:00:00"/>
    <d v="2025-09-18T00:00:00"/>
    <n v="1"/>
    <n v="1"/>
    <n v="1"/>
    <n v="2"/>
    <s v="Received by Planning"/>
    <s v="MRS"/>
    <s v="OPERATIONAL"/>
    <s v="Technical Assistance"/>
    <m/>
  </r>
  <r>
    <x v="2"/>
    <x v="40"/>
    <s v="MBA"/>
    <s v="Balatong A"/>
    <n v="1656"/>
    <n v="1877"/>
    <s v="CONDUCTED TECHNICAL ASSISTANCE"/>
    <n v="2025"/>
    <d v="2025-05-16T00:00:00"/>
    <x v="6"/>
    <s v="Jasmin Marie N. Siapco"/>
    <s v="Rod Ross S. De Jesus"/>
    <s v="Diozelle L. Cabalar"/>
    <s v="R3-2025-016446"/>
    <d v="2025-05-17T00:00:00"/>
    <m/>
    <d v="2025-05-19T00:00:00"/>
    <d v="2025-05-20T00:00:00"/>
    <n v="1"/>
    <s v=""/>
    <n v="1"/>
    <n v="1"/>
    <s v="Received by Planning"/>
    <s v="NO FACILITY"/>
    <s v="CATER BY LGU"/>
    <s v="Technical Assistance"/>
    <m/>
  </r>
  <r>
    <x v="2"/>
    <x v="40"/>
    <s v="MBA"/>
    <s v="Balatong B"/>
    <n v="3691"/>
    <n v="4100"/>
    <s v="CONDUCTED TECHNICAL ASSISTANCE"/>
    <n v="2025"/>
    <d v="2025-05-16T00:00:00"/>
    <x v="6"/>
    <s v="Jasmin Marie N. Siapco"/>
    <s v="Rod Ross S. De Jesus"/>
    <s v="Diozelle L. Cabalar"/>
    <s v="R3-2025-016447"/>
    <d v="2025-05-17T00:00:00"/>
    <m/>
    <d v="2025-05-19T00:00:00"/>
    <d v="2025-05-20T00:00:00"/>
    <n v="1"/>
    <s v=""/>
    <n v="1"/>
    <n v="1"/>
    <s v="Received by Planning"/>
    <s v="NO FACILITY"/>
    <s v="CATER BY LGU"/>
    <s v="Technical Assistance"/>
    <m/>
  </r>
  <r>
    <x v="2"/>
    <x v="40"/>
    <s v="MBA"/>
    <s v="Cutcot"/>
    <n v="7152"/>
    <n v="8320"/>
    <s v="CONDUCTED TECHNICAL ASSISTANCE"/>
    <n v="2025"/>
    <d v="2025-05-16T00:00:00"/>
    <x v="6"/>
    <s v="Jasmin Marie N. Siapco"/>
    <s v="Rod Ross S. De Jesus"/>
    <s v="Diozelle L. Cabalar"/>
    <s v="R3-2025-016449"/>
    <d v="2025-05-17T00:00:00"/>
    <m/>
    <d v="2025-05-19T00:00:00"/>
    <d v="2025-05-20T00:00:00"/>
    <n v="1"/>
    <s v=""/>
    <n v="1"/>
    <n v="1"/>
    <s v="Received by Planning"/>
    <s v="NO FACILITY"/>
    <s v="CATER BY LGU"/>
    <s v="Technical Assistance"/>
    <m/>
  </r>
  <r>
    <x v="2"/>
    <x v="40"/>
    <s v="MBA"/>
    <s v="Dampol I"/>
    <n v="6028"/>
    <n v="6770"/>
    <s v="CONDUCTED TECHNICAL ASSISTANCE"/>
    <n v="2025"/>
    <d v="2025-07-10T00:00:00"/>
    <x v="8"/>
    <s v="Jasmin Marie N. Siapco"/>
    <m/>
    <s v="Diozelle L. Cabalar"/>
    <s v="R3-2025-024004"/>
    <d v="2025-07-15T00:00:00"/>
    <m/>
    <d v="2025-07-17T00:00:00"/>
    <d v="2025-07-18T00:00:00"/>
    <n v="3"/>
    <s v=""/>
    <n v="2"/>
    <n v="1"/>
    <s v="Received by Planning"/>
    <s v="NO FACILITY"/>
    <s v="CATER BY LGU"/>
    <s v="Technical Assistance"/>
    <m/>
  </r>
  <r>
    <x v="2"/>
    <x v="40"/>
    <s v="MBA"/>
    <s v="Dampol II-A"/>
    <n v="4225"/>
    <n v="4896"/>
    <s v="CONDUCTED TECHNICAL ASSISTANCE"/>
    <n v="2025"/>
    <d v="2025-07-16T00:00:00"/>
    <x v="8"/>
    <s v="Jasmin Marie N. Siapco"/>
    <m/>
    <s v="Diozelle L. Cabalar"/>
    <s v="R3-2025-024005"/>
    <d v="2025-07-17T00:00:00"/>
    <m/>
    <d v="2025-07-18T00:00:00"/>
    <d v="2025-07-18T00:00:00"/>
    <n v="1"/>
    <s v=""/>
    <n v="1"/>
    <n v="1"/>
    <s v="Received by Planning"/>
    <s v="NO FACILITY"/>
    <s v="CATER BY LGU"/>
    <s v="Technical Assistance"/>
    <m/>
  </r>
  <r>
    <x v="2"/>
    <x v="40"/>
    <s v="MBA"/>
    <s v="Dampol II-B"/>
    <n v="4706"/>
    <n v="5317"/>
    <s v="NO TECHNICAL ASSISTANCE CONDUCTED"/>
    <m/>
    <m/>
    <x v="0"/>
    <s v="Jasmin Marie N. Siapco"/>
    <s v="Rod Ross S. De Jesus"/>
    <s v="Diozelle L. Cabalar"/>
    <m/>
    <m/>
    <m/>
    <m/>
    <m/>
    <s v=""/>
    <s v=""/>
    <s v=""/>
    <s v=""/>
    <m/>
    <m/>
    <m/>
    <m/>
    <m/>
  </r>
  <r>
    <x v="2"/>
    <x v="40"/>
    <s v="MBA"/>
    <s v="Inaon"/>
    <n v="8037"/>
    <n v="9453"/>
    <s v="CONDUCTED TECHNICAL ASSISTANCE"/>
    <n v="2025"/>
    <d v="2025-09-10T00:00:00"/>
    <x v="7"/>
    <s v="Jasmin Marie N. Siapco"/>
    <s v="Maria Cecilia S. Pascual"/>
    <s v="Diozelle L. Cabalar"/>
    <s v="R3-2025-030554"/>
    <d v="2025-09-11T00:00:00"/>
    <d v="2025-09-11T00:00:00"/>
    <d v="2025-09-16T00:00:00"/>
    <d v="2025-09-17T00:00:00"/>
    <n v="1"/>
    <n v="3"/>
    <n v="3"/>
    <n v="1"/>
    <s v="Received by Planning"/>
    <s v="NO FACILITY"/>
    <s v="CATER BY LGU"/>
    <s v="Technical Assistance"/>
    <m/>
  </r>
  <r>
    <x v="2"/>
    <x v="40"/>
    <s v="MBA"/>
    <s v="Lumbac"/>
    <n v="4073"/>
    <n v="4766"/>
    <s v="CONDUCTED TECHNICAL ASSISTANCE"/>
    <n v="2025"/>
    <d v="2025-09-10T00:00:00"/>
    <x v="13"/>
    <s v="Jasmin Marie N. Siapco"/>
    <s v="Maria Cecilia S. Pascual"/>
    <s v="Diozelle L. Cabalar"/>
    <s v="R3-2025-030551"/>
    <d v="2025-09-11T00:00:00"/>
    <d v="2025-09-16T00:00:00"/>
    <d v="2025-09-16T00:00:00"/>
    <d v="2025-09-18T00:00:00"/>
    <n v="1"/>
    <n v="1"/>
    <n v="1"/>
    <n v="2"/>
    <s v="Received by Planning"/>
    <s v="NO FACILITY"/>
    <s v="CATER BY LGU"/>
    <s v="Technical Assistance"/>
    <m/>
  </r>
  <r>
    <x v="2"/>
    <x v="40"/>
    <s v="MBA"/>
    <s v="Longos"/>
    <n v="5426"/>
    <n v="5817"/>
    <s v="CONDUCTED TECHNICAL ASSISTANCE"/>
    <n v="2025"/>
    <d v="2025-05-16T00:00:00"/>
    <x v="6"/>
    <s v="Jasmin Marie N. Siapco"/>
    <s v="Rod Ross S. De Jesus"/>
    <s v="Diozelle L. Cabalar"/>
    <s v="R3-2025-016448"/>
    <d v="2025-05-17T00:00:00"/>
    <m/>
    <d v="2025-05-19T00:00:00"/>
    <d v="2025-05-20T00:00:00"/>
    <n v="1"/>
    <s v=""/>
    <n v="1"/>
    <n v="1"/>
    <s v="Received by Planning"/>
    <s v="Clustering"/>
    <s v="CATER BY LGU"/>
    <s v="Technical Assistance"/>
    <m/>
  </r>
  <r>
    <x v="2"/>
    <x v="40"/>
    <s v="MBA"/>
    <s v="Santa Peregrina"/>
    <n v="1553"/>
    <n v="1666"/>
    <s v="CONDUCTED TECHNICAL ASSISTANCE"/>
    <n v="2025"/>
    <d v="2025-09-10T00:00:00"/>
    <x v="13"/>
    <s v="Jasmin Marie N. Siapco"/>
    <s v="Maria Cecilia S. Pascual"/>
    <s v="Diozelle L. Cabalar"/>
    <s v="R3-2025-030553"/>
    <d v="2025-09-11T00:00:00"/>
    <d v="2025-09-11T00:00:00"/>
    <d v="2025-09-15T00:00:00"/>
    <d v="2025-09-18T00:00:00"/>
    <n v="1"/>
    <n v="2"/>
    <n v="2"/>
    <n v="3"/>
    <s v="Received by Planning"/>
    <s v="NO FACILITY"/>
    <s v="CATER BY LGU"/>
    <s v="Technical Assistance"/>
    <m/>
  </r>
  <r>
    <x v="2"/>
    <x v="40"/>
    <s v="MBA"/>
    <s v="Paltao"/>
    <n v="6543"/>
    <n v="6457"/>
    <s v="CONDUCTED TECHNICAL ASSISTANCE"/>
    <n v="2025"/>
    <d v="2025-07-09T00:00:00"/>
    <x v="8"/>
    <s v="Jasmin Marie N. Siapco"/>
    <m/>
    <s v="Diozelle L. Cabalar"/>
    <s v="R3-2025-023562 "/>
    <d v="2025-07-15T00:00:00"/>
    <m/>
    <d v="2025-07-17T00:00:00"/>
    <d v="2025-07-18T00:00:00"/>
    <n v="4"/>
    <s v=""/>
    <n v="2"/>
    <n v="1"/>
    <s v="Received by Planning"/>
    <s v="MRF"/>
    <s v="OPERATIONAL"/>
    <s v="Technical Assistance"/>
    <m/>
  </r>
  <r>
    <x v="2"/>
    <x v="40"/>
    <s v="MBA"/>
    <s v="Penabatan"/>
    <n v="1996"/>
    <n v="2377"/>
    <s v="CONDUCTED TECHNICAL ASSISTANCE"/>
    <n v="2025"/>
    <d v="2025-08-07T00:00:00"/>
    <x v="9"/>
    <s v="Jasmin Marie N. Siapco"/>
    <m/>
    <s v="Diozelle L. Cabalar"/>
    <s v="R3-2025-027516"/>
    <d v="2025-08-16T00:00:00"/>
    <m/>
    <d v="2025-08-18T00:00:00"/>
    <d v="2025-08-19T00:00:00"/>
    <n v="6"/>
    <s v=""/>
    <n v="1"/>
    <n v="1"/>
    <s v="Received by Planning"/>
    <s v="NO FACILITY"/>
    <s v="CATER BY LGU"/>
    <s v="Technical Assistance"/>
    <m/>
  </r>
  <r>
    <x v="2"/>
    <x v="40"/>
    <s v="MBA"/>
    <s v="Poblacion"/>
    <n v="12227"/>
    <n v="13353"/>
    <s v="CONDUCTED TECHNICAL ASSISTANCE"/>
    <n v="2024"/>
    <d v="2024-05-15T00:00:00"/>
    <x v="0"/>
    <s v="Jasmin Marie N. Siapco"/>
    <s v="Rod Ross S. De Jesus"/>
    <s v="Diozelle L. Cabalar"/>
    <m/>
    <m/>
    <m/>
    <m/>
    <m/>
    <s v=""/>
    <s v=""/>
    <s v=""/>
    <s v=""/>
    <m/>
    <m/>
    <m/>
    <s v="Technical Assistance"/>
    <m/>
  </r>
  <r>
    <x v="2"/>
    <x v="40"/>
    <s v="MBA"/>
    <s v="Tinejero"/>
    <n v="3889"/>
    <n v="4153"/>
    <s v="CONDUCTED TECHNICAL ASSISTANCE"/>
    <n v="2025"/>
    <d v="2025-08-07T00:00:00"/>
    <x v="7"/>
    <s v="Jasmin Marie N. Siapco"/>
    <s v="Rod Ross S. De Jesus"/>
    <s v="Diozelle L. Cabalar"/>
    <s v="R3-2025-027515"/>
    <d v="2025-08-16T00:00:00"/>
    <m/>
    <d v="2025-08-19T00:00:00"/>
    <d v="2025-08-19T00:00:00"/>
    <n v="6"/>
    <s v=""/>
    <n v="1"/>
    <n v="1"/>
    <s v="Received by Planning"/>
    <s v="NO FACILITY"/>
    <s v="CATER BY LGU"/>
    <s v="Technical Assistance"/>
    <m/>
  </r>
  <r>
    <x v="2"/>
    <x v="40"/>
    <s v="MBA"/>
    <s v="Santo Cristo"/>
    <n v="6831"/>
    <n v="7700"/>
    <s v="CONDUCTED TECHNICAL ASSISTANCE"/>
    <n v="2025"/>
    <d v="2025-04-10T00:00:00"/>
    <x v="4"/>
    <s v="Jasmin Marie N. Siapco"/>
    <s v="Rod Ross S. De Jesus"/>
    <s v="Diozelle L. Cabalar"/>
    <s v="R3-2025-012631"/>
    <d v="2025-04-14T00:00:00"/>
    <d v="2025-04-14T00:00:00"/>
    <d v="2025-04-14T00:00:00"/>
    <d v="2025-04-14T00:00:00"/>
    <n v="2"/>
    <n v="1"/>
    <n v="1"/>
    <n v="1"/>
    <s v="Received by Planning"/>
    <s v="MRS"/>
    <s v="OPERATIONAL"/>
    <s v="Technical Assistance"/>
    <m/>
  </r>
  <r>
    <x v="2"/>
    <x v="40"/>
    <s v="MBA"/>
    <s v="Taal"/>
    <n v="6774"/>
    <n v="7912"/>
    <s v="CONDUCTED TECHNICAL ASSISTANCE"/>
    <n v="2025"/>
    <d v="2025-04-10T00:00:00"/>
    <x v="4"/>
    <s v="Jasmin Marie N. Siapco"/>
    <s v="Rod Ross S. De Jesus"/>
    <s v="Diozelle L. Cabalar"/>
    <s v="R3-2025-012633"/>
    <d v="2025-04-14T00:00:00"/>
    <d v="2025-04-14T00:00:00"/>
    <d v="2025-04-14T00:00:00"/>
    <d v="2025-04-14T00:00:00"/>
    <n v="2"/>
    <n v="1"/>
    <n v="1"/>
    <n v="1"/>
    <s v="Received by Planning"/>
    <s v="NO FACILITY"/>
    <s v="CATER BY LGU"/>
    <s v="Technical Assistance"/>
    <m/>
  </r>
  <r>
    <x v="2"/>
    <x v="40"/>
    <s v="MBA"/>
    <s v="Tabon"/>
    <n v="4355"/>
    <n v="4931"/>
    <s v="CONDUCTED TECHNICAL ASSISTANCE"/>
    <n v="2025"/>
    <d v="2025-04-10T00:00:00"/>
    <x v="4"/>
    <s v="Jasmin Marie N. Siapco"/>
    <s v="Rod Ross S. De Jesus"/>
    <s v="Diozelle L. Cabalar"/>
    <s v="R3-2025-013042"/>
    <d v="2025-04-15T00:00:00"/>
    <m/>
    <d v="2025-04-15T00:00:00"/>
    <d v="2025-04-21T00:00:00"/>
    <n v="3"/>
    <s v=""/>
    <n v="1"/>
    <n v="4"/>
    <s v="Received by Planning"/>
    <s v="NO FACILITY"/>
    <s v="CATER BY LGU"/>
    <s v="Technical Assistance"/>
    <m/>
  </r>
  <r>
    <x v="2"/>
    <x v="40"/>
    <s v="MBA"/>
    <s v="Tibag"/>
    <n v="4235"/>
    <n v="4857"/>
    <s v="CONDUCTED TECHNICAL ASSISTANCE"/>
    <n v="2025"/>
    <d v="2025-04-10T00:00:00"/>
    <x v="4"/>
    <s v="Jasmin Marie N. Siapco"/>
    <s v="Rod Ross S. De Jesus"/>
    <s v="Diozelle L. Cabalar"/>
    <s v="R3-2025-012635"/>
    <d v="2025-04-14T00:00:00"/>
    <d v="2025-04-14T00:00:00"/>
    <d v="2025-04-14T00:00:00"/>
    <d v="2025-04-14T00:00:00"/>
    <n v="2"/>
    <n v="1"/>
    <n v="1"/>
    <n v="1"/>
    <s v="Received by Planning"/>
    <s v="MRF"/>
    <s v="OPERATIONAL"/>
    <s v="Technical Assistance"/>
    <m/>
  </r>
  <r>
    <x v="2"/>
    <x v="41"/>
    <s v="MBA"/>
    <s v="Akle"/>
    <n v="4330"/>
    <n v="4653"/>
    <s v="NO TECHNICAL ASSISTANCE CONDUCTED"/>
    <m/>
    <m/>
    <x v="0"/>
    <m/>
    <s v="Rod Ross S. De Jesus"/>
    <s v="Diozelle L. Cabalar"/>
    <m/>
    <m/>
    <m/>
    <m/>
    <m/>
    <s v=""/>
    <s v=""/>
    <s v=""/>
    <s v=""/>
    <m/>
    <m/>
    <m/>
    <m/>
    <m/>
  </r>
  <r>
    <x v="2"/>
    <x v="41"/>
    <s v="MBA"/>
    <s v="Alagao"/>
    <n v="3506"/>
    <n v="3607"/>
    <s v="NO TECHNICAL ASSISTANCE CONDUCTED"/>
    <m/>
    <m/>
    <x v="0"/>
    <m/>
    <s v="Rod Ross S. De Jesus"/>
    <s v="Diozelle L. Cabalar"/>
    <m/>
    <m/>
    <m/>
    <m/>
    <m/>
    <s v=""/>
    <s v=""/>
    <s v=""/>
    <s v=""/>
    <m/>
    <m/>
    <m/>
    <m/>
    <m/>
  </r>
  <r>
    <x v="2"/>
    <x v="41"/>
    <s v="MBA"/>
    <s v="Anyatam"/>
    <n v="4169"/>
    <n v="5271"/>
    <s v="CONDUCTED TECHNICAL ASSISTANCE"/>
    <n v="2024"/>
    <d v="2024-05-16T00:00:00"/>
    <x v="0"/>
    <m/>
    <s v="Rod Ross S. De Jesus"/>
    <s v="Diozelle L. Cabalar"/>
    <m/>
    <m/>
    <m/>
    <m/>
    <m/>
    <s v=""/>
    <s v=""/>
    <s v=""/>
    <s v=""/>
    <m/>
    <m/>
    <m/>
    <s v="Technical Assistance"/>
    <m/>
  </r>
  <r>
    <x v="2"/>
    <x v="41"/>
    <s v="MBA"/>
    <s v="Bagong Barrio"/>
    <n v="2150"/>
    <n v="2407"/>
    <s v="NO TECHNICAL ASSISTANCE CONDUCTED"/>
    <m/>
    <m/>
    <x v="0"/>
    <m/>
    <s v="Rod Ross S. De Jesus"/>
    <s v="Diozelle L. Cabalar"/>
    <m/>
    <m/>
    <m/>
    <m/>
    <m/>
    <s v=""/>
    <s v=""/>
    <s v=""/>
    <s v=""/>
    <m/>
    <m/>
    <m/>
    <m/>
    <m/>
  </r>
  <r>
    <x v="2"/>
    <x v="41"/>
    <s v="MBA"/>
    <s v="Basuit"/>
    <n v="2068"/>
    <n v="2199"/>
    <s v="CONDUCTED TECHNICAL ASSISTANCE"/>
    <n v="2024"/>
    <d v="2024-07-10T00:00:00"/>
    <x v="0"/>
    <m/>
    <s v="Rod Ross S. De Jesus"/>
    <s v="Diozelle L. Cabalar"/>
    <m/>
    <m/>
    <m/>
    <m/>
    <m/>
    <s v=""/>
    <s v=""/>
    <s v=""/>
    <s v=""/>
    <m/>
    <s v="MRF"/>
    <s v="OPERATIONAL"/>
    <s v="Technical Assistance"/>
    <m/>
  </r>
  <r>
    <x v="2"/>
    <x v="41"/>
    <s v="MBA"/>
    <s v="Bubulong Malaki"/>
    <n v="2069"/>
    <n v="2200"/>
    <s v="NO TECHNICAL ASSISTANCE CONDUCTED"/>
    <m/>
    <m/>
    <x v="0"/>
    <m/>
    <s v="Rod Ross S. De Jesus"/>
    <s v="Diozelle L. Cabalar"/>
    <m/>
    <m/>
    <m/>
    <m/>
    <m/>
    <s v=""/>
    <s v=""/>
    <s v=""/>
    <s v=""/>
    <m/>
    <m/>
    <m/>
    <m/>
    <m/>
  </r>
  <r>
    <x v="2"/>
    <x v="41"/>
    <s v="MBA"/>
    <s v="Bubulong Munti"/>
    <n v="2245"/>
    <n v="2560"/>
    <s v="NO TECHNICAL ASSISTANCE CONDUCTED"/>
    <m/>
    <m/>
    <x v="0"/>
    <m/>
    <s v="Rod Ross S. De Jesus"/>
    <s v="Diozelle L. Cabalar"/>
    <m/>
    <m/>
    <m/>
    <m/>
    <m/>
    <s v=""/>
    <s v=""/>
    <s v=""/>
    <s v=""/>
    <m/>
    <m/>
    <m/>
    <m/>
    <m/>
  </r>
  <r>
    <x v="2"/>
    <x v="41"/>
    <s v="MBA"/>
    <s v="Buhol na Mangga"/>
    <n v="1402"/>
    <n v="1973"/>
    <s v="NO TECHNICAL ASSISTANCE CONDUCTED"/>
    <m/>
    <m/>
    <x v="0"/>
    <m/>
    <s v="Rod Ross S. De Jesus"/>
    <s v="Diozelle L. Cabalar"/>
    <m/>
    <m/>
    <m/>
    <m/>
    <m/>
    <s v=""/>
    <s v=""/>
    <s v=""/>
    <s v=""/>
    <m/>
    <m/>
    <m/>
    <m/>
    <m/>
  </r>
  <r>
    <x v="2"/>
    <x v="41"/>
    <s v="MBA"/>
    <s v="Bulusukan"/>
    <n v="1948"/>
    <n v="2118"/>
    <s v="NO TECHNICAL ASSISTANCE CONDUCTED"/>
    <m/>
    <m/>
    <x v="0"/>
    <m/>
    <s v="Rod Ross S. De Jesus"/>
    <s v="Diozelle L. Cabalar"/>
    <m/>
    <m/>
    <m/>
    <m/>
    <m/>
    <s v=""/>
    <s v=""/>
    <s v=""/>
    <s v=""/>
    <m/>
    <m/>
    <m/>
    <m/>
    <m/>
  </r>
  <r>
    <x v="2"/>
    <x v="41"/>
    <s v="MBA"/>
    <s v="Calasag"/>
    <n v="3578"/>
    <n v="3705"/>
    <s v="NO TECHNICAL ASSISTANCE CONDUCTED"/>
    <m/>
    <m/>
    <x v="0"/>
    <m/>
    <s v="Rod Ross S. De Jesus"/>
    <s v="Diozelle L. Cabalar"/>
    <m/>
    <m/>
    <m/>
    <m/>
    <m/>
    <s v=""/>
    <s v=""/>
    <s v=""/>
    <s v=""/>
    <m/>
    <m/>
    <m/>
    <m/>
    <m/>
  </r>
  <r>
    <x v="2"/>
    <x v="41"/>
    <s v="MBA"/>
    <s v="Calawitan"/>
    <n v="3435"/>
    <n v="3717"/>
    <s v="NO TECHNICAL ASSISTANCE CONDUCTED"/>
    <m/>
    <m/>
    <x v="0"/>
    <m/>
    <s v="Rod Ross S. De Jesus"/>
    <s v="Diozelle L. Cabalar"/>
    <m/>
    <m/>
    <m/>
    <m/>
    <m/>
    <s v=""/>
    <s v=""/>
    <s v=""/>
    <s v=""/>
    <m/>
    <m/>
    <m/>
    <m/>
    <m/>
  </r>
  <r>
    <x v="2"/>
    <x v="41"/>
    <s v="MBA"/>
    <s v="Casalat"/>
    <n v="1811"/>
    <n v="2030"/>
    <s v="NO TECHNICAL ASSISTANCE CONDUCTED"/>
    <m/>
    <m/>
    <x v="0"/>
    <m/>
    <s v="Rod Ross S. De Jesus"/>
    <s v="Diozelle L. Cabalar"/>
    <m/>
    <m/>
    <m/>
    <m/>
    <m/>
    <s v=""/>
    <s v=""/>
    <s v=""/>
    <s v=""/>
    <m/>
    <m/>
    <m/>
    <m/>
    <m/>
  </r>
  <r>
    <x v="2"/>
    <x v="41"/>
    <s v="MBA"/>
    <s v="Gabihan"/>
    <n v="3393"/>
    <n v="3699"/>
    <s v="NO TECHNICAL ASSISTANCE CONDUCTED"/>
    <m/>
    <m/>
    <x v="0"/>
    <m/>
    <s v="Rod Ross S. De Jesus"/>
    <s v="Diozelle L. Cabalar"/>
    <m/>
    <m/>
    <m/>
    <m/>
    <m/>
    <s v=""/>
    <s v=""/>
    <s v=""/>
    <s v=""/>
    <m/>
    <m/>
    <m/>
    <m/>
    <m/>
  </r>
  <r>
    <x v="2"/>
    <x v="41"/>
    <s v="MBA"/>
    <s v="Garlang"/>
    <n v="1183"/>
    <n v="1273"/>
    <s v="NO TECHNICAL ASSISTANCE CONDUCTED"/>
    <m/>
    <m/>
    <x v="0"/>
    <m/>
    <s v="Rod Ross S. De Jesus"/>
    <s v="Diozelle L. Cabalar"/>
    <m/>
    <m/>
    <m/>
    <m/>
    <m/>
    <s v=""/>
    <s v=""/>
    <s v=""/>
    <s v=""/>
    <m/>
    <m/>
    <m/>
    <m/>
    <m/>
  </r>
  <r>
    <x v="2"/>
    <x v="41"/>
    <s v="MBA"/>
    <s v="Lapnit"/>
    <n v="3134"/>
    <n v="3268"/>
    <s v="NO TECHNICAL ASSISTANCE CONDUCTED"/>
    <m/>
    <m/>
    <x v="0"/>
    <m/>
    <s v="Rod Ross S. De Jesus"/>
    <s v="Diozelle L. Cabalar"/>
    <m/>
    <m/>
    <m/>
    <m/>
    <m/>
    <s v=""/>
    <s v=""/>
    <s v=""/>
    <s v=""/>
    <m/>
    <m/>
    <m/>
    <m/>
    <m/>
  </r>
  <r>
    <x v="2"/>
    <x v="41"/>
    <s v="MBA"/>
    <s v="Maasim"/>
    <n v="3774"/>
    <n v="3693"/>
    <s v="CONDUCTED TECHNICAL ASSISTANCE"/>
    <n v="2024"/>
    <d v="2024-09-05T00:00:00"/>
    <x v="0"/>
    <m/>
    <s v="Rod Ross S. De Jesus"/>
    <s v="Diozelle L. Cabalar"/>
    <m/>
    <m/>
    <m/>
    <m/>
    <m/>
    <s v=""/>
    <s v=""/>
    <s v=""/>
    <s v=""/>
    <m/>
    <s v="MRS"/>
    <m/>
    <s v="Technical Assistance"/>
    <m/>
  </r>
  <r>
    <x v="2"/>
    <x v="41"/>
    <s v="MBA"/>
    <s v="Makapilapil"/>
    <n v="2234"/>
    <n v="2744"/>
    <s v="CONDUCTED TECHNICAL ASSISTANCE"/>
    <n v="2024"/>
    <d v="2024-08-14T00:00:00"/>
    <x v="0"/>
    <m/>
    <s v="Rod Ross S. De Jesus"/>
    <s v="Diozelle L. Cabalar"/>
    <m/>
    <m/>
    <m/>
    <m/>
    <m/>
    <s v=""/>
    <s v=""/>
    <s v=""/>
    <s v=""/>
    <m/>
    <s v="MRS"/>
    <m/>
    <s v="Technical Assistance"/>
    <m/>
  </r>
  <r>
    <x v="2"/>
    <x v="41"/>
    <s v="MBA"/>
    <s v="Malipampang"/>
    <n v="5897"/>
    <n v="6605"/>
    <s v="CONDUCTED TECHNICAL ASSISTANCE"/>
    <n v="2024"/>
    <d v="2024-09-05T00:00:00"/>
    <x v="0"/>
    <m/>
    <s v="Rod Ross S. De Jesus"/>
    <s v="Diozelle L. Cabalar"/>
    <m/>
    <m/>
    <m/>
    <m/>
    <m/>
    <s v=""/>
    <s v=""/>
    <s v=""/>
    <s v=""/>
    <m/>
    <s v="MRS"/>
    <m/>
    <s v="Technical Assistance"/>
    <m/>
  </r>
  <r>
    <x v="2"/>
    <x v="41"/>
    <s v="MBA"/>
    <s v="Mataas na Parang"/>
    <n v="2460"/>
    <n v="3070"/>
    <s v="NO TECHNICAL ASSISTANCE CONDUCTED"/>
    <m/>
    <m/>
    <x v="0"/>
    <m/>
    <s v="Rod Ross S. De Jesus"/>
    <s v="Diozelle L. Cabalar"/>
    <m/>
    <m/>
    <m/>
    <m/>
    <m/>
    <s v=""/>
    <s v=""/>
    <s v=""/>
    <s v=""/>
    <m/>
    <m/>
    <m/>
    <m/>
    <m/>
  </r>
  <r>
    <x v="2"/>
    <x v="41"/>
    <s v="MBA"/>
    <s v="Matimbubong"/>
    <n v="2583"/>
    <n v="2806"/>
    <s v="NO TECHNICAL ASSISTANCE CONDUCTED"/>
    <m/>
    <m/>
    <x v="0"/>
    <m/>
    <s v="Rod Ross S. De Jesus"/>
    <s v="Diozelle L. Cabalar"/>
    <m/>
    <m/>
    <m/>
    <m/>
    <m/>
    <s v=""/>
    <s v=""/>
    <s v=""/>
    <s v=""/>
    <m/>
    <m/>
    <m/>
    <m/>
    <m/>
  </r>
  <r>
    <x v="2"/>
    <x v="41"/>
    <s v="MBA"/>
    <s v="Nabaong Garlang"/>
    <n v="1914"/>
    <n v="2389"/>
    <s v="NO TECHNICAL ASSISTANCE CONDUCTED"/>
    <m/>
    <m/>
    <x v="0"/>
    <m/>
    <s v="Rod Ross S. De Jesus"/>
    <s v="Diozelle L. Cabalar"/>
    <m/>
    <m/>
    <m/>
    <m/>
    <m/>
    <s v=""/>
    <s v=""/>
    <s v=""/>
    <s v=""/>
    <m/>
    <m/>
    <m/>
    <m/>
    <m/>
  </r>
  <r>
    <x v="2"/>
    <x v="41"/>
    <s v="MBA"/>
    <s v="Palapala"/>
    <n v="6087"/>
    <n v="6743"/>
    <s v="NO TECHNICAL ASSISTANCE CONDUCTED"/>
    <m/>
    <m/>
    <x v="0"/>
    <m/>
    <s v="Rod Ross S. De Jesus"/>
    <s v="Diozelle L. Cabalar"/>
    <m/>
    <m/>
    <m/>
    <m/>
    <m/>
    <s v=""/>
    <s v=""/>
    <s v=""/>
    <s v=""/>
    <m/>
    <m/>
    <m/>
    <m/>
    <m/>
  </r>
  <r>
    <x v="2"/>
    <x v="41"/>
    <s v="MBA"/>
    <s v="Pasong Bangkal"/>
    <n v="839"/>
    <n v="1145"/>
    <s v="NO TECHNICAL ASSISTANCE CONDUCTED"/>
    <m/>
    <m/>
    <x v="0"/>
    <m/>
    <s v="Rod Ross S. De Jesus"/>
    <s v="Diozelle L. Cabalar"/>
    <m/>
    <m/>
    <m/>
    <m/>
    <m/>
    <s v=""/>
    <s v=""/>
    <s v=""/>
    <s v=""/>
    <m/>
    <m/>
    <m/>
    <m/>
    <m/>
  </r>
  <r>
    <x v="2"/>
    <x v="41"/>
    <s v="MBA"/>
    <s v="Pinaod"/>
    <n v="7283"/>
    <n v="7738"/>
    <s v="NO TECHNICAL ASSISTANCE CONDUCTED"/>
    <m/>
    <m/>
    <x v="0"/>
    <m/>
    <s v="Rod Ross S. De Jesus"/>
    <s v="Diozelle L. Cabalar"/>
    <m/>
    <m/>
    <m/>
    <m/>
    <m/>
    <s v=""/>
    <s v=""/>
    <s v=""/>
    <s v=""/>
    <m/>
    <m/>
    <m/>
    <m/>
    <m/>
  </r>
  <r>
    <x v="2"/>
    <x v="41"/>
    <s v="MBA"/>
    <s v="Poblacion"/>
    <n v="4080"/>
    <n v="4901"/>
    <s v="NO TECHNICAL ASSISTANCE CONDUCTED"/>
    <m/>
    <m/>
    <x v="0"/>
    <m/>
    <s v="Rod Ross S. De Jesus"/>
    <s v="Diozelle L. Cabalar"/>
    <m/>
    <m/>
    <m/>
    <m/>
    <m/>
    <s v=""/>
    <s v=""/>
    <s v=""/>
    <s v=""/>
    <m/>
    <m/>
    <m/>
    <m/>
    <m/>
  </r>
  <r>
    <x v="2"/>
    <x v="41"/>
    <s v="MBA"/>
    <s v="Pulong Tamo"/>
    <n v="1987"/>
    <n v="2198"/>
    <s v="NO TECHNICAL ASSISTANCE CONDUCTED"/>
    <m/>
    <m/>
    <x v="0"/>
    <m/>
    <s v="Rod Ross S. De Jesus"/>
    <s v="Diozelle L. Cabalar"/>
    <m/>
    <m/>
    <m/>
    <m/>
    <m/>
    <s v=""/>
    <s v=""/>
    <s v=""/>
    <s v=""/>
    <m/>
    <m/>
    <m/>
    <m/>
    <m/>
  </r>
  <r>
    <x v="2"/>
    <x v="41"/>
    <s v="MBA"/>
    <s v="San Juan"/>
    <n v="5149"/>
    <n v="4986"/>
    <s v="NO TECHNICAL ASSISTANCE CONDUCTED"/>
    <m/>
    <m/>
    <x v="0"/>
    <m/>
    <s v="Rod Ross S. De Jesus"/>
    <s v="Diozelle L. Cabalar"/>
    <m/>
    <m/>
    <m/>
    <m/>
    <m/>
    <s v=""/>
    <s v=""/>
    <s v=""/>
    <s v=""/>
    <m/>
    <m/>
    <m/>
    <m/>
    <m/>
  </r>
  <r>
    <x v="2"/>
    <x v="41"/>
    <s v="MBA"/>
    <s v="Santa Catalina Bata"/>
    <n v="1502"/>
    <n v="1422"/>
    <s v="NO TECHNICAL ASSISTANCE CONDUCTED"/>
    <m/>
    <m/>
    <x v="0"/>
    <m/>
    <s v="Rod Ross S. De Jesus"/>
    <s v="Diozelle L. Cabalar"/>
    <m/>
    <m/>
    <m/>
    <m/>
    <m/>
    <s v=""/>
    <s v=""/>
    <s v=""/>
    <s v=""/>
    <m/>
    <m/>
    <m/>
    <m/>
    <m/>
  </r>
  <r>
    <x v="2"/>
    <x v="41"/>
    <s v="MBA"/>
    <s v="Santa Catalina Matanda"/>
    <n v="2620"/>
    <n v="2971"/>
    <s v="NO TECHNICAL ASSISTANCE CONDUCTED"/>
    <m/>
    <m/>
    <x v="0"/>
    <m/>
    <s v="Rod Ross S. De Jesus"/>
    <s v="Diozelle L. Cabalar"/>
    <m/>
    <m/>
    <m/>
    <m/>
    <m/>
    <s v=""/>
    <s v=""/>
    <s v=""/>
    <s v=""/>
    <m/>
    <m/>
    <m/>
    <m/>
    <m/>
  </r>
  <r>
    <x v="2"/>
    <x v="41"/>
    <s v="MBA"/>
    <s v="Sapang Dayap"/>
    <n v="1483"/>
    <n v="1626"/>
    <s v="NO TECHNICAL ASSISTANCE CONDUCTED"/>
    <m/>
    <m/>
    <x v="0"/>
    <m/>
    <s v="Rod Ross S. De Jesus"/>
    <s v="Diozelle L. Cabalar"/>
    <m/>
    <m/>
    <m/>
    <m/>
    <m/>
    <s v=""/>
    <s v=""/>
    <s v=""/>
    <s v=""/>
    <m/>
    <m/>
    <m/>
    <m/>
    <m/>
  </r>
  <r>
    <x v="2"/>
    <x v="41"/>
    <s v="MBA"/>
    <s v="Sapang Putik"/>
    <n v="3946"/>
    <n v="4858"/>
    <s v="NO TECHNICAL ASSISTANCE CONDUCTED"/>
    <m/>
    <m/>
    <x v="0"/>
    <m/>
    <s v="Rod Ross S. De Jesus"/>
    <s v="Diozelle L. Cabalar"/>
    <m/>
    <m/>
    <m/>
    <m/>
    <m/>
    <s v=""/>
    <s v=""/>
    <s v=""/>
    <s v=""/>
    <m/>
    <m/>
    <m/>
    <m/>
    <m/>
  </r>
  <r>
    <x v="2"/>
    <x v="41"/>
    <s v="MBA"/>
    <s v="Sapang Putol"/>
    <n v="1988"/>
    <n v="2383"/>
    <s v="NO TECHNICAL ASSISTANCE CONDUCTED"/>
    <m/>
    <m/>
    <x v="0"/>
    <m/>
    <s v="Rod Ross S. De Jesus"/>
    <s v="Diozelle L. Cabalar"/>
    <m/>
    <m/>
    <m/>
    <m/>
    <m/>
    <s v=""/>
    <s v=""/>
    <s v=""/>
    <s v=""/>
    <m/>
    <m/>
    <m/>
    <m/>
    <m/>
  </r>
  <r>
    <x v="2"/>
    <x v="41"/>
    <s v="MBA"/>
    <s v="Sumandig"/>
    <n v="2257"/>
    <n v="2407"/>
    <s v="CONDUCTED TECHNICAL ASSISTANCE"/>
    <n v="2024"/>
    <d v="2024-07-10T00:00:00"/>
    <x v="0"/>
    <m/>
    <s v="Rod Ross S. De Jesus"/>
    <s v="Diozelle L. Cabalar"/>
    <m/>
    <m/>
    <m/>
    <m/>
    <m/>
    <s v=""/>
    <s v=""/>
    <s v=""/>
    <s v=""/>
    <m/>
    <s v="MRF"/>
    <s v="OPERATIONAL"/>
    <s v="Technical Assistance"/>
    <m/>
  </r>
  <r>
    <x v="2"/>
    <x v="41"/>
    <s v="MBA"/>
    <s v="Telepatio"/>
    <n v="1020"/>
    <n v="1110"/>
    <s v="NO TECHNICAL ASSISTANCE CONDUCTED"/>
    <m/>
    <m/>
    <x v="0"/>
    <m/>
    <s v="Rod Ross S. De Jesus"/>
    <s v="Diozelle L. Cabalar"/>
    <m/>
    <m/>
    <m/>
    <m/>
    <m/>
    <s v=""/>
    <s v=""/>
    <s v=""/>
    <s v=""/>
    <m/>
    <m/>
    <m/>
    <m/>
    <m/>
  </r>
  <r>
    <x v="2"/>
    <x v="41"/>
    <s v="MBA"/>
    <s v="Umpucan"/>
    <n v="2423"/>
    <n v="2509"/>
    <s v="NO TECHNICAL ASSISTANCE CONDUCTED"/>
    <m/>
    <m/>
    <x v="0"/>
    <m/>
    <s v="Rod Ross S. De Jesus"/>
    <s v="Diozelle L. Cabalar"/>
    <m/>
    <m/>
    <m/>
    <m/>
    <m/>
    <s v=""/>
    <s v=""/>
    <s v=""/>
    <s v=""/>
    <m/>
    <m/>
    <m/>
    <m/>
    <m/>
  </r>
  <r>
    <x v="2"/>
    <x v="41"/>
    <s v="MBA"/>
    <s v="Upig"/>
    <n v="2524"/>
    <n v="2729"/>
    <s v="NO TECHNICAL ASSISTANCE CONDUCTED"/>
    <m/>
    <m/>
    <x v="0"/>
    <m/>
    <s v="Rod Ross S. De Jesus"/>
    <s v="Diozelle L. Cabalar"/>
    <m/>
    <m/>
    <m/>
    <m/>
    <m/>
    <s v=""/>
    <s v=""/>
    <s v=""/>
    <s v=""/>
    <m/>
    <m/>
    <m/>
    <m/>
    <m/>
  </r>
  <r>
    <x v="2"/>
    <x v="42"/>
    <s v="MBA"/>
    <s v="Bagong Pag-asa"/>
    <n v="1314"/>
    <n v="1438"/>
    <s v="NO TECHNICAL ASSISTANCE CONDUCTED"/>
    <m/>
    <m/>
    <x v="0"/>
    <m/>
    <s v="Rod Ross S. De Jesus"/>
    <s v="Diozelle L. Cabalar"/>
    <m/>
    <m/>
    <m/>
    <m/>
    <m/>
    <s v=""/>
    <s v=""/>
    <s v=""/>
    <s v=""/>
    <m/>
    <m/>
    <m/>
    <m/>
    <m/>
  </r>
  <r>
    <x v="2"/>
    <x v="42"/>
    <s v="MBA"/>
    <s v="Bagong Silang"/>
    <n v="1876"/>
    <n v="2092"/>
    <s v="CONDUCTED TECHNICAL ASSISTANCE"/>
    <n v="2024"/>
    <d v="2024-11-06T00:00:00"/>
    <x v="0"/>
    <m/>
    <s v="Rod Ross S. De Jesus"/>
    <s v="Diozelle L. Cabalar"/>
    <m/>
    <m/>
    <m/>
    <m/>
    <m/>
    <s v=""/>
    <s v=""/>
    <s v=""/>
    <s v=""/>
    <m/>
    <s v="MRF"/>
    <s v="OPERATIONAL"/>
    <s v="Technical Assistance"/>
    <m/>
  </r>
  <r>
    <x v="2"/>
    <x v="42"/>
    <s v="MBA"/>
    <s v="Balaong"/>
    <n v="2670"/>
    <n v="2823"/>
    <s v="NO TECHNICAL ASSISTANCE CONDUCTED"/>
    <m/>
    <m/>
    <x v="0"/>
    <m/>
    <s v="Rod Ross S. De Jesus"/>
    <s v="Diozelle L. Cabalar"/>
    <m/>
    <m/>
    <m/>
    <m/>
    <m/>
    <s v=""/>
    <s v=""/>
    <s v=""/>
    <s v=""/>
    <m/>
    <m/>
    <m/>
    <m/>
    <m/>
  </r>
  <r>
    <x v="2"/>
    <x v="42"/>
    <s v="MBA"/>
    <s v="Balite"/>
    <n v="2598"/>
    <n v="3669"/>
    <s v="NO TECHNICAL ASSISTANCE CONDUCTED"/>
    <m/>
    <m/>
    <x v="0"/>
    <m/>
    <s v="Rod Ross S. De Jesus"/>
    <s v="Diozelle L. Cabalar"/>
    <m/>
    <m/>
    <m/>
    <m/>
    <m/>
    <s v=""/>
    <s v=""/>
    <s v=""/>
    <s v=""/>
    <m/>
    <m/>
    <m/>
    <m/>
    <m/>
  </r>
  <r>
    <x v="2"/>
    <x v="42"/>
    <s v="MBA"/>
    <s v="Bantog"/>
    <n v="3695"/>
    <n v="3955"/>
    <s v="CONDUCTED TECHNICAL ASSISTANCE"/>
    <n v="2024"/>
    <d v="2024-11-05T00:00:00"/>
    <x v="0"/>
    <m/>
    <s v="Rod Ross S. De Jesus"/>
    <s v="Diozelle L. Cabalar"/>
    <m/>
    <m/>
    <m/>
    <m/>
    <m/>
    <s v=""/>
    <s v=""/>
    <s v=""/>
    <s v=""/>
    <m/>
    <s v="MRF"/>
    <s v="OPERATIONAL"/>
    <s v="Technical Assistance"/>
    <m/>
  </r>
  <r>
    <x v="2"/>
    <x v="42"/>
    <s v="MBA"/>
    <s v="Bardias"/>
    <n v="1636"/>
    <n v="2080"/>
    <s v="NO TECHNICAL ASSISTANCE CONDUCTED"/>
    <m/>
    <m/>
    <x v="0"/>
    <m/>
    <s v="Rod Ross S. De Jesus"/>
    <s v="Diozelle L. Cabalar"/>
    <m/>
    <m/>
    <m/>
    <m/>
    <m/>
    <s v=""/>
    <s v=""/>
    <s v=""/>
    <s v=""/>
    <m/>
    <m/>
    <m/>
    <m/>
    <m/>
  </r>
  <r>
    <x v="2"/>
    <x v="42"/>
    <s v="MBA"/>
    <s v="Baritan"/>
    <n v="1553"/>
    <n v="1704"/>
    <s v="NO TECHNICAL ASSISTANCE CONDUCTED"/>
    <m/>
    <m/>
    <x v="0"/>
    <m/>
    <s v="Rod Ross S. De Jesus"/>
    <s v="Diozelle L. Cabalar"/>
    <m/>
    <m/>
    <m/>
    <m/>
    <m/>
    <s v=""/>
    <s v=""/>
    <s v=""/>
    <s v=""/>
    <m/>
    <m/>
    <m/>
    <m/>
    <m/>
  </r>
  <r>
    <x v="2"/>
    <x v="42"/>
    <s v="MBA"/>
    <s v="Batasan Bata"/>
    <n v="2037"/>
    <n v="2336"/>
    <s v="NO TECHNICAL ASSISTANCE CONDUCTED"/>
    <m/>
    <m/>
    <x v="0"/>
    <m/>
    <s v="Rod Ross S. De Jesus"/>
    <s v="Diozelle L. Cabalar"/>
    <m/>
    <m/>
    <m/>
    <m/>
    <m/>
    <s v=""/>
    <s v=""/>
    <s v=""/>
    <s v=""/>
    <m/>
    <m/>
    <m/>
    <m/>
    <m/>
  </r>
  <r>
    <x v="2"/>
    <x v="42"/>
    <s v="MBA"/>
    <s v="Batasan Matanda"/>
    <n v="3003"/>
    <n v="3404"/>
    <s v="NO TECHNICAL ASSISTANCE CONDUCTED"/>
    <m/>
    <m/>
    <x v="0"/>
    <m/>
    <s v="Rod Ross S. De Jesus"/>
    <s v="Diozelle L. Cabalar"/>
    <m/>
    <m/>
    <m/>
    <m/>
    <m/>
    <s v=""/>
    <s v=""/>
    <s v=""/>
    <s v=""/>
    <m/>
    <m/>
    <m/>
    <m/>
    <m/>
  </r>
  <r>
    <x v="2"/>
    <x v="42"/>
    <s v="MBA"/>
    <s v="Biak-na-Bato"/>
    <n v="1737"/>
    <n v="2433"/>
    <s v="NO TECHNICAL ASSISTANCE CONDUCTED"/>
    <m/>
    <m/>
    <x v="0"/>
    <m/>
    <s v="Rod Ross S. De Jesus"/>
    <s v="Diozelle L. Cabalar"/>
    <m/>
    <m/>
    <m/>
    <m/>
    <m/>
    <s v=""/>
    <s v=""/>
    <s v=""/>
    <s v=""/>
    <m/>
    <m/>
    <m/>
    <m/>
    <m/>
  </r>
  <r>
    <x v="2"/>
    <x v="42"/>
    <s v="MBA"/>
    <s v="Biclat"/>
    <n v="1870"/>
    <n v="1761"/>
    <s v="NO TECHNICAL ASSISTANCE CONDUCTED"/>
    <m/>
    <m/>
    <x v="0"/>
    <m/>
    <s v="Rod Ross S. De Jesus"/>
    <s v="Diozelle L. Cabalar"/>
    <m/>
    <m/>
    <m/>
    <m/>
    <m/>
    <s v=""/>
    <s v=""/>
    <s v=""/>
    <s v=""/>
    <m/>
    <m/>
    <m/>
    <m/>
    <m/>
  </r>
  <r>
    <x v="2"/>
    <x v="42"/>
    <s v="MBA"/>
    <s v="Buga"/>
    <n v="1512"/>
    <n v="1680"/>
    <s v="NO TECHNICAL ASSISTANCE CONDUCTED"/>
    <m/>
    <m/>
    <x v="0"/>
    <m/>
    <s v="Rod Ross S. De Jesus"/>
    <s v="Diozelle L. Cabalar"/>
    <m/>
    <m/>
    <m/>
    <m/>
    <m/>
    <s v=""/>
    <s v=""/>
    <s v=""/>
    <s v=""/>
    <m/>
    <m/>
    <m/>
    <m/>
    <m/>
  </r>
  <r>
    <x v="2"/>
    <x v="42"/>
    <s v="MBA"/>
    <s v="Buliran"/>
    <n v="4862"/>
    <n v="5499"/>
    <s v="NO TECHNICAL ASSISTANCE CONDUCTED"/>
    <m/>
    <m/>
    <x v="0"/>
    <m/>
    <s v="Rod Ross S. De Jesus"/>
    <s v="Diozelle L. Cabalar"/>
    <m/>
    <m/>
    <m/>
    <m/>
    <m/>
    <s v=""/>
    <s v=""/>
    <s v=""/>
    <s v=""/>
    <m/>
    <m/>
    <m/>
    <m/>
    <m/>
  </r>
  <r>
    <x v="2"/>
    <x v="42"/>
    <s v="MBA"/>
    <s v="Bulualto"/>
    <n v="2873"/>
    <n v="2890"/>
    <s v="CONDUCTED TECHNICAL ASSISTANCE"/>
    <n v="2024"/>
    <d v="2024-11-05T00:00:00"/>
    <x v="0"/>
    <m/>
    <s v="Rod Ross S. De Jesus"/>
    <s v="Diozelle L. Cabalar"/>
    <m/>
    <m/>
    <m/>
    <m/>
    <m/>
    <s v=""/>
    <s v=""/>
    <s v=""/>
    <s v=""/>
    <m/>
    <s v="MRF"/>
    <s v="NON-OPERATIONAL"/>
    <s v="Technical Assistance"/>
    <m/>
  </r>
  <r>
    <x v="2"/>
    <x v="42"/>
    <s v="MBA"/>
    <s v="Calumpang"/>
    <n v="3980"/>
    <n v="5531"/>
    <s v="NO TECHNICAL ASSISTANCE CONDUCTED"/>
    <m/>
    <m/>
    <x v="0"/>
    <m/>
    <s v="Rod Ross S. De Jesus"/>
    <s v="Diozelle L. Cabalar"/>
    <m/>
    <m/>
    <m/>
    <m/>
    <m/>
    <s v=""/>
    <s v=""/>
    <s v=""/>
    <s v=""/>
    <m/>
    <m/>
    <m/>
    <m/>
    <m/>
  </r>
  <r>
    <x v="2"/>
    <x v="42"/>
    <s v="MBA"/>
    <s v="Cambio"/>
    <n v="1886"/>
    <n v="2223"/>
    <s v="CONDUCTED TECHNICAL ASSISTANCE"/>
    <n v="2024"/>
    <d v="2024-11-06T00:00:00"/>
    <x v="0"/>
    <m/>
    <s v="Rod Ross S. De Jesus"/>
    <s v="Diozelle L. Cabalar"/>
    <m/>
    <m/>
    <m/>
    <m/>
    <m/>
    <s v=""/>
    <s v=""/>
    <s v=""/>
    <s v=""/>
    <m/>
    <s v="MRF"/>
    <s v="OPERATIONAL"/>
    <s v="Technical Assistance"/>
    <m/>
  </r>
  <r>
    <x v="2"/>
    <x v="42"/>
    <s v="MBA"/>
    <s v="Camias"/>
    <n v="7560"/>
    <n v="8555"/>
    <s v="NO TECHNICAL ASSISTANCE CONDUCTED"/>
    <m/>
    <m/>
    <x v="0"/>
    <m/>
    <s v="Rod Ross S. De Jesus"/>
    <s v="Diozelle L. Cabalar"/>
    <m/>
    <m/>
    <m/>
    <m/>
    <m/>
    <s v=""/>
    <s v=""/>
    <s v=""/>
    <s v=""/>
    <m/>
    <m/>
    <m/>
    <m/>
    <m/>
  </r>
  <r>
    <x v="2"/>
    <x v="42"/>
    <s v="MBA"/>
    <s v="Ilog-Bulo"/>
    <n v="1604"/>
    <n v="1695"/>
    <s v="NO TECHNICAL ASSISTANCE CONDUCTED"/>
    <m/>
    <m/>
    <x v="0"/>
    <m/>
    <s v="Rod Ross S. De Jesus"/>
    <s v="Diozelle L. Cabalar"/>
    <m/>
    <m/>
    <m/>
    <m/>
    <m/>
    <s v=""/>
    <s v=""/>
    <s v=""/>
    <s v=""/>
    <m/>
    <m/>
    <m/>
    <m/>
    <m/>
  </r>
  <r>
    <x v="2"/>
    <x v="42"/>
    <s v="MBA"/>
    <s v="King Kabayo"/>
    <n v="1662"/>
    <n v="1851"/>
    <s v="NO TECHNICAL ASSISTANCE CONDUCTED"/>
    <m/>
    <m/>
    <x v="0"/>
    <m/>
    <s v="Rod Ross S. De Jesus"/>
    <s v="Diozelle L. Cabalar"/>
    <m/>
    <m/>
    <m/>
    <m/>
    <m/>
    <s v=""/>
    <s v=""/>
    <s v=""/>
    <s v=""/>
    <m/>
    <m/>
    <m/>
    <m/>
    <m/>
  </r>
  <r>
    <x v="2"/>
    <x v="42"/>
    <s v="MBA"/>
    <s v="Labne"/>
    <n v="1431"/>
    <n v="1562"/>
    <s v="NO TECHNICAL ASSISTANCE CONDUCTED"/>
    <m/>
    <m/>
    <x v="0"/>
    <m/>
    <s v="Rod Ross S. De Jesus"/>
    <s v="Diozelle L. Cabalar"/>
    <m/>
    <m/>
    <m/>
    <m/>
    <m/>
    <s v=""/>
    <s v=""/>
    <s v=""/>
    <s v=""/>
    <m/>
    <m/>
    <m/>
    <m/>
    <m/>
  </r>
  <r>
    <x v="2"/>
    <x v="42"/>
    <s v="MBA"/>
    <s v="Lambakin"/>
    <n v="2805"/>
    <n v="3108"/>
    <s v="NO TECHNICAL ASSISTANCE CONDUCTED"/>
    <m/>
    <m/>
    <x v="0"/>
    <m/>
    <s v="Rod Ross S. De Jesus"/>
    <s v="Diozelle L. Cabalar"/>
    <m/>
    <m/>
    <m/>
    <m/>
    <m/>
    <s v=""/>
    <s v=""/>
    <s v=""/>
    <s v=""/>
    <m/>
    <m/>
    <m/>
    <m/>
    <m/>
  </r>
  <r>
    <x v="2"/>
    <x v="42"/>
    <s v="MBA"/>
    <s v="Magmarale"/>
    <n v="2163"/>
    <n v="2544"/>
    <s v="NO TECHNICAL ASSISTANCE CONDUCTED"/>
    <m/>
    <m/>
    <x v="0"/>
    <m/>
    <s v="Rod Ross S. De Jesus"/>
    <s v="Diozelle L. Cabalar"/>
    <m/>
    <m/>
    <m/>
    <m/>
    <m/>
    <s v=""/>
    <s v=""/>
    <s v=""/>
    <s v=""/>
    <m/>
    <m/>
    <m/>
    <m/>
    <m/>
  </r>
  <r>
    <x v="2"/>
    <x v="42"/>
    <s v="MBA"/>
    <s v="Malibay"/>
    <n v="1935"/>
    <n v="2619"/>
    <s v="NO TECHNICAL ASSISTANCE CONDUCTED"/>
    <m/>
    <m/>
    <x v="0"/>
    <m/>
    <s v="Rod Ross S. De Jesus"/>
    <s v="Diozelle L. Cabalar"/>
    <m/>
    <m/>
    <m/>
    <m/>
    <m/>
    <s v=""/>
    <s v=""/>
    <s v=""/>
    <s v=""/>
    <m/>
    <m/>
    <m/>
    <m/>
    <m/>
  </r>
  <r>
    <x v="2"/>
    <x v="42"/>
    <s v="MBA"/>
    <s v="Maligaya"/>
    <n v="2092"/>
    <n v="2415"/>
    <s v="NO TECHNICAL ASSISTANCE CONDUCTED"/>
    <m/>
    <m/>
    <x v="0"/>
    <m/>
    <s v="Rod Ross S. De Jesus"/>
    <s v="Diozelle L. Cabalar"/>
    <m/>
    <m/>
    <m/>
    <m/>
    <m/>
    <s v=""/>
    <s v=""/>
    <s v=""/>
    <s v=""/>
    <m/>
    <m/>
    <m/>
    <m/>
    <m/>
  </r>
  <r>
    <x v="2"/>
    <x v="42"/>
    <s v="MBA"/>
    <s v="Mandile"/>
    <n v="1878"/>
    <n v="2147"/>
    <s v="NO TECHNICAL ASSISTANCE CONDUCTED"/>
    <m/>
    <m/>
    <x v="0"/>
    <m/>
    <s v="Rod Ross S. De Jesus"/>
    <s v="Diozelle L. Cabalar"/>
    <m/>
    <m/>
    <m/>
    <m/>
    <m/>
    <s v=""/>
    <s v=""/>
    <s v=""/>
    <s v=""/>
    <m/>
    <m/>
    <m/>
    <m/>
    <m/>
  </r>
  <r>
    <x v="2"/>
    <x v="42"/>
    <s v="MBA"/>
    <s v="Masalipit"/>
    <n v="2883"/>
    <n v="3370"/>
    <s v="NO TECHNICAL ASSISTANCE CONDUCTED"/>
    <m/>
    <m/>
    <x v="0"/>
    <m/>
    <s v="Rod Ross S. De Jesus"/>
    <s v="Diozelle L. Cabalar"/>
    <m/>
    <m/>
    <m/>
    <m/>
    <m/>
    <s v=""/>
    <s v=""/>
    <s v=""/>
    <s v=""/>
    <m/>
    <m/>
    <m/>
    <m/>
    <m/>
  </r>
  <r>
    <x v="2"/>
    <x v="42"/>
    <s v="MBA"/>
    <s v="Pacalag"/>
    <n v="1165"/>
    <n v="1222"/>
    <s v="NO TECHNICAL ASSISTANCE CONDUCTED"/>
    <m/>
    <m/>
    <x v="0"/>
    <m/>
    <s v="Rod Ross S. De Jesus"/>
    <s v="Diozelle L. Cabalar"/>
    <m/>
    <m/>
    <m/>
    <m/>
    <m/>
    <s v=""/>
    <s v=""/>
    <s v=""/>
    <s v=""/>
    <m/>
    <m/>
    <m/>
    <m/>
    <m/>
  </r>
  <r>
    <x v="2"/>
    <x v="42"/>
    <s v="MBA"/>
    <s v="Paliwasan"/>
    <n v="2849"/>
    <n v="3240"/>
    <s v="NO TECHNICAL ASSISTANCE CONDUCTED"/>
    <m/>
    <m/>
    <x v="0"/>
    <m/>
    <s v="Rod Ross S. De Jesus"/>
    <s v="Diozelle L. Cabalar"/>
    <m/>
    <m/>
    <m/>
    <m/>
    <m/>
    <s v=""/>
    <s v=""/>
    <s v=""/>
    <s v=""/>
    <m/>
    <m/>
    <m/>
    <m/>
    <m/>
  </r>
  <r>
    <x v="2"/>
    <x v="42"/>
    <s v="MBA"/>
    <s v="Partida"/>
    <n v="3205"/>
    <n v="3503"/>
    <s v="NO TECHNICAL ASSISTANCE CONDUCTED"/>
    <m/>
    <m/>
    <x v="0"/>
    <m/>
    <s v="Rod Ross S. De Jesus"/>
    <s v="Diozelle L. Cabalar"/>
    <m/>
    <m/>
    <m/>
    <m/>
    <m/>
    <s v=""/>
    <s v=""/>
    <s v=""/>
    <s v=""/>
    <m/>
    <m/>
    <m/>
    <m/>
    <m/>
  </r>
  <r>
    <x v="2"/>
    <x v="42"/>
    <s v="MBA"/>
    <s v="Pinambaran"/>
    <n v="3860"/>
    <n v="4573"/>
    <s v="NO TECHNICAL ASSISTANCE CONDUCTED"/>
    <m/>
    <m/>
    <x v="0"/>
    <m/>
    <s v="Rod Ross S. De Jesus"/>
    <s v="Diozelle L. Cabalar"/>
    <m/>
    <m/>
    <m/>
    <m/>
    <m/>
    <s v=""/>
    <s v=""/>
    <s v=""/>
    <s v=""/>
    <m/>
    <m/>
    <m/>
    <m/>
    <m/>
  </r>
  <r>
    <x v="2"/>
    <x v="42"/>
    <s v="MBA"/>
    <s v="Poblacion"/>
    <n v="3127"/>
    <n v="3127"/>
    <s v="CONDUCTED TECHNICAL ASSISTANCE"/>
    <n v="2024"/>
    <d v="2024-09-04T00:00:00"/>
    <x v="0"/>
    <m/>
    <s v="Rod Ross S. De Jesus"/>
    <s v="Diozelle L. Cabalar"/>
    <m/>
    <m/>
    <m/>
    <m/>
    <m/>
    <s v=""/>
    <s v=""/>
    <s v=""/>
    <s v=""/>
    <m/>
    <s v="MRS"/>
    <m/>
    <s v="Technical Assistance"/>
    <m/>
  </r>
  <r>
    <x v="2"/>
    <x v="42"/>
    <s v="MBA"/>
    <s v="Pulong Bayabas"/>
    <n v="2030"/>
    <n v="2420"/>
    <s v="NO TECHNICAL ASSISTANCE CONDUCTED"/>
    <m/>
    <m/>
    <x v="0"/>
    <m/>
    <s v="Rod Ross S. De Jesus"/>
    <s v="Diozelle L. Cabalar"/>
    <m/>
    <m/>
    <m/>
    <m/>
    <m/>
    <s v=""/>
    <s v=""/>
    <s v=""/>
    <s v=""/>
    <m/>
    <m/>
    <m/>
    <m/>
    <m/>
  </r>
  <r>
    <x v="2"/>
    <x v="42"/>
    <s v="MBA"/>
    <s v="Pulong Duhat"/>
    <n v="1389"/>
    <n v="1439"/>
    <s v="NO TECHNICAL ASSISTANCE CONDUCTED"/>
    <m/>
    <m/>
    <x v="0"/>
    <m/>
    <s v="Rod Ross S. De Jesus"/>
    <s v="Diozelle L. Cabalar"/>
    <m/>
    <m/>
    <m/>
    <m/>
    <m/>
    <s v=""/>
    <s v=""/>
    <s v=""/>
    <s v=""/>
    <m/>
    <m/>
    <m/>
    <m/>
    <m/>
  </r>
  <r>
    <x v="2"/>
    <x v="42"/>
    <s v="MBA"/>
    <s v="Sacdalan"/>
    <n v="2216"/>
    <n v="2279"/>
    <s v="CONDUCTED TECHNICAL ASSISTANCE"/>
    <n v="2024"/>
    <d v="2024-11-05T00:00:00"/>
    <x v="0"/>
    <m/>
    <s v="Rod Ross S. De Jesus"/>
    <s v="Diozelle L. Cabalar"/>
    <m/>
    <m/>
    <m/>
    <m/>
    <m/>
    <s v=""/>
    <s v=""/>
    <s v=""/>
    <s v=""/>
    <m/>
    <s v="MRF"/>
    <s v="OPERATIONAL"/>
    <s v="Technical Assistance"/>
    <m/>
  </r>
  <r>
    <x v="2"/>
    <x v="42"/>
    <s v="MBA"/>
    <s v="Salacot"/>
    <n v="3127"/>
    <n v="3378"/>
    <s v="NO TECHNICAL ASSISTANCE CONDUCTED"/>
    <m/>
    <m/>
    <x v="0"/>
    <m/>
    <s v="Rod Ross S. De Jesus"/>
    <s v="Diozelle L. Cabalar"/>
    <m/>
    <m/>
    <m/>
    <m/>
    <m/>
    <s v=""/>
    <s v=""/>
    <s v=""/>
    <s v=""/>
    <m/>
    <m/>
    <m/>
    <m/>
    <m/>
  </r>
  <r>
    <x v="2"/>
    <x v="42"/>
    <s v="MBA"/>
    <s v="Salangan"/>
    <n v="5056"/>
    <n v="5363"/>
    <s v="NO TECHNICAL ASSISTANCE CONDUCTED"/>
    <m/>
    <m/>
    <x v="0"/>
    <m/>
    <s v="Rod Ross S. De Jesus"/>
    <s v="Diozelle L. Cabalar"/>
    <m/>
    <m/>
    <m/>
    <m/>
    <m/>
    <s v=""/>
    <s v=""/>
    <s v=""/>
    <s v=""/>
    <m/>
    <m/>
    <m/>
    <m/>
    <m/>
  </r>
  <r>
    <x v="2"/>
    <x v="42"/>
    <s v="MBA"/>
    <s v="San Agustin"/>
    <n v="3755"/>
    <n v="4323"/>
    <s v="NO TECHNICAL ASSISTANCE CONDUCTED"/>
    <m/>
    <m/>
    <x v="0"/>
    <m/>
    <s v="Rod Ross S. De Jesus"/>
    <s v="Diozelle L. Cabalar"/>
    <m/>
    <m/>
    <m/>
    <m/>
    <m/>
    <s v=""/>
    <s v=""/>
    <s v=""/>
    <s v=""/>
    <m/>
    <m/>
    <m/>
    <m/>
    <m/>
  </r>
  <r>
    <x v="2"/>
    <x v="42"/>
    <s v="MBA"/>
    <s v="San Jose"/>
    <n v="4951"/>
    <n v="4613"/>
    <s v="CONDUCTED TECHNICAL ASSISTANCE"/>
    <n v="2024"/>
    <d v="2024-09-04T00:00:00"/>
    <x v="0"/>
    <m/>
    <s v="Rod Ross S. De Jesus"/>
    <s v="Diozelle L. Cabalar"/>
    <m/>
    <m/>
    <m/>
    <m/>
    <m/>
    <s v=""/>
    <s v=""/>
    <s v=""/>
    <s v=""/>
    <m/>
    <s v="MRS"/>
    <m/>
    <s v="Technical Assistance"/>
    <m/>
  </r>
  <r>
    <x v="2"/>
    <x v="42"/>
    <s v="MBA"/>
    <s v="San Juan"/>
    <n v="8602"/>
    <n v="8950"/>
    <s v="NO TECHNICAL ASSISTANCE CONDUCTED"/>
    <m/>
    <m/>
    <x v="0"/>
    <m/>
    <s v="Rod Ross S. De Jesus"/>
    <s v="Diozelle L. Cabalar"/>
    <m/>
    <m/>
    <m/>
    <m/>
    <m/>
    <s v=""/>
    <s v=""/>
    <s v=""/>
    <s v=""/>
    <m/>
    <m/>
    <m/>
    <m/>
    <m/>
  </r>
  <r>
    <x v="2"/>
    <x v="42"/>
    <s v="MBA"/>
    <s v="San Vicente"/>
    <n v="2860"/>
    <n v="2746"/>
    <s v="NO TECHNICAL ASSISTANCE CONDUCTED"/>
    <m/>
    <m/>
    <x v="0"/>
    <m/>
    <s v="Rod Ross S. De Jesus"/>
    <s v="Diozelle L. Cabalar"/>
    <m/>
    <m/>
    <m/>
    <m/>
    <m/>
    <s v=""/>
    <s v=""/>
    <s v=""/>
    <s v=""/>
    <m/>
    <m/>
    <m/>
    <m/>
    <m/>
  </r>
  <r>
    <x v="2"/>
    <x v="42"/>
    <s v="MBA"/>
    <s v="Santa Ines"/>
    <n v="6000"/>
    <n v="6509"/>
    <s v="NO TECHNICAL ASSISTANCE CONDUCTED"/>
    <m/>
    <m/>
    <x v="0"/>
    <m/>
    <s v="Rod Ross S. De Jesus"/>
    <s v="Diozelle L. Cabalar"/>
    <m/>
    <m/>
    <m/>
    <m/>
    <m/>
    <s v=""/>
    <s v=""/>
    <s v=""/>
    <s v=""/>
    <m/>
    <m/>
    <m/>
    <m/>
    <m/>
  </r>
  <r>
    <x v="2"/>
    <x v="42"/>
    <s v="MBA"/>
    <s v="Santa Lucia"/>
    <n v="3335"/>
    <n v="4005"/>
    <s v="NO TECHNICAL ASSISTANCE CONDUCTED"/>
    <m/>
    <m/>
    <x v="0"/>
    <m/>
    <s v="Rod Ross S. De Jesus"/>
    <s v="Diozelle L. Cabalar"/>
    <m/>
    <m/>
    <m/>
    <m/>
    <m/>
    <s v=""/>
    <s v=""/>
    <s v=""/>
    <s v=""/>
    <m/>
    <m/>
    <m/>
    <m/>
    <m/>
  </r>
  <r>
    <x v="2"/>
    <x v="42"/>
    <s v="MBA"/>
    <s v="Santa Rita Bata"/>
    <n v="2945"/>
    <n v="3829"/>
    <s v="NO TECHNICAL ASSISTANCE CONDUCTED"/>
    <m/>
    <m/>
    <x v="0"/>
    <m/>
    <s v="Rod Ross S. De Jesus"/>
    <s v="Diozelle L. Cabalar"/>
    <m/>
    <m/>
    <m/>
    <m/>
    <m/>
    <s v=""/>
    <s v=""/>
    <s v=""/>
    <s v=""/>
    <m/>
    <m/>
    <m/>
    <m/>
    <m/>
  </r>
  <r>
    <x v="2"/>
    <x v="42"/>
    <s v="MBA"/>
    <s v="Santa Rita Matanda"/>
    <n v="2829"/>
    <n v="2983"/>
    <s v="NO TECHNICAL ASSISTANCE CONDUCTED"/>
    <m/>
    <m/>
    <x v="0"/>
    <m/>
    <s v="Rod Ross S. De Jesus"/>
    <s v="Diozelle L. Cabalar"/>
    <m/>
    <m/>
    <m/>
    <m/>
    <m/>
    <s v=""/>
    <s v=""/>
    <s v=""/>
    <s v=""/>
    <m/>
    <m/>
    <m/>
    <m/>
    <m/>
  </r>
  <r>
    <x v="2"/>
    <x v="42"/>
    <s v="MBA"/>
    <s v="Sapang"/>
    <n v="1632"/>
    <n v="1997"/>
    <s v="NO TECHNICAL ASSISTANCE CONDUCTED"/>
    <m/>
    <m/>
    <x v="0"/>
    <m/>
    <s v="Rod Ross S. De Jesus"/>
    <s v="Diozelle L. Cabalar"/>
    <m/>
    <m/>
    <m/>
    <m/>
    <m/>
    <s v=""/>
    <s v=""/>
    <s v=""/>
    <s v=""/>
    <m/>
    <m/>
    <m/>
    <m/>
    <m/>
  </r>
  <r>
    <x v="2"/>
    <x v="42"/>
    <s v="MBA"/>
    <s v="Sibul"/>
    <n v="10161"/>
    <n v="11092"/>
    <s v="NO TECHNICAL ASSISTANCE CONDUCTED"/>
    <m/>
    <m/>
    <x v="0"/>
    <m/>
    <s v="Rod Ross S. De Jesus"/>
    <s v="Diozelle L. Cabalar"/>
    <m/>
    <m/>
    <m/>
    <m/>
    <m/>
    <s v=""/>
    <s v=""/>
    <s v=""/>
    <s v=""/>
    <m/>
    <m/>
    <m/>
    <m/>
    <m/>
  </r>
  <r>
    <x v="2"/>
    <x v="42"/>
    <s v="MBA"/>
    <s v="Tartaro"/>
    <n v="6001"/>
    <n v="6039"/>
    <s v="NO TECHNICAL ASSISTANCE CONDUCTED"/>
    <m/>
    <m/>
    <x v="0"/>
    <m/>
    <s v="Rod Ross S. De Jesus"/>
    <s v="Diozelle L. Cabalar"/>
    <m/>
    <m/>
    <m/>
    <m/>
    <m/>
    <s v=""/>
    <s v=""/>
    <s v=""/>
    <s v=""/>
    <m/>
    <m/>
    <m/>
    <m/>
    <m/>
  </r>
  <r>
    <x v="2"/>
    <x v="42"/>
    <s v="MBA"/>
    <s v="Tibagan"/>
    <n v="3678"/>
    <n v="4662"/>
    <s v="NO TECHNICAL ASSISTANCE CONDUCTED"/>
    <m/>
    <m/>
    <x v="0"/>
    <m/>
    <s v="Rod Ross S. De Jesus"/>
    <s v="Diozelle L. Cabalar"/>
    <m/>
    <m/>
    <m/>
    <m/>
    <m/>
    <s v=""/>
    <s v=""/>
    <s v=""/>
    <s v=""/>
    <m/>
    <m/>
    <m/>
    <m/>
    <m/>
  </r>
  <r>
    <x v="2"/>
    <x v="42"/>
    <s v="MBA"/>
    <s v="Tigpalas"/>
    <n v="3994"/>
    <n v="4397"/>
    <s v="NO TECHNICAL ASSISTANCE CONDUCTED"/>
    <m/>
    <m/>
    <x v="0"/>
    <m/>
    <s v="Rod Ross S. De Jesus"/>
    <s v="Diozelle L. Cabalar"/>
    <m/>
    <m/>
    <m/>
    <m/>
    <m/>
    <s v=""/>
    <s v=""/>
    <s v=""/>
    <s v=""/>
    <m/>
    <m/>
    <m/>
    <m/>
    <m/>
  </r>
  <r>
    <x v="2"/>
    <x v="43"/>
    <s v="MBA"/>
    <s v="Banca-banca"/>
    <n v="1174"/>
    <n v="1354"/>
    <s v="CONDUCTED TECHNICAL ASSISTANCE"/>
    <n v="2025"/>
    <d v="2025-10-13T00:00:00"/>
    <x v="11"/>
    <s v="Jasmin Marie N. Siapco"/>
    <s v="Maria Cecilia S. Pascual"/>
    <s v="Diozelle L. Cabalar"/>
    <s v="R3-2025-035058"/>
    <d v="2025-10-16T00:00:00"/>
    <d v="2025-10-17T00:00:00"/>
    <d v="2025-10-19T00:00:00"/>
    <d v="2025-10-20T00:00:00"/>
    <n v="3"/>
    <n v="1"/>
    <n v="1"/>
    <n v="1"/>
    <s v="Received by Planning"/>
    <s v="MRS"/>
    <s v="CATER BY LGU"/>
    <s v="Technical Assistance"/>
    <m/>
  </r>
  <r>
    <x v="2"/>
    <x v="43"/>
    <s v="MBA"/>
    <s v="BMA-Balagtas"/>
    <n v="1515"/>
    <n v="2263"/>
    <s v="CONDUCTED TECHNICAL ASSISTANCE"/>
    <n v="2025"/>
    <d v="2025-10-13T00:00:00"/>
    <x v="11"/>
    <s v="Jasmin Marie N. Siapco"/>
    <s v="Maria Cecilia S. Pascual"/>
    <s v="Diozelle L. Cabalar"/>
    <s v="R3-2025-035057"/>
    <d v="2025-10-16T00:00:00"/>
    <d v="2025-10-17T00:00:00"/>
    <d v="2025-10-19T00:00:00"/>
    <d v="2025-10-20T00:00:00"/>
    <n v="3"/>
    <n v="1"/>
    <n v="1"/>
    <n v="1"/>
    <s v="Received by Planning"/>
    <s v="MRS"/>
    <s v="CATER BY LGU"/>
    <s v="Technical Assistance"/>
    <m/>
  </r>
  <r>
    <x v="2"/>
    <x v="43"/>
    <s v="MBA"/>
    <s v="Caingin"/>
    <n v="10262"/>
    <n v="10836"/>
    <s v="NO TECHNICAL ASSISTANCE CONDUCTED"/>
    <m/>
    <m/>
    <x v="0"/>
    <m/>
    <s v="Rod Ross S. De Jesus"/>
    <s v="Diozelle L. Cabalar"/>
    <m/>
    <m/>
    <m/>
    <m/>
    <m/>
    <s v=""/>
    <s v=""/>
    <s v=""/>
    <s v=""/>
    <m/>
    <m/>
    <m/>
    <m/>
    <m/>
  </r>
  <r>
    <x v="2"/>
    <x v="43"/>
    <s v="MBA"/>
    <s v="Capihan"/>
    <n v="6423"/>
    <n v="6128"/>
    <s v="CONDUCTED TECHNICAL ASSISTANCE"/>
    <n v="2025"/>
    <d v="2025-10-07T00:00:00"/>
    <x v="11"/>
    <s v="Jasmin Marie N. Siapco"/>
    <s v="Maria Cecilia S. Pascual"/>
    <s v="Diozelle L. Cabalar"/>
    <s v="R3-2025-034065"/>
    <d v="2025-10-09T00:00:00"/>
    <d v="2025-10-15T00:00:00"/>
    <d v="2025-10-16T00:00:00"/>
    <d v="2025-10-20T00:00:00"/>
    <n v="2"/>
    <n v="1"/>
    <n v="1"/>
    <n v="2"/>
    <s v="Received by Planning"/>
    <s v="MRS"/>
    <s v="CATER BY LGU"/>
    <s v="Technical Assistance"/>
    <m/>
  </r>
  <r>
    <x v="2"/>
    <x v="43"/>
    <s v="MBA"/>
    <s v="Coral na Bato"/>
    <n v="1500"/>
    <n v="1804"/>
    <s v="CONDUCTED TECHNICAL ASSISTANCE"/>
    <n v="2025"/>
    <d v="2025-10-13T00:00:00"/>
    <x v="11"/>
    <s v="Jasmin Marie N. Siapco"/>
    <s v="Maria Cecilia S. Pascual"/>
    <s v="Diozelle L. Cabalar"/>
    <s v="R3-2025-035059"/>
    <d v="2025-10-16T00:00:00"/>
    <d v="2025-10-17T00:00:00"/>
    <d v="2025-10-19T00:00:00"/>
    <d v="2025-10-20T00:00:00"/>
    <n v="3"/>
    <n v="1"/>
    <n v="1"/>
    <n v="1"/>
    <s v="Received by Planning"/>
    <s v="MRS"/>
    <s v="CATER BY LGU"/>
    <s v="Technical Assistance"/>
    <m/>
  </r>
  <r>
    <x v="2"/>
    <x v="43"/>
    <s v="MBA"/>
    <s v="Cruz na Daan"/>
    <n v="1372"/>
    <n v="1135"/>
    <s v="CONDUCTED TECHNICAL ASSISTANCE"/>
    <n v="2025"/>
    <d v="2025-10-13T00:00:00"/>
    <x v="11"/>
    <s v="Jasmin Marie N. Siapco"/>
    <s v="Maria Cecilia S. Pascual"/>
    <s v="Diozelle L. Cabalar"/>
    <s v="R3-2025-035060"/>
    <d v="2025-10-16T00:00:00"/>
    <d v="2025-10-17T00:00:00"/>
    <d v="2025-10-19T00:00:00"/>
    <d v="2025-10-20T00:00:00"/>
    <n v="3"/>
    <n v="1"/>
    <n v="1"/>
    <n v="1"/>
    <s v="Received by Planning"/>
    <s v="MRS"/>
    <s v="CATER BY LGU"/>
    <s v="Technical Assistance"/>
    <m/>
  </r>
  <r>
    <x v="2"/>
    <x v="43"/>
    <s v="MBA"/>
    <s v="Dagat-dagatan"/>
    <n v="1347"/>
    <n v="1485"/>
    <s v="CONDUCTED TECHNICAL ASSISTANCE"/>
    <n v="2025"/>
    <d v="2025-10-13T00:00:00"/>
    <x v="11"/>
    <s v="Jasmin Marie N. Siapco"/>
    <s v="Maria Cecilia S. Pascual"/>
    <s v="Diozelle L. Cabalar"/>
    <s v="R3-2025-035061"/>
    <d v="2025-10-16T00:00:00"/>
    <d v="2025-10-17T00:00:00"/>
    <d v="2025-10-19T00:00:00"/>
    <d v="2025-10-20T00:00:00"/>
    <n v="3"/>
    <n v="1"/>
    <n v="1"/>
    <n v="1"/>
    <s v="Received by Planning"/>
    <s v="MRS"/>
    <s v="CATER BY LGU"/>
    <s v="Technical Assistance"/>
    <m/>
  </r>
  <r>
    <x v="2"/>
    <x v="43"/>
    <s v="MBA"/>
    <s v="Diliman I"/>
    <n v="3340"/>
    <n v="3634"/>
    <s v="NO TECHNICAL ASSISTANCE CONDUCTED"/>
    <m/>
    <m/>
    <x v="0"/>
    <m/>
    <s v="Rod Ross S. De Jesus"/>
    <s v="Diozelle L. Cabalar"/>
    <m/>
    <m/>
    <m/>
    <m/>
    <m/>
    <s v=""/>
    <s v=""/>
    <s v=""/>
    <s v=""/>
    <m/>
    <m/>
    <m/>
    <m/>
    <m/>
  </r>
  <r>
    <x v="2"/>
    <x v="43"/>
    <s v="MBA"/>
    <s v="Diliman II"/>
    <n v="850"/>
    <n v="871"/>
    <s v="CONDUCTED TECHNICAL ASSISTANCE"/>
    <n v="2025"/>
    <d v="2025-10-13T00:00:00"/>
    <x v="11"/>
    <s v="Jasmin Marie N. Siapco"/>
    <s v="Maria Cecilia S. Pascual"/>
    <s v="Diozelle L. Cabalar"/>
    <s v="R3-2025-035062"/>
    <d v="2025-10-16T00:00:00"/>
    <d v="2025-10-17T00:00:00"/>
    <d v="2025-10-20T00:00:00"/>
    <d v="2025-10-20T00:00:00"/>
    <n v="3"/>
    <n v="1"/>
    <n v="1"/>
    <n v="1"/>
    <s v="Received by Planning"/>
    <s v="MRS"/>
    <s v="CATER BY LGU"/>
    <s v="Technical Assistance"/>
    <m/>
  </r>
  <r>
    <x v="2"/>
    <x v="43"/>
    <s v="MBA"/>
    <s v="Libis"/>
    <n v="2228"/>
    <n v="1910"/>
    <s v="CONDUCTED TECHNICAL ASSISTANCE"/>
    <n v="2025"/>
    <d v="2025-10-13T00:00:00"/>
    <x v="11"/>
    <s v="Jasmin Marie N. Siapco"/>
    <s v="Maria Cecilia S. Pascual"/>
    <s v="Diozelle L. Cabalar"/>
    <s v="R3-2025-035063"/>
    <d v="2025-10-16T00:00:00"/>
    <d v="2025-10-17T00:00:00"/>
    <d v="2025-10-20T00:00:00"/>
    <d v="2025-10-20T00:00:00"/>
    <n v="3"/>
    <n v="1"/>
    <n v="1"/>
    <n v="1"/>
    <s v="Received by Planning"/>
    <s v="MRS"/>
    <s v="CATER BY LGU"/>
    <s v="Technical Assistance"/>
    <m/>
  </r>
  <r>
    <x v="2"/>
    <x v="43"/>
    <s v="MBA"/>
    <s v="Lico"/>
    <n v="2023"/>
    <n v="2001"/>
    <s v="NO TECHNICAL ASSISTANCE CONDUCTED"/>
    <m/>
    <m/>
    <x v="0"/>
    <m/>
    <s v="Rod Ross S. De Jesus"/>
    <s v="Diozelle L. Cabalar"/>
    <m/>
    <m/>
    <m/>
    <m/>
    <m/>
    <s v=""/>
    <s v=""/>
    <s v=""/>
    <s v=""/>
    <m/>
    <m/>
    <m/>
    <m/>
    <m/>
  </r>
  <r>
    <x v="2"/>
    <x v="43"/>
    <s v="MBA"/>
    <s v="Maasim"/>
    <n v="1346"/>
    <n v="1383"/>
    <s v="NO TECHNICAL ASSISTANCE CONDUCTED"/>
    <m/>
    <m/>
    <x v="0"/>
    <m/>
    <s v="Rod Ross S. De Jesus"/>
    <s v="Diozelle L. Cabalar"/>
    <m/>
    <m/>
    <m/>
    <m/>
    <m/>
    <s v=""/>
    <s v=""/>
    <s v=""/>
    <s v=""/>
    <m/>
    <m/>
    <m/>
    <m/>
    <m/>
  </r>
  <r>
    <x v="2"/>
    <x v="43"/>
    <s v="MBA"/>
    <s v="Mabalas-balas"/>
    <n v="3667"/>
    <n v="4168"/>
    <s v="NO TECHNICAL ASSISTANCE CONDUCTED"/>
    <m/>
    <m/>
    <x v="0"/>
    <m/>
    <s v="Rod Ross S. De Jesus"/>
    <s v="Diozelle L. Cabalar"/>
    <m/>
    <m/>
    <m/>
    <m/>
    <m/>
    <s v=""/>
    <s v=""/>
    <s v=""/>
    <s v=""/>
    <m/>
    <m/>
    <m/>
    <m/>
    <m/>
  </r>
  <r>
    <x v="2"/>
    <x v="43"/>
    <s v="MBA"/>
    <s v="Maguinao"/>
    <n v="4123"/>
    <n v="4940"/>
    <s v="NO TECHNICAL ASSISTANCE CONDUCTED"/>
    <m/>
    <m/>
    <x v="0"/>
    <m/>
    <s v="Rod Ross S. De Jesus"/>
    <s v="Diozelle L. Cabalar"/>
    <m/>
    <m/>
    <m/>
    <m/>
    <m/>
    <s v=""/>
    <s v=""/>
    <s v=""/>
    <s v=""/>
    <m/>
    <m/>
    <m/>
    <m/>
    <m/>
  </r>
  <r>
    <x v="2"/>
    <x v="43"/>
    <s v="MBA"/>
    <s v="Maronguillo"/>
    <n v="3284"/>
    <n v="3958"/>
    <s v="NO TECHNICAL ASSISTANCE CONDUCTED"/>
    <m/>
    <m/>
    <x v="0"/>
    <m/>
    <s v="Rod Ross S. De Jesus"/>
    <s v="Diozelle L. Cabalar"/>
    <m/>
    <m/>
    <m/>
    <m/>
    <m/>
    <s v=""/>
    <s v=""/>
    <s v=""/>
    <s v=""/>
    <m/>
    <m/>
    <m/>
    <m/>
    <m/>
  </r>
  <r>
    <x v="2"/>
    <x v="43"/>
    <s v="MBA"/>
    <s v="Paco"/>
    <n v="1101"/>
    <n v="1043"/>
    <s v="NO TECHNICAL ASSISTANCE CONDUCTED"/>
    <m/>
    <m/>
    <x v="0"/>
    <m/>
    <s v="Rod Ross S. De Jesus"/>
    <s v="Diozelle L. Cabalar"/>
    <m/>
    <m/>
    <m/>
    <m/>
    <m/>
    <s v=""/>
    <s v=""/>
    <s v=""/>
    <s v=""/>
    <m/>
    <m/>
    <m/>
    <m/>
    <m/>
  </r>
  <r>
    <x v="2"/>
    <x v="43"/>
    <s v="MBA"/>
    <s v="Pansumaloc"/>
    <n v="997"/>
    <n v="1118"/>
    <s v="CONDUCTED TECHNICAL ASSISTANCE"/>
    <n v="2024"/>
    <d v="2025-06-04T00:00:00"/>
    <x v="0"/>
    <m/>
    <s v="Rod Ross S. De Jesus"/>
    <s v="Diozelle L. Cabalar"/>
    <m/>
    <m/>
    <m/>
    <m/>
    <m/>
    <s v=""/>
    <s v=""/>
    <s v=""/>
    <s v=""/>
    <m/>
    <m/>
    <m/>
    <s v="Technical Assistance"/>
    <m/>
  </r>
  <r>
    <x v="2"/>
    <x v="43"/>
    <s v="MBA"/>
    <s v="Pantubig"/>
    <n v="3750"/>
    <n v="3789"/>
    <s v="NO TECHNICAL ASSISTANCE CONDUCTED"/>
    <m/>
    <m/>
    <x v="0"/>
    <m/>
    <s v="Rod Ross S. De Jesus"/>
    <s v="Diozelle L. Cabalar"/>
    <m/>
    <m/>
    <m/>
    <m/>
    <m/>
    <s v=""/>
    <s v=""/>
    <s v=""/>
    <s v=""/>
    <m/>
    <m/>
    <m/>
    <m/>
    <m/>
  </r>
  <r>
    <x v="2"/>
    <x v="43"/>
    <s v="MBA"/>
    <s v="Pasong Bangkal"/>
    <n v="955"/>
    <n v="1107"/>
    <s v="NO TECHNICAL ASSISTANCE CONDUCTED"/>
    <m/>
    <m/>
    <x v="0"/>
    <m/>
    <s v="Rod Ross S. De Jesus"/>
    <s v="Diozelle L. Cabalar"/>
    <m/>
    <m/>
    <m/>
    <m/>
    <m/>
    <s v=""/>
    <s v=""/>
    <s v=""/>
    <s v=""/>
    <m/>
    <m/>
    <m/>
    <m/>
    <m/>
  </r>
  <r>
    <x v="2"/>
    <x v="43"/>
    <s v="MBA"/>
    <s v="Pasong Callos"/>
    <n v="818"/>
    <n v="911"/>
    <s v="NO TECHNICAL ASSISTANCE CONDUCTED"/>
    <m/>
    <m/>
    <x v="0"/>
    <m/>
    <s v="Rod Ross S. De Jesus"/>
    <s v="Diozelle L. Cabalar"/>
    <m/>
    <m/>
    <m/>
    <m/>
    <m/>
    <s v=""/>
    <s v=""/>
    <s v=""/>
    <s v=""/>
    <m/>
    <m/>
    <m/>
    <m/>
    <m/>
  </r>
  <r>
    <x v="2"/>
    <x v="43"/>
    <s v="MBA"/>
    <s v="Pasong Intsik"/>
    <n v="1459"/>
    <n v="1492"/>
    <s v="NO TECHNICAL ASSISTANCE CONDUCTED"/>
    <m/>
    <m/>
    <x v="0"/>
    <m/>
    <s v="Rod Ross S. De Jesus"/>
    <s v="Diozelle L. Cabalar"/>
    <m/>
    <m/>
    <m/>
    <m/>
    <m/>
    <s v=""/>
    <s v=""/>
    <s v=""/>
    <s v=""/>
    <m/>
    <m/>
    <m/>
    <m/>
    <m/>
  </r>
  <r>
    <x v="2"/>
    <x v="43"/>
    <s v="MBA"/>
    <s v="Pinacpinacan"/>
    <n v="1815"/>
    <n v="1840"/>
    <s v="NO TECHNICAL ASSISTANCE CONDUCTED"/>
    <m/>
    <m/>
    <x v="0"/>
    <m/>
    <s v="Rod Ross S. De Jesus"/>
    <s v="Diozelle L. Cabalar"/>
    <m/>
    <m/>
    <m/>
    <m/>
    <m/>
    <s v=""/>
    <s v=""/>
    <s v=""/>
    <s v=""/>
    <m/>
    <m/>
    <m/>
    <m/>
    <m/>
  </r>
  <r>
    <x v="2"/>
    <x v="43"/>
    <s v="MBA"/>
    <s v="Poblacion"/>
    <n v="1636"/>
    <n v="1640"/>
    <s v="NO TECHNICAL ASSISTANCE CONDUCTED"/>
    <m/>
    <m/>
    <x v="0"/>
    <m/>
    <s v="Rod Ross S. De Jesus"/>
    <s v="Diozelle L. Cabalar"/>
    <m/>
    <m/>
    <m/>
    <m/>
    <m/>
    <s v=""/>
    <s v=""/>
    <s v=""/>
    <s v=""/>
    <m/>
    <m/>
    <m/>
    <m/>
    <m/>
  </r>
  <r>
    <x v="2"/>
    <x v="43"/>
    <s v="MBA"/>
    <s v="Pulo"/>
    <n v="3488"/>
    <n v="3600"/>
    <s v="NO TECHNICAL ASSISTANCE CONDUCTED"/>
    <m/>
    <m/>
    <x v="0"/>
    <m/>
    <s v="Rod Ross S. De Jesus"/>
    <s v="Diozelle L. Cabalar"/>
    <m/>
    <m/>
    <m/>
    <m/>
    <m/>
    <s v=""/>
    <s v=""/>
    <s v=""/>
    <s v=""/>
    <m/>
    <m/>
    <m/>
    <m/>
    <m/>
  </r>
  <r>
    <x v="2"/>
    <x v="43"/>
    <s v="MBA"/>
    <s v="Pulong Bayabas"/>
    <n v="1071"/>
    <n v="1259"/>
    <s v="NO TECHNICAL ASSISTANCE CONDUCTED"/>
    <m/>
    <m/>
    <x v="0"/>
    <m/>
    <s v="Rod Ross S. De Jesus"/>
    <s v="Diozelle L. Cabalar"/>
    <m/>
    <m/>
    <m/>
    <m/>
    <m/>
    <s v=""/>
    <s v=""/>
    <s v=""/>
    <s v=""/>
    <m/>
    <m/>
    <m/>
    <m/>
    <m/>
  </r>
  <r>
    <x v="2"/>
    <x v="43"/>
    <s v="MBA"/>
    <s v="Salapungan"/>
    <n v="2058"/>
    <n v="2442"/>
    <s v="NO TECHNICAL ASSISTANCE CONDUCTED"/>
    <m/>
    <m/>
    <x v="0"/>
    <m/>
    <s v="Rod Ross S. De Jesus"/>
    <s v="Diozelle L. Cabalar"/>
    <m/>
    <m/>
    <m/>
    <m/>
    <m/>
    <s v=""/>
    <s v=""/>
    <s v=""/>
    <s v=""/>
    <m/>
    <m/>
    <m/>
    <m/>
    <m/>
  </r>
  <r>
    <x v="2"/>
    <x v="43"/>
    <s v="MBA"/>
    <s v="Sampaloc"/>
    <n v="4009"/>
    <n v="4480"/>
    <s v="CONDUCTED TECHNICAL ASSISTANCE"/>
    <n v="2024"/>
    <d v="2024-06-04T00:00:00"/>
    <x v="0"/>
    <m/>
    <s v="Rod Ross S. De Jesus"/>
    <s v="Diozelle L. Cabalar"/>
    <m/>
    <m/>
    <m/>
    <m/>
    <m/>
    <s v=""/>
    <s v=""/>
    <s v=""/>
    <s v=""/>
    <m/>
    <m/>
    <m/>
    <s v="Technical Assistance"/>
    <m/>
  </r>
  <r>
    <x v="2"/>
    <x v="43"/>
    <s v="MBA"/>
    <s v="San Agustin"/>
    <n v="1486"/>
    <n v="1745"/>
    <s v="NO TECHNICAL ASSISTANCE CONDUCTED"/>
    <m/>
    <m/>
    <x v="0"/>
    <m/>
    <s v="Rod Ross S. De Jesus"/>
    <s v="Diozelle L. Cabalar"/>
    <m/>
    <m/>
    <m/>
    <m/>
    <m/>
    <s v=""/>
    <s v=""/>
    <s v=""/>
    <s v=""/>
    <m/>
    <m/>
    <m/>
    <m/>
    <m/>
  </r>
  <r>
    <x v="2"/>
    <x v="43"/>
    <s v="MBA"/>
    <s v="San Roque"/>
    <n v="8233"/>
    <n v="9674"/>
    <s v="NO TECHNICAL ASSISTANCE CONDUCTED"/>
    <m/>
    <m/>
    <x v="0"/>
    <m/>
    <s v="Rod Ross S. De Jesus"/>
    <s v="Diozelle L. Cabalar"/>
    <m/>
    <m/>
    <m/>
    <m/>
    <m/>
    <s v=""/>
    <s v=""/>
    <s v=""/>
    <s v=""/>
    <m/>
    <m/>
    <m/>
    <m/>
    <m/>
  </r>
  <r>
    <x v="2"/>
    <x v="43"/>
    <s v="MBA"/>
    <s v="Sapang Pahalang"/>
    <n v="822"/>
    <n v="926"/>
    <s v="NO TECHNICAL ASSISTANCE CONDUCTED"/>
    <m/>
    <m/>
    <x v="0"/>
    <m/>
    <s v="Rod Ross S. De Jesus"/>
    <s v="Diozelle L. Cabalar"/>
    <m/>
    <m/>
    <m/>
    <m/>
    <m/>
    <s v=""/>
    <s v=""/>
    <s v=""/>
    <s v=""/>
    <m/>
    <m/>
    <m/>
    <m/>
    <m/>
  </r>
  <r>
    <x v="2"/>
    <x v="43"/>
    <s v="MBA"/>
    <s v="Talacsan"/>
    <n v="3659"/>
    <n v="4152"/>
    <s v="NO TECHNICAL ASSISTANCE CONDUCTED"/>
    <m/>
    <m/>
    <x v="0"/>
    <m/>
    <s v="Rod Ross S. De Jesus"/>
    <s v="Diozelle L. Cabalar"/>
    <m/>
    <m/>
    <m/>
    <m/>
    <m/>
    <s v=""/>
    <s v=""/>
    <s v=""/>
    <s v=""/>
    <m/>
    <m/>
    <m/>
    <m/>
    <m/>
  </r>
  <r>
    <x v="2"/>
    <x v="43"/>
    <s v="MBA"/>
    <s v="Tambubong"/>
    <n v="7810"/>
    <n v="7719"/>
    <s v="CONDUCTED TECHNICAL ASSISTANCE"/>
    <n v="2024"/>
    <d v="2024-06-04T00:00:00"/>
    <x v="0"/>
    <m/>
    <s v="Rod Ross S. De Jesus"/>
    <s v="Diozelle L. Cabalar"/>
    <m/>
    <m/>
    <m/>
    <m/>
    <m/>
    <s v=""/>
    <s v=""/>
    <s v=""/>
    <s v=""/>
    <m/>
    <m/>
    <m/>
    <s v="Technical Assistance"/>
    <m/>
  </r>
  <r>
    <x v="2"/>
    <x v="43"/>
    <s v="MBA"/>
    <s v="Tukod"/>
    <n v="2381"/>
    <n v="2579"/>
    <s v="NO TECHNICAL ASSISTANCE CONDUCTED"/>
    <m/>
    <m/>
    <x v="0"/>
    <m/>
    <s v="Rod Ross S. De Jesus"/>
    <s v="Diozelle L. Cabalar"/>
    <m/>
    <m/>
    <m/>
    <m/>
    <m/>
    <s v=""/>
    <s v=""/>
    <s v=""/>
    <s v=""/>
    <m/>
    <m/>
    <m/>
    <m/>
    <m/>
  </r>
  <r>
    <x v="2"/>
    <x v="43"/>
    <s v="MBA"/>
    <s v="Ulingao"/>
    <n v="2653"/>
    <n v="3711"/>
    <s v="NO TECHNICAL ASSISTANCE CONDUCTED"/>
    <m/>
    <m/>
    <x v="0"/>
    <m/>
    <s v="Rod Ross S. De Jesus"/>
    <s v="Diozelle L. Cabalar"/>
    <m/>
    <m/>
    <m/>
    <m/>
    <m/>
    <s v=""/>
    <s v=""/>
    <s v=""/>
    <s v=""/>
    <m/>
    <m/>
    <m/>
    <m/>
    <m/>
  </r>
  <r>
    <x v="2"/>
    <x v="44"/>
    <s v="MBA"/>
    <s v="Bagbaguin"/>
    <n v="8912"/>
    <n v="7839"/>
    <s v="NO TECHNICAL ASSISTANCE CONDUCTED"/>
    <m/>
    <m/>
    <x v="0"/>
    <s v="James Wilson T. Pena"/>
    <s v="Rod Ross S. De Jesus"/>
    <s v="Diozelle L. Cabalar"/>
    <m/>
    <m/>
    <m/>
    <m/>
    <m/>
    <s v=""/>
    <s v=""/>
    <s v=""/>
    <s v=""/>
    <m/>
    <m/>
    <m/>
    <m/>
    <m/>
  </r>
  <r>
    <x v="2"/>
    <x v="44"/>
    <s v="MBA"/>
    <s v="Balasing"/>
    <n v="7900"/>
    <n v="9732"/>
    <s v="CONDUCTED TECHNICAL ASSISTANCE"/>
    <n v="2024"/>
    <d v="2024-09-10T00:00:00"/>
    <x v="0"/>
    <s v="James Wilson T. Pena"/>
    <s v="Rod Ross S. De Jesus"/>
    <s v="Diozelle L. Cabalar"/>
    <m/>
    <m/>
    <m/>
    <m/>
    <m/>
    <s v=""/>
    <s v=""/>
    <s v=""/>
    <s v=""/>
    <m/>
    <s v="MRS"/>
    <s v="OPERATIONAL"/>
    <s v="Technical Assistance"/>
    <m/>
  </r>
  <r>
    <x v="2"/>
    <x v="44"/>
    <s v="MBA"/>
    <s v="Buenavista"/>
    <n v="2436"/>
    <n v="2821"/>
    <s v="CONDUCTED TECHNICAL ASSISTANCE"/>
    <n v="2025"/>
    <d v="2025-08-14T00:00:00"/>
    <x v="9"/>
    <s v="James Wilson T. Pena"/>
    <m/>
    <s v="Diozelle L. Cabalar"/>
    <s v="R3-2025-027623"/>
    <d v="2025-08-17T00:00:00"/>
    <m/>
    <d v="2025-08-18T00:00:00"/>
    <d v="2025-08-19T00:00:00"/>
    <n v="1"/>
    <s v=""/>
    <n v="1"/>
    <n v="1"/>
    <s v="Received by Planning"/>
    <s v="MRS"/>
    <s v="OPERATIONAL"/>
    <s v="Technical Assistance"/>
    <m/>
  </r>
  <r>
    <x v="2"/>
    <x v="44"/>
    <s v="MBA"/>
    <s v="Bulac"/>
    <n v="9225"/>
    <n v="10015"/>
    <s v="CONDUCTED TECHNICAL ASSISTANCE"/>
    <n v="2024"/>
    <d v="2024-09-10T00:00:00"/>
    <x v="0"/>
    <s v="James Wilson T. Pena"/>
    <s v="Rod Ross S. De Jesus"/>
    <s v="Diozelle L. Cabalar"/>
    <m/>
    <m/>
    <m/>
    <m/>
    <m/>
    <s v=""/>
    <s v=""/>
    <s v=""/>
    <s v=""/>
    <m/>
    <s v="MRF"/>
    <s v="OPERATIONAL"/>
    <s v="Technical Assistance"/>
    <m/>
  </r>
  <r>
    <x v="2"/>
    <x v="44"/>
    <s v="MBA"/>
    <s v="Camangyanan"/>
    <n v="5388"/>
    <n v="5019"/>
    <s v="NO TECHNICAL ASSISTANCE CONDUCTED"/>
    <m/>
    <m/>
    <x v="0"/>
    <s v="James Wilson T. Pena"/>
    <s v="Rod Ross S. De Jesus"/>
    <s v="Diozelle L. Cabalar"/>
    <m/>
    <m/>
    <m/>
    <m/>
    <m/>
    <s v=""/>
    <s v=""/>
    <s v=""/>
    <s v=""/>
    <m/>
    <m/>
    <m/>
    <m/>
    <m/>
  </r>
  <r>
    <x v="2"/>
    <x v="44"/>
    <s v="MBA"/>
    <s v="Catmon"/>
    <n v="13334"/>
    <n v="15938"/>
    <s v="CONDUCTED TECHNICAL ASSISTANCE"/>
    <n v="2025"/>
    <d v="2025-02-05T00:00:00"/>
    <x v="3"/>
    <s v="James Wilson T. Pena"/>
    <s v="Rod Ross S. De Jesus"/>
    <s v="Diozelle L. Cabalar"/>
    <s v="R3-2025-004785"/>
    <d v="2025-02-10T00:00:00"/>
    <d v="2025-02-12T00:00:00"/>
    <d v="2025-02-12T00:00:00"/>
    <d v="2025-02-13T00:00:00"/>
    <n v="3"/>
    <n v="1"/>
    <n v="1"/>
    <n v="1"/>
    <s v="Received by Planning"/>
    <s v="MRF"/>
    <s v="OPERATIONAL"/>
    <s v="Technical Assistance"/>
    <m/>
  </r>
  <r>
    <x v="2"/>
    <x v="44"/>
    <s v="MBA"/>
    <s v="Cay Pombo"/>
    <n v="28947"/>
    <n v="32674"/>
    <s v="CONDUCTED TECHNICAL ASSISTANCE"/>
    <n v="2025"/>
    <d v="2025-02-05T00:00:00"/>
    <x v="3"/>
    <s v="James Wilson T. Pena"/>
    <s v="Rod Ross S. De Jesus"/>
    <s v="Diozelle L. Cabalar"/>
    <s v="R3-2025-004786"/>
    <d v="2025-02-10T00:00:00"/>
    <d v="2025-02-12T00:00:00"/>
    <d v="2025-02-12T00:00:00"/>
    <d v="2025-02-17T00:00:00"/>
    <n v="3"/>
    <n v="1"/>
    <n v="1"/>
    <n v="3"/>
    <s v="Received by Planning"/>
    <s v="MRS"/>
    <s v="OPERATIONAL"/>
    <s v="Technical Assistance"/>
    <m/>
  </r>
  <r>
    <x v="2"/>
    <x v="44"/>
    <s v="MBA"/>
    <s v="Caysio"/>
    <n v="14365"/>
    <n v="14979"/>
    <s v="CONDUCTED TECHNICAL ASSISTANCE"/>
    <n v="2024"/>
    <d v="2024-09-10T00:00:00"/>
    <x v="0"/>
    <s v="James Wilson T. Pena"/>
    <s v="Rod Ross S. De Jesus"/>
    <s v="Diozelle L. Cabalar"/>
    <m/>
    <m/>
    <m/>
    <m/>
    <m/>
    <s v=""/>
    <s v=""/>
    <s v=""/>
    <s v=""/>
    <m/>
    <m/>
    <m/>
    <s v="Technical Assistance"/>
    <m/>
  </r>
  <r>
    <x v="2"/>
    <x v="44"/>
    <s v="MBA"/>
    <s v="Guyong"/>
    <n v="14749"/>
    <n v="16909"/>
    <s v="CONDUCTED TECHNICAL ASSISTANCE"/>
    <n v="2024"/>
    <d v="2024-09-10T00:00:00"/>
    <x v="0"/>
    <s v="James Wilson T. Pena"/>
    <s v="Rod Ross S. De Jesus"/>
    <s v="Diozelle L. Cabalar"/>
    <m/>
    <m/>
    <m/>
    <m/>
    <m/>
    <s v=""/>
    <s v=""/>
    <s v=""/>
    <s v=""/>
    <m/>
    <s v="MRS"/>
    <s v="OPERATIONAL"/>
    <s v="Technical Assistance"/>
    <m/>
  </r>
  <r>
    <x v="2"/>
    <x v="44"/>
    <s v="MBA"/>
    <s v="Lalakhan"/>
    <n v="2337"/>
    <n v="2319"/>
    <s v="NO TECHNICAL ASSISTANCE CONDUCTED"/>
    <m/>
    <m/>
    <x v="0"/>
    <s v="James Wilson T. Pena"/>
    <s v="Rod Ross S. De Jesus"/>
    <s v="Diozelle L. Cabalar"/>
    <m/>
    <m/>
    <m/>
    <m/>
    <m/>
    <s v=""/>
    <s v=""/>
    <s v=""/>
    <s v=""/>
    <m/>
    <m/>
    <m/>
    <m/>
    <m/>
  </r>
  <r>
    <x v="2"/>
    <x v="44"/>
    <s v="MBA"/>
    <s v="Mag-asawang Sapa"/>
    <n v="9373"/>
    <n v="10381"/>
    <s v="NO TECHNICAL ASSISTANCE CONDUCTED"/>
    <m/>
    <m/>
    <x v="0"/>
    <s v="James Wilson T. Pena"/>
    <s v="Rod Ross S. De Jesus"/>
    <s v="Diozelle L. Cabalar"/>
    <m/>
    <m/>
    <m/>
    <m/>
    <m/>
    <s v=""/>
    <s v=""/>
    <s v=""/>
    <s v=""/>
    <m/>
    <m/>
    <m/>
    <m/>
    <m/>
  </r>
  <r>
    <x v="2"/>
    <x v="44"/>
    <s v="MBA"/>
    <s v="Mahabang Parang"/>
    <n v="4361"/>
    <n v="5140"/>
    <s v="CONDUCTED TECHNICAL ASSISTANCE"/>
    <n v="2024"/>
    <d v="2024-07-09T00:00:00"/>
    <x v="0"/>
    <s v="James Wilson T. Pena"/>
    <s v="Rod Ross S. De Jesus"/>
    <s v="Diozelle L. Cabalar"/>
    <m/>
    <m/>
    <m/>
    <m/>
    <m/>
    <s v=""/>
    <s v=""/>
    <s v=""/>
    <s v=""/>
    <m/>
    <s v="MRF"/>
    <s v="OPERATIONAL"/>
    <s v="Technical Assistance"/>
    <m/>
  </r>
  <r>
    <x v="2"/>
    <x v="44"/>
    <s v="MBA"/>
    <s v="Manggahan"/>
    <n v="2398"/>
    <n v="2779"/>
    <s v="NO TECHNICAL ASSISTANCE CONDUCTED"/>
    <m/>
    <m/>
    <x v="0"/>
    <s v="James Wilson T. Pena"/>
    <s v="Rod Ross S. De Jesus"/>
    <s v="Diozelle L. Cabalar"/>
    <m/>
    <m/>
    <m/>
    <m/>
    <m/>
    <s v=""/>
    <s v=""/>
    <s v=""/>
    <s v=""/>
    <m/>
    <m/>
    <m/>
    <m/>
    <m/>
  </r>
  <r>
    <x v="2"/>
    <x v="44"/>
    <s v="MBA"/>
    <s v="Parada"/>
    <n v="8448"/>
    <n v="9419"/>
    <s v="CONDUCTED TECHNICAL ASSISTANCE"/>
    <n v="2025"/>
    <d v="2025-08-14T00:00:00"/>
    <x v="9"/>
    <s v="James Wilson T. Pena"/>
    <m/>
    <s v="Diozelle L. Cabalar"/>
    <s v="R3-2025-027622"/>
    <d v="2025-08-17T00:00:00"/>
    <m/>
    <d v="2025-08-18T00:00:00"/>
    <d v="2025-08-19T00:00:00"/>
    <n v="1"/>
    <s v=""/>
    <n v="1"/>
    <n v="1"/>
    <s v="Received by Planning"/>
    <s v="MRS"/>
    <s v="OPERATIONAL"/>
    <s v="Technical Assistance"/>
    <m/>
  </r>
  <r>
    <x v="2"/>
    <x v="44"/>
    <s v="MBA"/>
    <s v="Poblacion"/>
    <n v="12876"/>
    <n v="12871"/>
    <s v="NO TECHNICAL ASSISTANCE CONDUCTED"/>
    <m/>
    <m/>
    <x v="0"/>
    <s v="James Wilson T. Pena"/>
    <s v="Rod Ross S. De Jesus"/>
    <s v="Diozelle L. Cabalar"/>
    <m/>
    <m/>
    <m/>
    <m/>
    <m/>
    <s v=""/>
    <s v=""/>
    <s v=""/>
    <s v=""/>
    <m/>
    <m/>
    <m/>
    <m/>
    <m/>
  </r>
  <r>
    <x v="2"/>
    <x v="44"/>
    <s v="MBA"/>
    <s v="Pulong Buhangin"/>
    <n v="36893"/>
    <n v="41218"/>
    <s v="NO TECHNICAL ASSISTANCE CONDUCTED"/>
    <m/>
    <m/>
    <x v="0"/>
    <s v="James Wilson T. Pena"/>
    <s v="Rod Ross S. De Jesus"/>
    <s v="Diozelle L. Cabalar"/>
    <m/>
    <m/>
    <m/>
    <m/>
    <m/>
    <s v=""/>
    <s v=""/>
    <s v=""/>
    <s v=""/>
    <m/>
    <m/>
    <m/>
    <m/>
    <m/>
  </r>
  <r>
    <x v="2"/>
    <x v="44"/>
    <s v="MBA"/>
    <s v="San Gabriel"/>
    <n v="8465"/>
    <n v="9630"/>
    <s v="CONDUCTED TECHNICAL ASSISTANCE"/>
    <n v="2024"/>
    <d v="2024-07-09T00:00:00"/>
    <x v="0"/>
    <s v="James Wilson T. Pena"/>
    <s v="Rod Ross S. De Jesus"/>
    <s v="Diozelle L. Cabalar"/>
    <m/>
    <m/>
    <m/>
    <m/>
    <m/>
    <s v=""/>
    <s v=""/>
    <s v=""/>
    <s v=""/>
    <m/>
    <s v="MRF"/>
    <s v="OPERATIONAL"/>
    <s v="Technical Assistance"/>
    <m/>
  </r>
  <r>
    <x v="2"/>
    <x v="44"/>
    <s v="MBA"/>
    <s v="San Jose Patag"/>
    <n v="11282"/>
    <n v="13985"/>
    <s v="NO TECHNICAL ASSISTANCE CONDUCTED"/>
    <m/>
    <m/>
    <x v="0"/>
    <s v="James Wilson T. Pena"/>
    <s v="Rod Ross S. De Jesus"/>
    <s v="Diozelle L. Cabalar"/>
    <m/>
    <m/>
    <m/>
    <m/>
    <m/>
    <s v=""/>
    <s v=""/>
    <s v=""/>
    <s v=""/>
    <m/>
    <m/>
    <m/>
    <m/>
    <m/>
  </r>
  <r>
    <x v="2"/>
    <x v="44"/>
    <s v="MBA"/>
    <s v="San Vicente"/>
    <n v="16871"/>
    <n v="24451"/>
    <s v="CONDUCTED TECHNICAL ASSISTANCE"/>
    <n v="2025"/>
    <d v="2025-08-14T00:00:00"/>
    <x v="9"/>
    <s v="James Wilson T. Pena"/>
    <m/>
    <s v="Diozelle L. Cabalar"/>
    <s v="R3-2025-027621"/>
    <d v="2025-08-17T00:00:00"/>
    <m/>
    <d v="2025-08-18T00:00:00"/>
    <d v="2025-08-19T00:00:00"/>
    <n v="1"/>
    <s v=""/>
    <n v="1"/>
    <n v="1"/>
    <s v="Received by Planning"/>
    <s v="MRS"/>
    <s v="OPERATIONAL"/>
    <s v="Technical Assistance"/>
    <m/>
  </r>
  <r>
    <x v="2"/>
    <x v="44"/>
    <s v="MBA"/>
    <s v="Santa Clara"/>
    <n v="12115"/>
    <n v="12419"/>
    <s v="NO TECHNICAL ASSISTANCE CONDUCTED"/>
    <m/>
    <m/>
    <x v="0"/>
    <s v="James Wilson T. Pena"/>
    <s v="Rod Ross S. De Jesus"/>
    <s v="Diozelle L. Cabalar"/>
    <m/>
    <m/>
    <m/>
    <m/>
    <m/>
    <s v=""/>
    <s v=""/>
    <s v=""/>
    <s v=""/>
    <m/>
    <m/>
    <m/>
    <m/>
    <m/>
  </r>
  <r>
    <x v="2"/>
    <x v="44"/>
    <s v="MBA"/>
    <s v="Santa Cruz"/>
    <n v="9211"/>
    <n v="11364"/>
    <s v="NO TECHNICAL ASSISTANCE CONDUCTED"/>
    <m/>
    <m/>
    <x v="0"/>
    <s v="James Wilson T. Pena"/>
    <s v="Rod Ross S. De Jesus"/>
    <s v="Diozelle L. Cabalar"/>
    <m/>
    <m/>
    <m/>
    <m/>
    <m/>
    <s v=""/>
    <s v=""/>
    <s v=""/>
    <s v=""/>
    <m/>
    <m/>
    <m/>
    <m/>
    <m/>
  </r>
  <r>
    <x v="2"/>
    <x v="44"/>
    <s v="MBA"/>
    <s v="Silangan"/>
    <n v="2028"/>
    <n v="2102"/>
    <s v="NO TECHNICAL ASSISTANCE CONDUCTED"/>
    <m/>
    <m/>
    <x v="0"/>
    <s v="James Wilson T. Pena"/>
    <s v="Rod Ross S. De Jesus"/>
    <s v="Diozelle L. Cabalar"/>
    <m/>
    <m/>
    <m/>
    <m/>
    <m/>
    <s v=""/>
    <s v=""/>
    <s v=""/>
    <s v=""/>
    <m/>
    <m/>
    <m/>
    <m/>
    <m/>
  </r>
  <r>
    <x v="2"/>
    <x v="44"/>
    <s v="MBA"/>
    <s v="Tabing Bakod"/>
    <n v="5716"/>
    <n v="5410"/>
    <s v="NO TECHNICAL ASSISTANCE CONDUCTED"/>
    <m/>
    <m/>
    <x v="0"/>
    <s v="James Wilson T. Pena"/>
    <s v="Rod Ross S. De Jesus"/>
    <s v="Diozelle L. Cabalar"/>
    <m/>
    <m/>
    <m/>
    <m/>
    <m/>
    <s v=""/>
    <s v=""/>
    <s v=""/>
    <s v=""/>
    <m/>
    <m/>
    <m/>
    <m/>
    <m/>
  </r>
  <r>
    <x v="2"/>
    <x v="44"/>
    <s v="MBA"/>
    <s v="Tumana"/>
    <n v="8824"/>
    <n v="10406"/>
    <s v="NO TECHNICAL ASSISTANCE CONDUCTED"/>
    <m/>
    <m/>
    <x v="0"/>
    <s v="James Wilson T. Pena"/>
    <s v="Rod Ross S. De Jesus"/>
    <s v="Diozelle L. Cabalar"/>
    <m/>
    <m/>
    <m/>
    <m/>
    <m/>
    <s v=""/>
    <s v=""/>
    <s v=""/>
    <s v=""/>
    <m/>
    <m/>
    <m/>
    <m/>
    <m/>
  </r>
  <r>
    <x v="3"/>
    <x v="45"/>
    <s v="MBA"/>
    <s v="Macabucod"/>
    <n v="1396"/>
    <n v="1679"/>
    <s v="CONDUCTED TECHNICAL ASSISTANCE"/>
    <n v="2025"/>
    <d v="2025-09-18T00:00:00"/>
    <x v="7"/>
    <s v="Gem C. Vicencio"/>
    <s v="Jay Pee S. Ordoñez"/>
    <s v="Zosimo P. Suyat"/>
    <s v="R3-2025-031715"/>
    <d v="2025-09-18T00:00:00"/>
    <d v="2025-09-18T00:00:00"/>
    <d v="2025-09-18T00:00:00"/>
    <d v="2025-09-19T00:00:00"/>
    <n v="1"/>
    <n v="1"/>
    <n v="1"/>
    <n v="1"/>
    <s v="Received by Planning"/>
    <s v="MRS"/>
    <s v="OPERATIONAL"/>
    <s v="Technical Assistance"/>
    <m/>
  </r>
  <r>
    <x v="3"/>
    <x v="45"/>
    <s v="MBA"/>
    <s v="Betes"/>
    <n v="2083"/>
    <n v="2472"/>
    <s v="NO TECHNICAL ASSISTANCE CONDUCTED"/>
    <m/>
    <m/>
    <x v="0"/>
    <s v="Gem C. Vicencio"/>
    <s v="Jay Pee S. Ordoñez"/>
    <s v="Zosimo P. Suyat"/>
    <m/>
    <m/>
    <m/>
    <m/>
    <m/>
    <s v=""/>
    <s v=""/>
    <s v=""/>
    <s v=""/>
    <m/>
    <m/>
    <m/>
    <m/>
    <m/>
  </r>
  <r>
    <x v="3"/>
    <x v="45"/>
    <s v="MBA"/>
    <s v="Bibiclat"/>
    <n v="7467"/>
    <n v="8355"/>
    <s v="CONDUCTED TECHNICAL ASSISTANCE"/>
    <n v="2025"/>
    <d v="2025-02-19T00:00:00"/>
    <x v="1"/>
    <s v="Gem C. Vicencio"/>
    <s v="Jay Pee S. Ordoñez"/>
    <s v="Zosimo P. Suyat"/>
    <s v="R3-2025-006105"/>
    <d v="2025-02-19T00:00:00"/>
    <d v="2025-02-25T00:00:00"/>
    <d v="2025-02-26T00:00:00"/>
    <d v="2025-03-03T00:00:00"/>
    <n v="1"/>
    <n v="4"/>
    <n v="1"/>
    <n v="3"/>
    <s v="Received by Planning"/>
    <s v="MRS"/>
    <s v="OPERATIONAL"/>
    <s v="Technical Assistance"/>
    <m/>
  </r>
  <r>
    <x v="3"/>
    <x v="45"/>
    <s v="MBA"/>
    <s v="Bucot"/>
    <n v="5156"/>
    <n v="5355"/>
    <s v="CONDUCTED TECHNICAL ASSISTANCE"/>
    <n v="2025"/>
    <d v="2025-02-19T00:00:00"/>
    <x v="1"/>
    <s v="Gem C. Vicencio"/>
    <s v="Jay Pee S. Ordoñez"/>
    <s v="Zosimo P. Suyat"/>
    <s v="R3-2025-006104"/>
    <d v="2025-02-19T00:00:00"/>
    <d v="2025-02-25T00:00:00"/>
    <d v="2025-02-26T00:00:00"/>
    <d v="2025-03-03T00:00:00"/>
    <n v="1"/>
    <n v="4"/>
    <n v="1"/>
    <n v="3"/>
    <s v="Received by Planning"/>
    <s v="MRS"/>
    <s v="OPERATIONAL"/>
    <s v="Technical Assistance"/>
    <m/>
  </r>
  <r>
    <x v="3"/>
    <x v="45"/>
    <s v="MBA"/>
    <s v="La Purisima"/>
    <n v="1969"/>
    <n v="2086"/>
    <s v="NO TECHNICAL ASSISTANCE CONDUCTED"/>
    <m/>
    <m/>
    <x v="0"/>
    <s v="Gem C. Vicencio"/>
    <s v="Jay Pee S. Ordoñez"/>
    <s v="Zosimo P. Suyat"/>
    <m/>
    <m/>
    <m/>
    <m/>
    <m/>
    <s v=""/>
    <s v=""/>
    <s v=""/>
    <s v=""/>
    <m/>
    <m/>
    <m/>
    <m/>
    <m/>
  </r>
  <r>
    <x v="3"/>
    <x v="45"/>
    <s v="MBA"/>
    <s v="San Pablo Matanda"/>
    <n v="1081"/>
    <n v="1230"/>
    <s v="CONDUCTED TECHNICAL ASSISTANCE"/>
    <n v="2025"/>
    <d v="2025-09-18T00:00:00"/>
    <x v="7"/>
    <s v="Gem C. Vicencio"/>
    <s v="Jay Pee S. Ordoñez"/>
    <s v="Zosimo P. Suyat"/>
    <s v="R3-2025-031688"/>
    <d v="2025-09-18T00:00:00"/>
    <d v="2025-09-18T00:00:00"/>
    <d v="2025-09-18T00:00:00"/>
    <d v="2025-09-18T00:00:00"/>
    <n v="1"/>
    <n v="1"/>
    <n v="1"/>
    <n v="1"/>
    <s v="Received by Planning"/>
    <s v="MRS"/>
    <s v="OPERATIONAL"/>
    <s v="Technical Assistance"/>
    <m/>
  </r>
  <r>
    <x v="3"/>
    <x v="45"/>
    <s v="MBA"/>
    <s v="Magsaysay"/>
    <n v="2503"/>
    <n v="2631"/>
    <s v="CONDUCTED TECHNICAL ASSISTANCE"/>
    <n v="2025"/>
    <d v="2025-05-23T00:00:00"/>
    <x v="10"/>
    <s v="Gem C. Vicencio"/>
    <s v="Jay Pee S. Ordoñez"/>
    <s v="Zosimo P. Suyat"/>
    <s v="R3-2025-017645"/>
    <d v="2025-05-26T00:00:00"/>
    <d v="2025-05-28T00:00:00"/>
    <d v="2025-05-29T00:00:00"/>
    <d v="2025-05-30T00:00:00"/>
    <n v="1"/>
    <n v="2"/>
    <n v="1"/>
    <n v="1"/>
    <s v="Received by Planning"/>
    <s v="MRS"/>
    <s v="OPERATIONAL"/>
    <s v="Technical Assistance"/>
    <m/>
  </r>
  <r>
    <x v="3"/>
    <x v="45"/>
    <s v="MBA"/>
    <s v="Pantoc"/>
    <n v="2192"/>
    <n v="2527"/>
    <s v="CONDUCTED TECHNICAL ASSISTANCE"/>
    <n v="2025"/>
    <d v="2025-09-25T00:00:00"/>
    <x v="5"/>
    <s v="Gem C. Vicencio"/>
    <s v="Jay Pee S. Ordoñez"/>
    <s v="Zosimo P. Suyat"/>
    <s v="R3-2025-032573"/>
    <d v="2025-09-26T00:00:00"/>
    <d v="2025-09-29T00:00:00"/>
    <d v="2025-09-29T00:00:00"/>
    <d v="2025-09-29T00:00:00"/>
    <n v="1"/>
    <n v="1"/>
    <n v="1"/>
    <n v="1"/>
    <s v="Received by Planning"/>
    <s v="MRS"/>
    <s v="OPERATIONAL"/>
    <s v="Technical Assistance"/>
    <m/>
  </r>
  <r>
    <x v="3"/>
    <x v="45"/>
    <s v="MBA"/>
    <s v="Poblacion Centro"/>
    <n v="1660"/>
    <n v="2306"/>
    <s v="NO TECHNICAL ASSISTANCE CONDUCTED"/>
    <m/>
    <m/>
    <x v="0"/>
    <s v="Gem C. Vicencio"/>
    <s v="Jay Pee S. Ordoñez"/>
    <s v="Zosimo P. Suyat"/>
    <m/>
    <m/>
    <m/>
    <m/>
    <m/>
    <s v=""/>
    <s v=""/>
    <s v=""/>
    <s v=""/>
    <m/>
    <m/>
    <m/>
    <m/>
    <m/>
  </r>
  <r>
    <x v="3"/>
    <x v="45"/>
    <s v="MBA"/>
    <s v="Poblacion East I"/>
    <n v="2122"/>
    <n v="2383"/>
    <s v="NO TECHNICAL ASSISTANCE CONDUCTED"/>
    <m/>
    <m/>
    <x v="0"/>
    <s v="Gem C. Vicencio"/>
    <s v="Jay Pee S. Ordoñez"/>
    <s v="Zosimo P. Suyat"/>
    <m/>
    <m/>
    <m/>
    <m/>
    <m/>
    <s v=""/>
    <s v=""/>
    <s v=""/>
    <s v=""/>
    <m/>
    <m/>
    <m/>
    <m/>
    <m/>
  </r>
  <r>
    <x v="3"/>
    <x v="45"/>
    <s v="MBA"/>
    <s v="Poblacion East II"/>
    <n v="1646"/>
    <n v="1512"/>
    <s v="NO TECHNICAL ASSISTANCE CONDUCTED"/>
    <m/>
    <m/>
    <x v="0"/>
    <s v="Gem C. Vicencio"/>
    <s v="Jay Pee S. Ordoñez"/>
    <s v="Zosimo P. Suyat"/>
    <m/>
    <m/>
    <m/>
    <m/>
    <m/>
    <s v=""/>
    <s v=""/>
    <s v=""/>
    <s v=""/>
    <m/>
    <m/>
    <m/>
    <m/>
    <m/>
  </r>
  <r>
    <x v="3"/>
    <x v="45"/>
    <s v="MBA"/>
    <s v="Poblacion West III"/>
    <n v="1338"/>
    <n v="1208"/>
    <s v="NO TECHNICAL ASSISTANCE CONDUCTED"/>
    <m/>
    <m/>
    <x v="0"/>
    <s v="Gem C. Vicencio"/>
    <s v="Jay Pee S. Ordoñez"/>
    <s v="Zosimo P. Suyat"/>
    <m/>
    <m/>
    <m/>
    <m/>
    <m/>
    <s v=""/>
    <s v=""/>
    <s v=""/>
    <s v=""/>
    <m/>
    <m/>
    <m/>
    <m/>
    <m/>
  </r>
  <r>
    <x v="3"/>
    <x v="45"/>
    <s v="MBA"/>
    <s v="Poblacion West IV"/>
    <n v="726"/>
    <n v="696"/>
    <s v="NO TECHNICAL ASSISTANCE CONDUCTED"/>
    <m/>
    <m/>
    <x v="0"/>
    <s v="Gem C. Vicencio"/>
    <s v="Jay Pee S. Ordoñez"/>
    <s v="Zosimo P. Suyat"/>
    <m/>
    <m/>
    <m/>
    <m/>
    <m/>
    <s v=""/>
    <s v=""/>
    <s v=""/>
    <s v=""/>
    <m/>
    <m/>
    <m/>
    <m/>
    <m/>
  </r>
  <r>
    <x v="3"/>
    <x v="45"/>
    <s v="MBA"/>
    <s v="San Carlos"/>
    <n v="2953"/>
    <n v="3272"/>
    <s v="CONDUCTED TECHNICAL ASSISTANCE"/>
    <n v="2024"/>
    <d v="2024-05-10T00:00:00"/>
    <x v="0"/>
    <s v="Gem C. Vicencio"/>
    <s v="Jay Pee S. Ordoñez"/>
    <s v="Zosimo P. Suyat"/>
    <m/>
    <m/>
    <m/>
    <m/>
    <m/>
    <s v=""/>
    <s v=""/>
    <s v=""/>
    <s v=""/>
    <m/>
    <m/>
    <m/>
    <s v="Technical Assistance"/>
    <m/>
  </r>
  <r>
    <x v="3"/>
    <x v="45"/>
    <s v="MBA"/>
    <s v="San Emiliano"/>
    <n v="1221"/>
    <n v="1520"/>
    <s v="NO TECHNICAL ASSISTANCE CONDUCTED"/>
    <m/>
    <m/>
    <x v="0"/>
    <s v="Gem C. Vicencio"/>
    <s v="Jay Pee S. Ordoñez"/>
    <s v="Zosimo P. Suyat"/>
    <m/>
    <m/>
    <m/>
    <m/>
    <m/>
    <s v=""/>
    <s v=""/>
    <s v=""/>
    <s v=""/>
    <m/>
    <m/>
    <m/>
    <m/>
    <m/>
  </r>
  <r>
    <x v="3"/>
    <x v="45"/>
    <s v="MBA"/>
    <s v="San Eustacio"/>
    <n v="1731"/>
    <n v="2355"/>
    <s v="CONDUCTED TECHNICAL ASSISTANCE"/>
    <n v="2025"/>
    <d v="2025-09-25T00:00:00"/>
    <x v="5"/>
    <s v="Gem C. Vicencio"/>
    <s v="Jay Pee S. Ordoñez"/>
    <s v="Zosimo P. Suyat"/>
    <s v="R3-2025-032577"/>
    <d v="2025-09-26T00:00:00"/>
    <d v="2025-09-29T00:00:00"/>
    <d v="2025-09-29T00:00:00"/>
    <d v="2025-09-29T00:00:00"/>
    <n v="1"/>
    <n v="1"/>
    <n v="1"/>
    <n v="1"/>
    <s v="Received by Planning"/>
    <s v="MRS"/>
    <s v="OPERATIONAL"/>
    <s v="Technical Assistance"/>
    <m/>
  </r>
  <r>
    <x v="3"/>
    <x v="45"/>
    <s v="MBA"/>
    <s v="San Felipe Bata"/>
    <n v="1780"/>
    <n v="1934"/>
    <s v="NO TECHNICAL ASSISTANCE CONDUCTED"/>
    <m/>
    <m/>
    <x v="0"/>
    <s v="Gem C. Vicencio"/>
    <s v="Jay Pee S. Ordoñez"/>
    <s v="Zosimo P. Suyat"/>
    <m/>
    <m/>
    <m/>
    <m/>
    <m/>
    <s v=""/>
    <s v=""/>
    <s v=""/>
    <s v=""/>
    <m/>
    <m/>
    <m/>
    <m/>
    <m/>
  </r>
  <r>
    <x v="3"/>
    <x v="45"/>
    <s v="MBA"/>
    <s v="San Felipe Matanda"/>
    <n v="2251"/>
    <n v="2771"/>
    <s v="NO TECHNICAL ASSISTANCE CONDUCTED"/>
    <m/>
    <m/>
    <x v="0"/>
    <s v="Gem C. Vicencio"/>
    <s v="Jay Pee S. Ordoñez"/>
    <s v="Zosimo P. Suyat"/>
    <m/>
    <m/>
    <m/>
    <m/>
    <m/>
    <s v=""/>
    <s v=""/>
    <s v=""/>
    <s v=""/>
    <m/>
    <m/>
    <m/>
    <m/>
    <m/>
  </r>
  <r>
    <x v="3"/>
    <x v="45"/>
    <s v="MBA"/>
    <s v="San Juan"/>
    <n v="4768"/>
    <n v="5255"/>
    <s v="NO TECHNICAL ASSISTANCE CONDUCTED"/>
    <m/>
    <m/>
    <x v="0"/>
    <s v="Gem C. Vicencio"/>
    <s v="Jay Pee S. Ordoñez"/>
    <s v="Zosimo P. Suyat"/>
    <m/>
    <m/>
    <m/>
    <m/>
    <m/>
    <s v=""/>
    <s v=""/>
    <s v=""/>
    <s v=""/>
    <m/>
    <m/>
    <m/>
    <m/>
    <m/>
  </r>
  <r>
    <x v="3"/>
    <x v="45"/>
    <s v="MBA"/>
    <s v="San Pablo Bata"/>
    <n v="1979"/>
    <n v="2056"/>
    <s v="CONDUCTED TECHNICAL ASSISTANCE"/>
    <n v="2025"/>
    <d v="2025-08-14T00:00:00"/>
    <x v="9"/>
    <s v="Gem C. Vicencio"/>
    <s v="Jay Pee S. Ordoñez"/>
    <s v="Zosimo P. Suyat"/>
    <s v="R3-2025-027554"/>
    <d v="2025-08-17T00:00:00"/>
    <d v="2025-08-18T00:00:00"/>
    <d v="2025-08-18T00:00:00"/>
    <d v="2025-08-18T00:00:00"/>
    <n v="1"/>
    <n v="1"/>
    <n v="1"/>
    <n v="1"/>
    <s v="Received by Planning"/>
    <s v="MRS"/>
    <s v="OPERATIONAL"/>
    <s v="Technical Assistance"/>
    <m/>
  </r>
  <r>
    <x v="3"/>
    <x v="45"/>
    <s v="MBA"/>
    <s v="Santa Monica"/>
    <n v="1195"/>
    <n v="1185"/>
    <s v="CONDUCTED TECHNICAL ASSISTANCE"/>
    <n v="2025"/>
    <d v="2025-09-25T00:00:00"/>
    <x v="5"/>
    <s v="Gem C. Vicencio"/>
    <s v="Jay Pee S. Ordoñez"/>
    <s v="Zosimo P. Suyat"/>
    <s v="R3-2025-032600"/>
    <d v="2025-09-26T00:00:00"/>
    <d v="2025-09-29T00:00:00"/>
    <d v="2025-09-29T00:00:00"/>
    <d v="2025-09-29T00:00:00"/>
    <n v="1"/>
    <n v="1"/>
    <n v="1"/>
    <n v="1"/>
    <s v="Received by Planning"/>
    <s v="MRS"/>
    <s v="OPERATIONAL"/>
    <s v="Technical Assistance"/>
    <m/>
  </r>
  <r>
    <x v="3"/>
    <x v="45"/>
    <s v="MBA"/>
    <s v="Santiago"/>
    <n v="2197"/>
    <n v="2427"/>
    <s v="NO TECHNICAL ASSISTANCE CONDUCTED"/>
    <m/>
    <m/>
    <x v="0"/>
    <s v="Gem C. Vicencio"/>
    <s v="Jay Pee S. Ordoñez"/>
    <s v="Zosimo P. Suyat"/>
    <m/>
    <m/>
    <m/>
    <m/>
    <m/>
    <s v=""/>
    <s v=""/>
    <s v=""/>
    <s v=""/>
    <m/>
    <m/>
    <m/>
    <m/>
    <m/>
  </r>
  <r>
    <x v="3"/>
    <x v="45"/>
    <s v="MBA"/>
    <s v="Santo Rosario"/>
    <n v="2268"/>
    <n v="2645"/>
    <s v="NO TECHNICAL ASSISTANCE CONDUCTED"/>
    <m/>
    <m/>
    <x v="0"/>
    <s v="Gem C. Vicencio"/>
    <s v="Jay Pee S. Ordoñez"/>
    <s v="Zosimo P. Suyat"/>
    <m/>
    <m/>
    <m/>
    <m/>
    <m/>
    <s v=""/>
    <s v=""/>
    <s v=""/>
    <s v=""/>
    <m/>
    <m/>
    <m/>
    <m/>
    <m/>
  </r>
  <r>
    <x v="3"/>
    <x v="45"/>
    <s v="MBA"/>
    <s v="Santo Tomas"/>
    <n v="5117"/>
    <n v="5708"/>
    <s v="CONDUCTED TECHNICAL ASSISTANCE"/>
    <n v="2025"/>
    <d v="2025-08-14T00:00:00"/>
    <x v="9"/>
    <s v="Gem C. Vicencio"/>
    <s v="Jay Pee S. Ordoñez"/>
    <s v="Zosimo P. Suyat"/>
    <s v="R3-2025-027556"/>
    <d v="2025-08-17T00:00:00"/>
    <d v="2025-08-18T00:00:00"/>
    <d v="2025-08-18T00:00:00"/>
    <d v="2025-08-18T00:00:00"/>
    <n v="1"/>
    <n v="1"/>
    <n v="1"/>
    <n v="1"/>
    <s v="Received by Planning"/>
    <s v="MRS"/>
    <s v="OPERATIONAL"/>
    <s v="Technical Assistance"/>
    <m/>
  </r>
  <r>
    <x v="3"/>
    <x v="45"/>
    <s v="MBA"/>
    <s v="Sunson"/>
    <n v="1039"/>
    <n v="887"/>
    <s v="NO TECHNICAL ASSISTANCE CONDUCTED"/>
    <m/>
    <m/>
    <x v="0"/>
    <s v="Gem C. Vicencio"/>
    <s v="Jay Pee S. Ordoñez"/>
    <s v="Zosimo P. Suyat"/>
    <m/>
    <m/>
    <m/>
    <m/>
    <m/>
    <s v=""/>
    <s v=""/>
    <s v=""/>
    <s v=""/>
    <m/>
    <m/>
    <m/>
    <m/>
    <m/>
  </r>
  <r>
    <x v="3"/>
    <x v="45"/>
    <s v="MBA"/>
    <s v="Umangan"/>
    <n v="3705"/>
    <n v="3908"/>
    <s v="NO TECHNICAL ASSISTANCE CONDUCTED"/>
    <m/>
    <m/>
    <x v="0"/>
    <s v="Gem C. Vicencio"/>
    <s v="Jay Pee S. Ordoñez"/>
    <s v="Zosimo P. Suyat"/>
    <m/>
    <m/>
    <m/>
    <m/>
    <m/>
    <s v=""/>
    <s v=""/>
    <s v=""/>
    <s v=""/>
    <m/>
    <m/>
    <m/>
    <m/>
    <m/>
  </r>
  <r>
    <x v="3"/>
    <x v="46"/>
    <s v="MBA"/>
    <s v="Curva"/>
    <n v="3763"/>
    <n v="3819"/>
    <s v="CONDUCTED TECHNICAL ASSISTANCE"/>
    <n v="2025"/>
    <d v="2025-08-29T00:00:00"/>
    <x v="7"/>
    <s v="Christian Jem L. Buluran"/>
    <s v="Jay Pee S. Ordoñez"/>
    <s v="Zosimo P. Suyat"/>
    <s v="R3-2025-031641"/>
    <d v="2025-09-18T00:00:00"/>
    <d v="2025-09-18T00:00:00"/>
    <d v="2025-09-18T00:00:00"/>
    <d v="2025-09-18T00:00:00"/>
    <n v="14"/>
    <n v="1"/>
    <n v="1"/>
    <n v="1"/>
    <s v="Received by Planning"/>
    <s v="MRF"/>
    <s v="OPERATIONAL"/>
    <s v="Technical Assistance"/>
    <m/>
  </r>
  <r>
    <x v="3"/>
    <x v="46"/>
    <s v="MBA"/>
    <s v="Antipolo"/>
    <n v="4124"/>
    <n v="4684"/>
    <s v="NO TECHNICAL ASSISTANCE CONDUCTED"/>
    <m/>
    <m/>
    <x v="0"/>
    <s v="Jan Emerson C. Gonzales"/>
    <s v="Jay Pee S. Ordoñez"/>
    <s v="Zosimo P. Suyat"/>
    <m/>
    <m/>
    <m/>
    <m/>
    <m/>
    <s v=""/>
    <s v=""/>
    <s v=""/>
    <s v=""/>
    <m/>
    <m/>
    <m/>
    <m/>
    <m/>
  </r>
  <r>
    <x v="3"/>
    <x v="46"/>
    <s v="MBA"/>
    <s v="Ariendo"/>
    <n v="1263"/>
    <n v="1515"/>
    <s v="NO TECHNICAL ASSISTANCE CONDUCTED"/>
    <m/>
    <m/>
    <x v="0"/>
    <s v="Jan Emerson C. Gonzales"/>
    <s v="Jay Pee S. Ordoñez"/>
    <s v="Zosimo P. Suyat"/>
    <m/>
    <m/>
    <m/>
    <m/>
    <m/>
    <s v=""/>
    <s v=""/>
    <s v=""/>
    <s v=""/>
    <m/>
    <m/>
    <m/>
    <m/>
    <m/>
  </r>
  <r>
    <x v="3"/>
    <x v="46"/>
    <s v="MBA"/>
    <s v="Bantug"/>
    <n v="917"/>
    <n v="877"/>
    <s v="NO TECHNICAL ASSISTANCE CONDUCTED"/>
    <m/>
    <m/>
    <x v="0"/>
    <s v="Jan Emerson C. Gonzales"/>
    <s v="Jay Pee S. Ordoñez"/>
    <s v="Zosimo P. Suyat"/>
    <m/>
    <m/>
    <m/>
    <m/>
    <m/>
    <s v=""/>
    <s v=""/>
    <s v=""/>
    <s v=""/>
    <m/>
    <m/>
    <m/>
    <m/>
    <m/>
  </r>
  <r>
    <x v="3"/>
    <x v="46"/>
    <s v="MBA"/>
    <s v="Calaanan"/>
    <n v="2900"/>
    <n v="2575"/>
    <s v="NO TECHNICAL ASSISTANCE CONDUCTED"/>
    <m/>
    <m/>
    <x v="0"/>
    <s v="Jan Emerson C. Gonzales"/>
    <s v="Jay Pee S. Ordoñez"/>
    <s v="Zosimo P. Suyat"/>
    <m/>
    <m/>
    <m/>
    <m/>
    <m/>
    <s v=""/>
    <s v=""/>
    <s v=""/>
    <s v=""/>
    <m/>
    <m/>
    <m/>
    <m/>
    <m/>
  </r>
  <r>
    <x v="3"/>
    <x v="46"/>
    <s v="MBA"/>
    <s v="Commercial (Pob.)"/>
    <n v="283"/>
    <n v="208"/>
    <s v="NO TECHNICAL ASSISTANCE CONDUCTED"/>
    <m/>
    <m/>
    <x v="0"/>
    <s v="Jan Emerson C. Gonzales"/>
    <s v="Jay Pee S. Ordoñez"/>
    <s v="Zosimo P. Suyat"/>
    <m/>
    <m/>
    <m/>
    <m/>
    <m/>
    <s v=""/>
    <s v=""/>
    <s v=""/>
    <s v=""/>
    <m/>
    <m/>
    <m/>
    <m/>
    <m/>
  </r>
  <r>
    <x v="3"/>
    <x v="46"/>
    <s v="MBA"/>
    <s v="Cruz"/>
    <n v="2013"/>
    <n v="2087"/>
    <s v="NO TECHNICAL ASSISTANCE CONDUCTED"/>
    <m/>
    <m/>
    <x v="0"/>
    <s v="Jan Emerson C. Gonzales"/>
    <s v="Jay Pee S. Ordoñez"/>
    <s v="Zosimo P. Suyat"/>
    <m/>
    <m/>
    <m/>
    <m/>
    <m/>
    <s v=""/>
    <s v=""/>
    <s v=""/>
    <s v=""/>
    <m/>
    <m/>
    <m/>
    <m/>
    <m/>
  </r>
  <r>
    <x v="3"/>
    <x v="46"/>
    <s v="MBA"/>
    <s v="Lusok"/>
    <n v="2248"/>
    <n v="2347"/>
    <s v="CONDUCTED TECHNICAL ASSISTANCE"/>
    <n v="2025"/>
    <d v="2025-08-29T00:00:00"/>
    <x v="7"/>
    <s v="Christian Jem L. Buluran"/>
    <s v="Jay Pee S. Ordoñez"/>
    <s v="Zosimo P. Suyat"/>
    <s v="R3-2025-031639"/>
    <d v="2025-09-18T00:00:00"/>
    <d v="2025-09-18T00:00:00"/>
    <d v="2025-09-18T00:00:00"/>
    <d v="2025-09-18T00:00:00"/>
    <n v="14"/>
    <n v="1"/>
    <n v="1"/>
    <n v="1"/>
    <s v="Received by Planning"/>
    <s v="MRF"/>
    <s v="OPERATIONAL"/>
    <s v="Technical Assistance"/>
    <m/>
  </r>
  <r>
    <x v="3"/>
    <x v="46"/>
    <s v="MBA"/>
    <s v="Digmala"/>
    <n v="1106"/>
    <n v="1544"/>
    <s v="NO TECHNICAL ASSISTANCE CONDUCTED"/>
    <m/>
    <m/>
    <x v="0"/>
    <s v="Jan Emerson C. Gonzales"/>
    <s v="Jay Pee S. Ordoñez"/>
    <s v="Zosimo P. Suyat"/>
    <m/>
    <m/>
    <m/>
    <m/>
    <m/>
    <s v=""/>
    <s v=""/>
    <s v=""/>
    <s v=""/>
    <m/>
    <m/>
    <m/>
    <m/>
    <m/>
  </r>
  <r>
    <x v="3"/>
    <x v="46"/>
    <s v="MBA"/>
    <s v="Kaingin (Pob.)"/>
    <n v="2865"/>
    <n v="2735"/>
    <s v="NO TECHNICAL ASSISTANCE CONDUCTED"/>
    <m/>
    <m/>
    <x v="0"/>
    <s v="Jan Emerson C. Gonzales"/>
    <s v="Jay Pee S. Ordoñez"/>
    <s v="Zosimo P. Suyat"/>
    <m/>
    <m/>
    <m/>
    <m/>
    <m/>
    <s v=""/>
    <s v=""/>
    <s v=""/>
    <s v=""/>
    <m/>
    <m/>
    <m/>
    <m/>
    <m/>
  </r>
  <r>
    <x v="3"/>
    <x v="46"/>
    <s v="MBA"/>
    <s v="Labi"/>
    <n v="1575"/>
    <n v="1644"/>
    <s v="NO TECHNICAL ASSISTANCE CONDUCTED"/>
    <m/>
    <m/>
    <x v="0"/>
    <s v="Jan Emerson C. Gonzales"/>
    <s v="Jay Pee S. Ordoñez"/>
    <s v="Zosimo P. Suyat"/>
    <m/>
    <m/>
    <m/>
    <m/>
    <m/>
    <s v=""/>
    <s v=""/>
    <s v=""/>
    <s v=""/>
    <m/>
    <m/>
    <m/>
    <m/>
    <m/>
  </r>
  <r>
    <x v="3"/>
    <x v="46"/>
    <s v="MBA"/>
    <s v="Larcon"/>
    <n v="1597"/>
    <n v="1710"/>
    <s v="CONDUCTED TECHNICAL ASSISTANCE"/>
    <n v="2025"/>
    <d v="2025-01-31T00:00:00"/>
    <x v="3"/>
    <s v="Jan Emerson C. Gonzales"/>
    <s v="Jay Pee S. Ordoñez"/>
    <s v="Zosimo P. Suyat"/>
    <s v="R3-2025-003541"/>
    <d v="2025-02-03T00:00:00"/>
    <d v="2025-02-06T00:00:00"/>
    <d v="2025-02-06T00:00:00"/>
    <d v="2025-02-11T00:00:00"/>
    <n v="1"/>
    <n v="3"/>
    <n v="1"/>
    <n v="3"/>
    <s v="Received by Planning"/>
    <s v="MRS"/>
    <s v="OPERATIONAL"/>
    <s v="Technical Assistance"/>
    <s v="None"/>
  </r>
  <r>
    <x v="3"/>
    <x v="46"/>
    <s v="MBA"/>
    <s v="Macabaclay"/>
    <n v="2707"/>
    <n v="2735"/>
    <s v="NO TECHNICAL ASSISTANCE CONDUCTED"/>
    <m/>
    <m/>
    <x v="0"/>
    <s v="Jan Emerson C. Gonzales"/>
    <s v="Jay Pee S. Ordoñez"/>
    <s v="Zosimo P. Suyat"/>
    <m/>
    <m/>
    <m/>
    <m/>
    <m/>
    <s v=""/>
    <s v=""/>
    <s v=""/>
    <s v=""/>
    <m/>
    <m/>
    <m/>
    <m/>
    <m/>
  </r>
  <r>
    <x v="3"/>
    <x v="46"/>
    <s v="MBA"/>
    <s v="Magtanggol (Pob.)"/>
    <n v="1715"/>
    <n v="1437"/>
    <s v="CONDUCTED TECHNICAL ASSISTANCE"/>
    <n v="2025"/>
    <d v="2025-01-30T00:00:00"/>
    <x v="3"/>
    <s v="Jan Emerson C. Gonzales"/>
    <s v="Jay Pee S. Ordoñez"/>
    <s v="Zosimo P. Suyat"/>
    <s v="R3-2025-003538"/>
    <d v="2025-02-03T00:00:00"/>
    <d v="2025-02-06T00:00:00"/>
    <d v="2025-02-06T00:00:00"/>
    <d v="2025-02-11T00:00:00"/>
    <n v="2"/>
    <n v="3"/>
    <n v="1"/>
    <n v="3"/>
    <s v="Received by Planning"/>
    <s v="MRS"/>
    <s v="OPERATIONAL"/>
    <s v="Technical Assistance"/>
    <s v="None"/>
  </r>
  <r>
    <x v="3"/>
    <x v="46"/>
    <s v="MBA"/>
    <s v="Mantile (Pob.)"/>
    <n v="1358"/>
    <n v="1399"/>
    <s v="CONDUCTED TECHNICAL ASSISTANCE"/>
    <n v="2025"/>
    <d v="2025-01-30T00:00:00"/>
    <x v="3"/>
    <s v="Jan Emerson C. Gonzales"/>
    <s v="Jay Pee S. Ordoñez"/>
    <s v="Zosimo P. Suyat"/>
    <s v="R3-2025-003540"/>
    <d v="2025-02-03T00:00:00"/>
    <d v="2025-02-06T00:00:00"/>
    <d v="2025-02-06T00:00:00"/>
    <d v="2025-02-11T00:00:00"/>
    <n v="2"/>
    <n v="3"/>
    <n v="1"/>
    <n v="3"/>
    <s v="Received by Planning"/>
    <s v="MRS"/>
    <s v="OPERATIONAL"/>
    <s v="Technical Assistance"/>
    <s v="None"/>
  </r>
  <r>
    <x v="3"/>
    <x v="46"/>
    <s v="MBA"/>
    <s v="Olivete"/>
    <n v="1944"/>
    <n v="2275"/>
    <s v="NO TECHNICAL ASSISTANCE CONDUCTED"/>
    <m/>
    <m/>
    <x v="0"/>
    <s v="Jan Emerson C. Gonzales"/>
    <s v="Jay Pee S. Ordoñez"/>
    <s v="Zosimo P. Suyat"/>
    <m/>
    <m/>
    <m/>
    <m/>
    <m/>
    <s v=""/>
    <s v=""/>
    <s v=""/>
    <s v=""/>
    <m/>
    <m/>
    <m/>
    <m/>
    <m/>
  </r>
  <r>
    <x v="3"/>
    <x v="46"/>
    <s v="MBA"/>
    <s v="Palo Maria (Pob.)"/>
    <n v="2288"/>
    <n v="2423"/>
    <s v="NO TECHNICAL ASSISTANCE CONDUCTED"/>
    <m/>
    <m/>
    <x v="0"/>
    <s v="Jan Emerson C. Gonzales"/>
    <s v="Jay Pee S. Ordoñez"/>
    <s v="Zosimo P. Suyat"/>
    <m/>
    <m/>
    <m/>
    <m/>
    <m/>
    <s v=""/>
    <s v=""/>
    <s v=""/>
    <s v=""/>
    <m/>
    <m/>
    <m/>
    <m/>
    <m/>
  </r>
  <r>
    <x v="3"/>
    <x v="46"/>
    <s v="MBA"/>
    <s v="Pesa"/>
    <n v="2281"/>
    <n v="2651"/>
    <s v="CONDUCTED TECHNICAL ASSISTANCE"/>
    <n v="2024"/>
    <d v="2024-09-11T00:00:00"/>
    <x v="0"/>
    <s v="Jan Emerson C. Gonzales"/>
    <s v="Jay Pee S. Ordoñez"/>
    <s v="Zosimo P. Suyat"/>
    <m/>
    <m/>
    <m/>
    <m/>
    <m/>
    <s v=""/>
    <s v=""/>
    <s v=""/>
    <s v=""/>
    <m/>
    <s v="MRF"/>
    <s v="OPERATIONAL"/>
    <s v="Technical Assistance"/>
    <s v="None"/>
  </r>
  <r>
    <x v="3"/>
    <x v="46"/>
    <s v="MBA"/>
    <s v="Rizal (Pob.)"/>
    <n v="2946"/>
    <n v="3194"/>
    <s v="CONDUCTED TECHNICAL ASSISTANCE"/>
    <n v="2025"/>
    <d v="2025-01-31T00:00:00"/>
    <x v="3"/>
    <s v="Jan Emerson C. Gonzales"/>
    <s v="Jay Pee S. Ordoñez"/>
    <s v="Zosimo P. Suyat"/>
    <s v="R3-2025-003539"/>
    <d v="2025-02-03T00:00:00"/>
    <d v="2025-02-06T00:00:00"/>
    <d v="2025-02-06T00:00:00"/>
    <d v="2025-02-11T00:00:00"/>
    <n v="1"/>
    <n v="3"/>
    <n v="1"/>
    <n v="3"/>
    <s v="Received by Planning"/>
    <s v="MRF"/>
    <s v="OPERATIONAL"/>
    <s v="Technical Assistance"/>
    <s v="None"/>
  </r>
  <r>
    <x v="3"/>
    <x v="46"/>
    <s v="MBA"/>
    <s v="Sampalucan (Pob.)"/>
    <n v="1644"/>
    <n v="1525"/>
    <s v="CONDUCTED TECHNICAL ASSISTANCE"/>
    <n v="2025"/>
    <d v="2025-01-21T00:00:00"/>
    <x v="2"/>
    <s v="Jan Emerson C. Gonzales"/>
    <s v="Jay Pee S. Ordoñez"/>
    <s v="Zosimo P. Suyat"/>
    <s v="R3-2025-002029"/>
    <d v="2025-01-22T00:00:00"/>
    <d v="2025-01-23T00:00:00"/>
    <d v="2025-01-23T00:00:00"/>
    <d v="2025-01-24T00:00:00"/>
    <n v="1"/>
    <n v="1"/>
    <n v="1"/>
    <n v="1"/>
    <s v="Received by Planning"/>
    <s v="MRS"/>
    <s v="OPERATIONAL"/>
    <s v="Technical Assistance"/>
    <s v="None"/>
  </r>
  <r>
    <x v="3"/>
    <x v="46"/>
    <s v="MBA"/>
    <s v="San Roque (Pob.)"/>
    <n v="2465"/>
    <n v="2773"/>
    <s v="NO TECHNICAL ASSISTANCE CONDUCTED"/>
    <m/>
    <m/>
    <x v="0"/>
    <s v="Jan Emerson C. Gonzales"/>
    <s v="Jay Pee S. Ordoñez"/>
    <s v="Zosimo P. Suyat"/>
    <m/>
    <m/>
    <m/>
    <m/>
    <m/>
    <s v=""/>
    <s v=""/>
    <s v=""/>
    <s v=""/>
    <m/>
    <m/>
    <m/>
    <m/>
    <m/>
  </r>
  <r>
    <x v="3"/>
    <x v="46"/>
    <s v="MBA"/>
    <s v="Santor"/>
    <n v="6037"/>
    <n v="6046"/>
    <s v="CONDUCTED TECHNICAL ASSISTANCE"/>
    <n v="2024"/>
    <d v="2024-04-03T00:00:00"/>
    <x v="0"/>
    <s v="Jan Emerson C. Gonzales"/>
    <s v="Jay Pee S. Ordoñez"/>
    <s v="Zosimo P. Suyat"/>
    <m/>
    <m/>
    <m/>
    <m/>
    <m/>
    <s v=""/>
    <s v=""/>
    <s v=""/>
    <s v=""/>
    <m/>
    <m/>
    <m/>
    <s v="Technical Assistance"/>
    <s v="None"/>
  </r>
  <r>
    <x v="3"/>
    <x v="46"/>
    <s v="MBA"/>
    <s v="Sinipit (Pob.)"/>
    <n v="2672"/>
    <n v="2542"/>
    <s v="NO TECHNICAL ASSISTANCE CONDUCTED"/>
    <m/>
    <m/>
    <x v="0"/>
    <s v="Jan Emerson C. Gonzales"/>
    <s v="Jay Pee S. Ordoñez"/>
    <s v="Zosimo P. Suyat"/>
    <m/>
    <m/>
    <m/>
    <m/>
    <m/>
    <s v=""/>
    <s v=""/>
    <s v=""/>
    <s v=""/>
    <m/>
    <m/>
    <m/>
    <m/>
    <m/>
  </r>
  <r>
    <x v="3"/>
    <x v="46"/>
    <s v="MBA"/>
    <s v="Sisilang na Ligaya (Pob.)"/>
    <n v="623"/>
    <n v="587"/>
    <s v="CONDUCTED TECHNICAL ASSISTANCE"/>
    <n v="2024"/>
    <d v="2024-10-31T00:00:00"/>
    <x v="0"/>
    <s v="Jan Emerson C. Gonzales"/>
    <s v="Jay Pee S. Ordoñez"/>
    <s v="Zosimo P. Suyat"/>
    <m/>
    <m/>
    <m/>
    <m/>
    <m/>
    <s v=""/>
    <s v=""/>
    <s v=""/>
    <s v=""/>
    <m/>
    <s v="MRF"/>
    <s v="OPERATIONAL"/>
    <s v="Technical Assistance"/>
    <s v="None"/>
  </r>
  <r>
    <x v="3"/>
    <x v="46"/>
    <s v="MBA"/>
    <s v="Social (Pob.)"/>
    <n v="663"/>
    <n v="795"/>
    <s v="CONDUCTED TECHNICAL ASSISTANCE"/>
    <n v="2025"/>
    <d v="2025-01-30T00:00:00"/>
    <x v="3"/>
    <s v="Jan Emerson C. Gonzales"/>
    <s v="Jay Pee S. Ordoñez"/>
    <s v="Zosimo P. Suyat"/>
    <s v="R3-2025-003537"/>
    <d v="2025-02-03T00:00:00"/>
    <d v="2025-02-06T00:00:00"/>
    <d v="2025-02-06T00:00:00"/>
    <d v="2025-02-11T00:00:00"/>
    <n v="2"/>
    <n v="3"/>
    <n v="1"/>
    <n v="3"/>
    <s v="Received by Planning"/>
    <s v="MRS"/>
    <s v="OPERATIONAL"/>
    <s v="Technical Assistance"/>
    <s v="None"/>
  </r>
  <r>
    <x v="3"/>
    <x v="46"/>
    <s v="MBA"/>
    <s v="Tugatug"/>
    <n v="2034"/>
    <n v="2259"/>
    <s v="NO TECHNICAL ASSISTANCE CONDUCTED"/>
    <m/>
    <m/>
    <x v="0"/>
    <s v="Jan Emerson C. Gonzales"/>
    <s v="Jay Pee S. Ordoñez"/>
    <s v="Zosimo P. Suyat"/>
    <m/>
    <m/>
    <m/>
    <m/>
    <m/>
    <s v=""/>
    <s v=""/>
    <s v=""/>
    <s v=""/>
    <m/>
    <m/>
    <m/>
    <m/>
    <m/>
  </r>
  <r>
    <x v="3"/>
    <x v="46"/>
    <s v="MBA"/>
    <s v="Tulay na Bato (Pob.)"/>
    <n v="2034"/>
    <n v="2291"/>
    <s v="CONDUCTED TECHNICAL ASSISTANCE"/>
    <n v="2025"/>
    <d v="2025-01-30T00:00:00"/>
    <x v="3"/>
    <s v="Jan Emerson C. Gonzales"/>
    <s v="Jay Pee S. Ordoñez"/>
    <s v="Zosimo P. Suyat"/>
    <s v="R3-2025-003542"/>
    <d v="2025-02-03T00:00:00"/>
    <d v="2025-02-06T00:00:00"/>
    <d v="2025-02-06T00:00:00"/>
    <d v="2025-02-11T00:00:00"/>
    <n v="2"/>
    <n v="3"/>
    <n v="1"/>
    <n v="3"/>
    <s v="Received by Planning"/>
    <s v="MRF"/>
    <s v="OPERATIONAL"/>
    <s v="Technical Assistance"/>
    <s v="None"/>
  </r>
  <r>
    <x v="3"/>
    <x v="46"/>
    <s v="MBA"/>
    <s v="Vega"/>
    <n v="6108"/>
    <n v="6162"/>
    <s v="NO TECHNICAL ASSISTANCE CONDUCTED"/>
    <m/>
    <m/>
    <x v="0"/>
    <s v="Jan Emerson C. Gonzales"/>
    <s v="Jay Pee S. Ordoñez"/>
    <s v="Zosimo P. Suyat"/>
    <m/>
    <m/>
    <m/>
    <m/>
    <m/>
    <s v=""/>
    <s v=""/>
    <s v=""/>
    <s v=""/>
    <m/>
    <m/>
    <m/>
    <m/>
    <m/>
  </r>
  <r>
    <x v="3"/>
    <x v="47"/>
    <s v="MBA"/>
    <s v="Aduas Centro"/>
    <n v="5116"/>
    <n v="5116"/>
    <s v="NO TECHNICAL ASSISTANCE CONDUCTED"/>
    <m/>
    <m/>
    <x v="0"/>
    <s v="Jan Emerson C. Gonzales"/>
    <s v="Jay Pee S. Ordoñez"/>
    <s v="Zosimo P. Suyat"/>
    <m/>
    <m/>
    <m/>
    <m/>
    <m/>
    <s v=""/>
    <s v=""/>
    <s v=""/>
    <s v=""/>
    <m/>
    <m/>
    <m/>
    <m/>
    <m/>
  </r>
  <r>
    <x v="3"/>
    <x v="47"/>
    <s v="MBA"/>
    <s v="Aduas Norte"/>
    <n v="5546"/>
    <n v="5755"/>
    <s v="CONDUCTED TECHNICAL ASSISTANCE"/>
    <n v="2025"/>
    <d v="2025-10-08T00:00:00"/>
    <x v="5"/>
    <s v="Christian Jem L. Buluran"/>
    <s v="Jay Pee S. Ordoñez"/>
    <s v="Zosimo P. Suyat"/>
    <s v="R3-2025-034721"/>
    <d v="2025-10-08T00:00:00"/>
    <d v="2025-10-14T00:00:00"/>
    <d v="2025-10-16T00:00:00"/>
    <d v="2025-10-17T00:00:00"/>
    <n v="1"/>
    <n v="4"/>
    <n v="2"/>
    <n v="1"/>
    <s v="Received by Planning"/>
    <s v="MRS"/>
    <s v="OPERATIONAL"/>
    <s v="Technical Assistance"/>
    <m/>
  </r>
  <r>
    <x v="3"/>
    <x v="47"/>
    <s v="MBA"/>
    <s v="Aduas Sur"/>
    <n v="6745"/>
    <n v="7640"/>
    <s v="NO TECHNICAL ASSISTANCE CONDUCTED"/>
    <m/>
    <m/>
    <x v="0"/>
    <s v="Jan Emerson C. Gonzales"/>
    <s v="Jay Pee S. Ordoñez"/>
    <s v="Zosimo P. Suyat"/>
    <m/>
    <m/>
    <m/>
    <m/>
    <m/>
    <s v=""/>
    <s v=""/>
    <s v=""/>
    <s v=""/>
    <m/>
    <m/>
    <m/>
    <m/>
    <m/>
  </r>
  <r>
    <x v="3"/>
    <x v="47"/>
    <s v="MBA"/>
    <s v="Bagong Buhay"/>
    <n v="852"/>
    <n v="934"/>
    <s v="NO TECHNICAL ASSISTANCE CONDUCTED"/>
    <m/>
    <m/>
    <x v="0"/>
    <s v="Jan Emerson C. Gonzales"/>
    <s v="Jay Pee S. Ordoñez"/>
    <s v="Zosimo P. Suyat"/>
    <m/>
    <m/>
    <m/>
    <m/>
    <m/>
    <s v=""/>
    <s v=""/>
    <s v=""/>
    <s v=""/>
    <m/>
    <m/>
    <m/>
    <m/>
    <m/>
  </r>
  <r>
    <x v="3"/>
    <x v="47"/>
    <s v="MBA"/>
    <s v="Bagong Sikat"/>
    <n v="4599"/>
    <n v="5272"/>
    <s v="NO TECHNICAL ASSISTANCE CONDUCTED"/>
    <m/>
    <m/>
    <x v="0"/>
    <s v="Jan Emerson C. Gonzales"/>
    <s v="Jay Pee S. Ordoñez"/>
    <s v="Zosimo P. Suyat"/>
    <m/>
    <m/>
    <m/>
    <m/>
    <m/>
    <s v=""/>
    <s v=""/>
    <s v=""/>
    <s v=""/>
    <m/>
    <m/>
    <m/>
    <m/>
    <m/>
  </r>
  <r>
    <x v="3"/>
    <x v="47"/>
    <s v="MBA"/>
    <s v="Bakero"/>
    <n v="3073"/>
    <n v="3359"/>
    <s v="NO TECHNICAL ASSISTANCE CONDUCTED"/>
    <m/>
    <m/>
    <x v="0"/>
    <s v="Jan Emerson C. Gonzales"/>
    <s v="Jay Pee S. Ordoñez"/>
    <s v="Zosimo P. Suyat"/>
    <m/>
    <m/>
    <m/>
    <m/>
    <m/>
    <s v=""/>
    <s v=""/>
    <s v=""/>
    <s v=""/>
    <m/>
    <m/>
    <m/>
    <m/>
    <m/>
  </r>
  <r>
    <x v="3"/>
    <x v="47"/>
    <s v="MBA"/>
    <s v="Bakod Bayan"/>
    <n v="7659"/>
    <n v="9981"/>
    <s v="NO TECHNICAL ASSISTANCE CONDUCTED"/>
    <m/>
    <m/>
    <x v="0"/>
    <s v="Jan Emerson C. Gonzales"/>
    <s v="Jay Pee S. Ordoñez"/>
    <s v="Zosimo P. Suyat"/>
    <m/>
    <m/>
    <m/>
    <m/>
    <m/>
    <s v=""/>
    <s v=""/>
    <s v=""/>
    <s v=""/>
    <m/>
    <m/>
    <m/>
    <m/>
    <m/>
  </r>
  <r>
    <x v="3"/>
    <x v="47"/>
    <s v="MBA"/>
    <s v="Bangad"/>
    <n v="7596"/>
    <n v="7688"/>
    <s v="NO TECHNICAL ASSISTANCE CONDUCTED"/>
    <m/>
    <m/>
    <x v="0"/>
    <s v="Jan Emerson C. Gonzales"/>
    <s v="Jay Pee S. Ordoñez"/>
    <s v="Zosimo P. Suyat"/>
    <m/>
    <m/>
    <m/>
    <m/>
    <m/>
    <s v=""/>
    <s v=""/>
    <s v=""/>
    <s v=""/>
    <m/>
    <m/>
    <m/>
    <m/>
    <m/>
  </r>
  <r>
    <x v="3"/>
    <x v="47"/>
    <s v="MBA"/>
    <s v="Balite"/>
    <n v="2141"/>
    <n v="2307"/>
    <s v="NO TECHNICAL ASSISTANCE CONDUCTED"/>
    <m/>
    <m/>
    <x v="0"/>
    <s v="Jan Emerson C. Gonzales"/>
    <s v="Jay Pee S. Ordoñez"/>
    <s v="Zosimo P. Suyat"/>
    <m/>
    <m/>
    <m/>
    <m/>
    <m/>
    <s v=""/>
    <s v=""/>
    <s v=""/>
    <s v=""/>
    <m/>
    <m/>
    <m/>
    <m/>
    <m/>
  </r>
  <r>
    <x v="3"/>
    <x v="47"/>
    <s v="MBA"/>
    <s v="Bantug Bulalo"/>
    <n v="2390"/>
    <n v="2009"/>
    <s v="NO TECHNICAL ASSISTANCE CONDUCTED"/>
    <m/>
    <m/>
    <x v="0"/>
    <s v="Jan Emerson C. Gonzales"/>
    <s v="Jay Pee S. Ordoñez"/>
    <s v="Zosimo P. Suyat"/>
    <m/>
    <m/>
    <m/>
    <m/>
    <m/>
    <s v=""/>
    <s v=""/>
    <s v=""/>
    <s v=""/>
    <m/>
    <m/>
    <m/>
    <m/>
    <m/>
  </r>
  <r>
    <x v="3"/>
    <x v="47"/>
    <s v="MBA"/>
    <s v="Bantug Norte"/>
    <n v="8695"/>
    <n v="8686"/>
    <s v="NO TECHNICAL ASSISTANCE CONDUCTED"/>
    <m/>
    <m/>
    <x v="0"/>
    <s v="Jan Emerson C. Gonzales"/>
    <s v="Jay Pee S. Ordoñez"/>
    <s v="Zosimo P. Suyat"/>
    <m/>
    <m/>
    <m/>
    <m/>
    <m/>
    <s v=""/>
    <s v=""/>
    <s v=""/>
    <s v=""/>
    <m/>
    <m/>
    <m/>
    <m/>
    <m/>
  </r>
  <r>
    <x v="3"/>
    <x v="47"/>
    <s v="MBA"/>
    <s v="Barlis"/>
    <n v="2066"/>
    <n v="2258"/>
    <s v="NO TECHNICAL ASSISTANCE CONDUCTED"/>
    <m/>
    <m/>
    <x v="0"/>
    <s v="Jan Emerson C. Gonzales"/>
    <s v="Jay Pee S. Ordoñez"/>
    <s v="Zosimo P. Suyat"/>
    <m/>
    <m/>
    <m/>
    <m/>
    <m/>
    <s v=""/>
    <s v=""/>
    <s v=""/>
    <s v=""/>
    <m/>
    <m/>
    <m/>
    <m/>
    <m/>
  </r>
  <r>
    <x v="3"/>
    <x v="47"/>
    <s v="MBA"/>
    <s v="Bernardo District (Pob.)"/>
    <n v="1233"/>
    <n v="1144"/>
    <s v="NO TECHNICAL ASSISTANCE CONDUCTED"/>
    <m/>
    <m/>
    <x v="0"/>
    <s v="Jan Emerson C. Gonzales"/>
    <s v="Jay Pee S. Ordoñez"/>
    <s v="Zosimo P. Suyat"/>
    <m/>
    <m/>
    <m/>
    <m/>
    <m/>
    <s v=""/>
    <s v=""/>
    <s v=""/>
    <s v=""/>
    <m/>
    <m/>
    <m/>
    <m/>
    <m/>
  </r>
  <r>
    <x v="3"/>
    <x v="47"/>
    <s v="MBA"/>
    <s v="Barrera District (Pob.)"/>
    <n v="5374"/>
    <n v="5290"/>
    <s v="CONDUCTED TECHNICAL ASSISTANCE"/>
    <n v="2024"/>
    <d v="2024-01-25T00:00:00"/>
    <x v="2"/>
    <s v="Jan Emerson C. Gonzales"/>
    <s v="Jay Pee S. Ordoñez"/>
    <s v="Zosimo P. Suyat"/>
    <m/>
    <m/>
    <m/>
    <m/>
    <m/>
    <s v=""/>
    <s v=""/>
    <s v=""/>
    <s v=""/>
    <m/>
    <m/>
    <m/>
    <s v="Technical Assistance"/>
    <m/>
  </r>
  <r>
    <x v="3"/>
    <x v="47"/>
    <s v="MBA"/>
    <s v="Bonifacio District (Pob.)"/>
    <n v="2917"/>
    <n v="3041"/>
    <s v="NO TECHNICAL ASSISTANCE CONDUCTED"/>
    <m/>
    <m/>
    <x v="0"/>
    <s v="Jan Emerson C. Gonzales"/>
    <s v="Jay Pee S. Ordoñez"/>
    <s v="Zosimo P. Suyat"/>
    <m/>
    <m/>
    <m/>
    <m/>
    <m/>
    <s v=""/>
    <s v=""/>
    <s v=""/>
    <s v=""/>
    <m/>
    <m/>
    <m/>
    <m/>
    <m/>
  </r>
  <r>
    <x v="3"/>
    <x v="47"/>
    <s v="MBA"/>
    <s v="Bitas"/>
    <n v="5779"/>
    <n v="5513"/>
    <s v="NO TECHNICAL ASSISTANCE CONDUCTED"/>
    <m/>
    <m/>
    <x v="0"/>
    <s v="Jan Emerson C. Gonzales"/>
    <s v="Jay Pee S. Ordoñez"/>
    <s v="Zosimo P. Suyat"/>
    <m/>
    <m/>
    <m/>
    <m/>
    <m/>
    <s v=""/>
    <s v=""/>
    <s v=""/>
    <s v=""/>
    <m/>
    <m/>
    <m/>
    <m/>
    <m/>
  </r>
  <r>
    <x v="3"/>
    <x v="47"/>
    <s v="MBA"/>
    <s v="Calawagan"/>
    <n v="1757"/>
    <n v="1836"/>
    <s v="NO TECHNICAL ASSISTANCE CONDUCTED"/>
    <m/>
    <m/>
    <x v="0"/>
    <s v="Jan Emerson C. Gonzales"/>
    <s v="Jay Pee S. Ordoñez"/>
    <s v="Zosimo P. Suyat"/>
    <m/>
    <m/>
    <m/>
    <m/>
    <m/>
    <s v=""/>
    <s v=""/>
    <s v=""/>
    <s v=""/>
    <m/>
    <m/>
    <m/>
    <m/>
    <m/>
  </r>
  <r>
    <x v="3"/>
    <x v="47"/>
    <s v="MBA"/>
    <s v="Buliran"/>
    <n v="3322"/>
    <n v="3461"/>
    <s v="CONDUCTED TECHNICAL ASSISTANCE"/>
    <n v="2025"/>
    <d v="2025-07-31T00:00:00"/>
    <x v="9"/>
    <s v="Christian Jem L. Buluran"/>
    <s v="Jan Emerson C. Gonzales"/>
    <s v="Zosimo P. Suyat"/>
    <s v="R3-2025-027687"/>
    <d v="2025-08-18T00:00:00"/>
    <d v="2025-08-18T00:00:00"/>
    <d v="2025-08-19T00:00:00"/>
    <d v="2025-08-19T00:00:00"/>
    <n v="12"/>
    <n v="1"/>
    <n v="1"/>
    <n v="1"/>
    <s v="Received by Planning"/>
    <s v="MRS"/>
    <s v="OPERATIONAL"/>
    <s v="Technical Assistance"/>
    <m/>
  </r>
  <r>
    <x v="3"/>
    <x v="47"/>
    <s v="MBA"/>
    <s v="Caalibangbangan"/>
    <n v="11112"/>
    <n v="11104"/>
    <s v="CONDUCTED TECHNICAL ASSISTANCE"/>
    <n v="2025"/>
    <d v="2025-07-17T00:00:00"/>
    <x v="9"/>
    <s v="Christian Jem L. Buluran"/>
    <s v="Jan Emerson C. Gonzales"/>
    <s v="Zosimo P. Suyat"/>
    <s v="R3-2025-024356"/>
    <d v="2025-07-20T00:00:00"/>
    <d v="2025-07-21T00:00:00"/>
    <d v="2025-07-21T00:00:00"/>
    <d v="2025-07-21T00:00:00"/>
    <n v="1"/>
    <n v="1"/>
    <n v="1"/>
    <n v="1"/>
    <s v="Received by Planning"/>
    <s v="MRS"/>
    <s v="OPERATIONAL"/>
    <s v="Technical Assistance"/>
    <m/>
  </r>
  <r>
    <x v="3"/>
    <x v="47"/>
    <s v="MBA"/>
    <s v="Cabu"/>
    <n v="4054"/>
    <n v="5182"/>
    <s v="CONDUCTED TECHNICAL ASSISTANCE"/>
    <n v="2025"/>
    <d v="2025-05-02T00:00:00"/>
    <x v="6"/>
    <s v="Christian Jem L. Buluran"/>
    <s v="Jan Emerson C. Gonzales"/>
    <s v="Zosimo P. Suyat"/>
    <s v="R3-2025-014898"/>
    <d v="2025-05-03T00:00:00"/>
    <d v="2025-05-06T00:00:00"/>
    <d v="2025-05-06T00:00:00"/>
    <d v="2025-05-15T00:00:00"/>
    <n v="1"/>
    <n v="1"/>
    <n v="1"/>
    <n v="7"/>
    <s v="Received by Planning"/>
    <s v="MRS"/>
    <s v="OPERATIONAL"/>
    <s v="Technical Assistance"/>
    <m/>
  </r>
  <r>
    <x v="3"/>
    <x v="47"/>
    <s v="MBA"/>
    <s v="Campo Tinio"/>
    <n v="11449"/>
    <n v="11917"/>
    <s v="NO TECHNICAL ASSISTANCE CONDUCTED"/>
    <m/>
    <m/>
    <x v="0"/>
    <s v="Jan Emerson C. Gonzales"/>
    <s v="Jay Pee S. Ordoñez"/>
    <s v="Zosimo P. Suyat"/>
    <m/>
    <m/>
    <m/>
    <m/>
    <m/>
    <s v=""/>
    <s v=""/>
    <s v=""/>
    <s v=""/>
    <m/>
    <m/>
    <m/>
    <m/>
    <m/>
  </r>
  <r>
    <x v="3"/>
    <x v="47"/>
    <s v="MBA"/>
    <s v="Caridad"/>
    <n v="1885"/>
    <n v="1905"/>
    <s v="NO TECHNICAL ASSISTANCE CONDUCTED"/>
    <m/>
    <m/>
    <x v="0"/>
    <s v="Jan Emerson C. Gonzales"/>
    <s v="Jay Pee S. Ordoñez"/>
    <s v="Zosimo P. Suyat"/>
    <m/>
    <m/>
    <m/>
    <m/>
    <m/>
    <s v=""/>
    <s v=""/>
    <s v=""/>
    <s v=""/>
    <m/>
    <m/>
    <m/>
    <m/>
    <m/>
  </r>
  <r>
    <x v="3"/>
    <x v="47"/>
    <s v="MBA"/>
    <s v="Caudillo"/>
    <n v="1614"/>
    <n v="1920"/>
    <s v="NO TECHNICAL ASSISTANCE CONDUCTED"/>
    <m/>
    <m/>
    <x v="0"/>
    <s v="Jan Emerson C. Gonzales"/>
    <s v="Jay Pee S. Ordoñez"/>
    <s v="Zosimo P. Suyat"/>
    <m/>
    <m/>
    <m/>
    <m/>
    <m/>
    <s v=""/>
    <s v=""/>
    <s v=""/>
    <s v=""/>
    <m/>
    <m/>
    <m/>
    <m/>
    <m/>
  </r>
  <r>
    <x v="3"/>
    <x v="47"/>
    <s v="MBA"/>
    <s v="Cinco-Cinco"/>
    <n v="1816"/>
    <n v="2163"/>
    <s v="NO TECHNICAL ASSISTANCE CONDUCTED"/>
    <m/>
    <m/>
    <x v="0"/>
    <s v="Jan Emerson C. Gonzales"/>
    <s v="Jay Pee S. Ordoñez"/>
    <s v="Zosimo P. Suyat"/>
    <m/>
    <m/>
    <m/>
    <m/>
    <m/>
    <s v=""/>
    <s v=""/>
    <s v=""/>
    <s v=""/>
    <m/>
    <m/>
    <m/>
    <m/>
    <m/>
  </r>
  <r>
    <x v="3"/>
    <x v="47"/>
    <s v="MBA"/>
    <s v="City Supermarket (Pob.)"/>
    <n v="172"/>
    <n v="95"/>
    <s v="NO TECHNICAL ASSISTANCE CONDUCTED"/>
    <m/>
    <m/>
    <x v="0"/>
    <s v="Jan Emerson C. Gonzales"/>
    <s v="Jay Pee S. Ordoñez"/>
    <s v="Zosimo P. Suyat"/>
    <m/>
    <m/>
    <m/>
    <m/>
    <m/>
    <s v=""/>
    <s v=""/>
    <s v=""/>
    <s v=""/>
    <m/>
    <m/>
    <m/>
    <m/>
    <m/>
  </r>
  <r>
    <x v="3"/>
    <x v="47"/>
    <s v="MBA"/>
    <s v="Communal"/>
    <n v="1451"/>
    <n v="1791"/>
    <s v="NO TECHNICAL ASSISTANCE CONDUCTED"/>
    <m/>
    <m/>
    <x v="0"/>
    <s v="Jan Emerson C. Gonzales"/>
    <s v="Jay Pee S. Ordoñez"/>
    <s v="Zosimo P. Suyat"/>
    <m/>
    <m/>
    <m/>
    <m/>
    <m/>
    <s v=""/>
    <s v=""/>
    <s v=""/>
    <s v=""/>
    <m/>
    <m/>
    <m/>
    <m/>
    <m/>
  </r>
  <r>
    <x v="3"/>
    <x v="47"/>
    <s v="MBA"/>
    <s v="Dicarma (Pob.)"/>
    <n v="4480"/>
    <n v="4344"/>
    <s v="NO TECHNICAL ASSISTANCE CONDUCTED"/>
    <m/>
    <m/>
    <x v="0"/>
    <s v="Jan Emerson C. Gonzales"/>
    <s v="Jay Pee S. Ordoñez"/>
    <s v="Zosimo P. Suyat"/>
    <m/>
    <m/>
    <m/>
    <m/>
    <m/>
    <s v=""/>
    <s v=""/>
    <s v=""/>
    <s v=""/>
    <m/>
    <m/>
    <m/>
    <m/>
    <m/>
  </r>
  <r>
    <x v="3"/>
    <x v="47"/>
    <s v="MBA"/>
    <s v="Cruz Roja"/>
    <n v="4145"/>
    <n v="5354"/>
    <s v="NO TECHNICAL ASSISTANCE CONDUCTED"/>
    <m/>
    <m/>
    <x v="0"/>
    <s v="Jan Emerson C. Gonzales"/>
    <s v="Jay Pee S. Ordoñez"/>
    <s v="Zosimo P. Suyat"/>
    <m/>
    <m/>
    <m/>
    <m/>
    <m/>
    <s v=""/>
    <s v=""/>
    <s v=""/>
    <s v=""/>
    <m/>
    <m/>
    <m/>
    <m/>
    <m/>
  </r>
  <r>
    <x v="3"/>
    <x v="47"/>
    <s v="MBA"/>
    <s v="Daang Sarile"/>
    <n v="7191"/>
    <n v="8030"/>
    <s v="CONDUCTED TECHNICAL ASSISTANCE"/>
    <n v="2025"/>
    <d v="2025-10-14T00:00:00"/>
    <x v="11"/>
    <s v="Christian Jem L. Buluran"/>
    <s v="Jay Pee S. Ordoñez"/>
    <s v="Zosimo P. Suyat"/>
    <s v="R3-2025-035199"/>
    <d v="2025-10-16T00:00:00"/>
    <d v="2025-10-20T00:00:00"/>
    <d v="2025-10-30T00:00:00"/>
    <d v="2025-11-03T00:00:00"/>
    <n v="2"/>
    <n v="2"/>
    <n v="8"/>
    <n v="2"/>
    <s v="Received by Planning"/>
    <s v="MRF"/>
    <s v="OPERATIONAL"/>
    <s v="Technical Assistance"/>
    <m/>
  </r>
  <r>
    <x v="3"/>
    <x v="47"/>
    <s v="MBA"/>
    <s v="Dalampang"/>
    <n v="2057"/>
    <n v="2202"/>
    <s v="NO TECHNICAL ASSISTANCE CONDUCTED"/>
    <m/>
    <m/>
    <x v="0"/>
    <s v="Jan Emerson C. Gonzales"/>
    <s v="Jay Pee S. Ordoñez"/>
    <s v="Zosimo P. Suyat"/>
    <m/>
    <m/>
    <m/>
    <m/>
    <m/>
    <s v=""/>
    <s v=""/>
    <s v=""/>
    <s v=""/>
    <m/>
    <m/>
    <m/>
    <m/>
    <m/>
  </r>
  <r>
    <x v="3"/>
    <x v="47"/>
    <s v="MBA"/>
    <s v="Dimasalang (Pob.)"/>
    <n v="1421"/>
    <n v="1281"/>
    <s v="CONDUCTED TECHNICAL ASSISTANCE"/>
    <n v="2025"/>
    <d v="2025-09-30T00:00:00"/>
    <x v="5"/>
    <s v="Christian Jem L. Buluran"/>
    <s v="Jay Pee S. Ordoñez"/>
    <s v="Zosimo P. Suyat"/>
    <s v="R3-2025-033407"/>
    <d v="2025-10-06T00:00:00"/>
    <d v="2025-10-08T00:00:00"/>
    <d v="2025-10-08T00:00:00"/>
    <d v="2025-10-10T00:00:00"/>
    <n v="4"/>
    <n v="2"/>
    <n v="1"/>
    <n v="2"/>
    <s v="Received by Planning"/>
    <s v="MRS"/>
    <s v="OPERATIONAL"/>
    <s v="Technical Assistance"/>
    <m/>
  </r>
  <r>
    <x v="3"/>
    <x v="47"/>
    <s v="MBA"/>
    <s v="Fatima (Pob.)"/>
    <n v="886"/>
    <n v="777"/>
    <s v="NO TECHNICAL ASSISTANCE CONDUCTED"/>
    <m/>
    <m/>
    <x v="0"/>
    <s v="Jan Emerson C. Gonzales"/>
    <s v="Jay Pee S. Ordoñez"/>
    <s v="Zosimo P. Suyat"/>
    <m/>
    <m/>
    <m/>
    <m/>
    <m/>
    <s v=""/>
    <s v=""/>
    <s v=""/>
    <s v=""/>
    <m/>
    <m/>
    <m/>
    <m/>
    <m/>
  </r>
  <r>
    <x v="3"/>
    <x v="47"/>
    <s v="MBA"/>
    <s v="Dionisio S. Garcia"/>
    <n v="7076"/>
    <n v="7405"/>
    <s v="CONDUCTED TECHNICAL ASSISTANCE"/>
    <n v="2024"/>
    <d v="2024-01-25T00:00:00"/>
    <x v="0"/>
    <s v="Jan Emerson C. Gonzales"/>
    <s v="Jay Pee S. Ordoñez"/>
    <s v="Zosimo P. Suyat"/>
    <m/>
    <m/>
    <m/>
    <m/>
    <m/>
    <s v=""/>
    <s v=""/>
    <s v=""/>
    <s v=""/>
    <m/>
    <m/>
    <m/>
    <s v="Technical Assistance"/>
    <m/>
  </r>
  <r>
    <x v="3"/>
    <x v="47"/>
    <s v="MBA"/>
    <s v="General Luna (Pob.)"/>
    <n v="1548"/>
    <n v="1516"/>
    <s v="NO TECHNICAL ASSISTANCE CONDUCTED"/>
    <m/>
    <m/>
    <x v="0"/>
    <s v="Jan Emerson C. Gonzales"/>
    <s v="Jay Pee S. Ordoñez"/>
    <s v="Zosimo P. Suyat"/>
    <m/>
    <m/>
    <m/>
    <m/>
    <m/>
    <s v=""/>
    <s v=""/>
    <s v=""/>
    <s v=""/>
    <m/>
    <m/>
    <m/>
    <m/>
    <m/>
  </r>
  <r>
    <x v="3"/>
    <x v="47"/>
    <s v="MBA"/>
    <s v="Hermogenes C. Concepcion, Sr."/>
    <n v="4039"/>
    <n v="4756"/>
    <s v="NO TECHNICAL ASSISTANCE CONDUCTED"/>
    <m/>
    <m/>
    <x v="0"/>
    <s v="Jan Emerson C. Gonzales"/>
    <s v="Jay Pee S. Ordoñez"/>
    <s v="Zosimo P. Suyat"/>
    <m/>
    <m/>
    <m/>
    <m/>
    <m/>
    <s v=""/>
    <s v=""/>
    <s v=""/>
    <s v=""/>
    <m/>
    <m/>
    <m/>
    <m/>
    <m/>
  </r>
  <r>
    <x v="3"/>
    <x v="47"/>
    <s v="MBA"/>
    <s v="Ibabao Bana"/>
    <n v="2313"/>
    <n v="2662"/>
    <s v="CONDUCTED TECHNICAL ASSISTANCE"/>
    <n v="2025"/>
    <d v="2025-08-22T00:00:00"/>
    <x v="7"/>
    <s v="Christian Jem L. Buluran"/>
    <s v="Jay Pee S. Ordoñez"/>
    <s v="Zosimo P. Suyat"/>
    <s v="R3-2025-031713"/>
    <d v="2025-09-18T00:00:00"/>
    <d v="2025-09-18T00:00:00"/>
    <d v="2025-09-18T00:00:00"/>
    <d v="2025-09-19T00:00:00"/>
    <n v="19"/>
    <n v="1"/>
    <n v="1"/>
    <n v="1"/>
    <s v="Received by Planning"/>
    <s v="MRS"/>
    <s v="OPERATIONAL"/>
    <s v="Technical Assistance"/>
    <m/>
  </r>
  <r>
    <x v="3"/>
    <x v="47"/>
    <s v="MBA"/>
    <s v="Mayapyap Sur"/>
    <n v="5473"/>
    <n v="5904"/>
    <s v="CONDUCTED TECHNICAL ASSISTANCE"/>
    <n v="2025"/>
    <d v="2025-09-12T00:00:00"/>
    <x v="7"/>
    <s v="Christian Jem L. Buluran"/>
    <s v="Jay Pee S. Ordoñez"/>
    <s v="Zosimo P. Suyat"/>
    <s v="R3-2025-031718"/>
    <d v="2025-09-18T00:00:00"/>
    <d v="2025-09-18T00:00:00"/>
    <d v="2025-09-18T00:00:00"/>
    <d v="2025-09-19T00:00:00"/>
    <n v="4"/>
    <n v="1"/>
    <n v="1"/>
    <n v="1"/>
    <s v="Received by Planning"/>
    <s v="MRS"/>
    <s v="OPERATIONAL"/>
    <s v="Technical Assistance"/>
    <m/>
  </r>
  <r>
    <x v="3"/>
    <x v="47"/>
    <s v="MBA"/>
    <s v="Imelda District"/>
    <n v="4001"/>
    <n v="3639"/>
    <s v="CONDUCTED TECHNICAL ASSISTANCE"/>
    <n v="2024"/>
    <d v="2024-10-30T00:00:00"/>
    <x v="0"/>
    <s v="Jan Emerson C. Gonzales"/>
    <s v="Jay Pee S. Ordoñez"/>
    <s v="Zosimo P. Suyat"/>
    <m/>
    <m/>
    <m/>
    <m/>
    <m/>
    <s v=""/>
    <s v=""/>
    <s v=""/>
    <s v=""/>
    <m/>
    <s v="MRF"/>
    <s v="OPERATIONAL"/>
    <s v="Technical Assistance"/>
    <m/>
  </r>
  <r>
    <x v="3"/>
    <x v="47"/>
    <s v="MBA"/>
    <s v="Isla (Pob.)"/>
    <n v="2081"/>
    <n v="2340"/>
    <s v="NO TECHNICAL ASSISTANCE CONDUCTED"/>
    <m/>
    <m/>
    <x v="0"/>
    <s v="Jan Emerson C. Gonzales"/>
    <s v="Jay Pee S. Ordoñez"/>
    <s v="Zosimo P. Suyat"/>
    <m/>
    <m/>
    <m/>
    <m/>
    <m/>
    <s v=""/>
    <s v=""/>
    <s v=""/>
    <s v=""/>
    <m/>
    <m/>
    <m/>
    <m/>
    <m/>
  </r>
  <r>
    <x v="3"/>
    <x v="47"/>
    <s v="MBA"/>
    <s v="Kalikid Norte"/>
    <n v="3344"/>
    <n v="3585"/>
    <s v="NO TECHNICAL ASSISTANCE CONDUCTED"/>
    <m/>
    <m/>
    <x v="0"/>
    <s v="Jan Emerson C. Gonzales"/>
    <s v="Jay Pee S. Ordoñez"/>
    <s v="Zosimo P. Suyat"/>
    <m/>
    <m/>
    <m/>
    <m/>
    <m/>
    <s v=""/>
    <s v=""/>
    <s v=""/>
    <s v=""/>
    <m/>
    <m/>
    <m/>
    <m/>
    <m/>
  </r>
  <r>
    <x v="3"/>
    <x v="47"/>
    <s v="MBA"/>
    <s v="Kalikid Sur"/>
    <n v="5056"/>
    <n v="6210"/>
    <s v="NO TECHNICAL ASSISTANCE CONDUCTED"/>
    <m/>
    <m/>
    <x v="0"/>
    <s v="Jan Emerson C. Gonzales"/>
    <s v="Jay Pee S. Ordoñez"/>
    <s v="Zosimo P. Suyat"/>
    <m/>
    <m/>
    <m/>
    <m/>
    <m/>
    <s v=""/>
    <s v=""/>
    <s v=""/>
    <s v=""/>
    <m/>
    <m/>
    <m/>
    <m/>
    <m/>
  </r>
  <r>
    <x v="3"/>
    <x v="47"/>
    <s v="MBA"/>
    <s v="Kapitan Pepe (Pob.)"/>
    <n v="4425"/>
    <n v="4795"/>
    <s v="CONDUCTED TECHNICAL ASSISTANCE"/>
    <n v="2024"/>
    <d v="2024-07-31T00:00:00"/>
    <x v="0"/>
    <s v="Jan Emerson C. Gonzales"/>
    <s v="Jay Pee S. Ordoñez"/>
    <s v="Zosimo P. Suyat"/>
    <m/>
    <m/>
    <m/>
    <m/>
    <m/>
    <s v=""/>
    <s v=""/>
    <s v=""/>
    <s v=""/>
    <m/>
    <s v="MRF"/>
    <s v="OPERATIONAL"/>
    <s v="Technical Assistance"/>
    <m/>
  </r>
  <r>
    <x v="3"/>
    <x v="47"/>
    <s v="MBA"/>
    <s v="Lagare"/>
    <n v="2366"/>
    <n v="2715"/>
    <s v="NO TECHNICAL ASSISTANCE CONDUCTED"/>
    <m/>
    <m/>
    <x v="0"/>
    <s v="Jan Emerson C. Gonzales"/>
    <s v="Jay Pee S. Ordoñez"/>
    <s v="Zosimo P. Suyat"/>
    <m/>
    <m/>
    <m/>
    <m/>
    <m/>
    <s v=""/>
    <s v=""/>
    <s v=""/>
    <s v=""/>
    <m/>
    <m/>
    <m/>
    <m/>
    <m/>
  </r>
  <r>
    <x v="3"/>
    <x v="47"/>
    <s v="MBA"/>
    <s v="Lourdes"/>
    <n v="2457"/>
    <n v="2478"/>
    <s v="NO TECHNICAL ASSISTANCE CONDUCTED"/>
    <m/>
    <m/>
    <x v="0"/>
    <s v="Jan Emerson C. Gonzales"/>
    <s v="Jay Pee S. Ordoñez"/>
    <s v="Zosimo P. Suyat"/>
    <m/>
    <m/>
    <m/>
    <m/>
    <m/>
    <s v=""/>
    <s v=""/>
    <s v=""/>
    <s v=""/>
    <m/>
    <m/>
    <m/>
    <m/>
    <m/>
  </r>
  <r>
    <x v="3"/>
    <x v="47"/>
    <s v="MBA"/>
    <s v="M. S. Garcia"/>
    <n v="4670"/>
    <n v="6148"/>
    <s v="CONDUCTED TECHNICAL ASSISTANCE"/>
    <n v="2024"/>
    <d v="2024-10-30T00:00:00"/>
    <x v="0"/>
    <s v="Jan Emerson C. Gonzales"/>
    <s v="Jay Pee S. Ordoñez"/>
    <s v="Zosimo P. Suyat"/>
    <m/>
    <m/>
    <m/>
    <m/>
    <m/>
    <s v=""/>
    <s v=""/>
    <s v=""/>
    <s v=""/>
    <m/>
    <s v="MRS"/>
    <s v="CATER BY LGU"/>
    <s v="Technical Assistance"/>
    <m/>
  </r>
  <r>
    <x v="3"/>
    <x v="47"/>
    <s v="MBA"/>
    <s v="Mabini Extension"/>
    <n v="3314"/>
    <n v="3208"/>
    <s v="CONDUCTED TECHNICAL ASSISTANCE"/>
    <n v="2024"/>
    <d v="2024-05-09T00:00:00"/>
    <x v="0"/>
    <s v="Jan Emerson C. Gonzales"/>
    <s v="Jay Pee S. Ordoñez"/>
    <s v="Zosimo P. Suyat"/>
    <m/>
    <m/>
    <m/>
    <m/>
    <m/>
    <s v=""/>
    <s v=""/>
    <s v=""/>
    <s v=""/>
    <m/>
    <m/>
    <m/>
    <s v="Technical Assistance"/>
    <m/>
  </r>
  <r>
    <x v="3"/>
    <x v="47"/>
    <s v="MBA"/>
    <s v="Mabini Homesite"/>
    <n v="4317"/>
    <n v="5501"/>
    <s v="CONDUCTED TECHNICAL ASSISTANCE"/>
    <n v="2024"/>
    <d v="2024-01-25T00:00:00"/>
    <x v="0"/>
    <s v="Jan Emerson C. Gonzales"/>
    <s v="Jay Pee S. Ordoñez"/>
    <s v="Zosimo P. Suyat"/>
    <m/>
    <m/>
    <m/>
    <m/>
    <m/>
    <s v=""/>
    <s v=""/>
    <s v=""/>
    <s v=""/>
    <m/>
    <m/>
    <m/>
    <s v="Technical Assistance"/>
    <m/>
  </r>
  <r>
    <x v="3"/>
    <x v="47"/>
    <s v="MBA"/>
    <s v="Macatbong"/>
    <n v="3378"/>
    <n v="3623"/>
    <s v="NO TECHNICAL ASSISTANCE CONDUCTED"/>
    <m/>
    <m/>
    <x v="0"/>
    <s v="Jan Emerson C. Gonzales"/>
    <s v="Jay Pee S. Ordoñez"/>
    <s v="Zosimo P. Suyat"/>
    <m/>
    <m/>
    <m/>
    <m/>
    <m/>
    <s v=""/>
    <s v=""/>
    <s v=""/>
    <s v=""/>
    <m/>
    <m/>
    <m/>
    <m/>
    <m/>
  </r>
  <r>
    <x v="3"/>
    <x v="47"/>
    <s v="MBA"/>
    <s v="Magsaysay District (Norte)"/>
    <n v="4492"/>
    <n v="4242"/>
    <s v="CONDUCTED TECHNICAL ASSISTANCE"/>
    <n v="2025"/>
    <d v="2025-05-28T00:00:00"/>
    <x v="10"/>
    <s v="Christian Jem L. Buluran"/>
    <s v="Jan Emerson C. Gonzales"/>
    <s v="Zosimo P. Suyat"/>
    <s v="R3-2025-018159"/>
    <d v="2025-06-01T00:00:00"/>
    <d v="2025-05-28T00:00:00"/>
    <d v="2025-06-03T00:00:00"/>
    <d v="2025-06-04T00:00:00"/>
    <n v="2"/>
    <n v="1"/>
    <n v="4"/>
    <n v="1"/>
    <s v="Received by Planning"/>
    <s v="MRS"/>
    <s v="OPERATIONAL"/>
    <s v="Technical Assistance"/>
    <m/>
  </r>
  <r>
    <x v="3"/>
    <x v="47"/>
    <s v="MBA"/>
    <s v="Magsaysay South (Sur)"/>
    <n v="2800"/>
    <n v="2419"/>
    <s v="CONDUCTED TECHNICAL ASSISTANCE"/>
    <n v="2025"/>
    <d v="2025-05-28T00:00:00"/>
    <x v="10"/>
    <s v="Christian Jem L. Buluran"/>
    <s v="Jan Emerson C. Gonzales"/>
    <s v="Zosimo P. Suyat"/>
    <s v="R3-2025-018160"/>
    <d v="2025-06-01T00:00:00"/>
    <d v="2025-06-03T00:00:00"/>
    <d v="2025-06-04T00:00:00"/>
    <d v="2025-06-04T00:00:00"/>
    <n v="2"/>
    <n v="1"/>
    <n v="1"/>
    <n v="1"/>
    <s v="Received by Planning"/>
    <s v="MRS"/>
    <s v="OPERATIONAL"/>
    <s v="Technical Assistance"/>
    <m/>
  </r>
  <r>
    <x v="3"/>
    <x v="47"/>
    <s v="MBA"/>
    <s v="Maria Theresa"/>
    <n v="930"/>
    <n v="969"/>
    <s v="NO TECHNICAL ASSISTANCE CONDUCTED"/>
    <m/>
    <m/>
    <x v="0"/>
    <s v="Jan Emerson C. Gonzales"/>
    <s v="Jay Pee S. Ordoñez"/>
    <s v="Zosimo P. Suyat"/>
    <m/>
    <m/>
    <m/>
    <m/>
    <m/>
    <s v=""/>
    <s v=""/>
    <s v=""/>
    <s v=""/>
    <m/>
    <m/>
    <m/>
    <m/>
    <m/>
  </r>
  <r>
    <x v="3"/>
    <x v="47"/>
    <s v="MBA"/>
    <s v="Matadero (Pob.)"/>
    <n v="1123"/>
    <n v="1010"/>
    <s v="NO TECHNICAL ASSISTANCE CONDUCTED"/>
    <m/>
    <m/>
    <x v="0"/>
    <s v="Jan Emerson C. Gonzales"/>
    <s v="Jay Pee S. Ordoñez"/>
    <s v="Zosimo P. Suyat"/>
    <m/>
    <m/>
    <m/>
    <m/>
    <m/>
    <s v=""/>
    <s v=""/>
    <s v=""/>
    <s v=""/>
    <m/>
    <m/>
    <m/>
    <m/>
    <m/>
  </r>
  <r>
    <x v="3"/>
    <x v="47"/>
    <s v="MBA"/>
    <s v="Mayapyap Norte"/>
    <n v="2288"/>
    <n v="2750"/>
    <s v="CONDUCTED TECHNICAL ASSISTANCE"/>
    <n v="2025"/>
    <d v="2025-08-07T00:00:00"/>
    <x v="9"/>
    <s v="Christian Jem L. Buluran"/>
    <s v="Jan Emerson C. Gonzales"/>
    <s v="Zosimo P. Suyat"/>
    <s v="R3-2025-027689"/>
    <d v="2025-08-18T00:00:00"/>
    <d v="2025-08-18T00:00:00"/>
    <d v="2025-08-19T00:00:00"/>
    <d v="2025-08-19T00:00:00"/>
    <n v="7"/>
    <n v="1"/>
    <n v="1"/>
    <n v="1"/>
    <s v="Received by Planning"/>
    <s v="MRS"/>
    <s v="OPERATIONAL"/>
    <s v="Technical Assistance"/>
    <m/>
  </r>
  <r>
    <x v="3"/>
    <x v="47"/>
    <s v="MBA"/>
    <s v="Melojavilla (Pob.)"/>
    <n v="654"/>
    <n v="387"/>
    <s v="NO TECHNICAL ASSISTANCE CONDUCTED"/>
    <m/>
    <m/>
    <x v="0"/>
    <s v="Jan Emerson C. Gonzales"/>
    <s v="Jay Pee S. Ordoñez"/>
    <s v="Zosimo P. Suyat"/>
    <m/>
    <m/>
    <m/>
    <m/>
    <m/>
    <s v=""/>
    <s v=""/>
    <s v=""/>
    <s v=""/>
    <m/>
    <m/>
    <m/>
    <m/>
    <m/>
  </r>
  <r>
    <x v="3"/>
    <x v="47"/>
    <s v="MBA"/>
    <s v="Nabao (Pob.)"/>
    <n v="730"/>
    <n v="703"/>
    <s v="CONDUCTED TECHNICAL ASSISTANCE"/>
    <n v="2024"/>
    <d v="2024-11-13T00:00:00"/>
    <x v="0"/>
    <s v="Jan Emerson C. Gonzales"/>
    <s v="Jay Pee S. Ordoñez"/>
    <s v="Zosimo P. Suyat"/>
    <m/>
    <m/>
    <m/>
    <m/>
    <m/>
    <s v=""/>
    <s v=""/>
    <s v=""/>
    <s v=""/>
    <m/>
    <s v="MRF"/>
    <s v="OPERATIONAL"/>
    <s v="Technical Assistance"/>
    <m/>
  </r>
  <r>
    <x v="3"/>
    <x v="47"/>
    <s v="MBA"/>
    <s v="Obrero"/>
    <n v="4361"/>
    <n v="4360"/>
    <s v="NO TECHNICAL ASSISTANCE CONDUCTED"/>
    <m/>
    <m/>
    <x v="0"/>
    <s v="Jan Emerson C. Gonzales"/>
    <s v="Jay Pee S. Ordoñez"/>
    <s v="Zosimo P. Suyat"/>
    <m/>
    <m/>
    <m/>
    <m/>
    <m/>
    <s v=""/>
    <s v=""/>
    <s v=""/>
    <s v=""/>
    <m/>
    <m/>
    <m/>
    <m/>
    <m/>
  </r>
  <r>
    <x v="3"/>
    <x v="47"/>
    <s v="MBA"/>
    <s v="Padre Burgos (Pob.)"/>
    <n v="324"/>
    <n v="328"/>
    <s v="NO TECHNICAL ASSISTANCE CONDUCTED"/>
    <m/>
    <m/>
    <x v="0"/>
    <s v="Jan Emerson C. Gonzales"/>
    <s v="Jay Pee S. Ordoñez"/>
    <s v="Zosimo P. Suyat"/>
    <m/>
    <m/>
    <m/>
    <m/>
    <m/>
    <s v=""/>
    <s v=""/>
    <s v=""/>
    <s v=""/>
    <m/>
    <m/>
    <m/>
    <m/>
    <m/>
  </r>
  <r>
    <x v="3"/>
    <x v="47"/>
    <s v="MBA"/>
    <s v="Padre Crisostomo"/>
    <n v="4018"/>
    <n v="4298"/>
    <s v="CONDUCTED TECHNICAL ASSISTANCE"/>
    <n v="2024"/>
    <d v="2024-01-25T00:00:00"/>
    <x v="0"/>
    <s v="Jan Emerson C. Gonzales"/>
    <s v="Jay Pee S. Ordoñez"/>
    <s v="Zosimo P. Suyat"/>
    <m/>
    <m/>
    <m/>
    <m/>
    <m/>
    <s v=""/>
    <s v=""/>
    <s v=""/>
    <s v=""/>
    <m/>
    <m/>
    <m/>
    <s v="Technical Assistance"/>
    <m/>
  </r>
  <r>
    <x v="3"/>
    <x v="47"/>
    <s v="MBA"/>
    <s v="Pagas"/>
    <n v="2997"/>
    <n v="3261"/>
    <s v="CONDUCTED TECHNICAL ASSISTANCE"/>
    <n v="2024"/>
    <d v="2024-09-23T00:00:00"/>
    <x v="0"/>
    <s v="Jan Emerson C. Gonzales"/>
    <s v="Jay Pee S. Ordoñez"/>
    <s v="Zosimo P. Suyat"/>
    <m/>
    <m/>
    <m/>
    <m/>
    <m/>
    <s v=""/>
    <s v=""/>
    <s v=""/>
    <s v=""/>
    <m/>
    <s v="MRF"/>
    <s v="OPERATIONAL"/>
    <s v="Technical Assistance"/>
    <m/>
  </r>
  <r>
    <x v="3"/>
    <x v="47"/>
    <s v="MBA"/>
    <s v="Palagay"/>
    <n v="2221"/>
    <n v="2648"/>
    <s v="NO TECHNICAL ASSISTANCE CONDUCTED"/>
    <m/>
    <m/>
    <x v="0"/>
    <s v="Jan Emerson C. Gonzales"/>
    <s v="Jay Pee S. Ordoñez"/>
    <s v="Zosimo P. Suyat"/>
    <m/>
    <m/>
    <m/>
    <m/>
    <m/>
    <s v=""/>
    <s v=""/>
    <s v=""/>
    <s v=""/>
    <m/>
    <m/>
    <m/>
    <m/>
    <m/>
  </r>
  <r>
    <x v="3"/>
    <x v="47"/>
    <s v="MBA"/>
    <s v="Pamaldan"/>
    <n v="3870"/>
    <n v="4203"/>
    <s v="CONDUCTED TECHNICAL ASSISTANCE"/>
    <n v="2025"/>
    <d v="2025-10-28T00:00:00"/>
    <x v="11"/>
    <s v="Christian Jem L. Buluran"/>
    <s v="Jay Pee S. Ordoñez"/>
    <s v="Zosimo P. Suyat"/>
    <s v="R3-2025-036619"/>
    <d v="2025-11-03T00:00:00"/>
    <d v="2025-11-05T00:00:00"/>
    <d v="2025-11-05T00:00:00"/>
    <d v="2025-11-05T00:00:00"/>
    <n v="4"/>
    <n v="2"/>
    <n v="1"/>
    <n v="1"/>
    <s v="Received by Planning"/>
    <s v="MRS"/>
    <s v="OPERATIONAL"/>
    <s v="Technical Assistance"/>
    <m/>
  </r>
  <r>
    <x v="3"/>
    <x v="47"/>
    <s v="MBA"/>
    <s v="Pangatian"/>
    <n v="2815"/>
    <n v="3290"/>
    <s v="NO TECHNICAL ASSISTANCE CONDUCTED"/>
    <m/>
    <m/>
    <x v="0"/>
    <s v="Jan Emerson C. Gonzales"/>
    <s v="Jay Pee S. Ordoñez"/>
    <s v="Zosimo P. Suyat"/>
    <m/>
    <m/>
    <m/>
    <m/>
    <m/>
    <s v=""/>
    <s v=""/>
    <s v=""/>
    <s v=""/>
    <m/>
    <m/>
    <m/>
    <m/>
    <m/>
  </r>
  <r>
    <x v="3"/>
    <x v="47"/>
    <s v="MBA"/>
    <s v="Patalac"/>
    <n v="2349"/>
    <n v="2417"/>
    <s v="NO TECHNICAL ASSISTANCE CONDUCTED"/>
    <m/>
    <m/>
    <x v="0"/>
    <s v="Jan Emerson C. Gonzales"/>
    <s v="Jay Pee S. Ordoñez"/>
    <s v="Zosimo P. Suyat"/>
    <m/>
    <m/>
    <m/>
    <m/>
    <m/>
    <s v=""/>
    <s v=""/>
    <s v=""/>
    <s v=""/>
    <m/>
    <m/>
    <m/>
    <m/>
    <m/>
  </r>
  <r>
    <x v="3"/>
    <x v="47"/>
    <s v="MBA"/>
    <s v="Polilio"/>
    <n v="2605"/>
    <n v="2913"/>
    <s v="NO TECHNICAL ASSISTANCE CONDUCTED"/>
    <m/>
    <m/>
    <x v="0"/>
    <s v="Jan Emerson C. Gonzales"/>
    <s v="Jay Pee S. Ordoñez"/>
    <s v="Zosimo P. Suyat"/>
    <m/>
    <m/>
    <m/>
    <m/>
    <m/>
    <s v=""/>
    <s v=""/>
    <s v=""/>
    <s v=""/>
    <m/>
    <m/>
    <m/>
    <m/>
    <m/>
  </r>
  <r>
    <x v="3"/>
    <x v="47"/>
    <s v="MBA"/>
    <s v="Pula"/>
    <n v="1708"/>
    <n v="1306"/>
    <s v="CONDUCTED TECHNICAL ASSISTANCE"/>
    <n v="2025"/>
    <d v="2025-07-29T00:00:00"/>
    <x v="9"/>
    <s v="Christian Jem L. Buluran"/>
    <s v="Jan Emerson C. Gonzales"/>
    <s v="Zosimo P. Suyat"/>
    <s v="R3-2025-027151"/>
    <d v="2025-08-14T00:00:00"/>
    <d v="2025-08-15T00:00:00"/>
    <d v="2025-08-18T00:00:00"/>
    <d v="2025-08-18T00:00:00"/>
    <n v="12"/>
    <n v="1"/>
    <n v="1"/>
    <n v="1"/>
    <s v="Received by Planning"/>
    <s v="MRS"/>
    <s v="OPERATIONAL"/>
    <s v="Technical Assistance"/>
    <m/>
  </r>
  <r>
    <x v="3"/>
    <x v="47"/>
    <s v="MBA"/>
    <s v="Quezon District (Pob.)"/>
    <n v="1949"/>
    <n v="1648"/>
    <s v="NO TECHNICAL ASSISTANCE CONDUCTED"/>
    <m/>
    <m/>
    <x v="0"/>
    <s v="Jan Emerson C. Gonzales"/>
    <s v="Jay Pee S. Ordoñez"/>
    <s v="Zosimo P. Suyat"/>
    <m/>
    <m/>
    <m/>
    <m/>
    <m/>
    <s v=""/>
    <s v=""/>
    <s v=""/>
    <s v=""/>
    <m/>
    <m/>
    <m/>
    <m/>
    <m/>
  </r>
  <r>
    <x v="3"/>
    <x v="47"/>
    <s v="MBA"/>
    <s v="Rizdelis (Pob.)"/>
    <n v="789"/>
    <n v="784"/>
    <s v="CONDUCTED TECHNICAL ASSISTANCE"/>
    <n v="2024"/>
    <d v="2024-11-13T00:00:00"/>
    <x v="0"/>
    <s v="Jan Emerson C. Gonzales"/>
    <s v="Jay Pee S. Ordoñez"/>
    <s v="Zosimo P. Suyat"/>
    <m/>
    <m/>
    <m/>
    <m/>
    <m/>
    <s v=""/>
    <s v=""/>
    <s v=""/>
    <s v=""/>
    <m/>
    <s v="MRF"/>
    <s v="OPERATIONAL"/>
    <s v="Technical Assistance"/>
    <m/>
  </r>
  <r>
    <x v="3"/>
    <x v="47"/>
    <s v="MBA"/>
    <s v="Samon"/>
    <n v="1713"/>
    <n v="1806"/>
    <s v="CONDUCTED TECHNICAL ASSISTANCE"/>
    <n v="2025"/>
    <d v="2025-10-28T00:00:00"/>
    <x v="11"/>
    <s v="Christian Jem L. Buluran"/>
    <s v="Jay Pee S. Ordoñez"/>
    <s v="Zosimo P. Suyat"/>
    <s v="R3-2025-036620"/>
    <d v="2025-11-03T00:00:00"/>
    <d v="2025-11-05T00:00:00"/>
    <d v="2025-11-05T00:00:00"/>
    <d v="2025-11-05T00:00:00"/>
    <n v="4"/>
    <n v="2"/>
    <n v="1"/>
    <n v="1"/>
    <s v="Received by Planning"/>
    <s v="MRS"/>
    <s v="OPERATIONAL"/>
    <s v="Technical Assistance"/>
    <m/>
  </r>
  <r>
    <x v="3"/>
    <x v="47"/>
    <s v="MBA"/>
    <s v="San Isidro"/>
    <n v="4996"/>
    <n v="6277"/>
    <s v="NO TECHNICAL ASSISTANCE CONDUCTED"/>
    <m/>
    <m/>
    <x v="0"/>
    <s v="Jan Emerson C. Gonzales"/>
    <s v="Jay Pee S. Ordoñez"/>
    <s v="Zosimo P. Suyat"/>
    <m/>
    <m/>
    <m/>
    <m/>
    <m/>
    <s v=""/>
    <s v=""/>
    <s v=""/>
    <s v=""/>
    <m/>
    <m/>
    <m/>
    <m/>
    <m/>
  </r>
  <r>
    <x v="3"/>
    <x v="47"/>
    <s v="MBA"/>
    <s v="San Josef Norte"/>
    <n v="4442"/>
    <n v="4684"/>
    <s v="CONDUCTED TECHNICAL ASSISTANCE"/>
    <n v="2024"/>
    <d v="2024-09-26T00:00:00"/>
    <x v="0"/>
    <s v="Jan Emerson C. Gonzales"/>
    <s v="Jay Pee S. Ordoñez"/>
    <s v="Zosimo P. Suyat"/>
    <m/>
    <m/>
    <m/>
    <m/>
    <m/>
    <s v=""/>
    <s v=""/>
    <s v=""/>
    <s v=""/>
    <m/>
    <s v="MRF"/>
    <s v="OPERATIONAL"/>
    <s v="Technical Assistance"/>
    <m/>
  </r>
  <r>
    <x v="3"/>
    <x v="47"/>
    <s v="MBA"/>
    <s v="San Josef Sur"/>
    <n v="6793"/>
    <n v="7785"/>
    <s v="CONDUCTED TECHNICAL ASSISTANCE"/>
    <n v="2024"/>
    <d v="2024-09-26T00:00:00"/>
    <x v="0"/>
    <s v="Jan Emerson C. Gonzales"/>
    <s v="Jay Pee S. Ordoñez"/>
    <s v="Zosimo P. Suyat"/>
    <m/>
    <m/>
    <m/>
    <m/>
    <m/>
    <s v=""/>
    <s v=""/>
    <s v=""/>
    <s v=""/>
    <m/>
    <s v="MRF"/>
    <s v="OPERATIONAL"/>
    <s v="Technical Assistance"/>
    <m/>
  </r>
  <r>
    <x v="3"/>
    <x v="47"/>
    <s v="MBA"/>
    <s v="San Juan Pob."/>
    <n v="6687"/>
    <n v="8772"/>
    <s v="NO TECHNICAL ASSISTANCE CONDUCTED"/>
    <m/>
    <m/>
    <x v="0"/>
    <s v="Jan Emerson C. Gonzales"/>
    <s v="Jay Pee S. Ordoñez"/>
    <s v="Zosimo P. Suyat"/>
    <m/>
    <m/>
    <m/>
    <m/>
    <m/>
    <s v=""/>
    <s v=""/>
    <s v=""/>
    <s v=""/>
    <m/>
    <m/>
    <m/>
    <m/>
    <m/>
  </r>
  <r>
    <x v="3"/>
    <x v="47"/>
    <s v="MBA"/>
    <s v="San Roque Norte"/>
    <n v="1128"/>
    <n v="944"/>
    <s v="NO TECHNICAL ASSISTANCE CONDUCTED"/>
    <m/>
    <m/>
    <x v="0"/>
    <s v="Jan Emerson C. Gonzales"/>
    <s v="Jay Pee S. Ordoñez"/>
    <s v="Zosimo P. Suyat"/>
    <m/>
    <m/>
    <m/>
    <m/>
    <m/>
    <s v=""/>
    <s v=""/>
    <s v=""/>
    <s v=""/>
    <m/>
    <m/>
    <m/>
    <m/>
    <m/>
  </r>
  <r>
    <x v="3"/>
    <x v="47"/>
    <s v="MBA"/>
    <s v="San Roque Sur"/>
    <n v="1356"/>
    <n v="1314"/>
    <s v="NO TECHNICAL ASSISTANCE CONDUCTED"/>
    <m/>
    <m/>
    <x v="0"/>
    <s v="Jan Emerson C. Gonzales"/>
    <s v="Jay Pee S. Ordoñez"/>
    <s v="Zosimo P. Suyat"/>
    <m/>
    <m/>
    <m/>
    <m/>
    <m/>
    <s v=""/>
    <s v=""/>
    <s v=""/>
    <s v=""/>
    <m/>
    <m/>
    <m/>
    <m/>
    <m/>
  </r>
  <r>
    <x v="3"/>
    <x v="47"/>
    <s v="MBA"/>
    <s v="Sanbermicristi (Pob.)"/>
    <n v="1331"/>
    <n v="1298"/>
    <s v="NO TECHNICAL ASSISTANCE CONDUCTED"/>
    <m/>
    <m/>
    <x v="0"/>
    <s v="Jan Emerson C. Gonzales"/>
    <s v="Jay Pee S. Ordoñez"/>
    <s v="Zosimo P. Suyat"/>
    <m/>
    <m/>
    <m/>
    <m/>
    <m/>
    <s v=""/>
    <s v=""/>
    <s v=""/>
    <s v=""/>
    <m/>
    <m/>
    <m/>
    <m/>
    <m/>
  </r>
  <r>
    <x v="3"/>
    <x v="47"/>
    <s v="MBA"/>
    <s v="Sangitan"/>
    <n v="2015"/>
    <n v="1566"/>
    <s v="NO TECHNICAL ASSISTANCE CONDUCTED"/>
    <m/>
    <m/>
    <x v="0"/>
    <s v="Jan Emerson C. Gonzales"/>
    <s v="Jay Pee S. Ordoñez"/>
    <s v="Zosimo P. Suyat"/>
    <m/>
    <m/>
    <m/>
    <m/>
    <m/>
    <s v=""/>
    <s v=""/>
    <s v=""/>
    <s v=""/>
    <m/>
    <m/>
    <m/>
    <m/>
    <m/>
  </r>
  <r>
    <x v="3"/>
    <x v="47"/>
    <s v="MBA"/>
    <s v="Sangitan East"/>
    <n v="2050"/>
    <n v="1531"/>
    <s v="NO TECHNICAL ASSISTANCE CONDUCTED"/>
    <m/>
    <m/>
    <x v="0"/>
    <s v="Jan Emerson C. Gonzales"/>
    <s v="Jay Pee S. Ordoñez"/>
    <s v="Zosimo P. Suyat"/>
    <m/>
    <m/>
    <m/>
    <m/>
    <m/>
    <s v=""/>
    <s v=""/>
    <s v=""/>
    <s v=""/>
    <m/>
    <m/>
    <m/>
    <m/>
    <m/>
  </r>
  <r>
    <x v="3"/>
    <x v="47"/>
    <s v="MBA"/>
    <s v="Santa Arcadia"/>
    <n v="4598"/>
    <n v="5751"/>
    <s v="CONDUCTED TECHNICAL ASSISTANCE"/>
    <n v="2024"/>
    <d v="2024-08-16T00:00:00"/>
    <x v="0"/>
    <s v="Jan Emerson C. Gonzales"/>
    <s v="Jay Pee S. Ordoñez"/>
    <s v="Zosimo P. Suyat"/>
    <m/>
    <m/>
    <m/>
    <m/>
    <m/>
    <s v=""/>
    <s v=""/>
    <s v=""/>
    <s v=""/>
    <m/>
    <s v="MRF"/>
    <s v="OPERATIONAL"/>
    <s v="Technical Assistance"/>
    <m/>
  </r>
  <r>
    <x v="3"/>
    <x v="47"/>
    <s v="MBA"/>
    <s v="Santo Niño"/>
    <n v="1807"/>
    <n v="1946"/>
    <s v="NO TECHNICAL ASSISTANCE CONDUCTED"/>
    <m/>
    <m/>
    <x v="0"/>
    <s v="Jan Emerson C. Gonzales"/>
    <s v="Jay Pee S. Ordoñez"/>
    <s v="Zosimo P. Suyat"/>
    <m/>
    <m/>
    <m/>
    <m/>
    <m/>
    <s v=""/>
    <s v=""/>
    <s v=""/>
    <s v=""/>
    <m/>
    <m/>
    <m/>
    <m/>
    <m/>
  </r>
  <r>
    <x v="3"/>
    <x v="47"/>
    <s v="MBA"/>
    <s v="Sapang"/>
    <n v="1382"/>
    <n v="1590"/>
    <s v="NO TECHNICAL ASSISTANCE CONDUCTED"/>
    <m/>
    <m/>
    <x v="0"/>
    <s v="Jan Emerson C. Gonzales"/>
    <s v="Jay Pee S. Ordoñez"/>
    <s v="Zosimo P. Suyat"/>
    <m/>
    <m/>
    <m/>
    <m/>
    <m/>
    <s v=""/>
    <s v=""/>
    <s v=""/>
    <s v=""/>
    <m/>
    <m/>
    <m/>
    <m/>
    <m/>
  </r>
  <r>
    <x v="3"/>
    <x v="47"/>
    <s v="MBA"/>
    <s v="Sumacab Este"/>
    <n v="4118"/>
    <n v="4517"/>
    <s v="NO TECHNICAL ASSISTANCE CONDUCTED"/>
    <m/>
    <m/>
    <x v="0"/>
    <s v="Jan Emerson C. Gonzales"/>
    <s v="Jay Pee S. Ordoñez"/>
    <s v="Zosimo P. Suyat"/>
    <m/>
    <m/>
    <m/>
    <m/>
    <m/>
    <s v=""/>
    <s v=""/>
    <s v=""/>
    <s v=""/>
    <m/>
    <m/>
    <m/>
    <m/>
    <m/>
  </r>
  <r>
    <x v="3"/>
    <x v="47"/>
    <s v="MBA"/>
    <s v="Sumacab Norte"/>
    <n v="4698"/>
    <n v="4869"/>
    <s v="NO TECHNICAL ASSISTANCE CONDUCTED"/>
    <m/>
    <m/>
    <x v="0"/>
    <s v="Jan Emerson C. Gonzales"/>
    <s v="Jay Pee S. Ordoñez"/>
    <s v="Zosimo P. Suyat"/>
    <m/>
    <m/>
    <m/>
    <m/>
    <m/>
    <s v=""/>
    <s v=""/>
    <s v=""/>
    <s v=""/>
    <m/>
    <m/>
    <m/>
    <m/>
    <m/>
  </r>
  <r>
    <x v="3"/>
    <x v="47"/>
    <s v="MBA"/>
    <s v="Sumacab South"/>
    <n v="4487"/>
    <n v="5776"/>
    <s v="CONDUCTED TECHNICAL ASSISTANCE"/>
    <n v="2024"/>
    <d v="2024-08-22T00:00:00"/>
    <x v="0"/>
    <s v="Jan Emerson C. Gonzales"/>
    <s v="Jay Pee S. Ordoñez"/>
    <s v="Zosimo P. Suyat"/>
    <m/>
    <m/>
    <m/>
    <m/>
    <m/>
    <s v=""/>
    <s v=""/>
    <s v=""/>
    <s v=""/>
    <m/>
    <s v="MRF"/>
    <s v="OPERATIONAL"/>
    <s v="Technical Assistance"/>
    <m/>
  </r>
  <r>
    <x v="3"/>
    <x v="47"/>
    <s v="MBA"/>
    <s v="Talipapa"/>
    <n v="1726"/>
    <n v="2498"/>
    <s v="NO TECHNICAL ASSISTANCE CONDUCTED"/>
    <m/>
    <m/>
    <x v="0"/>
    <s v="Jan Emerson C. Gonzales"/>
    <s v="Jay Pee S. Ordoñez"/>
    <s v="Zosimo P. Suyat"/>
    <m/>
    <m/>
    <m/>
    <m/>
    <m/>
    <s v=""/>
    <s v=""/>
    <s v=""/>
    <s v=""/>
    <m/>
    <m/>
    <m/>
    <m/>
    <m/>
  </r>
  <r>
    <x v="3"/>
    <x v="47"/>
    <s v="MBA"/>
    <s v="Valdefuente"/>
    <n v="4321"/>
    <n v="4216"/>
    <s v="CONDUCTED TECHNICAL ASSISTANCE"/>
    <n v="2025"/>
    <d v="2025-10-08T00:00:00"/>
    <x v="5"/>
    <s v="Christian Jem L. Buluran"/>
    <s v="Jay Pee S. Ordoñez"/>
    <s v="Zosimo P. Suyat"/>
    <s v="R3-2025-034720"/>
    <d v="2025-10-14T00:00:00"/>
    <d v="2025-10-15T00:00:00"/>
    <d v="2025-10-16T00:00:00"/>
    <d v="2025-10-17T00:00:00"/>
    <n v="4"/>
    <n v="1"/>
    <n v="1"/>
    <n v="1"/>
    <s v="Received by Planning"/>
    <s v="MRF"/>
    <s v="OPERATIONAL"/>
    <s v="Technical Assistance"/>
    <m/>
  </r>
  <r>
    <x v="3"/>
    <x v="47"/>
    <s v="MBA"/>
    <s v="Valle Cruz"/>
    <n v="4856"/>
    <n v="6503"/>
    <s v="NO TECHNICAL ASSISTANCE CONDUCTED"/>
    <m/>
    <m/>
    <x v="0"/>
    <s v="Jan Emerson C. Gonzales"/>
    <s v="Jay Pee S. Ordoñez"/>
    <s v="Zosimo P. Suyat"/>
    <m/>
    <m/>
    <m/>
    <m/>
    <m/>
    <s v=""/>
    <s v=""/>
    <s v=""/>
    <s v=""/>
    <m/>
    <m/>
    <m/>
    <m/>
    <m/>
  </r>
  <r>
    <x v="3"/>
    <x v="47"/>
    <s v="MBA"/>
    <s v="Vijandre District (Pob.)"/>
    <n v="1376"/>
    <n v="1096"/>
    <s v="NO TECHNICAL ASSISTANCE CONDUCTED"/>
    <m/>
    <m/>
    <x v="0"/>
    <s v="Jan Emerson C. Gonzales"/>
    <s v="Jay Pee S. Ordoñez"/>
    <s v="Zosimo P. Suyat"/>
    <m/>
    <m/>
    <m/>
    <m/>
    <m/>
    <s v=""/>
    <s v=""/>
    <s v=""/>
    <s v=""/>
    <m/>
    <m/>
    <m/>
    <m/>
    <m/>
  </r>
  <r>
    <x v="3"/>
    <x v="47"/>
    <s v="MBA"/>
    <s v="Villa Ofelia-Caridad"/>
    <n v="1319"/>
    <n v="1315"/>
    <s v="NO TECHNICAL ASSISTANCE CONDUCTED"/>
    <m/>
    <m/>
    <x v="0"/>
    <s v="Jan Emerson C. Gonzales"/>
    <s v="Jay Pee S. Ordoñez"/>
    <s v="Zosimo P. Suyat"/>
    <m/>
    <m/>
    <m/>
    <m/>
    <m/>
    <s v=""/>
    <s v=""/>
    <s v=""/>
    <s v=""/>
    <m/>
    <m/>
    <m/>
    <m/>
    <m/>
  </r>
  <r>
    <x v="3"/>
    <x v="47"/>
    <s v="MBA"/>
    <s v="Zulueta District (Pob.)"/>
    <n v="1558"/>
    <n v="1495"/>
    <s v="CONDUCTED TECHNICAL ASSISTANCE"/>
    <n v="2024"/>
    <d v="2024-07-31T00:00:00"/>
    <x v="0"/>
    <s v="Jan Emerson C. Gonzales"/>
    <s v="Jay Pee S. Ordoñez"/>
    <s v="Zosimo P. Suyat"/>
    <m/>
    <m/>
    <m/>
    <m/>
    <m/>
    <s v=""/>
    <s v=""/>
    <s v=""/>
    <s v=""/>
    <m/>
    <s v="MRF"/>
    <s v="OPERATIONAL"/>
    <s v="Technical Assistance"/>
    <m/>
  </r>
  <r>
    <x v="3"/>
    <x v="48"/>
    <s v="MBA"/>
    <s v="Concepcion"/>
    <n v="3768"/>
    <n v="4344"/>
    <s v="CONDUCTED TECHNICAL ASSISTANCE"/>
    <n v="2025"/>
    <d v="2025-09-10T00:00:00"/>
    <x v="7"/>
    <s v="Christine Ann V. Ramos"/>
    <s v="Jay Pee S. Ordoñez"/>
    <s v="Zosimo P. Suyat"/>
    <s v="R3-2025-031577"/>
    <d v="2025-09-18T00:00:00"/>
    <d v="2025-09-18T00:00:00"/>
    <d v="2025-09-18T00:00:00"/>
    <d v="2025-09-18T00:00:00"/>
    <n v="6"/>
    <n v="1"/>
    <n v="1"/>
    <n v="1"/>
    <s v="Received by Planning"/>
    <s v="MRS"/>
    <s v="OPERATIONAL"/>
    <s v="Technical Assistance"/>
    <m/>
  </r>
  <r>
    <x v="3"/>
    <x v="48"/>
    <s v="MBA"/>
    <s v="Bagong Buhay"/>
    <n v="1394"/>
    <n v="1538"/>
    <s v="CONDUCTED TECHNICAL ASSISTANCE"/>
    <n v="2024"/>
    <d v="2024-09-18T00:00:00"/>
    <x v="0"/>
    <s v="Christine Ann V. Ramos"/>
    <s v="Jay Pee S. Ordoñez"/>
    <s v="Zosimo P. Suyat"/>
    <m/>
    <m/>
    <m/>
    <m/>
    <m/>
    <s v=""/>
    <s v=""/>
    <s v=""/>
    <s v=""/>
    <m/>
    <s v="MRF"/>
    <s v="OPERATIONAL"/>
    <s v="Technical Assistance "/>
    <m/>
  </r>
  <r>
    <x v="3"/>
    <x v="48"/>
    <s v="MBA"/>
    <s v="Bagong Sikat"/>
    <n v="1534"/>
    <n v="1808"/>
    <s v="NO TECHNICAL ASSISTANCE CONDUCTED"/>
    <m/>
    <m/>
    <x v="0"/>
    <s v="Christine Ann V. Ramos"/>
    <s v="Jay Pee S. Ordoñez"/>
    <s v="Zosimo P. Suyat"/>
    <m/>
    <m/>
    <m/>
    <m/>
    <m/>
    <s v=""/>
    <s v=""/>
    <s v=""/>
    <s v=""/>
    <m/>
    <m/>
    <m/>
    <m/>
    <m/>
  </r>
  <r>
    <x v="3"/>
    <x v="48"/>
    <s v="MBA"/>
    <s v="Bagong Silang"/>
    <n v="4080"/>
    <n v="4270"/>
    <s v="CONDUCTED TECHNICAL ASSISTANCE"/>
    <n v="2024"/>
    <d v="2024-06-11T00:00:00"/>
    <x v="0"/>
    <s v="Christine Ann V. Ramos"/>
    <s v="Jay Pee S. Ordoñez"/>
    <s v="Zosimo P. Suyat"/>
    <m/>
    <m/>
    <m/>
    <m/>
    <m/>
    <s v=""/>
    <s v=""/>
    <s v=""/>
    <s v=""/>
    <m/>
    <m/>
    <m/>
    <s v="Technical Assistance"/>
    <m/>
  </r>
  <r>
    <x v="3"/>
    <x v="48"/>
    <s v="MBA"/>
    <s v="San Roque"/>
    <n v="4908"/>
    <n v="5898"/>
    <s v="CONDUCTED TECHNICAL ASSISTANCE"/>
    <n v="2025"/>
    <d v="2025-09-17T00:00:00"/>
    <x v="7"/>
    <s v="Christine Ann V. Ramos"/>
    <s v="Jay Pee S. Ordoñez"/>
    <s v="Zosimo P. Suyat"/>
    <s v="R3-2025-031578"/>
    <d v="2025-09-18T00:00:00"/>
    <d v="2025-09-18T00:00:00"/>
    <d v="2025-09-18T00:00:00"/>
    <d v="2025-09-18T00:00:00"/>
    <n v="1"/>
    <n v="1"/>
    <n v="1"/>
    <n v="1"/>
    <s v="Received by Planning"/>
    <s v="MRS"/>
    <s v="OPERATIONAL"/>
    <s v="Technical Assistance"/>
    <m/>
  </r>
  <r>
    <x v="3"/>
    <x v="48"/>
    <s v="MBA"/>
    <s v="Entablado"/>
    <n v="5891"/>
    <n v="6341"/>
    <s v="CONDUCTED TECHNICAL ASSISTANCE"/>
    <n v="2024"/>
    <d v="2024-05-21T00:00:00"/>
    <x v="0"/>
    <s v="Christine Ann V. Ramos"/>
    <s v="Jay Pee S. Ordoñez"/>
    <s v="Zosimo P. Suyat"/>
    <m/>
    <m/>
    <m/>
    <m/>
    <m/>
    <s v=""/>
    <s v=""/>
    <s v=""/>
    <s v=""/>
    <m/>
    <m/>
    <m/>
    <s v="Technical Assistance"/>
    <m/>
  </r>
  <r>
    <x v="3"/>
    <x v="48"/>
    <s v="MBA"/>
    <s v="Maligaya"/>
    <n v="2594"/>
    <n v="2769"/>
    <s v="NO TECHNICAL ASSISTANCE CONDUCTED"/>
    <m/>
    <m/>
    <x v="0"/>
    <s v="Christine Ann V. Ramos"/>
    <s v="Jay Pee S. Ordoñez"/>
    <s v="Zosimo P. Suyat"/>
    <m/>
    <m/>
    <m/>
    <m/>
    <m/>
    <s v=""/>
    <s v=""/>
    <s v=""/>
    <s v=""/>
    <m/>
    <m/>
    <m/>
    <m/>
    <m/>
  </r>
  <r>
    <x v="3"/>
    <x v="48"/>
    <s v="MBA"/>
    <s v="Natividad North (Pob.)"/>
    <n v="694"/>
    <n v="575"/>
    <s v="CONDUCTED TECHNICAL ASSISTANCE"/>
    <n v="2025"/>
    <d v="2025-08-01T00:00:00"/>
    <x v="9"/>
    <s v="Christine Ann V. Ramos"/>
    <s v="Jan Emerson C. Gonzales"/>
    <s v="Zosimo P. Suyat"/>
    <s v="R3-2025-026164"/>
    <d v="2025-08-06T00:00:00"/>
    <d v="2025-08-07T00:00:00"/>
    <d v="2025-08-07T00:00:00"/>
    <d v="2025-08-13T00:00:00"/>
    <n v="3"/>
    <n v="1"/>
    <n v="1"/>
    <n v="4"/>
    <s v="Received by Planning"/>
    <s v="MRS"/>
    <s v="OPERATIONAL"/>
    <s v="Technical Assistance"/>
    <m/>
  </r>
  <r>
    <x v="3"/>
    <x v="48"/>
    <s v="MBA"/>
    <s v="Natividad South (Pob.)"/>
    <n v="1003"/>
    <n v="960"/>
    <s v="CONDUCTED TECHNICAL ASSISTANCE"/>
    <n v="2024"/>
    <d v="2024-03-26T00:00:00"/>
    <x v="0"/>
    <s v="Christine Ann V. Ramos"/>
    <s v="Jay Pee S. Ordoñez"/>
    <s v="Zosimo P. Suyat"/>
    <m/>
    <m/>
    <m/>
    <m/>
    <m/>
    <s v=""/>
    <s v=""/>
    <s v=""/>
    <s v=""/>
    <m/>
    <m/>
    <m/>
    <m/>
    <m/>
  </r>
  <r>
    <x v="3"/>
    <x v="48"/>
    <s v="MBA"/>
    <s v="Palasinan"/>
    <n v="3846"/>
    <n v="3578"/>
    <s v="CONDUCTED TECHNICAL ASSISTANCE"/>
    <n v="2024"/>
    <d v="2024-05-21T00:00:00"/>
    <x v="0"/>
    <s v="Christine Ann V. Ramos"/>
    <s v="Jay Pee S. Ordoñez"/>
    <s v="Zosimo P. Suyat"/>
    <m/>
    <m/>
    <m/>
    <m/>
    <m/>
    <s v=""/>
    <s v=""/>
    <s v=""/>
    <s v=""/>
    <m/>
    <m/>
    <m/>
    <s v="Technical Assistance"/>
    <m/>
  </r>
  <r>
    <x v="3"/>
    <x v="48"/>
    <s v="MBA"/>
    <s v="Polilio"/>
    <n v="1395"/>
    <n v="1510"/>
    <s v="CONDUCTED TECHNICAL ASSISTANCE"/>
    <n v="2024"/>
    <d v="2024-03-26T00:00:00"/>
    <x v="0"/>
    <s v="Christine Ann V. Ramos"/>
    <s v="Jay Pee S. Ordoñez"/>
    <s v="Zosimo P. Suyat"/>
    <m/>
    <m/>
    <m/>
    <m/>
    <m/>
    <s v=""/>
    <s v=""/>
    <s v=""/>
    <s v=""/>
    <m/>
    <m/>
    <m/>
    <s v="Technical Assistance"/>
    <m/>
  </r>
  <r>
    <x v="3"/>
    <x v="48"/>
    <s v="MBA"/>
    <s v="San Antonio"/>
    <n v="2225"/>
    <n v="2340"/>
    <s v="CONDUCTED TECHNICAL ASSISTANCE"/>
    <n v="2025"/>
    <d v="2025-10-03T00:00:00"/>
    <x v="5"/>
    <s v="Christine Ann V. Ramos"/>
    <s v="Jay Pee S. Ordoñez"/>
    <s v="Zosimo P. Suyat"/>
    <s v="R3-2025-033310"/>
    <d v="2025-10-03T00:00:00"/>
    <d v="2025-10-08T00:00:00"/>
    <d v="2025-10-08T00:00:00"/>
    <d v="2025-10-10T00:00:00"/>
    <n v="1"/>
    <n v="3"/>
    <n v="1"/>
    <n v="2"/>
    <s v="Received by Planning"/>
    <s v="MRS"/>
    <s v="OPERATIONAL"/>
    <s v="Technical Assistance"/>
    <m/>
  </r>
  <r>
    <x v="3"/>
    <x v="48"/>
    <s v="MBA"/>
    <s v="San Carlos"/>
    <n v="3229"/>
    <n v="3820"/>
    <s v="CONDUCTED TECHNICAL ASSISTANCE"/>
    <n v="2024"/>
    <d v="2024-03-26T00:00:00"/>
    <x v="0"/>
    <s v="Christine Ann V. Ramos"/>
    <s v="Jay Pee S. Ordoñez"/>
    <s v="Zosimo P. Suyat"/>
    <m/>
    <m/>
    <m/>
    <m/>
    <m/>
    <s v=""/>
    <s v=""/>
    <s v=""/>
    <s v=""/>
    <m/>
    <m/>
    <m/>
    <s v="Technical Assistance"/>
    <m/>
  </r>
  <r>
    <x v="3"/>
    <x v="48"/>
    <s v="MBA"/>
    <s v="San Fernando Norte"/>
    <n v="3661"/>
    <n v="3822"/>
    <s v="CONDUCTED TECHNICAL ASSISTANCE"/>
    <n v="2024"/>
    <d v="2024-02-06T00:00:00"/>
    <x v="0"/>
    <s v="Christine Ann V. Ramos"/>
    <s v="Jay Pee S. Ordoñez"/>
    <s v="Zosimo P. Suyat"/>
    <m/>
    <m/>
    <m/>
    <m/>
    <m/>
    <s v=""/>
    <s v=""/>
    <s v=""/>
    <s v=""/>
    <m/>
    <m/>
    <m/>
    <s v="Technical Assistance"/>
    <m/>
  </r>
  <r>
    <x v="3"/>
    <x v="48"/>
    <s v="MBA"/>
    <s v="San Fernando Sur"/>
    <n v="11772"/>
    <n v="13016"/>
    <s v="CONDUCTED TECHNICAL ASSISTANCE"/>
    <n v="2024"/>
    <d v="2024-02-06T00:00:00"/>
    <x v="0"/>
    <s v="Christine Ann V. Ramos"/>
    <s v="Jay Pee S. Ordoñez"/>
    <s v="Zosimo P. Suyat"/>
    <m/>
    <m/>
    <m/>
    <m/>
    <m/>
    <s v=""/>
    <s v=""/>
    <s v=""/>
    <s v=""/>
    <m/>
    <m/>
    <m/>
    <s v="Technical Assistance"/>
    <m/>
  </r>
  <r>
    <x v="3"/>
    <x v="48"/>
    <s v="MBA"/>
    <s v="San Gregorio"/>
    <n v="1970"/>
    <n v="2151"/>
    <s v="CONDUCTED TECHNICAL ASSISTANCE"/>
    <n v="2024"/>
    <d v="2024-08-01T00:00:00"/>
    <x v="0"/>
    <s v="Christine Ann V. Ramos"/>
    <s v="Jay Pee S. Ordoñez"/>
    <s v="Zosimo P. Suyat"/>
    <m/>
    <m/>
    <m/>
    <m/>
    <m/>
    <s v=""/>
    <s v=""/>
    <s v=""/>
    <s v=""/>
    <m/>
    <s v="MRF"/>
    <s v="OPERATIONAL"/>
    <s v="Technical Assistance"/>
    <m/>
  </r>
  <r>
    <x v="3"/>
    <x v="48"/>
    <s v="MBA"/>
    <s v="San Juan North (Pob.)"/>
    <n v="378"/>
    <n v="319"/>
    <s v="CONDUCTED TECHNICAL ASSISTANCE"/>
    <n v="2024"/>
    <d v="2024-08-01T00:00:00"/>
    <x v="0"/>
    <s v="Christine Ann V. Ramos"/>
    <s v="Jay Pee S. Ordoñez"/>
    <s v="Zosimo P. Suyat"/>
    <m/>
    <m/>
    <m/>
    <m/>
    <m/>
    <s v=""/>
    <s v=""/>
    <s v=""/>
    <s v=""/>
    <m/>
    <s v="MRF"/>
    <s v="OPERATIONAL"/>
    <s v="Technical Assistance"/>
    <m/>
  </r>
  <r>
    <x v="3"/>
    <x v="48"/>
    <s v="MBA"/>
    <s v="San Juan South (Pob.)"/>
    <n v="902"/>
    <n v="498"/>
    <s v="CONDUCTED TECHNICAL ASSISTANCE"/>
    <n v="2024"/>
    <d v="2024-08-01T00:00:00"/>
    <x v="0"/>
    <s v="Christine Ann V. Ramos"/>
    <s v="Jay Pee S. Ordoñez"/>
    <s v="Zosimo P. Suyat"/>
    <m/>
    <m/>
    <m/>
    <m/>
    <m/>
    <s v=""/>
    <s v=""/>
    <s v=""/>
    <s v=""/>
    <m/>
    <s v="MRF"/>
    <s v="OPERATIONAL"/>
    <s v="Technical Assistance"/>
    <m/>
  </r>
  <r>
    <x v="3"/>
    <x v="48"/>
    <s v="MBA"/>
    <s v="San Vicente"/>
    <n v="7895"/>
    <n v="8872"/>
    <s v="CONDUCTED TECHNICAL ASSISTANCE"/>
    <n v="2024"/>
    <d v="2024-05-22T00:00:00"/>
    <x v="0"/>
    <s v="Christine Ann V. Ramos"/>
    <s v="Jay Pee S. Ordoñez"/>
    <s v="Zosimo P. Suyat"/>
    <m/>
    <m/>
    <m/>
    <m/>
    <m/>
    <s v=""/>
    <s v=""/>
    <s v=""/>
    <s v=""/>
    <m/>
    <m/>
    <m/>
    <s v="Technical Assistance"/>
    <m/>
  </r>
  <r>
    <x v="3"/>
    <x v="48"/>
    <s v="MBA"/>
    <s v="Santa Ines"/>
    <n v="1987"/>
    <n v="2177"/>
    <s v="NO TECHNICAL ASSISTANCE CONDUCTED"/>
    <m/>
    <m/>
    <x v="0"/>
    <s v="Christine Ann V. Ramos"/>
    <s v="Jay Pee S. Ordoñez"/>
    <s v="Zosimo P. Suyat"/>
    <m/>
    <m/>
    <m/>
    <m/>
    <m/>
    <s v=""/>
    <s v=""/>
    <s v=""/>
    <s v=""/>
    <m/>
    <m/>
    <m/>
    <m/>
    <m/>
  </r>
  <r>
    <x v="3"/>
    <x v="48"/>
    <s v="MBA"/>
    <s v="Santa Isabel"/>
    <n v="1481"/>
    <n v="1628"/>
    <s v="NO TECHNICAL ASSISTANCE CONDUCTED"/>
    <m/>
    <m/>
    <x v="0"/>
    <s v="Christine Ann V. Ramos"/>
    <s v="Jay Pee S. Ordoñez"/>
    <s v="Zosimo P. Suyat"/>
    <m/>
    <m/>
    <m/>
    <m/>
    <m/>
    <s v=""/>
    <s v=""/>
    <s v=""/>
    <s v=""/>
    <m/>
    <m/>
    <m/>
    <m/>
    <m/>
  </r>
  <r>
    <x v="3"/>
    <x v="48"/>
    <s v="MBA"/>
    <s v="Santa Rita"/>
    <n v="7997"/>
    <n v="8441"/>
    <s v="NO TECHNICAL ASSISTANCE CONDUCTED"/>
    <m/>
    <m/>
    <x v="0"/>
    <s v="Christine Ann V. Ramos"/>
    <s v="Jay Pee S. Ordoñez"/>
    <s v="Zosimo P. Suyat"/>
    <m/>
    <m/>
    <m/>
    <m/>
    <m/>
    <s v=""/>
    <s v=""/>
    <s v=""/>
    <s v=""/>
    <m/>
    <m/>
    <m/>
    <m/>
    <m/>
  </r>
  <r>
    <x v="3"/>
    <x v="48"/>
    <s v="MBA"/>
    <s v="Sinipit"/>
    <n v="4403"/>
    <n v="5187"/>
    <s v="NO TECHNICAL ASSISTANCE CONDUCTED"/>
    <m/>
    <m/>
    <x v="0"/>
    <s v="Christine Ann V. Ramos"/>
    <s v="Jay Pee S. Ordoñez"/>
    <s v="Zosimo P. Suyat"/>
    <m/>
    <m/>
    <m/>
    <m/>
    <m/>
    <s v=""/>
    <s v=""/>
    <s v=""/>
    <s v=""/>
    <m/>
    <m/>
    <m/>
    <m/>
    <m/>
  </r>
  <r>
    <x v="3"/>
    <x v="49"/>
    <s v="MBA"/>
    <s v="Bantug"/>
    <n v="1273"/>
    <n v="928"/>
    <s v="NO TECHNICAL ASSISTANCE CONDUCTED"/>
    <m/>
    <m/>
    <x v="0"/>
    <s v="Aser A. Inocencio, Jr."/>
    <s v="Jay Pee S. Ordoñez"/>
    <s v="Zosimo P. Suyat"/>
    <m/>
    <m/>
    <m/>
    <m/>
    <m/>
    <s v=""/>
    <s v=""/>
    <s v=""/>
    <s v=""/>
    <m/>
    <m/>
    <m/>
    <m/>
    <m/>
  </r>
  <r>
    <x v="3"/>
    <x v="49"/>
    <s v="MBA"/>
    <s v="Bunga"/>
    <n v="3919"/>
    <n v="3916"/>
    <s v="CONDUCTED TECHNICAL ASSISTANCE"/>
    <n v="2025"/>
    <d v="2025-09-25T00:00:00"/>
    <x v="5"/>
    <s v="Aser A. Inocencio, Jr."/>
    <s v="Jay Pee S. Ordoñez"/>
    <s v="Zosimo P. Suyat"/>
    <s v="R3-2025-032648"/>
    <d v="2025-09-28T00:00:00"/>
    <d v="2025-09-28T00:00:00"/>
    <d v="2025-09-28T00:00:00"/>
    <d v="2025-09-29T00:00:00"/>
    <n v="1"/>
    <n v="1"/>
    <n v="1"/>
    <n v="1"/>
    <s v="Received by Planning"/>
    <s v="MRS"/>
    <s v="OPERATIONAL"/>
    <s v="Technical Assistance"/>
    <m/>
  </r>
  <r>
    <x v="3"/>
    <x v="49"/>
    <s v="MBA"/>
    <s v="Burgos"/>
    <n v="3844"/>
    <n v="4231"/>
    <s v="NO TECHNICAL ASSISTANCE CONDUCTED"/>
    <m/>
    <m/>
    <x v="0"/>
    <s v="Aser A. Inocencio, Jr."/>
    <s v="Jay Pee S. Ordoñez"/>
    <s v="Zosimo P. Suyat"/>
    <m/>
    <m/>
    <m/>
    <m/>
    <m/>
    <s v=""/>
    <s v=""/>
    <s v=""/>
    <s v=""/>
    <m/>
    <m/>
    <m/>
    <m/>
    <m/>
  </r>
  <r>
    <x v="3"/>
    <x v="49"/>
    <s v="MBA"/>
    <s v="Capintalan"/>
    <n v="2445"/>
    <n v="2395"/>
    <s v="CONDUCTED TECHNICAL ASSISTANCE"/>
    <n v="2025"/>
    <d v="2025-03-12T00:00:00"/>
    <x v="1"/>
    <s v="Aser A. Inocencio, Jr."/>
    <s v="Jay Pee S. Ordoñez"/>
    <s v="Zosimo P. Suyat"/>
    <s v="R3-2025-009113"/>
    <d v="2025-03-18T00:00:00"/>
    <d v="2025-03-18T00:00:00"/>
    <d v="2025-03-18T00:00:00"/>
    <d v="2025-03-19T00:00:00"/>
    <n v="4"/>
    <n v="1"/>
    <n v="1"/>
    <n v="1"/>
    <s v="Received by Planning"/>
    <s v="MRS"/>
    <s v="OPERATIONAL"/>
    <s v="Technical Assistance"/>
    <m/>
  </r>
  <r>
    <x v="3"/>
    <x v="49"/>
    <s v="MBA"/>
    <s v="D. L. Maglanoc Pob."/>
    <n v="1642"/>
    <n v="1709"/>
    <s v="CONDUCTED TECHNICAL ASSISTANCE"/>
    <n v="2025"/>
    <d v="2025-09-25T00:00:00"/>
    <x v="5"/>
    <s v="Aser A. Inocencio, Jr."/>
    <s v="Jay Pee S. Ordoñez"/>
    <s v="Zosimo P. Suyat"/>
    <s v="R3-2025-032649"/>
    <d v="2025-09-28T00:00:00"/>
    <d v="2025-09-28T00:00:00"/>
    <d v="2025-09-28T00:00:00"/>
    <d v="2025-09-29T00:00:00"/>
    <n v="1"/>
    <n v="1"/>
    <n v="1"/>
    <n v="1"/>
    <s v="Received by Planning"/>
    <s v="MRS"/>
    <s v="OPERATIONAL"/>
    <s v="Technical Assistance"/>
    <m/>
  </r>
  <r>
    <x v="3"/>
    <x v="49"/>
    <s v="MBA"/>
    <s v="F. C. Otic Pob."/>
    <n v="939"/>
    <n v="1096"/>
    <s v="NO TECHNICAL ASSISTANCE CONDUCTED"/>
    <m/>
    <m/>
    <x v="0"/>
    <s v="Aser A. Inocencio, Jr."/>
    <s v="Jay Pee S. Ordoñez"/>
    <s v="Zosimo P. Suyat"/>
    <m/>
    <m/>
    <m/>
    <m/>
    <m/>
    <s v=""/>
    <s v=""/>
    <s v=""/>
    <s v=""/>
    <m/>
    <m/>
    <m/>
    <m/>
    <m/>
  </r>
  <r>
    <x v="3"/>
    <x v="49"/>
    <s v="MBA"/>
    <s v="G. S. Rosario Pob."/>
    <n v="1421"/>
    <n v="1562"/>
    <s v="NO TECHNICAL ASSISTANCE CONDUCTED"/>
    <m/>
    <m/>
    <x v="0"/>
    <s v="Aser A. Inocencio, Jr."/>
    <s v="Jay Pee S. Ordoñez"/>
    <s v="Zosimo P. Suyat"/>
    <m/>
    <m/>
    <m/>
    <m/>
    <m/>
    <s v=""/>
    <s v=""/>
    <s v=""/>
    <s v=""/>
    <m/>
    <m/>
    <m/>
    <m/>
    <m/>
  </r>
  <r>
    <x v="3"/>
    <x v="49"/>
    <s v="MBA"/>
    <s v="General Luna"/>
    <n v="4616"/>
    <n v="4769"/>
    <s v="NO TECHNICAL ASSISTANCE CONDUCTED"/>
    <m/>
    <m/>
    <x v="0"/>
    <s v="Aser A. Inocencio, Jr."/>
    <s v="Jay Pee S. Ordoñez"/>
    <s v="Zosimo P. Suyat"/>
    <m/>
    <m/>
    <m/>
    <m/>
    <m/>
    <s v=""/>
    <s v=""/>
    <s v=""/>
    <s v=""/>
    <m/>
    <m/>
    <m/>
    <m/>
    <m/>
  </r>
  <r>
    <x v="3"/>
    <x v="49"/>
    <s v="MBA"/>
    <s v="Joson"/>
    <n v="4018"/>
    <n v="5573"/>
    <s v="CONDUCTED TECHNICAL ASSISTANCE"/>
    <n v="2025"/>
    <d v="2025-04-03T00:00:00"/>
    <x v="4"/>
    <s v="Aser A. Inocencio, Jr."/>
    <s v="Jay Pee S. Ordoñez"/>
    <s v="Zosimo P. Suyat"/>
    <s v="R3-2025-011888"/>
    <d v="2025-04-08T00:00:00"/>
    <d v="2025-04-10T00:00:00"/>
    <d v="2025-04-10T00:00:00"/>
    <d v="2025-04-10T00:00:00"/>
    <n v="3"/>
    <n v="2"/>
    <n v="1"/>
    <n v="1"/>
    <s v="Received by Planning"/>
    <s v="MRS"/>
    <s v="OPERATIONAL"/>
    <s v="Technical Assistance"/>
    <m/>
  </r>
  <r>
    <x v="3"/>
    <x v="49"/>
    <s v="MBA"/>
    <s v="Minuli"/>
    <n v="1475"/>
    <n v="1788"/>
    <s v="CONDUCTED TECHNICAL ASSISTANCE"/>
    <n v="2025"/>
    <d v="2025-03-07T00:00:00"/>
    <x v="1"/>
    <s v="Aser A. Inocencio, Jr."/>
    <s v="Jay Pee S. Ordoñez"/>
    <s v="Zosimo P. Suyat"/>
    <s v="R3-2025-008226"/>
    <d v="2025-03-10T00:00:00"/>
    <d v="2025-03-13T00:00:00"/>
    <d v="2025-03-18T00:00:00"/>
    <d v="2025-03-19T00:00:00"/>
    <n v="1"/>
    <n v="3"/>
    <n v="3"/>
    <n v="1"/>
    <s v="Received by Planning"/>
    <s v="MRS"/>
    <s v="OPERATIONAL"/>
    <s v="Technical Assistance"/>
    <m/>
  </r>
  <r>
    <x v="3"/>
    <x v="49"/>
    <s v="MBA"/>
    <s v="Piut"/>
    <n v="2234"/>
    <n v="838"/>
    <s v="CONDUCTED TECHNICAL ASSISTANCE"/>
    <n v="2025"/>
    <d v="2025-03-12T00:00:00"/>
    <x v="1"/>
    <s v="Aser A. Inocencio, Jr."/>
    <s v="Jay Pee S. Ordoñez"/>
    <s v="Zosimo P. Suyat"/>
    <s v="R3-2025-009114"/>
    <d v="2025-03-18T00:00:00"/>
    <d v="2025-03-18T00:00:00"/>
    <d v="2025-03-18T00:00:00"/>
    <d v="2025-03-19T00:00:00"/>
    <n v="4"/>
    <n v="1"/>
    <n v="1"/>
    <n v="1"/>
    <s v="Received by Planning"/>
    <s v="MRS"/>
    <s v="OPERATIONAL"/>
    <s v="Technical Assistance"/>
    <m/>
  </r>
  <r>
    <x v="3"/>
    <x v="49"/>
    <s v="MBA"/>
    <s v="Puncan"/>
    <n v="4766"/>
    <n v="5001"/>
    <s v="NO TECHNICAL ASSISTANCE CONDUCTED"/>
    <m/>
    <m/>
    <x v="0"/>
    <s v="Aser A. Inocencio, Jr."/>
    <s v="Jay Pee S. Ordoñez"/>
    <s v="Zosimo P. Suyat"/>
    <m/>
    <m/>
    <m/>
    <m/>
    <m/>
    <s v=""/>
    <s v=""/>
    <s v=""/>
    <s v=""/>
    <m/>
    <m/>
    <m/>
    <m/>
    <m/>
  </r>
  <r>
    <x v="3"/>
    <x v="49"/>
    <s v="MBA"/>
    <s v="Putlan"/>
    <n v="1405"/>
    <n v="1441"/>
    <s v="CONDUCTED TECHNICAL ASSISTANCE"/>
    <n v="2025"/>
    <d v="2025-03-07T00:00:00"/>
    <x v="1"/>
    <s v="Aser A. Inocencio, Jr."/>
    <s v="Jay Pee S. Ordoñez"/>
    <s v="Zosimo P. Suyat"/>
    <s v="R3-2025-008228 "/>
    <d v="2025-03-10T00:00:00"/>
    <d v="2025-03-13T00:00:00"/>
    <d v="2025-03-19T00:00:00"/>
    <d v="2025-03-19T00:00:00"/>
    <n v="1"/>
    <n v="3"/>
    <n v="4"/>
    <n v="1"/>
    <s v="Received by Planning"/>
    <s v="MRS"/>
    <s v="OPERATIONAL"/>
    <s v="Technical Assistance"/>
    <m/>
  </r>
  <r>
    <x v="3"/>
    <x v="49"/>
    <s v="MBA"/>
    <s v="R.A.Padilla"/>
    <n v="2205"/>
    <n v="2428"/>
    <s v="CONDUCTED TECHNICAL ASSISTANCE"/>
    <n v="2025"/>
    <d v="2025-09-25T00:00:00"/>
    <x v="5"/>
    <s v="Aser A. Inocencio, Jr."/>
    <s v="Jay Pee S. Ordoñez"/>
    <s v="Zosimo P. Suyat"/>
    <s v="R3-2025-032650"/>
    <d v="2025-09-28T00:00:00"/>
    <d v="2025-09-28T00:00:00"/>
    <d v="2025-09-28T00:00:00"/>
    <d v="2025-09-29T00:00:00"/>
    <n v="1"/>
    <n v="1"/>
    <n v="1"/>
    <n v="1"/>
    <s v="Received by Planning"/>
    <s v="MRS"/>
    <s v="OPERATIONAL"/>
    <s v="Technical Assistance"/>
    <m/>
  </r>
  <r>
    <x v="3"/>
    <x v="49"/>
    <s v="MBA"/>
    <s v="Salazar"/>
    <n v="1218"/>
    <n v="943"/>
    <s v="NO TECHNICAL ASSISTANCE CONDUCTED"/>
    <m/>
    <m/>
    <x v="0"/>
    <s v="Aser A. Inocencio, Jr."/>
    <s v="Jay Pee S. Ordoñez"/>
    <s v="Zosimo P. Suyat"/>
    <m/>
    <m/>
    <m/>
    <m/>
    <m/>
    <s v=""/>
    <s v=""/>
    <s v=""/>
    <s v=""/>
    <m/>
    <m/>
    <m/>
    <m/>
    <m/>
  </r>
  <r>
    <x v="3"/>
    <x v="49"/>
    <s v="MBA"/>
    <s v="San Agustin"/>
    <n v="2276"/>
    <n v="2484"/>
    <s v="NO TECHNICAL ASSISTANCE CONDUCTED"/>
    <m/>
    <m/>
    <x v="0"/>
    <s v="Aser A. Inocencio, Jr."/>
    <s v="Jay Pee S. Ordoñez"/>
    <s v="Zosimo P. Suyat"/>
    <m/>
    <m/>
    <m/>
    <m/>
    <m/>
    <s v=""/>
    <s v=""/>
    <s v=""/>
    <s v=""/>
    <m/>
    <m/>
    <m/>
    <m/>
    <m/>
  </r>
  <r>
    <x v="3"/>
    <x v="49"/>
    <s v="MBA"/>
    <s v="T. L. Padilla Pob."/>
    <n v="1435"/>
    <n v="1318"/>
    <s v="NO TECHNICAL ASSISTANCE CONDUCTED"/>
    <m/>
    <m/>
    <x v="0"/>
    <s v="Aser A. Inocencio, Jr."/>
    <s v="Jay Pee S. Ordoñez"/>
    <s v="Zosimo P. Suyat"/>
    <m/>
    <m/>
    <m/>
    <m/>
    <m/>
    <s v=""/>
    <s v=""/>
    <s v=""/>
    <s v=""/>
    <m/>
    <m/>
    <m/>
    <m/>
    <m/>
  </r>
  <r>
    <x v="3"/>
    <x v="50"/>
    <s v="MBA"/>
    <s v="Pambuan"/>
    <n v="11943"/>
    <n v="15370"/>
    <s v="CONDUCTED TECHNICAL ASSISTANCE"/>
    <n v="2025"/>
    <d v="2025-08-20T00:00:00"/>
    <x v="7"/>
    <s v="Christine Ann V. Ramos"/>
    <s v="Jan Emerson C. Gonzales"/>
    <s v="Zosimo P. Suyat"/>
    <s v="R3-2025-029936"/>
    <d v="2025-09-07T00:00:00"/>
    <d v="2025-09-12T00:00:00"/>
    <d v="2025-09-15T00:00:00"/>
    <d v="2025-09-17T00:00:00"/>
    <n v="12"/>
    <n v="4"/>
    <n v="1"/>
    <n v="2"/>
    <s v="Received by Planning"/>
    <s v="MRS"/>
    <s v="OPERATIONAL"/>
    <s v="Technical Assistance"/>
    <m/>
  </r>
  <r>
    <x v="3"/>
    <x v="50"/>
    <s v="MBA"/>
    <s v="Balante"/>
    <n v="1647"/>
    <n v="1675"/>
    <s v="CONDUCTED TECHNICAL ASSISTANCE"/>
    <n v="2024"/>
    <d v="2024-11-15T00:00:00"/>
    <x v="0"/>
    <s v="Christine Ann V. Ramos"/>
    <s v="Jay Pee S. Ordoñez"/>
    <s v="Zosimo P. Suyat"/>
    <m/>
    <m/>
    <m/>
    <m/>
    <m/>
    <s v=""/>
    <s v=""/>
    <s v=""/>
    <s v=""/>
    <m/>
    <s v="MRF"/>
    <s v="OPERATIONAL"/>
    <s v="Technical Assistance"/>
    <s v="None"/>
  </r>
  <r>
    <x v="3"/>
    <x v="50"/>
    <s v="MBA"/>
    <s v="Bayanihan"/>
    <n v="5128"/>
    <n v="5504"/>
    <s v="CONDUCTED TECHNICAL ASSISTANCE"/>
    <n v="2025"/>
    <d v="2025-10-22T00:00:00"/>
    <x v="11"/>
    <s v="Christine Ann V. Ramos"/>
    <s v="Jay Pee S. Ordoñez"/>
    <s v="Zosimo P. Suyat"/>
    <s v="R3-2025-036048"/>
    <d v="2025-10-28T00:00:00"/>
    <d v="2025-11-05T00:00:00"/>
    <d v="2025-11-05T00:00:00"/>
    <d v="2025-11-11T00:00:00"/>
    <n v="4"/>
    <n v="6"/>
    <n v="1"/>
    <n v="4"/>
    <s v="Received by Planning"/>
    <s v="MRS"/>
    <s v="OPERATIONAL"/>
    <s v="Technical Assistance "/>
    <m/>
  </r>
  <r>
    <x v="3"/>
    <x v="50"/>
    <s v="MBA"/>
    <s v="Bulak"/>
    <n v="2279"/>
    <n v="2588"/>
    <s v="CONDUCTED TECHNICAL ASSISTANCE"/>
    <n v="2024"/>
    <d v="2024-06-20T00:00:00"/>
    <x v="0"/>
    <s v="Christine Ann V. Ramos"/>
    <s v="Jay Pee S. Ordoñez"/>
    <s v="Zosimo P. Suyat"/>
    <m/>
    <m/>
    <m/>
    <m/>
    <m/>
    <s v=""/>
    <s v=""/>
    <s v=""/>
    <s v=""/>
    <m/>
    <s v="MRF"/>
    <s v="OPERATIONAL"/>
    <s v="Technical Assistance"/>
    <m/>
  </r>
  <r>
    <x v="3"/>
    <x v="50"/>
    <s v="MBA"/>
    <s v="Bungo"/>
    <n v="2349"/>
    <n v="2633"/>
    <s v="CONDUCTED TECHNICAL ASSISTANCE"/>
    <n v="2025"/>
    <d v="2025-10-22T00:00:00"/>
    <x v="11"/>
    <s v="Christine Ann V. Ramos"/>
    <s v="Jay Pee S. Ordoñez"/>
    <s v="Zosimo P. Suyat"/>
    <s v="R3-2025-036042"/>
    <d v="2025-10-26T00:00:00"/>
    <d v="2025-11-05T00:00:00"/>
    <d v="2025-11-05T00:00:00"/>
    <d v="2025-11-11T00:00:00"/>
    <n v="2"/>
    <n v="7"/>
    <n v="1"/>
    <n v="4"/>
    <s v="Received by Planning"/>
    <s v="MRS"/>
    <s v="OPERATIONAL"/>
    <s v="Technical Assistance"/>
    <m/>
  </r>
  <r>
    <x v="3"/>
    <x v="50"/>
    <s v="MBA"/>
    <s v="Kapalangan"/>
    <n v="5010"/>
    <n v="5813"/>
    <s v="NO TECHNICAL ASSISTANCE CONDUCTED"/>
    <m/>
    <m/>
    <x v="0"/>
    <s v="Christine Ann V. Ramos"/>
    <s v="Jay Pee S. Ordoñez"/>
    <s v="Zosimo P. Suyat"/>
    <m/>
    <m/>
    <m/>
    <m/>
    <m/>
    <s v=""/>
    <s v=""/>
    <s v=""/>
    <s v=""/>
    <m/>
    <m/>
    <m/>
    <m/>
    <m/>
  </r>
  <r>
    <x v="3"/>
    <x v="50"/>
    <s v="MBA"/>
    <s v="Mabuga"/>
    <n v="801"/>
    <n v="870"/>
    <s v="CONDUCTED TECHNICAL ASSISTANCE"/>
    <n v="2024"/>
    <d v="2024-10-03T00:00:00"/>
    <x v="0"/>
    <s v="Christine Ann V. Ramos"/>
    <s v="Jay Pee S. Ordoñez"/>
    <s v="Zosimo P. Suyat"/>
    <m/>
    <m/>
    <m/>
    <m/>
    <m/>
    <s v=""/>
    <s v=""/>
    <s v=""/>
    <s v=""/>
    <m/>
    <s v="MRF"/>
    <s v="OPERATIONAL"/>
    <s v="Technical Assistance"/>
    <m/>
  </r>
  <r>
    <x v="3"/>
    <x v="50"/>
    <s v="MBA"/>
    <s v="Maburak"/>
    <n v="3096"/>
    <n v="3514"/>
    <s v="CONDUCTED TECHNICAL ASSISTANCE"/>
    <n v="2024"/>
    <d v="2024-10-03T00:00:00"/>
    <x v="0"/>
    <s v="Christine Ann V. Ramos"/>
    <s v="Jay Pee S. Ordoñez"/>
    <s v="Zosimo P. Suyat"/>
    <m/>
    <m/>
    <m/>
    <m/>
    <m/>
    <s v=""/>
    <s v=""/>
    <s v=""/>
    <s v=""/>
    <m/>
    <s v="MRF"/>
    <s v="OPERATIONAL"/>
    <s v="Technical Assistance"/>
    <m/>
  </r>
  <r>
    <x v="3"/>
    <x v="50"/>
    <s v="MBA"/>
    <s v="Mahipon"/>
    <n v="2293"/>
    <n v="2524"/>
    <s v="CONDUCTED TECHNICAL ASSISTANCE"/>
    <n v="2024"/>
    <d v="2024-06-20T00:00:00"/>
    <x v="0"/>
    <s v="Christine Ann V. Ramos"/>
    <s v="Jay Pee S. Ordoñez"/>
    <s v="Zosimo P. Suyat"/>
    <m/>
    <m/>
    <m/>
    <m/>
    <m/>
    <s v=""/>
    <s v=""/>
    <s v=""/>
    <s v=""/>
    <m/>
    <s v="MRF"/>
    <s v="OPERATIONAL"/>
    <s v="Technical Assistance"/>
    <m/>
  </r>
  <r>
    <x v="3"/>
    <x v="50"/>
    <s v="MBA"/>
    <s v="Makabaclay"/>
    <n v="2480"/>
    <n v="2845"/>
    <s v="CONDUCTED TECHNICAL ASSISTANCE"/>
    <n v="2025"/>
    <d v="2025-02-07T00:00:00"/>
    <x v="3"/>
    <s v="Christine Ann V. Ramos"/>
    <s v="Jay Pee S. Ordoñez"/>
    <s v="Zosimo P. Suyat"/>
    <s v="R3-2025-004798"/>
    <d v="2025-02-10T00:00:00"/>
    <d v="2025-02-11T00:00:00"/>
    <d v="2025-02-11T00:00:00"/>
    <d v="2025-02-13T00:00:00"/>
    <n v="1"/>
    <n v="1"/>
    <n v="1"/>
    <n v="2"/>
    <s v="Received by Planning"/>
    <s v="MRS"/>
    <s v="OPERATIONAL"/>
    <s v="Technical Assistance"/>
    <s v="None"/>
  </r>
  <r>
    <x v="3"/>
    <x v="50"/>
    <s v="MBA"/>
    <s v="Malimba"/>
    <n v="2914"/>
    <n v="3711"/>
    <s v="CONDUCTED TECHNICAL ASSISTANCE"/>
    <n v="2024"/>
    <d v="2024-06-20T00:00:00"/>
    <x v="0"/>
    <s v="Christine Ann V. Ramos"/>
    <s v="Jay Pee S. Ordoñez"/>
    <s v="Zosimo P. Suyat"/>
    <m/>
    <m/>
    <m/>
    <m/>
    <m/>
    <s v=""/>
    <s v=""/>
    <s v=""/>
    <s v=""/>
    <m/>
    <s v="MRF"/>
    <s v="OPERATIONAL"/>
    <s v="Technical Assistance"/>
    <m/>
  </r>
  <r>
    <x v="3"/>
    <x v="50"/>
    <s v="MBA"/>
    <s v="Mangino"/>
    <n v="10694"/>
    <n v="12922"/>
    <s v="CONDUCTED TECHNICAL ASSISTANCE"/>
    <n v="2024"/>
    <d v="2024-11-15T00:00:00"/>
    <x v="0"/>
    <s v="Christine Ann V. Ramos"/>
    <s v="Jay Pee S. Ordoñez"/>
    <s v="Zosimo P. Suyat"/>
    <m/>
    <m/>
    <m/>
    <m/>
    <m/>
    <s v=""/>
    <s v=""/>
    <s v=""/>
    <s v=""/>
    <m/>
    <s v="MRF"/>
    <s v="OPERATIONAL"/>
    <s v="Technical Assistance"/>
    <m/>
  </r>
  <r>
    <x v="3"/>
    <x v="50"/>
    <s v="MBA"/>
    <s v="Marelo"/>
    <n v="1926"/>
    <n v="2004"/>
    <s v="CONDUCTED TECHNICAL ASSISTANCE"/>
    <n v="2024"/>
    <d v="2024-11-14T00:00:00"/>
    <x v="0"/>
    <s v="Christine Ann V. Ramos"/>
    <s v="Jay Pee S. Ordoñez"/>
    <s v="Zosimo P. Suyat"/>
    <m/>
    <m/>
    <m/>
    <m/>
    <m/>
    <s v=""/>
    <s v=""/>
    <s v=""/>
    <s v=""/>
    <m/>
    <s v="MRF"/>
    <s v="OPERATIONAL"/>
    <s v="Technical Assistance"/>
    <m/>
  </r>
  <r>
    <x v="3"/>
    <x v="50"/>
    <s v="MBA"/>
    <s v="Parcutela"/>
    <n v="1394"/>
    <n v="1820"/>
    <s v="CONDUCTED TECHNICAL ASSISTANCE"/>
    <n v="2025"/>
    <d v="2025-08-20T00:00:00"/>
    <x v="7"/>
    <s v="Christine Ann V. Ramos"/>
    <s v="Jan Emerson C. Gonzales"/>
    <s v="Zosimo P. Suyat"/>
    <s v="R3-2025-029947"/>
    <d v="2025-09-07T00:00:00"/>
    <d v="2025-09-12T00:00:00"/>
    <d v="2025-09-15T00:00:00"/>
    <d v="2025-09-17T00:00:00"/>
    <n v="12"/>
    <n v="4"/>
    <n v="1"/>
    <n v="2"/>
    <s v="Received by Planning"/>
    <s v="MRS"/>
    <s v="OPERATIONAL"/>
    <s v="Technical Assistance"/>
    <s v="None"/>
  </r>
  <r>
    <x v="3"/>
    <x v="50"/>
    <s v="MBA"/>
    <s v="San Roque"/>
    <n v="8699"/>
    <n v="9525"/>
    <s v="CONDUCTED TECHNICAL ASSISTANCE"/>
    <n v="2025"/>
    <d v="2025-08-20T00:00:00"/>
    <x v="7"/>
    <s v="Christine Ann V. Ramos"/>
    <s v="Jan Emerson C. Gonzales"/>
    <s v="Zosimo P. Suyat"/>
    <s v="R3-2025-029944"/>
    <d v="2025-09-07T00:00:00"/>
    <d v="2025-09-12T00:00:00"/>
    <d v="2025-09-15T00:00:00"/>
    <d v="2025-09-17T00:00:00"/>
    <n v="12"/>
    <n v="4"/>
    <n v="1"/>
    <n v="2"/>
    <s v="Received by Planning"/>
    <s v="MRS"/>
    <s v="OPERATIONAL"/>
    <s v="Technical Assistance"/>
    <m/>
  </r>
  <r>
    <x v="3"/>
    <x v="50"/>
    <s v="MBA"/>
    <s v="Puting Tubig"/>
    <n v="2375"/>
    <n v="2139"/>
    <s v="CONDUCTED TECHNICAL ASSISTANCE"/>
    <n v="2025"/>
    <d v="2025-04-25T00:00:00"/>
    <x v="6"/>
    <s v="Christine Ann V. Ramos"/>
    <s v="Jan Emerson C. Gonzales"/>
    <s v="Zosimo P. Suyat"/>
    <s v="R3-2025-014592"/>
    <d v="2025-04-30T00:00:00"/>
    <d v="2025-04-30T00:00:00"/>
    <d v="2025-04-30T00:00:00"/>
    <d v="2025-05-02T00:00:00"/>
    <n v="3"/>
    <n v="1"/>
    <n v="1"/>
    <n v="2"/>
    <s v="Received by Planning"/>
    <s v="MRS"/>
    <s v="OPERATIONAL"/>
    <s v="Technical Assistance"/>
    <m/>
  </r>
  <r>
    <x v="3"/>
    <x v="50"/>
    <s v="MBA"/>
    <s v="San Lorenzo (Pob.)"/>
    <n v="5633"/>
    <n v="5933"/>
    <s v="CONDUCTED TECHNICAL ASSISTANCE"/>
    <n v="2024"/>
    <d v="2024-01-26T00:00:00"/>
    <x v="0"/>
    <s v="Christine Ann V. Ramos"/>
    <s v="Jay Pee S. Ordoñez"/>
    <s v="Zosimo P. Suyat"/>
    <m/>
    <m/>
    <m/>
    <m/>
    <m/>
    <s v=""/>
    <s v=""/>
    <s v=""/>
    <s v=""/>
    <m/>
    <m/>
    <m/>
    <s v="Technical Assistance"/>
    <m/>
  </r>
  <r>
    <x v="3"/>
    <x v="50"/>
    <s v="MBA"/>
    <s v="San Nicolas"/>
    <n v="12771"/>
    <n v="13142"/>
    <s v="CONDUCTED TECHNICAL ASSISTANCE"/>
    <n v="2025"/>
    <d v="2025-01-21T00:00:00"/>
    <x v="2"/>
    <s v="Christine Ann V. Ramos"/>
    <s v="Jay Pee S. Ordoñez"/>
    <s v="Zosimo P. Suyat"/>
    <s v="R3-2025-001900"/>
    <d v="2025-01-21T00:00:00"/>
    <d v="2025-01-24T00:00:00"/>
    <d v="2025-01-24T00:00:00"/>
    <d v="2025-01-24T00:00:00"/>
    <n v="1"/>
    <n v="3"/>
    <n v="1"/>
    <n v="1"/>
    <s v="Received by Planning"/>
    <s v="MRS"/>
    <s v="OPERATIONAL"/>
    <s v="Technical Assistance"/>
    <s v="None"/>
  </r>
  <r>
    <x v="3"/>
    <x v="50"/>
    <s v="MBA"/>
    <s v="San Vicente (Pob.)"/>
    <n v="8601"/>
    <n v="9092"/>
    <s v="CONDUCTED TECHNICAL ASSISTANCE"/>
    <n v="2025"/>
    <d v="2025-08-20T00:00:00"/>
    <x v="7"/>
    <s v="Christine Ann V. Ramos"/>
    <s v="Jan Emerson C. Gonzales"/>
    <s v="Zosimo P. Suyat"/>
    <s v="R3-2025-029935"/>
    <d v="2025-09-07T00:00:00"/>
    <d v="2025-09-12T00:00:00"/>
    <d v="2025-09-15T00:00:00"/>
    <d v="2025-09-17T00:00:00"/>
    <n v="12"/>
    <n v="4"/>
    <n v="1"/>
    <n v="2"/>
    <s v="Received by Planning"/>
    <s v="MRS"/>
    <s v="OPERATIONAL"/>
    <s v="Technical Assistance"/>
    <m/>
  </r>
  <r>
    <x v="3"/>
    <x v="50"/>
    <s v="MBA"/>
    <s v="Santa Cruz"/>
    <n v="3797"/>
    <n v="3680"/>
    <s v="CONDUCTED TECHNICAL ASSISTANCE"/>
    <n v="2024"/>
    <d v="2024-11-15T00:00:00"/>
    <x v="0"/>
    <s v="Christine Ann V. Ramos"/>
    <s v="Jay Pee S. Ordoñez"/>
    <s v="Zosimo P. Suyat"/>
    <m/>
    <m/>
    <m/>
    <m/>
    <m/>
    <s v=""/>
    <s v=""/>
    <s v=""/>
    <s v=""/>
    <m/>
    <s v="MRF"/>
    <s v="OPERATIONAL"/>
    <s v="Technical Assistance"/>
    <m/>
  </r>
  <r>
    <x v="3"/>
    <x v="50"/>
    <s v="MBA"/>
    <s v="Santo Cristo Norte"/>
    <n v="4600"/>
    <n v="6162"/>
    <s v="CONDUCTED TECHNICAL ASSISTANCE"/>
    <n v="2025"/>
    <d v="2025-05-29T00:00:00"/>
    <x v="10"/>
    <s v="Christine Ann V. Ramos"/>
    <s v="Jan Emerson C. Gonzales"/>
    <s v="Zosimo P. Suyat"/>
    <s v="R3-2025-018679"/>
    <d v="2025-06-05T00:00:00"/>
    <d v="2025-06-05T00:00:00"/>
    <d v="2025-06-05T00:00:00"/>
    <d v="2025-06-16T00:00:00"/>
    <n v="5"/>
    <n v="1"/>
    <n v="1"/>
    <n v="7"/>
    <s v="Received by Planning"/>
    <s v="MRS"/>
    <s v="OPERATIONAL"/>
    <s v="Technical Assistance"/>
    <m/>
  </r>
  <r>
    <x v="3"/>
    <x v="50"/>
    <s v="MBA"/>
    <s v="Santo Cristo Sur"/>
    <n v="4349"/>
    <n v="4483"/>
    <s v="CONDUCTED TECHNICAL ASSISTANCE"/>
    <n v="2025"/>
    <d v="2025-05-29T00:00:00"/>
    <x v="10"/>
    <s v="Christine Ann V. Ramos"/>
    <s v="Jan Emerson C. Gonzales"/>
    <s v="Zosimo P. Suyat"/>
    <s v="R3-2025-018680"/>
    <d v="2025-06-05T00:00:00"/>
    <d v="2025-06-05T00:00:00"/>
    <d v="2025-06-05T00:00:00"/>
    <d v="2025-06-16T00:00:00"/>
    <n v="5"/>
    <n v="1"/>
    <n v="1"/>
    <n v="7"/>
    <s v="Received by Planning"/>
    <s v="MRS"/>
    <s v="OPERATIONAL"/>
    <s v="Technical Assistance"/>
    <m/>
  </r>
  <r>
    <x v="3"/>
    <x v="50"/>
    <s v="MBA"/>
    <s v="Santo Niño"/>
    <n v="5524"/>
    <n v="5019"/>
    <s v="CONDUCTED TECHNICAL ASSISTANCE"/>
    <n v="2025"/>
    <d v="2025-01-22T00:00:00"/>
    <x v="2"/>
    <s v="Christine Ann V. Ramos"/>
    <s v="Jay Pee S. Ordoñez"/>
    <s v="Zosimo P. Suyat"/>
    <s v="R3-2025-002130"/>
    <d v="2025-01-22T00:00:00"/>
    <d v="2025-01-24T00:00:00"/>
    <d v="2025-01-24T00:00:00"/>
    <d v="2025-01-24T00:00:00"/>
    <n v="1"/>
    <n v="2"/>
    <n v="1"/>
    <n v="1"/>
    <s v="Received by Planning"/>
    <s v="MRS"/>
    <s v="OPERATIONAL"/>
    <s v="Technical Assistance"/>
    <s v="None"/>
  </r>
  <r>
    <x v="3"/>
    <x v="51"/>
    <s v="MBA"/>
    <s v="Atate"/>
    <n v="3210"/>
    <n v="3942"/>
    <s v="CONDUCTED TECHNICAL ASSISTANCE"/>
    <n v="2024"/>
    <d v="2024-09-11T00:00:00"/>
    <x v="0"/>
    <s v="Hosannah R. Sabio"/>
    <s v="Jay Pee S. Ordoñez"/>
    <s v="Zosimo P. Suyat"/>
    <m/>
    <m/>
    <m/>
    <m/>
    <m/>
    <s v=""/>
    <s v=""/>
    <s v=""/>
    <s v=""/>
    <m/>
    <s v="MRF"/>
    <s v="OPERATIONAL"/>
    <s v="Technical Assistance"/>
    <m/>
  </r>
  <r>
    <x v="3"/>
    <x v="51"/>
    <s v="MBA"/>
    <s v="Aulo"/>
    <n v="1190"/>
    <n v="1289"/>
    <s v="CONDUCTED TECHNICAL ASSISTANCE"/>
    <n v="2025"/>
    <d v="2025-08-13T00:00:00"/>
    <x v="9"/>
    <s v="Hosannah R. Sabio"/>
    <s v="Jay Pee S. Ordoñez"/>
    <s v="Zosimo P. Suyat"/>
    <s v="R3-2025-027513"/>
    <d v="2025-08-16T00:00:00"/>
    <d v="2025-08-18T00:00:00"/>
    <d v="2025-08-19T00:00:00"/>
    <d v="2025-08-20T00:00:00"/>
    <n v="2"/>
    <n v="1"/>
    <n v="1"/>
    <n v="1"/>
    <s v="Received by Planning"/>
    <s v="MRF"/>
    <s v="OPERATIONAL"/>
    <s v="Technical Assistance"/>
    <m/>
  </r>
  <r>
    <x v="3"/>
    <x v="51"/>
    <s v="MBA"/>
    <s v="Bagong Buhay"/>
    <n v="963"/>
    <n v="697"/>
    <s v="NO TECHNICAL ASSISTANCE CONDUCTED"/>
    <m/>
    <m/>
    <x v="0"/>
    <s v="Hosannah R. Sabio"/>
    <s v="Jay Pee S. Ordoñez"/>
    <s v="Zosimo P. Suyat"/>
    <m/>
    <m/>
    <m/>
    <m/>
    <m/>
    <s v=""/>
    <s v=""/>
    <s v=""/>
    <s v=""/>
    <m/>
    <m/>
    <m/>
    <m/>
    <m/>
  </r>
  <r>
    <x v="3"/>
    <x v="51"/>
    <s v="MBA"/>
    <s v="Bo. Militar"/>
    <n v="5859"/>
    <n v="6876"/>
    <s v="NO TECHNICAL ASSISTANCE CONDUCTED"/>
    <m/>
    <m/>
    <x v="0"/>
    <s v="Hosannah R. Sabio"/>
    <s v="Jay Pee S. Ordoñez"/>
    <s v="Zosimo P. Suyat"/>
    <m/>
    <m/>
    <m/>
    <m/>
    <m/>
    <s v=""/>
    <s v=""/>
    <s v=""/>
    <s v=""/>
    <m/>
    <m/>
    <m/>
    <m/>
    <m/>
  </r>
  <r>
    <x v="3"/>
    <x v="51"/>
    <s v="MBA"/>
    <s v="Caballero"/>
    <n v="2981"/>
    <n v="3614"/>
    <s v="CONDUCTED TECHNICAL ASSISTANCE"/>
    <n v="2024"/>
    <d v="2024-09-11T00:00:00"/>
    <x v="0"/>
    <s v="Hosannah R. Sabio"/>
    <s v="Jay Pee S. Ordoñez"/>
    <s v="Zosimo P. Suyat"/>
    <m/>
    <m/>
    <m/>
    <m/>
    <m/>
    <s v=""/>
    <s v=""/>
    <s v=""/>
    <s v=""/>
    <m/>
    <s v="MRF"/>
    <s v="OPERATIONAL"/>
    <s v="Technical Assistance"/>
    <m/>
  </r>
  <r>
    <x v="3"/>
    <x v="51"/>
    <s v="MBA"/>
    <s v="Caimito"/>
    <n v="2359"/>
    <n v="2553"/>
    <s v="CONDUCTED TECHNICAL ASSISTANCE"/>
    <n v="2024"/>
    <d v="2024-11-12T00:00:00"/>
    <x v="0"/>
    <s v="Hosannah R. Sabio"/>
    <s v="Jay Pee S. Ordoñez"/>
    <s v="Zosimo P. Suyat"/>
    <m/>
    <m/>
    <m/>
    <m/>
    <m/>
    <s v=""/>
    <s v=""/>
    <s v=""/>
    <s v=""/>
    <m/>
    <s v="MRF"/>
    <s v="OPERATIONAL"/>
    <s v="Technical Assistance"/>
    <m/>
  </r>
  <r>
    <x v="3"/>
    <x v="51"/>
    <s v="MBA"/>
    <s v="Doña Josefa"/>
    <n v="2229"/>
    <n v="2024"/>
    <s v="NO TECHNICAL ASSISTANCE CONDUCTED"/>
    <m/>
    <m/>
    <x v="0"/>
    <s v="Hosannah R. Sabio"/>
    <s v="Jay Pee S. Ordoñez"/>
    <s v="Zosimo P. Suyat"/>
    <m/>
    <m/>
    <m/>
    <m/>
    <m/>
    <s v=""/>
    <s v=""/>
    <s v=""/>
    <s v=""/>
    <m/>
    <m/>
    <m/>
    <m/>
    <m/>
  </r>
  <r>
    <x v="3"/>
    <x v="51"/>
    <s v="MBA"/>
    <s v="Ganaderia"/>
    <n v="1323"/>
    <n v="1354"/>
    <s v="CONDUCTED TECHNICAL ASSISTANCE"/>
    <n v="2024"/>
    <d v="2024-11-12T00:00:00"/>
    <x v="0"/>
    <s v="Hosannah R. Sabio"/>
    <s v="Jay Pee S. Ordoñez"/>
    <s v="Zosimo P. Suyat"/>
    <m/>
    <m/>
    <m/>
    <m/>
    <m/>
    <s v=""/>
    <s v=""/>
    <s v=""/>
    <s v=""/>
    <m/>
    <s v="MRF"/>
    <s v="OPERATIONAL"/>
    <s v="Technical Assistance"/>
    <m/>
  </r>
  <r>
    <x v="3"/>
    <x v="51"/>
    <s v="MBA"/>
    <s v="Imelda Valley"/>
    <n v="2356"/>
    <n v="2596"/>
    <s v="CONDUCTED TECHNICAL ASSISTANCE"/>
    <n v="2025"/>
    <d v="2025-08-13T00:00:00"/>
    <x v="9"/>
    <s v="Hosannah R. Sabio"/>
    <s v="Jay Pee S. Ordoñez"/>
    <s v="Zosimo P. Suyat"/>
    <s v="R3-2025-027512"/>
    <d v="2025-08-16T00:00:00"/>
    <d v="2025-08-18T00:00:00"/>
    <d v="2025-08-19T00:00:00"/>
    <d v="2025-08-19T00:00:00"/>
    <n v="2"/>
    <n v="1"/>
    <n v="1"/>
    <n v="1"/>
    <s v="Received by Planning"/>
    <s v="MRF"/>
    <s v="UNDER CONSTRUCTION"/>
    <s v="Technical Assistance"/>
    <m/>
  </r>
  <r>
    <x v="3"/>
    <x v="51"/>
    <s v="MBA"/>
    <s v="Langka"/>
    <n v="1302"/>
    <n v="1349"/>
    <s v="NO TECHNICAL ASSISTANCE CONDUCTED"/>
    <m/>
    <m/>
    <x v="0"/>
    <s v="Hosannah R. Sabio"/>
    <s v="Jay Pee S. Ordoñez"/>
    <s v="Zosimo P. Suyat"/>
    <m/>
    <m/>
    <m/>
    <m/>
    <m/>
    <s v=""/>
    <s v=""/>
    <s v=""/>
    <s v=""/>
    <m/>
    <m/>
    <m/>
    <m/>
    <m/>
  </r>
  <r>
    <x v="3"/>
    <x v="51"/>
    <s v="MBA"/>
    <s v="Malate (Pob.)"/>
    <n v="1893"/>
    <n v="2131"/>
    <s v="CONDUCTED TECHNICAL ASSISTANCE"/>
    <n v="2024"/>
    <d v="2024-11-12T00:00:00"/>
    <x v="0"/>
    <s v="Hosannah R. Sabio"/>
    <s v="Jay Pee S. Ordoñez"/>
    <s v="Zosimo P. Suyat"/>
    <m/>
    <m/>
    <m/>
    <m/>
    <m/>
    <s v=""/>
    <s v=""/>
    <s v=""/>
    <s v=""/>
    <m/>
    <s v="MRF"/>
    <s v="OPERATIONAL"/>
    <s v="Technical Assistance"/>
    <m/>
  </r>
  <r>
    <x v="3"/>
    <x v="51"/>
    <s v="MBA"/>
    <s v="Maligaya"/>
    <n v="1406"/>
    <n v="1050"/>
    <s v="NO TECHNICAL ASSISTANCE CONDUCTED"/>
    <m/>
    <m/>
    <x v="0"/>
    <s v="Hosannah R. Sabio"/>
    <s v="Jay Pee S. Ordoñez"/>
    <s v="Zosimo P. Suyat"/>
    <m/>
    <m/>
    <m/>
    <m/>
    <m/>
    <s v=""/>
    <s v=""/>
    <s v=""/>
    <s v=""/>
    <m/>
    <m/>
    <m/>
    <m/>
    <m/>
  </r>
  <r>
    <x v="3"/>
    <x v="51"/>
    <s v="MBA"/>
    <s v="Manacnac"/>
    <n v="1929"/>
    <n v="2189"/>
    <s v="CONDUCTED TECHNICAL ASSISTANCE"/>
    <n v="2025"/>
    <d v="2025-10-03T00:00:00"/>
    <x v="5"/>
    <s v="Hosannah R. Sabio"/>
    <s v="Jay Pee S. Ordoñez"/>
    <s v="Zosimo P. Suyat"/>
    <s v="R3-2025-033858"/>
    <d v="2025-10-08T00:00:00"/>
    <d v="2025-10-08T00:00:00"/>
    <d v="2025-10-08T00:00:00"/>
    <d v="2025-10-10T00:00:00"/>
    <n v="3"/>
    <n v="1"/>
    <n v="1"/>
    <n v="2"/>
    <s v="Received by Planning"/>
    <s v="MRF"/>
    <s v="OPERATIONAL"/>
    <s v="Technical Assistance"/>
    <m/>
  </r>
  <r>
    <x v="3"/>
    <x v="51"/>
    <s v="MBA"/>
    <s v="Mapait"/>
    <n v="681"/>
    <n v="711"/>
    <s v="NO TECHNICAL ASSISTANCE CONDUCTED"/>
    <m/>
    <m/>
    <x v="0"/>
    <s v="Hosannah R. Sabio"/>
    <s v="Jay Pee S. Ordoñez"/>
    <s v="Zosimo P. Suyat"/>
    <m/>
    <m/>
    <m/>
    <m/>
    <m/>
    <s v=""/>
    <s v=""/>
    <s v=""/>
    <s v=""/>
    <m/>
    <m/>
    <m/>
    <m/>
    <m/>
  </r>
  <r>
    <x v="3"/>
    <x v="51"/>
    <s v="MBA"/>
    <s v="Marcos Village"/>
    <n v="2393"/>
    <n v="2742"/>
    <s v="CONDUCTED TECHNICAL ASSISTANCE"/>
    <n v="2025"/>
    <d v="2025-08-13T00:00:00"/>
    <x v="9"/>
    <s v="Hosannah R. Sabio"/>
    <s v="Jay Pee S. Ordoñez"/>
    <s v="Zosimo P. Suyat"/>
    <s v="R3-2025-027493"/>
    <d v="2025-08-16T00:00:00"/>
    <d v="2025-08-18T00:00:00"/>
    <d v="2025-08-19T00:00:00"/>
    <d v="2025-08-20T00:00:00"/>
    <n v="2"/>
    <n v="1"/>
    <n v="1"/>
    <n v="1"/>
    <s v="Received by Planning"/>
    <s v="MRF"/>
    <s v="OPERATIONAL"/>
    <s v="Technical Assistance"/>
    <m/>
  </r>
  <r>
    <x v="3"/>
    <x v="51"/>
    <s v="MBA"/>
    <s v="Popolon Pagas"/>
    <n v="997"/>
    <n v="1206"/>
    <s v="CONDUCTED TECHNICAL ASSISTANCE"/>
    <n v="2025"/>
    <d v="2025-10-03T00:00:00"/>
    <x v="5"/>
    <s v="Hosannah R. Sabio"/>
    <s v="Jay Pee S. Ordoñez"/>
    <s v="Zosimo P. Suyat"/>
    <s v="R3-2025-033857"/>
    <d v="2025-10-08T00:00:00"/>
    <d v="2025-10-08T00:00:00"/>
    <d v="2025-10-08T00:00:00"/>
    <d v="2025-10-10T00:00:00"/>
    <n v="3"/>
    <n v="1"/>
    <n v="1"/>
    <n v="2"/>
    <s v="Received by Planning"/>
    <s v="MRF"/>
    <s v="OPERATIONAL"/>
    <s v="Technical Assistance"/>
    <m/>
  </r>
  <r>
    <x v="3"/>
    <x v="51"/>
    <s v="MBA"/>
    <s v="Santolan"/>
    <n v="1985"/>
    <n v="1996"/>
    <s v="CONDUCTED TECHNICAL ASSISTANCE"/>
    <n v="2025"/>
    <d v="2025-10-03T00:00:00"/>
    <x v="5"/>
    <s v="Hosannah R. Sabio"/>
    <s v="Jay Pee S. Ordoñez"/>
    <s v="Zosimo P. Suyat"/>
    <s v="R3-2025-033859"/>
    <d v="2025-10-08T00:00:00"/>
    <d v="2025-10-08T00:00:00"/>
    <d v="2025-10-08T00:00:00"/>
    <d v="2025-10-10T00:00:00"/>
    <n v="3"/>
    <n v="1"/>
    <n v="1"/>
    <n v="2"/>
    <s v="Received by Planning"/>
    <s v="MRF"/>
    <s v="OPERATIONAL"/>
    <s v="Technical Assistance"/>
    <m/>
  </r>
  <r>
    <x v="3"/>
    <x v="51"/>
    <s v="MBA"/>
    <s v="Sapang Buho"/>
    <n v="3892"/>
    <n v="4496"/>
    <s v="CONDUCTED TECHNICAL ASSISTANCE"/>
    <n v="2025"/>
    <d v="2025-08-13T00:00:00"/>
    <x v="9"/>
    <s v="Hosannah R. Sabio"/>
    <s v="Jay Pee S. Ordoñez"/>
    <s v="Zosimo P. Suyat"/>
    <s v="R3-2025-027492"/>
    <d v="2025-08-16T00:00:00"/>
    <d v="2025-08-18T00:00:00"/>
    <d v="2025-08-19T00:00:00"/>
    <d v="2025-08-20T00:00:00"/>
    <n v="2"/>
    <n v="1"/>
    <n v="1"/>
    <n v="1"/>
    <s v="Received by Planning"/>
    <s v="MRF"/>
    <s v="UNDER CONSTRUCTION"/>
    <s v="Technical Assistance"/>
    <m/>
  </r>
  <r>
    <x v="3"/>
    <x v="51"/>
    <s v="MBA"/>
    <s v="Singalat"/>
    <n v="2093"/>
    <n v="2568"/>
    <s v="CONDUCTED TECHNICAL ASSISTANCE"/>
    <n v="2025"/>
    <d v="2025-08-13T00:00:00"/>
    <x v="9"/>
    <s v="Hosannah R. Sabio"/>
    <s v="Jay Pee S. Ordoñez"/>
    <s v="Zosimo P. Suyat"/>
    <s v="R3-2025-027511"/>
    <d v="2025-08-16T00:00:00"/>
    <d v="2025-08-18T00:00:00"/>
    <d v="2025-08-19T00:00:00"/>
    <d v="2025-08-20T00:00:00"/>
    <n v="2"/>
    <n v="1"/>
    <n v="1"/>
    <n v="1"/>
    <s v="Received by Planning"/>
    <s v="MRF"/>
    <s v="OPERATIONAL"/>
    <s v="Technical Assistance"/>
    <m/>
  </r>
  <r>
    <x v="3"/>
    <x v="52"/>
    <s v="OUTSIDE MBA"/>
    <s v="Baloy"/>
    <n v="2544"/>
    <n v="2630"/>
    <s v="NO TECHNICAL ASSISTANCE CONDUCTED"/>
    <m/>
    <m/>
    <x v="0"/>
    <s v="Aser A. Inocencio, Jr."/>
    <s v="Jay Pee S. Ordoñez"/>
    <s v="Zosimo P. Suyat"/>
    <m/>
    <m/>
    <m/>
    <m/>
    <m/>
    <s v=""/>
    <s v=""/>
    <s v=""/>
    <s v=""/>
    <m/>
    <m/>
    <m/>
    <m/>
    <m/>
  </r>
  <r>
    <x v="3"/>
    <x v="52"/>
    <s v="OUTSIDE MBA"/>
    <s v="Bambanaba"/>
    <n v="2030"/>
    <n v="2162"/>
    <s v="NO TECHNICAL ASSISTANCE CONDUCTED"/>
    <m/>
    <m/>
    <x v="0"/>
    <s v="Aser A. Inocencio, Jr."/>
    <s v="Jay Pee S. Ordoñez"/>
    <s v="Zosimo P. Suyat"/>
    <m/>
    <m/>
    <m/>
    <m/>
    <m/>
    <s v=""/>
    <s v=""/>
    <s v=""/>
    <s v=""/>
    <m/>
    <m/>
    <m/>
    <m/>
    <m/>
  </r>
  <r>
    <x v="3"/>
    <x v="52"/>
    <s v="OUTSIDE MBA"/>
    <s v="Bantug"/>
    <n v="531"/>
    <n v="596"/>
    <s v="NO TECHNICAL ASSISTANCE CONDUCTED"/>
    <m/>
    <m/>
    <x v="0"/>
    <s v="Aser A. Inocencio, Jr."/>
    <s v="Jay Pee S. Ordoñez"/>
    <s v="Zosimo P. Suyat"/>
    <m/>
    <m/>
    <m/>
    <m/>
    <m/>
    <s v=""/>
    <s v=""/>
    <s v=""/>
    <s v=""/>
    <m/>
    <m/>
    <m/>
    <m/>
    <m/>
  </r>
  <r>
    <x v="3"/>
    <x v="52"/>
    <s v="OUTSIDE MBA"/>
    <s v="Bentigan"/>
    <n v="1358"/>
    <n v="1523"/>
    <s v="NO TECHNICAL ASSISTANCE CONDUCTED"/>
    <m/>
    <m/>
    <x v="0"/>
    <s v="Aser A. Inocencio, Jr."/>
    <s v="Jay Pee S. Ordoñez"/>
    <s v="Zosimo P. Suyat"/>
    <m/>
    <m/>
    <m/>
    <m/>
    <m/>
    <s v=""/>
    <s v=""/>
    <s v=""/>
    <s v=""/>
    <m/>
    <m/>
    <m/>
    <m/>
    <m/>
  </r>
  <r>
    <x v="3"/>
    <x v="52"/>
    <s v="OUTSIDE MBA"/>
    <s v="Bibiclat"/>
    <n v="1198"/>
    <n v="1407"/>
    <s v="NO TECHNICAL ASSISTANCE CONDUCTED"/>
    <m/>
    <m/>
    <x v="0"/>
    <s v="Aser A. Inocencio, Jr."/>
    <s v="Jay Pee S. Ordoñez"/>
    <s v="Zosimo P. Suyat"/>
    <m/>
    <m/>
    <m/>
    <m/>
    <m/>
    <s v=""/>
    <s v=""/>
    <s v=""/>
    <s v=""/>
    <m/>
    <m/>
    <m/>
    <m/>
    <m/>
  </r>
  <r>
    <x v="3"/>
    <x v="52"/>
    <s v="OUTSIDE MBA"/>
    <s v="Bonifacio"/>
    <n v="1515"/>
    <n v="1575"/>
    <s v="NO TECHNICAL ASSISTANCE CONDUCTED"/>
    <m/>
    <m/>
    <x v="0"/>
    <s v="Aser A. Inocencio, Jr."/>
    <s v="Jay Pee S. Ordoñez"/>
    <s v="Zosimo P. Suyat"/>
    <m/>
    <m/>
    <m/>
    <m/>
    <m/>
    <s v=""/>
    <s v=""/>
    <s v=""/>
    <s v=""/>
    <m/>
    <m/>
    <m/>
    <m/>
    <m/>
  </r>
  <r>
    <x v="3"/>
    <x v="52"/>
    <s v="OUTSIDE MBA"/>
    <s v="Bued"/>
    <n v="508"/>
    <n v="568"/>
    <s v="NO TECHNICAL ASSISTANCE CONDUCTED"/>
    <m/>
    <m/>
    <x v="0"/>
    <s v="Aser A. Inocencio, Jr."/>
    <s v="Jay Pee S. Ordoñez"/>
    <s v="Zosimo P. Suyat"/>
    <m/>
    <m/>
    <m/>
    <m/>
    <m/>
    <s v=""/>
    <s v=""/>
    <s v=""/>
    <s v=""/>
    <m/>
    <m/>
    <m/>
    <m/>
    <m/>
  </r>
  <r>
    <x v="3"/>
    <x v="52"/>
    <s v="OUTSIDE MBA"/>
    <s v="Bulala"/>
    <n v="1164"/>
    <n v="1361"/>
    <s v="NO TECHNICAL ASSISTANCE CONDUCTED"/>
    <m/>
    <m/>
    <x v="0"/>
    <s v="Aser A. Inocencio, Jr."/>
    <s v="Jay Pee S. Ordoñez"/>
    <s v="Zosimo P. Suyat"/>
    <m/>
    <m/>
    <m/>
    <m/>
    <m/>
    <s v=""/>
    <s v=""/>
    <s v=""/>
    <s v=""/>
    <m/>
    <m/>
    <m/>
    <m/>
    <m/>
  </r>
  <r>
    <x v="3"/>
    <x v="52"/>
    <s v="OUTSIDE MBA"/>
    <s v="Burgos"/>
    <n v="1565"/>
    <n v="1468"/>
    <s v="NO TECHNICAL ASSISTANCE CONDUCTED"/>
    <m/>
    <m/>
    <x v="0"/>
    <s v="Aser A. Inocencio, Jr."/>
    <s v="Jay Pee S. Ordoñez"/>
    <s v="Zosimo P. Suyat"/>
    <m/>
    <m/>
    <m/>
    <m/>
    <m/>
    <s v=""/>
    <s v=""/>
    <s v=""/>
    <s v=""/>
    <m/>
    <m/>
    <m/>
    <m/>
    <m/>
  </r>
  <r>
    <x v="3"/>
    <x v="52"/>
    <s v="OUTSIDE MBA"/>
    <s v="Cabatuan"/>
    <n v="710"/>
    <n v="782"/>
    <s v="NO TECHNICAL ASSISTANCE CONDUCTED"/>
    <m/>
    <m/>
    <x v="0"/>
    <s v="Aser A. Inocencio, Jr."/>
    <s v="Jay Pee S. Ordoñez"/>
    <s v="Zosimo P. Suyat"/>
    <m/>
    <m/>
    <m/>
    <m/>
    <m/>
    <s v=""/>
    <s v=""/>
    <s v=""/>
    <s v=""/>
    <m/>
    <m/>
    <m/>
    <m/>
    <m/>
  </r>
  <r>
    <x v="3"/>
    <x v="52"/>
    <s v="OUTSIDE MBA"/>
    <s v="Cabileo"/>
    <n v="1202"/>
    <n v="1066"/>
    <s v="NO TECHNICAL ASSISTANCE CONDUCTED"/>
    <m/>
    <m/>
    <x v="0"/>
    <s v="Aser A. Inocencio, Jr."/>
    <s v="Jay Pee S. Ordoñez"/>
    <s v="Zosimo P. Suyat"/>
    <m/>
    <m/>
    <m/>
    <m/>
    <m/>
    <s v=""/>
    <s v=""/>
    <s v=""/>
    <s v=""/>
    <m/>
    <m/>
    <m/>
    <m/>
    <m/>
  </r>
  <r>
    <x v="3"/>
    <x v="52"/>
    <s v="OUTSIDE MBA"/>
    <s v="Cacapasan"/>
    <n v="689"/>
    <n v="763"/>
    <s v="NO TECHNICAL ASSISTANCE CONDUCTED"/>
    <m/>
    <m/>
    <x v="0"/>
    <s v="Aser A. Inocencio, Jr."/>
    <s v="Jay Pee S. Ordoñez"/>
    <s v="Zosimo P. Suyat"/>
    <m/>
    <m/>
    <m/>
    <m/>
    <m/>
    <s v=""/>
    <s v=""/>
    <s v=""/>
    <s v=""/>
    <m/>
    <m/>
    <m/>
    <m/>
    <m/>
  </r>
  <r>
    <x v="3"/>
    <x v="52"/>
    <s v="OUTSIDE MBA"/>
    <s v="Calancuasan Norte"/>
    <n v="958"/>
    <n v="1084"/>
    <s v="NO TECHNICAL ASSISTANCE CONDUCTED"/>
    <m/>
    <m/>
    <x v="0"/>
    <s v="Aser A. Inocencio, Jr."/>
    <s v="Jay Pee S. Ordoñez"/>
    <s v="Zosimo P. Suyat"/>
    <m/>
    <m/>
    <m/>
    <m/>
    <m/>
    <s v=""/>
    <s v=""/>
    <s v=""/>
    <s v=""/>
    <m/>
    <m/>
    <m/>
    <m/>
    <m/>
  </r>
  <r>
    <x v="3"/>
    <x v="52"/>
    <s v="OUTSIDE MBA"/>
    <s v="Calancuasan Sur"/>
    <n v="1636"/>
    <n v="1724"/>
    <s v="NO TECHNICAL ASSISTANCE CONDUCTED"/>
    <m/>
    <m/>
    <x v="0"/>
    <s v="Aser A. Inocencio, Jr."/>
    <s v="Jay Pee S. Ordoñez"/>
    <s v="Zosimo P. Suyat"/>
    <m/>
    <m/>
    <m/>
    <m/>
    <m/>
    <s v=""/>
    <s v=""/>
    <s v=""/>
    <s v=""/>
    <m/>
    <m/>
    <m/>
    <m/>
    <m/>
  </r>
  <r>
    <x v="3"/>
    <x v="52"/>
    <s v="OUTSIDE MBA"/>
    <s v="Colosboa"/>
    <n v="678"/>
    <n v="727"/>
    <s v="NO TECHNICAL ASSISTANCE CONDUCTED"/>
    <m/>
    <m/>
    <x v="0"/>
    <s v="Aser A. Inocencio, Jr."/>
    <s v="Jay Pee S. Ordoñez"/>
    <s v="Zosimo P. Suyat"/>
    <m/>
    <m/>
    <m/>
    <m/>
    <m/>
    <s v=""/>
    <s v=""/>
    <s v=""/>
    <s v=""/>
    <m/>
    <m/>
    <m/>
    <m/>
    <m/>
  </r>
  <r>
    <x v="3"/>
    <x v="52"/>
    <s v="OUTSIDE MBA"/>
    <s v="Columbitin"/>
    <n v="641"/>
    <n v="816"/>
    <s v="CONDUCTED TECHNICAL ASSISTANCE"/>
    <n v="2025"/>
    <d v="2025-09-24T00:00:00"/>
    <x v="5"/>
    <s v="Aser A. Inocencio, Jr."/>
    <s v="Jay Pee S. Ordoñez"/>
    <s v="Zosimo P. Suyat"/>
    <s v="R3-2025-032633"/>
    <d v="2025-09-27T00:00:00"/>
    <d v="2025-09-28T00:00:00"/>
    <d v="2025-09-28T00:00:00"/>
    <d v="2025-09-29T00:00:00"/>
    <n v="2"/>
    <n v="1"/>
    <n v="1"/>
    <n v="1"/>
    <s v="Received by Planning"/>
    <s v="MRS"/>
    <s v="NON-OPERATIONAL"/>
    <s v="Technical Assistance"/>
    <m/>
  </r>
  <r>
    <x v="3"/>
    <x v="52"/>
    <s v="OUTSIDE MBA"/>
    <s v="Curva"/>
    <n v="867"/>
    <n v="981"/>
    <s v="NO TECHNICAL ASSISTANCE CONDUCTED"/>
    <m/>
    <m/>
    <x v="0"/>
    <s v="Aser A. Inocencio, Jr."/>
    <s v="Jay Pee S. Ordoñez"/>
    <s v="Zosimo P. Suyat"/>
    <m/>
    <m/>
    <m/>
    <m/>
    <m/>
    <s v=""/>
    <s v=""/>
    <s v=""/>
    <s v=""/>
    <m/>
    <m/>
    <m/>
    <m/>
    <m/>
  </r>
  <r>
    <x v="3"/>
    <x v="52"/>
    <s v="OUTSIDE MBA"/>
    <s v="District I"/>
    <n v="1061"/>
    <n v="1015"/>
    <s v="CONDUCTED TECHNICAL ASSISTANCE"/>
    <n v="2025"/>
    <d v="2025-04-25T00:00:00"/>
    <x v="6"/>
    <s v="Aser A. Inocencio, Jr."/>
    <s v="Jay Pee S. Ordoñez"/>
    <s v="Zosimo P. Suyat"/>
    <s v="R3-2025-014179"/>
    <d v="2025-04-27T00:00:00"/>
    <d v="2025-05-02T00:00:00"/>
    <d v="2025-05-05T00:00:00"/>
    <d v="2025-05-14T00:00:00"/>
    <n v="1"/>
    <n v="4"/>
    <n v="1"/>
    <n v="7"/>
    <s v="Received by Planning"/>
    <s v="MRS"/>
    <s v="OPERATIONAL"/>
    <s v="Technical Assistance"/>
    <m/>
  </r>
  <r>
    <x v="3"/>
    <x v="52"/>
    <s v="OUTSIDE MBA"/>
    <s v="District II"/>
    <n v="1522"/>
    <n v="1472"/>
    <s v="CONDUCTED TECHNICAL ASSISTANCE"/>
    <n v="2025"/>
    <d v="2025-05-07T00:00:00"/>
    <x v="6"/>
    <s v="Aser A. Inocencio, Jr."/>
    <s v="Jay Pee S. Ordoñez"/>
    <s v="Zosimo P. Suyat"/>
    <s v="R3-2025-016072"/>
    <d v="2025-05-15T00:00:00"/>
    <d v="2025-05-16T00:00:00"/>
    <d v="2025-05-16T00:00:00"/>
    <d v="2025-05-19T00:00:00"/>
    <n v="6"/>
    <n v="1"/>
    <n v="1"/>
    <n v="1"/>
    <s v="Received by Planning"/>
    <s v="MRS"/>
    <s v="OPERATIONAL"/>
    <s v="Technical Assistance"/>
    <m/>
  </r>
  <r>
    <x v="3"/>
    <x v="52"/>
    <s v="OUTSIDE MBA"/>
    <s v="District IV"/>
    <n v="1340"/>
    <n v="1372"/>
    <s v="NO TECHNICAL ASSISTANCE CONDUCTED"/>
    <m/>
    <m/>
    <x v="0"/>
    <s v="Aser A. Inocencio, Jr."/>
    <s v="Jay Pee S. Ordoñez"/>
    <s v="Zosimo P. Suyat"/>
    <m/>
    <m/>
    <m/>
    <m/>
    <m/>
    <s v=""/>
    <s v=""/>
    <s v=""/>
    <s v=""/>
    <m/>
    <m/>
    <m/>
    <m/>
    <m/>
  </r>
  <r>
    <x v="3"/>
    <x v="52"/>
    <s v="OUTSIDE MBA"/>
    <s v="District V"/>
    <n v="975"/>
    <n v="887"/>
    <s v="NO TECHNICAL ASSISTANCE CONDUCTED"/>
    <m/>
    <m/>
    <x v="0"/>
    <s v="Aser A. Inocencio, Jr."/>
    <s v="Jay Pee S. Ordoñez"/>
    <s v="Zosimo P. Suyat"/>
    <m/>
    <m/>
    <m/>
    <m/>
    <m/>
    <s v=""/>
    <s v=""/>
    <s v=""/>
    <s v=""/>
    <m/>
    <m/>
    <m/>
    <m/>
    <m/>
  </r>
  <r>
    <x v="3"/>
    <x v="52"/>
    <s v="OUTSIDE MBA"/>
    <s v="District VI"/>
    <n v="1762"/>
    <n v="1776"/>
    <s v="NO TECHNICAL ASSISTANCE CONDUCTED"/>
    <m/>
    <m/>
    <x v="0"/>
    <s v="Aser A. Inocencio, Jr."/>
    <s v="Jay Pee S. Ordoñez"/>
    <s v="Zosimo P. Suyat"/>
    <m/>
    <m/>
    <m/>
    <m/>
    <m/>
    <s v=""/>
    <s v=""/>
    <s v=""/>
    <s v=""/>
    <m/>
    <m/>
    <m/>
    <m/>
    <m/>
  </r>
  <r>
    <x v="3"/>
    <x v="52"/>
    <s v="OUTSIDE MBA"/>
    <s v="District VII"/>
    <n v="719"/>
    <n v="740"/>
    <s v="NO TECHNICAL ASSISTANCE CONDUCTED"/>
    <m/>
    <m/>
    <x v="0"/>
    <s v="Aser A. Inocencio, Jr."/>
    <s v="Jay Pee S. Ordoñez"/>
    <s v="Zosimo P. Suyat"/>
    <m/>
    <m/>
    <m/>
    <m/>
    <m/>
    <s v=""/>
    <s v=""/>
    <s v=""/>
    <s v=""/>
    <m/>
    <m/>
    <m/>
    <m/>
    <m/>
  </r>
  <r>
    <x v="3"/>
    <x v="52"/>
    <s v="OUTSIDE MBA"/>
    <s v="District VIII"/>
    <n v="1255"/>
    <n v="1269"/>
    <s v="CONDUCTED TECHNICAL ASSISTANCE"/>
    <n v="2025"/>
    <d v="2025-04-25T00:00:00"/>
    <x v="6"/>
    <s v="Aser A. Inocencio, Jr."/>
    <s v="Jay Pee S. Ordoñez"/>
    <s v="Zosimo P. Suyat"/>
    <s v="R3-2025-014180"/>
    <d v="2025-04-27T00:00:00"/>
    <d v="2025-05-02T00:00:00"/>
    <d v="2025-05-05T00:00:00"/>
    <d v="2025-05-14T00:00:00"/>
    <n v="1"/>
    <n v="4"/>
    <n v="1"/>
    <n v="7"/>
    <s v="Received by Planning"/>
    <s v="MRS"/>
    <s v="OPERATIONAL"/>
    <s v="Technical Assistance"/>
    <m/>
  </r>
  <r>
    <x v="3"/>
    <x v="52"/>
    <s v="OUTSIDE MBA"/>
    <s v="Landig"/>
    <n v="824"/>
    <n v="828"/>
    <s v="NO TECHNICAL ASSISTANCE CONDUCTED"/>
    <m/>
    <m/>
    <x v="0"/>
    <s v="Aser A. Inocencio, Jr."/>
    <s v="Jay Pee S. Ordoñez"/>
    <s v="Zosimo P. Suyat"/>
    <m/>
    <m/>
    <m/>
    <m/>
    <m/>
    <s v=""/>
    <s v=""/>
    <s v=""/>
    <s v=""/>
    <m/>
    <m/>
    <m/>
    <m/>
    <m/>
  </r>
  <r>
    <x v="3"/>
    <x v="52"/>
    <s v="OUTSIDE MBA"/>
    <s v="Latap"/>
    <n v="2169"/>
    <n v="2204"/>
    <s v="NO TECHNICAL ASSISTANCE CONDUCTED"/>
    <m/>
    <m/>
    <x v="0"/>
    <s v="Aser A. Inocencio, Jr."/>
    <s v="Jay Pee S. Ordoñez"/>
    <s v="Zosimo P. Suyat"/>
    <m/>
    <m/>
    <m/>
    <m/>
    <m/>
    <s v=""/>
    <s v=""/>
    <s v=""/>
    <s v=""/>
    <m/>
    <m/>
    <m/>
    <m/>
    <m/>
  </r>
  <r>
    <x v="3"/>
    <x v="52"/>
    <s v="OUTSIDE MBA"/>
    <s v="Loob"/>
    <n v="1186"/>
    <n v="1146"/>
    <s v="NO TECHNICAL ASSISTANCE CONDUCTED"/>
    <m/>
    <m/>
    <x v="0"/>
    <s v="Aser A. Inocencio, Jr."/>
    <s v="Jay Pee S. Ordoñez"/>
    <s v="Zosimo P. Suyat"/>
    <m/>
    <m/>
    <m/>
    <m/>
    <m/>
    <s v=""/>
    <s v=""/>
    <s v=""/>
    <s v=""/>
    <m/>
    <m/>
    <m/>
    <m/>
    <m/>
  </r>
  <r>
    <x v="3"/>
    <x v="52"/>
    <s v="OUTSIDE MBA"/>
    <s v="Luna"/>
    <n v="1287"/>
    <n v="1305"/>
    <s v="NO TECHNICAL ASSISTANCE CONDUCTED"/>
    <m/>
    <m/>
    <x v="0"/>
    <s v="Aser A. Inocencio, Jr."/>
    <s v="Jay Pee S. Ordoñez"/>
    <s v="Zosimo P. Suyat"/>
    <m/>
    <m/>
    <m/>
    <m/>
    <m/>
    <s v=""/>
    <s v=""/>
    <s v=""/>
    <s v=""/>
    <m/>
    <m/>
    <m/>
    <m/>
    <m/>
  </r>
  <r>
    <x v="3"/>
    <x v="52"/>
    <s v="OUTSIDE MBA"/>
    <s v="Malbeg-Patalan"/>
    <n v="681"/>
    <n v="693"/>
    <s v="NO TECHNICAL ASSISTANCE CONDUCTED"/>
    <m/>
    <m/>
    <x v="0"/>
    <s v="Aser A. Inocencio, Jr."/>
    <s v="Jay Pee S. Ordoñez"/>
    <s v="Zosimo P. Suyat"/>
    <m/>
    <m/>
    <m/>
    <m/>
    <m/>
    <s v=""/>
    <s v=""/>
    <s v=""/>
    <s v=""/>
    <m/>
    <m/>
    <m/>
    <m/>
    <m/>
  </r>
  <r>
    <x v="3"/>
    <x v="52"/>
    <s v="OUTSIDE MBA"/>
    <s v="Malineng"/>
    <n v="1616"/>
    <n v="1918"/>
    <s v="CONDUCTED TECHNICAL ASSISTANCE"/>
    <n v="2025"/>
    <d v="2025-09-24T00:00:00"/>
    <x v="5"/>
    <s v="Aser A. Inocencio, Jr."/>
    <s v="Jay Pee S. Ordoñez"/>
    <s v="Zosimo P. Suyat"/>
    <s v="R3-2025-032634"/>
    <d v="2025-09-27T00:00:00"/>
    <d v="2025-09-28T00:00:00"/>
    <d v="2025-09-28T00:00:00"/>
    <d v="2025-09-29T00:00:00"/>
    <n v="2"/>
    <n v="1"/>
    <n v="1"/>
    <n v="1"/>
    <s v="Received by Planning"/>
    <s v="MRS"/>
    <s v="NON-OPERATIONAL"/>
    <s v="Technical Assistance"/>
    <m/>
  </r>
  <r>
    <x v="3"/>
    <x v="52"/>
    <s v="OUTSIDE MBA"/>
    <s v="Matindeg"/>
    <n v="648"/>
    <n v="645"/>
    <s v="NO TECHNICAL ASSISTANCE CONDUCTED"/>
    <m/>
    <m/>
    <x v="0"/>
    <s v="Aser A. Inocencio, Jr."/>
    <s v="Jay Pee S. Ordoñez"/>
    <s v="Zosimo P. Suyat"/>
    <m/>
    <m/>
    <m/>
    <m/>
    <m/>
    <s v=""/>
    <s v=""/>
    <s v=""/>
    <s v=""/>
    <m/>
    <m/>
    <m/>
    <m/>
    <m/>
  </r>
  <r>
    <x v="3"/>
    <x v="52"/>
    <s v="OUTSIDE MBA"/>
    <s v="Maycaban"/>
    <n v="1553"/>
    <n v="1686"/>
    <s v="NO TECHNICAL ASSISTANCE CONDUCTED"/>
    <m/>
    <m/>
    <x v="0"/>
    <s v="Aser A. Inocencio, Jr."/>
    <s v="Jay Pee S. Ordoñez"/>
    <s v="Zosimo P. Suyat"/>
    <m/>
    <m/>
    <m/>
    <m/>
    <m/>
    <s v=""/>
    <s v=""/>
    <s v=""/>
    <s v=""/>
    <m/>
    <m/>
    <m/>
    <m/>
    <m/>
  </r>
  <r>
    <x v="3"/>
    <x v="52"/>
    <s v="OUTSIDE MBA"/>
    <s v="Nacuralan"/>
    <n v="1387"/>
    <n v="1552"/>
    <s v="NO TECHNICAL ASSISTANCE CONDUCTED"/>
    <m/>
    <m/>
    <x v="0"/>
    <s v="Aser A. Inocencio, Jr."/>
    <s v="Jay Pee S. Ordoñez"/>
    <s v="Zosimo P. Suyat"/>
    <m/>
    <m/>
    <m/>
    <m/>
    <m/>
    <s v=""/>
    <s v=""/>
    <s v=""/>
    <s v=""/>
    <m/>
    <m/>
    <m/>
    <m/>
    <m/>
  </r>
  <r>
    <x v="3"/>
    <x v="52"/>
    <s v="OUTSIDE MBA"/>
    <s v="Nagmisahan"/>
    <n v="1555"/>
    <n v="1720"/>
    <s v="NO TECHNICAL ASSISTANCE CONDUCTED"/>
    <m/>
    <m/>
    <x v="0"/>
    <s v="Aser A. Inocencio, Jr."/>
    <s v="Jay Pee S. Ordoñez"/>
    <s v="Zosimo P. Suyat"/>
    <m/>
    <m/>
    <m/>
    <m/>
    <m/>
    <s v=""/>
    <s v=""/>
    <s v=""/>
    <s v=""/>
    <m/>
    <m/>
    <m/>
    <m/>
    <m/>
  </r>
  <r>
    <x v="3"/>
    <x v="52"/>
    <s v="OUTSIDE MBA"/>
    <s v="Paitan Norte"/>
    <n v="1850"/>
    <n v="1886"/>
    <s v="NO TECHNICAL ASSISTANCE CONDUCTED"/>
    <m/>
    <m/>
    <x v="0"/>
    <s v="Aser A. Inocencio, Jr."/>
    <s v="Jay Pee S. Ordoñez"/>
    <s v="Zosimo P. Suyat"/>
    <m/>
    <m/>
    <m/>
    <m/>
    <m/>
    <s v=""/>
    <s v=""/>
    <s v=""/>
    <s v=""/>
    <m/>
    <m/>
    <m/>
    <m/>
    <m/>
  </r>
  <r>
    <x v="3"/>
    <x v="52"/>
    <s v="OUTSIDE MBA"/>
    <s v="Paitan Sur"/>
    <n v="998"/>
    <n v="1012"/>
    <s v="NO TECHNICAL ASSISTANCE CONDUCTED"/>
    <m/>
    <m/>
    <x v="0"/>
    <s v="Aser A. Inocencio, Jr."/>
    <s v="Jay Pee S. Ordoñez"/>
    <s v="Zosimo P. Suyat"/>
    <m/>
    <m/>
    <m/>
    <m/>
    <m/>
    <s v=""/>
    <s v=""/>
    <s v=""/>
    <s v=""/>
    <m/>
    <m/>
    <m/>
    <m/>
    <m/>
  </r>
  <r>
    <x v="3"/>
    <x v="52"/>
    <s v="OUTSIDE MBA"/>
    <s v="Piglisan"/>
    <n v="1215"/>
    <n v="1260"/>
    <s v="NO TECHNICAL ASSISTANCE CONDUCTED"/>
    <m/>
    <m/>
    <x v="0"/>
    <s v="Aser A. Inocencio, Jr."/>
    <s v="Jay Pee S. Ordoñez"/>
    <s v="Zosimo P. Suyat"/>
    <m/>
    <m/>
    <m/>
    <m/>
    <m/>
    <s v=""/>
    <s v=""/>
    <s v=""/>
    <s v=""/>
    <m/>
    <m/>
    <m/>
    <m/>
    <m/>
  </r>
  <r>
    <x v="3"/>
    <x v="52"/>
    <s v="OUTSIDE MBA"/>
    <s v="Pugo"/>
    <n v="665"/>
    <n v="660"/>
    <s v="NO TECHNICAL ASSISTANCE CONDUCTED"/>
    <m/>
    <m/>
    <x v="0"/>
    <s v="Aser A. Inocencio, Jr."/>
    <s v="Jay Pee S. Ordoñez"/>
    <s v="Zosimo P. Suyat"/>
    <m/>
    <m/>
    <m/>
    <m/>
    <m/>
    <s v=""/>
    <s v=""/>
    <s v=""/>
    <s v=""/>
    <m/>
    <m/>
    <m/>
    <m/>
    <m/>
  </r>
  <r>
    <x v="3"/>
    <x v="52"/>
    <s v="OUTSIDE MBA"/>
    <s v="Rizal"/>
    <n v="856"/>
    <n v="913"/>
    <s v="NO TECHNICAL ASSISTANCE CONDUCTED"/>
    <m/>
    <m/>
    <x v="0"/>
    <s v="Aser A. Inocencio, Jr."/>
    <s v="Jay Pee S. Ordoñez"/>
    <s v="Zosimo P. Suyat"/>
    <m/>
    <m/>
    <m/>
    <m/>
    <m/>
    <s v=""/>
    <s v=""/>
    <s v=""/>
    <s v=""/>
    <m/>
    <m/>
    <m/>
    <m/>
    <m/>
  </r>
  <r>
    <x v="3"/>
    <x v="52"/>
    <s v="OUTSIDE MBA"/>
    <s v="Sabit"/>
    <n v="1633"/>
    <n v="1510"/>
    <s v="NO TECHNICAL ASSISTANCE CONDUCTED"/>
    <m/>
    <m/>
    <x v="0"/>
    <s v="Aser A. Inocencio, Jr."/>
    <s v="Jay Pee S. Ordoñez"/>
    <s v="Zosimo P. Suyat"/>
    <m/>
    <m/>
    <m/>
    <m/>
    <m/>
    <s v=""/>
    <s v=""/>
    <s v=""/>
    <s v=""/>
    <m/>
    <m/>
    <m/>
    <m/>
    <m/>
  </r>
  <r>
    <x v="3"/>
    <x v="52"/>
    <s v="OUTSIDE MBA"/>
    <s v="Salagusog"/>
    <n v="1388"/>
    <n v="1390"/>
    <s v="CONDUCTED TECHNICAL ASSISTANCE"/>
    <n v="2025"/>
    <d v="2025-09-24T00:00:00"/>
    <x v="5"/>
    <s v="Aser A. Inocencio, Jr."/>
    <s v="Jay Pee S. Ordoñez"/>
    <s v="Zosimo P. Suyat"/>
    <s v="R3-2025-032635"/>
    <d v="2025-09-27T00:00:00"/>
    <d v="2025-09-28T00:00:00"/>
    <d v="2025-09-28T00:00:00"/>
    <d v="2025-09-29T00:00:00"/>
    <n v="2"/>
    <n v="1"/>
    <n v="1"/>
    <n v="1"/>
    <s v="Received by Planning"/>
    <s v="MRS"/>
    <s v="NON-OPERATIONAL"/>
    <s v="Technical Assistance"/>
    <m/>
  </r>
  <r>
    <x v="3"/>
    <x v="52"/>
    <s v="OUTSIDE MBA"/>
    <s v="San Antonio"/>
    <n v="4118"/>
    <n v="4341"/>
    <s v="NO TECHNICAL ASSISTANCE CONDUCTED"/>
    <m/>
    <m/>
    <x v="0"/>
    <s v="Aser A. Inocencio, Jr."/>
    <s v="Jay Pee S. Ordoñez"/>
    <s v="Zosimo P. Suyat"/>
    <m/>
    <m/>
    <m/>
    <m/>
    <m/>
    <s v=""/>
    <s v=""/>
    <s v=""/>
    <s v=""/>
    <m/>
    <m/>
    <m/>
    <m/>
    <m/>
  </r>
  <r>
    <x v="3"/>
    <x v="52"/>
    <s v="OUTSIDE MBA"/>
    <s v="San Jose"/>
    <n v="1266"/>
    <n v="1318"/>
    <s v="NO TECHNICAL ASSISTANCE CONDUCTED"/>
    <m/>
    <m/>
    <x v="0"/>
    <s v="Aser A. Inocencio, Jr."/>
    <s v="Jay Pee S. Ordoñez"/>
    <s v="Zosimo P. Suyat"/>
    <m/>
    <m/>
    <m/>
    <m/>
    <m/>
    <s v=""/>
    <s v=""/>
    <s v=""/>
    <s v=""/>
    <m/>
    <m/>
    <m/>
    <m/>
    <m/>
  </r>
  <r>
    <x v="3"/>
    <x v="52"/>
    <s v="OUTSIDE MBA"/>
    <s v="San Juan"/>
    <n v="597"/>
    <n v="625"/>
    <s v="NO TECHNICAL ASSISTANCE CONDUCTED"/>
    <m/>
    <m/>
    <x v="0"/>
    <s v="Aser A. Inocencio, Jr."/>
    <s v="Jay Pee S. Ordoñez"/>
    <s v="Zosimo P. Suyat"/>
    <m/>
    <m/>
    <m/>
    <m/>
    <m/>
    <s v=""/>
    <s v=""/>
    <s v=""/>
    <s v=""/>
    <m/>
    <m/>
    <m/>
    <m/>
    <m/>
  </r>
  <r>
    <x v="3"/>
    <x v="52"/>
    <s v="OUTSIDE MBA"/>
    <s v="Santa Clara"/>
    <n v="1678"/>
    <n v="1740"/>
    <s v="NO TECHNICAL ASSISTANCE CONDUCTED"/>
    <m/>
    <m/>
    <x v="0"/>
    <s v="Aser A. Inocencio, Jr."/>
    <s v="Jay Pee S. Ordoñez"/>
    <s v="Zosimo P. Suyat"/>
    <m/>
    <m/>
    <m/>
    <m/>
    <m/>
    <s v=""/>
    <s v=""/>
    <s v=""/>
    <s v=""/>
    <m/>
    <m/>
    <m/>
    <m/>
    <m/>
  </r>
  <r>
    <x v="3"/>
    <x v="52"/>
    <s v="OUTSIDE MBA"/>
    <s v="Santa Cruz"/>
    <n v="1128"/>
    <n v="1189"/>
    <s v="NO TECHNICAL ASSISTANCE CONDUCTED"/>
    <m/>
    <m/>
    <x v="0"/>
    <s v="Aser A. Inocencio, Jr."/>
    <s v="Jay Pee S. Ordoñez"/>
    <s v="Zosimo P. Suyat"/>
    <m/>
    <m/>
    <m/>
    <m/>
    <m/>
    <s v=""/>
    <s v=""/>
    <s v=""/>
    <s v=""/>
    <m/>
    <m/>
    <m/>
    <m/>
    <m/>
  </r>
  <r>
    <x v="3"/>
    <x v="52"/>
    <s v="OUTSIDE MBA"/>
    <s v="Sinimbaan"/>
    <n v="1151"/>
    <n v="1235"/>
    <s v="NO TECHNICAL ASSISTANCE CONDUCTED"/>
    <m/>
    <m/>
    <x v="0"/>
    <s v="Aser A. Inocencio, Jr."/>
    <s v="Jay Pee S. Ordoñez"/>
    <s v="Zosimo P. Suyat"/>
    <m/>
    <m/>
    <m/>
    <m/>
    <m/>
    <s v=""/>
    <s v=""/>
    <s v=""/>
    <s v=""/>
    <m/>
    <m/>
    <m/>
    <m/>
    <m/>
  </r>
  <r>
    <x v="3"/>
    <x v="52"/>
    <s v="OUTSIDE MBA"/>
    <s v="Tagtagumbao"/>
    <n v="1027"/>
    <n v="1042"/>
    <s v="NO TECHNICAL ASSISTANCE CONDUCTED"/>
    <m/>
    <m/>
    <x v="0"/>
    <s v="Aser A. Inocencio, Jr."/>
    <s v="Jay Pee S. Ordoñez"/>
    <s v="Zosimo P. Suyat"/>
    <m/>
    <m/>
    <m/>
    <m/>
    <m/>
    <s v=""/>
    <s v=""/>
    <s v=""/>
    <s v=""/>
    <m/>
    <m/>
    <m/>
    <m/>
    <m/>
  </r>
  <r>
    <x v="3"/>
    <x v="52"/>
    <s v="OUTSIDE MBA"/>
    <s v="Tutuloy"/>
    <n v="958"/>
    <n v="1055"/>
    <s v="NO TECHNICAL ASSISTANCE CONDUCTED"/>
    <m/>
    <m/>
    <x v="0"/>
    <s v="Aser A. Inocencio, Jr."/>
    <s v="Jay Pee S. Ordoñez"/>
    <s v="Zosimo P. Suyat"/>
    <m/>
    <m/>
    <m/>
    <m/>
    <m/>
    <s v=""/>
    <s v=""/>
    <s v=""/>
    <s v=""/>
    <m/>
    <m/>
    <m/>
    <m/>
    <m/>
  </r>
  <r>
    <x v="3"/>
    <x v="52"/>
    <s v="OUTSIDE MBA"/>
    <s v="Ungab"/>
    <n v="1895"/>
    <n v="2057"/>
    <s v="NO TECHNICAL ASSISTANCE CONDUCTED"/>
    <m/>
    <m/>
    <x v="0"/>
    <s v="Aser A. Inocencio, Jr."/>
    <s v="Jay Pee S. Ordoñez"/>
    <s v="Zosimo P. Suyat"/>
    <m/>
    <m/>
    <m/>
    <m/>
    <m/>
    <s v=""/>
    <s v=""/>
    <s v=""/>
    <s v=""/>
    <m/>
    <m/>
    <m/>
    <m/>
    <m/>
  </r>
  <r>
    <x v="3"/>
    <x v="52"/>
    <s v="OUTSIDE MBA"/>
    <s v="Villaflores"/>
    <n v="1282"/>
    <n v="1372"/>
    <s v="NO TECHNICAL ASSISTANCE CONDUCTED"/>
    <m/>
    <m/>
    <x v="0"/>
    <s v="Aser A. Inocencio, Jr."/>
    <s v="Jay Pee S. Ordoñez"/>
    <s v="Zosimo P. Suyat"/>
    <m/>
    <m/>
    <m/>
    <m/>
    <m/>
    <s v=""/>
    <s v=""/>
    <s v=""/>
    <s v=""/>
    <m/>
    <m/>
    <m/>
    <m/>
    <m/>
  </r>
  <r>
    <x v="3"/>
    <x v="53"/>
    <s v="MBA"/>
    <s v="Bagong Sikat"/>
    <n v="2725"/>
    <n v="2939"/>
    <s v="NO TECHNICAL ASSISTANCE CONDUCTED"/>
    <m/>
    <m/>
    <x v="0"/>
    <s v="Jan Emerson C. Gonzales"/>
    <s v="Jay Pee S. Ordoñez"/>
    <s v="Zosimo P. Suyat"/>
    <m/>
    <m/>
    <m/>
    <m/>
    <m/>
    <s v=""/>
    <s v=""/>
    <s v=""/>
    <s v=""/>
    <m/>
    <m/>
    <m/>
    <m/>
    <m/>
  </r>
  <r>
    <x v="3"/>
    <x v="53"/>
    <s v="MBA"/>
    <s v="Bagting"/>
    <n v="3138"/>
    <n v="3525"/>
    <s v="NO TECHNICAL ASSISTANCE CONDUCTED"/>
    <m/>
    <m/>
    <x v="0"/>
    <s v="Jan Emerson C. Gonzales"/>
    <s v="Jay Pee S. Ordoñez"/>
    <s v="Zosimo P. Suyat"/>
    <m/>
    <m/>
    <m/>
    <m/>
    <m/>
    <s v=""/>
    <s v=""/>
    <s v=""/>
    <s v=""/>
    <m/>
    <m/>
    <m/>
    <m/>
    <m/>
  </r>
  <r>
    <x v="3"/>
    <x v="53"/>
    <s v="MBA"/>
    <s v="Bantug"/>
    <n v="1099"/>
    <n v="1299"/>
    <s v="NO TECHNICAL ASSISTANCE CONDUCTED"/>
    <m/>
    <m/>
    <x v="0"/>
    <s v="Jan Emerson C. Gonzales"/>
    <s v="Jay Pee S. Ordoñez"/>
    <s v="Zosimo P. Suyat"/>
    <m/>
    <m/>
    <m/>
    <m/>
    <m/>
    <s v=""/>
    <s v=""/>
    <s v=""/>
    <s v=""/>
    <m/>
    <m/>
    <m/>
    <m/>
    <m/>
  </r>
  <r>
    <x v="3"/>
    <x v="53"/>
    <s v="MBA"/>
    <s v="Bitulok"/>
    <n v="2734"/>
    <n v="2918"/>
    <s v="NO TECHNICAL ASSISTANCE CONDUCTED"/>
    <m/>
    <m/>
    <x v="0"/>
    <s v="Jan Emerson C. Gonzales"/>
    <s v="Jay Pee S. Ordoñez"/>
    <s v="Zosimo P. Suyat"/>
    <m/>
    <m/>
    <m/>
    <m/>
    <m/>
    <s v=""/>
    <s v=""/>
    <s v=""/>
    <s v=""/>
    <m/>
    <m/>
    <m/>
    <m/>
    <m/>
  </r>
  <r>
    <x v="3"/>
    <x v="53"/>
    <s v="MBA"/>
    <s v="Bugnan"/>
    <n v="2528"/>
    <n v="3050"/>
    <s v="NO TECHNICAL ASSISTANCE CONDUCTED"/>
    <m/>
    <m/>
    <x v="0"/>
    <s v="Jan Emerson C. Gonzales"/>
    <s v="Jay Pee S. Ordoñez"/>
    <s v="Zosimo P. Suyat"/>
    <m/>
    <m/>
    <m/>
    <m/>
    <m/>
    <s v=""/>
    <s v=""/>
    <s v=""/>
    <s v=""/>
    <m/>
    <m/>
    <m/>
    <m/>
    <m/>
  </r>
  <r>
    <x v="3"/>
    <x v="53"/>
    <s v="MBA"/>
    <s v="Calabasa"/>
    <n v="1100"/>
    <n v="1110"/>
    <s v="NO TECHNICAL ASSISTANCE CONDUCTED"/>
    <m/>
    <m/>
    <x v="0"/>
    <s v="Jan Emerson C. Gonzales"/>
    <s v="Jay Pee S. Ordoñez"/>
    <s v="Zosimo P. Suyat"/>
    <m/>
    <m/>
    <m/>
    <m/>
    <m/>
    <s v=""/>
    <s v=""/>
    <s v=""/>
    <s v=""/>
    <m/>
    <m/>
    <m/>
    <m/>
    <m/>
  </r>
  <r>
    <x v="3"/>
    <x v="53"/>
    <s v="MBA"/>
    <s v="Camachile"/>
    <n v="510"/>
    <n v="573"/>
    <s v="NO TECHNICAL ASSISTANCE CONDUCTED"/>
    <m/>
    <m/>
    <x v="0"/>
    <s v="Jan Emerson C. Gonzales"/>
    <s v="Jay Pee S. Ordoñez"/>
    <s v="Zosimo P. Suyat"/>
    <m/>
    <m/>
    <m/>
    <m/>
    <m/>
    <s v=""/>
    <s v=""/>
    <s v=""/>
    <s v=""/>
    <m/>
    <m/>
    <m/>
    <m/>
    <m/>
  </r>
  <r>
    <x v="3"/>
    <x v="53"/>
    <s v="MBA"/>
    <s v="Cuyapa"/>
    <n v="2063"/>
    <n v="1892"/>
    <s v="NO TECHNICAL ASSISTANCE CONDUCTED"/>
    <m/>
    <m/>
    <x v="0"/>
    <s v="Jan Emerson C. Gonzales"/>
    <s v="Jay Pee S. Ordoñez"/>
    <s v="Zosimo P. Suyat"/>
    <m/>
    <m/>
    <m/>
    <m/>
    <m/>
    <s v=""/>
    <s v=""/>
    <s v=""/>
    <s v=""/>
    <m/>
    <m/>
    <m/>
    <m/>
    <m/>
  </r>
  <r>
    <x v="3"/>
    <x v="53"/>
    <s v="MBA"/>
    <s v="Ligaya"/>
    <n v="5788"/>
    <n v="6167"/>
    <s v="NO TECHNICAL ASSISTANCE CONDUCTED"/>
    <m/>
    <m/>
    <x v="0"/>
    <s v="Jan Emerson C. Gonzales"/>
    <s v="Jay Pee S. Ordoñez"/>
    <s v="Zosimo P. Suyat"/>
    <m/>
    <m/>
    <m/>
    <m/>
    <m/>
    <s v=""/>
    <s v=""/>
    <s v=""/>
    <s v=""/>
    <m/>
    <m/>
    <m/>
    <m/>
    <m/>
  </r>
  <r>
    <x v="3"/>
    <x v="53"/>
    <s v="MBA"/>
    <s v="Macasandal"/>
    <n v="1345"/>
    <n v="1552"/>
    <s v="NO TECHNICAL ASSISTANCE CONDUCTED"/>
    <m/>
    <m/>
    <x v="0"/>
    <s v="Jan Emerson C. Gonzales"/>
    <s v="Jay Pee S. Ordoñez"/>
    <s v="Zosimo P. Suyat"/>
    <m/>
    <m/>
    <m/>
    <m/>
    <m/>
    <s v=""/>
    <s v=""/>
    <s v=""/>
    <s v=""/>
    <m/>
    <m/>
    <m/>
    <m/>
    <m/>
  </r>
  <r>
    <x v="3"/>
    <x v="53"/>
    <s v="MBA"/>
    <s v="Malinao"/>
    <n v="1896"/>
    <n v="2531"/>
    <s v="NO TECHNICAL ASSISTANCE CONDUCTED"/>
    <m/>
    <m/>
    <x v="0"/>
    <s v="Jan Emerson C. Gonzales"/>
    <s v="Jay Pee S. Ordoñez"/>
    <s v="Zosimo P. Suyat"/>
    <m/>
    <m/>
    <m/>
    <m/>
    <m/>
    <s v=""/>
    <s v=""/>
    <s v=""/>
    <s v=""/>
    <m/>
    <m/>
    <m/>
    <m/>
    <m/>
  </r>
  <r>
    <x v="3"/>
    <x v="53"/>
    <s v="MBA"/>
    <s v="Pantoc"/>
    <n v="1614"/>
    <n v="1837"/>
    <s v="NO TECHNICAL ASSISTANCE CONDUCTED"/>
    <m/>
    <m/>
    <x v="0"/>
    <s v="Jan Emerson C. Gonzales"/>
    <s v="Jay Pee S. Ordoñez"/>
    <s v="Zosimo P. Suyat"/>
    <m/>
    <m/>
    <m/>
    <m/>
    <m/>
    <s v=""/>
    <s v=""/>
    <s v=""/>
    <s v=""/>
    <m/>
    <m/>
    <m/>
    <m/>
    <m/>
  </r>
  <r>
    <x v="3"/>
    <x v="53"/>
    <s v="MBA"/>
    <s v="Pinamalisan"/>
    <n v="649"/>
    <n v="730"/>
    <s v="NO TECHNICAL ASSISTANCE CONDUCTED"/>
    <m/>
    <m/>
    <x v="0"/>
    <s v="Jan Emerson C. Gonzales"/>
    <s v="Jay Pee S. Ordoñez"/>
    <s v="Zosimo P. Suyat"/>
    <m/>
    <m/>
    <m/>
    <m/>
    <m/>
    <s v=""/>
    <s v=""/>
    <s v=""/>
    <s v=""/>
    <m/>
    <m/>
    <m/>
    <m/>
    <m/>
  </r>
  <r>
    <x v="3"/>
    <x v="53"/>
    <s v="MBA"/>
    <s v="Sawmill"/>
    <n v="1476"/>
    <n v="1578"/>
    <s v="NO TECHNICAL ASSISTANCE CONDUCTED"/>
    <m/>
    <m/>
    <x v="0"/>
    <s v="Jan Emerson C. Gonzales"/>
    <s v="Jay Pee S. Ordoñez"/>
    <s v="Zosimo P. Suyat"/>
    <m/>
    <m/>
    <m/>
    <m/>
    <m/>
    <s v=""/>
    <s v=""/>
    <s v=""/>
    <s v=""/>
    <m/>
    <m/>
    <m/>
    <m/>
    <m/>
  </r>
  <r>
    <x v="3"/>
    <x v="53"/>
    <s v="MBA"/>
    <s v="South Poblacion"/>
    <n v="4327"/>
    <n v="4687"/>
    <s v="NO TECHNICAL ASSISTANCE CONDUCTED"/>
    <m/>
    <m/>
    <x v="0"/>
    <s v="Jan Emerson C. Gonzales"/>
    <s v="Jay Pee S. Ordoñez"/>
    <s v="Zosimo P. Suyat"/>
    <m/>
    <m/>
    <m/>
    <m/>
    <m/>
    <s v=""/>
    <s v=""/>
    <s v=""/>
    <s v=""/>
    <m/>
    <m/>
    <m/>
    <m/>
    <m/>
  </r>
  <r>
    <x v="3"/>
    <x v="53"/>
    <s v="MBA"/>
    <s v="Tagumpay"/>
    <n v="2391"/>
    <n v="2570"/>
    <s v="NO TECHNICAL ASSISTANCE CONDUCTED"/>
    <m/>
    <m/>
    <x v="0"/>
    <s v="Jan Emerson C. Gonzales"/>
    <s v="Jay Pee S. Ordoñez"/>
    <s v="Zosimo P. Suyat"/>
    <m/>
    <m/>
    <m/>
    <m/>
    <m/>
    <s v=""/>
    <s v=""/>
    <s v=""/>
    <s v=""/>
    <m/>
    <m/>
    <m/>
    <m/>
    <m/>
  </r>
  <r>
    <x v="3"/>
    <x v="54"/>
    <s v="MBA"/>
    <s v="Balangkare Norte"/>
    <n v="1552"/>
    <n v="1656"/>
    <s v="CONDUCTED TECHNICAL ASSISTANCE"/>
    <n v="2025"/>
    <d v="2025-02-04T00:00:00"/>
    <x v="3"/>
    <s v="Hosannah R. Sabio"/>
    <s v="Jay Pee S. Ordoñez"/>
    <s v="Zosimo P. Suyat"/>
    <s v="R3-2025-004809"/>
    <d v="2025-02-10T00:00:00"/>
    <d v="2025-02-11T00:00:00"/>
    <d v="2025-02-11T00:00:00"/>
    <d v="2025-02-13T00:00:00"/>
    <n v="4"/>
    <n v="1"/>
    <n v="1"/>
    <n v="2"/>
    <s v="Received by Planning"/>
    <s v="MRS"/>
    <s v="OPERATIONAL"/>
    <s v="Technical Assistance"/>
    <m/>
  </r>
  <r>
    <x v="3"/>
    <x v="54"/>
    <s v="MBA"/>
    <s v="Balangkare Sur"/>
    <n v="1524"/>
    <n v="1510"/>
    <s v="CONDUCTED TECHNICAL ASSISTANCE"/>
    <n v="2025"/>
    <d v="2025-02-06T00:00:00"/>
    <x v="3"/>
    <s v="Hosannah R. Sabio"/>
    <s v="Jay Pee S. Ordoñez"/>
    <s v="Zosimo P. Suyat"/>
    <s v="R3-2025-004810"/>
    <d v="2025-02-10T00:00:00"/>
    <d v="2025-02-11T00:00:00"/>
    <d v="2025-02-11T00:00:00"/>
    <d v="2025-02-13T00:00:00"/>
    <n v="2"/>
    <n v="1"/>
    <n v="1"/>
    <n v="2"/>
    <s v="Received by Planning"/>
    <s v="MRS"/>
    <s v="OPERATIONAL"/>
    <s v="Technical Assistance"/>
    <m/>
  </r>
  <r>
    <x v="3"/>
    <x v="54"/>
    <s v="MBA"/>
    <s v="Balaring"/>
    <n v="2000"/>
    <n v="2002"/>
    <s v="CONDUCTED TECHNICAL ASSISTANCE"/>
    <n v="2024"/>
    <d v="2024-01-25T00:00:00"/>
    <x v="0"/>
    <s v="Hosannah R. Sabio"/>
    <s v="Jay Pee S. Ordoñez"/>
    <s v="Zosimo P. Suyat"/>
    <m/>
    <m/>
    <m/>
    <m/>
    <m/>
    <s v=""/>
    <s v=""/>
    <s v=""/>
    <s v=""/>
    <m/>
    <m/>
    <m/>
    <s v="Technical Assistance"/>
    <m/>
  </r>
  <r>
    <x v="3"/>
    <x v="54"/>
    <s v="MBA"/>
    <s v="Belen"/>
    <n v="2216"/>
    <n v="2341"/>
    <s v="NO TECHNICAL ASSISTANCE CONDUCTED"/>
    <m/>
    <m/>
    <x v="0"/>
    <s v="Hosannah R. Sabio"/>
    <s v="Jay Pee S. Ordoñez"/>
    <s v="Zosimo P. Suyat"/>
    <m/>
    <m/>
    <m/>
    <m/>
    <m/>
    <s v=""/>
    <s v=""/>
    <s v=""/>
    <s v=""/>
    <m/>
    <m/>
    <m/>
    <m/>
    <m/>
  </r>
  <r>
    <x v="3"/>
    <x v="54"/>
    <s v="MBA"/>
    <s v="Bravo"/>
    <n v="1040"/>
    <n v="1192"/>
    <s v="NO TECHNICAL ASSISTANCE CONDUCTED"/>
    <m/>
    <m/>
    <x v="0"/>
    <s v="Hosannah R. Sabio"/>
    <s v="Jay Pee S. Ordoñez"/>
    <s v="Zosimo P. Suyat"/>
    <m/>
    <m/>
    <m/>
    <m/>
    <m/>
    <s v=""/>
    <s v=""/>
    <s v=""/>
    <s v=""/>
    <m/>
    <m/>
    <m/>
    <m/>
    <m/>
  </r>
  <r>
    <x v="3"/>
    <x v="54"/>
    <s v="MBA"/>
    <s v="Burol"/>
    <n v="1722"/>
    <n v="1891"/>
    <s v="NO TECHNICAL ASSISTANCE CONDUCTED"/>
    <m/>
    <m/>
    <x v="0"/>
    <s v="Hosannah R. Sabio"/>
    <s v="Jay Pee S. Ordoñez"/>
    <s v="Zosimo P. Suyat"/>
    <m/>
    <m/>
    <m/>
    <m/>
    <m/>
    <s v=""/>
    <s v=""/>
    <s v=""/>
    <s v=""/>
    <m/>
    <m/>
    <m/>
    <m/>
    <m/>
  </r>
  <r>
    <x v="3"/>
    <x v="54"/>
    <s v="MBA"/>
    <s v="Kabulihan"/>
    <n v="2148"/>
    <n v="2465"/>
    <s v="NO TECHNICAL ASSISTANCE CONDUCTED"/>
    <m/>
    <m/>
    <x v="0"/>
    <s v="Hosannah R. Sabio"/>
    <s v="Jay Pee S. Ordoñez"/>
    <s v="Zosimo P. Suyat"/>
    <m/>
    <m/>
    <m/>
    <m/>
    <m/>
    <s v=""/>
    <s v=""/>
    <s v=""/>
    <s v=""/>
    <m/>
    <m/>
    <m/>
    <m/>
    <m/>
  </r>
  <r>
    <x v="3"/>
    <x v="54"/>
    <s v="MBA"/>
    <s v="Mag-asawang Sampaloc"/>
    <n v="1184"/>
    <n v="1243"/>
    <s v="NO TECHNICAL ASSISTANCE CONDUCTED"/>
    <m/>
    <m/>
    <x v="0"/>
    <s v="Hosannah R. Sabio"/>
    <s v="Jay Pee S. Ordoñez"/>
    <s v="Zosimo P. Suyat"/>
    <m/>
    <m/>
    <m/>
    <m/>
    <m/>
    <s v=""/>
    <s v=""/>
    <s v=""/>
    <s v=""/>
    <m/>
    <m/>
    <m/>
    <m/>
    <m/>
  </r>
  <r>
    <x v="3"/>
    <x v="54"/>
    <s v="MBA"/>
    <s v="Manarog"/>
    <n v="1262"/>
    <n v="1302"/>
    <s v="NO TECHNICAL ASSISTANCE CONDUCTED"/>
    <m/>
    <m/>
    <x v="0"/>
    <s v="Hosannah R. Sabio"/>
    <s v="Jay Pee S. Ordoñez"/>
    <s v="Zosimo P. Suyat"/>
    <m/>
    <m/>
    <m/>
    <m/>
    <m/>
    <s v=""/>
    <s v=""/>
    <s v=""/>
    <s v=""/>
    <m/>
    <m/>
    <m/>
    <m/>
    <m/>
  </r>
  <r>
    <x v="3"/>
    <x v="54"/>
    <s v="MBA"/>
    <s v="Mataas na Kahoy"/>
    <n v="5050"/>
    <n v="5582"/>
    <s v="CONDUCTED TECHNICAL ASSISTANCE"/>
    <n v="2025"/>
    <d v="2025-02-04T00:00:00"/>
    <x v="3"/>
    <s v="Hosannah R. Sabio"/>
    <s v="Jay Pee S. Ordoñez"/>
    <s v="Zosimo P. Suyat"/>
    <s v="R3-2025-004808"/>
    <d v="2025-02-10T00:00:00"/>
    <d v="2025-02-11T00:00:00"/>
    <d v="2025-02-11T00:00:00"/>
    <d v="2025-02-13T00:00:00"/>
    <n v="4"/>
    <n v="1"/>
    <n v="1"/>
    <n v="2"/>
    <s v="Received by Planning"/>
    <s v="MRS"/>
    <s v="OPERATIONAL"/>
    <s v="Technical Assistance"/>
    <m/>
  </r>
  <r>
    <x v="3"/>
    <x v="54"/>
    <s v="MBA"/>
    <s v="Panacsac"/>
    <n v="1166"/>
    <n v="1237"/>
    <s v="CONDUCTED TECHNICAL ASSISTANCE"/>
    <n v="2024"/>
    <d v="2024-01-25T00:00:00"/>
    <x v="0"/>
    <s v="Hosannah R. Sabio"/>
    <s v="Jay Pee S. Ordoñez"/>
    <s v="Zosimo P. Suyat"/>
    <m/>
    <m/>
    <m/>
    <m/>
    <m/>
    <s v=""/>
    <s v=""/>
    <s v=""/>
    <s v=""/>
    <m/>
    <m/>
    <m/>
    <s v="Technical Assistance"/>
    <m/>
  </r>
  <r>
    <x v="3"/>
    <x v="54"/>
    <s v="MBA"/>
    <s v="Picaleon"/>
    <n v="1128"/>
    <n v="1160"/>
    <s v="CONDUCTED TECHNICAL ASSISTANCE"/>
    <n v="2024"/>
    <d v="2024-01-25T00:00:00"/>
    <x v="0"/>
    <s v="Hosannah R. Sabio"/>
    <s v="Jay Pee S. Ordoñez"/>
    <s v="Zosimo P. Suyat"/>
    <m/>
    <m/>
    <m/>
    <m/>
    <m/>
    <s v=""/>
    <s v=""/>
    <s v=""/>
    <s v=""/>
    <m/>
    <m/>
    <m/>
    <s v="Technical Assistance"/>
    <m/>
  </r>
  <r>
    <x v="3"/>
    <x v="54"/>
    <s v="MBA"/>
    <s v="Pinahan"/>
    <n v="3546"/>
    <n v="3537"/>
    <s v="CONDUCTED TECHNICAL ASSISTANCE"/>
    <n v="2024"/>
    <d v="2024-04-26T00:00:00"/>
    <x v="0"/>
    <s v="Hosannah R. Sabio"/>
    <s v="Jay Pee S. Ordoñez"/>
    <s v="Zosimo P. Suyat"/>
    <m/>
    <m/>
    <m/>
    <m/>
    <m/>
    <s v=""/>
    <s v=""/>
    <s v=""/>
    <s v=""/>
    <m/>
    <m/>
    <m/>
    <s v="Technical Assistance"/>
    <m/>
  </r>
  <r>
    <x v="3"/>
    <x v="54"/>
    <s v="MBA"/>
    <s v="Platero"/>
    <n v="3367"/>
    <n v="3787"/>
    <s v="NO TECHNICAL ASSISTANCE CONDUCTED"/>
    <m/>
    <m/>
    <x v="0"/>
    <s v="Hosannah R. Sabio"/>
    <s v="Jay Pee S. Ordoñez"/>
    <s v="Zosimo P. Suyat"/>
    <m/>
    <m/>
    <m/>
    <m/>
    <m/>
    <s v=""/>
    <s v=""/>
    <s v=""/>
    <s v=""/>
    <m/>
    <m/>
    <m/>
    <m/>
    <m/>
  </r>
  <r>
    <x v="3"/>
    <x v="54"/>
    <s v="MBA"/>
    <s v="Poblacion"/>
    <n v="3670"/>
    <n v="3866"/>
    <s v="CONDUCTED TECHNICAL ASSISTANCE"/>
    <n v="2024"/>
    <d v="2024-04-26T00:00:00"/>
    <x v="0"/>
    <s v="Hosannah R. Sabio"/>
    <s v="Jay Pee S. Ordoñez"/>
    <s v="Zosimo P. Suyat"/>
    <m/>
    <m/>
    <m/>
    <m/>
    <m/>
    <s v=""/>
    <s v=""/>
    <s v=""/>
    <s v=""/>
    <m/>
    <m/>
    <m/>
    <s v="Technical Assistance"/>
    <m/>
  </r>
  <r>
    <x v="3"/>
    <x v="54"/>
    <s v="MBA"/>
    <s v="Pula"/>
    <n v="674"/>
    <n v="731"/>
    <s v="NO TECHNICAL ASSISTANCE CONDUCTED"/>
    <m/>
    <m/>
    <x v="0"/>
    <s v="Hosannah R. Sabio"/>
    <s v="Jay Pee S. Ordoñez"/>
    <s v="Zosimo P. Suyat"/>
    <m/>
    <m/>
    <m/>
    <m/>
    <m/>
    <s v=""/>
    <s v=""/>
    <s v=""/>
    <s v=""/>
    <m/>
    <m/>
    <m/>
    <m/>
    <m/>
  </r>
  <r>
    <x v="3"/>
    <x v="54"/>
    <s v="MBA"/>
    <s v="Pulong Singkamas"/>
    <n v="618"/>
    <n v="624"/>
    <s v="CONDUCTED TECHNICAL ASSISTANCE"/>
    <n v="2024"/>
    <d v="2024-04-26T00:00:00"/>
    <x v="0"/>
    <s v="Hosannah R. Sabio"/>
    <s v="Jay Pee S. Ordoñez"/>
    <s v="Zosimo P. Suyat"/>
    <m/>
    <m/>
    <m/>
    <m/>
    <m/>
    <s v=""/>
    <s v=""/>
    <s v=""/>
    <s v=""/>
    <m/>
    <m/>
    <m/>
    <s v="Technical Assistance"/>
    <m/>
  </r>
  <r>
    <x v="3"/>
    <x v="54"/>
    <s v="MBA"/>
    <s v="Sapang Bato"/>
    <n v="1476"/>
    <n v="1538"/>
    <s v="NO TECHNICAL ASSISTANCE CONDUCTED"/>
    <m/>
    <m/>
    <x v="0"/>
    <s v="Hosannah R. Sabio"/>
    <s v="Jay Pee S. Ordoñez"/>
    <s v="Zosimo P. Suyat"/>
    <m/>
    <m/>
    <m/>
    <m/>
    <m/>
    <s v=""/>
    <s v=""/>
    <s v=""/>
    <s v=""/>
    <m/>
    <m/>
    <m/>
    <m/>
    <m/>
  </r>
  <r>
    <x v="3"/>
    <x v="54"/>
    <s v="MBA"/>
    <s v="Talabutab Norte"/>
    <n v="3872"/>
    <n v="4054"/>
    <s v="CONDUCTED TECHNICAL ASSISTANCE"/>
    <n v="2024"/>
    <d v="2024-04-26T00:00:00"/>
    <x v="0"/>
    <s v="Hosannah R. Sabio"/>
    <s v="Jay Pee S. Ordoñez"/>
    <s v="Zosimo P. Suyat"/>
    <m/>
    <m/>
    <m/>
    <m/>
    <m/>
    <s v=""/>
    <s v=""/>
    <s v=""/>
    <s v=""/>
    <m/>
    <m/>
    <m/>
    <s v="Technical Assistance"/>
    <m/>
  </r>
  <r>
    <x v="3"/>
    <x v="54"/>
    <s v="MBA"/>
    <s v="Talabutab Sur"/>
    <n v="2441"/>
    <n v="2593"/>
    <s v="CONDUCTED TECHNICAL ASSISTANCE"/>
    <n v="2025"/>
    <d v="2025-02-06T00:00:00"/>
    <x v="3"/>
    <s v="Hosannah R. Sabio"/>
    <s v="Jay Pee S. Ordoñez"/>
    <s v="Zosimo P. Suyat"/>
    <s v="R3-2025-004811"/>
    <d v="2025-02-10T00:00:00"/>
    <d v="2025-02-11T00:00:00"/>
    <d v="2025-02-11T00:00:00"/>
    <d v="2025-02-13T00:00:00"/>
    <n v="2"/>
    <n v="1"/>
    <n v="1"/>
    <n v="2"/>
    <s v="Received by Planning"/>
    <s v="MRS"/>
    <s v="OPERATIONAL"/>
    <s v="Technical Assistance"/>
    <m/>
  </r>
  <r>
    <x v="3"/>
    <x v="55"/>
    <s v="MBA"/>
    <s v="Bago"/>
    <n v="3495"/>
    <n v="4046"/>
    <s v="NO TECHNICAL ASSISTANCE CONDUCTED"/>
    <m/>
    <m/>
    <x v="0"/>
    <s v="Jan Emerson C. Gonzales"/>
    <s v="Jay Pee S. Ordoñez"/>
    <s v="Zosimo P. Suyat"/>
    <m/>
    <m/>
    <m/>
    <m/>
    <m/>
    <s v=""/>
    <s v=""/>
    <s v=""/>
    <s v=""/>
    <m/>
    <m/>
    <m/>
    <m/>
    <m/>
  </r>
  <r>
    <x v="3"/>
    <x v="55"/>
    <s v="MBA"/>
    <s v="Concepcion"/>
    <n v="6695"/>
    <n v="6887"/>
    <s v="NO TECHNICAL ASSISTANCE CONDUCTED"/>
    <m/>
    <m/>
    <x v="0"/>
    <s v="Jan Emerson C. Gonzales"/>
    <s v="Jay Pee S. Ordoñez"/>
    <s v="Zosimo P. Suyat"/>
    <m/>
    <m/>
    <m/>
    <m/>
    <m/>
    <s v=""/>
    <s v=""/>
    <s v=""/>
    <s v=""/>
    <m/>
    <m/>
    <m/>
    <m/>
    <m/>
  </r>
  <r>
    <x v="3"/>
    <x v="55"/>
    <s v="MBA"/>
    <s v="Nazareth"/>
    <n v="3599"/>
    <n v="5376"/>
    <s v="NO TECHNICAL ASSISTANCE CONDUCTED"/>
    <m/>
    <m/>
    <x v="0"/>
    <s v="Jan Emerson C. Gonzales"/>
    <s v="Jay Pee S. Ordoñez"/>
    <s v="Zosimo P. Suyat"/>
    <m/>
    <m/>
    <m/>
    <m/>
    <m/>
    <s v=""/>
    <s v=""/>
    <s v=""/>
    <s v=""/>
    <m/>
    <m/>
    <m/>
    <m/>
    <m/>
  </r>
  <r>
    <x v="3"/>
    <x v="55"/>
    <s v="MBA"/>
    <s v="Padolina"/>
    <n v="4567"/>
    <n v="5249"/>
    <s v="NO TECHNICAL ASSISTANCE CONDUCTED"/>
    <m/>
    <m/>
    <x v="0"/>
    <s v="Jan Emerson C. Gonzales"/>
    <s v="Jay Pee S. Ordoñez"/>
    <s v="Zosimo P. Suyat"/>
    <m/>
    <m/>
    <m/>
    <m/>
    <m/>
    <s v=""/>
    <s v=""/>
    <s v=""/>
    <s v=""/>
    <m/>
    <m/>
    <m/>
    <m/>
    <m/>
  </r>
  <r>
    <x v="3"/>
    <x v="55"/>
    <s v="MBA"/>
    <s v="Palale"/>
    <n v="1387"/>
    <n v="1513"/>
    <s v="NO TECHNICAL ASSISTANCE CONDUCTED"/>
    <m/>
    <m/>
    <x v="0"/>
    <s v="Jan Emerson C. Gonzales"/>
    <s v="Jay Pee S. Ordoñez"/>
    <s v="Zosimo P. Suyat"/>
    <m/>
    <m/>
    <m/>
    <m/>
    <m/>
    <s v=""/>
    <s v=""/>
    <s v=""/>
    <s v=""/>
    <m/>
    <m/>
    <m/>
    <m/>
    <m/>
  </r>
  <r>
    <x v="3"/>
    <x v="55"/>
    <s v="MBA"/>
    <s v="Pias"/>
    <n v="6232"/>
    <n v="7578"/>
    <s v="NO TECHNICAL ASSISTANCE CONDUCTED"/>
    <m/>
    <m/>
    <x v="0"/>
    <s v="Jan Emerson C. Gonzales"/>
    <s v="Jay Pee S. Ordoñez"/>
    <s v="Zosimo P. Suyat"/>
    <m/>
    <m/>
    <m/>
    <m/>
    <m/>
    <s v=""/>
    <s v=""/>
    <s v=""/>
    <s v=""/>
    <m/>
    <m/>
    <m/>
    <m/>
    <m/>
  </r>
  <r>
    <x v="3"/>
    <x v="55"/>
    <s v="MBA"/>
    <s v="Poblacion Central"/>
    <n v="1611"/>
    <n v="1778"/>
    <s v="NO TECHNICAL ASSISTANCE CONDUCTED"/>
    <m/>
    <m/>
    <x v="0"/>
    <s v="Jan Emerson C. Gonzales"/>
    <s v="Jay Pee S. Ordoñez"/>
    <s v="Zosimo P. Suyat"/>
    <m/>
    <m/>
    <m/>
    <m/>
    <m/>
    <s v=""/>
    <s v=""/>
    <s v=""/>
    <s v=""/>
    <m/>
    <m/>
    <m/>
    <m/>
    <m/>
  </r>
  <r>
    <x v="3"/>
    <x v="55"/>
    <s v="MBA"/>
    <s v="Poblacion East"/>
    <n v="1506"/>
    <n v="1543"/>
    <s v="NO TECHNICAL ASSISTANCE CONDUCTED"/>
    <m/>
    <m/>
    <x v="0"/>
    <s v="Jan Emerson C. Gonzales"/>
    <s v="Jay Pee S. Ordoñez"/>
    <s v="Zosimo P. Suyat"/>
    <m/>
    <m/>
    <m/>
    <m/>
    <m/>
    <s v=""/>
    <s v=""/>
    <s v=""/>
    <s v=""/>
    <m/>
    <m/>
    <m/>
    <m/>
    <m/>
  </r>
  <r>
    <x v="3"/>
    <x v="55"/>
    <s v="MBA"/>
    <s v="Poblacion West"/>
    <n v="1751"/>
    <n v="2012"/>
    <s v="NO TECHNICAL ASSISTANCE CONDUCTED"/>
    <m/>
    <m/>
    <x v="0"/>
    <s v="Jan Emerson C. Gonzales"/>
    <s v="Jay Pee S. Ordoñez"/>
    <s v="Zosimo P. Suyat"/>
    <m/>
    <m/>
    <m/>
    <m/>
    <m/>
    <s v=""/>
    <s v=""/>
    <s v=""/>
    <s v=""/>
    <m/>
    <m/>
    <m/>
    <m/>
    <m/>
  </r>
  <r>
    <x v="3"/>
    <x v="55"/>
    <s v="MBA"/>
    <s v="Pulong Matong"/>
    <n v="1611"/>
    <n v="1788"/>
    <s v="NO TECHNICAL ASSISTANCE CONDUCTED"/>
    <m/>
    <m/>
    <x v="0"/>
    <s v="Jan Emerson C. Gonzales"/>
    <s v="Jay Pee S. Ordoñez"/>
    <s v="Zosimo P. Suyat"/>
    <m/>
    <m/>
    <m/>
    <m/>
    <m/>
    <s v=""/>
    <s v=""/>
    <s v=""/>
    <s v=""/>
    <m/>
    <m/>
    <m/>
    <m/>
    <m/>
  </r>
  <r>
    <x v="3"/>
    <x v="55"/>
    <s v="MBA"/>
    <s v="Rio Chico"/>
    <n v="9608"/>
    <n v="11240"/>
    <s v="NO TECHNICAL ASSISTANCE CONDUCTED"/>
    <m/>
    <m/>
    <x v="0"/>
    <s v="Jan Emerson C. Gonzales"/>
    <s v="Jay Pee S. Ordoñez"/>
    <s v="Zosimo P. Suyat"/>
    <m/>
    <m/>
    <m/>
    <m/>
    <m/>
    <s v=""/>
    <s v=""/>
    <s v=""/>
    <s v=""/>
    <m/>
    <m/>
    <m/>
    <m/>
    <m/>
  </r>
  <r>
    <x v="3"/>
    <x v="55"/>
    <s v="MBA"/>
    <s v="Sampaguita"/>
    <n v="1788"/>
    <n v="1834"/>
    <s v="NO TECHNICAL ASSISTANCE CONDUCTED"/>
    <m/>
    <m/>
    <x v="0"/>
    <s v="Jan Emerson C. Gonzales"/>
    <s v="Jay Pee S. Ordoñez"/>
    <s v="Zosimo P. Suyat"/>
    <m/>
    <m/>
    <m/>
    <m/>
    <m/>
    <s v=""/>
    <s v=""/>
    <s v=""/>
    <s v=""/>
    <m/>
    <m/>
    <m/>
    <m/>
    <m/>
  </r>
  <r>
    <x v="3"/>
    <x v="55"/>
    <s v="MBA"/>
    <s v="San Pedro (Pob.)"/>
    <n v="4015"/>
    <n v="5081"/>
    <s v="NO TECHNICAL ASSISTANCE CONDUCTED"/>
    <m/>
    <m/>
    <x v="0"/>
    <s v="Jan Emerson C. Gonzales"/>
    <s v="Jay Pee S. Ordoñez"/>
    <s v="Zosimo P. Suyat"/>
    <m/>
    <m/>
    <m/>
    <m/>
    <m/>
    <s v=""/>
    <s v=""/>
    <s v=""/>
    <s v=""/>
    <m/>
    <m/>
    <m/>
    <m/>
    <m/>
  </r>
  <r>
    <x v="3"/>
    <x v="56"/>
    <s v="MBA"/>
    <s v="Narvacan II"/>
    <n v="1842"/>
    <n v="1929"/>
    <s v="CONDUCTED TECHNICAL ASSISTANCE"/>
    <n v="2025"/>
    <d v="2025-09-09T00:00:00"/>
    <x v="7"/>
    <s v="Aser A. Inocencio, Jr."/>
    <s v="Jay Pee S. Ordoñez"/>
    <s v="Zosimo P. Suyat"/>
    <s v="R3-2025-031751"/>
    <d v="2025-09-18T00:00:00"/>
    <d v="2025-09-19T00:00:00"/>
    <d v="2025-09-19T00:00:00"/>
    <d v="2025-09-19T00:00:00"/>
    <n v="7"/>
    <n v="1"/>
    <n v="1"/>
    <n v="1"/>
    <s v="Received by Planning"/>
    <s v="MRS"/>
    <s v="OPERATIONAL"/>
    <s v="Technical Assistance"/>
    <m/>
  </r>
  <r>
    <x v="3"/>
    <x v="56"/>
    <s v="MBA"/>
    <s v="Agcano"/>
    <n v="292"/>
    <n v="352"/>
    <s v="NO TECHNICAL ASSISTANCE CONDUCTED"/>
    <m/>
    <m/>
    <x v="0"/>
    <s v="Aser A. Inocencio, Jr."/>
    <s v="Jay Pee S. Ordoñez"/>
    <s v="Zosimo P. Suyat"/>
    <m/>
    <m/>
    <m/>
    <m/>
    <m/>
    <s v=""/>
    <s v=""/>
    <s v=""/>
    <s v=""/>
    <m/>
    <m/>
    <m/>
    <m/>
    <m/>
  </r>
  <r>
    <x v="3"/>
    <x v="56"/>
    <s v="MBA"/>
    <s v="Ayos Lomboy"/>
    <n v="643"/>
    <n v="663"/>
    <s v="CONDUCTED TECHNICAL ASSISTANCE"/>
    <n v="2024"/>
    <d v="2024-09-26T00:00:00"/>
    <x v="0"/>
    <s v="Aser A. Inocencio, Jr."/>
    <s v="Jay Pee S. Ordoñez"/>
    <s v="Zosimo P. Suyat"/>
    <m/>
    <m/>
    <m/>
    <m/>
    <m/>
    <s v=""/>
    <s v=""/>
    <s v=""/>
    <s v=""/>
    <m/>
    <s v="MRF"/>
    <s v="OPERATIONAL"/>
    <s v="Technical Assistance"/>
    <m/>
  </r>
  <r>
    <x v="3"/>
    <x v="56"/>
    <s v="MBA"/>
    <s v="Bacayao"/>
    <n v="2757"/>
    <n v="2773"/>
    <s v="NO TECHNICAL ASSISTANCE CONDUCTED"/>
    <m/>
    <m/>
    <x v="0"/>
    <s v="Aser A. Inocencio, Jr."/>
    <s v="Jay Pee S. Ordoñez"/>
    <s v="Zosimo P. Suyat"/>
    <m/>
    <m/>
    <m/>
    <m/>
    <m/>
    <s v=""/>
    <s v=""/>
    <s v=""/>
    <s v=""/>
    <m/>
    <m/>
    <m/>
    <m/>
    <m/>
  </r>
  <r>
    <x v="3"/>
    <x v="56"/>
    <s v="MBA"/>
    <s v="Bagong Barrio"/>
    <n v="1157"/>
    <n v="1239"/>
    <s v="CONDUCTED TECHNICAL ASSISTANCE"/>
    <n v="2025"/>
    <d v="2025-08-07T00:00:00"/>
    <x v="9"/>
    <s v="Aser A. Inocencio, Jr."/>
    <s v="Jan Emerson C. Gonzales"/>
    <s v="Zosimo P. Suyat"/>
    <s v="R3-2025-027705"/>
    <d v="2025-08-18T00:00:00"/>
    <d v="2025-08-18T00:00:00"/>
    <d v="2025-08-19T00:00:00"/>
    <d v="2025-08-19T00:00:00"/>
    <n v="7"/>
    <n v="1"/>
    <n v="1"/>
    <n v="1"/>
    <s v="Received by Planning"/>
    <s v="MRS"/>
    <s v="OPERATIONAL"/>
    <s v="Technical Assistance"/>
    <m/>
  </r>
  <r>
    <x v="3"/>
    <x v="56"/>
    <s v="MBA"/>
    <s v="Balbalino"/>
    <n v="606"/>
    <n v="575"/>
    <s v="CONDUCTED TECHNICAL ASSISTANCE"/>
    <n v="2025"/>
    <d v="2025-03-13T00:00:00"/>
    <x v="1"/>
    <s v="Aser A. Inocencio, Jr."/>
    <s v="Jay Pee S. Ordoñez"/>
    <s v="Zosimo P. Suyat"/>
    <s v="R3-2025-009115"/>
    <d v="2025-03-18T00:00:00"/>
    <d v="2025-03-18T00:00:00"/>
    <d v="2025-03-18T00:00:00"/>
    <d v="2025-03-19T00:00:00"/>
    <n v="3"/>
    <n v="1"/>
    <n v="1"/>
    <n v="1"/>
    <s v="Received by Planning"/>
    <s v="MRS"/>
    <s v="OPERATIONAL"/>
    <s v="Technical Assistance"/>
    <m/>
  </r>
  <r>
    <x v="3"/>
    <x v="56"/>
    <s v="MBA"/>
    <s v="Balingog East"/>
    <n v="1779"/>
    <n v="1945"/>
    <s v="NO TECHNICAL ASSISTANCE CONDUCTED"/>
    <m/>
    <m/>
    <x v="0"/>
    <s v="Aser A. Inocencio, Jr."/>
    <s v="Jay Pee S. Ordoñez"/>
    <s v="Zosimo P. Suyat"/>
    <m/>
    <m/>
    <m/>
    <m/>
    <m/>
    <s v=""/>
    <s v=""/>
    <s v=""/>
    <s v=""/>
    <m/>
    <m/>
    <m/>
    <m/>
    <m/>
  </r>
  <r>
    <x v="3"/>
    <x v="56"/>
    <s v="MBA"/>
    <s v="Balingog West"/>
    <n v="677"/>
    <n v="709"/>
    <s v="NO TECHNICAL ASSISTANCE CONDUCTED"/>
    <m/>
    <m/>
    <x v="0"/>
    <s v="Aser A. Inocencio, Jr."/>
    <s v="Jay Pee S. Ordoñez"/>
    <s v="Zosimo P. Suyat"/>
    <m/>
    <m/>
    <m/>
    <m/>
    <m/>
    <s v=""/>
    <s v=""/>
    <s v=""/>
    <s v=""/>
    <m/>
    <m/>
    <m/>
    <m/>
    <m/>
  </r>
  <r>
    <x v="3"/>
    <x v="56"/>
    <s v="MBA"/>
    <s v="Banitan"/>
    <n v="1498"/>
    <n v="1407"/>
    <s v="CONDUCTED TECHNICAL ASSISTANCE"/>
    <n v="2025"/>
    <d v="2025-04-15T00:00:00"/>
    <x v="4"/>
    <s v="Aser A. Inocencio, Jr."/>
    <s v="Jan Emerson C. Gonzales"/>
    <s v="Zosimo P. Suyat"/>
    <s v="R3-2025-013405"/>
    <d v="2025-04-21T00:00:00"/>
    <d v="2025-04-22T00:00:00"/>
    <d v="2025-04-22T00:00:00"/>
    <d v="2025-04-22T00:00:00"/>
    <n v="4"/>
    <n v="1"/>
    <n v="1"/>
    <n v="1"/>
    <s v="Received by Planning"/>
    <s v="MRS"/>
    <s v="OPERATIONAL"/>
    <s v="Technical Assistance"/>
    <m/>
  </r>
  <r>
    <x v="3"/>
    <x v="56"/>
    <s v="MBA"/>
    <s v="Bantug"/>
    <n v="3361"/>
    <n v="4396"/>
    <s v="CONDUCTED TECHNICAL ASSISTANCE"/>
    <n v="2024"/>
    <d v="2024-04-11T00:00:00"/>
    <x v="0"/>
    <s v="Aser A. Inocencio, Jr."/>
    <s v="Jay Pee S. Ordoñez"/>
    <s v="Zosimo P. Suyat"/>
    <m/>
    <m/>
    <m/>
    <m/>
    <m/>
    <s v=""/>
    <s v=""/>
    <s v=""/>
    <s v=""/>
    <m/>
    <m/>
    <m/>
    <s v="Technical Assistance"/>
    <m/>
  </r>
  <r>
    <x v="3"/>
    <x v="56"/>
    <s v="MBA"/>
    <s v="Bulakid"/>
    <n v="496"/>
    <n v="557"/>
    <s v="NO TECHNICAL ASSISTANCE CONDUCTED"/>
    <m/>
    <m/>
    <x v="0"/>
    <s v="Aser A. Inocencio, Jr."/>
    <s v="Jay Pee S. Ordoñez"/>
    <s v="Zosimo P. Suyat"/>
    <m/>
    <m/>
    <m/>
    <m/>
    <m/>
    <s v=""/>
    <s v=""/>
    <s v=""/>
    <s v=""/>
    <m/>
    <m/>
    <m/>
    <m/>
    <m/>
  </r>
  <r>
    <x v="3"/>
    <x v="56"/>
    <s v="MBA"/>
    <s v="Bunol"/>
    <n v="3364"/>
    <n v="3612"/>
    <s v="CONDUCTED TECHNICAL ASSISTANCE"/>
    <n v="2025"/>
    <d v="2025-04-23T00:00:00"/>
    <x v="6"/>
    <s v="Aser A. Inocencio, Jr."/>
    <s v="Jay Pee S. Ordoñez"/>
    <s v="Zosimo P. Suyat"/>
    <s v="R3-2025-014177"/>
    <d v="2025-04-23T00:00:00"/>
    <d v="2025-05-02T00:00:00"/>
    <d v="2025-05-05T00:00:00"/>
    <d v="2025-04-14T00:00:00"/>
    <n v="1"/>
    <n v="7"/>
    <n v="1"/>
    <n v="1"/>
    <s v="Received by Planning"/>
    <s v="MRS"/>
    <s v="OPERATIONAL"/>
    <s v="Technical Assistance"/>
    <m/>
  </r>
  <r>
    <x v="3"/>
    <x v="56"/>
    <s v="MBA"/>
    <s v="Caballero"/>
    <n v="1905"/>
    <n v="2234"/>
    <s v="NO TECHNICAL ASSISTANCE CONDUCTED"/>
    <m/>
    <m/>
    <x v="0"/>
    <s v="Aser A. Inocencio, Jr."/>
    <s v="Jay Pee S. Ordoñez"/>
    <s v="Zosimo P. Suyat"/>
    <m/>
    <m/>
    <m/>
    <m/>
    <m/>
    <s v=""/>
    <s v=""/>
    <s v=""/>
    <s v=""/>
    <m/>
    <m/>
    <m/>
    <m/>
    <m/>
  </r>
  <r>
    <x v="3"/>
    <x v="56"/>
    <s v="MBA"/>
    <s v="Cabaruan"/>
    <n v="1650"/>
    <n v="1830"/>
    <s v="CONDUCTED TECHNICAL ASSISTANCE"/>
    <n v="2025"/>
    <d v="2025-02-20T00:00:00"/>
    <x v="1"/>
    <s v="Aser A. Inocencio, Jr."/>
    <s v="Jay Pee S. Ordoñez"/>
    <s v="Zosimo P. Suyat"/>
    <s v="R3-2025-006649"/>
    <d v="2025-02-25T00:00:00"/>
    <d v="2025-02-25T00:00:00"/>
    <d v="2025-02-26T00:00:00"/>
    <d v="2025-03-03T00:00:00"/>
    <n v="3"/>
    <n v="1"/>
    <n v="1"/>
    <n v="3"/>
    <s v="Received by Planning"/>
    <s v="MRS"/>
    <s v="OPERATIONAL"/>
    <s v="Technical Assistance"/>
    <m/>
  </r>
  <r>
    <x v="3"/>
    <x v="56"/>
    <s v="MBA"/>
    <s v="Caingin Tabing Ilog"/>
    <n v="1186"/>
    <n v="871"/>
    <s v="NO TECHNICAL ASSISTANCE CONDUCTED"/>
    <m/>
    <m/>
    <x v="0"/>
    <s v="Aser A. Inocencio, Jr."/>
    <s v="Jay Pee S. Ordoñez"/>
    <s v="Zosimo P. Suyat"/>
    <m/>
    <m/>
    <m/>
    <m/>
    <m/>
    <s v=""/>
    <s v=""/>
    <s v=""/>
    <s v=""/>
    <m/>
    <m/>
    <m/>
    <m/>
    <m/>
  </r>
  <r>
    <x v="3"/>
    <x v="56"/>
    <s v="MBA"/>
    <s v="Calem"/>
    <n v="831"/>
    <n v="849"/>
    <s v="NO TECHNICAL ASSISTANCE CONDUCTED"/>
    <m/>
    <m/>
    <x v="0"/>
    <s v="Aser A. Inocencio, Jr."/>
    <s v="Jay Pee S. Ordoñez"/>
    <s v="Zosimo P. Suyat"/>
    <m/>
    <m/>
    <m/>
    <m/>
    <m/>
    <s v=""/>
    <s v=""/>
    <s v=""/>
    <s v=""/>
    <m/>
    <m/>
    <m/>
    <m/>
    <m/>
  </r>
  <r>
    <x v="3"/>
    <x v="56"/>
    <s v="MBA"/>
    <s v="Camiling"/>
    <n v="1912"/>
    <n v="1983"/>
    <s v="NO TECHNICAL ASSISTANCE CONDUCTED"/>
    <m/>
    <m/>
    <x v="0"/>
    <s v="Aser A. Inocencio, Jr."/>
    <s v="Jay Pee S. Ordoñez"/>
    <s v="Zosimo P. Suyat"/>
    <m/>
    <m/>
    <m/>
    <m/>
    <m/>
    <s v=""/>
    <s v=""/>
    <s v=""/>
    <s v=""/>
    <m/>
    <m/>
    <m/>
    <m/>
    <m/>
  </r>
  <r>
    <x v="3"/>
    <x v="56"/>
    <s v="MBA"/>
    <s v="Cardinal"/>
    <n v="557"/>
    <n v="573"/>
    <s v="NO TECHNICAL ASSISTANCE CONDUCTED"/>
    <m/>
    <m/>
    <x v="0"/>
    <s v="Aser A. Inocencio, Jr."/>
    <s v="Jay Pee S. Ordoñez"/>
    <s v="Zosimo P. Suyat"/>
    <m/>
    <m/>
    <m/>
    <m/>
    <m/>
    <s v=""/>
    <s v=""/>
    <s v=""/>
    <s v=""/>
    <m/>
    <m/>
    <m/>
    <m/>
    <m/>
  </r>
  <r>
    <x v="3"/>
    <x v="56"/>
    <s v="MBA"/>
    <s v="Casongsong"/>
    <n v="1583"/>
    <n v="1657"/>
    <s v="CONDUCTED TECHNICAL ASSISTANCE"/>
    <n v="2025"/>
    <d v="2025-04-04T00:00:00"/>
    <x v="4"/>
    <s v="Aser A. Inocencio, Jr."/>
    <s v="Jay Pee S. Ordoñez"/>
    <s v="Zosimo P. Suyat"/>
    <s v="R3-2025-011889"/>
    <d v="2025-04-08T00:00:00"/>
    <d v="2025-04-10T00:00:00"/>
    <d v="2025-04-10T00:00:00"/>
    <d v="2025-04-10T00:00:00"/>
    <n v="2"/>
    <n v="2"/>
    <n v="1"/>
    <n v="1"/>
    <s v="Received by Planning"/>
    <s v="MRS"/>
    <s v="OPERATIONAL"/>
    <s v="Technical Assistance"/>
    <m/>
  </r>
  <r>
    <x v="3"/>
    <x v="56"/>
    <s v="MBA"/>
    <s v="Catimon"/>
    <n v="1316"/>
    <n v="1442"/>
    <s v="NO TECHNICAL ASSISTANCE CONDUCTED"/>
    <m/>
    <m/>
    <x v="0"/>
    <s v="Aser A. Inocencio, Jr."/>
    <s v="Jay Pee S. Ordoñez"/>
    <s v="Zosimo P. Suyat"/>
    <m/>
    <m/>
    <m/>
    <m/>
    <m/>
    <s v=""/>
    <s v=""/>
    <s v=""/>
    <s v=""/>
    <m/>
    <m/>
    <m/>
    <m/>
    <m/>
  </r>
  <r>
    <x v="3"/>
    <x v="56"/>
    <s v="MBA"/>
    <s v="Cavite"/>
    <n v="3469"/>
    <n v="4069"/>
    <s v="CONDUCTED TECHNICAL ASSISTANCE"/>
    <n v="2024"/>
    <d v="2024-09-26T00:00:00"/>
    <x v="0"/>
    <s v="Aser A. Inocencio, Jr."/>
    <s v="Jay Pee S. Ordoñez"/>
    <s v="Zosimo P. Suyat"/>
    <m/>
    <m/>
    <m/>
    <m/>
    <m/>
    <s v=""/>
    <s v=""/>
    <s v=""/>
    <s v=""/>
    <m/>
    <s v="MRF"/>
    <s v="OPERATIONAL"/>
    <s v="Technical Assistance"/>
    <m/>
  </r>
  <r>
    <x v="3"/>
    <x v="56"/>
    <s v="MBA"/>
    <s v="Cawayan Bugtong"/>
    <n v="4028"/>
    <n v="4593"/>
    <s v="NO TECHNICAL ASSISTANCE CONDUCTED"/>
    <m/>
    <m/>
    <x v="0"/>
    <s v="Aser A. Inocencio, Jr."/>
    <s v="Jay Pee S. Ordoñez"/>
    <s v="Zosimo P. Suyat"/>
    <m/>
    <m/>
    <m/>
    <m/>
    <m/>
    <s v=""/>
    <s v=""/>
    <s v=""/>
    <s v=""/>
    <m/>
    <m/>
    <m/>
    <m/>
    <m/>
  </r>
  <r>
    <x v="3"/>
    <x v="56"/>
    <s v="MBA"/>
    <s v="Consuelo"/>
    <n v="829"/>
    <n v="846"/>
    <s v="CONDUCTED TECHNICAL ASSISTANCE"/>
    <n v="2025"/>
    <d v="2025-05-20T00:00:00"/>
    <x v="10"/>
    <s v="Aser A. Inocencio, Jr."/>
    <s v="Jay Pee S. Ordoñez"/>
    <s v="Zosimo P. Suyat"/>
    <s v="R3-2025-017540"/>
    <d v="2025-05-25T00:00:00"/>
    <d v="2025-05-26T00:00:00"/>
    <d v="2025-05-27T00:00:00"/>
    <d v="2025-05-28T00:00:00"/>
    <n v="3"/>
    <n v="1"/>
    <n v="1"/>
    <n v="1"/>
    <s v="Received by Planning"/>
    <s v="MRS"/>
    <s v="OPERATIONAL"/>
    <s v="Technical Assistance"/>
    <m/>
  </r>
  <r>
    <x v="3"/>
    <x v="56"/>
    <s v="MBA"/>
    <s v="Culong"/>
    <n v="2268"/>
    <n v="2444"/>
    <s v="NO TECHNICAL ASSISTANCE CONDUCTED"/>
    <m/>
    <m/>
    <x v="0"/>
    <s v="Aser A. Inocencio, Jr."/>
    <s v="Jay Pee S. Ordoñez"/>
    <s v="Zosimo P. Suyat"/>
    <m/>
    <m/>
    <m/>
    <m/>
    <m/>
    <s v=""/>
    <s v=""/>
    <s v=""/>
    <s v=""/>
    <m/>
    <m/>
    <m/>
    <m/>
    <m/>
  </r>
  <r>
    <x v="3"/>
    <x v="56"/>
    <s v="MBA"/>
    <s v="Escano"/>
    <n v="378"/>
    <n v="446"/>
    <s v="NO TECHNICAL ASSISTANCE CONDUCTED"/>
    <m/>
    <m/>
    <x v="0"/>
    <s v="Aser A. Inocencio, Jr."/>
    <s v="Jay Pee S. Ordoñez"/>
    <s v="Zosimo P. Suyat"/>
    <m/>
    <m/>
    <m/>
    <m/>
    <m/>
    <s v=""/>
    <s v=""/>
    <s v=""/>
    <s v=""/>
    <m/>
    <m/>
    <m/>
    <m/>
    <m/>
  </r>
  <r>
    <x v="3"/>
    <x v="56"/>
    <s v="MBA"/>
    <s v="Faigal"/>
    <n v="1092"/>
    <n v="1246"/>
    <s v="NO TECHNICAL ASSISTANCE CONDUCTED"/>
    <m/>
    <m/>
    <x v="0"/>
    <s v="Aser A. Inocencio, Jr."/>
    <s v="Jay Pee S. Ordoñez"/>
    <s v="Zosimo P. Suyat"/>
    <m/>
    <m/>
    <m/>
    <m/>
    <m/>
    <s v=""/>
    <s v=""/>
    <s v=""/>
    <s v=""/>
    <m/>
    <m/>
    <m/>
    <m/>
    <m/>
  </r>
  <r>
    <x v="3"/>
    <x v="56"/>
    <s v="MBA"/>
    <s v="Galvan"/>
    <n v="1493"/>
    <n v="1806"/>
    <s v="NO TECHNICAL ASSISTANCE CONDUCTED"/>
    <m/>
    <m/>
    <x v="0"/>
    <s v="Aser A. Inocencio, Jr."/>
    <s v="Jay Pee S. Ordoñez"/>
    <s v="Zosimo P. Suyat"/>
    <m/>
    <m/>
    <m/>
    <m/>
    <m/>
    <s v=""/>
    <s v=""/>
    <s v=""/>
    <s v=""/>
    <m/>
    <m/>
    <m/>
    <m/>
    <m/>
  </r>
  <r>
    <x v="3"/>
    <x v="56"/>
    <s v="MBA"/>
    <s v="Guiset"/>
    <n v="1470"/>
    <n v="1616"/>
    <s v="CONDUCTED TECHNICAL ASSISTANCE"/>
    <n v="2024"/>
    <d v="2024-09-26T00:00:00"/>
    <x v="0"/>
    <s v="Aser A. Inocencio, Jr."/>
    <s v="Jay Pee S. Ordoñez"/>
    <s v="Zosimo P. Suyat"/>
    <m/>
    <m/>
    <m/>
    <m/>
    <m/>
    <s v=""/>
    <s v=""/>
    <s v=""/>
    <s v=""/>
    <m/>
    <s v="MRF"/>
    <s v="OPERATIONAL"/>
    <s v="Technical Assistance"/>
    <m/>
  </r>
  <r>
    <x v="3"/>
    <x v="56"/>
    <s v="MBA"/>
    <s v="Lamorito"/>
    <n v="1408"/>
    <n v="1333"/>
    <s v="NO TECHNICAL ASSISTANCE CONDUCTED"/>
    <m/>
    <m/>
    <x v="0"/>
    <s v="Aser A. Inocencio, Jr."/>
    <s v="Jay Pee S. Ordoñez"/>
    <s v="Zosimo P. Suyat"/>
    <m/>
    <m/>
    <m/>
    <m/>
    <m/>
    <s v=""/>
    <s v=""/>
    <s v=""/>
    <s v=""/>
    <m/>
    <m/>
    <m/>
    <m/>
    <m/>
  </r>
  <r>
    <x v="3"/>
    <x v="56"/>
    <s v="MBA"/>
    <s v="Lennec"/>
    <n v="4072"/>
    <n v="4296"/>
    <s v="NO TECHNICAL ASSISTANCE CONDUCTED"/>
    <m/>
    <m/>
    <x v="0"/>
    <s v="Aser A. Inocencio, Jr."/>
    <s v="Jay Pee S. Ordoñez"/>
    <s v="Zosimo P. Suyat"/>
    <m/>
    <m/>
    <m/>
    <m/>
    <m/>
    <s v=""/>
    <s v=""/>
    <s v=""/>
    <s v=""/>
    <m/>
    <m/>
    <m/>
    <m/>
    <m/>
  </r>
  <r>
    <x v="3"/>
    <x v="56"/>
    <s v="MBA"/>
    <s v="Macamias"/>
    <n v="873"/>
    <n v="830"/>
    <s v="NO TECHNICAL ASSISTANCE CONDUCTED"/>
    <m/>
    <m/>
    <x v="0"/>
    <s v="Aser A. Inocencio, Jr."/>
    <s v="Jay Pee S. Ordoñez"/>
    <s v="Zosimo P. Suyat"/>
    <m/>
    <m/>
    <m/>
    <m/>
    <m/>
    <s v=""/>
    <s v=""/>
    <s v=""/>
    <s v=""/>
    <m/>
    <m/>
    <m/>
    <m/>
    <m/>
  </r>
  <r>
    <x v="3"/>
    <x v="56"/>
    <s v="MBA"/>
    <s v="Macapabellag"/>
    <n v="648"/>
    <n v="678"/>
    <s v="NO TECHNICAL ASSISTANCE CONDUCTED"/>
    <m/>
    <m/>
    <x v="0"/>
    <s v="Aser A. Inocencio, Jr."/>
    <s v="Jay Pee S. Ordoñez"/>
    <s v="Zosimo P. Suyat"/>
    <m/>
    <m/>
    <m/>
    <m/>
    <m/>
    <s v=""/>
    <s v=""/>
    <s v=""/>
    <s v=""/>
    <m/>
    <m/>
    <m/>
    <m/>
    <m/>
  </r>
  <r>
    <x v="3"/>
    <x v="56"/>
    <s v="MBA"/>
    <s v="Macatcatuit"/>
    <n v="2309"/>
    <n v="2529"/>
    <s v="NO TECHNICAL ASSISTANCE CONDUCTED"/>
    <m/>
    <m/>
    <x v="0"/>
    <s v="Aser A. Inocencio, Jr."/>
    <s v="Jay Pee S. Ordoñez"/>
    <s v="Zosimo P. Suyat"/>
    <m/>
    <m/>
    <m/>
    <m/>
    <m/>
    <s v=""/>
    <s v=""/>
    <s v=""/>
    <s v=""/>
    <m/>
    <m/>
    <m/>
    <m/>
    <m/>
  </r>
  <r>
    <x v="3"/>
    <x v="56"/>
    <s v="MBA"/>
    <s v="Manacsac"/>
    <n v="2940"/>
    <n v="3002"/>
    <s v="NO TECHNICAL ASSISTANCE CONDUCTED"/>
    <m/>
    <m/>
    <x v="0"/>
    <s v="Aser A. Inocencio, Jr."/>
    <s v="Jay Pee S. Ordoñez"/>
    <s v="Zosimo P. Suyat"/>
    <m/>
    <m/>
    <m/>
    <m/>
    <m/>
    <s v=""/>
    <s v=""/>
    <s v=""/>
    <s v=""/>
    <m/>
    <m/>
    <m/>
    <m/>
    <m/>
  </r>
  <r>
    <x v="3"/>
    <x v="56"/>
    <s v="MBA"/>
    <s v="Manggang Marikit"/>
    <n v="2564"/>
    <n v="2934"/>
    <s v="NO TECHNICAL ASSISTANCE CONDUCTED"/>
    <m/>
    <m/>
    <x v="0"/>
    <s v="Aser A. Inocencio, Jr."/>
    <s v="Jay Pee S. Ordoñez"/>
    <s v="Zosimo P. Suyat"/>
    <m/>
    <m/>
    <m/>
    <m/>
    <m/>
    <s v=""/>
    <s v=""/>
    <s v=""/>
    <s v=""/>
    <m/>
    <m/>
    <m/>
    <m/>
    <m/>
  </r>
  <r>
    <x v="3"/>
    <x v="56"/>
    <s v="MBA"/>
    <s v="Maturanoc"/>
    <n v="5878"/>
    <n v="6198"/>
    <s v="CONDUCTED TECHNICAL ASSISTANCE"/>
    <n v="2025"/>
    <d v="2025-02-20T00:00:00"/>
    <x v="1"/>
    <s v="Aser A. Inocencio, Jr."/>
    <s v="Jay Pee S. Ordoñez"/>
    <s v="Zosimo P. Suyat"/>
    <s v="R3-2025-006650"/>
    <d v="2025-02-25T00:00:00"/>
    <d v="2025-02-25T00:00:00"/>
    <d v="2025-02-26T00:00:00"/>
    <d v="2025-03-03T00:00:00"/>
    <n v="3"/>
    <n v="1"/>
    <n v="1"/>
    <n v="3"/>
    <s v="Received by Planning"/>
    <s v="MRS"/>
    <s v="OPERATIONAL"/>
    <s v="Technical Assistance"/>
    <m/>
  </r>
  <r>
    <x v="3"/>
    <x v="56"/>
    <s v="MBA"/>
    <s v="Maybubon"/>
    <n v="2973"/>
    <n v="3227"/>
    <s v="NO TECHNICAL ASSISTANCE CONDUCTED"/>
    <m/>
    <m/>
    <x v="0"/>
    <s v="Aser A. Inocencio, Jr."/>
    <s v="Jay Pee S. Ordoñez"/>
    <s v="Zosimo P. Suyat"/>
    <m/>
    <m/>
    <m/>
    <m/>
    <m/>
    <s v=""/>
    <s v=""/>
    <s v=""/>
    <s v=""/>
    <m/>
    <m/>
    <m/>
    <m/>
    <m/>
  </r>
  <r>
    <x v="3"/>
    <x v="56"/>
    <s v="MBA"/>
    <s v="Naglabrahan"/>
    <n v="607"/>
    <n v="637"/>
    <s v="NO TECHNICAL ASSISTANCE CONDUCTED"/>
    <m/>
    <m/>
    <x v="0"/>
    <s v="Aser A. Inocencio, Jr."/>
    <s v="Jay Pee S. Ordoñez"/>
    <s v="Zosimo P. Suyat"/>
    <m/>
    <m/>
    <m/>
    <m/>
    <m/>
    <s v=""/>
    <s v=""/>
    <s v=""/>
    <s v=""/>
    <m/>
    <m/>
    <m/>
    <m/>
    <m/>
  </r>
  <r>
    <x v="3"/>
    <x v="56"/>
    <s v="MBA"/>
    <s v="Nagpandayan"/>
    <n v="3172"/>
    <n v="3418"/>
    <s v="NO TECHNICAL ASSISTANCE CONDUCTED"/>
    <m/>
    <m/>
    <x v="0"/>
    <s v="Aser A. Inocencio, Jr."/>
    <s v="Jay Pee S. Ordoñez"/>
    <s v="Zosimo P. Suyat"/>
    <m/>
    <m/>
    <m/>
    <m/>
    <m/>
    <s v=""/>
    <s v=""/>
    <s v=""/>
    <s v=""/>
    <m/>
    <m/>
    <m/>
    <m/>
    <m/>
  </r>
  <r>
    <x v="3"/>
    <x v="56"/>
    <s v="MBA"/>
    <s v="Narvacan I"/>
    <n v="954"/>
    <n v="1045"/>
    <s v="NO TECHNICAL ASSISTANCE CONDUCTED"/>
    <m/>
    <m/>
    <x v="0"/>
    <s v="Aser A. Inocencio, Jr."/>
    <s v="Jay Pee S. Ordoñez"/>
    <s v="Zosimo P. Suyat"/>
    <m/>
    <m/>
    <m/>
    <m/>
    <m/>
    <s v=""/>
    <s v=""/>
    <s v=""/>
    <s v=""/>
    <m/>
    <m/>
    <m/>
    <m/>
    <m/>
  </r>
  <r>
    <x v="3"/>
    <x v="56"/>
    <s v="MBA"/>
    <s v="Pacac"/>
    <n v="2575"/>
    <n v="2623"/>
    <s v="NO TECHNICAL ASSISTANCE CONDUCTED"/>
    <m/>
    <m/>
    <x v="0"/>
    <s v="Aser A. Inocencio, Jr."/>
    <s v="Jay Pee S. Ordoñez"/>
    <s v="Zosimo P. Suyat"/>
    <m/>
    <m/>
    <m/>
    <m/>
    <m/>
    <s v=""/>
    <s v=""/>
    <s v=""/>
    <s v=""/>
    <m/>
    <m/>
    <m/>
    <m/>
    <m/>
  </r>
  <r>
    <x v="3"/>
    <x v="56"/>
    <s v="MBA"/>
    <s v="Partida I"/>
    <n v="1505"/>
    <n v="1647"/>
    <s v="NO TECHNICAL ASSISTANCE CONDUCTED"/>
    <m/>
    <m/>
    <x v="0"/>
    <s v="Aser A. Inocencio, Jr."/>
    <s v="Jay Pee S. Ordoñez"/>
    <s v="Zosimo P. Suyat"/>
    <m/>
    <m/>
    <m/>
    <m/>
    <m/>
    <s v=""/>
    <s v=""/>
    <s v=""/>
    <s v=""/>
    <m/>
    <m/>
    <m/>
    <m/>
    <m/>
  </r>
  <r>
    <x v="3"/>
    <x v="56"/>
    <s v="MBA"/>
    <s v="Partida II"/>
    <n v="696"/>
    <n v="795"/>
    <s v="NO TECHNICAL ASSISTANCE CONDUCTED"/>
    <m/>
    <m/>
    <x v="0"/>
    <s v="Aser A. Inocencio, Jr."/>
    <s v="Jay Pee S. Ordoñez"/>
    <s v="Zosimo P. Suyat"/>
    <m/>
    <m/>
    <m/>
    <m/>
    <m/>
    <s v=""/>
    <s v=""/>
    <s v=""/>
    <s v=""/>
    <m/>
    <m/>
    <m/>
    <m/>
    <m/>
  </r>
  <r>
    <x v="3"/>
    <x v="56"/>
    <s v="MBA"/>
    <s v="Pasong Inchic"/>
    <n v="2152"/>
    <n v="2252"/>
    <s v="NO TECHNICAL ASSISTANCE CONDUCTED"/>
    <m/>
    <m/>
    <x v="0"/>
    <s v="Aser A. Inocencio, Jr."/>
    <s v="Jay Pee S. Ordoñez"/>
    <s v="Zosimo P. Suyat"/>
    <m/>
    <m/>
    <m/>
    <m/>
    <m/>
    <s v=""/>
    <s v=""/>
    <s v=""/>
    <s v=""/>
    <m/>
    <m/>
    <m/>
    <m/>
    <m/>
  </r>
  <r>
    <x v="3"/>
    <x v="56"/>
    <s v="MBA"/>
    <s v="Saint John District (Pob.)"/>
    <n v="1660"/>
    <n v="1777"/>
    <s v="NO TECHNICAL ASSISTANCE CONDUCTED"/>
    <m/>
    <m/>
    <x v="0"/>
    <s v="Aser A. Inocencio, Jr."/>
    <s v="Jay Pee S. Ordoñez"/>
    <s v="Zosimo P. Suyat"/>
    <m/>
    <m/>
    <m/>
    <m/>
    <m/>
    <s v=""/>
    <s v=""/>
    <s v=""/>
    <s v=""/>
    <m/>
    <m/>
    <m/>
    <m/>
    <m/>
  </r>
  <r>
    <x v="3"/>
    <x v="56"/>
    <s v="MBA"/>
    <s v="San Agustin"/>
    <n v="931"/>
    <n v="1010"/>
    <s v="NO TECHNICAL ASSISTANCE CONDUCTED"/>
    <m/>
    <m/>
    <x v="0"/>
    <s v="Aser A. Inocencio, Jr."/>
    <s v="Jay Pee S. Ordoñez"/>
    <s v="Zosimo P. Suyat"/>
    <m/>
    <m/>
    <m/>
    <m/>
    <m/>
    <s v=""/>
    <s v=""/>
    <s v=""/>
    <s v=""/>
    <m/>
    <m/>
    <m/>
    <m/>
    <m/>
  </r>
  <r>
    <x v="3"/>
    <x v="56"/>
    <s v="MBA"/>
    <s v="San Andres"/>
    <n v="1365"/>
    <n v="1635"/>
    <s v="CONDUCTED TECHNICAL ASSISTANCE"/>
    <n v="2024"/>
    <d v="2024-09-26T00:00:00"/>
    <x v="0"/>
    <s v="Aser A. Inocencio, Jr."/>
    <s v="Jay Pee S. Ordoñez"/>
    <s v="Zosimo P. Suyat"/>
    <m/>
    <m/>
    <m/>
    <m/>
    <m/>
    <s v=""/>
    <s v=""/>
    <s v=""/>
    <s v=""/>
    <m/>
    <s v="MRF"/>
    <s v="OPERATIONAL"/>
    <s v="Technical Assistance"/>
    <m/>
  </r>
  <r>
    <x v="3"/>
    <x v="56"/>
    <s v="MBA"/>
    <s v="San Bernardino"/>
    <n v="1354"/>
    <n v="1437"/>
    <s v="NO TECHNICAL ASSISTANCE CONDUCTED"/>
    <m/>
    <m/>
    <x v="0"/>
    <s v="Aser A. Inocencio, Jr."/>
    <s v="Jay Pee S. Ordoñez"/>
    <s v="Zosimo P. Suyat"/>
    <m/>
    <m/>
    <m/>
    <m/>
    <m/>
    <s v=""/>
    <s v=""/>
    <s v=""/>
    <s v=""/>
    <m/>
    <m/>
    <m/>
    <m/>
    <m/>
  </r>
  <r>
    <x v="3"/>
    <x v="56"/>
    <s v="MBA"/>
    <s v="San Marcelino"/>
    <n v="529"/>
    <n v="586"/>
    <s v="CONDUCTED TECHNICAL ASSISTANCE"/>
    <n v="2025"/>
    <d v="2025-08-13T00:00:00"/>
    <x v="9"/>
    <s v="Aser A. Inocencio, Jr."/>
    <s v="Jan Emerson C. Gonzales"/>
    <s v="Zosimo P. Suyat"/>
    <s v="R3-2025-027707"/>
    <d v="2025-08-18T00:00:00"/>
    <d v="2025-08-18T00:00:00"/>
    <d v="2025-08-19T00:00:00"/>
    <d v="2025-08-19T00:00:00"/>
    <n v="3"/>
    <n v="1"/>
    <n v="1"/>
    <n v="1"/>
    <s v="Received by Planning"/>
    <s v="MRS"/>
    <s v="OPERATIONAL"/>
    <s v="Technical Assistance"/>
    <m/>
  </r>
  <r>
    <x v="3"/>
    <x v="56"/>
    <s v="MBA"/>
    <s v="San Miguel"/>
    <n v="2303"/>
    <n v="2632"/>
    <s v="CONDUCTED TECHNICAL ASSISTANCE"/>
    <n v="2025"/>
    <d v="2025-08-13T00:00:00"/>
    <x v="9"/>
    <s v="Aser A. Inocencio, Jr."/>
    <s v="Jan Emerson C. Gonzales"/>
    <s v="Zosimo P. Suyat"/>
    <s v="R3-2025-027708"/>
    <d v="2025-08-18T00:00:00"/>
    <d v="2025-08-18T00:00:00"/>
    <d v="2025-08-19T00:00:00"/>
    <d v="2025-08-19T00:00:00"/>
    <n v="3"/>
    <n v="1"/>
    <n v="1"/>
    <n v="1"/>
    <s v="Received by Planning"/>
    <s v="MRS"/>
    <s v="OPERATIONAL"/>
    <s v="Technical Assistance"/>
    <m/>
  </r>
  <r>
    <x v="3"/>
    <x v="56"/>
    <s v="MBA"/>
    <s v="San Rafael"/>
    <n v="1597"/>
    <n v="1623"/>
    <s v="CONDUCTED TECHNICAL ASSISTANCE"/>
    <n v="2025"/>
    <d v="2025-08-13T00:00:00"/>
    <x v="9"/>
    <s v="Aser A. Inocencio, Jr."/>
    <s v="Jan Emerson C. Gonzales"/>
    <s v="Zosimo P. Suyat"/>
    <s v="R3-2025-027709"/>
    <d v="2025-08-18T00:00:00"/>
    <d v="2025-08-18T00:00:00"/>
    <d v="2025-08-19T00:00:00"/>
    <d v="2025-08-19T00:00:00"/>
    <n v="3"/>
    <n v="1"/>
    <n v="1"/>
    <n v="1"/>
    <s v="Received by Planning"/>
    <s v="MRS"/>
    <s v="OPERATIONAL"/>
    <s v="Technical Assistance"/>
    <m/>
  </r>
  <r>
    <x v="3"/>
    <x v="56"/>
    <s v="MBA"/>
    <s v="San Roque"/>
    <n v="5704"/>
    <n v="6307"/>
    <s v="CONDUCTED TECHNICAL ASSISTANCE"/>
    <n v="2024"/>
    <d v="2024-09-26T00:00:00"/>
    <x v="0"/>
    <s v="Aser A. Inocencio, Jr."/>
    <s v="Jay Pee S. Ordoñez"/>
    <s v="Zosimo P. Suyat"/>
    <m/>
    <m/>
    <m/>
    <m/>
    <m/>
    <s v=""/>
    <s v=""/>
    <s v=""/>
    <s v=""/>
    <m/>
    <s v="MRF"/>
    <s v="OPERATIONAL"/>
    <s v="Technical Assistance"/>
    <m/>
  </r>
  <r>
    <x v="3"/>
    <x v="56"/>
    <s v="MBA"/>
    <s v="Santa Ana"/>
    <n v="1106"/>
    <n v="1164"/>
    <s v="NO TECHNICAL ASSISTANCE CONDUCTED"/>
    <m/>
    <m/>
    <x v="0"/>
    <s v="Aser A. Inocencio, Jr."/>
    <s v="Jay Pee S. Ordoñez"/>
    <s v="Zosimo P. Suyat"/>
    <m/>
    <m/>
    <m/>
    <m/>
    <m/>
    <s v=""/>
    <s v=""/>
    <s v=""/>
    <s v=""/>
    <m/>
    <m/>
    <m/>
    <m/>
    <m/>
  </r>
  <r>
    <x v="3"/>
    <x v="56"/>
    <s v="MBA"/>
    <s v="Santa Cruz"/>
    <n v="1412"/>
    <n v="1495"/>
    <s v="NO TECHNICAL ASSISTANCE CONDUCTED"/>
    <m/>
    <m/>
    <x v="0"/>
    <s v="Aser A. Inocencio, Jr."/>
    <s v="Jay Pee S. Ordoñez"/>
    <s v="Zosimo P. Suyat"/>
    <m/>
    <m/>
    <m/>
    <m/>
    <m/>
    <s v=""/>
    <s v=""/>
    <s v=""/>
    <s v=""/>
    <m/>
    <m/>
    <m/>
    <m/>
    <m/>
  </r>
  <r>
    <x v="3"/>
    <x v="56"/>
    <s v="MBA"/>
    <s v="Santa Lucia"/>
    <n v="2206"/>
    <n v="2207"/>
    <s v="NO TECHNICAL ASSISTANCE CONDUCTED"/>
    <m/>
    <m/>
    <x v="0"/>
    <s v="Aser A. Inocencio, Jr."/>
    <s v="Jay Pee S. Ordoñez"/>
    <s v="Zosimo P. Suyat"/>
    <m/>
    <m/>
    <m/>
    <m/>
    <m/>
    <s v=""/>
    <s v=""/>
    <s v=""/>
    <s v=""/>
    <m/>
    <m/>
    <m/>
    <m/>
    <m/>
  </r>
  <r>
    <x v="3"/>
    <x v="56"/>
    <s v="MBA"/>
    <s v="Santa Veronica District (Pob.)"/>
    <n v="4476"/>
    <n v="3873"/>
    <s v="CONDUCTED TECHNICAL ASSISTANCE"/>
    <n v="2025"/>
    <d v="2025-04-30T00:00:00"/>
    <x v="6"/>
    <s v="Aser A. Inocencio, Jr."/>
    <s v="Jay Pee S. Ordoñez"/>
    <s v="Zosimo P. Suyat"/>
    <s v="R3-2025-015199"/>
    <d v="2025-05-05T00:00:00"/>
    <d v="2025-05-14T00:00:00"/>
    <d v="2025-05-14T00:00:00"/>
    <d v="2025-05-15T00:00:00"/>
    <n v="3"/>
    <n v="7"/>
    <n v="1"/>
    <n v="1"/>
    <s v="Received by Planning"/>
    <s v="MRS"/>
    <s v="NON-OPERATIONAL"/>
    <s v="Technical Assistance"/>
    <m/>
  </r>
  <r>
    <x v="3"/>
    <x v="56"/>
    <s v="MBA"/>
    <s v="Santo Cristo District (Pob.)"/>
    <n v="3231"/>
    <n v="3799"/>
    <s v="NO TECHNICAL ASSISTANCE CONDUCTED"/>
    <m/>
    <m/>
    <x v="0"/>
    <s v="Aser A. Inocencio, Jr."/>
    <s v="Jay Pee S. Ordoñez"/>
    <s v="Zosimo P. Suyat"/>
    <m/>
    <m/>
    <m/>
    <m/>
    <m/>
    <s v=""/>
    <s v=""/>
    <s v=""/>
    <s v=""/>
    <m/>
    <m/>
    <m/>
    <m/>
    <m/>
  </r>
  <r>
    <x v="3"/>
    <x v="56"/>
    <s v="MBA"/>
    <s v="Saranay District (Pob.)"/>
    <n v="2280"/>
    <n v="2591"/>
    <s v="CONDUCTED TECHNICAL ASSISTANCE"/>
    <n v="2024"/>
    <d v="2024-09-26T00:00:00"/>
    <x v="0"/>
    <s v="Aser A. Inocencio, Jr."/>
    <s v="Jay Pee S. Ordoñez"/>
    <s v="Zosimo P. Suyat"/>
    <m/>
    <m/>
    <m/>
    <m/>
    <m/>
    <s v=""/>
    <s v=""/>
    <s v=""/>
    <s v=""/>
    <m/>
    <s v="MRF"/>
    <s v="OPERATIONAL"/>
    <s v="Technical Assistance"/>
    <m/>
  </r>
  <r>
    <x v="3"/>
    <x v="56"/>
    <s v="MBA"/>
    <s v="Sinulatan"/>
    <n v="1249"/>
    <n v="1332"/>
    <s v="NO TECHNICAL ASSISTANCE CONDUCTED"/>
    <m/>
    <m/>
    <x v="0"/>
    <s v="Aser A. Inocencio, Jr."/>
    <s v="Jay Pee S. Ordoñez"/>
    <s v="Zosimo P. Suyat"/>
    <m/>
    <m/>
    <m/>
    <m/>
    <m/>
    <s v=""/>
    <s v=""/>
    <s v=""/>
    <s v=""/>
    <m/>
    <m/>
    <m/>
    <m/>
    <m/>
  </r>
  <r>
    <x v="3"/>
    <x v="56"/>
    <s v="MBA"/>
    <s v="Subol"/>
    <n v="1646"/>
    <n v="1939"/>
    <s v="NO TECHNICAL ASSISTANCE CONDUCTED"/>
    <m/>
    <m/>
    <x v="0"/>
    <s v="Aser A. Inocencio, Jr."/>
    <s v="Jay Pee S. Ordoñez"/>
    <s v="Zosimo P. Suyat"/>
    <m/>
    <m/>
    <m/>
    <m/>
    <m/>
    <s v=""/>
    <s v=""/>
    <s v=""/>
    <s v=""/>
    <m/>
    <m/>
    <m/>
    <m/>
    <m/>
  </r>
  <r>
    <x v="3"/>
    <x v="56"/>
    <s v="MBA"/>
    <s v="Tampac I"/>
    <n v="1047"/>
    <n v="1062"/>
    <s v="NO TECHNICAL ASSISTANCE CONDUCTED"/>
    <m/>
    <m/>
    <x v="0"/>
    <s v="Aser A. Inocencio, Jr."/>
    <s v="Jay Pee S. Ordoñez"/>
    <s v="Zosimo P. Suyat"/>
    <m/>
    <m/>
    <m/>
    <m/>
    <m/>
    <s v=""/>
    <s v=""/>
    <s v=""/>
    <s v=""/>
    <m/>
    <m/>
    <m/>
    <m/>
    <m/>
  </r>
  <r>
    <x v="3"/>
    <x v="56"/>
    <s v="MBA"/>
    <s v="Tampac II &amp; III"/>
    <n v="1218"/>
    <n v="1378"/>
    <s v="NO TECHNICAL ASSISTANCE CONDUCTED"/>
    <m/>
    <m/>
    <x v="0"/>
    <s v="Aser A. Inocencio, Jr."/>
    <s v="Jay Pee S. Ordoñez"/>
    <s v="Zosimo P. Suyat"/>
    <m/>
    <m/>
    <m/>
    <m/>
    <m/>
    <s v=""/>
    <s v=""/>
    <s v=""/>
    <s v=""/>
    <m/>
    <m/>
    <m/>
    <m/>
    <m/>
  </r>
  <r>
    <x v="3"/>
    <x v="56"/>
    <s v="MBA"/>
    <s v="Triala"/>
    <n v="2680"/>
    <n v="2713"/>
    <s v="CONDUCTED TECHNICAL ASSISTANCE"/>
    <n v="2025"/>
    <d v="2025-03-13T00:00:00"/>
    <x v="1"/>
    <s v="Aser A. Inocencio, Jr."/>
    <s v="Jay Pee S. Ordoñez"/>
    <s v="Zosimo P. Suyat"/>
    <s v="R3-2025-009116"/>
    <d v="2025-03-18T00:00:00"/>
    <d v="2025-03-18T00:00:00"/>
    <d v="2025-03-18T00:00:00"/>
    <d v="2025-03-19T00:00:00"/>
    <n v="3"/>
    <n v="1"/>
    <n v="1"/>
    <n v="1"/>
    <s v="Received by Planning"/>
    <s v="MRS"/>
    <s v="OPERATIONAL"/>
    <s v="Technical Assistance"/>
    <m/>
  </r>
  <r>
    <x v="3"/>
    <x v="56"/>
    <s v="MBA"/>
    <s v="Yuson"/>
    <n v="896"/>
    <n v="987"/>
    <s v="NO TECHNICAL ASSISTANCE CONDUCTED"/>
    <m/>
    <m/>
    <x v="0"/>
    <s v="Aser A. Inocencio, Jr."/>
    <s v="Jay Pee S. Ordoñez"/>
    <s v="Zosimo P. Suyat"/>
    <m/>
    <m/>
    <m/>
    <m/>
    <m/>
    <s v=""/>
    <s v=""/>
    <s v=""/>
    <s v=""/>
    <m/>
    <m/>
    <m/>
    <m/>
    <m/>
  </r>
  <r>
    <x v="3"/>
    <x v="57"/>
    <s v="MBA"/>
    <s v="San Vicente"/>
    <n v="1712"/>
    <n v="1126"/>
    <s v="CONDUCTED TECHNICAL ASSISTANCE"/>
    <n v="2025"/>
    <d v="2025-08-22T00:00:00"/>
    <x v="7"/>
    <s v="Christine Ann V. Ramos"/>
    <s v="Jay Pee S. Ordoñez"/>
    <s v="Zosimo P. Suyat"/>
    <s v="R3-2025-031575"/>
    <d v="2025-09-18T00:00:00"/>
    <d v="2025-09-18T00:00:00"/>
    <d v="2025-09-18T00:00:00"/>
    <d v="2025-09-18T00:00:00"/>
    <n v="19"/>
    <n v="1"/>
    <n v="1"/>
    <n v="1"/>
    <s v="Received by Planning"/>
    <s v="MRS"/>
    <s v="OPERATIONAL"/>
    <s v="Technical Assistance"/>
    <m/>
  </r>
  <r>
    <x v="3"/>
    <x v="57"/>
    <s v="MBA"/>
    <s v="Calabasa"/>
    <n v="1289"/>
    <n v="1500"/>
    <s v="CONDUCTED TECHNICAL ASSISTANCE"/>
    <n v="2025"/>
    <d v="2025-03-25T00:00:00"/>
    <x v="4"/>
    <s v="Christine Ann V. Ramos"/>
    <s v="Jay Pee S. Ordoñez"/>
    <s v="Zosimo P. Suyat"/>
    <s v="R3-2025-010583"/>
    <d v="2025-03-27T00:00:00"/>
    <d v="2025-04-07T00:00:00"/>
    <d v="2025-04-07T00:00:00"/>
    <d v="2025-04-10T00:00:00"/>
    <n v="2"/>
    <n v="7"/>
    <n v="1"/>
    <n v="3"/>
    <s v="Received by Planning"/>
    <s v="MRS"/>
    <s v="OPERATIONAL"/>
    <s v="Technical Assistance"/>
    <m/>
  </r>
  <r>
    <x v="3"/>
    <x v="57"/>
    <s v="MBA"/>
    <s v="Dampulan (Pob.)"/>
    <n v="4912"/>
    <n v="4946"/>
    <s v="CONDUCTED TECHNICAL ASSISTANCE"/>
    <n v="2024"/>
    <d v="2024-04-26T00:00:00"/>
    <x v="0"/>
    <s v="Christine Ann V. Ramos"/>
    <s v="Jay Pee S. Ordoñez"/>
    <s v="Zosimo P. Suyat"/>
    <m/>
    <m/>
    <m/>
    <m/>
    <m/>
    <s v=""/>
    <s v=""/>
    <s v=""/>
    <s v=""/>
    <m/>
    <m/>
    <m/>
    <s v="Technical Assistance"/>
    <m/>
  </r>
  <r>
    <x v="3"/>
    <x v="57"/>
    <s v="MBA"/>
    <s v="Don Mariano Marcos (Pob.)"/>
    <n v="1396"/>
    <n v="1433"/>
    <s v="CONDUCTED TECHNICAL ASSISTANCE"/>
    <n v="2025"/>
    <d v="2025-06-20T00:00:00"/>
    <x v="8"/>
    <s v="Christine Ann V. Ramos"/>
    <s v="Jan Emerson C. Gonzales"/>
    <s v="Zosimo P. Suyat"/>
    <s v="R3-2025-021181"/>
    <d v="2025-06-26T00:00:00"/>
    <d v="2025-06-27T00:00:00"/>
    <d v="2025-06-30T00:00:00"/>
    <d v="2025-07-09T00:00:00"/>
    <n v="4"/>
    <n v="1"/>
    <n v="1"/>
    <n v="7"/>
    <s v="Received by Planning"/>
    <s v="MRS"/>
    <s v="OPERATIONAL"/>
    <s v="Technical Assistance"/>
    <m/>
  </r>
  <r>
    <x v="3"/>
    <x v="57"/>
    <s v="MBA"/>
    <s v="Hilera"/>
    <n v="1843"/>
    <n v="1961"/>
    <s v="CONDUCTED TECHNICAL ASSISTANCE"/>
    <n v="2025"/>
    <d v="2025-03-25T00:00:00"/>
    <x v="4"/>
    <s v="Christine Ann V. Ramos"/>
    <s v="Jay Pee S. Ordoñez"/>
    <s v="Zosimo P. Suyat"/>
    <s v="R3-2025-010582"/>
    <d v="2025-03-27T00:00:00"/>
    <d v="2025-04-07T00:00:00"/>
    <d v="2025-04-07T00:00:00"/>
    <d v="2025-04-10T00:00:00"/>
    <n v="2"/>
    <n v="7"/>
    <n v="1"/>
    <n v="3"/>
    <s v="Received by Planning"/>
    <s v="MRS"/>
    <s v="OPERATIONAL"/>
    <s v="Technical Assistance"/>
    <m/>
  </r>
  <r>
    <x v="3"/>
    <x v="57"/>
    <s v="MBA"/>
    <s v="Imbunia"/>
    <n v="2387"/>
    <n v="2645"/>
    <s v="CONDUCTED TECHNICAL ASSISTANCE"/>
    <n v="2024"/>
    <d v="2024-11-08T00:00:00"/>
    <x v="0"/>
    <s v="Christine Ann V. Ramos"/>
    <s v="Jay Pee S. Ordoñez"/>
    <s v="Zosimo P. Suyat"/>
    <m/>
    <m/>
    <m/>
    <m/>
    <m/>
    <s v=""/>
    <s v=""/>
    <s v=""/>
    <s v=""/>
    <m/>
    <s v="MRF"/>
    <s v="OPERATIONAL"/>
    <s v="Technical Assistance"/>
    <m/>
  </r>
  <r>
    <x v="3"/>
    <x v="57"/>
    <s v="MBA"/>
    <s v="Imelda Pob."/>
    <n v="891"/>
    <n v="1141"/>
    <s v="CONDUCTED TECHNICAL ASSISTANCE"/>
    <n v="2025"/>
    <d v="2025-09-25T00:00:00"/>
    <x v="5"/>
    <s v="Christine Ann V. Ramos"/>
    <s v="Jay Pee S. Ordoñez"/>
    <s v="Zosimo P. Suyat"/>
    <s v="R3-2025-032605"/>
    <d v="2025-09-26T00:00:00"/>
    <d v="2025-10-09T00:00:00"/>
    <d v="2025-10-09T00:00:00"/>
    <d v="2025-10-10T00:00:00"/>
    <n v="1"/>
    <n v="9"/>
    <n v="1"/>
    <n v="1"/>
    <s v="Received by Planning"/>
    <s v="MRS"/>
    <s v="OPERATIONAL"/>
    <s v="Technical Assistance"/>
    <m/>
  </r>
  <r>
    <x v="3"/>
    <x v="57"/>
    <s v="MBA"/>
    <s v="Lambakin"/>
    <n v="3665"/>
    <n v="4019"/>
    <s v="CONDUCTED TECHNICAL ASSISTANCE"/>
    <n v="2025"/>
    <d v="2025-05-30T00:00:00"/>
    <x v="10"/>
    <s v="Christine Ann V. Ramos"/>
    <s v="Jan Emerson C. Gonzales"/>
    <s v="Zosimo P. Suyat"/>
    <s v="R3-2025-018681"/>
    <d v="2025-06-07T00:00:00"/>
    <d v="2025-06-09T00:00:00"/>
    <d v="2025-06-09T00:00:00"/>
    <d v="2025-06-16T00:00:00"/>
    <n v="5"/>
    <n v="1"/>
    <n v="1"/>
    <n v="5"/>
    <s v="Received by Planning"/>
    <s v="MRS"/>
    <s v="OPERATIONAL"/>
    <s v="Technical Assistance"/>
    <m/>
  </r>
  <r>
    <x v="3"/>
    <x v="57"/>
    <s v="MBA"/>
    <s v="Langla"/>
    <n v="3198"/>
    <n v="3290"/>
    <s v="CONDUCTED TECHNICAL ASSISTANCE"/>
    <n v="2024"/>
    <d v="2024-05-02T00:00:00"/>
    <x v="0"/>
    <s v="Christine Ann V. Ramos"/>
    <s v="Jay Pee S. Ordoñez"/>
    <s v="Zosimo P. Suyat"/>
    <m/>
    <m/>
    <m/>
    <m/>
    <m/>
    <s v=""/>
    <s v=""/>
    <s v=""/>
    <s v=""/>
    <m/>
    <m/>
    <m/>
    <s v="Technical Assistance"/>
    <m/>
  </r>
  <r>
    <x v="3"/>
    <x v="57"/>
    <s v="MBA"/>
    <s v="Magsalisi"/>
    <n v="3336"/>
    <n v="3691"/>
    <s v="CONDUCTED TECHNICAL ASSISTANCE"/>
    <n v="2025"/>
    <d v="2025-04-22T00:00:00"/>
    <x v="6"/>
    <s v="Christine Ann V. Ramos"/>
    <s v="Jan Emerson C. Gonzales"/>
    <s v="Zosimo P. Suyat"/>
    <s v="R3-2025-014584"/>
    <d v="2025-04-29T00:00:00"/>
    <d v="2025-04-30T00:00:00"/>
    <d v="2025-04-30T00:00:00"/>
    <d v="2025-05-02T00:00:00"/>
    <n v="5"/>
    <n v="1"/>
    <n v="1"/>
    <n v="2"/>
    <s v="Received by Planning"/>
    <s v="MRS"/>
    <s v="OPERATIONAL"/>
    <s v="Technical Assistance"/>
    <s v="N/A"/>
  </r>
  <r>
    <x v="3"/>
    <x v="57"/>
    <s v="MBA"/>
    <s v="Malabon-Kaingin"/>
    <n v="1441"/>
    <n v="1546"/>
    <s v="CONDUCTED TECHNICAL ASSISTANCE"/>
    <n v="2025"/>
    <d v="2025-10-09T00:00:00"/>
    <x v="5"/>
    <s v="Christine Ann V. Ramos"/>
    <s v="Jay Pee S. Ordoñez"/>
    <s v="Zosimo P. Suyat"/>
    <s v="R3-2025-034295"/>
    <d v="2025-10-11T00:00:00"/>
    <d v="2025-10-13T00:00:00"/>
    <d v="2025-10-16T00:00:00"/>
    <d v="2025-10-17T00:00:00"/>
    <n v="1"/>
    <n v="1"/>
    <n v="3"/>
    <n v="1"/>
    <s v="Received by Planning"/>
    <s v="MRS"/>
    <s v="OPERATIONAL"/>
    <s v="Technical Assistance"/>
    <m/>
  </r>
  <r>
    <x v="3"/>
    <x v="57"/>
    <s v="MBA"/>
    <s v="Marawa"/>
    <n v="4541"/>
    <n v="4655"/>
    <s v="CONDUCTED TECHNICAL ASSISTANCE"/>
    <n v="2024"/>
    <d v="2024-02-02T00:00:00"/>
    <x v="0"/>
    <s v="Christine Ann V. Ramos"/>
    <s v="Jay Pee S. Ordoñez"/>
    <s v="Zosimo P. Suyat"/>
    <m/>
    <m/>
    <m/>
    <m/>
    <m/>
    <s v=""/>
    <s v=""/>
    <s v=""/>
    <s v=""/>
    <m/>
    <m/>
    <m/>
    <s v="Technical Assistance"/>
    <m/>
  </r>
  <r>
    <x v="3"/>
    <x v="57"/>
    <s v="MBA"/>
    <s v="Niyugan"/>
    <n v="6319"/>
    <n v="7377"/>
    <s v="CONDUCTED TECHNICAL ASSISTANCE"/>
    <n v="2025"/>
    <d v="2025-09-25T00:00:00"/>
    <x v="5"/>
    <s v="Christine Ann V. Ramos"/>
    <s v="Jay Pee S. Ordoñez"/>
    <s v="Zosimo P. Suyat"/>
    <s v="R3-2025-032604"/>
    <d v="2025-09-26T00:00:00"/>
    <d v="2025-10-09T00:00:00"/>
    <d v="2025-10-09T00:00:00"/>
    <d v="2025-10-10T00:00:00"/>
    <n v="1"/>
    <n v="9"/>
    <n v="1"/>
    <n v="1"/>
    <s v="Received by Planning"/>
    <s v="MRS"/>
    <s v="OPERATIONAL"/>
    <s v="Technical Assistance"/>
    <m/>
  </r>
  <r>
    <x v="3"/>
    <x v="57"/>
    <s v="MBA"/>
    <s v="Ocampo-Rivera District (Pob.)"/>
    <n v="699"/>
    <n v="727"/>
    <s v="CONDUCTED TECHNICAL ASSISTANCE"/>
    <n v="2025"/>
    <d v="2025-01-23T00:00:00"/>
    <x v="2"/>
    <s v="Christine Ann V. Ramos"/>
    <s v="Jay Pee S. Ordoñez"/>
    <s v="Zosimo P. Suyat"/>
    <s v="R3-2025-002300"/>
    <d v="2025-01-23T00:00:00"/>
    <d v="2025-01-24T00:00:00"/>
    <d v="2025-01-24T00:00:00"/>
    <d v="2025-01-25T00:00:00"/>
    <n v="1"/>
    <n v="1"/>
    <n v="1"/>
    <n v="1"/>
    <s v="Received by Planning"/>
    <s v="MRF"/>
    <s v="OPERATIONAL"/>
    <s v="Technical Assistance"/>
    <s v="None"/>
  </r>
  <r>
    <x v="3"/>
    <x v="57"/>
    <s v="MBA"/>
    <s v="Pakol"/>
    <n v="1471"/>
    <n v="1751"/>
    <s v="CONDUCTED TECHNICAL ASSISTANCE"/>
    <n v="2025"/>
    <d v="2025-03-25T00:00:00"/>
    <x v="4"/>
    <s v="Christine Ann V. Ramos"/>
    <s v="Jay Pee S. Ordoñez"/>
    <s v="Zosimo P. Suyat"/>
    <s v="R3-2025-010581"/>
    <d v="2025-03-27T00:00:00"/>
    <d v="2025-04-07T00:00:00"/>
    <d v="2025-04-07T00:00:00"/>
    <d v="2025-04-10T00:00:00"/>
    <n v="2"/>
    <n v="7"/>
    <n v="1"/>
    <n v="3"/>
    <s v="Received by Planning"/>
    <s v="MRS"/>
    <s v="OPERATIONAL"/>
    <s v="Technical Assistance"/>
    <m/>
  </r>
  <r>
    <x v="3"/>
    <x v="57"/>
    <s v="MBA"/>
    <s v="Pamacpacan"/>
    <n v="2146"/>
    <n v="2358"/>
    <s v="CONDUCTED TECHNICAL ASSISTANCE"/>
    <n v="2025"/>
    <d v="2025-03-26T00:00:00"/>
    <x v="4"/>
    <s v="Christine Ann V. Ramos"/>
    <s v="Jay Pee S. Ordoñez"/>
    <s v="Zosimo P. Suyat"/>
    <s v="R3-2025-010584"/>
    <d v="2025-03-27T00:00:00"/>
    <d v="2025-04-07T00:00:00"/>
    <d v="2025-04-07T00:00:00"/>
    <d v="2025-04-10T00:00:00"/>
    <n v="1"/>
    <n v="7"/>
    <n v="1"/>
    <n v="3"/>
    <s v="Received by Planning"/>
    <s v="MRS"/>
    <s v="OPERATIONAL"/>
    <s v="Technical Assistance"/>
    <m/>
  </r>
  <r>
    <x v="3"/>
    <x v="57"/>
    <s v="MBA"/>
    <s v="Pinanggaan"/>
    <n v="3415"/>
    <n v="3677"/>
    <s v="CONDUCTED TECHNICAL ASSISTANCE"/>
    <n v="2025"/>
    <d v="2025-04-22T00:00:00"/>
    <x v="6"/>
    <s v="Christine Ann V. Ramos"/>
    <s v="Jay Pee S. Ordoñez"/>
    <s v="Zosimo P. Suyat"/>
    <s v="R3-2025-014587"/>
    <d v="2025-04-29T00:00:00"/>
    <d v="2025-04-30T00:00:00"/>
    <d v="2025-04-30T00:00:00"/>
    <d v="2025-05-02T00:00:00"/>
    <n v="5"/>
    <n v="1"/>
    <n v="1"/>
    <n v="2"/>
    <s v="Received by Planning"/>
    <s v="MRS"/>
    <s v="OPERATIONAL"/>
    <s v="Technical Assistance"/>
    <m/>
  </r>
  <r>
    <x v="3"/>
    <x v="57"/>
    <s v="MBA"/>
    <s v="Putlod"/>
    <n v="3503"/>
    <n v="3952"/>
    <s v="CONDUCTED TECHNICAL ASSISTANCE"/>
    <n v="2024"/>
    <d v="2024-04-26T00:00:00"/>
    <x v="0"/>
    <s v="Christine Ann V. Ramos"/>
    <s v="Jay Pee S. Ordoñez"/>
    <s v="Zosimo P. Suyat"/>
    <m/>
    <m/>
    <m/>
    <m/>
    <m/>
    <s v=""/>
    <s v=""/>
    <s v=""/>
    <s v=""/>
    <m/>
    <m/>
    <m/>
    <s v="Technical Assistance"/>
    <m/>
  </r>
  <r>
    <x v="3"/>
    <x v="57"/>
    <s v="MBA"/>
    <s v="San Jose"/>
    <n v="3312"/>
    <n v="3604"/>
    <s v="CONDUCTED TECHNICAL ASSISTANCE"/>
    <n v="2024"/>
    <d v="2024-04-26T00:00:00"/>
    <x v="0"/>
    <s v="Christine Ann V. Ramos"/>
    <s v="Jay Pee S. Ordoñez"/>
    <s v="Zosimo P. Suyat"/>
    <m/>
    <m/>
    <m/>
    <m/>
    <m/>
    <s v=""/>
    <s v=""/>
    <s v=""/>
    <s v=""/>
    <m/>
    <m/>
    <m/>
    <s v="Technical Assistance"/>
    <m/>
  </r>
  <r>
    <x v="3"/>
    <x v="57"/>
    <s v="MBA"/>
    <s v="San Josef"/>
    <n v="2623"/>
    <n v="2920"/>
    <s v="CONDUCTED TECHNICAL ASSISTANCE"/>
    <n v="2024"/>
    <d v="2024-05-02T00:00:00"/>
    <x v="0"/>
    <s v="Christine Ann V. Ramos"/>
    <s v="Jay Pee S. Ordoñez"/>
    <s v="Zosimo P. Suyat"/>
    <m/>
    <m/>
    <m/>
    <m/>
    <m/>
    <s v=""/>
    <s v=""/>
    <s v=""/>
    <s v=""/>
    <m/>
    <m/>
    <m/>
    <s v="Technical Assistance"/>
    <m/>
  </r>
  <r>
    <x v="3"/>
    <x v="57"/>
    <s v="MBA"/>
    <s v="San Pablo"/>
    <n v="2033"/>
    <n v="2198"/>
    <s v="CONDUCTED TECHNICAL ASSISTANCE"/>
    <n v="2025"/>
    <d v="2025-04-22T00:00:00"/>
    <x v="6"/>
    <s v="Christine Ann V. Ramos"/>
    <s v="Jan Emerson C. Gonzales"/>
    <s v="Zosimo P. Suyat"/>
    <s v="R3-2025-014586"/>
    <d v="2025-04-29T00:00:00"/>
    <d v="2025-04-30T00:00:00"/>
    <d v="2025-04-30T00:00:00"/>
    <d v="2025-05-02T00:00:00"/>
    <n v="5"/>
    <n v="1"/>
    <n v="1"/>
    <n v="2"/>
    <s v="Received by Planning"/>
    <s v="MRS"/>
    <s v="OPERATIONAL"/>
    <s v="Technical Assistance"/>
    <m/>
  </r>
  <r>
    <x v="3"/>
    <x v="57"/>
    <s v="MBA"/>
    <s v="San Roque"/>
    <n v="1934"/>
    <n v="2210"/>
    <s v="CONDUCTED TECHNICAL ASSISTANCE"/>
    <n v="2025"/>
    <d v="2025-09-25T00:00:00"/>
    <x v="5"/>
    <s v="Christine Ann V. Ramos"/>
    <s v="Jay Pee S. Ordoñez"/>
    <s v="Zosimo P. Suyat"/>
    <s v="R3-2025-032603"/>
    <d v="2025-09-26T00:00:00"/>
    <d v="2025-10-09T00:00:00"/>
    <d v="2025-10-09T00:00:00"/>
    <d v="2025-10-10T00:00:00"/>
    <n v="1"/>
    <n v="9"/>
    <n v="1"/>
    <n v="1"/>
    <s v="Received by Planning"/>
    <s v="MRS"/>
    <s v="OPERATIONAL"/>
    <s v="Technical Assistance"/>
    <m/>
  </r>
  <r>
    <x v="3"/>
    <x v="57"/>
    <s v="MBA"/>
    <s v="Santa Rita"/>
    <n v="1326"/>
    <n v="1483"/>
    <s v="CONDUCTED TECHNICAL ASSISTANCE"/>
    <n v="2024"/>
    <d v="2024-02-02T00:00:00"/>
    <x v="0"/>
    <s v="Christine Ann V. Ramos"/>
    <s v="Jay Pee S. Ordoñez"/>
    <s v="Zosimo P. Suyat"/>
    <m/>
    <m/>
    <m/>
    <m/>
    <m/>
    <s v=""/>
    <s v=""/>
    <s v=""/>
    <s v=""/>
    <m/>
    <m/>
    <m/>
    <s v="Technical Assistance"/>
    <m/>
  </r>
  <r>
    <x v="3"/>
    <x v="57"/>
    <s v="MBA"/>
    <s v="Santo Tomas North"/>
    <n v="3323"/>
    <n v="3464"/>
    <s v="CONDUCTED TECHNICAL ASSISTANCE"/>
    <n v="2025"/>
    <d v="2025-07-18T00:00:00"/>
    <x v="9"/>
    <s v="Christine Ann V. Ramos"/>
    <s v="Jay Pee S. Ordoñez"/>
    <s v="Zosimo P. Suyat"/>
    <s v="R3-2025-025390"/>
    <d v="2025-07-31T00:00:00"/>
    <d v="2025-08-05T00:00:00"/>
    <d v="2025-08-13T00:00:00"/>
    <d v="2025-08-15T00:00:00"/>
    <n v="9"/>
    <n v="3"/>
    <n v="6"/>
    <n v="2"/>
    <s v="Received by Planning"/>
    <s v="MRS"/>
    <s v="OPERATIONAL"/>
    <s v="Technical Assistance"/>
    <m/>
  </r>
  <r>
    <x v="3"/>
    <x v="57"/>
    <s v="MBA"/>
    <s v="Santo Tomas South"/>
    <n v="4675"/>
    <n v="4940"/>
    <s v="CONDUCTED TECHNICAL ASSISTANCE"/>
    <n v="2025"/>
    <d v="2025-07-18T00:00:00"/>
    <x v="9"/>
    <s v="Christine Ann V. Ramos"/>
    <s v="Jan Emerson C. Gonzales"/>
    <s v="Zosimo P. Suyat"/>
    <s v="R3-2025-025392"/>
    <d v="2025-07-31T00:00:00"/>
    <d v="2025-08-05T00:00:00"/>
    <d v="2025-08-13T00:00:00"/>
    <d v="2025-08-15T00:00:00"/>
    <n v="9"/>
    <n v="3"/>
    <n v="6"/>
    <n v="2"/>
    <s v="Received by Planning"/>
    <s v="MRS"/>
    <s v="OPERATIONAL"/>
    <s v="Technical Assistance"/>
    <m/>
  </r>
  <r>
    <x v="3"/>
    <x v="57"/>
    <s v="MBA"/>
    <s v="Sapang"/>
    <n v="3513"/>
    <n v="4109"/>
    <s v="CONDUCTED TECHNICAL ASSISTANCE"/>
    <n v="2024"/>
    <d v="2024-06-19T00:00:00"/>
    <x v="0"/>
    <s v="Christine Ann V. Ramos"/>
    <s v="Jay Pee S. Ordoñez"/>
    <s v="Zosimo P. Suyat"/>
    <m/>
    <m/>
    <m/>
    <m/>
    <m/>
    <s v=""/>
    <s v=""/>
    <s v=""/>
    <s v=""/>
    <m/>
    <s v="MRF"/>
    <s v="OPERATIONAL"/>
    <s v="Technical Assistance"/>
    <m/>
  </r>
  <r>
    <x v="3"/>
    <x v="57"/>
    <s v="MBA"/>
    <s v="Ulanin-Pitak"/>
    <n v="2281"/>
    <n v="2466"/>
    <s v="CONDUCTED TECHNICAL ASSISTANCE"/>
    <n v="2025"/>
    <d v="2025-04-22T00:00:00"/>
    <x v="6"/>
    <s v="Christine Ann V. Ramos"/>
    <s v="Jan Emerson C. Gonzales"/>
    <s v="Zosimo P. Suyat"/>
    <s v="R3-2025-014585"/>
    <d v="2025-04-30T00:00:00"/>
    <d v="2025-04-30T00:00:00"/>
    <d v="2025-04-30T00:00:00"/>
    <d v="2025-05-02T00:00:00"/>
    <n v="6"/>
    <n v="1"/>
    <n v="1"/>
    <n v="2"/>
    <s v="Received by Planning"/>
    <s v="MRS"/>
    <s v="OPERATIONAL"/>
    <s v="Technical Assistance"/>
    <m/>
  </r>
  <r>
    <x v="3"/>
    <x v="58"/>
    <s v="MBA"/>
    <s v="Barangay II (Pob.)"/>
    <n v="1524"/>
    <n v="1557"/>
    <s v="CONDUCTED TECHNICAL ASSISTANCE"/>
    <n v="2025"/>
    <d v="2025-08-22T00:00:00"/>
    <x v="7"/>
    <s v="Christian Jem L. Buluran"/>
    <s v="Jay Pee S. Ordoñez"/>
    <s v="Zosimo P. Suyat"/>
    <s v="R3-2025-031712"/>
    <d v="2025-09-18T00:00:00"/>
    <d v="2025-09-18T00:00:00"/>
    <d v="2025-09-18T00:00:00"/>
    <d v="2025-09-19T00:00:00"/>
    <n v="19"/>
    <n v="1"/>
    <n v="1"/>
    <n v="1"/>
    <s v="Received by Planning"/>
    <s v="MRF"/>
    <s v="OPERATIONAL"/>
    <s v="Technical Assistance"/>
    <m/>
  </r>
  <r>
    <x v="3"/>
    <x v="58"/>
    <s v="MBA"/>
    <s v="Barangay I (Pob.)"/>
    <n v="2715"/>
    <n v="2715"/>
    <s v="NO TECHNICAL ASSISTANCE CONDUCTED"/>
    <m/>
    <m/>
    <x v="0"/>
    <s v="Jan Emerson C. Gonzales"/>
    <s v="Jay Pee S. Ordoñez"/>
    <s v="Zosimo P. Suyat"/>
    <m/>
    <m/>
    <m/>
    <m/>
    <m/>
    <s v=""/>
    <s v=""/>
    <s v=""/>
    <s v=""/>
    <m/>
    <m/>
    <m/>
    <m/>
    <m/>
  </r>
  <r>
    <x v="3"/>
    <x v="58"/>
    <s v="MBA"/>
    <s v="Barangay III (Pob.)"/>
    <n v="1399"/>
    <n v="1278"/>
    <s v="NO TECHNICAL ASSISTANCE CONDUCTED"/>
    <m/>
    <m/>
    <x v="0"/>
    <s v="Jan Emerson C. Gonzales"/>
    <s v="Jay Pee S. Ordoñez"/>
    <s v="Zosimo P. Suyat"/>
    <m/>
    <m/>
    <m/>
    <m/>
    <m/>
    <s v=""/>
    <s v=""/>
    <s v=""/>
    <s v=""/>
    <m/>
    <m/>
    <m/>
    <m/>
    <m/>
  </r>
  <r>
    <x v="3"/>
    <x v="58"/>
    <s v="MBA"/>
    <s v="Barangay IV (Pob.)"/>
    <n v="3054"/>
    <n v="3196"/>
    <s v="NO TECHNICAL ASSISTANCE CONDUCTED"/>
    <m/>
    <m/>
    <x v="0"/>
    <s v="Jan Emerson C. Gonzales"/>
    <s v="Jay Pee S. Ordoñez"/>
    <s v="Zosimo P. Suyat"/>
    <m/>
    <m/>
    <m/>
    <m/>
    <m/>
    <s v=""/>
    <s v=""/>
    <s v=""/>
    <s v=""/>
    <m/>
    <m/>
    <m/>
    <m/>
    <m/>
  </r>
  <r>
    <x v="3"/>
    <x v="58"/>
    <s v="MBA"/>
    <s v="Betania"/>
    <n v="586"/>
    <n v="625"/>
    <s v="NO TECHNICAL ASSISTANCE CONDUCTED"/>
    <m/>
    <m/>
    <x v="0"/>
    <s v="Jan Emerson C. Gonzales"/>
    <s v="Jay Pee S. Ordoñez"/>
    <s v="Zosimo P. Suyat"/>
    <m/>
    <m/>
    <m/>
    <m/>
    <m/>
    <s v=""/>
    <s v=""/>
    <s v=""/>
    <s v=""/>
    <m/>
    <m/>
    <m/>
    <m/>
    <m/>
  </r>
  <r>
    <x v="3"/>
    <x v="58"/>
    <s v="MBA"/>
    <s v="Canantong"/>
    <n v="2471"/>
    <n v="2911"/>
    <s v="NO TECHNICAL ASSISTANCE CONDUCTED"/>
    <m/>
    <m/>
    <x v="0"/>
    <s v="Jan Emerson C. Gonzales"/>
    <s v="Jay Pee S. Ordoñez"/>
    <s v="Zosimo P. Suyat"/>
    <m/>
    <m/>
    <m/>
    <m/>
    <m/>
    <s v=""/>
    <s v=""/>
    <s v=""/>
    <s v=""/>
    <m/>
    <m/>
    <m/>
    <m/>
    <m/>
  </r>
  <r>
    <x v="3"/>
    <x v="58"/>
    <s v="MBA"/>
    <s v="Nauzon"/>
    <n v="857"/>
    <n v="930"/>
    <s v="NO TECHNICAL ASSISTANCE CONDUCTED"/>
    <m/>
    <m/>
    <x v="0"/>
    <s v="Jan Emerson C. Gonzales"/>
    <s v="Jay Pee S. Ordoñez"/>
    <s v="Zosimo P. Suyat"/>
    <m/>
    <m/>
    <m/>
    <m/>
    <m/>
    <s v=""/>
    <s v=""/>
    <s v=""/>
    <s v=""/>
    <m/>
    <m/>
    <m/>
    <m/>
    <m/>
  </r>
  <r>
    <x v="3"/>
    <x v="58"/>
    <s v="MBA"/>
    <s v="Pangarulong"/>
    <n v="420"/>
    <n v="459"/>
    <s v="NO TECHNICAL ASSISTANCE CONDUCTED"/>
    <m/>
    <m/>
    <x v="0"/>
    <s v="Jan Emerson C. Gonzales"/>
    <s v="Jay Pee S. Ordoñez"/>
    <s v="Zosimo P. Suyat"/>
    <m/>
    <m/>
    <m/>
    <m/>
    <m/>
    <s v=""/>
    <s v=""/>
    <s v=""/>
    <s v=""/>
    <m/>
    <m/>
    <m/>
    <m/>
    <m/>
  </r>
  <r>
    <x v="3"/>
    <x v="58"/>
    <s v="MBA"/>
    <s v="Pinagbayanan"/>
    <n v="1901"/>
    <n v="1927"/>
    <s v="NO TECHNICAL ASSISTANCE CONDUCTED"/>
    <m/>
    <m/>
    <x v="0"/>
    <s v="Jan Emerson C. Gonzales"/>
    <s v="Jay Pee S. Ordoñez"/>
    <s v="Zosimo P. Suyat"/>
    <m/>
    <m/>
    <m/>
    <m/>
    <m/>
    <s v=""/>
    <s v=""/>
    <s v=""/>
    <s v=""/>
    <m/>
    <m/>
    <m/>
    <m/>
    <m/>
  </r>
  <r>
    <x v="3"/>
    <x v="58"/>
    <s v="MBA"/>
    <s v="Sagana"/>
    <n v="2916"/>
    <n v="3173"/>
    <s v="CONDUCTED TECHNICAL ASSISTANCE"/>
    <n v="2024"/>
    <d v="2024-03-26T00:00:00"/>
    <x v="0"/>
    <s v="Jan Emerson C. Gonzales"/>
    <s v="Jay Pee S. Ordoñez"/>
    <s v="Zosimo P. Suyat"/>
    <m/>
    <m/>
    <m/>
    <m/>
    <m/>
    <s v=""/>
    <s v=""/>
    <s v=""/>
    <s v=""/>
    <m/>
    <m/>
    <m/>
    <m/>
    <m/>
  </r>
  <r>
    <x v="3"/>
    <x v="58"/>
    <s v="MBA"/>
    <s v="San Felipe"/>
    <n v="1976"/>
    <n v="2297"/>
    <s v="NO TECHNICAL ASSISTANCE CONDUCTED"/>
    <m/>
    <m/>
    <x v="0"/>
    <s v="Jan Emerson C. Gonzales"/>
    <s v="Jay Pee S. Ordoñez"/>
    <s v="Zosimo P. Suyat"/>
    <m/>
    <m/>
    <m/>
    <m/>
    <m/>
    <s v=""/>
    <s v=""/>
    <s v=""/>
    <s v=""/>
    <m/>
    <m/>
    <m/>
    <s v="Technical Assistance"/>
    <m/>
  </r>
  <r>
    <x v="3"/>
    <x v="58"/>
    <s v="MBA"/>
    <s v="San Fernando"/>
    <n v="3052"/>
    <n v="3183"/>
    <s v="NO TECHNICAL ASSISTANCE CONDUCTED"/>
    <m/>
    <m/>
    <x v="0"/>
    <s v="Jan Emerson C. Gonzales"/>
    <s v="Jay Pee S. Ordoñez"/>
    <s v="Zosimo P. Suyat"/>
    <m/>
    <m/>
    <m/>
    <m/>
    <m/>
    <s v=""/>
    <s v=""/>
    <s v=""/>
    <s v=""/>
    <m/>
    <m/>
    <m/>
    <m/>
    <m/>
  </r>
  <r>
    <x v="3"/>
    <x v="58"/>
    <s v="MBA"/>
    <s v="San Isidro"/>
    <n v="3457"/>
    <n v="4136"/>
    <s v="NO TECHNICAL ASSISTANCE CONDUCTED"/>
    <m/>
    <m/>
    <x v="0"/>
    <s v="Jan Emerson C. Gonzales"/>
    <s v="Jay Pee S. Ordoñez"/>
    <s v="Zosimo P. Suyat"/>
    <m/>
    <m/>
    <m/>
    <m/>
    <m/>
    <s v=""/>
    <s v=""/>
    <s v=""/>
    <s v=""/>
    <m/>
    <m/>
    <m/>
    <m/>
    <m/>
  </r>
  <r>
    <x v="3"/>
    <x v="58"/>
    <s v="MBA"/>
    <s v="San Josef"/>
    <n v="1736"/>
    <n v="1984"/>
    <s v="CONDUCTED TECHNICAL ASSISTANCE"/>
    <n v="2025"/>
    <d v="2025-10-09T00:00:00"/>
    <x v="12"/>
    <s v="Christian Jem L. Buluran"/>
    <s v="Jay Pee S. Ordoñez"/>
    <s v="Zosimo P. Suyat"/>
    <s v="R3-2025-034783"/>
    <d v="2025-10-15T00:00:00"/>
    <d v="2025-10-15T00:00:00"/>
    <d v="2025-10-16T00:00:00"/>
    <d v="2025-10-17T00:00:00"/>
    <n v="4"/>
    <n v="1"/>
    <n v="1"/>
    <n v="1"/>
    <s v="Received by Planning"/>
    <s v="MRS"/>
    <s v="OPERATIONAL"/>
    <s v="Technical Assistance"/>
    <m/>
  </r>
  <r>
    <x v="3"/>
    <x v="58"/>
    <s v="MBA"/>
    <s v="San Juan"/>
    <n v="2115"/>
    <n v="2435"/>
    <s v="NO TECHNICAL ASSISTANCE CONDUCTED"/>
    <m/>
    <m/>
    <x v="0"/>
    <s v="Christian Jem L. Buluran"/>
    <s v="Jay Pee S. Ordoñez"/>
    <s v="Zosimo P. Suyat"/>
    <m/>
    <m/>
    <m/>
    <m/>
    <m/>
    <s v=""/>
    <s v=""/>
    <s v=""/>
    <s v=""/>
    <m/>
    <m/>
    <m/>
    <m/>
    <m/>
  </r>
  <r>
    <x v="3"/>
    <x v="58"/>
    <s v="MBA"/>
    <s v="San Vicente"/>
    <n v="2315"/>
    <n v="2058"/>
    <s v="CONDUCTED TECHNICAL ASSISTANCE"/>
    <n v="2024"/>
    <d v="2024-02-29T00:00:00"/>
    <x v="0"/>
    <s v="Jan Emerson C. Gonzales"/>
    <s v="Jay Pee S. Ordoñez"/>
    <s v="Zosimo P. Suyat"/>
    <m/>
    <m/>
    <m/>
    <m/>
    <m/>
    <s v=""/>
    <s v=""/>
    <s v=""/>
    <s v=""/>
    <m/>
    <m/>
    <m/>
    <m/>
    <m/>
  </r>
  <r>
    <x v="3"/>
    <x v="58"/>
    <s v="MBA"/>
    <s v="Siclong"/>
    <n v="3162"/>
    <n v="3399"/>
    <s v="NO TECHNICAL ASSISTANCE CONDUCTED"/>
    <m/>
    <m/>
    <x v="0"/>
    <s v="Jan Emerson C. Gonzales"/>
    <s v="Jay Pee S. Ordoñez"/>
    <s v="Zosimo P. Suyat"/>
    <m/>
    <m/>
    <m/>
    <m/>
    <m/>
    <s v=""/>
    <s v=""/>
    <s v=""/>
    <s v=""/>
    <m/>
    <m/>
    <m/>
    <m/>
    <m/>
  </r>
  <r>
    <x v="3"/>
    <x v="59"/>
    <s v="MBA"/>
    <s v="Aquino"/>
    <n v="2476"/>
    <n v="2735"/>
    <s v="NO TECHNICAL ASSISTANCE CONDUCTED"/>
    <m/>
    <m/>
    <x v="0"/>
    <s v="Gem C. Vicencio"/>
    <s v="Jay Pee S. Ordoñez"/>
    <s v="Zosimo P. Suyat"/>
    <m/>
    <m/>
    <m/>
    <m/>
    <m/>
    <s v=""/>
    <s v=""/>
    <s v=""/>
    <s v=""/>
    <m/>
    <m/>
    <m/>
    <m/>
    <m/>
  </r>
  <r>
    <x v="3"/>
    <x v="59"/>
    <s v="MBA"/>
    <s v="Linao"/>
    <n v="1388"/>
    <n v="1498"/>
    <s v="CONDUCTED TECHNICAL ASSISTANCE"/>
    <n v="2025"/>
    <d v="2025-03-13T00:00:00"/>
    <x v="1"/>
    <s v="Gem C. Vicencio"/>
    <s v="Jay Pee S. Ordoñez"/>
    <s v="Zosimo P. Suyat"/>
    <s v="R3-2025-008757"/>
    <d v="2025-03-16T00:00:00"/>
    <d v="2025-03-18T00:00:00"/>
    <d v="2025-03-18T00:00:00"/>
    <d v="2025-03-19T00:00:00"/>
    <n v="1"/>
    <n v="1"/>
    <n v="1"/>
    <n v="1"/>
    <s v="Received by Planning"/>
    <s v="MRS"/>
    <s v="OPERATIONAL"/>
    <s v="Technical Assistance"/>
    <m/>
  </r>
  <r>
    <x v="3"/>
    <x v="59"/>
    <s v="MBA"/>
    <s v="Poblacion Norte"/>
    <n v="1393"/>
    <n v="1356"/>
    <s v="CONDUCTED TECHNICAL ASSISTANCE"/>
    <n v="2025"/>
    <d v="2025-02-12T00:00:00"/>
    <x v="3"/>
    <s v="Gem C. Vicencio"/>
    <s v="Jay Pee S. Ordoñez"/>
    <s v="Zosimo P. Suyat"/>
    <s v="R3-2025-005139"/>
    <d v="2025-02-12T00:00:00"/>
    <d v="2025-02-14T00:00:00"/>
    <d v="2025-02-14T00:00:00"/>
    <d v="2025-02-17T00:00:00"/>
    <n v="1"/>
    <n v="2"/>
    <n v="1"/>
    <n v="1"/>
    <s v="Received by Planning"/>
    <s v="MRS"/>
    <s v="OPERATIONAL"/>
    <s v="Technical Assistance"/>
    <m/>
  </r>
  <r>
    <x v="3"/>
    <x v="59"/>
    <s v="MBA"/>
    <s v="Poblacion Sur"/>
    <n v="2565"/>
    <n v="2561"/>
    <s v="NO TECHNICAL ASSISTANCE CONDUCTED"/>
    <m/>
    <m/>
    <x v="0"/>
    <s v="Gem C. Vicencio"/>
    <s v="Jay Pee S. Ordoñez"/>
    <s v="Zosimo P. Suyat"/>
    <m/>
    <m/>
    <m/>
    <m/>
    <m/>
    <s v=""/>
    <s v=""/>
    <s v=""/>
    <s v=""/>
    <m/>
    <m/>
    <m/>
    <m/>
    <m/>
  </r>
  <r>
    <x v="3"/>
    <x v="59"/>
    <s v="MBA"/>
    <s v="San Casimiro"/>
    <n v="3268"/>
    <n v="3211"/>
    <s v="NO TECHNICAL ASSISTANCE CONDUCTED"/>
    <m/>
    <m/>
    <x v="0"/>
    <s v="Gem C. Vicencio"/>
    <s v="Jay Pee S. Ordoñez"/>
    <s v="Zosimo P. Suyat"/>
    <m/>
    <m/>
    <m/>
    <m/>
    <m/>
    <s v=""/>
    <s v=""/>
    <s v=""/>
    <s v=""/>
    <m/>
    <m/>
    <m/>
    <m/>
    <m/>
  </r>
  <r>
    <x v="3"/>
    <x v="59"/>
    <s v="MBA"/>
    <s v="San Cristobal"/>
    <n v="3721"/>
    <n v="3863"/>
    <s v="NO TECHNICAL ASSISTANCE CONDUCTED"/>
    <m/>
    <m/>
    <x v="0"/>
    <s v="Gem C. Vicencio"/>
    <s v="Jay Pee S. Ordoñez"/>
    <s v="Zosimo P. Suyat"/>
    <m/>
    <m/>
    <m/>
    <m/>
    <m/>
    <s v=""/>
    <s v=""/>
    <s v=""/>
    <s v=""/>
    <m/>
    <m/>
    <m/>
    <m/>
    <m/>
  </r>
  <r>
    <x v="3"/>
    <x v="59"/>
    <s v="MBA"/>
    <s v="San Jose"/>
    <n v="1449"/>
    <n v="1624"/>
    <s v="NO TECHNICAL ASSISTANCE CONDUCTED"/>
    <m/>
    <m/>
    <x v="0"/>
    <s v="Gem C. Vicencio"/>
    <s v="Jay Pee S. Ordoñez"/>
    <s v="Zosimo P. Suyat"/>
    <m/>
    <m/>
    <m/>
    <m/>
    <m/>
    <s v=""/>
    <s v=""/>
    <s v=""/>
    <s v=""/>
    <m/>
    <m/>
    <m/>
    <m/>
    <m/>
  </r>
  <r>
    <x v="3"/>
    <x v="59"/>
    <s v="MBA"/>
    <s v="San Juan"/>
    <n v="3641"/>
    <n v="3758"/>
    <s v="CONDUCTED TECHNICAL ASSISTANCE"/>
    <n v="2025"/>
    <d v="2025-08-07T00:00:00"/>
    <x v="9"/>
    <s v="Gem C. Vicencio"/>
    <s v="Jay Pee S. Ordoñez"/>
    <s v="Zosimo P. Suyat"/>
    <s v="R3-2025-026729"/>
    <d v="2025-08-11T00:00:00"/>
    <d v="2025-08-12T00:00:00"/>
    <d v="2025-08-13T00:00:00"/>
    <d v="2025-08-15T00:00:00"/>
    <n v="2"/>
    <n v="1"/>
    <n v="1"/>
    <n v="2"/>
    <s v="Received by Planning"/>
    <s v="MRS"/>
    <s v="OPERATIONAL"/>
    <s v="Technical Assistance"/>
    <m/>
  </r>
  <r>
    <x v="3"/>
    <x v="59"/>
    <s v="MBA"/>
    <s v="Santa Maria"/>
    <n v="4249"/>
    <n v="4347"/>
    <s v="NO TECHNICAL ASSISTANCE CONDUCTED"/>
    <m/>
    <m/>
    <x v="0"/>
    <s v="Gem C. Vicencio"/>
    <s v="Jay Pee S. Ordoñez"/>
    <s v="Zosimo P. Suyat"/>
    <m/>
    <m/>
    <m/>
    <m/>
    <m/>
    <s v=""/>
    <s v=""/>
    <s v=""/>
    <s v=""/>
    <m/>
    <m/>
    <m/>
    <m/>
    <m/>
  </r>
  <r>
    <x v="3"/>
    <x v="59"/>
    <s v="MBA"/>
    <s v="Tabing Ilog"/>
    <n v="1031"/>
    <n v="1080"/>
    <s v="CONDUCTED TECHNICAL ASSISTANCE"/>
    <n v="2025"/>
    <d v="2025-02-12T00:00:00"/>
    <x v="3"/>
    <s v="Gem C. Vicencio"/>
    <s v="Jay Pee S. Ordoñez"/>
    <s v="Zosimo P. Suyat"/>
    <s v="R3-2025-005140"/>
    <d v="2025-02-12T00:00:00"/>
    <d v="2025-02-14T00:00:00"/>
    <d v="2025-02-14T00:00:00"/>
    <d v="2025-02-17T00:00:00"/>
    <n v="1"/>
    <n v="2"/>
    <n v="1"/>
    <n v="1"/>
    <s v="Received by Planning"/>
    <s v="MRS"/>
    <s v="OPERATIONAL"/>
    <s v="Technical Assistance"/>
    <m/>
  </r>
  <r>
    <x v="3"/>
    <x v="59"/>
    <s v="MBA"/>
    <s v="Villarosa"/>
    <n v="3073"/>
    <n v="3236"/>
    <s v="CONDUCTED TECHNICAL ASSISTANCE"/>
    <n v="2025"/>
    <d v="2025-05-15T00:00:00"/>
    <x v="6"/>
    <s v="Gem C. Vicencio"/>
    <s v="Jay Pee S. Ordoñez"/>
    <s v="Zosimo P. Suyat"/>
    <s v=" R3-2025-016332"/>
    <d v="2025-05-16T00:00:00"/>
    <d v="2025-05-19T00:00:00"/>
    <d v="2025-05-19T00:00:00"/>
    <d v="2025-05-19T00:00:00"/>
    <n v="1"/>
    <n v="1"/>
    <n v="1"/>
    <n v="1"/>
    <s v="Received by Planning"/>
    <s v="MRS"/>
    <s v="OPERATIONAL"/>
    <s v="Technical Assistance"/>
    <m/>
  </r>
  <r>
    <x v="3"/>
    <x v="60"/>
    <s v="MBA"/>
    <s v="Murcon"/>
    <n v="2175"/>
    <n v="2431"/>
    <s v="CONDUCTED TECHNICAL ASSISTANCE"/>
    <n v="2025"/>
    <d v="2025-08-07T00:00:00"/>
    <x v="7"/>
    <s v="Hosannah R. Sabio"/>
    <s v="Jay Pee S. Ordoñez"/>
    <s v="Zosimo P. Suyat"/>
    <s v="R3-2025-027488"/>
    <d v="2025-08-15T00:00:00"/>
    <d v="2025-08-18T00:00:00"/>
    <d v="2025-08-20T00:00:00"/>
    <d v="2025-08-20T00:00:00"/>
    <n v="6"/>
    <n v="1"/>
    <n v="2"/>
    <n v="1"/>
    <s v="Received by Planning"/>
    <s v="MRF"/>
    <s v="OPERATIONAL"/>
    <s v="Technical Assistance"/>
    <m/>
  </r>
  <r>
    <x v="3"/>
    <x v="60"/>
    <s v="MBA"/>
    <s v="A. Bonifacio"/>
    <n v="2494"/>
    <n v="2538"/>
    <s v="NO TECHNICAL ASSISTANCE CONDUCTED"/>
    <m/>
    <m/>
    <x v="0"/>
    <s v="Hosannah R. Sabio"/>
    <s v="Jay Pee S. Ordoñez"/>
    <s v="Zosimo P. Suyat"/>
    <m/>
    <m/>
    <m/>
    <m/>
    <m/>
    <s v=""/>
    <s v=""/>
    <s v=""/>
    <s v=""/>
    <m/>
    <m/>
    <m/>
    <m/>
    <m/>
  </r>
  <r>
    <x v="3"/>
    <x v="60"/>
    <s v="MBA"/>
    <s v="Bagumbayan (Pob.)"/>
    <n v="3400"/>
    <n v="3551"/>
    <s v="CONDUCTED TECHNICAL ASSISTANCE"/>
    <n v="2024"/>
    <d v="2024-07-31T00:00:00"/>
    <x v="0"/>
    <s v="Hosannah R. Sabio"/>
    <s v="Jay Pee S. Ordoñez"/>
    <s v="Zosimo P. Suyat"/>
    <m/>
    <m/>
    <m/>
    <m/>
    <m/>
    <s v=""/>
    <s v=""/>
    <s v=""/>
    <s v=""/>
    <m/>
    <s v="MRF"/>
    <s v="OPERATIONAL"/>
    <s v="Technical Assistance"/>
    <m/>
  </r>
  <r>
    <x v="3"/>
    <x v="60"/>
    <s v="MBA"/>
    <s v="Bosque"/>
    <n v="1013"/>
    <n v="918"/>
    <s v="CONDUCTED TECHNICAL ASSISTANCE"/>
    <n v="2024"/>
    <d v="2024-05-07T00:00:00"/>
    <x v="0"/>
    <s v="Hosannah R. Sabio"/>
    <s v="Jay Pee S. Ordoñez"/>
    <s v="Zosimo P. Suyat"/>
    <m/>
    <m/>
    <m/>
    <m/>
    <m/>
    <s v=""/>
    <s v=""/>
    <s v=""/>
    <s v=""/>
    <m/>
    <m/>
    <m/>
    <s v="Technical Assistance"/>
    <m/>
  </r>
  <r>
    <x v="3"/>
    <x v="60"/>
    <s v="MBA"/>
    <s v="Caridad Norte"/>
    <n v="1236"/>
    <n v="1259"/>
    <s v="CONDUCTED TECHNICAL ASSISTANCE"/>
    <n v="2024"/>
    <d v="2024-04-15T00:00:00"/>
    <x v="0"/>
    <s v="Hosannah R. Sabio"/>
    <s v="Jay Pee S. Ordoñez"/>
    <s v="Zosimo P. Suyat"/>
    <m/>
    <m/>
    <m/>
    <m/>
    <m/>
    <s v=""/>
    <s v=""/>
    <s v=""/>
    <s v=""/>
    <m/>
    <m/>
    <m/>
    <s v="Technical Assistance"/>
    <m/>
  </r>
  <r>
    <x v="3"/>
    <x v="60"/>
    <s v="MBA"/>
    <s v="Caridad Sur"/>
    <n v="1432"/>
    <n v="1572"/>
    <s v="CONDUCTED TECHNICAL ASSISTANCE"/>
    <n v="2024"/>
    <d v="2024-04-15T00:00:00"/>
    <x v="0"/>
    <s v="Hosannah R. Sabio"/>
    <s v="Jay Pee S. Ordoñez"/>
    <s v="Zosimo P. Suyat"/>
    <m/>
    <m/>
    <m/>
    <m/>
    <m/>
    <s v=""/>
    <s v=""/>
    <s v=""/>
    <s v=""/>
    <m/>
    <s v="MRF"/>
    <s v="OPERATIONAL"/>
    <s v="Technical Assistance"/>
    <m/>
  </r>
  <r>
    <x v="3"/>
    <x v="60"/>
    <s v="MBA"/>
    <s v="Casile"/>
    <n v="2174"/>
    <n v="2268"/>
    <s v="CONDUCTED TECHNICAL ASSISTANCE"/>
    <n v="2025"/>
    <d v="2025-08-07T00:00:00"/>
    <x v="9"/>
    <s v="Hosannah R. Sabio"/>
    <s v="Jay Pee S. Ordoñez"/>
    <s v="Zosimo P. Suyat"/>
    <s v="R3-2025-027487"/>
    <d v="2025-08-15T00:00:00"/>
    <d v="2025-08-18T00:00:00"/>
    <d v="2025-08-19T00:00:00"/>
    <d v="2025-08-20T00:00:00"/>
    <n v="6"/>
    <n v="1"/>
    <n v="1"/>
    <n v="1"/>
    <s v="Received by Planning"/>
    <s v="MRF"/>
    <s v="OPERATIONAL"/>
    <s v="Technical Assistance"/>
    <m/>
  </r>
  <r>
    <x v="3"/>
    <x v="60"/>
    <s v="MBA"/>
    <s v="Florida Blanca"/>
    <n v="889"/>
    <n v="933"/>
    <s v="CONDUCTED TECHNICAL ASSISTANCE"/>
    <n v="2025"/>
    <d v="2025-10-10T00:00:00"/>
    <x v="12"/>
    <s v="Hosannah R. Sabio"/>
    <s v="Jay Pee S. Ordoñez"/>
    <s v="Zosimo P. Suyat"/>
    <s v=" R3-2025-034635"/>
    <d v="2025-10-14T00:00:00"/>
    <d v="2025-10-14T00:00:00"/>
    <d v="2025-10-16T00:00:00"/>
    <d v="2025-10-17T00:00:00"/>
    <n v="2"/>
    <n v="1"/>
    <n v="2"/>
    <n v="1"/>
    <s v="Received by Planning"/>
    <s v="MRF"/>
    <s v="NON-OPERATIONAL"/>
    <s v="Technical Assistance"/>
    <m/>
  </r>
  <r>
    <x v="3"/>
    <x v="60"/>
    <s v="MBA"/>
    <s v="General Luna"/>
    <n v="2763"/>
    <n v="3030"/>
    <s v="CONDUCTED TECHNICAL ASSISTANCE"/>
    <n v="2024"/>
    <d v="2024-05-07T00:00:00"/>
    <x v="0"/>
    <s v="Hosannah R. Sabio"/>
    <s v="Jay Pee S. Ordoñez"/>
    <s v="Zosimo P. Suyat"/>
    <m/>
    <m/>
    <m/>
    <m/>
    <m/>
    <s v=""/>
    <s v=""/>
    <s v=""/>
    <s v=""/>
    <m/>
    <m/>
    <m/>
    <s v="Technical Assistance"/>
    <m/>
  </r>
  <r>
    <x v="3"/>
    <x v="60"/>
    <s v="MBA"/>
    <s v="General Ricarte"/>
    <n v="2384"/>
    <n v="2500"/>
    <s v="CONDUCTED TECHNICAL ASSISTANCE"/>
    <n v="2025"/>
    <d v="2025-05-28T00:00:00"/>
    <x v="10"/>
    <s v="Hosannah R. Sabio"/>
    <s v="Jay Pee S. Ordoñez"/>
    <s v="Zosimo P. Suyat"/>
    <s v="R3-2025-018354"/>
    <d v="2025-06-02T00:00:00"/>
    <d v="2025-06-03T00:00:00"/>
    <d v="2025-06-04T00:00:00"/>
    <d v="2025-06-05T00:00:00"/>
    <n v="3"/>
    <n v="1"/>
    <n v="1"/>
    <n v="1"/>
    <s v="Received by Planning"/>
    <s v="MRF"/>
    <s v="UNDER CONSTRUCTION"/>
    <s v="Technical Assistance"/>
    <m/>
  </r>
  <r>
    <x v="3"/>
    <x v="60"/>
    <s v="MBA"/>
    <s v="Gomez"/>
    <n v="1040"/>
    <n v="1222"/>
    <s v="NO TECHNICAL ASSISTANCE CONDUCTED"/>
    <m/>
    <m/>
    <x v="0"/>
    <s v="Hosannah R. Sabio"/>
    <s v="Jay Pee S. Ordoñez"/>
    <s v="Zosimo P. Suyat"/>
    <m/>
    <m/>
    <m/>
    <m/>
    <m/>
    <s v=""/>
    <s v=""/>
    <s v=""/>
    <s v=""/>
    <m/>
    <m/>
    <m/>
    <m/>
    <m/>
  </r>
  <r>
    <x v="3"/>
    <x v="60"/>
    <s v="MBA"/>
    <s v="Inanama"/>
    <n v="1339"/>
    <n v="1481"/>
    <s v="NO TECHNICAL ASSISTANCE CONDUCTED"/>
    <m/>
    <m/>
    <x v="0"/>
    <s v="Hosannah R. Sabio"/>
    <s v="Jay Pee S. Ordoñez"/>
    <s v="Zosimo P. Suyat"/>
    <m/>
    <m/>
    <m/>
    <m/>
    <m/>
    <s v=""/>
    <s v=""/>
    <s v=""/>
    <s v=""/>
    <m/>
    <m/>
    <m/>
    <m/>
    <m/>
  </r>
  <r>
    <x v="3"/>
    <x v="60"/>
    <s v="MBA"/>
    <s v="Ligaya"/>
    <n v="690"/>
    <n v="739"/>
    <s v="CONDUCTED TECHNICAL ASSISTANCE"/>
    <n v="2025"/>
    <d v="2025-10-07T00:00:00"/>
    <x v="5"/>
    <s v="Hosannah R. Sabio"/>
    <s v="Jay Pee S. Ordoñez"/>
    <s v="Zosimo P. Suyat"/>
    <s v="R3-2025-034633"/>
    <d v="2025-10-14T00:00:00"/>
    <d v="2025-10-14T00:00:00"/>
    <d v="2025-10-16T00:00:00"/>
    <d v="2025-10-17T00:00:00"/>
    <n v="5"/>
    <n v="1"/>
    <n v="2"/>
    <n v="1"/>
    <s v="Received by Planning"/>
    <s v="MRF"/>
    <s v="OPERATIONAL"/>
    <s v="Technical Assistance"/>
    <m/>
  </r>
  <r>
    <x v="3"/>
    <x v="60"/>
    <s v="MBA"/>
    <s v="Mabini"/>
    <n v="1487"/>
    <n v="1629"/>
    <s v="NO TECHNICAL ASSISTANCE CONDUCTED"/>
    <m/>
    <m/>
    <x v="0"/>
    <s v="Hosannah R. Sabio"/>
    <s v="Jay Pee S. Ordoñez"/>
    <s v="Zosimo P. Suyat"/>
    <m/>
    <m/>
    <m/>
    <m/>
    <m/>
    <s v=""/>
    <s v=""/>
    <s v=""/>
    <s v=""/>
    <m/>
    <m/>
    <m/>
    <m/>
    <m/>
  </r>
  <r>
    <x v="3"/>
    <x v="60"/>
    <s v="MBA"/>
    <s v="Plaridel"/>
    <n v="3492"/>
    <n v="3711"/>
    <s v="CONDUCTED TECHNICAL ASSISTANCE"/>
    <n v="2024"/>
    <d v="2024-07-31T00:00:00"/>
    <x v="0"/>
    <s v="Hosannah R. Sabio"/>
    <s v="Jay Pee S. Ordoñez"/>
    <s v="Zosimo P. Suyat"/>
    <m/>
    <m/>
    <m/>
    <m/>
    <m/>
    <s v=""/>
    <s v=""/>
    <s v=""/>
    <s v=""/>
    <m/>
    <s v="MRF"/>
    <s v="OPERATIONAL"/>
    <s v="Technical Assistance"/>
    <m/>
  </r>
  <r>
    <x v="3"/>
    <x v="60"/>
    <s v="MBA"/>
    <s v="San Felipe"/>
    <n v="1914"/>
    <n v="1984"/>
    <s v="CONDUCTED TECHNICAL ASSISTANCE"/>
    <n v="2024"/>
    <d v="2024-05-07T00:00:00"/>
    <x v="0"/>
    <s v="Hosannah R. Sabio"/>
    <s v="Jay Pee S. Ordoñez"/>
    <s v="Zosimo P. Suyat"/>
    <m/>
    <m/>
    <m/>
    <m/>
    <m/>
    <s v=""/>
    <s v=""/>
    <s v=""/>
    <s v=""/>
    <m/>
    <m/>
    <m/>
    <s v="Technical Assistance"/>
    <m/>
  </r>
  <r>
    <x v="3"/>
    <x v="60"/>
    <s v="MBA"/>
    <s v="San Francisco"/>
    <n v="2177"/>
    <n v="2229"/>
    <s v="NO TECHNICAL ASSISTANCE CONDUCTED"/>
    <m/>
    <m/>
    <x v="0"/>
    <s v="Hosannah R. Sabio"/>
    <s v="Jay Pee S. Ordoñez"/>
    <s v="Zosimo P. Suyat"/>
    <m/>
    <m/>
    <m/>
    <m/>
    <m/>
    <s v=""/>
    <s v=""/>
    <s v=""/>
    <s v=""/>
    <m/>
    <m/>
    <m/>
    <m/>
    <m/>
  </r>
  <r>
    <x v="3"/>
    <x v="60"/>
    <s v="MBA"/>
    <s v="San Nicolas"/>
    <n v="455"/>
    <n v="577"/>
    <s v="CONDUCTED TECHNICAL ASSISTANCE"/>
    <n v="2024"/>
    <d v="2024-11-15T00:00:00"/>
    <x v="0"/>
    <s v="Hosannah R. Sabio"/>
    <s v="Jay Pee S. Ordoñez"/>
    <s v="Zosimo P. Suyat"/>
    <m/>
    <m/>
    <m/>
    <m/>
    <m/>
    <s v=""/>
    <s v=""/>
    <s v=""/>
    <s v=""/>
    <m/>
    <s v="MRF"/>
    <s v="OPERATIONAL"/>
    <s v="Technical Assistance"/>
    <m/>
  </r>
  <r>
    <x v="3"/>
    <x v="60"/>
    <s v="MBA"/>
    <s v="San Vicente"/>
    <n v="1356"/>
    <n v="1427"/>
    <s v="NO TECHNICAL ASSISTANCE CONDUCTED"/>
    <m/>
    <m/>
    <x v="0"/>
    <s v="Hosannah R. Sabio"/>
    <s v="Jay Pee S. Ordoñez"/>
    <s v="Zosimo P. Suyat"/>
    <m/>
    <m/>
    <m/>
    <m/>
    <m/>
    <s v=""/>
    <s v=""/>
    <s v=""/>
    <s v=""/>
    <m/>
    <m/>
    <m/>
    <m/>
    <m/>
  </r>
  <r>
    <x v="3"/>
    <x v="60"/>
    <s v="MBA"/>
    <s v="Santa Barbara"/>
    <n v="1635"/>
    <n v="1910"/>
    <s v="CONDUCTED TECHNICAL ASSISTANCE"/>
    <n v="2025"/>
    <d v="2025-10-10T00:00:00"/>
    <x v="5"/>
    <s v="Hosannah R. Sabio"/>
    <s v="Jay Pee S. Ordoñez"/>
    <s v="Zosimo P. Suyat"/>
    <s v="R3-2025-034637"/>
    <d v="2025-10-14T00:00:00"/>
    <d v="2025-10-14T00:00:00"/>
    <d v="2025-10-16T00:00:00"/>
    <d v="2025-10-17T00:00:00"/>
    <n v="2"/>
    <n v="1"/>
    <n v="2"/>
    <n v="1"/>
    <s v="Received by Planning"/>
    <s v="MRF"/>
    <s v="OPERATIONAL"/>
    <s v="Technical Assistance"/>
    <m/>
  </r>
  <r>
    <x v="3"/>
    <x v="60"/>
    <s v="MBA"/>
    <s v="Victoria"/>
    <n v="3003"/>
    <n v="3185"/>
    <s v="CONDUCTED TECHNICAL ASSISTANCE"/>
    <n v="2024"/>
    <d v="2024-04-05T00:00:00"/>
    <x v="0"/>
    <s v="Hosannah R. Sabio"/>
    <s v="Jay Pee S. Ordoñez"/>
    <s v="Zosimo P. Suyat"/>
    <m/>
    <m/>
    <m/>
    <m/>
    <m/>
    <s v=""/>
    <s v=""/>
    <s v=""/>
    <s v=""/>
    <m/>
    <m/>
    <m/>
    <s v="Technical Assistance"/>
    <m/>
  </r>
  <r>
    <x v="3"/>
    <x v="60"/>
    <s v="MBA"/>
    <s v="Villa Viniegas"/>
    <n v="1153"/>
    <n v="1187"/>
    <s v="CONDUCTED TECHNICAL ASSISTANCE"/>
    <n v="2025"/>
    <d v="2025-10-10T00:00:00"/>
    <x v="5"/>
    <s v="Hosannah R. Sabio"/>
    <s v="Jay Pee S. Ordoñez"/>
    <s v="Zosimo P. Suyat"/>
    <s v="R3-2025-034634"/>
    <d v="2025-10-14T00:00:00"/>
    <d v="2025-10-14T00:00:00"/>
    <d v="2025-10-16T00:00:00"/>
    <d v="2025-10-17T00:00:00"/>
    <n v="2"/>
    <n v="1"/>
    <n v="2"/>
    <n v="1"/>
    <s v="Received by Planning"/>
    <s v="MRF"/>
    <s v="OPERATIONAL"/>
    <s v="Technical Assistance"/>
    <m/>
  </r>
  <r>
    <x v="3"/>
    <x v="61"/>
    <s v="MBA"/>
    <s v="Namulandayan"/>
    <n v="1743"/>
    <n v="2058"/>
    <s v="CONDUCTED TECHNICAL ASSISTANCE"/>
    <n v="2025"/>
    <d v="2025-09-18T00:00:00"/>
    <x v="7"/>
    <s v="Aser A. Inocencio, Jr."/>
    <s v="Jay Pee S. Ordoñez"/>
    <s v="Zosimo P. Suyat"/>
    <s v="R3-2025-031797"/>
    <d v="2025-09-19T00:00:00"/>
    <d v="2025-09-19T00:00:00"/>
    <d v="2025-09-19T00:00:00"/>
    <d v="2025-09-19T00:00:00"/>
    <n v="1"/>
    <n v="1"/>
    <n v="1"/>
    <n v="1"/>
    <s v="Received by Planning"/>
    <s v="MRS"/>
    <s v="OPERATIONAL"/>
    <s v="Technical Assistance"/>
    <m/>
  </r>
  <r>
    <x v="3"/>
    <x v="61"/>
    <s v="MBA"/>
    <s v="Agupalo Este"/>
    <n v="1358"/>
    <n v="1485"/>
    <s v="CONDUCTED TECHNICAL ASSISTANCE"/>
    <n v="2025"/>
    <d v="2025-07-09T00:00:00"/>
    <x v="8"/>
    <s v="Aser A. Inocencio, Jr."/>
    <s v="Jay Pee S. Ordoñez"/>
    <s v="Zosimo P. Suyat"/>
    <s v="R3-2025-023911"/>
    <d v="2025-07-17T00:00:00"/>
    <d v="2025-07-17T00:00:00"/>
    <d v="2025-07-17T00:00:00"/>
    <d v="2025-07-18T00:00:00"/>
    <n v="6"/>
    <n v="1"/>
    <n v="1"/>
    <n v="1"/>
    <s v="Received by Planning"/>
    <s v="MRS"/>
    <s v="OPERATIONAL"/>
    <s v="Technical Assistance"/>
    <m/>
  </r>
  <r>
    <x v="3"/>
    <x v="61"/>
    <s v="MBA"/>
    <s v="Agupalo Weste"/>
    <n v="1675"/>
    <n v="1788"/>
    <s v="CONDUCTED TECHNICAL ASSISTANCE"/>
    <n v="2024"/>
    <d v="2024-08-13T00:00:00"/>
    <x v="0"/>
    <s v="Aser A. Inocencio, Jr."/>
    <s v="Jay Pee S. Ordoñez"/>
    <s v="Zosimo P. Suyat"/>
    <m/>
    <m/>
    <m/>
    <m/>
    <m/>
    <s v=""/>
    <s v=""/>
    <s v=""/>
    <s v=""/>
    <m/>
    <s v="MRF"/>
    <s v="OPERATIONAL"/>
    <s v="Technical Assistance"/>
    <m/>
  </r>
  <r>
    <x v="3"/>
    <x v="61"/>
    <s v="MBA"/>
    <s v="Alalay Chica"/>
    <n v="945"/>
    <n v="922"/>
    <s v="CONDUCTED TECHNICAL ASSISTANCE"/>
    <n v="2025"/>
    <d v="2025-02-07T00:00:00"/>
    <x v="3"/>
    <s v="Aser A. Inocencio, Jr."/>
    <s v="Jay Pee S. Ordoñez"/>
    <s v="Zosimo P. Suyat"/>
    <s v="R3-2025-004801"/>
    <d v="2025-02-10T00:00:00"/>
    <d v="2025-02-11T00:00:00"/>
    <d v="2025-02-11T00:00:00"/>
    <d v="2025-02-13T00:00:00"/>
    <n v="1"/>
    <n v="1"/>
    <n v="1"/>
    <n v="2"/>
    <s v="Received by Planning"/>
    <s v="MRS"/>
    <s v="OPERATIONAL"/>
    <s v="Technical Assistance"/>
    <m/>
  </r>
  <r>
    <x v="3"/>
    <x v="61"/>
    <s v="MBA"/>
    <s v="Alalay Grande"/>
    <n v="1840"/>
    <n v="1777"/>
    <s v="NO TECHNICAL ASSISTANCE CONDUCTED"/>
    <m/>
    <m/>
    <x v="0"/>
    <s v="Aser A. Inocencio, Jr."/>
    <s v="Jay Pee S. Ordoñez"/>
    <s v="Zosimo P. Suyat"/>
    <m/>
    <m/>
    <m/>
    <m/>
    <m/>
    <s v=""/>
    <s v=""/>
    <s v=""/>
    <s v=""/>
    <m/>
    <m/>
    <m/>
    <m/>
    <m/>
  </r>
  <r>
    <x v="3"/>
    <x v="61"/>
    <s v="MBA"/>
    <s v="Bagong Flores"/>
    <n v="3816"/>
    <n v="3971"/>
    <s v="CONDUCTED TECHNICAL ASSISTANCE"/>
    <n v="2025"/>
    <d v="2025-03-11T00:00:00"/>
    <x v="1"/>
    <s v="Aser A. Inocencio, Jr."/>
    <s v="Jay Pee S. Ordoñez"/>
    <s v="Zosimo P. Suyat"/>
    <s v="R3-2025-009111"/>
    <m/>
    <m/>
    <m/>
    <m/>
    <s v=""/>
    <s v=""/>
    <s v=""/>
    <s v=""/>
    <s v="Received by Planning"/>
    <s v="MRS"/>
    <s v="OPERATIONAL"/>
    <s v="Technical Assistance"/>
    <m/>
  </r>
  <r>
    <x v="3"/>
    <x v="61"/>
    <s v="MBA"/>
    <s v="Balbalungao"/>
    <n v="2677"/>
    <n v="2454"/>
    <s v="NO TECHNICAL ASSISTANCE CONDUCTED"/>
    <m/>
    <m/>
    <x v="0"/>
    <s v="Aser A. Inocencio, Jr."/>
    <s v="Jay Pee S. Ordoñez"/>
    <s v="Zosimo P. Suyat"/>
    <m/>
    <m/>
    <m/>
    <m/>
    <m/>
    <s v=""/>
    <s v=""/>
    <s v=""/>
    <s v=""/>
    <m/>
    <m/>
    <m/>
    <m/>
    <m/>
  </r>
  <r>
    <x v="3"/>
    <x v="61"/>
    <s v="MBA"/>
    <s v="Burgos"/>
    <n v="1502"/>
    <n v="1570"/>
    <s v="CONDUCTED TECHNICAL ASSISTANCE"/>
    <n v="2024"/>
    <d v="2024-08-14T00:00:00"/>
    <x v="0"/>
    <s v="Aser A. Inocencio, Jr."/>
    <s v="Jay Pee S. Ordoñez"/>
    <s v="Zosimo P. Suyat"/>
    <m/>
    <m/>
    <m/>
    <m/>
    <m/>
    <s v=""/>
    <s v=""/>
    <s v=""/>
    <s v=""/>
    <m/>
    <s v="MRF"/>
    <s v="OPERATIONAL"/>
    <s v="Technical Assistance"/>
    <m/>
  </r>
  <r>
    <x v="3"/>
    <x v="61"/>
    <s v="MBA"/>
    <s v="Cordero"/>
    <n v="1017"/>
    <n v="1075"/>
    <s v="CONDUCTED TECHNICAL ASSISTANCE"/>
    <n v="2024"/>
    <d v="2024-09-06T00:00:00"/>
    <x v="0"/>
    <s v="Aser A. Inocencio, Jr."/>
    <s v="Jay Pee S. Ordoñez"/>
    <s v="Zosimo P. Suyat"/>
    <m/>
    <m/>
    <m/>
    <m/>
    <m/>
    <s v=""/>
    <s v=""/>
    <s v=""/>
    <s v=""/>
    <m/>
    <s v="MRF"/>
    <s v="OPERATIONAL"/>
    <s v="Technical Assistance"/>
    <m/>
  </r>
  <r>
    <x v="3"/>
    <x v="61"/>
    <s v="MBA"/>
    <s v="J. U. Tienzo"/>
    <n v="1640"/>
    <n v="1817"/>
    <s v="CONDUCTED TECHNICAL ASSISTANCE"/>
    <n v="2024"/>
    <d v="2024-09-06T00:00:00"/>
    <x v="0"/>
    <s v="Aser A. Inocencio, Jr."/>
    <s v="Jay Pee S. Ordoñez"/>
    <s v="Zosimo P. Suyat"/>
    <m/>
    <m/>
    <m/>
    <m/>
    <m/>
    <s v=""/>
    <s v=""/>
    <s v=""/>
    <s v=""/>
    <m/>
    <s v="MRF"/>
    <s v="OPERATIONAL"/>
    <s v="Technical Assistance"/>
    <m/>
  </r>
  <r>
    <x v="3"/>
    <x v="61"/>
    <s v="MBA"/>
    <s v="Mapangpang"/>
    <n v="782"/>
    <n v="692"/>
    <s v="CONDUCTED TECHNICAL ASSISTANCE"/>
    <n v="2025"/>
    <d v="2025-02-07T00:00:00"/>
    <x v="3"/>
    <s v="Aser A. Inocencio, Jr."/>
    <s v="Jay Pee S. Ordoñez"/>
    <s v="Zosimo P. Suyat"/>
    <s v="R3-2025-004803"/>
    <d v="2025-02-10T00:00:00"/>
    <d v="2025-02-11T00:00:00"/>
    <d v="2025-02-11T00:00:00"/>
    <d v="2025-02-13T00:00:00"/>
    <n v="1"/>
    <n v="1"/>
    <n v="1"/>
    <n v="2"/>
    <s v="Received by Planning"/>
    <s v="MRS"/>
    <s v="OPERATIONAL"/>
    <s v="Technical Assistance"/>
    <m/>
  </r>
  <r>
    <x v="3"/>
    <x v="61"/>
    <s v="MBA"/>
    <s v="San Antonio Weste"/>
    <n v="1664"/>
    <n v="1823"/>
    <s v="CONDUCTED TECHNICAL ASSISTANCE"/>
    <n v="2025"/>
    <d v="2025-09-18T00:00:00"/>
    <x v="7"/>
    <s v="Aser A. Inocencio, Jr."/>
    <s v="Jay Pee S. Ordoñez"/>
    <s v="Zosimo P. Suyat"/>
    <s v="R3-2025-031745"/>
    <d v="2025-09-18T00:00:00"/>
    <d v="2025-09-18T00:00:00"/>
    <d v="2025-09-18T00:00:00"/>
    <d v="2025-09-19T00:00:00"/>
    <n v="1"/>
    <n v="1"/>
    <n v="1"/>
    <n v="1"/>
    <s v="Received by Planning"/>
    <s v="MRS"/>
    <s v="OPERATIONAL"/>
    <s v="Technical Assistance"/>
    <m/>
  </r>
  <r>
    <x v="3"/>
    <x v="61"/>
    <s v="MBA"/>
    <s v="Parista"/>
    <n v="3998"/>
    <n v="4451"/>
    <s v="CONDUCTED TECHNICAL ASSISTANCE"/>
    <n v="2025"/>
    <d v="2025-02-12T00:00:00"/>
    <x v="3"/>
    <s v="Aser A. Inocencio, Jr."/>
    <s v="Jay Pee S. Ordoñez"/>
    <s v="Zosimo P. Suyat"/>
    <s v="R3-2025-005582"/>
    <d v="2025-02-17T00:00:00"/>
    <d v="2025-02-17T00:00:00"/>
    <d v="2025-02-17T00:00:00"/>
    <d v="2025-02-18T00:00:00"/>
    <n v="3"/>
    <n v="1"/>
    <n v="1"/>
    <n v="1"/>
    <s v="Received by Planning"/>
    <s v="MRS"/>
    <s v="OPERATIONAL"/>
    <s v="Technical Assistance"/>
    <m/>
  </r>
  <r>
    <x v="3"/>
    <x v="61"/>
    <s v="MBA"/>
    <s v="Poblacion East"/>
    <n v="884"/>
    <n v="765"/>
    <s v="NO TECHNICAL ASSISTANCE CONDUCTED"/>
    <m/>
    <m/>
    <x v="0"/>
    <s v="Aser A. Inocencio, Jr."/>
    <s v="Jay Pee S. Ordoñez"/>
    <s v="Zosimo P. Suyat"/>
    <m/>
    <m/>
    <m/>
    <m/>
    <m/>
    <s v=""/>
    <s v=""/>
    <s v=""/>
    <s v=""/>
    <m/>
    <m/>
    <m/>
    <m/>
    <m/>
  </r>
  <r>
    <x v="3"/>
    <x v="61"/>
    <s v="MBA"/>
    <s v="Poblacion North"/>
    <n v="659"/>
    <n v="566"/>
    <s v="NO TECHNICAL ASSISTANCE CONDUCTED"/>
    <m/>
    <m/>
    <x v="0"/>
    <s v="Aser A. Inocencio, Jr."/>
    <s v="Jay Pee S. Ordoñez"/>
    <s v="Zosimo P. Suyat"/>
    <m/>
    <m/>
    <m/>
    <m/>
    <m/>
    <s v=""/>
    <s v=""/>
    <s v=""/>
    <s v=""/>
    <m/>
    <m/>
    <m/>
    <m/>
    <m/>
  </r>
  <r>
    <x v="3"/>
    <x v="61"/>
    <s v="MBA"/>
    <s v="Poblacion South"/>
    <n v="1392"/>
    <n v="1700"/>
    <s v="CONDUCTED TECHNICAL ASSISTANCE"/>
    <n v="2025"/>
    <d v="2025-04-10T00:00:00"/>
    <x v="4"/>
    <s v="Aser A. Inocencio, Jr."/>
    <s v="Jay Pee S. Ordoñez"/>
    <s v="Zosimo P. Suyat"/>
    <s v="R3-2025-012808"/>
    <d v="2025-04-14T00:00:00"/>
    <d v="2025-04-15T00:00:00"/>
    <d v="2025-04-15T00:00:00"/>
    <d v="2025-04-15T00:00:00"/>
    <n v="2"/>
    <n v="1"/>
    <n v="1"/>
    <n v="1"/>
    <s v="Received by Planning"/>
    <s v="MRS"/>
    <s v="OPERATIONAL"/>
    <s v="Technical Assistance"/>
    <m/>
  </r>
  <r>
    <x v="3"/>
    <x v="61"/>
    <s v="MBA"/>
    <s v="Poblacion West"/>
    <n v="1307"/>
    <n v="1387"/>
    <s v="NO TECHNICAL ASSISTANCE CONDUCTED"/>
    <m/>
    <m/>
    <x v="0"/>
    <s v="Aser A. Inocencio, Jr."/>
    <s v="Jay Pee S. Ordoñez"/>
    <s v="Zosimo P. Suyat"/>
    <m/>
    <m/>
    <m/>
    <m/>
    <m/>
    <s v=""/>
    <s v=""/>
    <s v=""/>
    <s v=""/>
    <m/>
    <m/>
    <m/>
    <m/>
    <m/>
  </r>
  <r>
    <x v="3"/>
    <x v="61"/>
    <s v="MBA"/>
    <s v="Salvacion I"/>
    <n v="1818"/>
    <n v="2092"/>
    <s v="CONDUCTED TECHNICAL ASSISTANCE"/>
    <n v="2025"/>
    <d v="2025-03-28T00:00:00"/>
    <x v="4"/>
    <s v="Aser A. Inocencio, Jr."/>
    <s v="Jay Pee S. Ordoñez"/>
    <s v="Zosimo P. Suyat"/>
    <s v="R3-2025-011885"/>
    <d v="2025-04-08T00:00:00"/>
    <d v="2025-04-10T00:00:00"/>
    <d v="2025-04-10T00:00:00"/>
    <d v="2025-04-10T00:00:00"/>
    <n v="7"/>
    <n v="2"/>
    <n v="1"/>
    <n v="1"/>
    <s v="Received by Planning"/>
    <s v="MRS"/>
    <s v="OPERATIONAL"/>
    <s v="Technical Assistance"/>
    <m/>
  </r>
  <r>
    <x v="3"/>
    <x v="61"/>
    <s v="MBA"/>
    <s v="Salvacion II"/>
    <n v="1776"/>
    <n v="1798"/>
    <s v="CONDUCTED TECHNICAL ASSISTANCE"/>
    <n v="2025"/>
    <d v="2025-03-28T00:00:00"/>
    <x v="4"/>
    <s v="Aser A. Inocencio, Jr."/>
    <s v="Jay Pee S. Ordoñez"/>
    <s v="Zosimo P. Suyat"/>
    <s v="R3-2025-011886"/>
    <d v="2025-04-08T00:00:00"/>
    <d v="2025-04-10T00:00:00"/>
    <d v="2025-04-10T00:00:00"/>
    <d v="2025-04-10T00:00:00"/>
    <n v="7"/>
    <n v="2"/>
    <n v="1"/>
    <n v="1"/>
    <s v="Received by Planning"/>
    <s v="MRS"/>
    <s v="OPERATIONAL"/>
    <s v="Technical Assistance"/>
    <m/>
  </r>
  <r>
    <x v="3"/>
    <x v="61"/>
    <s v="MBA"/>
    <s v="San Antonio Este"/>
    <n v="2119"/>
    <n v="2189"/>
    <s v="CONDUCTED TECHNICAL ASSISTANCE"/>
    <n v="2024"/>
    <d v="2024-04-03T00:00:00"/>
    <x v="0"/>
    <s v="Aser A. Inocencio, Jr."/>
    <s v="Jay Pee S. Ordoñez"/>
    <s v="Zosimo P. Suyat"/>
    <m/>
    <m/>
    <m/>
    <m/>
    <m/>
    <s v=""/>
    <s v=""/>
    <s v=""/>
    <s v=""/>
    <m/>
    <m/>
    <m/>
    <s v="Technical Assistance"/>
    <m/>
  </r>
  <r>
    <x v="3"/>
    <x v="61"/>
    <s v="MBA"/>
    <s v="San Isidro"/>
    <n v="4967"/>
    <n v="5239"/>
    <s v="NO TECHNICAL ASSISTANCE CONDUCTED"/>
    <m/>
    <m/>
    <x v="0"/>
    <s v="Aser A. Inocencio, Jr."/>
    <s v="Jay Pee S. Ordoñez"/>
    <s v="Zosimo P. Suyat"/>
    <m/>
    <m/>
    <m/>
    <m/>
    <m/>
    <s v=""/>
    <s v=""/>
    <s v=""/>
    <s v=""/>
    <m/>
    <m/>
    <m/>
    <m/>
    <m/>
  </r>
  <r>
    <x v="3"/>
    <x v="61"/>
    <s v="MBA"/>
    <s v="San Pedro"/>
    <n v="1578"/>
    <n v="1660"/>
    <s v="CONDUCTED TECHNICAL ASSISTANCE"/>
    <n v="2025"/>
    <d v="2025-03-11T00:00:00"/>
    <x v="1"/>
    <s v="Aser A. Inocencio, Jr."/>
    <s v="Jay Pee S. Ordoñez"/>
    <s v="Zosimo P. Suyat"/>
    <s v="R3-2025-009112"/>
    <d v="2025-03-18T00:00:00"/>
    <d v="2025-03-18T00:00:00"/>
    <d v="2025-03-18T00:00:00"/>
    <d v="2025-03-19T00:00:00"/>
    <n v="5"/>
    <n v="1"/>
    <n v="1"/>
    <n v="1"/>
    <s v="Received by Planning"/>
    <s v="MRS"/>
    <s v="OPERATIONAL"/>
    <s v="Technical Assistance"/>
    <m/>
  </r>
  <r>
    <x v="3"/>
    <x v="61"/>
    <s v="MBA"/>
    <s v="San Roque"/>
    <n v="1980"/>
    <n v="1925"/>
    <s v="CONDUCTED TECHNICAL ASSISTANCE"/>
    <n v="2025"/>
    <d v="2025-03-14T00:00:00"/>
    <x v="1"/>
    <s v="Aser A. Inocencio, Jr."/>
    <s v="Jay Pee S. Ordoñez"/>
    <s v="Zosimo P. Suyat"/>
    <s v="R3-2025-009117"/>
    <d v="2025-03-14T00:00:00"/>
    <d v="2025-03-18T00:00:00"/>
    <d v="2025-03-18T00:00:00"/>
    <d v="2025-03-19T00:00:00"/>
    <n v="1"/>
    <n v="2"/>
    <n v="1"/>
    <n v="1"/>
    <s v="Received by Planning"/>
    <s v="MRS"/>
    <s v="OPERATIONAL"/>
    <s v="Technical Assistance"/>
    <m/>
  </r>
  <r>
    <x v="3"/>
    <x v="61"/>
    <s v="MBA"/>
    <s v="Santo Domingo"/>
    <n v="651"/>
    <n v="713"/>
    <s v="CONDUCTED TECHNICAL ASSISTANCE"/>
    <n v="2025"/>
    <d v="2025-02-26T00:00:00"/>
    <x v="1"/>
    <s v="Aser A. Inocencio, Jr."/>
    <s v="Jay Pee S. Ordoñez"/>
    <s v="Zosimo P. Suyat"/>
    <s v="R3-2025-007742"/>
    <d v="2025-03-06T00:00:00"/>
    <d v="2025-03-13T00:00:00"/>
    <d v="2025-03-19T00:00:00"/>
    <d v="2025-03-19T00:00:00"/>
    <n v="6"/>
    <n v="5"/>
    <n v="4"/>
    <n v="1"/>
    <s v="Received by Planning"/>
    <s v="MRS"/>
    <s v="OPERATIONAL"/>
    <s v="Technical Assistance"/>
    <m/>
  </r>
  <r>
    <x v="3"/>
    <x v="62"/>
    <s v="OUTSIDE MBA"/>
    <s v="Alemania"/>
    <n v="377"/>
    <n v="123"/>
    <s v="NO TECHNICAL ASSISTANCE CONDUCTED"/>
    <m/>
    <m/>
    <x v="0"/>
    <s v="Aser A. Inocencio, Jr."/>
    <s v="Jay Pee S. Ordoñez"/>
    <s v="Zosimo P. Suyat"/>
    <m/>
    <m/>
    <m/>
    <m/>
    <m/>
    <s v=""/>
    <s v=""/>
    <s v=""/>
    <s v=""/>
    <m/>
    <m/>
    <m/>
    <m/>
    <m/>
  </r>
  <r>
    <x v="3"/>
    <x v="62"/>
    <s v="OUTSIDE MBA"/>
    <s v="Ambasador Alzate Village"/>
    <n v="1573"/>
    <n v="1620"/>
    <s v="NO TECHNICAL ASSISTANCE CONDUCTED"/>
    <m/>
    <m/>
    <x v="0"/>
    <s v="Aser A. Inocencio, Jr."/>
    <s v="Jay Pee S. Ordoñez"/>
    <s v="Zosimo P. Suyat"/>
    <m/>
    <m/>
    <m/>
    <m/>
    <m/>
    <s v=""/>
    <s v=""/>
    <s v=""/>
    <s v=""/>
    <m/>
    <m/>
    <m/>
    <m/>
    <m/>
  </r>
  <r>
    <x v="3"/>
    <x v="62"/>
    <s v="OUTSIDE MBA"/>
    <s v="Cabaducan East (Pob.)"/>
    <n v="1727"/>
    <n v="1707"/>
    <s v="NO TECHNICAL ASSISTANCE CONDUCTED"/>
    <m/>
    <m/>
    <x v="0"/>
    <s v="Aser A. Inocencio, Jr."/>
    <s v="Jay Pee S. Ordoñez"/>
    <s v="Zosimo P. Suyat"/>
    <m/>
    <m/>
    <m/>
    <m/>
    <m/>
    <s v=""/>
    <s v=""/>
    <s v=""/>
    <s v=""/>
    <m/>
    <m/>
    <m/>
    <m/>
    <m/>
  </r>
  <r>
    <x v="3"/>
    <x v="62"/>
    <s v="OUTSIDE MBA"/>
    <s v="Cabaducan West (Pob.)"/>
    <n v="400"/>
    <n v="391"/>
    <s v="NO TECHNICAL ASSISTANCE CONDUCTED"/>
    <m/>
    <m/>
    <x v="0"/>
    <s v="Aser A. Inocencio, Jr."/>
    <s v="Jay Pee S. Ordoñez"/>
    <s v="Zosimo P. Suyat"/>
    <m/>
    <m/>
    <m/>
    <m/>
    <m/>
    <s v=""/>
    <s v=""/>
    <s v=""/>
    <s v=""/>
    <m/>
    <m/>
    <m/>
    <m/>
    <m/>
  </r>
  <r>
    <x v="3"/>
    <x v="62"/>
    <s v="OUTSIDE MBA"/>
    <s v="Cabawangan"/>
    <n v="896"/>
    <n v="957"/>
    <s v="NO TECHNICAL ASSISTANCE CONDUCTED"/>
    <m/>
    <m/>
    <x v="0"/>
    <s v="Aser A. Inocencio, Jr."/>
    <s v="Jay Pee S. Ordoñez"/>
    <s v="Zosimo P. Suyat"/>
    <m/>
    <m/>
    <m/>
    <m/>
    <m/>
    <s v=""/>
    <s v=""/>
    <s v=""/>
    <s v=""/>
    <m/>
    <m/>
    <m/>
    <m/>
    <m/>
  </r>
  <r>
    <x v="3"/>
    <x v="62"/>
    <s v="OUTSIDE MBA"/>
    <s v="East Central Poblacion"/>
    <n v="429"/>
    <n v="408"/>
    <s v="NO TECHNICAL ASSISTANCE CONDUCTED"/>
    <m/>
    <m/>
    <x v="0"/>
    <s v="Aser A. Inocencio, Jr."/>
    <s v="Jay Pee S. Ordoñez"/>
    <s v="Zosimo P. Suyat"/>
    <m/>
    <m/>
    <m/>
    <m/>
    <m/>
    <s v=""/>
    <s v=""/>
    <s v=""/>
    <s v=""/>
    <m/>
    <m/>
    <m/>
    <m/>
    <m/>
  </r>
  <r>
    <x v="3"/>
    <x v="62"/>
    <s v="OUTSIDE MBA"/>
    <s v="Edy"/>
    <n v="179"/>
    <n v="128"/>
    <s v="NO TECHNICAL ASSISTANCE CONDUCTED"/>
    <m/>
    <m/>
    <x v="0"/>
    <s v="Aser A. Inocencio, Jr."/>
    <s v="Jay Pee S. Ordoñez"/>
    <s v="Zosimo P. Suyat"/>
    <m/>
    <m/>
    <m/>
    <m/>
    <m/>
    <s v=""/>
    <s v=""/>
    <s v=""/>
    <s v=""/>
    <m/>
    <m/>
    <m/>
    <m/>
    <m/>
  </r>
  <r>
    <x v="3"/>
    <x v="62"/>
    <s v="OUTSIDE MBA"/>
    <s v="Estacion (Pob.)"/>
    <n v="653"/>
    <n v="658"/>
    <s v="NO TECHNICAL ASSISTANCE CONDUCTED"/>
    <m/>
    <m/>
    <x v="0"/>
    <s v="Aser A. Inocencio, Jr."/>
    <s v="Jay Pee S. Ordoñez"/>
    <s v="Zosimo P. Suyat"/>
    <m/>
    <m/>
    <m/>
    <m/>
    <m/>
    <s v=""/>
    <s v=""/>
    <s v=""/>
    <s v=""/>
    <m/>
    <m/>
    <m/>
    <m/>
    <m/>
  </r>
  <r>
    <x v="3"/>
    <x v="62"/>
    <s v="OUTSIDE MBA"/>
    <s v="Maeling"/>
    <n v="494"/>
    <n v="479"/>
    <s v="NO TECHNICAL ASSISTANCE CONDUCTED"/>
    <m/>
    <m/>
    <x v="0"/>
    <s v="Aser A. Inocencio, Jr."/>
    <s v="Jay Pee S. Ordoñez"/>
    <s v="Zosimo P. Suyat"/>
    <m/>
    <m/>
    <m/>
    <m/>
    <m/>
    <s v=""/>
    <s v=""/>
    <s v=""/>
    <s v=""/>
    <m/>
    <m/>
    <m/>
    <m/>
    <m/>
  </r>
  <r>
    <x v="3"/>
    <x v="62"/>
    <s v="OUTSIDE MBA"/>
    <s v="Mayantoc"/>
    <n v="1186"/>
    <n v="1111"/>
    <s v="NO TECHNICAL ASSISTANCE CONDUCTED"/>
    <m/>
    <m/>
    <x v="0"/>
    <s v="Aser A. Inocencio, Jr."/>
    <s v="Jay Pee S. Ordoñez"/>
    <s v="Zosimo P. Suyat"/>
    <m/>
    <m/>
    <m/>
    <m/>
    <m/>
    <s v=""/>
    <s v=""/>
    <s v=""/>
    <s v=""/>
    <m/>
    <m/>
    <m/>
    <m/>
    <m/>
  </r>
  <r>
    <x v="3"/>
    <x v="62"/>
    <s v="OUTSIDE MBA"/>
    <s v="Medico"/>
    <n v="542"/>
    <n v="656"/>
    <s v="NO TECHNICAL ASSISTANCE CONDUCTED"/>
    <m/>
    <m/>
    <x v="0"/>
    <s v="Aser A. Inocencio, Jr."/>
    <s v="Jay Pee S. Ordoñez"/>
    <s v="Zosimo P. Suyat"/>
    <m/>
    <m/>
    <m/>
    <m/>
    <m/>
    <s v=""/>
    <s v=""/>
    <s v=""/>
    <s v=""/>
    <m/>
    <m/>
    <m/>
    <m/>
    <m/>
  </r>
  <r>
    <x v="3"/>
    <x v="62"/>
    <s v="OUTSIDE MBA"/>
    <s v="Monic"/>
    <n v="975"/>
    <n v="962"/>
    <s v="NO TECHNICAL ASSISTANCE CONDUCTED"/>
    <m/>
    <m/>
    <x v="0"/>
    <s v="Aser A. Inocencio, Jr."/>
    <s v="Jay Pee S. Ordoñez"/>
    <s v="Zosimo P. Suyat"/>
    <m/>
    <m/>
    <m/>
    <m/>
    <m/>
    <s v=""/>
    <s v=""/>
    <s v=""/>
    <s v=""/>
    <m/>
    <m/>
    <m/>
    <m/>
    <m/>
  </r>
  <r>
    <x v="3"/>
    <x v="62"/>
    <s v="OUTSIDE MBA"/>
    <s v="North Poblacion"/>
    <n v="544"/>
    <n v="551"/>
    <s v="NO TECHNICAL ASSISTANCE CONDUCTED"/>
    <m/>
    <m/>
    <x v="0"/>
    <s v="Aser A. Inocencio, Jr."/>
    <s v="Jay Pee S. Ordoñez"/>
    <s v="Zosimo P. Suyat"/>
    <m/>
    <m/>
    <m/>
    <m/>
    <m/>
    <s v=""/>
    <s v=""/>
    <s v=""/>
    <s v=""/>
    <m/>
    <m/>
    <m/>
    <m/>
    <m/>
  </r>
  <r>
    <x v="3"/>
    <x v="62"/>
    <s v="OUTSIDE MBA"/>
    <s v="Northwest Poblacion"/>
    <n v="507"/>
    <n v="513"/>
    <s v="NO TECHNICAL ASSISTANCE CONDUCTED"/>
    <m/>
    <m/>
    <x v="0"/>
    <s v="Aser A. Inocencio, Jr."/>
    <s v="Jay Pee S. Ordoñez"/>
    <s v="Zosimo P. Suyat"/>
    <m/>
    <m/>
    <m/>
    <m/>
    <m/>
    <s v=""/>
    <s v=""/>
    <s v=""/>
    <s v=""/>
    <m/>
    <m/>
    <m/>
    <m/>
    <m/>
  </r>
  <r>
    <x v="3"/>
    <x v="62"/>
    <s v="OUTSIDE MBA"/>
    <s v="Recuerdo"/>
    <n v="1359"/>
    <n v="1354"/>
    <s v="NO TECHNICAL ASSISTANCE CONDUCTED"/>
    <m/>
    <m/>
    <x v="0"/>
    <s v="Aser A. Inocencio, Jr."/>
    <s v="Jay Pee S. Ordoñez"/>
    <s v="Zosimo P. Suyat"/>
    <m/>
    <m/>
    <m/>
    <m/>
    <m/>
    <s v=""/>
    <s v=""/>
    <s v=""/>
    <s v=""/>
    <m/>
    <m/>
    <m/>
    <m/>
    <m/>
  </r>
  <r>
    <x v="3"/>
    <x v="62"/>
    <s v="OUTSIDE MBA"/>
    <s v="South Central Poblacion"/>
    <n v="648"/>
    <n v="541"/>
    <s v="NO TECHNICAL ASSISTANCE CONDUCTED"/>
    <m/>
    <m/>
    <x v="0"/>
    <s v="Aser A. Inocencio, Jr."/>
    <s v="Jay Pee S. Ordoñez"/>
    <s v="Zosimo P. Suyat"/>
    <m/>
    <m/>
    <m/>
    <m/>
    <m/>
    <s v=""/>
    <s v=""/>
    <s v=""/>
    <s v=""/>
    <m/>
    <m/>
    <m/>
    <m/>
    <m/>
  </r>
  <r>
    <x v="3"/>
    <x v="62"/>
    <s v="OUTSIDE MBA"/>
    <s v="Southeast Poblacion"/>
    <n v="458"/>
    <n v="450"/>
    <s v="NO TECHNICAL ASSISTANCE CONDUCTED"/>
    <m/>
    <m/>
    <x v="0"/>
    <s v="Aser A. Inocencio, Jr."/>
    <s v="Jay Pee S. Ordoñez"/>
    <s v="Zosimo P. Suyat"/>
    <m/>
    <m/>
    <m/>
    <m/>
    <m/>
    <s v=""/>
    <s v=""/>
    <s v=""/>
    <s v=""/>
    <m/>
    <m/>
    <m/>
    <m/>
    <m/>
  </r>
  <r>
    <x v="3"/>
    <x v="62"/>
    <s v="OUTSIDE MBA"/>
    <s v="Southwest Poblacion"/>
    <n v="847"/>
    <n v="816"/>
    <s v="NO TECHNICAL ASSISTANCE CONDUCTED"/>
    <m/>
    <m/>
    <x v="0"/>
    <s v="Aser A. Inocencio, Jr."/>
    <s v="Jay Pee S. Ordoñez"/>
    <s v="Zosimo P. Suyat"/>
    <m/>
    <m/>
    <m/>
    <m/>
    <m/>
    <s v=""/>
    <s v=""/>
    <s v=""/>
    <s v=""/>
    <m/>
    <m/>
    <m/>
    <m/>
    <m/>
  </r>
  <r>
    <x v="3"/>
    <x v="62"/>
    <s v="OUTSIDE MBA"/>
    <s v="Tony"/>
    <n v="205"/>
    <n v="21"/>
    <s v="NO TECHNICAL ASSISTANCE CONDUCTED"/>
    <m/>
    <m/>
    <x v="0"/>
    <s v="Aser A. Inocencio, Jr."/>
    <s v="Jay Pee S. Ordoñez"/>
    <s v="Zosimo P. Suyat"/>
    <m/>
    <m/>
    <m/>
    <m/>
    <m/>
    <s v=""/>
    <s v=""/>
    <s v=""/>
    <s v=""/>
    <m/>
    <m/>
    <m/>
    <m/>
    <m/>
  </r>
  <r>
    <x v="3"/>
    <x v="62"/>
    <s v="OUTSIDE MBA"/>
    <s v="West Central Poblacion"/>
    <n v="400"/>
    <n v="281"/>
    <s v="NO TECHNICAL ASSISTANCE CONDUCTED"/>
    <m/>
    <m/>
    <x v="0"/>
    <s v="Aser A. Inocencio, Jr."/>
    <s v="Jay Pee S. Ordoñez"/>
    <s v="Zosimo P. Suyat"/>
    <m/>
    <m/>
    <m/>
    <m/>
    <m/>
    <s v=""/>
    <s v=""/>
    <s v=""/>
    <s v=""/>
    <m/>
    <m/>
    <m/>
    <m/>
    <m/>
  </r>
  <r>
    <x v="3"/>
    <x v="62"/>
    <s v="OUTSIDE MBA"/>
    <s v="West Poblacion"/>
    <n v="555"/>
    <n v="744"/>
    <s v="NO TECHNICAL ASSISTANCE CONDUCTED"/>
    <m/>
    <m/>
    <x v="0"/>
    <s v="Aser A. Inocencio, Jr."/>
    <s v="Jay Pee S. Ordoñez"/>
    <s v="Zosimo P. Suyat"/>
    <m/>
    <m/>
    <m/>
    <m/>
    <m/>
    <s v=""/>
    <s v=""/>
    <s v=""/>
    <s v=""/>
    <m/>
    <m/>
    <m/>
    <m/>
    <m/>
  </r>
  <r>
    <x v="3"/>
    <x v="63"/>
    <s v="MBA"/>
    <s v="Cadaclan"/>
    <n v="2409"/>
    <n v="2632"/>
    <s v="NO TECHNICAL ASSISTANCE CONDUCTED"/>
    <m/>
    <m/>
    <x v="0"/>
    <s v="Hosannah R. Sabio"/>
    <s v="Jay Pee S. Ordoñez"/>
    <s v="Zosimo P. Suyat"/>
    <m/>
    <m/>
    <m/>
    <m/>
    <m/>
    <s v=""/>
    <s v=""/>
    <s v=""/>
    <s v=""/>
    <m/>
    <m/>
    <m/>
    <m/>
    <m/>
  </r>
  <r>
    <x v="3"/>
    <x v="63"/>
    <s v="MBA"/>
    <s v="Cambitala"/>
    <n v="2069"/>
    <n v="2079"/>
    <s v="NO TECHNICAL ASSISTANCE CONDUCTED"/>
    <m/>
    <m/>
    <x v="0"/>
    <s v="Hosannah R. Sabio"/>
    <s v="Jay Pee S. Ordoñez"/>
    <s v="Zosimo P. Suyat"/>
    <m/>
    <m/>
    <m/>
    <m/>
    <m/>
    <s v=""/>
    <s v=""/>
    <s v=""/>
    <s v=""/>
    <m/>
    <m/>
    <m/>
    <m/>
    <m/>
  </r>
  <r>
    <x v="3"/>
    <x v="63"/>
    <s v="MBA"/>
    <s v="Conversion"/>
    <n v="2573"/>
    <n v="2743"/>
    <s v="NO TECHNICAL ASSISTANCE CONDUCTED"/>
    <m/>
    <m/>
    <x v="0"/>
    <s v="Hosannah R. Sabio"/>
    <s v="Jay Pee S. Ordoñez"/>
    <s v="Zosimo P. Suyat"/>
    <m/>
    <m/>
    <m/>
    <m/>
    <m/>
    <s v=""/>
    <s v=""/>
    <s v=""/>
    <s v=""/>
    <m/>
    <m/>
    <m/>
    <m/>
    <m/>
  </r>
  <r>
    <x v="3"/>
    <x v="63"/>
    <s v="MBA"/>
    <s v="Fatima"/>
    <n v="1350"/>
    <n v="1192"/>
    <s v="NO TECHNICAL ASSISTANCE CONDUCTED"/>
    <m/>
    <m/>
    <x v="0"/>
    <s v="Hosannah R. Sabio"/>
    <s v="Jay Pee S. Ordoñez"/>
    <s v="Zosimo P. Suyat"/>
    <m/>
    <m/>
    <m/>
    <m/>
    <m/>
    <s v=""/>
    <s v=""/>
    <s v=""/>
    <s v=""/>
    <m/>
    <m/>
    <m/>
    <m/>
    <m/>
  </r>
  <r>
    <x v="3"/>
    <x v="63"/>
    <s v="MBA"/>
    <s v="Ganduz"/>
    <n v="2461"/>
    <n v="2492"/>
    <s v="NO TECHNICAL ASSISTANCE CONDUCTED"/>
    <m/>
    <m/>
    <x v="0"/>
    <s v="Hosannah R. Sabio"/>
    <s v="Jay Pee S. Ordoñez"/>
    <s v="Zosimo P. Suyat"/>
    <m/>
    <m/>
    <m/>
    <m/>
    <m/>
    <s v=""/>
    <s v=""/>
    <s v=""/>
    <s v=""/>
    <m/>
    <m/>
    <m/>
    <m/>
    <m/>
  </r>
  <r>
    <x v="3"/>
    <x v="63"/>
    <s v="MBA"/>
    <s v="Liberty"/>
    <n v="1153"/>
    <n v="1193"/>
    <s v="NO TECHNICAL ASSISTANCE CONDUCTED"/>
    <m/>
    <m/>
    <x v="0"/>
    <s v="Hosannah R. Sabio"/>
    <s v="Jay Pee S. Ordoñez"/>
    <s v="Zosimo P. Suyat"/>
    <m/>
    <m/>
    <m/>
    <m/>
    <m/>
    <s v=""/>
    <s v=""/>
    <s v=""/>
    <s v=""/>
    <m/>
    <m/>
    <m/>
    <m/>
    <m/>
  </r>
  <r>
    <x v="3"/>
    <x v="63"/>
    <s v="MBA"/>
    <s v="Malbang"/>
    <n v="2387"/>
    <n v="2808"/>
    <s v="CONDUCTED TECHNICAL ASSISTANCE"/>
    <n v="2024"/>
    <d v="2024-06-26T00:00:00"/>
    <x v="0"/>
    <s v="Hosannah R. Sabio"/>
    <s v="Jay Pee S. Ordoñez"/>
    <s v="Zosimo P. Suyat"/>
    <m/>
    <m/>
    <m/>
    <m/>
    <m/>
    <s v=""/>
    <s v=""/>
    <s v=""/>
    <s v=""/>
    <m/>
    <s v="MRF"/>
    <s v="OPERATIONAL"/>
    <s v="Technical Assistance"/>
    <m/>
  </r>
  <r>
    <x v="3"/>
    <x v="63"/>
    <s v="MBA"/>
    <s v="Marikit"/>
    <n v="2313"/>
    <n v="2582"/>
    <s v="NO TECHNICAL ASSISTANCE CONDUCTED"/>
    <m/>
    <m/>
    <x v="0"/>
    <s v="Hosannah R. Sabio"/>
    <s v="Jay Pee S. Ordoñez"/>
    <s v="Zosimo P. Suyat"/>
    <m/>
    <m/>
    <m/>
    <m/>
    <m/>
    <s v=""/>
    <s v=""/>
    <s v=""/>
    <s v=""/>
    <m/>
    <m/>
    <m/>
    <m/>
    <m/>
  </r>
  <r>
    <x v="3"/>
    <x v="63"/>
    <s v="MBA"/>
    <s v="Napon-Napon"/>
    <n v="1214"/>
    <n v="1226"/>
    <s v="NO TECHNICAL ASSISTANCE CONDUCTED"/>
    <m/>
    <m/>
    <x v="0"/>
    <s v="Hosannah R. Sabio"/>
    <s v="Jay Pee S. Ordoñez"/>
    <s v="Zosimo P. Suyat"/>
    <m/>
    <m/>
    <m/>
    <m/>
    <m/>
    <s v=""/>
    <s v=""/>
    <s v=""/>
    <s v=""/>
    <m/>
    <m/>
    <m/>
    <m/>
    <m/>
  </r>
  <r>
    <x v="3"/>
    <x v="63"/>
    <s v="MBA"/>
    <s v="Poblacion East"/>
    <n v="3517"/>
    <n v="3757"/>
    <s v="CONDUCTED TECHNICAL ASSISTANCE"/>
    <n v="2024"/>
    <d v="2024-06-27T00:00:00"/>
    <x v="0"/>
    <s v="Hosannah R. Sabio"/>
    <s v="Jay Pee S. Ordoñez"/>
    <s v="Zosimo P. Suyat"/>
    <m/>
    <m/>
    <m/>
    <m/>
    <m/>
    <s v=""/>
    <s v=""/>
    <s v=""/>
    <s v=""/>
    <m/>
    <s v="MRF"/>
    <s v="OPERATIONAL"/>
    <s v="Technical Assistance"/>
    <m/>
  </r>
  <r>
    <x v="3"/>
    <x v="63"/>
    <s v="MBA"/>
    <s v="Poblacion West"/>
    <n v="3015"/>
    <n v="2625"/>
    <s v="NO TECHNICAL ASSISTANCE CONDUCTED"/>
    <m/>
    <m/>
    <x v="0"/>
    <s v="Hosannah R. Sabio"/>
    <s v="Jay Pee S. Ordoñez"/>
    <s v="Zosimo P. Suyat"/>
    <m/>
    <m/>
    <m/>
    <m/>
    <m/>
    <s v=""/>
    <s v=""/>
    <s v=""/>
    <s v=""/>
    <m/>
    <m/>
    <m/>
    <m/>
    <m/>
  </r>
  <r>
    <x v="3"/>
    <x v="63"/>
    <s v="MBA"/>
    <s v="Sampaloc"/>
    <n v="2056"/>
    <n v="2086"/>
    <s v="NO TECHNICAL ASSISTANCE CONDUCTED"/>
    <m/>
    <m/>
    <x v="0"/>
    <s v="Hosannah R. Sabio"/>
    <s v="Jay Pee S. Ordoñez"/>
    <s v="Zosimo P. Suyat"/>
    <m/>
    <m/>
    <m/>
    <m/>
    <m/>
    <s v=""/>
    <s v=""/>
    <s v=""/>
    <s v=""/>
    <m/>
    <m/>
    <m/>
    <m/>
    <m/>
  </r>
  <r>
    <x v="3"/>
    <x v="63"/>
    <s v="MBA"/>
    <s v="San Juan"/>
    <n v="1717"/>
    <n v="2435"/>
    <s v="NO TECHNICAL ASSISTANCE CONDUCTED"/>
    <m/>
    <m/>
    <x v="0"/>
    <s v="Hosannah R. Sabio"/>
    <s v="Jay Pee S. Ordoñez"/>
    <s v="Zosimo P. Suyat"/>
    <m/>
    <m/>
    <m/>
    <m/>
    <m/>
    <s v=""/>
    <s v=""/>
    <s v=""/>
    <s v=""/>
    <m/>
    <m/>
    <m/>
    <m/>
    <m/>
  </r>
  <r>
    <x v="3"/>
    <x v="63"/>
    <s v="MBA"/>
    <s v="Villarica"/>
    <n v="1691"/>
    <n v="1913"/>
    <s v="CONDUCTED TECHNICAL ASSISTANCE"/>
    <n v="2024"/>
    <d v="2024-06-26T00:00:00"/>
    <x v="0"/>
    <s v="Hosannah R. Sabio"/>
    <s v="Jay Pee S. Ordoñez"/>
    <s v="Zosimo P. Suyat"/>
    <m/>
    <m/>
    <m/>
    <m/>
    <m/>
    <s v=""/>
    <s v=""/>
    <s v=""/>
    <s v=""/>
    <m/>
    <s v="MRF"/>
    <s v="OPERATIONAL"/>
    <s v="Technical Assistance"/>
    <m/>
  </r>
  <r>
    <x v="3"/>
    <x v="64"/>
    <s v="MBA"/>
    <s v="Callos"/>
    <n v="3322"/>
    <n v="3509"/>
    <s v="CONDUCTED TECHNICAL ASSISTANCE"/>
    <n v="2024"/>
    <d v="2024-08-06T00:00:00"/>
    <x v="0"/>
    <s v="Christine Ann V. Ramos"/>
    <s v="Jay Pee S. Ordoñez"/>
    <s v="Zosimo P. Suyat"/>
    <m/>
    <m/>
    <m/>
    <m/>
    <m/>
    <s v=""/>
    <s v=""/>
    <s v=""/>
    <s v=""/>
    <m/>
    <s v="MRS"/>
    <s v="OPERATIONAL"/>
    <s v="Technical Assistance"/>
    <m/>
  </r>
  <r>
    <x v="3"/>
    <x v="64"/>
    <s v="MBA"/>
    <s v="Las Piñas"/>
    <n v="3219"/>
    <n v="3362"/>
    <s v="CONDUCTED TECHNICAL ASSISTANCE"/>
    <n v="2025"/>
    <d v="2025-04-03T00:00:00"/>
    <x v="4"/>
    <s v="Christine Ann V. Ramos"/>
    <s v="Jan Emerson C. Gonzales"/>
    <s v="Zosimo P. Suyat"/>
    <s v="R3-2025-011383"/>
    <d v="2025-04-03T00:00:00"/>
    <d v="2025-04-07T00:00:00"/>
    <d v="2025-04-07T00:00:00"/>
    <d v="2025-04-10T00:00:00"/>
    <n v="1"/>
    <n v="2"/>
    <n v="1"/>
    <n v="3"/>
    <s v="Received by Planning"/>
    <s v="MRS"/>
    <s v="OPERATIONAL"/>
    <s v="Technical Assistance"/>
    <m/>
  </r>
  <r>
    <x v="3"/>
    <x v="64"/>
    <s v="MBA"/>
    <s v="Poblacion I"/>
    <n v="1731"/>
    <n v="1823"/>
    <s v="CONDUCTED TECHNICAL ASSISTANCE"/>
    <n v="2025"/>
    <d v="2025-10-01T00:00:00"/>
    <x v="5"/>
    <s v="Christine Ann V. Ramos"/>
    <s v="Jay Pee S. Ordoñez"/>
    <s v="Zosimo P. Suyat"/>
    <s v="R3-2025-033133"/>
    <d v="2025-10-02T00:00:00"/>
    <d v="2025-10-09T00:00:00"/>
    <d v="2025-10-16T00:00:00"/>
    <d v="2025-10-17T00:00:00"/>
    <n v="1"/>
    <n v="5"/>
    <n v="5"/>
    <n v="1"/>
    <s v="Received by Planning"/>
    <s v="MRS"/>
    <s v="OPERATIONAL"/>
    <s v="Technical Assistance"/>
    <m/>
  </r>
  <r>
    <x v="3"/>
    <x v="64"/>
    <s v="MBA"/>
    <s v="Poblacion II"/>
    <n v="1047"/>
    <n v="1144"/>
    <s v="CONDUCTED TECHNICAL ASSISTANCE"/>
    <n v="2025"/>
    <d v="2025-10-01T00:00:00"/>
    <x v="5"/>
    <s v="Christine Ann V. Ramos"/>
    <s v="Jay Pee S. Ordoñez"/>
    <s v="Zosimo P. Suyat"/>
    <s v="R3-2025-033134"/>
    <d v="2025-10-02T00:00:00"/>
    <d v="2025-10-09T00:00:00"/>
    <d v="2025-10-16T00:00:00"/>
    <d v="2025-10-17T00:00:00"/>
    <n v="1"/>
    <n v="5"/>
    <n v="5"/>
    <n v="1"/>
    <s v="Received by Planning"/>
    <s v="MRS"/>
    <s v="OPERATIONAL"/>
    <s v="Technical Assistance"/>
    <m/>
  </r>
  <r>
    <x v="3"/>
    <x v="64"/>
    <s v="MBA"/>
    <s v="Poblacion III"/>
    <n v="1139"/>
    <n v="1289"/>
    <s v="CONDUCTED TECHNICAL ASSISTANCE"/>
    <n v="2025"/>
    <d v="2025-10-01T00:00:00"/>
    <x v="5"/>
    <s v="Christine Ann V. Ramos"/>
    <s v="Jay Pee S. Ordoñez"/>
    <s v="Zosimo P. Suyat"/>
    <s v="R3-2025-033135"/>
    <d v="2025-10-02T00:00:00"/>
    <d v="2025-10-09T00:00:00"/>
    <d v="2025-10-16T00:00:00"/>
    <d v="2025-10-17T00:00:00"/>
    <n v="1"/>
    <n v="5"/>
    <n v="5"/>
    <n v="1"/>
    <s v="Received by Planning"/>
    <s v="MRS"/>
    <s v="OPERATIONAL"/>
    <s v="Technical Assistance"/>
    <m/>
  </r>
  <r>
    <x v="3"/>
    <x v="64"/>
    <s v="MBA"/>
    <s v="Poblacion IV"/>
    <n v="1617"/>
    <n v="1700"/>
    <s v="CONDUCTED TECHNICAL ASSISTANCE"/>
    <n v="2024"/>
    <d v="2024-09-17T00:00:00"/>
    <x v="0"/>
    <s v="Christine Ann V. Ramos"/>
    <s v="Jay Pee S. Ordoñez"/>
    <s v="Zosimo P. Suyat"/>
    <m/>
    <m/>
    <m/>
    <m/>
    <m/>
    <s v=""/>
    <s v=""/>
    <s v=""/>
    <s v=""/>
    <m/>
    <s v="MRF"/>
    <s v="OPERATIONAL"/>
    <s v="Technical Assistance"/>
    <m/>
  </r>
  <r>
    <x v="3"/>
    <x v="64"/>
    <s v="MBA"/>
    <s v="San Josef"/>
    <n v="4862"/>
    <n v="5495"/>
    <s v="NO TECHNICAL ASSISTANCE CONDUCTED"/>
    <m/>
    <m/>
    <x v="0"/>
    <s v="Christine Ann V. Ramos"/>
    <s v="Jay Pee S. Ordoñez"/>
    <s v="Zosimo P. Suyat"/>
    <m/>
    <m/>
    <m/>
    <m/>
    <m/>
    <s v=""/>
    <s v=""/>
    <s v=""/>
    <s v=""/>
    <m/>
    <m/>
    <m/>
    <m/>
    <m/>
  </r>
  <r>
    <x v="3"/>
    <x v="64"/>
    <s v="MBA"/>
    <s v="San Mariano"/>
    <n v="847"/>
    <n v="1112"/>
    <s v="CONDUCTED TECHNICAL ASSISTANCE"/>
    <n v="2024"/>
    <d v="2024-05-14T00:00:00"/>
    <x v="0"/>
    <s v="Christine Ann V. Ramos"/>
    <s v="Jay Pee S. Ordoñez"/>
    <s v="Zosimo P. Suyat"/>
    <m/>
    <m/>
    <m/>
    <m/>
    <m/>
    <s v=""/>
    <s v=""/>
    <s v=""/>
    <s v=""/>
    <m/>
    <m/>
    <m/>
    <s v="Technical Assistance"/>
    <m/>
  </r>
  <r>
    <x v="3"/>
    <x v="64"/>
    <s v="MBA"/>
    <s v="Santo Tomas"/>
    <n v="7417"/>
    <n v="7705"/>
    <s v="CONDUCTED TECHNICAL ASSISTANCE"/>
    <n v="2025"/>
    <d v="2025-03-27T00:00:00"/>
    <x v="4"/>
    <s v="Christine Ann V. Ramos"/>
    <s v="Jay Pee S. Ordoñez"/>
    <s v="Zosimo P. Suyat"/>
    <s v="R3-2025-010587"/>
    <d v="2025-03-28T00:00:00"/>
    <d v="2025-04-07T00:00:00"/>
    <d v="2025-04-07T00:00:00"/>
    <d v="2025-04-10T00:00:00"/>
    <n v="1"/>
    <n v="6"/>
    <n v="1"/>
    <n v="3"/>
    <s v="Received by Planning"/>
    <s v="MRS"/>
    <s v="OPERATIONAL"/>
    <s v="Technical Assistance"/>
    <m/>
  </r>
  <r>
    <x v="3"/>
    <x v="64"/>
    <s v="MBA"/>
    <s v="Sinasajan"/>
    <n v="4681"/>
    <n v="5130"/>
    <s v="NO TECHNICAL ASSISTANCE CONDUCTED"/>
    <m/>
    <m/>
    <x v="0"/>
    <s v="Christine Ann V. Ramos"/>
    <s v="Jay Pee S. Ordoñez"/>
    <s v="Zosimo P. Suyat"/>
    <m/>
    <m/>
    <m/>
    <m/>
    <m/>
    <s v=""/>
    <s v=""/>
    <s v=""/>
    <s v=""/>
    <m/>
    <m/>
    <m/>
    <m/>
    <m/>
  </r>
  <r>
    <x v="3"/>
    <x v="65"/>
    <s v="MBA"/>
    <s v="San Alejandro"/>
    <n v="3486"/>
    <n v="3308"/>
    <s v="CONDUCTED TECHNICAL ASSISTANCE"/>
    <n v="2025"/>
    <d v="2025-09-18T00:00:00"/>
    <x v="7"/>
    <s v="Gem C. Vicencio"/>
    <s v="Jay Pee S. Ordoñez"/>
    <s v="Zosimo P. Suyat"/>
    <s v="R3-2025-031717"/>
    <d v="2025-09-18T00:00:00"/>
    <d v="2025-09-18T00:00:00"/>
    <d v="2025-09-18T00:00:00"/>
    <d v="2025-09-18T00:00:00"/>
    <n v="1"/>
    <n v="1"/>
    <n v="1"/>
    <n v="1"/>
    <s v="Received by Planning"/>
    <s v="MRS"/>
    <s v="OPERATIONAL"/>
    <s v="Technical Assistance"/>
    <m/>
  </r>
  <r>
    <x v="3"/>
    <x v="65"/>
    <s v="MBA"/>
    <s v="Barangay I (Pob.)"/>
    <n v="1487"/>
    <n v="1531"/>
    <s v="CONDUCTED TECHNICAL ASSISTANCE"/>
    <n v="2025"/>
    <d v="2025-11-06T00:00:00"/>
    <x v="11"/>
    <s v="Gem C. Vicencio"/>
    <s v="Jay Pee S. Ordoñez"/>
    <s v="Zosimo P. Suyat"/>
    <s v="R3-2025-037343"/>
    <d v="2025-11-07T00:00:00"/>
    <d v="2025-11-11T00:00:00"/>
    <d v="2025-11-18T00:00:00"/>
    <d v="2025-11-19T00:00:00"/>
    <n v="1"/>
    <n v="2"/>
    <n v="5"/>
    <n v="1"/>
    <s v="Received by Planning"/>
    <s v="MRS"/>
    <s v="OPERATIONAL"/>
    <s v="Technical Assistance"/>
    <m/>
  </r>
  <r>
    <x v="3"/>
    <x v="65"/>
    <s v="MBA"/>
    <s v="Barangay II (Pob.)"/>
    <n v="705"/>
    <n v="686"/>
    <s v="CONDUCTED TECHNICAL ASSISTANCE"/>
    <n v="2025"/>
    <d v="2025-11-06T00:00:00"/>
    <x v="11"/>
    <s v="Gem C. Vicencio"/>
    <s v="Jay Pee S. Ordoñez"/>
    <s v="Zosimo P. Suyat"/>
    <s v="R3-2025-037345"/>
    <d v="2025-11-07T00:00:00"/>
    <d v="2025-11-11T00:00:00"/>
    <d v="2025-11-18T00:00:00"/>
    <d v="2025-11-19T00:00:00"/>
    <n v="1"/>
    <n v="2"/>
    <n v="5"/>
    <n v="1"/>
    <s v="Received by Planning"/>
    <s v="MRS"/>
    <s v="OPERATIONAL"/>
    <s v="Technical Assistance"/>
    <m/>
  </r>
  <r>
    <x v="3"/>
    <x v="65"/>
    <s v="MBA"/>
    <s v="Bertese"/>
    <n v="4827"/>
    <n v="4792"/>
    <s v="CONDUCTED TECHNICAL ASSISTANCE"/>
    <n v="2025"/>
    <d v="2025-02-07T00:00:00"/>
    <x v="3"/>
    <s v="Gem C. Vicencio"/>
    <s v="Jay Pee S. Ordoñez"/>
    <s v="Zosimo P. Suyat"/>
    <s v="R3-2025-004398"/>
    <d v="2025-02-08T00:00:00"/>
    <d v="2025-02-10T00:00:00"/>
    <d v="2025-02-10T00:00:00"/>
    <d v="2025-02-11T00:00:00"/>
    <n v="1"/>
    <n v="1"/>
    <n v="1"/>
    <n v="1"/>
    <s v="Received by Planning"/>
    <s v="MRS"/>
    <s v="OPERATIONAL"/>
    <s v="Technical Assistance"/>
    <m/>
  </r>
  <r>
    <x v="3"/>
    <x v="65"/>
    <s v="MBA"/>
    <s v="Doña Lucia"/>
    <n v="2329"/>
    <n v="2506"/>
    <s v="CONDUCTED TECHNICAL ASSISTANCE"/>
    <n v="2025"/>
    <d v="2025-11-06T00:00:00"/>
    <x v="11"/>
    <s v="Gem C. Vicencio"/>
    <s v="Jay Pee S. Ordoñez"/>
    <s v="Zosimo P. Suyat"/>
    <s v="R3-2025-037342"/>
    <d v="2025-11-07T00:00:00"/>
    <d v="2025-11-11T00:00:00"/>
    <d v="2025-11-18T00:00:00"/>
    <d v="2025-11-19T00:00:00"/>
    <n v="1"/>
    <n v="2"/>
    <n v="5"/>
    <n v="1"/>
    <s v="Received by Planning"/>
    <s v="MRS"/>
    <s v="OPERATIONAL"/>
    <s v="Technical Assistance"/>
    <m/>
  </r>
  <r>
    <x v="3"/>
    <x v="65"/>
    <s v="MBA"/>
    <s v="Dulong Bayan"/>
    <n v="4458"/>
    <n v="4687"/>
    <s v="CONDUCTED TECHNICAL ASSISTANCE"/>
    <n v="2025"/>
    <d v="2025-02-07T00:00:00"/>
    <x v="3"/>
    <s v="Gem C. Vicencio"/>
    <s v="Jay Pee S. Ordoñez"/>
    <s v="Zosimo P. Suyat"/>
    <s v="R3-2025-004399"/>
    <d v="2025-02-08T00:00:00"/>
    <d v="2025-02-10T00:00:00"/>
    <d v="2025-02-10T00:00:00"/>
    <d v="2025-02-11T00:00:00"/>
    <n v="1"/>
    <n v="1"/>
    <n v="1"/>
    <n v="1"/>
    <s v="Received by Planning"/>
    <s v="MRS"/>
    <s v="OPERATIONAL"/>
    <s v="Technical Assistance"/>
    <m/>
  </r>
  <r>
    <x v="3"/>
    <x v="65"/>
    <s v="MBA"/>
    <s v="Ilog Baliwag"/>
    <n v="3624"/>
    <n v="3771"/>
    <s v="NO TECHNICAL ASSISTANCE CONDUCTED"/>
    <m/>
    <m/>
    <x v="0"/>
    <s v="Gem C. Vicencio"/>
    <s v="Jay Pee S. Ordoñez"/>
    <s v="Zosimo P. Suyat"/>
    <m/>
    <m/>
    <m/>
    <m/>
    <m/>
    <s v=""/>
    <s v=""/>
    <s v=""/>
    <s v=""/>
    <m/>
    <m/>
    <m/>
    <m/>
    <m/>
  </r>
  <r>
    <x v="3"/>
    <x v="65"/>
    <s v="MBA"/>
    <s v="Pulong Bahay"/>
    <n v="1739"/>
    <n v="1760"/>
    <s v="NO TECHNICAL ASSISTANCE CONDUCTED"/>
    <m/>
    <m/>
    <x v="0"/>
    <s v="Gem C. Vicencio"/>
    <s v="Jay Pee S. Ordoñez"/>
    <s v="Zosimo P. Suyat"/>
    <m/>
    <m/>
    <m/>
    <m/>
    <m/>
    <s v=""/>
    <s v=""/>
    <s v=""/>
    <s v=""/>
    <m/>
    <m/>
    <m/>
    <m/>
    <m/>
  </r>
  <r>
    <x v="3"/>
    <x v="65"/>
    <s v="MBA"/>
    <s v="San Andres I"/>
    <n v="2027"/>
    <n v="2255"/>
    <s v="CONDUCTED TECHNICAL ASSISTANCE"/>
    <n v="2025"/>
    <d v="2025-10-02T00:00:00"/>
    <x v="5"/>
    <s v="Gem C. Vicencio"/>
    <s v="Jay Pee S. Ordoñez"/>
    <s v="Zosimo P. Suyat"/>
    <s v="R3-2025-033277"/>
    <d v="2025-10-03T00:00:00"/>
    <d v="2025-10-09T00:00:00"/>
    <d v="2025-10-09T00:00:00"/>
    <d v="2025-10-10T00:00:00"/>
    <n v="1"/>
    <n v="4"/>
    <n v="1"/>
    <n v="1"/>
    <s v="Received by Planning"/>
    <s v="MRS"/>
    <s v="OPERATIONAL"/>
    <s v="Technical Assistance"/>
    <m/>
  </r>
  <r>
    <x v="3"/>
    <x v="65"/>
    <s v="MBA"/>
    <s v="San Andres II"/>
    <n v="1793"/>
    <n v="1823"/>
    <s v="CONDUCTED TECHNICAL ASSISTANCE"/>
    <n v="2025"/>
    <d v="2025-10-02T00:00:00"/>
    <x v="5"/>
    <s v="Gem C. Vicencio"/>
    <s v="Jay Pee S. Ordoñez"/>
    <s v="Zosimo P. Suyat"/>
    <s v="R3-2025-033275"/>
    <d v="2025-10-03T00:00:00"/>
    <d v="2025-10-09T00:00:00"/>
    <d v="2025-10-09T00:00:00"/>
    <d v="2025-10-14T00:00:00"/>
    <n v="1"/>
    <n v="4"/>
    <n v="1"/>
    <n v="3"/>
    <s v="Received by Planning"/>
    <s v="MRS"/>
    <s v="OPERATIONAL"/>
    <s v="Technical Assistance"/>
    <m/>
  </r>
  <r>
    <x v="3"/>
    <x v="65"/>
    <s v="MBA"/>
    <s v="San Manuel"/>
    <n v="1800"/>
    <n v="1963"/>
    <s v="NO TECHNICAL ASSISTANCE CONDUCTED"/>
    <m/>
    <m/>
    <x v="0"/>
    <s v="Gem C. Vicencio"/>
    <s v="Jay Pee S. Ordoñez"/>
    <s v="Zosimo P. Suyat"/>
    <m/>
    <m/>
    <m/>
    <m/>
    <m/>
    <s v=""/>
    <s v=""/>
    <s v=""/>
    <s v=""/>
    <m/>
    <m/>
    <m/>
    <m/>
    <m/>
  </r>
  <r>
    <x v="3"/>
    <x v="65"/>
    <s v="MBA"/>
    <s v="San Miguel"/>
    <n v="2752"/>
    <n v="2922"/>
    <s v="CONDUCTED TECHNICAL ASSISTANCE"/>
    <n v="2025"/>
    <d v="2025-07-17T00:00:00"/>
    <x v="8"/>
    <s v="Gem C. Vicencio"/>
    <s v="Jay Pee S. Ordoñez"/>
    <s v="Zosimo P. Suyat"/>
    <s v="R3-2025-024064"/>
    <d v="2025-07-18T00:00:00"/>
    <d v="2025-07-18T00:00:00"/>
    <d v="2025-07-18T00:00:00"/>
    <d v="2025-07-18T00:00:00"/>
    <n v="1"/>
    <n v="1"/>
    <n v="1"/>
    <n v="1"/>
    <s v="Received by Planning"/>
    <s v="MRS"/>
    <s v="OPERATIONAL"/>
    <s v="Technical Assistance"/>
    <m/>
  </r>
  <r>
    <x v="3"/>
    <x v="65"/>
    <s v="MBA"/>
    <s v="Santa Clara"/>
    <n v="2401"/>
    <n v="2262"/>
    <s v="NO TECHNICAL ASSISTANCE CONDUCTED"/>
    <m/>
    <m/>
    <x v="0"/>
    <s v="Gem C. Vicencio"/>
    <s v="Jay Pee S. Ordoñez"/>
    <s v="Zosimo P. Suyat"/>
    <m/>
    <m/>
    <m/>
    <m/>
    <m/>
    <s v=""/>
    <s v=""/>
    <s v=""/>
    <s v=""/>
    <m/>
    <m/>
    <m/>
    <m/>
    <m/>
  </r>
  <r>
    <x v="3"/>
    <x v="65"/>
    <s v="MBA"/>
    <s v="Santa Rita"/>
    <n v="3868"/>
    <n v="4107"/>
    <s v="NO TECHNICAL ASSISTANCE CONDUCTED"/>
    <m/>
    <m/>
    <x v="0"/>
    <s v="Gem C. Vicencio"/>
    <s v="Jay Pee S. Ordoñez"/>
    <s v="Zosimo P. Suyat"/>
    <m/>
    <m/>
    <m/>
    <m/>
    <m/>
    <s v=""/>
    <s v=""/>
    <s v=""/>
    <s v=""/>
    <m/>
    <m/>
    <m/>
    <m/>
    <m/>
  </r>
  <r>
    <x v="3"/>
    <x v="65"/>
    <s v="MBA"/>
    <s v="Santo Cristo"/>
    <n v="1185"/>
    <n v="1269"/>
    <s v="NO TECHNICAL ASSISTANCE CONDUCTED"/>
    <m/>
    <m/>
    <x v="0"/>
    <s v="Gem C. Vicencio"/>
    <s v="Jay Pee S. Ordoñez"/>
    <s v="Zosimo P. Suyat"/>
    <m/>
    <m/>
    <m/>
    <m/>
    <m/>
    <s v=""/>
    <s v=""/>
    <s v=""/>
    <s v=""/>
    <m/>
    <m/>
    <m/>
    <m/>
    <m/>
  </r>
  <r>
    <x v="3"/>
    <x v="65"/>
    <s v="MBA"/>
    <s v="Santo Tomas Feria"/>
    <n v="2111"/>
    <n v="2203"/>
    <s v="NO TECHNICAL ASSISTANCE CONDUCTED"/>
    <m/>
    <m/>
    <x v="0"/>
    <s v="Gem C. Vicencio"/>
    <s v="Jay Pee S. Ordoñez"/>
    <s v="Zosimo P. Suyat"/>
    <m/>
    <m/>
    <m/>
    <m/>
    <m/>
    <s v=""/>
    <s v=""/>
    <s v=""/>
    <s v=""/>
    <m/>
    <m/>
    <m/>
    <m/>
    <m/>
  </r>
  <r>
    <x v="3"/>
    <x v="66"/>
    <s v="MBA"/>
    <s v="Canaan East"/>
    <n v="2486"/>
    <n v="2787"/>
    <s v="CONDUCTED TECHNICAL ASSISTANCE"/>
    <n v="2025"/>
    <d v="2025-09-10T00:00:00"/>
    <x v="7"/>
    <s v="Hosannah R. Sabio"/>
    <s v="Jay Pee S. Ordoñez"/>
    <s v="Zosimo P. Suyat"/>
    <s v="R3-2025-031339"/>
    <d v="2025-09-17T00:00:00"/>
    <d v="2025-09-18T00:00:00"/>
    <d v="2025-09-18T00:00:00"/>
    <d v="2025-09-18T00:00:00"/>
    <n v="5"/>
    <n v="1"/>
    <n v="1"/>
    <n v="1"/>
    <s v="Received by Planning"/>
    <s v="MRF"/>
    <s v="OPERATIONAL"/>
    <s v="Technical Assistance"/>
    <m/>
  </r>
  <r>
    <x v="3"/>
    <x v="66"/>
    <s v="MBA"/>
    <s v="Agbannawag"/>
    <n v="4182"/>
    <n v="4292"/>
    <s v="CONDUCTED TECHNICAL ASSISTANCE"/>
    <n v="2024"/>
    <d v="2024-10-03T00:00:00"/>
    <x v="0"/>
    <s v="Hosannah R. Sabio"/>
    <s v="Jay Pee S. Ordoñez"/>
    <s v="Zosimo P. Suyat"/>
    <m/>
    <m/>
    <m/>
    <m/>
    <m/>
    <s v=""/>
    <s v=""/>
    <s v=""/>
    <s v=""/>
    <m/>
    <s v="MRF"/>
    <s v="OPERATIONAL"/>
    <s v="Technical Assistance"/>
    <m/>
  </r>
  <r>
    <x v="3"/>
    <x v="66"/>
    <s v="MBA"/>
    <s v="Aglipay"/>
    <n v="3111"/>
    <n v="3463"/>
    <s v="NO TECHNICAL ASSISTANCE CONDUCTED"/>
    <m/>
    <m/>
    <x v="0"/>
    <s v="Hosannah R. Sabio"/>
    <s v="Jay Pee S. Ordoñez"/>
    <s v="Zosimo P. Suyat"/>
    <m/>
    <m/>
    <m/>
    <m/>
    <m/>
    <s v=""/>
    <s v=""/>
    <s v=""/>
    <s v=""/>
    <m/>
    <m/>
    <m/>
    <m/>
    <m/>
  </r>
  <r>
    <x v="3"/>
    <x v="66"/>
    <s v="MBA"/>
    <s v="Bicos"/>
    <n v="4641"/>
    <n v="5869"/>
    <s v="CONDUCTED TECHNICAL ASSISTANCE"/>
    <n v="2024"/>
    <d v="2024-06-27T00:00:00"/>
    <x v="0"/>
    <s v="Hosannah R. Sabio"/>
    <s v="Jay Pee S. Ordoñez"/>
    <s v="Zosimo P. Suyat"/>
    <m/>
    <m/>
    <m/>
    <m/>
    <m/>
    <s v=""/>
    <s v=""/>
    <s v=""/>
    <s v=""/>
    <m/>
    <s v="MRF"/>
    <s v="OPERATIONAL"/>
    <s v="Technical Assistance"/>
    <m/>
  </r>
  <r>
    <x v="3"/>
    <x v="66"/>
    <s v="MBA"/>
    <s v="Cabucbucan"/>
    <n v="4641"/>
    <n v="5250"/>
    <s v="CONDUCTED TECHNICAL ASSISTANCE"/>
    <n v="2024"/>
    <d v="2024-10-03T00:00:00"/>
    <x v="0"/>
    <s v="Hosannah R. Sabio"/>
    <s v="Jay Pee S. Ordoñez"/>
    <s v="Zosimo P. Suyat"/>
    <m/>
    <m/>
    <m/>
    <m/>
    <m/>
    <s v=""/>
    <s v=""/>
    <s v=""/>
    <s v=""/>
    <m/>
    <s v="MRF"/>
    <s v="OPERATIONAL"/>
    <s v="Technical Assistance"/>
    <m/>
  </r>
  <r>
    <x v="3"/>
    <x v="66"/>
    <s v="MBA"/>
    <s v="Calaocan District"/>
    <n v="3527"/>
    <n v="3842"/>
    <s v="CONDUCTED TECHNICAL ASSISTANCE"/>
    <n v="2024"/>
    <d v="2024-07-23T00:00:00"/>
    <x v="0"/>
    <s v="Hosannah R. Sabio"/>
    <s v="Jay Pee S. Ordoñez"/>
    <s v="Zosimo P. Suyat"/>
    <m/>
    <m/>
    <m/>
    <m/>
    <m/>
    <s v=""/>
    <s v=""/>
    <s v=""/>
    <s v=""/>
    <m/>
    <s v="MRF"/>
    <s v="OPERATIONAL"/>
    <s v="Technical Assistance"/>
    <m/>
  </r>
  <r>
    <x v="3"/>
    <x v="66"/>
    <s v="MBA"/>
    <s v="General Luna"/>
    <n v="2203"/>
    <n v="2511"/>
    <s v="CONDUCTED TECHNICAL ASSISTANCE"/>
    <n v="2025"/>
    <d v="2025-09-10T00:00:00"/>
    <x v="7"/>
    <s v="Hosannah R. Sabio"/>
    <s v="Jay Pee S. Ordoñez"/>
    <s v="Zosimo P. Suyat"/>
    <s v="R3-2025-031340"/>
    <d v="2025-09-17T00:00:00"/>
    <d v="2025-09-18T00:00:00"/>
    <d v="2025-09-18T00:00:00"/>
    <d v="2025-09-18T00:00:00"/>
    <n v="5"/>
    <n v="1"/>
    <n v="1"/>
    <n v="1"/>
    <s v="Received by Planning"/>
    <s v="MRF"/>
    <s v="OPERATIONAL"/>
    <s v="Technical Assistance"/>
    <m/>
  </r>
  <r>
    <x v="3"/>
    <x v="66"/>
    <s v="MBA"/>
    <s v="Canaan West"/>
    <n v="1006"/>
    <n v="1012"/>
    <s v="NO TECHNICAL ASSISTANCE CONDUCTED"/>
    <m/>
    <m/>
    <x v="0"/>
    <s v="Hosannah R. Sabio"/>
    <s v="Jay Pee S. Ordoñez"/>
    <s v="Zosimo P. Suyat"/>
    <m/>
    <m/>
    <m/>
    <m/>
    <m/>
    <s v=""/>
    <s v=""/>
    <s v=""/>
    <s v=""/>
    <m/>
    <m/>
    <m/>
    <m/>
    <m/>
  </r>
  <r>
    <x v="3"/>
    <x v="66"/>
    <s v="MBA"/>
    <s v="Casilagan"/>
    <n v="776"/>
    <n v="846"/>
    <s v="NO TECHNICAL ASSISTANCE CONDUCTED"/>
    <m/>
    <m/>
    <x v="0"/>
    <s v="Hosannah R. Sabio"/>
    <s v="Jay Pee S. Ordoñez"/>
    <s v="Zosimo P. Suyat"/>
    <m/>
    <m/>
    <m/>
    <m/>
    <m/>
    <s v=""/>
    <s v=""/>
    <s v=""/>
    <s v=""/>
    <m/>
    <m/>
    <m/>
    <m/>
    <m/>
  </r>
  <r>
    <x v="3"/>
    <x v="66"/>
    <s v="MBA"/>
    <s v="Del Pilar"/>
    <n v="1320"/>
    <n v="1425"/>
    <s v="CONDUCTED TECHNICAL ASSISTANCE"/>
    <n v="2024"/>
    <d v="2024-10-03T00:00:00"/>
    <x v="0"/>
    <s v="Hosannah R. Sabio"/>
    <s v="Jay Pee S. Ordoñez"/>
    <s v="Zosimo P. Suyat"/>
    <m/>
    <m/>
    <m/>
    <m/>
    <m/>
    <s v=""/>
    <s v=""/>
    <s v=""/>
    <s v=""/>
    <m/>
    <s v="MRF"/>
    <s v="OPERATIONAL"/>
    <s v="Technical Assistance"/>
    <m/>
  </r>
  <r>
    <x v="3"/>
    <x v="66"/>
    <s v="MBA"/>
    <s v="Estrella"/>
    <n v="5175"/>
    <n v="5512"/>
    <s v="CONDUCTED TECHNICAL ASSISTANCE"/>
    <n v="2024"/>
    <d v="2024-10-03T00:00:00"/>
    <x v="0"/>
    <s v="Hosannah R. Sabio"/>
    <s v="Jay Pee S. Ordoñez"/>
    <s v="Zosimo P. Suyat"/>
    <m/>
    <m/>
    <m/>
    <m/>
    <m/>
    <s v=""/>
    <s v=""/>
    <s v=""/>
    <s v=""/>
    <m/>
    <s v="MRF"/>
    <s v="OPERATIONAL"/>
    <s v="Technical Assistance"/>
    <m/>
  </r>
  <r>
    <x v="3"/>
    <x v="66"/>
    <s v="MBA"/>
    <s v="San Esteban"/>
    <n v="1581"/>
    <n v="1655"/>
    <s v="CONDUCTED TECHNICAL ASSISTANCE"/>
    <n v="2025"/>
    <d v="2025-09-10T00:00:00"/>
    <x v="7"/>
    <s v="Hosannah R. Sabio"/>
    <s v="Jay Pee S. Ordoñez"/>
    <s v="Zosimo P. Suyat"/>
    <s v="R3-2025-031341"/>
    <d v="2025-09-17T00:00:00"/>
    <d v="2025-09-18T00:00:00"/>
    <d v="2025-09-18T00:00:00"/>
    <d v="2025-09-18T00:00:00"/>
    <n v="5"/>
    <n v="1"/>
    <n v="1"/>
    <n v="1"/>
    <s v="Received by Planning"/>
    <s v="MRF"/>
    <s v="OPERATIONAL"/>
    <s v="Technical Assistance"/>
    <m/>
  </r>
  <r>
    <x v="3"/>
    <x v="66"/>
    <s v="MBA"/>
    <s v="Macapsing"/>
    <n v="2813"/>
    <n v="2925"/>
    <s v="CONDUCTED TECHNICAL ASSISTANCE"/>
    <n v="2025"/>
    <d v="2025-05-27T00:00:00"/>
    <x v="10"/>
    <s v="Hosannah R. Sabio"/>
    <s v="Jay Pee S. Ordoñez"/>
    <s v="Zosimo P. Suyat"/>
    <s v="R3-2025-018353"/>
    <d v="2025-06-02T00:00:00"/>
    <d v="2025-06-03T00:00:00"/>
    <d v="2025-06-04T00:00:00"/>
    <d v="2025-06-04T00:00:00"/>
    <n v="4"/>
    <n v="1"/>
    <n v="1"/>
    <n v="1"/>
    <s v="Received by Planning"/>
    <s v="MRS"/>
    <s v="OPERATIONAL"/>
    <s v="Technical Assistance"/>
    <m/>
  </r>
  <r>
    <x v="3"/>
    <x v="66"/>
    <s v="MBA"/>
    <s v="Maligaya"/>
    <n v="1666"/>
    <n v="1924"/>
    <s v="NO TECHNICAL ASSISTANCE CONDUCTED"/>
    <m/>
    <m/>
    <x v="0"/>
    <s v="Hosannah R. Sabio"/>
    <s v="Jay Pee S. Ordoñez"/>
    <s v="Zosimo P. Suyat"/>
    <m/>
    <m/>
    <m/>
    <m/>
    <m/>
    <s v=""/>
    <s v=""/>
    <s v=""/>
    <s v=""/>
    <m/>
    <m/>
    <m/>
    <m/>
    <m/>
  </r>
  <r>
    <x v="3"/>
    <x v="66"/>
    <s v="MBA"/>
    <s v="Paco Roman"/>
    <n v="3278"/>
    <n v="3425"/>
    <s v="CONDUCTED TECHNICAL ASSISTANCE"/>
    <n v="2024"/>
    <d v="2024-10-03T00:00:00"/>
    <x v="0"/>
    <s v="Hosannah R. Sabio"/>
    <s v="Jay Pee S. Ordoñez"/>
    <s v="Zosimo P. Suyat"/>
    <m/>
    <m/>
    <m/>
    <m/>
    <m/>
    <s v=""/>
    <s v=""/>
    <s v=""/>
    <s v=""/>
    <m/>
    <s v="MRF"/>
    <s v="OPERATIONAL"/>
    <s v="Technical Assistance"/>
    <m/>
  </r>
  <r>
    <x v="3"/>
    <x v="66"/>
    <s v="MBA"/>
    <s v="Pagasa"/>
    <n v="1385"/>
    <n v="1466"/>
    <s v="CONDUCTED TECHNICAL ASSISTANCE"/>
    <n v="2024"/>
    <d v="2024-10-03T00:00:00"/>
    <x v="0"/>
    <s v="Hosannah R. Sabio"/>
    <s v="Jay Pee S. Ordoñez"/>
    <s v="Zosimo P. Suyat"/>
    <m/>
    <m/>
    <m/>
    <m/>
    <m/>
    <s v=""/>
    <s v=""/>
    <s v=""/>
    <s v=""/>
    <m/>
    <s v="MRF"/>
    <s v="OPERATIONAL"/>
    <s v="Technical Assistance"/>
    <m/>
  </r>
  <r>
    <x v="3"/>
    <x v="66"/>
    <s v="MBA"/>
    <s v="Poblacion Central"/>
    <n v="771"/>
    <n v="643"/>
    <s v="NO TECHNICAL ASSISTANCE CONDUCTED"/>
    <m/>
    <m/>
    <x v="0"/>
    <s v="Hosannah R. Sabio"/>
    <s v="Jay Pee S. Ordoñez"/>
    <s v="Zosimo P. Suyat"/>
    <m/>
    <m/>
    <m/>
    <m/>
    <m/>
    <s v=""/>
    <s v=""/>
    <s v=""/>
    <s v=""/>
    <m/>
    <m/>
    <m/>
    <m/>
    <m/>
  </r>
  <r>
    <x v="3"/>
    <x v="66"/>
    <s v="MBA"/>
    <s v="Poblacion East"/>
    <n v="1969"/>
    <n v="2025"/>
    <s v="NO TECHNICAL ASSISTANCE CONDUCTED"/>
    <m/>
    <m/>
    <x v="0"/>
    <s v="Hosannah R. Sabio"/>
    <s v="Jay Pee S. Ordoñez"/>
    <s v="Zosimo P. Suyat"/>
    <m/>
    <m/>
    <m/>
    <m/>
    <m/>
    <s v=""/>
    <s v=""/>
    <s v=""/>
    <s v=""/>
    <m/>
    <m/>
    <m/>
    <m/>
    <m/>
  </r>
  <r>
    <x v="3"/>
    <x v="66"/>
    <s v="MBA"/>
    <s v="Poblacion Norte"/>
    <n v="3003"/>
    <n v="3356"/>
    <s v="NO TECHNICAL ASSISTANCE CONDUCTED"/>
    <m/>
    <m/>
    <x v="0"/>
    <s v="Hosannah R. Sabio"/>
    <s v="Jay Pee S. Ordoñez"/>
    <s v="Zosimo P. Suyat"/>
    <m/>
    <m/>
    <m/>
    <m/>
    <m/>
    <s v=""/>
    <s v=""/>
    <s v=""/>
    <s v=""/>
    <m/>
    <m/>
    <m/>
    <m/>
    <m/>
  </r>
  <r>
    <x v="3"/>
    <x v="66"/>
    <s v="MBA"/>
    <s v="Poblacion Sur"/>
    <n v="3160"/>
    <n v="3690"/>
    <s v="NO TECHNICAL ASSISTANCE CONDUCTED"/>
    <m/>
    <m/>
    <x v="0"/>
    <s v="Hosannah R. Sabio"/>
    <s v="Jay Pee S. Ordoñez"/>
    <s v="Zosimo P. Suyat"/>
    <m/>
    <m/>
    <m/>
    <m/>
    <m/>
    <s v=""/>
    <s v=""/>
    <s v=""/>
    <s v=""/>
    <m/>
    <m/>
    <m/>
    <m/>
    <m/>
  </r>
  <r>
    <x v="3"/>
    <x v="66"/>
    <s v="MBA"/>
    <s v="Poblacion West"/>
    <n v="3696"/>
    <n v="3814"/>
    <s v="NO TECHNICAL ASSISTANCE CONDUCTED"/>
    <m/>
    <m/>
    <x v="0"/>
    <s v="Hosannah R. Sabio"/>
    <s v="Jay Pee S. Ordoñez"/>
    <s v="Zosimo P. Suyat"/>
    <m/>
    <m/>
    <m/>
    <m/>
    <m/>
    <s v=""/>
    <s v=""/>
    <s v=""/>
    <s v=""/>
    <m/>
    <m/>
    <m/>
    <m/>
    <m/>
  </r>
  <r>
    <x v="3"/>
    <x v="66"/>
    <s v="MBA"/>
    <s v="Portal"/>
    <n v="1932"/>
    <n v="2075"/>
    <s v="NO TECHNICAL ASSISTANCE CONDUCTED"/>
    <m/>
    <m/>
    <x v="0"/>
    <s v="Hosannah R. Sabio"/>
    <s v="Jay Pee S. Ordoñez"/>
    <s v="Zosimo P. Suyat"/>
    <m/>
    <m/>
    <m/>
    <m/>
    <m/>
    <s v=""/>
    <s v=""/>
    <s v=""/>
    <s v=""/>
    <m/>
    <m/>
    <m/>
    <m/>
    <m/>
  </r>
  <r>
    <x v="3"/>
    <x v="66"/>
    <s v="MBA"/>
    <s v="Villa Labrador"/>
    <n v="881"/>
    <n v="1014"/>
    <s v="CONDUCTED TECHNICAL ASSISTANCE"/>
    <n v="2025"/>
    <d v="2025-09-10T00:00:00"/>
    <x v="7"/>
    <s v="Hosannah R. Sabio"/>
    <s v="Jay Pee S. Ordoñez"/>
    <s v="Zosimo P. Suyat"/>
    <s v="R3-2025-031343"/>
    <d v="2025-09-17T00:00:00"/>
    <d v="2025-09-18T00:00:00"/>
    <d v="2025-09-18T00:00:00"/>
    <d v="2025-09-18T00:00:00"/>
    <n v="5"/>
    <n v="1"/>
    <n v="1"/>
    <n v="1"/>
    <s v="Received by Planning"/>
    <s v="MRF"/>
    <s v="OPERATIONAL"/>
    <s v="Technical Assistance"/>
    <m/>
  </r>
  <r>
    <x v="3"/>
    <x v="66"/>
    <s v="MBA"/>
    <s v="San Gregorio"/>
    <n v="1544"/>
    <n v="1959"/>
    <s v="NO TECHNICAL ASSISTANCE CONDUCTED"/>
    <m/>
    <m/>
    <x v="0"/>
    <s v="Hosannah R. Sabio"/>
    <s v="Jay Pee S. Ordoñez"/>
    <s v="Zosimo P. Suyat"/>
    <m/>
    <m/>
    <m/>
    <m/>
    <m/>
    <s v=""/>
    <s v=""/>
    <s v=""/>
    <s v=""/>
    <m/>
    <m/>
    <m/>
    <m/>
    <m/>
  </r>
  <r>
    <x v="3"/>
    <x v="66"/>
    <s v="MBA"/>
    <s v="Santa Monica"/>
    <n v="2570"/>
    <n v="2733"/>
    <s v="CONDUCTED TECHNICAL ASSISTANCE"/>
    <n v="2024"/>
    <d v="2024-07-23T00:00:00"/>
    <x v="0"/>
    <s v="Hosannah R. Sabio"/>
    <s v="Jay Pee S. Ordoñez"/>
    <s v="Zosimo P. Suyat"/>
    <m/>
    <m/>
    <m/>
    <m/>
    <m/>
    <s v=""/>
    <s v=""/>
    <s v=""/>
    <s v=""/>
    <m/>
    <s v="MRF"/>
    <s v="OPERATIONAL"/>
    <s v="Technical Assistance"/>
    <m/>
  </r>
  <r>
    <x v="3"/>
    <x v="66"/>
    <s v="MBA"/>
    <s v="Villa Paraiso"/>
    <n v="770"/>
    <n v="683"/>
    <s v="CONDUCTED TECHNICAL ASSISTANCE"/>
    <n v="2025"/>
    <d v="2025-09-10T00:00:00"/>
    <x v="7"/>
    <s v="Hosannah R. Sabio"/>
    <s v="Jay Pee S. Ordoñez"/>
    <s v="Zosimo P. Suyat"/>
    <s v="R3-2025-031344"/>
    <d v="2025-09-17T00:00:00"/>
    <d v="2025-09-18T00:00:00"/>
    <d v="2025-09-18T00:00:00"/>
    <d v="2025-09-18T00:00:00"/>
    <n v="5"/>
    <n v="1"/>
    <n v="1"/>
    <n v="1"/>
    <s v="Received by Planning"/>
    <s v="MRS"/>
    <s v="OPERATIONAL"/>
    <s v="Technical Assistance"/>
    <m/>
  </r>
  <r>
    <x v="3"/>
    <x v="67"/>
    <s v="MBA"/>
    <s v="Buliran"/>
    <n v="4205"/>
    <n v="4631"/>
    <s v="CONDUCTED TECHNICAL ASSISTANCE"/>
    <n v="2025"/>
    <d v="2025-10-21T00:00:00"/>
    <x v="11"/>
    <s v="Christine Ann V. Ramos"/>
    <s v="Jay Pee S. Ordoñez"/>
    <s v="Zosimo P. Suyat"/>
    <s v="R3-2025-035706"/>
    <d v="2025-10-21T00:00:00"/>
    <d v="2025-10-24T00:00:00"/>
    <d v="2025-10-30T00:00:00"/>
    <d v="2025-11-03T00:00:00"/>
    <n v="1"/>
    <n v="3"/>
    <n v="4"/>
    <n v="2"/>
    <s v="Received by Planning"/>
    <s v="MRS"/>
    <s v="OPERATIONAL"/>
    <s v="Technical Assistance"/>
    <m/>
  </r>
  <r>
    <x v="3"/>
    <x v="67"/>
    <s v="MBA"/>
    <s v="Cama Juan"/>
    <n v="2778"/>
    <n v="2806"/>
    <s v="CONDUCTED TECHNICAL ASSISTANCE"/>
    <n v="2024"/>
    <d v="2024-10-17T00:00:00"/>
    <x v="0"/>
    <s v="Christine Ann V. Ramos"/>
    <s v="Jay Pee S. Ordoñez"/>
    <s v="Zosimo P. Suyat"/>
    <m/>
    <m/>
    <m/>
    <m/>
    <m/>
    <s v=""/>
    <s v=""/>
    <s v=""/>
    <s v=""/>
    <m/>
    <s v="MRF"/>
    <s v="OPERATIONAL"/>
    <s v="Technical Assistance"/>
    <m/>
  </r>
  <r>
    <x v="3"/>
    <x v="67"/>
    <s v="MBA"/>
    <s v="Julo"/>
    <n v="5046"/>
    <n v="5082"/>
    <s v="CONDUCTED TECHNICAL ASSISTANCE"/>
    <n v="2024"/>
    <d v="2024-02-07T00:00:00"/>
    <x v="0"/>
    <s v="Christine Ann V. Ramos"/>
    <s v="Jay Pee S. Ordoñez"/>
    <s v="Zosimo P. Suyat"/>
    <m/>
    <m/>
    <m/>
    <m/>
    <m/>
    <s v=""/>
    <s v=""/>
    <s v=""/>
    <s v=""/>
    <m/>
    <s v="MRF"/>
    <s v="OPERATIONAL"/>
    <s v="Technical Assistance"/>
    <m/>
  </r>
  <r>
    <x v="3"/>
    <x v="67"/>
    <s v="MBA"/>
    <s v="Lawang Kupang"/>
    <n v="2875"/>
    <n v="3152"/>
    <s v="CONDUCTED TECHNICAL ASSISTANCE"/>
    <n v="2025"/>
    <d v="2025-10-21T00:00:00"/>
    <x v="11"/>
    <s v="Christine Ann V. Ramos"/>
    <s v="Jay Pee S. Ordoñez"/>
    <s v="Zosimo P. Suyat"/>
    <s v="R3-2025-035705"/>
    <d v="2025-10-21T00:00:00"/>
    <d v="2025-10-24T00:00:00"/>
    <d v="2025-10-30T00:00:00"/>
    <d v="2025-11-03T00:00:00"/>
    <n v="1"/>
    <n v="3"/>
    <n v="4"/>
    <n v="2"/>
    <s v="Received by Planning"/>
    <s v="MRS"/>
    <s v="OPERATIONAL"/>
    <s v="Technical Assistance"/>
    <m/>
  </r>
  <r>
    <x v="3"/>
    <x v="67"/>
    <s v="MBA"/>
    <s v="Luyos"/>
    <n v="3550"/>
    <n v="3744"/>
    <s v="CONDUCTED TECHNICAL ASSISTANCE"/>
    <n v="2025"/>
    <d v="2025-05-21T00:00:00"/>
    <x v="10"/>
    <s v="Christine Ann V. Ramos"/>
    <s v="Jan Emerson C. Gonzales"/>
    <s v="Zosimo P. Suyat"/>
    <s v="R3-2025-017384"/>
    <d v="2025-05-22T00:00:00"/>
    <d v="2025-05-28T00:00:00"/>
    <d v="2025-05-28T00:00:00"/>
    <d v="2025-05-30T00:00:00"/>
    <n v="1"/>
    <n v="4"/>
    <n v="1"/>
    <n v="2"/>
    <s v="Received by Planning"/>
    <s v="MRS"/>
    <s v="OPERATIONAL"/>
    <s v="Technical Assistance"/>
    <m/>
  </r>
  <r>
    <x v="3"/>
    <x v="67"/>
    <s v="MBA"/>
    <s v="Maugat"/>
    <n v="4971"/>
    <n v="5383"/>
    <s v="CONDUCTED TECHNICAL ASSISTANCE"/>
    <n v="2024"/>
    <d v="2024-07-19T00:00:00"/>
    <x v="0"/>
    <s v="Christine Ann V. Ramos"/>
    <s v="Jay Pee S. Ordoñez"/>
    <s v="Zosimo P. Suyat"/>
    <m/>
    <m/>
    <m/>
    <m/>
    <m/>
    <s v=""/>
    <s v=""/>
    <s v=""/>
    <s v=""/>
    <m/>
    <s v="MRF"/>
    <s v="OPERATIONAL"/>
    <s v="Technical Assistance"/>
    <m/>
  </r>
  <r>
    <x v="3"/>
    <x v="67"/>
    <s v="MBA"/>
    <s v="Panabingan"/>
    <n v="2904"/>
    <n v="2937"/>
    <s v="CONDUCTED TECHNICAL ASSISTANCE"/>
    <n v="2024"/>
    <d v="2024-10-17T00:00:00"/>
    <x v="0"/>
    <s v="Christine Ann V. Ramos"/>
    <s v="Jay Pee S. Ordoñez"/>
    <s v="Zosimo P. Suyat"/>
    <m/>
    <m/>
    <m/>
    <m/>
    <m/>
    <s v=""/>
    <s v=""/>
    <s v=""/>
    <s v=""/>
    <m/>
    <s v="MRF"/>
    <s v="OPERATIONAL"/>
    <s v="Technical Assistance"/>
    <m/>
  </r>
  <r>
    <x v="3"/>
    <x v="67"/>
    <s v="MBA"/>
    <s v="Papaya"/>
    <n v="7862"/>
    <n v="8063"/>
    <s v="CONDUCTED TECHNICAL ASSISTANCE"/>
    <n v="2024"/>
    <d v="2024-04-18T00:00:00"/>
    <x v="0"/>
    <s v="Christine Ann V. Ramos"/>
    <s v="Jay Pee S. Ordoñez"/>
    <s v="Zosimo P. Suyat"/>
    <m/>
    <m/>
    <m/>
    <m/>
    <m/>
    <s v=""/>
    <s v=""/>
    <s v=""/>
    <s v=""/>
    <m/>
    <m/>
    <m/>
    <s v="Technical Assistance"/>
    <m/>
  </r>
  <r>
    <x v="3"/>
    <x v="67"/>
    <s v="MBA"/>
    <s v="Poblacion"/>
    <n v="1955"/>
    <n v="1971"/>
    <s v="CONDUCTED TECHNICAL ASSISTANCE"/>
    <n v="2025"/>
    <d v="2025-07-30T00:00:00"/>
    <x v="9"/>
    <s v="Christine Ann V. Ramos"/>
    <s v="Jan Emerson C. Gonzales"/>
    <s v="Zosimo P. Suyat"/>
    <s v="R3-2025-025556"/>
    <d v="2025-08-03T00:00:00"/>
    <d v="2025-08-05T00:00:00"/>
    <d v="2025-08-06T00:00:00"/>
    <d v="2025-08-07T00:00:00"/>
    <n v="2"/>
    <n v="1"/>
    <n v="1"/>
    <n v="1"/>
    <s v="Received by Planning"/>
    <s v="MRS"/>
    <s v="OPERATIONAL"/>
    <s v="Technical Assistance"/>
    <m/>
  </r>
  <r>
    <x v="3"/>
    <x v="67"/>
    <s v="MBA"/>
    <s v="San Francisco"/>
    <n v="14533"/>
    <n v="15307"/>
    <s v="CONDUCTED TECHNICAL ASSISTANCE"/>
    <n v="2025"/>
    <d v="2025-02-06T00:00:00"/>
    <x v="3"/>
    <s v="Christine Ann V. Ramos"/>
    <s v="Jay Pee S. Ordoñez"/>
    <s v="Zosimo P. Suyat"/>
    <s v="R3-2025-004796"/>
    <d v="2025-02-10T00:00:00"/>
    <d v="2025-02-11T00:00:00"/>
    <d v="2025-02-11T00:00:00"/>
    <d v="2025-02-13T00:00:00"/>
    <n v="2"/>
    <n v="1"/>
    <n v="1"/>
    <n v="2"/>
    <s v="Received by Planning"/>
    <s v="MRF"/>
    <s v="OPERATIONAL"/>
    <s v="Technical Assistance"/>
    <m/>
  </r>
  <r>
    <x v="3"/>
    <x v="67"/>
    <s v="MBA"/>
    <s v="San Jose"/>
    <n v="354"/>
    <n v="519"/>
    <s v="CONDUCTED TECHNICAL ASSISTANCE"/>
    <n v="2025"/>
    <d v="2025-11-05T00:00:00"/>
    <x v="11"/>
    <s v="Christine Ann V. Ramos"/>
    <s v="Jay Pee S. Ordoñez"/>
    <s v="Zosimo P. Suyat"/>
    <s v="R3-2025-037237"/>
    <d v="2025-11-06T00:00:00"/>
    <d v="2025-11-11T00:00:00"/>
    <d v="2025-11-18T00:00:00"/>
    <d v="2025-11-19T00:00:00"/>
    <n v="1"/>
    <n v="3"/>
    <n v="5"/>
    <n v="1"/>
    <s v="Received by Planning"/>
    <s v="MRS"/>
    <s v="OPERATIONAL"/>
    <s v="Technical Assistance"/>
    <m/>
  </r>
  <r>
    <x v="3"/>
    <x v="67"/>
    <s v="MBA"/>
    <s v="San Mariano"/>
    <n v="6582"/>
    <n v="7271"/>
    <s v="CONDUCTED TECHNICAL ASSISTANCE"/>
    <n v="2025"/>
    <d v="2025-07-30T00:00:00"/>
    <x v="9"/>
    <s v="Christine Ann V. Ramos"/>
    <s v="Jan Emerson C. Gonzales"/>
    <s v="Zosimo P. Suyat"/>
    <s v="R3-2025-025557"/>
    <d v="2025-08-03T00:00:00"/>
    <d v="2025-08-07T00:00:00"/>
    <d v="2025-08-13T00:00:00"/>
    <d v="2025-08-15T00:00:00"/>
    <n v="2"/>
    <n v="3"/>
    <n v="4"/>
    <n v="2"/>
    <s v="Received by Planning"/>
    <s v="MRS"/>
    <s v="OPERATIONAL"/>
    <s v="Technical Assistance"/>
    <m/>
  </r>
  <r>
    <x v="3"/>
    <x v="67"/>
    <s v="MBA"/>
    <s v="Santa Barbara"/>
    <n v="7527"/>
    <n v="8161"/>
    <s v="CONDUCTED TECHNICAL ASSISTANCE"/>
    <n v="2024"/>
    <d v="2024-10-17T00:00:00"/>
    <x v="0"/>
    <s v="Christine Ann V. Ramos"/>
    <s v="Jay Pee S. Ordoñez"/>
    <s v="Zosimo P. Suyat"/>
    <m/>
    <m/>
    <m/>
    <m/>
    <m/>
    <s v=""/>
    <s v=""/>
    <s v=""/>
    <s v=""/>
    <m/>
    <s v="MRF"/>
    <s v="OPERATIONAL"/>
    <s v="Technical Assistance"/>
    <m/>
  </r>
  <r>
    <x v="3"/>
    <x v="67"/>
    <s v="MBA"/>
    <s v="Santa Cruz"/>
    <n v="1521"/>
    <n v="1782"/>
    <s v="CONDUCTED TECHNICAL ASSISTANCE"/>
    <n v="2025"/>
    <d v="2025-04-23T00:00:00"/>
    <x v="6"/>
    <s v="Christine Ann V. Ramos"/>
    <s v="Jan Emerson C. Gonzales"/>
    <s v="Zosimo P. Suyat"/>
    <s v="R3-2025-014588"/>
    <d v="2025-04-29T00:00:00"/>
    <d v="2025-04-30T00:00:00"/>
    <d v="2025-04-30T00:00:00"/>
    <d v="2025-05-02T00:00:00"/>
    <n v="4"/>
    <n v="1"/>
    <n v="1"/>
    <n v="2"/>
    <s v="Received by Planning"/>
    <s v="MRS"/>
    <s v="OPERATIONAL"/>
    <s v="Technical Assistance"/>
    <m/>
  </r>
  <r>
    <x v="3"/>
    <x v="67"/>
    <s v="MBA"/>
    <s v="Santo Cristo"/>
    <n v="8273"/>
    <n v="9341"/>
    <s v="CONDUCTED TECHNICAL ASSISTANCE"/>
    <n v="2025"/>
    <d v="2025-07-22T00:00:00"/>
    <x v="9"/>
    <s v="Christine Ann V. Ramos"/>
    <s v="Jan Emerson C. Gonzales"/>
    <s v="Zosimo P. Suyat"/>
    <s v="R3-2025-024612"/>
    <d v="2025-07-24T00:00:00"/>
    <d v="2025-08-07T00:00:00"/>
    <d v="2025-08-13T00:00:00"/>
    <d v="2025-08-15T00:00:00"/>
    <n v="2"/>
    <n v="10"/>
    <n v="4"/>
    <n v="2"/>
    <s v="Received by Planning"/>
    <s v="MRS"/>
    <s v="OPERATIONAL"/>
    <s v="Technical Assistance"/>
    <m/>
  </r>
  <r>
    <x v="3"/>
    <x v="67"/>
    <s v="MBA"/>
    <s v="Tikiw"/>
    <n v="2900"/>
    <n v="2910"/>
    <s v="CONDUCTED TECHNICAL ASSISTANCE"/>
    <n v="2025"/>
    <d v="2025-04-23T00:00:00"/>
    <x v="6"/>
    <s v="Christine Ann V. Ramos"/>
    <s v="Jan Emerson C. Gonzales"/>
    <s v="Zosimo P. Suyat"/>
    <s v="R3-2025-014589"/>
    <d v="2025-04-29T00:00:00"/>
    <d v="2025-04-30T00:00:00"/>
    <d v="2025-04-30T00:00:00"/>
    <d v="2025-05-02T00:00:00"/>
    <n v="4"/>
    <n v="1"/>
    <n v="1"/>
    <n v="2"/>
    <s v="Received by Planning"/>
    <s v="MRS"/>
    <s v="OPERATIONAL"/>
    <s v="Technical Assistance"/>
    <m/>
  </r>
  <r>
    <x v="3"/>
    <x v="68"/>
    <s v="MBA"/>
    <s v="Alua"/>
    <n v="4989"/>
    <n v="5157"/>
    <s v="CONDUCTED TECHNICAL ASSISTANCE"/>
    <n v="2024"/>
    <d v="2024-08-20T00:00:00"/>
    <x v="0"/>
    <s v="Christine Ann V. Ramos"/>
    <s v="Jay Pee S. Ordoñez"/>
    <s v="Zosimo P. Suyat"/>
    <m/>
    <m/>
    <m/>
    <m/>
    <m/>
    <s v=""/>
    <s v=""/>
    <s v=""/>
    <s v=""/>
    <m/>
    <s v="MRF"/>
    <s v="OPERATIONAL"/>
    <s v="Technical Assistance"/>
    <m/>
  </r>
  <r>
    <x v="3"/>
    <x v="68"/>
    <s v="MBA"/>
    <s v="Calaba"/>
    <n v="5129"/>
    <n v="5290"/>
    <s v="CONDUCTED TECHNICAL ASSISTANCE"/>
    <n v="2025"/>
    <d v="2025-03-12T00:00:00"/>
    <x v="4"/>
    <s v="Christine Ann V. Ramos"/>
    <s v="Jay Pee S. Ordoñez"/>
    <s v="Zosimo P. Suyat"/>
    <s v="R3-2025-008746"/>
    <d v="2025-03-15T00:00:00"/>
    <d v="2025-04-07T00:00:00"/>
    <d v="2025-04-07T00:00:00"/>
    <d v="2025-04-10T00:00:00"/>
    <n v="2"/>
    <n v="15"/>
    <n v="1"/>
    <n v="3"/>
    <s v="Received by Planning"/>
    <s v="MRS"/>
    <s v="OPERATIONAL"/>
    <s v="Technical Assistance"/>
    <m/>
  </r>
  <r>
    <x v="3"/>
    <x v="68"/>
    <s v="MBA"/>
    <s v="Malapit"/>
    <n v="9160"/>
    <n v="9596"/>
    <s v="CONDUCTED TECHNICAL ASSISTANCE"/>
    <s v="2024_x000a_2025"/>
    <s v="27-Mar-24_x000a_14-Feb-25"/>
    <x v="3"/>
    <s v="Christine Ann V. Ramos"/>
    <s v="Jay Pee S. Ordoñez"/>
    <s v="Zosimo P. Suyat"/>
    <s v="R3-2024-011940_x000a_R3-2025-005559"/>
    <s v="27-Mar-24_x000a_16-Feb-25"/>
    <s v="1-Apr-24_x000a_17-Feb-25"/>
    <s v="14-Apr-24_x000a_17-Feb-25"/>
    <s v="15-Apr-24_x000a_18-Feb-25"/>
    <m/>
    <m/>
    <m/>
    <m/>
    <s v="Received by Planning"/>
    <s v="MRS"/>
    <s v="OPERATIONAL"/>
    <s v="Technical Assistance"/>
    <m/>
  </r>
  <r>
    <x v="3"/>
    <x v="68"/>
    <s v="MBA"/>
    <s v="Mangga"/>
    <n v="2533"/>
    <n v="2665"/>
    <s v="CONDUCTED TECHNICAL ASSISTANCE"/>
    <n v="2025"/>
    <d v="2025-03-12T00:00:00"/>
    <x v="1"/>
    <s v="Christine Ann V. Ramos"/>
    <s v="Jay Pee S. Ordoñez"/>
    <s v="Zosimo P. Suyat"/>
    <s v="R3-2025-008750"/>
    <m/>
    <m/>
    <m/>
    <m/>
    <s v=""/>
    <s v=""/>
    <s v=""/>
    <s v=""/>
    <s v="Received by Planning"/>
    <s v="MRS"/>
    <s v="OPERATIONAL"/>
    <s v="Technical Assistance"/>
    <m/>
  </r>
  <r>
    <x v="3"/>
    <x v="68"/>
    <s v="MBA"/>
    <s v="Poblacion"/>
    <n v="7214"/>
    <n v="7464"/>
    <s v="CONDUCTED TECHNICAL ASSISTANCE"/>
    <n v="2024"/>
    <d v="2024-03-27T00:00:00"/>
    <x v="0"/>
    <s v="Christine Ann V. Ramos"/>
    <s v="Jay Pee S. Ordoñez"/>
    <s v="Zosimo P. Suyat"/>
    <m/>
    <m/>
    <m/>
    <m/>
    <m/>
    <s v=""/>
    <s v=""/>
    <s v=""/>
    <s v=""/>
    <m/>
    <m/>
    <m/>
    <s v="Technical Assistance"/>
    <m/>
  </r>
  <r>
    <x v="3"/>
    <x v="68"/>
    <s v="MBA"/>
    <s v="Pulo"/>
    <n v="5812"/>
    <n v="6021"/>
    <s v="CONDUCTED TECHNICAL ASSISTANCE"/>
    <n v="2025"/>
    <d v="2025-03-12T00:00:00"/>
    <x v="1"/>
    <s v="Christine Ann V. Ramos"/>
    <s v="Jay Pee S. Ordoñez"/>
    <s v="Zosimo P. Suyat"/>
    <s v="R3-2025-008752"/>
    <d v="2025-03-15T00:00:00"/>
    <d v="2025-03-18T00:00:00"/>
    <d v="2025-03-18T00:00:00"/>
    <d v="2025-03-19T00:00:00"/>
    <n v="2"/>
    <n v="1"/>
    <n v="1"/>
    <n v="1"/>
    <s v="Received by Planning"/>
    <s v="MRS"/>
    <s v="OPERATIONAL"/>
    <s v="Technical Assistance"/>
    <m/>
  </r>
  <r>
    <x v="3"/>
    <x v="68"/>
    <s v="MBA"/>
    <s v="San Roque"/>
    <n v="6745"/>
    <n v="7019"/>
    <s v="CONDUCTED TECHNICAL ASSISTANCE"/>
    <n v="2024"/>
    <d v="2024-04-17T00:00:00"/>
    <x v="0"/>
    <s v="Christine Ann V. Ramos"/>
    <s v="Jay Pee S. Ordoñez"/>
    <s v="Zosimo P. Suyat"/>
    <m/>
    <m/>
    <m/>
    <m/>
    <m/>
    <s v=""/>
    <s v=""/>
    <s v=""/>
    <s v=""/>
    <m/>
    <m/>
    <m/>
    <s v="Technical Assistance"/>
    <m/>
  </r>
  <r>
    <x v="3"/>
    <x v="68"/>
    <s v="MBA"/>
    <s v="Santo Cristo"/>
    <n v="6177"/>
    <n v="6772"/>
    <s v="CONDUCTED TECHNICAL ASSISTANCE"/>
    <n v="2025"/>
    <d v="2025-03-12T00:00:00"/>
    <x v="1"/>
    <s v="Christine Ann V. Ramos"/>
    <s v="Jay Pee S. Ordoñez"/>
    <s v="Zosimo P. Suyat"/>
    <s v="R3-2025-008751"/>
    <d v="2025-03-15T00:00:00"/>
    <d v="2025-03-18T00:00:00"/>
    <d v="2025-03-18T00:00:00"/>
    <d v="2025-03-19T00:00:00"/>
    <n v="2"/>
    <n v="1"/>
    <n v="1"/>
    <n v="1"/>
    <s v="Received by Planning"/>
    <s v="MRS"/>
    <s v="OPERATIONAL"/>
    <s v="Technical Assistance"/>
    <m/>
  </r>
  <r>
    <x v="3"/>
    <x v="68"/>
    <s v="MBA"/>
    <s v="Tabon"/>
    <n v="3853"/>
    <n v="4388"/>
    <s v="CONDUCTED TECHNICAL ASSISTANCE"/>
    <n v="2024"/>
    <d v="2024-08-20T00:00:00"/>
    <x v="0"/>
    <s v="Christine Ann V. Ramos"/>
    <s v="Jay Pee S. Ordoñez"/>
    <s v="Zosimo P. Suyat"/>
    <m/>
    <m/>
    <m/>
    <m/>
    <m/>
    <s v=""/>
    <s v=""/>
    <s v=""/>
    <s v=""/>
    <m/>
    <s v="MRF"/>
    <s v="OPERATIONAL"/>
    <s v="Technical Assistance"/>
    <m/>
  </r>
  <r>
    <x v="3"/>
    <x v="69"/>
    <s v="MBA"/>
    <s v="Porais"/>
    <n v="3320"/>
    <n v="3435"/>
    <s v="CONDUCTED TECHNICAL ASSISTANCE"/>
    <n v="2025"/>
    <d v="2025-08-08T00:00:00"/>
    <x v="7"/>
    <s v="Hosannah R. Sabio"/>
    <s v="Jay Pee S. Ordoñez"/>
    <s v="Zosimo P. Suyat"/>
    <s v="R3-2025-027474"/>
    <d v="2025-08-15T00:00:00"/>
    <d v="2025-08-18T00:00:00"/>
    <d v="2025-08-19T00:00:00"/>
    <d v="2025-08-19T00:00:00"/>
    <n v="5"/>
    <n v="1"/>
    <n v="1"/>
    <n v="1"/>
    <s v="Received by Planning"/>
    <s v="MRS"/>
    <s v="OPERATIONAL"/>
    <s v="Technical Assistance"/>
    <m/>
  </r>
  <r>
    <x v="3"/>
    <x v="69"/>
    <s v="MBA"/>
    <s v="A. Pascual"/>
    <n v="1514"/>
    <n v="1486"/>
    <s v="NO TECHNICAL ASSISTANCE CONDUCTED"/>
    <m/>
    <m/>
    <x v="0"/>
    <s v="Hosannah R. Sabio"/>
    <s v="Jay Pee S. Ordoñez"/>
    <s v="Zosimo P. Suyat"/>
    <m/>
    <m/>
    <m/>
    <m/>
    <m/>
    <s v=""/>
    <s v=""/>
    <s v=""/>
    <s v=""/>
    <m/>
    <m/>
    <m/>
    <m/>
    <m/>
  </r>
  <r>
    <x v="3"/>
    <x v="69"/>
    <s v="MBA"/>
    <s v="Abar 2nd"/>
    <n v="2983"/>
    <n v="4031"/>
    <s v="NO TECHNICAL ASSISTANCE CONDUCTED"/>
    <m/>
    <m/>
    <x v="0"/>
    <s v="Hosannah R. Sabio"/>
    <s v="Jay Pee S. Ordoñez"/>
    <s v="Zosimo P. Suyat"/>
    <m/>
    <m/>
    <m/>
    <m/>
    <m/>
    <s v=""/>
    <s v=""/>
    <s v=""/>
    <s v=""/>
    <m/>
    <m/>
    <m/>
    <m/>
    <m/>
  </r>
  <r>
    <x v="3"/>
    <x v="69"/>
    <s v="MBA"/>
    <s v="Abar Ist"/>
    <n v="20172"/>
    <n v="21214"/>
    <s v="CONDUCTED TECHNICAL ASSISTANCE"/>
    <n v="2024"/>
    <d v="2024-05-29T00:00:00"/>
    <x v="0"/>
    <s v="Hosannah R. Sabio"/>
    <s v="Jay Pee S. Ordoñez"/>
    <s v="Zosimo P. Suyat"/>
    <m/>
    <m/>
    <m/>
    <m/>
    <m/>
    <s v=""/>
    <s v=""/>
    <s v=""/>
    <s v=""/>
    <m/>
    <m/>
    <m/>
    <s v="Technical Assistance"/>
    <m/>
  </r>
  <r>
    <x v="3"/>
    <x v="69"/>
    <s v="MBA"/>
    <s v="Bagong Sikat"/>
    <n v="2215"/>
    <n v="2270"/>
    <s v="NO TECHNICAL ASSISTANCE CONDUCTED"/>
    <m/>
    <m/>
    <x v="0"/>
    <s v="Hosannah R. Sabio"/>
    <s v="Jay Pee S. Ordoñez"/>
    <s v="Zosimo P. Suyat"/>
    <m/>
    <m/>
    <m/>
    <m/>
    <m/>
    <s v=""/>
    <s v=""/>
    <s v=""/>
    <s v=""/>
    <m/>
    <m/>
    <m/>
    <m/>
    <m/>
  </r>
  <r>
    <x v="3"/>
    <x v="69"/>
    <s v="MBA"/>
    <s v="Caanawan"/>
    <n v="5032"/>
    <n v="5217"/>
    <s v="CONDUCTED TECHNICAL ASSISTANCE"/>
    <n v="2024"/>
    <d v="2024-06-13T00:00:00"/>
    <x v="0"/>
    <s v="Hosannah R. Sabio"/>
    <s v="Jay Pee S. Ordoñez"/>
    <s v="Zosimo P. Suyat"/>
    <m/>
    <m/>
    <m/>
    <m/>
    <m/>
    <s v=""/>
    <s v=""/>
    <s v=""/>
    <s v=""/>
    <m/>
    <m/>
    <m/>
    <s v="Technical Assistance"/>
    <m/>
  </r>
  <r>
    <x v="3"/>
    <x v="69"/>
    <s v="MBA"/>
    <s v="Calaocan"/>
    <n v="6430"/>
    <n v="5945"/>
    <s v="CONDUCTED TECHNICAL ASSISTANCE"/>
    <n v="2024"/>
    <d v="2024-08-15T00:00:00"/>
    <x v="0"/>
    <s v="Hosannah R. Sabio"/>
    <s v="Jay Pee S. Ordoñez"/>
    <s v="Zosimo P. Suyat"/>
    <m/>
    <m/>
    <m/>
    <m/>
    <m/>
    <s v=""/>
    <s v=""/>
    <s v=""/>
    <s v=""/>
    <m/>
    <s v="MRF"/>
    <s v="OPERATIONAL"/>
    <s v="Technical Assistance"/>
    <m/>
  </r>
  <r>
    <x v="3"/>
    <x v="69"/>
    <s v="MBA"/>
    <s v="Camanacsacan"/>
    <n v="1649"/>
    <n v="2887"/>
    <s v="CONDUCTED TECHNICAL ASSISTANCE"/>
    <n v="2025"/>
    <d v="2025-07-17T00:00:00"/>
    <x v="9"/>
    <s v="Hosannah R. Sabio"/>
    <s v="Jay Pee S. Ordoñez"/>
    <s v="Zosimo P. Suyat"/>
    <s v="R3-2025-024461"/>
    <d v="2025-07-21T00:00:00"/>
    <d v="2025-07-31T00:00:00"/>
    <d v="2025-08-06T00:00:00"/>
    <d v="2025-08-06T00:00:00"/>
    <n v="2"/>
    <n v="8"/>
    <n v="4"/>
    <n v="1"/>
    <s v="Received by Planning"/>
    <s v="MRS"/>
    <s v="OPERATIONAL"/>
    <s v="Technical Assistance"/>
    <m/>
  </r>
  <r>
    <x v="3"/>
    <x v="69"/>
    <s v="MBA"/>
    <s v="Canuto Ramos Pob."/>
    <n v="2353"/>
    <n v="2069"/>
    <s v="CONDUCTED TECHNICAL ASSISTANCE"/>
    <n v="2025"/>
    <d v="2025-07-17T00:00:00"/>
    <x v="9"/>
    <s v="Hosannah R. Sabio"/>
    <s v="Jay Pee S. Ordoñez"/>
    <s v="Zosimo P. Suyat"/>
    <s v="R3-2025-024502"/>
    <d v="2025-07-21T00:00:00"/>
    <d v="2025-07-24T00:00:00"/>
    <d v="2025-07-24T00:00:00"/>
    <d v="2025-07-28T00:00:00"/>
    <n v="2"/>
    <n v="3"/>
    <n v="1"/>
    <n v="2"/>
    <s v="Received by Planning"/>
    <s v="MRS"/>
    <s v="OPERATIONAL"/>
    <s v="Technical Assistance"/>
    <m/>
  </r>
  <r>
    <x v="3"/>
    <x v="69"/>
    <s v="MBA"/>
    <s v="Crisanto Sanchez Pob."/>
    <n v="1251"/>
    <n v="1133"/>
    <s v="CONDUCTED TECHNICAL ASSISTANCE"/>
    <n v="2025"/>
    <d v="2025-01-23T00:00:00"/>
    <x v="3"/>
    <s v="Hosannah R. Sabio"/>
    <s v="Jay Pee S. Ordoñez"/>
    <s v="Zosimo P. Suyat"/>
    <s v="R3-2025-003068"/>
    <d v="2025-01-29T00:00:00"/>
    <d v="2025-02-03T00:00:00"/>
    <d v="2025-02-03T00:00:00"/>
    <d v="2025-02-03T00:00:00"/>
    <n v="4"/>
    <n v="3"/>
    <n v="1"/>
    <n v="1"/>
    <s v="Received by Planning"/>
    <s v="MRF"/>
    <s v="OPERATIONAL"/>
    <s v="Technical Assistance"/>
    <m/>
  </r>
  <r>
    <x v="3"/>
    <x v="69"/>
    <s v="MBA"/>
    <s v="Culaylay"/>
    <n v="1886"/>
    <n v="1894"/>
    <s v="NO TECHNICAL ASSISTANCE CONDUCTED"/>
    <m/>
    <m/>
    <x v="0"/>
    <s v="Hosannah R. Sabio"/>
    <s v="Jay Pee S. Ordoñez"/>
    <s v="Zosimo P. Suyat"/>
    <m/>
    <m/>
    <m/>
    <m/>
    <m/>
    <s v=""/>
    <s v=""/>
    <s v=""/>
    <s v=""/>
    <m/>
    <m/>
    <m/>
    <m/>
    <m/>
  </r>
  <r>
    <x v="3"/>
    <x v="69"/>
    <s v="MBA"/>
    <s v="Dizol"/>
    <n v="912"/>
    <n v="1055"/>
    <s v="NO TECHNICAL ASSISTANCE CONDUCTED"/>
    <m/>
    <m/>
    <x v="0"/>
    <s v="Hosannah R. Sabio"/>
    <s v="Jay Pee S. Ordoñez"/>
    <s v="Zosimo P. Suyat"/>
    <m/>
    <m/>
    <m/>
    <m/>
    <m/>
    <s v=""/>
    <s v=""/>
    <s v=""/>
    <s v=""/>
    <m/>
    <m/>
    <m/>
    <m/>
    <m/>
  </r>
  <r>
    <x v="3"/>
    <x v="69"/>
    <s v="MBA"/>
    <s v="Ferdinand E. Marcos Pob."/>
    <n v="1929"/>
    <n v="1550"/>
    <s v="CONDUCTED TECHNICAL ASSISTANCE"/>
    <n v="2024"/>
    <d v="2024-09-17T00:00:00"/>
    <x v="0"/>
    <s v="Hosannah R. Sabio"/>
    <s v="Jay Pee S. Ordoñez"/>
    <s v="Zosimo P. Suyat"/>
    <m/>
    <m/>
    <m/>
    <m/>
    <m/>
    <s v=""/>
    <s v=""/>
    <s v=""/>
    <s v=""/>
    <m/>
    <s v="MRF"/>
    <s v="OPERATIONAL"/>
    <s v="Technical Assistance"/>
    <m/>
  </r>
  <r>
    <x v="3"/>
    <x v="69"/>
    <s v="MBA"/>
    <s v="Kaliwanagan"/>
    <n v="2651"/>
    <n v="3048"/>
    <s v="CONDUCTED TECHNICAL ASSISTANCE"/>
    <n v="2024"/>
    <d v="2024-08-15T00:00:00"/>
    <x v="0"/>
    <s v="Hosannah R. Sabio"/>
    <s v="Jay Pee S. Ordoñez"/>
    <s v="Zosimo P. Suyat"/>
    <m/>
    <m/>
    <m/>
    <m/>
    <m/>
    <s v=""/>
    <s v=""/>
    <s v=""/>
    <s v=""/>
    <m/>
    <s v="MRF"/>
    <s v="OPERATIONAL"/>
    <s v="Technical Assistance"/>
    <m/>
  </r>
  <r>
    <x v="3"/>
    <x v="69"/>
    <s v="MBA"/>
    <s v="Kita-Kita"/>
    <n v="5314"/>
    <n v="5772"/>
    <s v="CONDUCTED TECHNICAL ASSISTANCE"/>
    <n v="2024"/>
    <d v="2024-11-05T00:00:00"/>
    <x v="0"/>
    <s v="Hosannah R. Sabio"/>
    <s v="Jay Pee S. Ordoñez"/>
    <s v="Zosimo P. Suyat"/>
    <m/>
    <m/>
    <m/>
    <m/>
    <m/>
    <s v=""/>
    <s v=""/>
    <s v=""/>
    <s v=""/>
    <m/>
    <s v="MRF"/>
    <s v="OPERATIONAL"/>
    <s v="Technical Assistance"/>
    <m/>
  </r>
  <r>
    <x v="3"/>
    <x v="69"/>
    <s v="MBA"/>
    <s v="Malasin"/>
    <n v="7756"/>
    <n v="8614"/>
    <s v="CONDUCTED TECHNICAL ASSISTANCE"/>
    <n v="2024"/>
    <d v="2024-11-05T00:00:00"/>
    <x v="0"/>
    <s v="Hosannah R. Sabio"/>
    <s v="Jay Pee S. Ordoñez"/>
    <s v="Zosimo P. Suyat"/>
    <m/>
    <m/>
    <m/>
    <m/>
    <m/>
    <s v=""/>
    <s v=""/>
    <s v=""/>
    <s v=""/>
    <m/>
    <s v="MRF"/>
    <s v="OPERATIONAL"/>
    <s v="Technical Assistance"/>
    <m/>
  </r>
  <r>
    <x v="3"/>
    <x v="69"/>
    <s v="MBA"/>
    <s v="Manicla"/>
    <n v="2036"/>
    <n v="2595"/>
    <s v="NO TECHNICAL ASSISTANCE CONDUCTED"/>
    <m/>
    <m/>
    <x v="0"/>
    <s v="Hosannah R. Sabio"/>
    <s v="Jay Pee S. Ordoñez"/>
    <s v="Zosimo P. Suyat"/>
    <m/>
    <m/>
    <m/>
    <m/>
    <m/>
    <s v=""/>
    <s v=""/>
    <s v=""/>
    <s v=""/>
    <m/>
    <m/>
    <m/>
    <m/>
    <m/>
  </r>
  <r>
    <x v="3"/>
    <x v="69"/>
    <s v="MBA"/>
    <s v="Palestina"/>
    <n v="4718"/>
    <n v="5317"/>
    <s v="NO TECHNICAL ASSISTANCE CONDUCTED"/>
    <m/>
    <m/>
    <x v="0"/>
    <s v="Hosannah R. Sabio"/>
    <s v="Jay Pee S. Ordoñez"/>
    <s v="Zosimo P. Suyat"/>
    <m/>
    <m/>
    <m/>
    <m/>
    <m/>
    <s v=""/>
    <s v=""/>
    <s v=""/>
    <s v=""/>
    <m/>
    <m/>
    <m/>
    <m/>
    <m/>
  </r>
  <r>
    <x v="3"/>
    <x v="69"/>
    <s v="MBA"/>
    <s v="Parang Mangga"/>
    <n v="986"/>
    <n v="1062"/>
    <s v="NO TECHNICAL ASSISTANCE CONDUCTED"/>
    <m/>
    <m/>
    <x v="0"/>
    <s v="Hosannah R. Sabio"/>
    <s v="Jay Pee S. Ordoñez"/>
    <s v="Zosimo P. Suyat"/>
    <m/>
    <m/>
    <m/>
    <m/>
    <m/>
    <s v=""/>
    <s v=""/>
    <s v=""/>
    <s v=""/>
    <m/>
    <m/>
    <m/>
    <m/>
    <m/>
  </r>
  <r>
    <x v="3"/>
    <x v="69"/>
    <s v="MBA"/>
    <s v="Pinili"/>
    <n v="3066"/>
    <n v="3968"/>
    <s v="CONDUCTED TECHNICAL ASSISTANCE"/>
    <n v="2025"/>
    <d v="2025-08-08T00:00:00"/>
    <x v="9"/>
    <s v="Hosannah R. Sabio"/>
    <s v="Jay Pee S. Ordoñez"/>
    <s v="Zosimo P. Suyat"/>
    <s v="R3-2025-027473"/>
    <d v="2025-08-15T00:00:00"/>
    <d v="2025-08-18T00:00:00"/>
    <d v="2025-08-19T00:00:00"/>
    <d v="2025-08-19T00:00:00"/>
    <n v="5"/>
    <n v="1"/>
    <n v="1"/>
    <n v="1"/>
    <s v="Received by Planning"/>
    <s v="MRS"/>
    <s v="OPERATIONAL"/>
    <s v="Technical Assistance"/>
    <m/>
  </r>
  <r>
    <x v="3"/>
    <x v="69"/>
    <s v="MBA"/>
    <s v="Tulat"/>
    <n v="1634"/>
    <n v="1657"/>
    <s v="CONDUCTED TECHNICAL ASSISTANCE"/>
    <n v="2025"/>
    <d v="2025-09-09T00:00:00"/>
    <x v="7"/>
    <s v="Hosannah R. Sabio"/>
    <s v="Jay Pee S. Ordoñez"/>
    <s v="Zosimo P. Suyat"/>
    <s v="R3-2025-031342"/>
    <d v="2025-09-17T00:00:00"/>
    <d v="2025-09-18T00:00:00"/>
    <d v="2025-09-18T00:00:00"/>
    <d v="2025-09-18T00:00:00"/>
    <n v="6"/>
    <n v="1"/>
    <n v="1"/>
    <n v="1"/>
    <s v="Received by Planning"/>
    <s v="MRF"/>
    <s v="OPERATIONAL"/>
    <s v="Technical Assistance"/>
    <m/>
  </r>
  <r>
    <x v="3"/>
    <x v="69"/>
    <s v="MBA"/>
    <s v="Rafael Rueda, Sr. Pob."/>
    <n v="2139"/>
    <n v="1867"/>
    <s v="CONDUCTED TECHNICAL ASSISTANCE"/>
    <n v="2024"/>
    <d v="2024-06-13T00:00:00"/>
    <x v="0"/>
    <s v="Hosannah R. Sabio"/>
    <s v="Jay Pee S. Ordoñez"/>
    <s v="Zosimo P. Suyat"/>
    <m/>
    <m/>
    <m/>
    <m/>
    <m/>
    <s v=""/>
    <s v=""/>
    <s v=""/>
    <s v=""/>
    <m/>
    <m/>
    <m/>
    <s v="Technical Assistance"/>
    <m/>
  </r>
  <r>
    <x v="3"/>
    <x v="69"/>
    <s v="MBA"/>
    <s v="Raymundo Eugenio Pob."/>
    <n v="1246"/>
    <n v="1218"/>
    <s v="CONDUCTED TECHNICAL ASSISTANCE"/>
    <n v="2024"/>
    <d v="2024-06-13T00:00:00"/>
    <x v="0"/>
    <s v="Hosannah R. Sabio"/>
    <s v="Jay Pee S. Ordoñez"/>
    <s v="Zosimo P. Suyat"/>
    <m/>
    <m/>
    <m/>
    <m/>
    <m/>
    <s v=""/>
    <s v=""/>
    <s v=""/>
    <s v=""/>
    <m/>
    <m/>
    <m/>
    <s v="Technical Assistance"/>
    <m/>
  </r>
  <r>
    <x v="3"/>
    <x v="69"/>
    <s v="MBA"/>
    <s v="San Agustin"/>
    <n v="3475"/>
    <n v="4333"/>
    <s v="CONDUCTED TECHNICAL ASSISTANCE"/>
    <n v="2025"/>
    <d v="2025-01-17T00:00:00"/>
    <x v="3"/>
    <s v="Hosannah R. Sabio"/>
    <s v="Jay Pee S. Ordoñez"/>
    <s v="Zosimo P. Suyat"/>
    <s v="R3-2025-001295"/>
    <d v="2025-01-17T00:00:00"/>
    <d v="2025-01-28T00:00:00"/>
    <d v="2025-01-28T00:00:00"/>
    <d v="2025-01-30T00:00:00"/>
    <n v="1"/>
    <n v="7"/>
    <n v="1"/>
    <n v="2"/>
    <s v="Received by Planning"/>
    <s v="MRS"/>
    <s v="OPERATIONAL"/>
    <s v="Technical Assistance"/>
    <m/>
  </r>
  <r>
    <x v="3"/>
    <x v="69"/>
    <s v="MBA"/>
    <s v="San Juan"/>
    <n v="2204"/>
    <n v="1890"/>
    <s v="CONDUCTED TECHNICAL ASSISTANCE"/>
    <n v="2025"/>
    <d v="2025-11-07T00:00:00"/>
    <x v="11"/>
    <s v="Hosannah R. Sabio"/>
    <s v="Jay Pee S. Ordoñez"/>
    <s v="Zosimo P. Suyat"/>
    <s v="R3-2025-037436"/>
    <d v="2025-11-09T00:00:00"/>
    <d v="2025-11-11T00:00:00"/>
    <d v="2025-11-18T00:00:00"/>
    <d v="2025-11-19T00:00:00"/>
    <n v="1"/>
    <n v="1"/>
    <n v="5"/>
    <n v="1"/>
    <s v="Received by Planning"/>
    <s v="MRS"/>
    <s v="OPERATIONAL"/>
    <s v="Technical Assistance"/>
    <m/>
  </r>
  <r>
    <x v="3"/>
    <x v="69"/>
    <s v="MBA"/>
    <s v="San Mauricio"/>
    <n v="1039"/>
    <n v="1205"/>
    <s v="NO TECHNICAL ASSISTANCE CONDUCTED"/>
    <m/>
    <m/>
    <x v="0"/>
    <s v="Hosannah R. Sabio"/>
    <s v="Jay Pee S. Ordoñez"/>
    <s v="Zosimo P. Suyat"/>
    <m/>
    <m/>
    <m/>
    <m/>
    <m/>
    <s v=""/>
    <s v=""/>
    <s v=""/>
    <s v=""/>
    <m/>
    <m/>
    <m/>
    <m/>
    <m/>
  </r>
  <r>
    <x v="3"/>
    <x v="69"/>
    <s v="MBA"/>
    <s v="Santo Niño 1st"/>
    <n v="7065"/>
    <n v="7294"/>
    <s v="CONDUCTED TECHNICAL ASSISTANCE"/>
    <n v="2024"/>
    <d v="2024-09-17T00:00:00"/>
    <x v="0"/>
    <s v="Hosannah R. Sabio"/>
    <s v="Jay Pee S. Ordoñez"/>
    <s v="Zosimo P. Suyat"/>
    <m/>
    <m/>
    <m/>
    <m/>
    <m/>
    <s v=""/>
    <s v=""/>
    <s v=""/>
    <s v=""/>
    <m/>
    <s v="MRF"/>
    <s v="OPERATIONAL"/>
    <s v="Technical Assistance"/>
    <m/>
  </r>
  <r>
    <x v="3"/>
    <x v="69"/>
    <s v="MBA"/>
    <s v="Santo Niño 2nd"/>
    <n v="6252"/>
    <n v="6093"/>
    <s v="CONDUCTED TECHNICAL ASSISTANCE"/>
    <n v="2024"/>
    <d v="2024-09-17T00:00:00"/>
    <x v="0"/>
    <s v="Hosannah R. Sabio"/>
    <s v="Jay Pee S. Ordoñez"/>
    <s v="Zosimo P. Suyat"/>
    <m/>
    <m/>
    <m/>
    <m/>
    <m/>
    <s v=""/>
    <s v=""/>
    <s v=""/>
    <s v=""/>
    <m/>
    <s v="MRF"/>
    <s v="OPERATIONAL"/>
    <s v="Technical Assistance"/>
    <m/>
  </r>
  <r>
    <x v="3"/>
    <x v="69"/>
    <s v="MBA"/>
    <s v="Santo Niño 3rd"/>
    <n v="8780"/>
    <n v="9851"/>
    <s v="NO TECHNICAL ASSISTANCE CONDUCTED"/>
    <m/>
    <m/>
    <x v="0"/>
    <s v="Hosannah R. Sabio"/>
    <s v="Jay Pee S. Ordoñez"/>
    <s v="Zosimo P. Suyat"/>
    <m/>
    <m/>
    <m/>
    <m/>
    <m/>
    <s v=""/>
    <s v=""/>
    <s v=""/>
    <s v=""/>
    <m/>
    <m/>
    <m/>
    <m/>
    <m/>
  </r>
  <r>
    <x v="3"/>
    <x v="69"/>
    <s v="MBA"/>
    <s v="Santo Tomas"/>
    <n v="6144"/>
    <n v="7290"/>
    <s v="NO TECHNICAL ASSISTANCE CONDUCTED"/>
    <m/>
    <m/>
    <x v="0"/>
    <s v="Hosannah R. Sabio"/>
    <s v="Jay Pee S. Ordoñez"/>
    <s v="Zosimo P. Suyat"/>
    <m/>
    <m/>
    <m/>
    <m/>
    <m/>
    <s v=""/>
    <s v=""/>
    <s v=""/>
    <s v=""/>
    <m/>
    <m/>
    <m/>
    <m/>
    <m/>
  </r>
  <r>
    <x v="3"/>
    <x v="69"/>
    <s v="MBA"/>
    <s v="Sibut"/>
    <n v="6333"/>
    <n v="6473"/>
    <s v="CONDUCTED TECHNICAL ASSISTANCE"/>
    <n v="2025"/>
    <d v="2025-02-26T00:00:00"/>
    <x v="1"/>
    <s v="Hosannah R. Sabio"/>
    <s v="Jay Pee S. Ordoñez"/>
    <s v="Zosimo P. Suyat"/>
    <s v="R3-2025-007337"/>
    <d v="2025-03-04T00:00:00"/>
    <d v="2025-03-04T00:00:00"/>
    <d v="2025-03-04T00:00:00"/>
    <d v="2025-03-05T00:00:00"/>
    <n v="4"/>
    <n v="1"/>
    <n v="1"/>
    <n v="1"/>
    <s v="Received by Planning"/>
    <s v="MRS"/>
    <s v="OPERATIONAL"/>
    <s v="Technical Assistance"/>
    <m/>
  </r>
  <r>
    <x v="3"/>
    <x v="69"/>
    <s v="MBA"/>
    <s v="Sinipit Bubon"/>
    <n v="1534"/>
    <n v="1800"/>
    <s v="NO TECHNICAL ASSISTANCE CONDUCTED"/>
    <m/>
    <m/>
    <x v="0"/>
    <s v="Hosannah R. Sabio"/>
    <s v="Jay Pee S. Ordoñez"/>
    <s v="Zosimo P. Suyat"/>
    <m/>
    <m/>
    <m/>
    <m/>
    <m/>
    <s v=""/>
    <s v=""/>
    <s v=""/>
    <s v=""/>
    <m/>
    <m/>
    <m/>
    <m/>
    <m/>
  </r>
  <r>
    <x v="3"/>
    <x v="69"/>
    <s v="MBA"/>
    <s v="Tabulac"/>
    <n v="1208"/>
    <n v="1258"/>
    <s v="NO TECHNICAL ASSISTANCE CONDUCTED"/>
    <m/>
    <m/>
    <x v="0"/>
    <s v="Hosannah R. Sabio"/>
    <s v="Jay Pee S. Ordoñez"/>
    <s v="Zosimo P. Suyat"/>
    <m/>
    <m/>
    <m/>
    <m/>
    <m/>
    <s v=""/>
    <s v=""/>
    <s v=""/>
    <s v=""/>
    <m/>
    <m/>
    <m/>
    <m/>
    <m/>
  </r>
  <r>
    <x v="3"/>
    <x v="69"/>
    <s v="MBA"/>
    <s v="Tayabo"/>
    <n v="4758"/>
    <n v="5518"/>
    <s v="NO TECHNICAL ASSISTANCE CONDUCTED"/>
    <m/>
    <m/>
    <x v="0"/>
    <s v="Hosannah R. Sabio"/>
    <s v="Jay Pee S. Ordoñez"/>
    <s v="Zosimo P. Suyat"/>
    <m/>
    <m/>
    <m/>
    <m/>
    <m/>
    <s v=""/>
    <s v=""/>
    <s v=""/>
    <s v=""/>
    <m/>
    <m/>
    <m/>
    <m/>
    <m/>
  </r>
  <r>
    <x v="3"/>
    <x v="69"/>
    <s v="MBA"/>
    <s v="Tondod"/>
    <n v="3323"/>
    <n v="3468"/>
    <s v="NO TECHNICAL ASSISTANCE CONDUCTED"/>
    <m/>
    <m/>
    <x v="0"/>
    <s v="Hosannah R. Sabio"/>
    <s v="Jay Pee S. Ordoñez"/>
    <s v="Zosimo P. Suyat"/>
    <m/>
    <m/>
    <m/>
    <m/>
    <m/>
    <s v=""/>
    <s v=""/>
    <s v=""/>
    <s v=""/>
    <m/>
    <m/>
    <m/>
    <m/>
    <m/>
  </r>
  <r>
    <x v="3"/>
    <x v="69"/>
    <s v="MBA"/>
    <s v="Villa Floresca"/>
    <n v="762"/>
    <n v="960"/>
    <s v="NO TECHNICAL ASSISTANCE CONDUCTED"/>
    <m/>
    <m/>
    <x v="0"/>
    <s v="Hosannah R. Sabio"/>
    <s v="Jay Pee S. Ordoñez"/>
    <s v="Zosimo P. Suyat"/>
    <m/>
    <m/>
    <m/>
    <m/>
    <m/>
    <s v=""/>
    <s v=""/>
    <s v=""/>
    <s v=""/>
    <m/>
    <m/>
    <m/>
    <m/>
    <m/>
  </r>
  <r>
    <x v="3"/>
    <x v="69"/>
    <s v="MBA"/>
    <s v="Villa Joson"/>
    <n v="1851"/>
    <n v="2216"/>
    <s v="CONDUCTED TECHNICAL ASSISTANCE"/>
    <n v="2025"/>
    <d v="2025-11-07T00:00:00"/>
    <x v="11"/>
    <s v="Hosannah R. Sabio"/>
    <s v="Jay Pee S. Ordoñez"/>
    <s v="Zosimo P. Suyat"/>
    <s v="R3-2025-037435"/>
    <d v="2025-11-09T00:00:00"/>
    <d v="2025-11-11T00:00:00"/>
    <d v="2025-11-18T00:00:00"/>
    <d v="2025-11-19T00:00:00"/>
    <n v="1"/>
    <n v="1"/>
    <n v="5"/>
    <n v="1"/>
    <s v="Received by Planning"/>
    <s v="MRF"/>
    <s v="OPERATIONAL"/>
    <s v="Technical Assistance"/>
    <m/>
  </r>
  <r>
    <x v="3"/>
    <x v="69"/>
    <s v="MBA"/>
    <s v="Villa Marina"/>
    <n v="1818"/>
    <n v="1964"/>
    <s v="NO TECHNICAL ASSISTANCE CONDUCTED"/>
    <m/>
    <m/>
    <x v="0"/>
    <s v="Hosannah R. Sabio"/>
    <s v="Jay Pee S. Ordoñez"/>
    <s v="Zosimo P. Suyat"/>
    <m/>
    <m/>
    <m/>
    <m/>
    <m/>
    <s v=""/>
    <s v=""/>
    <s v=""/>
    <s v=""/>
    <m/>
    <m/>
    <m/>
    <m/>
    <m/>
  </r>
  <r>
    <x v="3"/>
    <x v="70"/>
    <s v="MBA"/>
    <s v="Bonifacio District (Pob.)"/>
    <n v="3175"/>
    <n v="3294"/>
    <s v="NO TECHNICAL ASSISTANCE CONDUCTED"/>
    <m/>
    <m/>
    <x v="0"/>
    <s v="Jan Emerson C. Gonzales"/>
    <s v="Jay Pee S. Ordoñez"/>
    <s v="Zosimo P. Suyat"/>
    <m/>
    <m/>
    <m/>
    <m/>
    <m/>
    <s v=""/>
    <s v=""/>
    <s v=""/>
    <s v=""/>
    <m/>
    <m/>
    <m/>
    <m/>
    <m/>
  </r>
  <r>
    <x v="3"/>
    <x v="70"/>
    <s v="MBA"/>
    <s v="Burgos District (Pob.)"/>
    <n v="2423"/>
    <n v="2172"/>
    <s v="NO TECHNICAL ASSISTANCE CONDUCTED"/>
    <m/>
    <m/>
    <x v="0"/>
    <s v="Jan Emerson C. Gonzales"/>
    <s v="Jay Pee S. Ordoñez"/>
    <s v="Zosimo P. Suyat"/>
    <m/>
    <m/>
    <m/>
    <m/>
    <m/>
    <s v=""/>
    <s v=""/>
    <s v=""/>
    <s v=""/>
    <m/>
    <m/>
    <m/>
    <m/>
    <m/>
  </r>
  <r>
    <x v="3"/>
    <x v="70"/>
    <s v="MBA"/>
    <s v="Castellano"/>
    <n v="4981"/>
    <n v="5548"/>
    <s v="NO TECHNICAL ASSISTANCE CONDUCTED"/>
    <m/>
    <m/>
    <x v="0"/>
    <s v="Jan Emerson C. Gonzales"/>
    <s v="Jay Pee S. Ordoñez"/>
    <s v="Zosimo P. Suyat"/>
    <m/>
    <m/>
    <m/>
    <m/>
    <m/>
    <s v=""/>
    <s v=""/>
    <s v=""/>
    <s v=""/>
    <m/>
    <m/>
    <m/>
    <m/>
    <m/>
  </r>
  <r>
    <x v="3"/>
    <x v="70"/>
    <s v="MBA"/>
    <s v="Diversion"/>
    <n v="1534"/>
    <n v="1501"/>
    <s v="NO TECHNICAL ASSISTANCE CONDUCTED"/>
    <m/>
    <m/>
    <x v="0"/>
    <s v="Jan Emerson C. Gonzales"/>
    <s v="Jay Pee S. Ordoñez"/>
    <s v="Zosimo P. Suyat"/>
    <m/>
    <m/>
    <m/>
    <m/>
    <m/>
    <s v=""/>
    <s v=""/>
    <s v=""/>
    <s v=""/>
    <m/>
    <m/>
    <m/>
    <m/>
    <m/>
  </r>
  <r>
    <x v="3"/>
    <x v="70"/>
    <s v="MBA"/>
    <s v="Magpapalayoc"/>
    <n v="5828"/>
    <n v="5867"/>
    <s v="NO TECHNICAL ASSISTANCE CONDUCTED"/>
    <m/>
    <m/>
    <x v="0"/>
    <s v="Jan Emerson C. Gonzales"/>
    <s v="Jay Pee S. Ordoñez"/>
    <s v="Zosimo P. Suyat"/>
    <m/>
    <m/>
    <m/>
    <m/>
    <m/>
    <s v=""/>
    <s v=""/>
    <s v=""/>
    <s v=""/>
    <m/>
    <m/>
    <m/>
    <m/>
    <m/>
  </r>
  <r>
    <x v="3"/>
    <x v="70"/>
    <s v="MBA"/>
    <s v="Mallorca"/>
    <n v="9159"/>
    <n v="9152"/>
    <s v="NO TECHNICAL ASSISTANCE CONDUCTED"/>
    <m/>
    <m/>
    <x v="0"/>
    <s v="Jan Emerson C. Gonzales"/>
    <s v="Jay Pee S. Ordoñez"/>
    <s v="Zosimo P. Suyat"/>
    <m/>
    <m/>
    <m/>
    <m/>
    <m/>
    <s v=""/>
    <s v=""/>
    <s v=""/>
    <s v=""/>
    <m/>
    <m/>
    <m/>
    <m/>
    <m/>
  </r>
  <r>
    <x v="3"/>
    <x v="70"/>
    <s v="MBA"/>
    <s v="Mambangnan"/>
    <n v="8125"/>
    <n v="8597"/>
    <s v="NO TECHNICAL ASSISTANCE CONDUCTED"/>
    <m/>
    <m/>
    <x v="0"/>
    <s v="Jan Emerson C. Gonzales"/>
    <s v="Jay Pee S. Ordoñez"/>
    <s v="Zosimo P. Suyat"/>
    <m/>
    <m/>
    <m/>
    <m/>
    <m/>
    <s v=""/>
    <s v=""/>
    <s v=""/>
    <s v=""/>
    <m/>
    <m/>
    <m/>
    <m/>
    <m/>
  </r>
  <r>
    <x v="3"/>
    <x v="70"/>
    <s v="MBA"/>
    <s v="Nieves"/>
    <n v="5426"/>
    <n v="5763"/>
    <s v="NO TECHNICAL ASSISTANCE CONDUCTED"/>
    <m/>
    <m/>
    <x v="0"/>
    <s v="Jan Emerson C. Gonzales"/>
    <s v="Jay Pee S. Ordoñez"/>
    <s v="Zosimo P. Suyat"/>
    <m/>
    <m/>
    <m/>
    <m/>
    <m/>
    <s v=""/>
    <s v=""/>
    <s v=""/>
    <s v=""/>
    <m/>
    <m/>
    <m/>
    <m/>
    <m/>
  </r>
  <r>
    <x v="3"/>
    <x v="70"/>
    <s v="MBA"/>
    <s v="Rizal District (Pob.)"/>
    <n v="2428"/>
    <n v="2391"/>
    <s v="NO TECHNICAL ASSISTANCE CONDUCTED"/>
    <m/>
    <m/>
    <x v="0"/>
    <s v="Jan Emerson C. Gonzales"/>
    <s v="Jay Pee S. Ordoñez"/>
    <s v="Zosimo P. Suyat"/>
    <m/>
    <m/>
    <m/>
    <m/>
    <m/>
    <s v=""/>
    <s v=""/>
    <s v=""/>
    <s v=""/>
    <m/>
    <m/>
    <m/>
    <m/>
    <m/>
  </r>
  <r>
    <x v="3"/>
    <x v="70"/>
    <s v="MBA"/>
    <s v="San Anton"/>
    <n v="5496"/>
    <n v="6993"/>
    <s v="NO TECHNICAL ASSISTANCE CONDUCTED"/>
    <m/>
    <m/>
    <x v="0"/>
    <s v="Jan Emerson C. Gonzales"/>
    <s v="Jay Pee S. Ordoñez"/>
    <s v="Zosimo P. Suyat"/>
    <m/>
    <m/>
    <m/>
    <m/>
    <m/>
    <s v=""/>
    <s v=""/>
    <s v=""/>
    <s v=""/>
    <m/>
    <m/>
    <m/>
    <m/>
    <m/>
  </r>
  <r>
    <x v="3"/>
    <x v="70"/>
    <s v="MBA"/>
    <s v="San Bartolome (Pob.)"/>
    <n v="2224"/>
    <n v="2270"/>
    <s v="NO TECHNICAL ASSISTANCE CONDUCTED"/>
    <m/>
    <m/>
    <x v="0"/>
    <s v="Jan Emerson C. Gonzales"/>
    <s v="Jay Pee S. Ordoñez"/>
    <s v="Zosimo P. Suyat"/>
    <m/>
    <m/>
    <m/>
    <m/>
    <m/>
    <s v=""/>
    <s v=""/>
    <s v=""/>
    <s v=""/>
    <m/>
    <m/>
    <m/>
    <m/>
    <m/>
  </r>
  <r>
    <x v="3"/>
    <x v="70"/>
    <s v="MBA"/>
    <s v="San Roque"/>
    <n v="3373"/>
    <n v="3292"/>
    <s v="NO TECHNICAL ASSISTANCE CONDUCTED"/>
    <m/>
    <m/>
    <x v="0"/>
    <s v="Jan Emerson C. Gonzales"/>
    <s v="Jay Pee S. Ordoñez"/>
    <s v="Zosimo P. Suyat"/>
    <m/>
    <m/>
    <m/>
    <m/>
    <m/>
    <s v=""/>
    <s v=""/>
    <s v=""/>
    <s v=""/>
    <m/>
    <m/>
    <m/>
    <m/>
    <m/>
  </r>
  <r>
    <x v="3"/>
    <x v="70"/>
    <s v="MBA"/>
    <s v="Tabuating"/>
    <n v="4542"/>
    <n v="4638"/>
    <s v="CONDUCTED TECHNICAL ASSISTANCE"/>
    <n v="2024"/>
    <d v="2024-04-26T00:00:00"/>
    <x v="0"/>
    <s v="Jan Emerson C. Gonzales"/>
    <s v="Jay Pee S. Ordoñez"/>
    <s v="Zosimo P. Suyat"/>
    <m/>
    <m/>
    <m/>
    <m/>
    <m/>
    <s v=""/>
    <s v=""/>
    <s v=""/>
    <s v=""/>
    <m/>
    <m/>
    <m/>
    <s v="Technical Assistance"/>
    <m/>
  </r>
  <r>
    <x v="3"/>
    <x v="70"/>
    <s v="MBA"/>
    <s v="Tagumpay"/>
    <n v="982"/>
    <n v="1188"/>
    <s v="NO TECHNICAL ASSISTANCE CONDUCTED"/>
    <m/>
    <m/>
    <x v="0"/>
    <s v="Jan Emerson C. Gonzales"/>
    <s v="Jay Pee S. Ordoñez"/>
    <s v="Zosimo P. Suyat"/>
    <m/>
    <m/>
    <m/>
    <m/>
    <m/>
    <s v=""/>
    <s v=""/>
    <s v=""/>
    <s v=""/>
    <m/>
    <m/>
    <m/>
    <m/>
    <m/>
  </r>
  <r>
    <x v="3"/>
    <x v="70"/>
    <s v="MBA"/>
    <s v="Tambo Adorable"/>
    <n v="5603"/>
    <n v="5870"/>
    <s v="CONDUCTED TECHNICAL ASSISTANCE"/>
    <n v="2025"/>
    <d v="2026-10-03T00:00:00"/>
    <x v="5"/>
    <s v="Christian Jem L. Buluran"/>
    <s v="Jay Pee S. Ordoñez"/>
    <s v="Zosimo P. Suyat"/>
    <s v="R3-2025-033408"/>
    <d v="2025-10-06T00:00:00"/>
    <d v="2025-10-08T00:00:00"/>
    <d v="2025-10-08T00:00:00"/>
    <d v="2025-10-10T00:00:00"/>
    <n v="1"/>
    <n v="2"/>
    <n v="1"/>
    <n v="2"/>
    <s v="Received by Planning"/>
    <s v="MRF"/>
    <s v="OPERATIONAL"/>
    <s v="Technical Assistance"/>
    <m/>
  </r>
  <r>
    <x v="3"/>
    <x v="71"/>
    <s v="MBA"/>
    <s v="La Fuente"/>
    <n v="2927"/>
    <n v="3107"/>
    <s v="CONDUCTED TECHNICAL ASSISTANCE"/>
    <n v="2025"/>
    <d v="2025-08-20T00:00:00"/>
    <x v="7"/>
    <s v="Christian Jem L. Buluran"/>
    <s v="Jay Pee S. Ordoñez"/>
    <s v="Zosimo P. Suyat"/>
    <s v="R3-2025-031672"/>
    <d v="2025-09-18T00:00:00"/>
    <d v="2025-09-18T00:00:00"/>
    <d v="2025-09-18T00:00:00"/>
    <d v="2025-09-19T00:00:00"/>
    <n v="21"/>
    <n v="1"/>
    <n v="1"/>
    <n v="1"/>
    <s v="Received by Planning"/>
    <s v="MRF"/>
    <s v="OPERATIONAL"/>
    <s v="Technical Assistance"/>
    <m/>
  </r>
  <r>
    <x v="3"/>
    <x v="71"/>
    <s v="MBA"/>
    <s v="Aguinaldo"/>
    <n v="927"/>
    <n v="1040"/>
    <s v="NO TECHNICAL ASSISTANCE CONDUCTED"/>
    <m/>
    <m/>
    <x v="0"/>
    <s v="Jan Emerson C. Gonzales"/>
    <s v="Jay Pee S. Ordoñez"/>
    <s v="Zosimo P. Suyat"/>
    <m/>
    <m/>
    <m/>
    <m/>
    <m/>
    <s v=""/>
    <s v=""/>
    <s v=""/>
    <s v=""/>
    <m/>
    <m/>
    <m/>
    <m/>
    <m/>
  </r>
  <r>
    <x v="3"/>
    <x v="71"/>
    <s v="MBA"/>
    <s v="Berang"/>
    <n v="1339"/>
    <n v="1392"/>
    <s v="NO TECHNICAL ASSISTANCE CONDUCTED"/>
    <m/>
    <m/>
    <x v="0"/>
    <s v="Jan Emerson C. Gonzales"/>
    <s v="Jay Pee S. Ordoñez"/>
    <s v="Zosimo P. Suyat"/>
    <m/>
    <m/>
    <m/>
    <m/>
    <m/>
    <s v=""/>
    <s v=""/>
    <s v=""/>
    <s v=""/>
    <m/>
    <m/>
    <m/>
    <m/>
    <m/>
  </r>
  <r>
    <x v="3"/>
    <x v="71"/>
    <s v="MBA"/>
    <s v="Burgos"/>
    <n v="1464"/>
    <n v="1422"/>
    <s v="CONDUCTED TECHNICAL ASSISTANCE"/>
    <n v="2025"/>
    <d v="2025-06-20T00:00:00"/>
    <x v="8"/>
    <s v="Christian Jem L. Buluran"/>
    <s v="Jan Emerson C. Gonzales"/>
    <s v="Zosimo P. Suyat"/>
    <s v="R3-2025-020834"/>
    <d v="2025-06-24T00:00:00"/>
    <d v="2025-06-27T00:00:00"/>
    <d v="2025-06-30T00:00:00"/>
    <d v="2025-07-09T00:00:00"/>
    <n v="2"/>
    <n v="3"/>
    <n v="1"/>
    <n v="7"/>
    <s v="Received by Planning"/>
    <s v="MRS"/>
    <s v="OPERATIONAL"/>
    <s v="Technical Assistance"/>
    <m/>
  </r>
  <r>
    <x v="3"/>
    <x v="71"/>
    <s v="MBA"/>
    <s v="Cojuangco (Pob.)"/>
    <n v="2378"/>
    <n v="2604"/>
    <s v="NO TECHNICAL ASSISTANCE CONDUCTED"/>
    <m/>
    <m/>
    <x v="0"/>
    <s v="Jan Emerson C. Gonzales"/>
    <s v="Jay Pee S. Ordoñez"/>
    <s v="Zosimo P. Suyat"/>
    <m/>
    <m/>
    <m/>
    <m/>
    <m/>
    <s v=""/>
    <s v=""/>
    <s v=""/>
    <s v=""/>
    <m/>
    <m/>
    <m/>
    <m/>
    <m/>
  </r>
  <r>
    <x v="3"/>
    <x v="71"/>
    <s v="MBA"/>
    <s v="Del Pilar"/>
    <n v="1342"/>
    <n v="1359"/>
    <s v="NO TECHNICAL ASSISTANCE CONDUCTED"/>
    <m/>
    <m/>
    <x v="0"/>
    <s v="Jan Emerson C. Gonzales"/>
    <s v="Jay Pee S. Ordoñez"/>
    <s v="Zosimo P. Suyat"/>
    <m/>
    <m/>
    <m/>
    <m/>
    <m/>
    <s v=""/>
    <s v=""/>
    <s v=""/>
    <s v=""/>
    <m/>
    <m/>
    <m/>
    <m/>
    <m/>
  </r>
  <r>
    <x v="3"/>
    <x v="71"/>
    <s v="MBA"/>
    <s v="Gomez"/>
    <n v="1882"/>
    <n v="1856"/>
    <s v="NO TECHNICAL ASSISTANCE CONDUCTED"/>
    <m/>
    <m/>
    <x v="0"/>
    <s v="Jan Emerson C. Gonzales"/>
    <s v="Jay Pee S. Ordoñez"/>
    <s v="Zosimo P. Suyat"/>
    <m/>
    <m/>
    <m/>
    <m/>
    <m/>
    <s v=""/>
    <s v=""/>
    <s v=""/>
    <s v=""/>
    <m/>
    <m/>
    <m/>
    <m/>
    <m/>
  </r>
  <r>
    <x v="3"/>
    <x v="71"/>
    <s v="MBA"/>
    <s v="Inspector"/>
    <n v="1984"/>
    <n v="2064"/>
    <s v="NO TECHNICAL ASSISTANCE CONDUCTED"/>
    <m/>
    <m/>
    <x v="0"/>
    <s v="Jan Emerson C. Gonzales"/>
    <s v="Jay Pee S. Ordoñez"/>
    <s v="Zosimo P. Suyat"/>
    <m/>
    <m/>
    <m/>
    <m/>
    <m/>
    <s v=""/>
    <s v=""/>
    <s v=""/>
    <s v=""/>
    <m/>
    <m/>
    <m/>
    <m/>
    <m/>
  </r>
  <r>
    <x v="3"/>
    <x v="71"/>
    <s v="MBA"/>
    <s v="Isla"/>
    <n v="2427"/>
    <n v="2510"/>
    <s v="NO TECHNICAL ASSISTANCE CONDUCTED"/>
    <m/>
    <m/>
    <x v="0"/>
    <s v="Jan Emerson C. Gonzales"/>
    <s v="Jay Pee S. Ordoñez"/>
    <s v="Zosimo P. Suyat"/>
    <m/>
    <m/>
    <m/>
    <m/>
    <m/>
    <s v=""/>
    <s v=""/>
    <s v=""/>
    <s v=""/>
    <m/>
    <m/>
    <m/>
    <m/>
    <m/>
  </r>
  <r>
    <x v="3"/>
    <x v="71"/>
    <s v="MBA"/>
    <s v="Luna"/>
    <n v="1719"/>
    <n v="1864"/>
    <s v="CONDUCTED TECHNICAL ASSISTANCE"/>
    <n v="2025"/>
    <d v="2025-09-09T00:00:00"/>
    <x v="7"/>
    <s v="Christian Jem L. Buluran"/>
    <s v="Jay Pee S. Ordoñez"/>
    <s v="Zosimo P. Suyat"/>
    <s v="R3-2025-031673"/>
    <d v="2025-09-18T00:00:00"/>
    <d v="2025-09-18T00:00:00"/>
    <d v="2025-09-18T00:00:00"/>
    <d v="2025-09-19T00:00:00"/>
    <n v="7"/>
    <n v="1"/>
    <n v="1"/>
    <n v="1"/>
    <s v="Received by Planning"/>
    <s v="MRF"/>
    <s v="OPERATIONAL"/>
    <s v="Technical Assistance"/>
    <m/>
  </r>
  <r>
    <x v="3"/>
    <x v="71"/>
    <s v="MBA"/>
    <s v="Liwayway"/>
    <n v="3545"/>
    <n v="4039"/>
    <s v="CONDUCTED TECHNICAL ASSISTANCE"/>
    <n v="2025"/>
    <d v="2025-07-30T00:00:00"/>
    <x v="9"/>
    <s v="Christian Jem L. Buluran"/>
    <s v="Jan Emerson C. Gonzales"/>
    <s v="Zosimo P. Suyat"/>
    <s v="R3-2025-027489"/>
    <d v="2025-08-15T00:00:00"/>
    <d v="2025-08-18T00:00:00"/>
    <d v="2025-08-19T00:00:00"/>
    <d v="2025-08-20T00:00:00"/>
    <n v="12"/>
    <n v="1"/>
    <n v="1"/>
    <n v="1"/>
    <s v="Received by Planning"/>
    <s v="MRF"/>
    <s v="OPERATIONAL"/>
    <s v="Technical Assistance"/>
    <m/>
  </r>
  <r>
    <x v="3"/>
    <x v="71"/>
    <s v="MBA"/>
    <s v="Lourdes"/>
    <n v="2647"/>
    <n v="2695"/>
    <s v="NO TECHNICAL ASSISTANCE CONDUCTED"/>
    <m/>
    <m/>
    <x v="0"/>
    <s v="Jan Emerson C. Gonzales"/>
    <s v="Jay Pee S. Ordoñez"/>
    <s v="Zosimo P. Suyat"/>
    <m/>
    <m/>
    <m/>
    <m/>
    <m/>
    <s v=""/>
    <s v=""/>
    <s v=""/>
    <s v=""/>
    <m/>
    <m/>
    <m/>
    <m/>
    <m/>
  </r>
  <r>
    <x v="3"/>
    <x v="71"/>
    <s v="MBA"/>
    <s v="Rizal (Pob.)"/>
    <n v="1939"/>
    <n v="2083"/>
    <s v="CONDUCTED TECHNICAL ASSISTANCE"/>
    <n v="2025"/>
    <d v="2025-09-09T00:00:00"/>
    <x v="7"/>
    <s v="Christian Jem L. Buluran"/>
    <s v="Jay Pee S. Ordoñez"/>
    <s v="Zosimo P. Suyat"/>
    <s v="R3-2025-031674"/>
    <d v="2025-09-18T00:00:00"/>
    <d v="2025-09-18T00:00:00"/>
    <d v="2025-09-18T00:00:00"/>
    <d v="2025-09-18T00:00:00"/>
    <n v="7"/>
    <n v="1"/>
    <n v="1"/>
    <n v="1"/>
    <s v="Received by Planning"/>
    <s v="MRS"/>
    <s v="OPERATIONAL"/>
    <s v="Technical Assistance"/>
    <m/>
  </r>
  <r>
    <x v="3"/>
    <x v="71"/>
    <s v="MBA"/>
    <s v="Mabini"/>
    <n v="1786"/>
    <n v="1819"/>
    <s v="NO TECHNICAL ASSISTANCE CONDUCTED"/>
    <m/>
    <m/>
    <x v="0"/>
    <s v="Jan Emerson C. Gonzales"/>
    <s v="Jay Pee S. Ordoñez"/>
    <s v="Zosimo P. Suyat"/>
    <m/>
    <m/>
    <m/>
    <m/>
    <m/>
    <s v=""/>
    <s v=""/>
    <s v=""/>
    <s v=""/>
    <m/>
    <m/>
    <m/>
    <m/>
    <m/>
  </r>
  <r>
    <x v="3"/>
    <x v="71"/>
    <s v="MBA"/>
    <s v="Malacañang"/>
    <n v="1760"/>
    <n v="1920"/>
    <s v="NO TECHNICAL ASSISTANCE CONDUCTED"/>
    <m/>
    <m/>
    <x v="0"/>
    <s v="Jan Emerson C. Gonzales"/>
    <s v="Jay Pee S. Ordoñez"/>
    <s v="Zosimo P. Suyat"/>
    <m/>
    <m/>
    <m/>
    <m/>
    <m/>
    <s v=""/>
    <s v=""/>
    <s v=""/>
    <s v=""/>
    <m/>
    <m/>
    <m/>
    <m/>
    <m/>
  </r>
  <r>
    <x v="3"/>
    <x v="71"/>
    <s v="MBA"/>
    <s v="Maliolio"/>
    <n v="1288"/>
    <n v="1605"/>
    <s v="NO TECHNICAL ASSISTANCE CONDUCTED"/>
    <m/>
    <m/>
    <x v="0"/>
    <s v="Jan Emerson C. Gonzales"/>
    <s v="Jay Pee S. Ordoñez"/>
    <s v="Zosimo P. Suyat"/>
    <m/>
    <m/>
    <m/>
    <m/>
    <m/>
    <s v=""/>
    <s v=""/>
    <s v=""/>
    <s v=""/>
    <m/>
    <m/>
    <m/>
    <m/>
    <m/>
  </r>
  <r>
    <x v="3"/>
    <x v="71"/>
    <s v="MBA"/>
    <s v="Mapalad"/>
    <n v="4089"/>
    <n v="4439"/>
    <s v="NO TECHNICAL ASSISTANCE CONDUCTED"/>
    <m/>
    <m/>
    <x v="0"/>
    <s v="Jan Emerson C. Gonzales"/>
    <s v="Jay Pee S. Ordoñez"/>
    <s v="Zosimo P. Suyat"/>
    <m/>
    <m/>
    <m/>
    <m/>
    <m/>
    <s v=""/>
    <s v=""/>
    <s v=""/>
    <s v=""/>
    <m/>
    <m/>
    <m/>
    <m/>
    <m/>
  </r>
  <r>
    <x v="3"/>
    <x v="71"/>
    <s v="MBA"/>
    <s v="Rajal Centro"/>
    <n v="2018"/>
    <n v="2373"/>
    <s v="NO TECHNICAL ASSISTANCE CONDUCTED"/>
    <m/>
    <m/>
    <x v="0"/>
    <s v="Jan Emerson C. Gonzales"/>
    <s v="Jay Pee S. Ordoñez"/>
    <s v="Zosimo P. Suyat"/>
    <m/>
    <m/>
    <m/>
    <m/>
    <m/>
    <s v=""/>
    <s v=""/>
    <s v=""/>
    <s v=""/>
    <m/>
    <m/>
    <m/>
    <m/>
    <m/>
  </r>
  <r>
    <x v="3"/>
    <x v="71"/>
    <s v="MBA"/>
    <s v="Rajal Norte"/>
    <n v="1599"/>
    <n v="2034"/>
    <s v="NO TECHNICAL ASSISTANCE CONDUCTED"/>
    <m/>
    <m/>
    <x v="0"/>
    <s v="Jan Emerson C. Gonzales"/>
    <s v="Jay Pee S. Ordoñez"/>
    <s v="Zosimo P. Suyat"/>
    <m/>
    <m/>
    <m/>
    <m/>
    <m/>
    <s v=""/>
    <s v=""/>
    <s v=""/>
    <s v=""/>
    <m/>
    <m/>
    <m/>
    <m/>
    <m/>
  </r>
  <r>
    <x v="3"/>
    <x v="71"/>
    <s v="MBA"/>
    <s v="Rajal Sur"/>
    <n v="2390"/>
    <n v="2824"/>
    <s v="NO TECHNICAL ASSISTANCE CONDUCTED"/>
    <m/>
    <m/>
    <x v="0"/>
    <s v="Jan Emerson C. Gonzales"/>
    <s v="Jay Pee S. Ordoñez"/>
    <s v="Zosimo P. Suyat"/>
    <m/>
    <m/>
    <m/>
    <m/>
    <m/>
    <s v=""/>
    <s v=""/>
    <s v=""/>
    <s v=""/>
    <m/>
    <m/>
    <m/>
    <m/>
    <m/>
  </r>
  <r>
    <x v="3"/>
    <x v="71"/>
    <s v="MBA"/>
    <s v="San Gregorio"/>
    <n v="939"/>
    <n v="976"/>
    <s v="NO TECHNICAL ASSISTANCE CONDUCTED"/>
    <m/>
    <m/>
    <x v="0"/>
    <s v="Jan Emerson C. Gonzales"/>
    <s v="Jay Pee S. Ordoñez"/>
    <s v="Zosimo P. Suyat"/>
    <m/>
    <m/>
    <m/>
    <m/>
    <m/>
    <s v=""/>
    <s v=""/>
    <s v=""/>
    <s v=""/>
    <m/>
    <m/>
    <m/>
    <m/>
    <m/>
  </r>
  <r>
    <x v="3"/>
    <x v="71"/>
    <s v="MBA"/>
    <s v="San Isidro"/>
    <n v="1842"/>
    <n v="2036"/>
    <s v="NO TECHNICAL ASSISTANCE CONDUCTED"/>
    <m/>
    <m/>
    <x v="0"/>
    <s v="Jan Emerson C. Gonzales"/>
    <s v="Jay Pee S. Ordoñez"/>
    <s v="Zosimo P. Suyat"/>
    <m/>
    <m/>
    <m/>
    <m/>
    <m/>
    <s v=""/>
    <s v=""/>
    <s v=""/>
    <s v=""/>
    <m/>
    <m/>
    <m/>
    <m/>
    <m/>
  </r>
  <r>
    <x v="3"/>
    <x v="71"/>
    <s v="MBA"/>
    <s v="San Josep"/>
    <n v="2544"/>
    <n v="2695"/>
    <s v="NO TECHNICAL ASSISTANCE CONDUCTED"/>
    <m/>
    <m/>
    <x v="0"/>
    <s v="Jan Emerson C. Gonzales"/>
    <s v="Jay Pee S. Ordoñez"/>
    <s v="Zosimo P. Suyat"/>
    <m/>
    <m/>
    <m/>
    <m/>
    <m/>
    <s v=""/>
    <s v=""/>
    <s v=""/>
    <s v=""/>
    <m/>
    <m/>
    <m/>
    <m/>
    <m/>
  </r>
  <r>
    <x v="3"/>
    <x v="71"/>
    <s v="MBA"/>
    <s v="San Mariano"/>
    <n v="1765"/>
    <n v="1693"/>
    <s v="CONDUCTED TECHNICAL ASSISTANCE"/>
    <n v="2025"/>
    <d v="2025-08-06T00:00:00"/>
    <x v="9"/>
    <s v="Jan Emerson C. Gonzales"/>
    <s v="Jay Pee S. Ordoñez"/>
    <s v="Zosimo P. Suyat"/>
    <s v="R3-2025-027691"/>
    <d v="2025-08-06T00:00:00"/>
    <d v="2025-08-18T00:00:00"/>
    <d v="2025-08-19T00:00:00"/>
    <d v="2025-08-19T00:00:00"/>
    <n v="1"/>
    <n v="8"/>
    <n v="1"/>
    <n v="1"/>
    <s v="Received by Planning"/>
    <s v="MRF"/>
    <s v="OPERATIONAL"/>
    <s v="Technical Assistance"/>
    <m/>
  </r>
  <r>
    <x v="3"/>
    <x v="71"/>
    <s v="MBA"/>
    <s v="San Pedro"/>
    <n v="1800"/>
    <n v="1867"/>
    <s v="NO TECHNICAL ASSISTANCE CONDUCTED"/>
    <m/>
    <m/>
    <x v="0"/>
    <s v="Jan Emerson C. Gonzales"/>
    <s v="Jay Pee S. Ordoñez"/>
    <s v="Zosimo P. Suyat"/>
    <m/>
    <m/>
    <m/>
    <m/>
    <m/>
    <s v=""/>
    <s v=""/>
    <s v=""/>
    <s v=""/>
    <m/>
    <m/>
    <m/>
    <m/>
    <m/>
  </r>
  <r>
    <x v="3"/>
    <x v="71"/>
    <s v="MBA"/>
    <s v="Santa Teresita"/>
    <n v="1626"/>
    <n v="1739"/>
    <s v="NO TECHNICAL ASSISTANCE CONDUCTED"/>
    <m/>
    <m/>
    <x v="0"/>
    <s v="Jan Emerson C. Gonzales"/>
    <s v="Jay Pee S. Ordoñez"/>
    <s v="Zosimo P. Suyat"/>
    <m/>
    <m/>
    <m/>
    <m/>
    <m/>
    <s v=""/>
    <s v=""/>
    <s v=""/>
    <s v=""/>
    <m/>
    <m/>
    <m/>
    <m/>
    <m/>
  </r>
  <r>
    <x v="3"/>
    <x v="71"/>
    <s v="MBA"/>
    <s v="Santo Rosario"/>
    <n v="2840"/>
    <n v="2917"/>
    <s v="NO TECHNICAL ASSISTANCE CONDUCTED"/>
    <m/>
    <m/>
    <x v="0"/>
    <s v="Jan Emerson C. Gonzales"/>
    <s v="Jay Pee S. Ordoñez"/>
    <s v="Zosimo P. Suyat"/>
    <m/>
    <m/>
    <m/>
    <m/>
    <m/>
    <s v=""/>
    <s v=""/>
    <s v=""/>
    <s v=""/>
    <m/>
    <m/>
    <m/>
    <m/>
    <m/>
  </r>
  <r>
    <x v="3"/>
    <x v="71"/>
    <s v="MBA"/>
    <s v="Sapsap"/>
    <n v="838"/>
    <n v="884"/>
    <s v="NO TECHNICAL ASSISTANCE CONDUCTED"/>
    <m/>
    <m/>
    <x v="0"/>
    <s v="Jan Emerson C. Gonzales"/>
    <s v="Jay Pee S. Ordoñez"/>
    <s v="Zosimo P. Suyat"/>
    <m/>
    <m/>
    <m/>
    <m/>
    <m/>
    <s v=""/>
    <s v=""/>
    <s v=""/>
    <s v=""/>
    <m/>
    <m/>
    <m/>
    <m/>
    <m/>
  </r>
  <r>
    <x v="3"/>
    <x v="71"/>
    <s v="MBA"/>
    <s v="Soledad"/>
    <n v="5060"/>
    <n v="6784"/>
    <s v="CONDUCTED TECHNICAL ASSISTANCE"/>
    <n v="2024"/>
    <d v="2024-04-23T00:00:00"/>
    <x v="0"/>
    <s v="Jan Emerson C. Gonzales"/>
    <s v="Jay Pee S. Ordoñez"/>
    <s v="Zosimo P. Suyat"/>
    <m/>
    <m/>
    <m/>
    <m/>
    <m/>
    <s v=""/>
    <s v=""/>
    <s v=""/>
    <s v=""/>
    <m/>
    <m/>
    <m/>
    <s v="Technical Assistance"/>
    <m/>
  </r>
  <r>
    <x v="3"/>
    <x v="71"/>
    <s v="MBA"/>
    <s v="Tagpos"/>
    <n v="2977"/>
    <n v="3471"/>
    <s v="NO TECHNICAL ASSISTANCE CONDUCTED"/>
    <m/>
    <m/>
    <x v="0"/>
    <s v="Jan Emerson C. Gonzales"/>
    <s v="Jay Pee S. Ordoñez"/>
    <s v="Zosimo P. Suyat"/>
    <m/>
    <m/>
    <m/>
    <m/>
    <m/>
    <s v=""/>
    <s v=""/>
    <s v=""/>
    <s v=""/>
    <m/>
    <m/>
    <m/>
    <m/>
    <m/>
  </r>
  <r>
    <x v="3"/>
    <x v="71"/>
    <s v="MBA"/>
    <s v="Tramo"/>
    <n v="1588"/>
    <n v="1550"/>
    <s v="CONDUCTED TECHNICAL ASSISTANCE"/>
    <n v="2025"/>
    <d v="2025-10-01T00:00:00"/>
    <x v="5"/>
    <s v="Christian Jem L. Buluran"/>
    <s v="Jay Pee S. Ordoñez"/>
    <s v="Zosimo P. Suyat"/>
    <s v="R3-2025-033409"/>
    <d v="2025-10-06T00:00:00"/>
    <d v="2025-10-08T00:00:00"/>
    <d v="2025-10-08T00:00:00"/>
    <d v="2025-10-10T00:00:00"/>
    <n v="3"/>
    <n v="2"/>
    <n v="1"/>
    <n v="2"/>
    <s v="Received by Planning"/>
    <s v="MRS"/>
    <s v="OPERATIONAL"/>
    <s v="Technical Assistance"/>
    <m/>
  </r>
  <r>
    <x v="3"/>
    <x v="71"/>
    <s v="MBA"/>
    <s v="Valenzuela (Pob.)"/>
    <n v="2737"/>
    <n v="2682"/>
    <s v="NO TECHNICAL ASSISTANCE CONDUCTED"/>
    <m/>
    <m/>
    <x v="0"/>
    <s v="Jan Emerson C. Gonzales"/>
    <s v="Jay Pee S. Ordoñez"/>
    <s v="Zosimo P. Suyat"/>
    <m/>
    <m/>
    <m/>
    <m/>
    <m/>
    <s v=""/>
    <s v=""/>
    <s v=""/>
    <s v=""/>
    <m/>
    <m/>
    <m/>
    <m/>
    <m/>
  </r>
  <r>
    <x v="3"/>
    <x v="71"/>
    <s v="MBA"/>
    <s v="Zamora (Pob.)"/>
    <n v="1461"/>
    <n v="1306"/>
    <s v="NO TECHNICAL ASSISTANCE CONDUCTED"/>
    <m/>
    <m/>
    <x v="0"/>
    <s v="Jan Emerson C. Gonzales"/>
    <s v="Jay Pee S. Ordoñez"/>
    <s v="Zosimo P. Suyat"/>
    <m/>
    <m/>
    <m/>
    <m/>
    <m/>
    <s v=""/>
    <s v=""/>
    <s v=""/>
    <s v=""/>
    <m/>
    <m/>
    <m/>
    <m/>
    <m/>
  </r>
  <r>
    <x v="3"/>
    <x v="72"/>
    <s v="MBA"/>
    <s v="Baloc"/>
    <n v="9274"/>
    <n v="9619"/>
    <s v="CONDUCTED TECHNICAL ASSISTANCE"/>
    <n v="2025"/>
    <d v="2025-05-14T00:00:00"/>
    <x v="6"/>
    <s v="Gem C. Vicencio"/>
    <s v="Jay Pee S. Ordoñez"/>
    <s v="Zosimo P. Suyat"/>
    <s v="R3-2025-016207"/>
    <d v="2025-05-15T00:00:00"/>
    <d v="2025-05-16T00:00:00"/>
    <d v="2025-05-16T00:00:00"/>
    <d v="2025-05-19T00:00:00"/>
    <n v="1"/>
    <n v="1"/>
    <n v="1"/>
    <n v="1"/>
    <s v="Received by Planning"/>
    <s v="MRS"/>
    <s v="OPERATIONAL"/>
    <s v="Technical Assistance"/>
    <m/>
  </r>
  <r>
    <x v="3"/>
    <x v="72"/>
    <s v="MBA"/>
    <s v="Buasao"/>
    <n v="1229"/>
    <n v="1317"/>
    <s v="CONDUCTED TECHNICAL ASSISTANCE"/>
    <n v="2025"/>
    <d v="2025-05-14T00:00:00"/>
    <x v="6"/>
    <s v="Gem C. Vicencio"/>
    <s v="Jay Pee S. Ordoñez"/>
    <s v="Zosimo P. Suyat"/>
    <s v="R3-2025-016198"/>
    <d v="2025-05-15T00:00:00"/>
    <d v="2025-05-16T00:00:00"/>
    <d v="2025-05-16T00:00:00"/>
    <d v="2025-05-16T00:00:00"/>
    <n v="1"/>
    <n v="1"/>
    <n v="1"/>
    <n v="1"/>
    <s v="Received by Planning"/>
    <s v="MRS"/>
    <s v="OPERATIONAL"/>
    <s v="Technical Assistance"/>
    <m/>
  </r>
  <r>
    <x v="3"/>
    <x v="72"/>
    <s v="MBA"/>
    <s v="Burgos"/>
    <n v="1787"/>
    <n v="1812"/>
    <s v="CONDUCTED TECHNICAL ASSISTANCE"/>
    <n v="2025"/>
    <d v="2025-02-26T00:00:00"/>
    <x v="1"/>
    <s v="Gem C. Vicencio"/>
    <s v="Jay Pee S. Ordoñez"/>
    <s v="Zosimo P. Suyat"/>
    <s v="R3-2025-006878"/>
    <d v="2025-02-26T00:00:00"/>
    <d v="2025-02-27T00:00:00"/>
    <d v="2025-03-04T00:00:00"/>
    <d v="2025-03-05T00:00:00"/>
    <n v="1"/>
    <n v="1"/>
    <n v="3"/>
    <n v="1"/>
    <s v="Received by Planning"/>
    <s v="MRS"/>
    <s v="OPERATIONAL"/>
    <s v="Technical Assistance"/>
    <m/>
  </r>
  <r>
    <x v="3"/>
    <x v="72"/>
    <s v="MBA"/>
    <s v="Cabugao"/>
    <n v="2336"/>
    <n v="2441"/>
    <s v="CONDUCTED TECHNICAL ASSISTANCE"/>
    <n v="2025"/>
    <d v="2025-02-20T00:00:00"/>
    <x v="1"/>
    <s v="Gem C. Vicencio"/>
    <s v="Jay Pee S. Ordoñez"/>
    <s v="Zosimo P. Suyat"/>
    <s v="R3-2025-006247"/>
    <d v="2025-02-21T00:00:00"/>
    <d v="2025-02-21T00:00:00"/>
    <d v="2025-02-26T00:00:00"/>
    <d v="2025-03-03T00:00:00"/>
    <n v="1"/>
    <n v="1"/>
    <n v="3"/>
    <n v="3"/>
    <s v="Received by Planning"/>
    <s v="MRS"/>
    <s v="OPERATIONAL"/>
    <s v="Technical Assistance"/>
    <m/>
  </r>
  <r>
    <x v="3"/>
    <x v="72"/>
    <s v="MBA"/>
    <s v="Casulucan"/>
    <n v="1352"/>
    <n v="1470"/>
    <s v="NO TECHNICAL ASSISTANCE CONDUCTED"/>
    <m/>
    <m/>
    <x v="0"/>
    <s v="Gem C. Vicencio"/>
    <s v="Jay Pee S. Ordoñez"/>
    <s v="Zosimo P. Suyat"/>
    <m/>
    <m/>
    <m/>
    <m/>
    <m/>
    <s v=""/>
    <s v=""/>
    <s v=""/>
    <s v=""/>
    <m/>
    <m/>
    <m/>
    <m/>
    <m/>
  </r>
  <r>
    <x v="3"/>
    <x v="72"/>
    <s v="MBA"/>
    <s v="Comitang"/>
    <n v="1890"/>
    <n v="1934"/>
    <s v="CONDUCTED TECHNICAL ASSISTANCE"/>
    <n v="2025"/>
    <d v="2026-07-16T00:00:00"/>
    <x v="8"/>
    <s v="Gem C. Vicencio"/>
    <s v="Jay Pee S. Ordoñez"/>
    <s v="Zosimo P. Suyat"/>
    <s v="R3-2025-023807"/>
    <d v="2025-07-16T00:00:00"/>
    <d v="2025-07-17T00:00:00"/>
    <d v="2025-07-17T00:00:00"/>
    <d v="2025-07-18T00:00:00"/>
    <n v="1"/>
    <n v="1"/>
    <n v="1"/>
    <n v="1"/>
    <s v="Received by Planning"/>
    <s v="MRS"/>
    <s v="OPERATIONAL"/>
    <s v="Technical Assistance"/>
    <m/>
  </r>
  <r>
    <x v="3"/>
    <x v="72"/>
    <s v="MBA"/>
    <s v="Concepcion"/>
    <n v="1541"/>
    <n v="1575"/>
    <s v="CONDUCTED TECHNICAL ASSISTANCE"/>
    <n v="2025"/>
    <d v="2025-01-21T00:00:00"/>
    <x v="2"/>
    <s v="Gem C. Vicencio"/>
    <s v="Jay Pee S. Ordoñez"/>
    <s v="Zosimo P. Suyat"/>
    <s v="R3-2025-002074"/>
    <d v="2025-01-22T00:00:00"/>
    <d v="2025-01-23T00:00:00"/>
    <d v="2025-01-24T00:00:00"/>
    <d v="2025-01-25T00:00:00"/>
    <n v="1"/>
    <n v="1"/>
    <n v="1"/>
    <n v="1"/>
    <s v="Received by Planning"/>
    <s v="MRS"/>
    <s v="OPERATIONAL"/>
    <s v="Technical Assistance"/>
    <m/>
  </r>
  <r>
    <x v="3"/>
    <x v="72"/>
    <s v="MBA"/>
    <s v="Dolores"/>
    <n v="2045"/>
    <n v="2341"/>
    <s v="NO TECHNICAL ASSISTANCE CONDUCTED"/>
    <m/>
    <m/>
    <x v="0"/>
    <s v="Gem C. Vicencio"/>
    <s v="Jay Pee S. Ordoñez"/>
    <s v="Zosimo P. Suyat"/>
    <m/>
    <m/>
    <m/>
    <m/>
    <m/>
    <s v=""/>
    <s v=""/>
    <s v=""/>
    <s v=""/>
    <m/>
    <m/>
    <m/>
    <m/>
    <m/>
  </r>
  <r>
    <x v="3"/>
    <x v="72"/>
    <s v="MBA"/>
    <s v="General Luna"/>
    <n v="1384"/>
    <n v="1482"/>
    <s v="NO TECHNICAL ASSISTANCE CONDUCTED"/>
    <m/>
    <m/>
    <x v="0"/>
    <s v="Gem C. Vicencio"/>
    <s v="Jay Pee S. Ordoñez"/>
    <s v="Zosimo P. Suyat"/>
    <m/>
    <m/>
    <m/>
    <m/>
    <m/>
    <s v=""/>
    <s v=""/>
    <s v=""/>
    <s v=""/>
    <m/>
    <m/>
    <m/>
    <m/>
    <m/>
  </r>
  <r>
    <x v="3"/>
    <x v="72"/>
    <s v="MBA"/>
    <s v="Hulo"/>
    <n v="1963"/>
    <n v="2015"/>
    <s v="CONDUCTED TECHNICAL ASSISTANCE"/>
    <n v="2025"/>
    <d v="2025-02-06T00:00:00"/>
    <x v="3"/>
    <s v="Gem C. Vicencio"/>
    <s v="Jay Pee S. Ordoñez"/>
    <s v="Zosimo P. Suyat"/>
    <s v="R3-2025-004397"/>
    <d v="2025-02-08T00:00:00"/>
    <d v="2025-02-10T00:00:00"/>
    <d v="2025-02-10T00:00:00"/>
    <d v="2025-02-11T00:00:00"/>
    <n v="1"/>
    <n v="1"/>
    <n v="1"/>
    <n v="1"/>
    <s v="Received by Planning"/>
    <s v="MRS"/>
    <s v="OPERATIONAL"/>
    <s v="Technical Assistance"/>
    <m/>
  </r>
  <r>
    <x v="3"/>
    <x v="72"/>
    <s v="MBA"/>
    <s v="Mabini"/>
    <n v="1469"/>
    <n v="1507"/>
    <s v="CONDUCTED TECHNICAL ASSISTANCE"/>
    <n v="2025"/>
    <d v="2025-07-16T00:00:00"/>
    <x v="8"/>
    <s v="Gem C. Vicencio"/>
    <s v="Jay Pee S. Ordoñez"/>
    <s v="Zosimo P. Suyat"/>
    <s v="R3-2025-023808"/>
    <d v="2025-07-16T00:00:00"/>
    <d v="2025-07-17T00:00:00"/>
    <d v="2025-07-17T00:00:00"/>
    <d v="2025-07-18T00:00:00"/>
    <n v="1"/>
    <n v="1"/>
    <n v="1"/>
    <n v="1"/>
    <s v="Received by Planning"/>
    <s v="MRS"/>
    <s v="OPERATIONAL"/>
    <s v="Technical Assistance"/>
    <m/>
  </r>
  <r>
    <x v="3"/>
    <x v="72"/>
    <s v="MBA"/>
    <s v="Malasin"/>
    <n v="1935"/>
    <n v="1945"/>
    <s v="CONDUCTED TECHNICAL ASSISTANCE"/>
    <n v="2024"/>
    <d v="2024-04-05T00:00:00"/>
    <x v="0"/>
    <s v="Gem C. Vicencio"/>
    <s v="Jay Pee S. Ordoñez"/>
    <s v="Zosimo P. Suyat"/>
    <m/>
    <m/>
    <m/>
    <m/>
    <m/>
    <s v=""/>
    <s v=""/>
    <s v=""/>
    <s v=""/>
    <m/>
    <s v="MRF"/>
    <s v="OPERATIONAL"/>
    <s v="Technical Assistance"/>
    <m/>
  </r>
  <r>
    <x v="3"/>
    <x v="72"/>
    <s v="MBA"/>
    <s v="Malaya"/>
    <n v="3296"/>
    <n v="3495"/>
    <s v="CONDUCTED TECHNICAL ASSISTANCE"/>
    <n v="2025"/>
    <d v="2025-03-05T00:00:00"/>
    <x v="1"/>
    <s v="Gem C. Vicencio"/>
    <s v="Jay Pee S. Ordoñez"/>
    <s v="Zosimo P. Suyat"/>
    <s v="R3-2025-007895"/>
    <d v="2025-03-07T00:00:00"/>
    <d v="2025-03-13T00:00:00"/>
    <d v="2025-03-19T00:00:00"/>
    <d v="2025-03-19T00:00:00"/>
    <n v="2"/>
    <n v="4"/>
    <n v="4"/>
    <n v="1"/>
    <s v="Received by Planning"/>
    <s v="MRS"/>
    <s v="OPERATIONAL"/>
    <s v="Technical Assistance"/>
    <m/>
  </r>
  <r>
    <x v="3"/>
    <x v="72"/>
    <s v="MBA"/>
    <s v="Malayantoc"/>
    <n v="2656"/>
    <n v="3024"/>
    <s v="NO TECHNICAL ASSISTANCE CONDUCTED"/>
    <m/>
    <m/>
    <x v="0"/>
    <s v="Gem C. Vicencio"/>
    <s v="Jay Pee S. Ordoñez"/>
    <s v="Zosimo P. Suyat"/>
    <m/>
    <m/>
    <m/>
    <m/>
    <m/>
    <s v=""/>
    <s v=""/>
    <s v=""/>
    <s v=""/>
    <m/>
    <m/>
    <m/>
    <m/>
    <m/>
  </r>
  <r>
    <x v="3"/>
    <x v="72"/>
    <s v="MBA"/>
    <s v="Mambarao"/>
    <n v="2183"/>
    <n v="2233"/>
    <s v="CONDUCTED TECHNICAL ASSISTANCE"/>
    <n v="2025"/>
    <d v="2025-02-20T00:00:00"/>
    <x v="1"/>
    <s v="Gem C. Vicencio"/>
    <s v="Jay Pee S. Ordoñez"/>
    <s v="Zosimo P. Suyat"/>
    <s v="R3-2025-006248"/>
    <d v="2025-02-21T00:00:00"/>
    <d v="2025-02-21T00:00:00"/>
    <d v="2025-02-26T00:00:00"/>
    <d v="2025-03-03T00:00:00"/>
    <n v="1"/>
    <n v="1"/>
    <n v="3"/>
    <n v="3"/>
    <s v="Received by Planning"/>
    <s v="MRS"/>
    <s v="OPERATIONAL"/>
    <s v="Technical Assistance"/>
    <m/>
  </r>
  <r>
    <x v="3"/>
    <x v="72"/>
    <s v="MBA"/>
    <s v="Poblacion"/>
    <n v="768"/>
    <n v="774"/>
    <s v="NO TECHNICAL ASSISTANCE CONDUCTED"/>
    <m/>
    <m/>
    <x v="0"/>
    <s v="Gem C. Vicencio"/>
    <s v="Jay Pee S. Ordoñez"/>
    <s v="Zosimo P. Suyat"/>
    <m/>
    <m/>
    <m/>
    <m/>
    <m/>
    <s v=""/>
    <s v=""/>
    <s v=""/>
    <s v=""/>
    <m/>
    <m/>
    <m/>
    <m/>
    <m/>
  </r>
  <r>
    <x v="3"/>
    <x v="72"/>
    <s v="MBA"/>
    <s v="Pulong Buli"/>
    <n v="2150"/>
    <n v="2215"/>
    <s v="NO TECHNICAL ASSISTANCE CONDUCTED"/>
    <m/>
    <m/>
    <x v="0"/>
    <s v="Gem C. Vicencio"/>
    <s v="Jay Pee S. Ordoñez"/>
    <s v="Zosimo P. Suyat"/>
    <m/>
    <m/>
    <m/>
    <m/>
    <m/>
    <s v=""/>
    <s v=""/>
    <s v=""/>
    <s v=""/>
    <m/>
    <m/>
    <m/>
    <m/>
    <m/>
  </r>
  <r>
    <x v="3"/>
    <x v="72"/>
    <s v="MBA"/>
    <s v="Sagaba"/>
    <n v="2986"/>
    <n v="3534"/>
    <s v="CONDUCTED TECHNICAL ASSISTANCE"/>
    <n v="2024"/>
    <d v="2024-08-08T00:00:00"/>
    <x v="0"/>
    <s v="Gem C. Vicencio"/>
    <s v="Jay Pee S. Ordoñez"/>
    <s v="Zosimo P. Suyat"/>
    <m/>
    <m/>
    <m/>
    <m/>
    <m/>
    <s v=""/>
    <s v=""/>
    <s v=""/>
    <s v=""/>
    <m/>
    <s v="MRF"/>
    <s v="OPERATIONAL"/>
    <s v="Technical Assistance"/>
    <m/>
  </r>
  <r>
    <x v="3"/>
    <x v="72"/>
    <s v="MBA"/>
    <s v="San Agustin"/>
    <n v="1498"/>
    <n v="1579"/>
    <s v="CONDUCTED TECHNICAL ASSISTANCE"/>
    <n v="2024"/>
    <d v="2024-11-14T00:00:00"/>
    <x v="0"/>
    <s v="Gem C. Vicencio"/>
    <s v="Jay Pee S. Ordoñez"/>
    <s v="Zosimo P. Suyat"/>
    <m/>
    <m/>
    <m/>
    <m/>
    <m/>
    <s v=""/>
    <s v=""/>
    <s v=""/>
    <s v=""/>
    <m/>
    <s v="MRF"/>
    <s v="OPERATIONAL"/>
    <s v="Technical Assistance"/>
    <m/>
  </r>
  <r>
    <x v="3"/>
    <x v="72"/>
    <s v="MBA"/>
    <s v="San Fabian"/>
    <n v="2254"/>
    <n v="2595"/>
    <s v="CONDUCTED TECHNICAL ASSISTANCE"/>
    <n v="2025"/>
    <d v="2025-01-23T00:00:00"/>
    <x v="3"/>
    <s v="Gem C. Vicencio"/>
    <s v="Jay Pee S. Ordoñez"/>
    <s v="Zosimo P. Suyat"/>
    <s v="R3-2025-002700"/>
    <d v="2025-01-27T00:00:00"/>
    <d v="2025-01-30T00:00:00"/>
    <d v="2025-01-30T00:00:00"/>
    <d v="2025-01-30T00:00:00"/>
    <n v="2"/>
    <n v="3"/>
    <n v="1"/>
    <n v="1"/>
    <s v="Received by Planning"/>
    <s v="MRS"/>
    <s v="OPERATIONAL"/>
    <s v="Technical Assistance"/>
    <m/>
  </r>
  <r>
    <x v="3"/>
    <x v="72"/>
    <s v="MBA"/>
    <s v="San Francisco"/>
    <n v="1180"/>
    <n v="1500"/>
    <s v="CONDUCTED TECHNICAL ASSISTANCE"/>
    <n v="2024"/>
    <d v="2024-11-19T00:00:00"/>
    <x v="0"/>
    <s v="Gem C. Vicencio"/>
    <s v="Jay Pee S. Ordoñez"/>
    <s v="Zosimo P. Suyat"/>
    <m/>
    <m/>
    <m/>
    <m/>
    <m/>
    <s v=""/>
    <s v=""/>
    <s v=""/>
    <s v=""/>
    <m/>
    <s v="MRF"/>
    <s v="NON-OPERATIONAL"/>
    <s v="Technical Assistance"/>
    <m/>
  </r>
  <r>
    <x v="3"/>
    <x v="72"/>
    <s v="MBA"/>
    <s v="San Pascual"/>
    <n v="3041"/>
    <n v="2992"/>
    <s v="NO TECHNICAL ASSISTANCE CONDUCTED"/>
    <m/>
    <m/>
    <x v="0"/>
    <s v="Gem C. Vicencio"/>
    <s v="Jay Pee S. Ordoñez"/>
    <s v="Zosimo P. Suyat"/>
    <m/>
    <m/>
    <m/>
    <m/>
    <m/>
    <s v=""/>
    <s v=""/>
    <s v=""/>
    <s v=""/>
    <m/>
    <m/>
    <m/>
    <m/>
    <m/>
  </r>
  <r>
    <x v="3"/>
    <x v="72"/>
    <s v="MBA"/>
    <s v="Santa Rita"/>
    <n v="1289"/>
    <n v="1418"/>
    <s v="NO TECHNICAL ASSISTANCE CONDUCTED"/>
    <m/>
    <m/>
    <x v="0"/>
    <s v="Gem C. Vicencio"/>
    <s v="Jay Pee S. Ordoñez"/>
    <s v="Zosimo P. Suyat"/>
    <m/>
    <m/>
    <m/>
    <m/>
    <m/>
    <s v=""/>
    <s v=""/>
    <s v=""/>
    <s v=""/>
    <m/>
    <m/>
    <m/>
    <m/>
    <m/>
  </r>
  <r>
    <x v="3"/>
    <x v="72"/>
    <s v="MBA"/>
    <s v="Santo Rosario"/>
    <n v="6437"/>
    <n v="6275"/>
    <s v="CONDUCTED TECHNICAL ASSISTANCE"/>
    <n v="2025"/>
    <d v="2025-07-16T00:00:00"/>
    <x v="8"/>
    <s v="Gem C. Vicencio"/>
    <s v="Jay Pee S. Ordoñez"/>
    <s v="Zosimo P. Suyat"/>
    <s v="R3-2025-023806"/>
    <d v="2025-07-16T00:00:00"/>
    <d v="2025-07-17T00:00:00"/>
    <d v="2025-07-17T00:00:00"/>
    <d v="2025-07-18T00:00:00"/>
    <n v="1"/>
    <n v="1"/>
    <n v="1"/>
    <n v="1"/>
    <s v="Received by Planning"/>
    <s v="MRF"/>
    <s v="OPERATIONAL"/>
    <s v="Technical Assistance"/>
    <m/>
  </r>
  <r>
    <x v="3"/>
    <x v="73"/>
    <s v="MBA"/>
    <s v="Bagong Sikat"/>
    <n v="2033"/>
    <n v="2031"/>
    <s v="CONDUCTED TECHNICAL ASSISTANCE"/>
    <n v="2025"/>
    <d v="2025-02-27T00:00:00"/>
    <x v="1"/>
    <s v="Aser A. Inocencio, Jr."/>
    <s v="Jay Pee S. Ordoñez"/>
    <s v="Zosimo P. Suyat"/>
    <s v="R3-2025-007743"/>
    <d v="2025-03-06T00:00:00"/>
    <d v="2025-03-13T00:00:00"/>
    <d v="2025-03-19T00:00:00"/>
    <d v="2025-03-19T00:00:00"/>
    <n v="5"/>
    <n v="5"/>
    <n v="4"/>
    <n v="1"/>
    <s v="Received by Planning"/>
    <s v="MRS"/>
    <s v="OPERATIONAL"/>
    <s v="Technical Assistance"/>
    <m/>
  </r>
  <r>
    <x v="3"/>
    <x v="73"/>
    <s v="MBA"/>
    <s v="Balante"/>
    <n v="2039"/>
    <n v="1865"/>
    <s v="CONDUCTED TECHNICAL ASSISTANCE"/>
    <n v="2024"/>
    <d v="2024-11-07T00:00:00"/>
    <x v="0"/>
    <s v="Aser A. Inocencio, Jr."/>
    <s v="Jay Pee S. Ordoñez"/>
    <s v="Zosimo P. Suyat"/>
    <m/>
    <m/>
    <m/>
    <m/>
    <m/>
    <s v=""/>
    <s v=""/>
    <s v=""/>
    <s v=""/>
    <m/>
    <s v="MRF"/>
    <s v="OPERATIONAL"/>
    <s v="Technical Assistance"/>
    <m/>
  </r>
  <r>
    <x v="3"/>
    <x v="73"/>
    <s v="MBA"/>
    <s v="Bantug"/>
    <n v="10345"/>
    <n v="11104"/>
    <s v="NO TECHNICAL ASSISTANCE CONDUCTED"/>
    <m/>
    <m/>
    <x v="0"/>
    <s v="Aser A. Inocencio, Jr."/>
    <s v="Jay Pee S. Ordoñez"/>
    <s v="Zosimo P. Suyat"/>
    <m/>
    <m/>
    <m/>
    <m/>
    <m/>
    <s v=""/>
    <s v=""/>
    <s v=""/>
    <s v=""/>
    <m/>
    <m/>
    <m/>
    <m/>
    <m/>
  </r>
  <r>
    <x v="3"/>
    <x v="73"/>
    <s v="MBA"/>
    <s v="Bical"/>
    <n v="2793"/>
    <n v="2868"/>
    <s v="CONDUCTED TECHNICAL ASSISTANCE"/>
    <n v="2024"/>
    <d v="2024-01-30T00:00:00"/>
    <x v="0"/>
    <s v="Aser A. Inocencio, Jr."/>
    <s v="Jay Pee S. Ordoñez"/>
    <s v="Zosimo P. Suyat"/>
    <m/>
    <m/>
    <m/>
    <m/>
    <m/>
    <s v=""/>
    <s v=""/>
    <s v=""/>
    <s v=""/>
    <m/>
    <m/>
    <m/>
    <s v="Technical Assistance"/>
    <m/>
  </r>
  <r>
    <x v="3"/>
    <x v="73"/>
    <s v="MBA"/>
    <s v="Cabisuculan"/>
    <n v="1264"/>
    <n v="1259"/>
    <s v="NO TECHNICAL ASSISTANCE CONDUCTED"/>
    <m/>
    <m/>
    <x v="0"/>
    <s v="Aser A. Inocencio, Jr."/>
    <s v="Jay Pee S. Ordoñez"/>
    <s v="Zosimo P. Suyat"/>
    <m/>
    <m/>
    <m/>
    <m/>
    <m/>
    <s v=""/>
    <s v=""/>
    <s v=""/>
    <s v=""/>
    <m/>
    <m/>
    <m/>
    <m/>
    <m/>
  </r>
  <r>
    <x v="3"/>
    <x v="73"/>
    <s v="MBA"/>
    <s v="Calabalabaan"/>
    <n v="1080"/>
    <n v="1170"/>
    <s v="CONDUCTED TECHNICAL ASSISTANCE"/>
    <n v="2025"/>
    <d v="2025-07-15T00:00:00"/>
    <x v="8"/>
    <s v="Aser A. Inocencio, Jr."/>
    <s v="Jay Pee S. Ordoñez"/>
    <s v="Zosimo P. Suyat"/>
    <s v="R3-2025-023913"/>
    <d v="2025-07-17T00:00:00"/>
    <d v="2025-07-17T00:00:00"/>
    <d v="2025-07-17T00:00:00"/>
    <d v="2025-07-18T00:00:00"/>
    <n v="2"/>
    <n v="1"/>
    <n v="1"/>
    <n v="1"/>
    <s v="Received by Planning"/>
    <s v="MRF"/>
    <s v="OPERATIONAL"/>
    <s v="Technical Assistance"/>
    <m/>
  </r>
  <r>
    <x v="3"/>
    <x v="73"/>
    <s v="MBA"/>
    <s v="Calisitan"/>
    <n v="968"/>
    <n v="1009"/>
    <s v="CONDUCTED TECHNICAL ASSISTANCE"/>
    <n v="2025"/>
    <d v="2025-07-15T00:00:00"/>
    <x v="8"/>
    <s v="Aser A. Inocencio, Jr."/>
    <s v="Jay Pee S. Ordoñez"/>
    <s v="Zosimo P. Suyat"/>
    <s v="R3-2025-023915"/>
    <d v="2025-07-17T00:00:00"/>
    <d v="2025-07-17T00:00:00"/>
    <d v="2025-07-17T00:00:00"/>
    <d v="2025-07-18T00:00:00"/>
    <n v="2"/>
    <n v="1"/>
    <n v="1"/>
    <n v="1"/>
    <s v="Received by Planning"/>
    <s v="MRS"/>
    <s v="OPERATIONAL"/>
    <s v="Technical Assistance"/>
    <m/>
  </r>
  <r>
    <x v="3"/>
    <x v="73"/>
    <s v="MBA"/>
    <s v="Catalanacan"/>
    <n v="3200"/>
    <n v="3783"/>
    <s v="CONDUCTED TECHNICAL ASSISTANCE"/>
    <n v="2025"/>
    <d v="2025-03-27T00:00:00"/>
    <x v="4"/>
    <s v="Aser A. Inocencio, Jr."/>
    <s v="Jay Pee S. Ordoñez"/>
    <s v="Zosimo P. Suyat"/>
    <s v="R3-2025-011883"/>
    <d v="2025-04-08T00:00:00"/>
    <d v="2025-04-10T00:00:00"/>
    <d v="2025-04-10T00:00:00"/>
    <d v="2025-04-10T00:00:00"/>
    <n v="8"/>
    <n v="2"/>
    <n v="1"/>
    <n v="1"/>
    <s v="Received by Planning"/>
    <s v="MRS"/>
    <s v="OPERATIONAL"/>
    <s v="Technical Assistance"/>
    <m/>
  </r>
  <r>
    <x v="3"/>
    <x v="73"/>
    <s v="MBA"/>
    <s v="Curva"/>
    <n v="1201"/>
    <n v="1305"/>
    <s v="NO TECHNICAL ASSISTANCE CONDUCTED"/>
    <m/>
    <m/>
    <x v="0"/>
    <s v="Aser A. Inocencio, Jr."/>
    <s v="Jay Pee S. Ordoñez"/>
    <s v="Zosimo P. Suyat"/>
    <m/>
    <m/>
    <m/>
    <m/>
    <m/>
    <s v=""/>
    <s v=""/>
    <s v=""/>
    <s v=""/>
    <m/>
    <m/>
    <m/>
    <m/>
    <m/>
  </r>
  <r>
    <x v="3"/>
    <x v="73"/>
    <s v="MBA"/>
    <s v="Franza"/>
    <n v="2650"/>
    <n v="2822"/>
    <s v="CONDUCTED TECHNICAL ASSISTANCE"/>
    <n v="2024"/>
    <d v="2024-11-07T00:00:00"/>
    <x v="0"/>
    <s v="Aser A. Inocencio, Jr."/>
    <s v="Jay Pee S. Ordoñez"/>
    <s v="Zosimo P. Suyat"/>
    <m/>
    <m/>
    <m/>
    <m/>
    <m/>
    <s v=""/>
    <s v=""/>
    <s v=""/>
    <s v=""/>
    <m/>
    <s v="MRF"/>
    <s v="OPERATIONAL"/>
    <s v="Technical Assistance"/>
    <m/>
  </r>
  <r>
    <x v="3"/>
    <x v="73"/>
    <s v="MBA"/>
    <s v="Gabaldon"/>
    <n v="2118"/>
    <n v="2309"/>
    <s v="CONDUCTED TECHNICAL ASSISTANCE"/>
    <n v="2025"/>
    <d v="2025-03-27T00:00:00"/>
    <x v="4"/>
    <s v="Aser A. Inocencio, Jr."/>
    <s v="Jay Pee S. Ordoñez"/>
    <s v="Zosimo P. Suyat"/>
    <s v="R3-2025-011884"/>
    <d v="2025-04-08T00:00:00"/>
    <d v="2025-04-10T00:00:00"/>
    <d v="2025-04-10T00:00:00"/>
    <d v="2025-04-10T00:00:00"/>
    <n v="8"/>
    <n v="2"/>
    <n v="1"/>
    <n v="1"/>
    <s v="Received by Planning"/>
    <s v="MRS"/>
    <s v="OPERATIONAL"/>
    <s v="Technical Assistance"/>
    <m/>
  </r>
  <r>
    <x v="3"/>
    <x v="73"/>
    <s v="MBA"/>
    <s v="Labney"/>
    <n v="940"/>
    <n v="1064"/>
    <s v="CONDUCTED TECHNICAL ASSISTANCE"/>
    <n v="2025"/>
    <d v="2025-07-15T00:00:00"/>
    <x v="8"/>
    <s v="Aser A. Inocencio, Jr."/>
    <s v="Jay Pee S. Ordoñez"/>
    <s v="Zosimo P. Suyat"/>
    <s v="R3-2025-023916"/>
    <d v="2025-07-17T00:00:00"/>
    <d v="2025-07-17T00:00:00"/>
    <d v="2025-07-18T00:00:00"/>
    <d v="2025-07-18T00:00:00"/>
    <n v="2"/>
    <n v="1"/>
    <n v="1"/>
    <n v="1"/>
    <s v="Received by Planning"/>
    <s v="MRF"/>
    <s v="OPERATIONAL"/>
    <s v="Technical Assistance"/>
    <m/>
  </r>
  <r>
    <x v="3"/>
    <x v="73"/>
    <s v="MBA"/>
    <s v="Licaong"/>
    <n v="1613"/>
    <n v="1521"/>
    <s v="NO TECHNICAL ASSISTANCE CONDUCTED"/>
    <m/>
    <m/>
    <x v="0"/>
    <s v="Aser A. Inocencio, Jr."/>
    <s v="Jay Pee S. Ordoñez"/>
    <s v="Zosimo P. Suyat"/>
    <m/>
    <m/>
    <m/>
    <m/>
    <m/>
    <s v=""/>
    <s v=""/>
    <s v=""/>
    <s v=""/>
    <m/>
    <m/>
    <m/>
    <m/>
    <m/>
  </r>
  <r>
    <x v="3"/>
    <x v="73"/>
    <s v="MBA"/>
    <s v="Linglingay"/>
    <n v="2985"/>
    <n v="3151"/>
    <s v="CONDUCTED TECHNICAL ASSISTANCE"/>
    <n v="2024"/>
    <d v="2024-09-06T00:00:00"/>
    <x v="0"/>
    <s v="Aser A. Inocencio, Jr."/>
    <s v="Jay Pee S. Ordoñez"/>
    <s v="Zosimo P. Suyat"/>
    <m/>
    <m/>
    <m/>
    <m/>
    <m/>
    <s v=""/>
    <s v=""/>
    <s v=""/>
    <s v=""/>
    <m/>
    <s v="MRS"/>
    <s v="OPERATIONAL"/>
    <s v="Technical Assistance"/>
    <m/>
  </r>
  <r>
    <x v="3"/>
    <x v="73"/>
    <s v="MBA"/>
    <s v="Magtanggol"/>
    <n v="2205"/>
    <n v="2452"/>
    <s v="NO TECHNICAL ASSISTANCE CONDUCTED"/>
    <m/>
    <m/>
    <x v="0"/>
    <s v="Aser A. Inocencio, Jr."/>
    <s v="Jay Pee S. Ordoñez"/>
    <s v="Zosimo P. Suyat"/>
    <m/>
    <m/>
    <m/>
    <m/>
    <m/>
    <s v=""/>
    <s v=""/>
    <s v=""/>
    <s v=""/>
    <m/>
    <m/>
    <m/>
    <m/>
    <m/>
  </r>
  <r>
    <x v="3"/>
    <x v="73"/>
    <s v="MBA"/>
    <s v="Maligaya"/>
    <n v="4643"/>
    <n v="4656"/>
    <s v="CONDUCTED TECHNICAL ASSISTANCE"/>
    <n v="2025"/>
    <d v="2025-02-27T00:00:00"/>
    <x v="1"/>
    <s v="Aser A. Inocencio, Jr."/>
    <s v="Jay Pee S. Ordoñez"/>
    <s v="Zosimo P. Suyat"/>
    <s v="R3-2025-007744"/>
    <d v="2025-03-06T00:00:00"/>
    <d v="2025-03-13T00:00:00"/>
    <d v="2025-03-19T00:00:00"/>
    <d v="2025-03-19T00:00:00"/>
    <n v="5"/>
    <n v="5"/>
    <n v="4"/>
    <n v="1"/>
    <s v="Received by Planning"/>
    <s v="MRS"/>
    <s v="OPERATIONAL"/>
    <s v="Technical Assistance"/>
    <m/>
  </r>
  <r>
    <x v="3"/>
    <x v="73"/>
    <s v="MBA"/>
    <s v="Mangandingay"/>
    <n v="1688"/>
    <n v="1819"/>
    <s v="CONDUCTED TECHNICAL ASSISTANCE"/>
    <n v="2025"/>
    <d v="2025-01-23T00:00:00"/>
    <x v="3"/>
    <s v="Aser A. Inocencio, Jr."/>
    <s v="Jay Pee S. Ordoñez"/>
    <s v="Zosimo P. Suyat"/>
    <s v="R3-2025-003032"/>
    <d v="2025-01-28T00:00:00"/>
    <d v="2025-01-30T00:00:00"/>
    <d v="2025-01-30T00:00:00"/>
    <d v="2025-01-30T00:00:00"/>
    <n v="3"/>
    <n v="2"/>
    <n v="1"/>
    <n v="1"/>
    <s v="Received by Planning"/>
    <s v="MRS"/>
    <s v="OPERATIONAL"/>
    <s v="Technical Assistance"/>
    <m/>
  </r>
  <r>
    <x v="3"/>
    <x v="73"/>
    <s v="MBA"/>
    <s v="Mapangpang"/>
    <n v="575"/>
    <n v="627"/>
    <s v="CONDUCTED TECHNICAL ASSISTANCE"/>
    <n v="2025"/>
    <d v="2025-03-20T00:00:00"/>
    <x v="4"/>
    <s v="Aser A. Inocencio, Jr."/>
    <s v="Jay Pee S. Ordoñez"/>
    <s v="Zosimo P. Suyat"/>
    <s v="R3-2025-009814"/>
    <d v="2025-03-23T00:00:00"/>
    <d v="2025-04-07T00:00:00"/>
    <d v="2025-04-07T00:00:00"/>
    <d v="2025-04-10T00:00:00"/>
    <n v="1"/>
    <n v="10"/>
    <n v="1"/>
    <n v="3"/>
    <s v="Received by Planning"/>
    <s v="MRS"/>
    <s v="OPERATIONAL"/>
    <s v="Technical Assistance"/>
    <m/>
  </r>
  <r>
    <x v="3"/>
    <x v="73"/>
    <s v="MBA"/>
    <s v="Maragol"/>
    <n v="2935"/>
    <n v="2458"/>
    <s v="NO TECHNICAL ASSISTANCE CONDUCTED"/>
    <m/>
    <m/>
    <x v="0"/>
    <s v="Aser A. Inocencio, Jr."/>
    <s v="Jay Pee S. Ordoñez"/>
    <s v="Zosimo P. Suyat"/>
    <m/>
    <m/>
    <m/>
    <m/>
    <m/>
    <s v=""/>
    <s v=""/>
    <s v=""/>
    <s v=""/>
    <m/>
    <m/>
    <m/>
    <m/>
    <m/>
  </r>
  <r>
    <x v="3"/>
    <x v="73"/>
    <s v="MBA"/>
    <s v="Matingkis"/>
    <n v="972"/>
    <n v="1093"/>
    <s v="NO TECHNICAL ASSISTANCE CONDUCTED"/>
    <m/>
    <m/>
    <x v="0"/>
    <s v="Aser A. Inocencio, Jr."/>
    <s v="Jay Pee S. Ordoñez"/>
    <s v="Zosimo P. Suyat"/>
    <m/>
    <m/>
    <m/>
    <m/>
    <m/>
    <s v=""/>
    <s v=""/>
    <s v=""/>
    <s v=""/>
    <m/>
    <m/>
    <m/>
    <m/>
    <m/>
  </r>
  <r>
    <x v="3"/>
    <x v="73"/>
    <s v="MBA"/>
    <s v="Naglabrahan"/>
    <n v="586"/>
    <n v="584"/>
    <s v="NO TECHNICAL ASSISTANCE CONDUCTED"/>
    <m/>
    <m/>
    <x v="0"/>
    <s v="Aser A. Inocencio, Jr."/>
    <s v="Jay Pee S. Ordoñez"/>
    <s v="Zosimo P. Suyat"/>
    <m/>
    <m/>
    <m/>
    <m/>
    <m/>
    <s v=""/>
    <s v=""/>
    <s v=""/>
    <s v=""/>
    <m/>
    <m/>
    <m/>
    <m/>
    <m/>
  </r>
  <r>
    <x v="3"/>
    <x v="73"/>
    <s v="MBA"/>
    <s v="Palusapis"/>
    <n v="2777"/>
    <n v="2987"/>
    <s v="NO TECHNICAL ASSISTANCE CONDUCTED"/>
    <m/>
    <m/>
    <x v="0"/>
    <s v="Aser A. Inocencio, Jr."/>
    <s v="Jay Pee S. Ordoñez"/>
    <s v="Zosimo P. Suyat"/>
    <m/>
    <m/>
    <m/>
    <m/>
    <m/>
    <s v=""/>
    <s v=""/>
    <s v=""/>
    <s v=""/>
    <m/>
    <m/>
    <m/>
    <m/>
    <m/>
  </r>
  <r>
    <x v="3"/>
    <x v="73"/>
    <s v="MBA"/>
    <s v="Pandalla"/>
    <n v="963"/>
    <n v="990"/>
    <s v="NO TECHNICAL ASSISTANCE CONDUCTED"/>
    <m/>
    <m/>
    <x v="0"/>
    <s v="Aser A. Inocencio, Jr."/>
    <s v="Jay Pee S. Ordoñez"/>
    <s v="Zosimo P. Suyat"/>
    <m/>
    <m/>
    <m/>
    <m/>
    <m/>
    <s v=""/>
    <s v=""/>
    <s v=""/>
    <s v=""/>
    <m/>
    <m/>
    <m/>
    <m/>
    <m/>
  </r>
  <r>
    <x v="3"/>
    <x v="73"/>
    <s v="MBA"/>
    <s v="Poblacion East"/>
    <n v="2080"/>
    <n v="2006"/>
    <s v="CONDUCTED TECHNICAL ASSISTANCE"/>
    <n v="2024"/>
    <d v="2024-11-07T00:00:00"/>
    <x v="0"/>
    <s v="Aser A. Inocencio, Jr."/>
    <s v="Jay Pee S. Ordoñez"/>
    <s v="Zosimo P. Suyat"/>
    <m/>
    <m/>
    <m/>
    <m/>
    <m/>
    <s v=""/>
    <s v=""/>
    <s v=""/>
    <s v=""/>
    <m/>
    <s v="MRF"/>
    <s v="OPERATIONAL"/>
    <s v="Technical Assistance"/>
    <m/>
  </r>
  <r>
    <x v="3"/>
    <x v="73"/>
    <s v="MBA"/>
    <s v="Poblacion North"/>
    <n v="2758"/>
    <n v="2707"/>
    <s v="CONDUCTED TECHNICAL ASSISTANCE"/>
    <n v="2025"/>
    <d v="2025-07-15T00:00:00"/>
    <x v="8"/>
    <s v="Aser A. Inocencio, Jr."/>
    <s v="Jay Pee S. Ordoñez"/>
    <s v="Zosimo P. Suyat"/>
    <s v="R3-2025-023917"/>
    <d v="2025-07-17T00:00:00"/>
    <d v="2025-07-17T00:00:00"/>
    <d v="2025-07-18T00:00:00"/>
    <d v="2025-07-18T00:00:00"/>
    <n v="2"/>
    <n v="1"/>
    <n v="1"/>
    <n v="1"/>
    <s v="Received by Planning"/>
    <s v="MRS"/>
    <s v="OPERATIONAL"/>
    <s v="Technical Assistance"/>
    <m/>
  </r>
  <r>
    <x v="3"/>
    <x v="73"/>
    <s v="MBA"/>
    <s v="Poblacion South"/>
    <n v="2350"/>
    <n v="1790"/>
    <s v="CONDUCTED TECHNICAL ASSISTANCE"/>
    <n v="2024"/>
    <d v="2024-11-07T00:00:00"/>
    <x v="0"/>
    <s v="Aser A. Inocencio, Jr."/>
    <s v="Jay Pee S. Ordoñez"/>
    <s v="Zosimo P. Suyat"/>
    <m/>
    <m/>
    <m/>
    <m/>
    <m/>
    <s v=""/>
    <s v=""/>
    <s v=""/>
    <s v=""/>
    <m/>
    <s v="MRF"/>
    <s v="OPERATIONAL"/>
    <s v="Technical Assistance"/>
    <m/>
  </r>
  <r>
    <x v="3"/>
    <x v="73"/>
    <s v="MBA"/>
    <s v="Poblacion West"/>
    <n v="4085"/>
    <n v="3247"/>
    <s v="NO TECHNICAL ASSISTANCE CONDUCTED"/>
    <m/>
    <m/>
    <x v="0"/>
    <s v="Aser A. Inocencio, Jr."/>
    <s v="Jay Pee S. Ordoñez"/>
    <s v="Zosimo P. Suyat"/>
    <m/>
    <m/>
    <m/>
    <m/>
    <m/>
    <s v=""/>
    <s v=""/>
    <s v=""/>
    <s v=""/>
    <m/>
    <m/>
    <m/>
    <m/>
    <m/>
  </r>
  <r>
    <x v="3"/>
    <x v="73"/>
    <s v="MBA"/>
    <s v="Rang-ayan"/>
    <n v="2139"/>
    <n v="2311"/>
    <s v="NO TECHNICAL ASSISTANCE CONDUCTED"/>
    <m/>
    <m/>
    <x v="0"/>
    <s v="Aser A. Inocencio, Jr."/>
    <s v="Jay Pee S. Ordoñez"/>
    <s v="Zosimo P. Suyat"/>
    <m/>
    <m/>
    <m/>
    <m/>
    <m/>
    <s v=""/>
    <s v=""/>
    <s v=""/>
    <s v=""/>
    <m/>
    <m/>
    <m/>
    <m/>
    <m/>
  </r>
  <r>
    <x v="3"/>
    <x v="73"/>
    <s v="MBA"/>
    <s v="Rizal"/>
    <n v="1640"/>
    <n v="1751"/>
    <s v="NO TECHNICAL ASSISTANCE CONDUCTED"/>
    <m/>
    <m/>
    <x v="0"/>
    <s v="Aser A. Inocencio, Jr."/>
    <s v="Jay Pee S. Ordoñez"/>
    <s v="Zosimo P. Suyat"/>
    <m/>
    <m/>
    <m/>
    <m/>
    <m/>
    <s v=""/>
    <s v=""/>
    <s v=""/>
    <s v=""/>
    <m/>
    <m/>
    <m/>
    <m/>
    <m/>
  </r>
  <r>
    <x v="3"/>
    <x v="73"/>
    <s v="MBA"/>
    <s v="San Andres"/>
    <n v="1667"/>
    <n v="1798"/>
    <s v="NO TECHNICAL ASSISTANCE CONDUCTED"/>
    <m/>
    <m/>
    <x v="0"/>
    <s v="Aser A. Inocencio, Jr."/>
    <s v="Jay Pee S. Ordoñez"/>
    <s v="Zosimo P. Suyat"/>
    <m/>
    <m/>
    <m/>
    <m/>
    <m/>
    <s v=""/>
    <s v=""/>
    <s v=""/>
    <s v=""/>
    <m/>
    <m/>
    <m/>
    <m/>
    <m/>
  </r>
  <r>
    <x v="3"/>
    <x v="73"/>
    <s v="MBA"/>
    <s v="San Antonio"/>
    <n v="2166"/>
    <n v="2305"/>
    <s v="CONDUCTED TECHNICAL ASSISTANCE"/>
    <n v="2025"/>
    <d v="2025-07-15T00:00:00"/>
    <x v="8"/>
    <s v="Aser A. Inocencio, Jr."/>
    <s v="Jay Pee S. Ordoñez"/>
    <s v="Zosimo P. Suyat"/>
    <s v="R3-2025-023919"/>
    <d v="2025-07-17T00:00:00"/>
    <d v="2025-07-17T00:00:00"/>
    <d v="2025-07-18T00:00:00"/>
    <d v="2025-07-18T00:00:00"/>
    <n v="2"/>
    <n v="1"/>
    <n v="1"/>
    <n v="1"/>
    <s v="Received by Planning"/>
    <s v="MRF"/>
    <s v="OPERATIONAL"/>
    <s v="Technical Assistance"/>
    <m/>
  </r>
  <r>
    <x v="3"/>
    <x v="73"/>
    <s v="MBA"/>
    <s v="San Felipe"/>
    <n v="1973"/>
    <n v="2020"/>
    <s v="CONDUCTED TECHNICAL ASSISTANCE"/>
    <n v="2024"/>
    <d v="2024-11-08T00:00:00"/>
    <x v="0"/>
    <s v="Aser A. Inocencio, Jr."/>
    <s v="Jay Pee S. Ordoñez"/>
    <s v="Zosimo P. Suyat"/>
    <m/>
    <m/>
    <m/>
    <m/>
    <m/>
    <s v=""/>
    <s v=""/>
    <s v=""/>
    <s v=""/>
    <m/>
    <s v="MRF"/>
    <s v="OPERATIONAL"/>
    <s v="Technical Assistance"/>
    <m/>
  </r>
  <r>
    <x v="3"/>
    <x v="73"/>
    <s v="MBA"/>
    <s v="Sapang Cawayan"/>
    <n v="1483"/>
    <n v="1570"/>
    <s v="CONDUCTED TECHNICAL ASSISTANCE"/>
    <n v="2025"/>
    <d v="2025-04-30T00:00:00"/>
    <x v="6"/>
    <s v="Aser A. Inocencio, Jr."/>
    <s v="Jay Pee S. Ordoñez"/>
    <s v="Zosimo P. Suyat"/>
    <s v="R3-2025-015195"/>
    <d v="2025-05-05T00:00:00"/>
    <d v="2025-05-14T00:00:00"/>
    <d v="2025-05-14T00:00:00"/>
    <d v="2025-05-15T00:00:00"/>
    <n v="3"/>
    <n v="7"/>
    <n v="1"/>
    <n v="1"/>
    <s v="Received by Planning"/>
    <s v="MRS"/>
    <s v="OPERATIONAL"/>
    <s v="Technical Assistance"/>
    <m/>
  </r>
  <r>
    <x v="3"/>
    <x v="73"/>
    <s v="MBA"/>
    <s v="Villa Cuizon"/>
    <n v="1498"/>
    <n v="1827"/>
    <s v="CONDUCTED TECHNICAL ASSISTANCE"/>
    <n v="2025"/>
    <d v="2025-07-08T00:00:00"/>
    <x v="8"/>
    <s v="Aser A. Inocencio, Jr."/>
    <s v="Jay Pee S. Ordoñez"/>
    <s v="Zosimo P. Suyat"/>
    <s v="R3-2025-023904"/>
    <d v="2025-07-17T00:00:00"/>
    <d v="2025-07-17T00:00:00"/>
    <d v="2025-07-17T00:00:00"/>
    <d v="2025-07-18T00:00:00"/>
    <n v="7"/>
    <n v="1"/>
    <n v="1"/>
    <n v="1"/>
    <s v="Received by Planning"/>
    <s v="MRS"/>
    <s v="OPERATIONAL"/>
    <s v="Technical Assistance"/>
    <m/>
  </r>
  <r>
    <x v="3"/>
    <x v="73"/>
    <s v="MBA"/>
    <s v="Villa Isla"/>
    <n v="2811"/>
    <n v="2686"/>
    <s v="CONDUCTED TECHNICAL ASSISTANCE"/>
    <n v="2025"/>
    <d v="2025-07-08T00:00:00"/>
    <x v="9"/>
    <s v="Aser A. Inocencio, Jr."/>
    <s v="Jay Pee S. Ordoñez"/>
    <s v="Zosimo P. Suyat"/>
    <s v="R3-2025-023905"/>
    <d v="2025-07-17T00:00:00"/>
    <d v="2025-07-17T00:00:00"/>
    <d v="2025-07-17T00:00:00"/>
    <d v="2025-07-18T00:00:00"/>
    <n v="7"/>
    <n v="1"/>
    <n v="1"/>
    <n v="1"/>
    <s v="Received by Planning"/>
    <s v="MRF"/>
    <s v="OPERATIONAL"/>
    <s v="Technical Assistance"/>
    <m/>
  </r>
  <r>
    <x v="3"/>
    <x v="73"/>
    <s v="MBA"/>
    <s v="Villa Nati"/>
    <n v="1301"/>
    <n v="2377"/>
    <s v="NO TECHNICAL ASSISTANCE CONDUCTED"/>
    <m/>
    <m/>
    <x v="0"/>
    <s v="Aser A. Inocencio, Jr."/>
    <s v="Jay Pee S. Ordoñez"/>
    <s v="Zosimo P. Suyat"/>
    <m/>
    <m/>
    <m/>
    <m/>
    <m/>
    <s v=""/>
    <s v=""/>
    <s v=""/>
    <s v=""/>
    <m/>
    <m/>
    <m/>
    <m/>
    <m/>
  </r>
  <r>
    <x v="3"/>
    <x v="73"/>
    <s v="MBA"/>
    <s v="Villa Santos"/>
    <n v="959"/>
    <n v="986"/>
    <s v="NO TECHNICAL ASSISTANCE CONDUCTED"/>
    <m/>
    <m/>
    <x v="0"/>
    <s v="Aser A. Inocencio, Jr."/>
    <s v="Jay Pee S. Ordoñez"/>
    <s v="Zosimo P. Suyat"/>
    <m/>
    <m/>
    <m/>
    <m/>
    <m/>
    <s v=""/>
    <s v=""/>
    <s v=""/>
    <s v=""/>
    <m/>
    <m/>
    <m/>
    <m/>
    <m/>
  </r>
  <r>
    <x v="3"/>
    <x v="74"/>
    <s v="MBA"/>
    <s v="Andal Alino (Pob.)"/>
    <n v="1781"/>
    <n v="2105"/>
    <s v="NO TECHNICAL ASSISTANCE CONDUCTED"/>
    <m/>
    <m/>
    <x v="0"/>
    <s v="Gem C. Vicencio"/>
    <s v="Jay Pee S. Ordoñez"/>
    <s v="Zosimo P. Suyat"/>
    <m/>
    <m/>
    <m/>
    <m/>
    <m/>
    <s v=""/>
    <s v=""/>
    <s v=""/>
    <s v=""/>
    <m/>
    <m/>
    <m/>
    <m/>
    <m/>
  </r>
  <r>
    <x v="3"/>
    <x v="74"/>
    <s v="MBA"/>
    <s v="Bagong Sikat"/>
    <n v="1965"/>
    <n v="2090"/>
    <s v="NO TECHNICAL ASSISTANCE CONDUCTED"/>
    <m/>
    <m/>
    <x v="0"/>
    <s v="Gem C. Vicencio"/>
    <s v="Jay Pee S. Ordoñez"/>
    <s v="Zosimo P. Suyat"/>
    <m/>
    <m/>
    <m/>
    <m/>
    <m/>
    <s v=""/>
    <s v=""/>
    <s v=""/>
    <s v=""/>
    <m/>
    <m/>
    <m/>
    <m/>
    <m/>
  </r>
  <r>
    <x v="3"/>
    <x v="74"/>
    <s v="MBA"/>
    <s v="Bagong Silang"/>
    <n v="1691"/>
    <n v="1719"/>
    <s v="CONDUCTED TECHNICAL ASSISTANCE"/>
    <n v="2025"/>
    <d v="2025-02-05T00:00:00"/>
    <x v="3"/>
    <s v="Gem C. Vicencio"/>
    <s v="Jay Pee S. Ordoñez"/>
    <s v="Zosimo P. Suyat"/>
    <s v="R3-2025-004121"/>
    <d v="2025-02-06T00:00:00"/>
    <d v="2025-02-10T00:00:00"/>
    <d v="2025-02-10T00:00:00"/>
    <d v="2025-02-11T00:00:00"/>
    <n v="1"/>
    <n v="2"/>
    <n v="1"/>
    <n v="1"/>
    <s v="Received by Planning"/>
    <s v="MRS"/>
    <s v="OPERATIONAL"/>
    <s v="Technical Assistance"/>
    <m/>
  </r>
  <r>
    <x v="3"/>
    <x v="74"/>
    <s v="MBA"/>
    <s v="Bakal I"/>
    <n v="2612"/>
    <n v="2671"/>
    <s v="CONDUCTED TECHNICAL ASSISTANCE"/>
    <n v="2025"/>
    <d v="2025-05-13T00:00:00"/>
    <x v="6"/>
    <s v="Gem C. Vicencio"/>
    <s v="Jay Pee S. Ordoñez"/>
    <s v="Zosimo P. Suyat"/>
    <s v="R3-2025-016194"/>
    <d v="2025-05-15T00:00:00"/>
    <d v="2025-05-16T00:00:00"/>
    <d v="2025-05-16T00:00:00"/>
    <d v="2025-05-19T00:00:00"/>
    <n v="2"/>
    <n v="1"/>
    <n v="1"/>
    <n v="1"/>
    <s v="Received by Planning"/>
    <s v="MRS"/>
    <s v="OPERATIONAL"/>
    <s v="Technical Assistance"/>
    <m/>
  </r>
  <r>
    <x v="3"/>
    <x v="74"/>
    <s v="MBA"/>
    <s v="Bakal II"/>
    <n v="4003"/>
    <n v="3724"/>
    <s v="CONDUCTED TECHNICAL ASSISTANCE"/>
    <n v="2025"/>
    <d v="2025-04-22T00:00:00"/>
    <x v="6"/>
    <s v="Gem C. Vicencio"/>
    <s v="Jay Pee S. Ordoñez"/>
    <s v="Zosimo P. Suyat"/>
    <s v="R3-2025-014135"/>
    <d v="2025-04-26T00:00:00"/>
    <d v="2025-05-02T00:00:00"/>
    <d v="2025-05-05T00:00:00"/>
    <d v="2025-05-14T00:00:00"/>
    <n v="3"/>
    <n v="4"/>
    <n v="1"/>
    <n v="7"/>
    <s v="Received by Planning"/>
    <s v="MRS"/>
    <s v="OPERATIONAL"/>
    <s v="Technical Assistance"/>
    <s v="None"/>
  </r>
  <r>
    <x v="3"/>
    <x v="74"/>
    <s v="MBA"/>
    <s v="Bakal III"/>
    <n v="6565"/>
    <n v="6555"/>
    <s v="CONDUCTED TECHNICAL ASSISTANCE"/>
    <n v="2025"/>
    <d v="2025-08-15T00:00:00"/>
    <x v="9"/>
    <s v="Gem C. Vicencio"/>
    <s v="Jay Pee S. Ordoñez"/>
    <s v="Zosimo P. Suyat"/>
    <s v="R3-2025-027972"/>
    <d v="2025-08-18T00:00:00"/>
    <d v="2025-08-19T00:00:00"/>
    <d v="2025-08-19T00:00:00"/>
    <d v="2025-08-19T00:00:00"/>
    <n v="1"/>
    <n v="1"/>
    <n v="1"/>
    <n v="1"/>
    <s v="Received by Planning"/>
    <s v="MRS"/>
    <s v="OPERATIONAL"/>
    <s v="Technical Assistance"/>
    <m/>
  </r>
  <r>
    <x v="3"/>
    <x v="74"/>
    <s v="MBA"/>
    <s v="Baluga"/>
    <n v="2489"/>
    <n v="2740"/>
    <s v="CONDUCTED TECHNICAL ASSISTANCE"/>
    <n v="2024"/>
    <d v="2024-11-21T00:00:00"/>
    <x v="0"/>
    <s v="Gem C. Vicencio"/>
    <s v="Jay Pee S. Ordoñez"/>
    <s v="Zosimo P. Suyat"/>
    <m/>
    <m/>
    <m/>
    <m/>
    <m/>
    <s v=""/>
    <s v=""/>
    <s v=""/>
    <s v=""/>
    <m/>
    <s v="MRF"/>
    <s v="OPERATIONAL"/>
    <s v="Technical Assistance"/>
    <m/>
  </r>
  <r>
    <x v="3"/>
    <x v="74"/>
    <s v="MBA"/>
    <s v="Bantug"/>
    <n v="4724"/>
    <n v="4924"/>
    <s v="NO TECHNICAL ASSISTANCE CONDUCTED"/>
    <m/>
    <m/>
    <x v="0"/>
    <s v="Gem C. Vicencio"/>
    <s v="Jay Pee S. Ordoñez"/>
    <s v="Zosimo P. Suyat"/>
    <m/>
    <m/>
    <m/>
    <m/>
    <m/>
    <s v=""/>
    <s v=""/>
    <s v=""/>
    <s v=""/>
    <m/>
    <m/>
    <m/>
    <m/>
    <m/>
  </r>
  <r>
    <x v="3"/>
    <x v="74"/>
    <s v="MBA"/>
    <s v="Bantug Hacienda"/>
    <n v="1585"/>
    <n v="1651"/>
    <s v="NO TECHNICAL ASSISTANCE CONDUCTED"/>
    <m/>
    <m/>
    <x v="0"/>
    <s v="Gem C. Vicencio"/>
    <s v="Jay Pee S. Ordoñez"/>
    <s v="Zosimo P. Suyat"/>
    <m/>
    <m/>
    <m/>
    <m/>
    <m/>
    <s v=""/>
    <s v=""/>
    <s v=""/>
    <s v=""/>
    <m/>
    <m/>
    <m/>
    <m/>
    <m/>
  </r>
  <r>
    <x v="3"/>
    <x v="74"/>
    <s v="MBA"/>
    <s v="Bantug Hamog"/>
    <n v="1914"/>
    <n v="2029"/>
    <s v="CONDUCTED TECHNICAL ASSISTANCE"/>
    <n v="2025"/>
    <d v="2025-01-15T00:00:00"/>
    <x v="2"/>
    <s v="Gem C. Vicencio"/>
    <s v="Jay Pee S. Ordoñez"/>
    <s v="Zosimo P. Suyat"/>
    <s v="R3-2025-000978"/>
    <d v="2025-01-15T00:00:00"/>
    <d v="2025-01-16T00:00:00"/>
    <d v="2025-01-21T00:00:00"/>
    <d v="2025-01-22T00:00:00"/>
    <n v="1"/>
    <n v="1"/>
    <n v="3"/>
    <n v="1"/>
    <s v="Received by Planning"/>
    <s v="MRS"/>
    <s v="OPERATIONAL"/>
    <s v="Technical Assistance"/>
    <s v="None"/>
  </r>
  <r>
    <x v="3"/>
    <x v="74"/>
    <s v="MBA"/>
    <s v="Bugtong na Buli"/>
    <n v="1083"/>
    <n v="1110"/>
    <s v="NO TECHNICAL ASSISTANCE CONDUCTED"/>
    <m/>
    <m/>
    <x v="0"/>
    <s v="Gem C. Vicencio"/>
    <s v="Jay Pee S. Ordoñez"/>
    <s v="Zosimo P. Suyat"/>
    <m/>
    <m/>
    <m/>
    <m/>
    <m/>
    <s v=""/>
    <s v=""/>
    <s v=""/>
    <s v=""/>
    <m/>
    <m/>
    <m/>
    <m/>
    <m/>
  </r>
  <r>
    <x v="3"/>
    <x v="74"/>
    <s v="MBA"/>
    <s v="Bulac"/>
    <n v="1678"/>
    <n v="1872"/>
    <s v="CONDUCTED TECHNICAL ASSISTANCE"/>
    <n v="2025"/>
    <d v="2025-01-30T00:00:00"/>
    <x v="3"/>
    <s v="Gem C. Vicencio"/>
    <s v="Jay Pee S. Ordoñez"/>
    <s v="Zosimo P. Suyat"/>
    <s v="R3-2025-003332"/>
    <d v="2025-01-31T00:00:00"/>
    <d v="2025-02-03T00:00:00"/>
    <d v="2025-02-03T00:00:00"/>
    <d v="2025-02-03T00:00:00"/>
    <n v="1"/>
    <n v="1"/>
    <n v="1"/>
    <n v="1"/>
    <s v="Received by Planning"/>
    <s v="MRS"/>
    <s v="OPERATIONAL"/>
    <s v="Technical Assistance"/>
    <s v="None"/>
  </r>
  <r>
    <x v="3"/>
    <x v="74"/>
    <s v="MBA"/>
    <s v="Burnay"/>
    <n v="2298"/>
    <n v="2477"/>
    <s v="NO TECHNICAL ASSISTANCE CONDUCTED"/>
    <m/>
    <m/>
    <x v="0"/>
    <s v="Gem C. Vicencio"/>
    <s v="Jay Pee S. Ordoñez"/>
    <s v="Zosimo P. Suyat"/>
    <m/>
    <m/>
    <m/>
    <m/>
    <m/>
    <s v=""/>
    <s v=""/>
    <s v=""/>
    <s v=""/>
    <m/>
    <m/>
    <m/>
    <m/>
    <m/>
  </r>
  <r>
    <x v="3"/>
    <x v="74"/>
    <s v="MBA"/>
    <s v="Caaniplahan"/>
    <n v="1613"/>
    <n v="1697"/>
    <s v="NO TECHNICAL ASSISTANCE CONDUCTED"/>
    <m/>
    <m/>
    <x v="0"/>
    <s v="Gem C. Vicencio"/>
    <s v="Jay Pee S. Ordoñez"/>
    <s v="Zosimo P. Suyat"/>
    <m/>
    <m/>
    <m/>
    <m/>
    <m/>
    <s v=""/>
    <s v=""/>
    <s v=""/>
    <s v=""/>
    <m/>
    <m/>
    <m/>
    <m/>
    <m/>
  </r>
  <r>
    <x v="3"/>
    <x v="74"/>
    <s v="MBA"/>
    <s v="Cabubulaonan"/>
    <n v="792"/>
    <n v="816"/>
    <s v="NO TECHNICAL ASSISTANCE CONDUCTED"/>
    <m/>
    <m/>
    <x v="0"/>
    <s v="Gem C. Vicencio"/>
    <s v="Jay Pee S. Ordoñez"/>
    <s v="Zosimo P. Suyat"/>
    <m/>
    <m/>
    <m/>
    <m/>
    <m/>
    <s v=""/>
    <s v=""/>
    <s v=""/>
    <s v=""/>
    <m/>
    <m/>
    <m/>
    <m/>
    <m/>
  </r>
  <r>
    <x v="3"/>
    <x v="74"/>
    <s v="MBA"/>
    <s v="Calipahan"/>
    <n v="5208"/>
    <n v="5013"/>
    <s v="CONDUCTED TECHNICAL ASSISTANCE"/>
    <n v="2024"/>
    <d v="2024-08-15T00:00:00"/>
    <x v="0"/>
    <s v="Gem C. Vicencio"/>
    <s v="Jay Pee S. Ordoñez"/>
    <s v="Zosimo P. Suyat"/>
    <m/>
    <m/>
    <m/>
    <m/>
    <m/>
    <s v=""/>
    <s v=""/>
    <s v=""/>
    <s v=""/>
    <m/>
    <s v="MRF"/>
    <s v="OPERATIONAL"/>
    <s v="Technical Assistance"/>
    <m/>
  </r>
  <r>
    <x v="3"/>
    <x v="74"/>
    <s v="MBA"/>
    <s v="Campos"/>
    <n v="1971"/>
    <n v="2152"/>
    <s v="CONDUCTED TECHNICAL ASSISTANCE"/>
    <n v="2025"/>
    <d v="2025-01-30T00:00:00"/>
    <x v="3"/>
    <s v="Gem C. Vicencio"/>
    <s v="Jay Pee S. Ordoñez"/>
    <s v="Zosimo P. Suyat"/>
    <s v="R3-2025-003333"/>
    <d v="2025-01-31T00:00:00"/>
    <d v="2025-02-03T00:00:00"/>
    <d v="2025-02-03T00:00:00"/>
    <d v="2025-02-03T00:00:00"/>
    <n v="1"/>
    <n v="1"/>
    <n v="1"/>
    <n v="1"/>
    <s v="Received by Planning"/>
    <s v="MRS"/>
    <s v="OPERATIONAL"/>
    <s v="Technical Assistance"/>
    <s v="None"/>
  </r>
  <r>
    <x v="3"/>
    <x v="74"/>
    <s v="MBA"/>
    <s v="Caputican"/>
    <n v="1713"/>
    <n v="1746"/>
    <s v="NO TECHNICAL ASSISTANCE CONDUCTED"/>
    <m/>
    <m/>
    <x v="0"/>
    <s v="Gem C. Vicencio"/>
    <s v="Jay Pee S. Ordoñez"/>
    <s v="Zosimo P. Suyat"/>
    <m/>
    <m/>
    <m/>
    <m/>
    <m/>
    <s v=""/>
    <s v=""/>
    <s v=""/>
    <s v=""/>
    <m/>
    <m/>
    <m/>
    <m/>
    <m/>
  </r>
  <r>
    <x v="3"/>
    <x v="74"/>
    <s v="MBA"/>
    <s v="Casulucan Este"/>
    <n v="953"/>
    <n v="904"/>
    <s v="NO TECHNICAL ASSISTANCE CONDUCTED"/>
    <m/>
    <m/>
    <x v="0"/>
    <s v="Gem C. Vicencio"/>
    <s v="Jay Pee S. Ordoñez"/>
    <s v="Zosimo P. Suyat"/>
    <m/>
    <m/>
    <m/>
    <m/>
    <m/>
    <s v=""/>
    <s v=""/>
    <s v=""/>
    <s v=""/>
    <m/>
    <m/>
    <m/>
    <m/>
    <m/>
  </r>
  <r>
    <x v="3"/>
    <x v="74"/>
    <s v="MBA"/>
    <s v="Collado"/>
    <n v="1822"/>
    <n v="1960"/>
    <s v="CONDUCTED TECHNICAL ASSISTANCE"/>
    <n v="2025"/>
    <d v="2025-07-08T00:00:00"/>
    <x v="8"/>
    <s v="Gem C. Vicencio"/>
    <s v="Jay Pee S. Ordoñez"/>
    <s v="Zosimo P. Suyat"/>
    <s v="R3-2025-023088"/>
    <d v="2025-07-12T00:00:00"/>
    <d v="2025-07-14T00:00:00"/>
    <d v="2025-07-14T00:00:00"/>
    <d v="2025-07-16T00:00:00"/>
    <n v="3"/>
    <n v="1"/>
    <n v="1"/>
    <n v="2"/>
    <s v="Received by Planning"/>
    <s v="MRS"/>
    <s v="OPERATIONAL"/>
    <s v="Technical Assistance"/>
    <m/>
  </r>
  <r>
    <x v="3"/>
    <x v="74"/>
    <s v="MBA"/>
    <s v="Dimasalang Norte"/>
    <n v="1445"/>
    <n v="1536"/>
    <s v="CONDUCTED TECHNICAL ASSISTANCE"/>
    <n v="2024"/>
    <d v="2024-11-22T00:00:00"/>
    <x v="0"/>
    <s v="Gem C. Vicencio"/>
    <s v="Jay Pee S. Ordoñez"/>
    <s v="Zosimo P. Suyat"/>
    <m/>
    <m/>
    <m/>
    <m/>
    <m/>
    <s v=""/>
    <s v=""/>
    <s v=""/>
    <s v=""/>
    <m/>
    <s v="MRF"/>
    <s v="OPERATIONAL"/>
    <s v="Technical Assistance"/>
    <m/>
  </r>
  <r>
    <x v="3"/>
    <x v="74"/>
    <s v="MBA"/>
    <s v="Dimasalang Sur"/>
    <n v="1657"/>
    <n v="1653"/>
    <s v="CONDUCTED TECHNICAL ASSISTANCE"/>
    <n v="2025"/>
    <d v="2025-09-24T00:00:00"/>
    <x v="5"/>
    <s v="Gem C. Vicencio"/>
    <s v="Jay Pee S. Ordoñez"/>
    <s v="Zosimo P. Suyat"/>
    <s v="R3-2025-032342"/>
    <d v="2025-09-25T00:00:00"/>
    <d v="2025-09-29T00:00:00"/>
    <d v="2025-09-29T00:00:00"/>
    <d v="2025-09-29T00:00:00"/>
    <n v="1"/>
    <n v="2"/>
    <n v="1"/>
    <n v="1"/>
    <s v="Received by Planning"/>
    <s v="MRS"/>
    <s v="OPERATIONAL"/>
    <s v="Technical Assistance"/>
    <m/>
  </r>
  <r>
    <x v="3"/>
    <x v="74"/>
    <s v="MBA"/>
    <s v="Dinarayat"/>
    <n v="1210"/>
    <n v="1302"/>
    <s v="CONDUCTED TECHNICAL ASSISTANCE"/>
    <n v="2025"/>
    <d v="2025-04-08T00:00:00"/>
    <x v="4"/>
    <s v="Gem C. Vicencio"/>
    <s v="Jay Pee S. Ordoñez"/>
    <s v="Zosimo P. Suyat"/>
    <s v="R3-2025-011905"/>
    <d v="2025-04-09T00:00:00"/>
    <d v="2025-04-10T00:00:00"/>
    <d v="2025-04-10T00:00:00"/>
    <d v="2025-04-10T00:00:00"/>
    <n v="1"/>
    <n v="1"/>
    <n v="1"/>
    <n v="1"/>
    <s v="Received by Planning"/>
    <s v="MRS"/>
    <s v="OPERATIONAL"/>
    <s v="Technical Assistance"/>
    <m/>
  </r>
  <r>
    <x v="3"/>
    <x v="74"/>
    <s v="MBA"/>
    <s v="Esguerra District (Pob.)"/>
    <n v="3202"/>
    <n v="3563"/>
    <s v="NO TECHNICAL ASSISTANCE CONDUCTED"/>
    <m/>
    <m/>
    <x v="0"/>
    <s v="Gem C. Vicencio"/>
    <s v="Jay Pee S. Ordoñez"/>
    <s v="Zosimo P. Suyat"/>
    <m/>
    <m/>
    <m/>
    <m/>
    <m/>
    <s v=""/>
    <s v=""/>
    <s v=""/>
    <s v=""/>
    <m/>
    <m/>
    <m/>
    <m/>
    <m/>
  </r>
  <r>
    <x v="3"/>
    <x v="74"/>
    <s v="MBA"/>
    <s v="Gulod"/>
    <n v="1473"/>
    <n v="1535"/>
    <s v="NO TECHNICAL ASSISTANCE CONDUCTED"/>
    <m/>
    <m/>
    <x v="0"/>
    <s v="Gem C. Vicencio"/>
    <s v="Jay Pee S. Ordoñez"/>
    <s v="Zosimo P. Suyat"/>
    <m/>
    <m/>
    <m/>
    <m/>
    <m/>
    <s v=""/>
    <s v=""/>
    <s v=""/>
    <s v=""/>
    <m/>
    <m/>
    <m/>
    <m/>
    <m/>
  </r>
  <r>
    <x v="3"/>
    <x v="74"/>
    <s v="MBA"/>
    <s v="Homestead I"/>
    <n v="1755"/>
    <n v="2041"/>
    <s v="NO TECHNICAL ASSISTANCE CONDUCTED"/>
    <m/>
    <m/>
    <x v="0"/>
    <s v="Gem C. Vicencio"/>
    <s v="Jay Pee S. Ordoñez"/>
    <s v="Zosimo P. Suyat"/>
    <m/>
    <m/>
    <m/>
    <m/>
    <m/>
    <s v=""/>
    <s v=""/>
    <s v=""/>
    <s v=""/>
    <m/>
    <m/>
    <m/>
    <m/>
    <m/>
  </r>
  <r>
    <x v="3"/>
    <x v="74"/>
    <s v="MBA"/>
    <s v="Homestead II"/>
    <n v="1832"/>
    <n v="2019"/>
    <s v="CONDUCTED TECHNICAL ASSISTANCE"/>
    <n v="2024"/>
    <d v="2024-11-13T00:00:00"/>
    <x v="0"/>
    <s v="Gem C. Vicencio"/>
    <s v="Jay Pee S. Ordoñez"/>
    <s v="Zosimo P. Suyat"/>
    <m/>
    <m/>
    <m/>
    <m/>
    <m/>
    <s v=""/>
    <s v=""/>
    <s v=""/>
    <s v=""/>
    <m/>
    <s v="MRF"/>
    <s v="OPERATIONAL"/>
    <s v="Technical Assistance"/>
    <m/>
  </r>
  <r>
    <x v="3"/>
    <x v="74"/>
    <s v="MBA"/>
    <s v="Kinalanguyan"/>
    <n v="1047"/>
    <n v="1172"/>
    <s v="NO TECHNICAL ASSISTANCE CONDUCTED"/>
    <m/>
    <m/>
    <x v="0"/>
    <s v="Gem C. Vicencio"/>
    <s v="Jay Pee S. Ordoñez"/>
    <s v="Zosimo P. Suyat"/>
    <m/>
    <m/>
    <m/>
    <m/>
    <m/>
    <s v=""/>
    <s v=""/>
    <s v=""/>
    <s v=""/>
    <m/>
    <m/>
    <m/>
    <m/>
    <m/>
  </r>
  <r>
    <x v="3"/>
    <x v="74"/>
    <s v="MBA"/>
    <s v="La Torre"/>
    <n v="4427"/>
    <n v="4876"/>
    <s v="NO TECHNICAL ASSISTANCE CONDUCTED"/>
    <m/>
    <m/>
    <x v="0"/>
    <s v="Gem C. Vicencio"/>
    <s v="Jay Pee S. Ordoñez"/>
    <s v="Zosimo P. Suyat"/>
    <m/>
    <m/>
    <m/>
    <m/>
    <m/>
    <s v=""/>
    <s v=""/>
    <s v=""/>
    <s v=""/>
    <m/>
    <m/>
    <m/>
    <m/>
    <m/>
  </r>
  <r>
    <x v="3"/>
    <x v="74"/>
    <s v="MBA"/>
    <s v="Lomboy"/>
    <n v="1792"/>
    <n v="2022"/>
    <s v="CONDUCTED TECHNICAL ASSISTANCE"/>
    <n v="2025"/>
    <d v="2025-01-28T00:00:00"/>
    <x v="3"/>
    <s v="Gem C. Vicencio"/>
    <s v="Jay Pee S. Ordoñez"/>
    <s v="Zosimo P. Suyat"/>
    <s v="R3-2025-003330"/>
    <d v="2025-01-31T00:00:00"/>
    <d v="2025-02-03T00:00:00"/>
    <d v="2025-02-03T00:00:00"/>
    <d v="2025-02-03T00:00:00"/>
    <n v="3"/>
    <n v="1"/>
    <n v="1"/>
    <n v="1"/>
    <s v="Received by Planning"/>
    <s v="MRS"/>
    <s v="OPERATIONAL"/>
    <s v="Technical Assistance"/>
    <s v="None"/>
  </r>
  <r>
    <x v="3"/>
    <x v="74"/>
    <s v="MBA"/>
    <s v="Mabuhay"/>
    <n v="887"/>
    <n v="961"/>
    <s v="NO TECHNICAL ASSISTANCE CONDUCTED"/>
    <m/>
    <m/>
    <x v="0"/>
    <s v="Gem C. Vicencio"/>
    <s v="Jay Pee S. Ordoñez"/>
    <s v="Zosimo P. Suyat"/>
    <m/>
    <m/>
    <m/>
    <m/>
    <m/>
    <s v=""/>
    <s v=""/>
    <s v=""/>
    <s v=""/>
    <m/>
    <m/>
    <m/>
    <m/>
    <m/>
  </r>
  <r>
    <x v="3"/>
    <x v="74"/>
    <s v="MBA"/>
    <s v="Maestrang Kikay (Pob.)"/>
    <n v="3536"/>
    <n v="3937"/>
    <s v="NO TECHNICAL ASSISTANCE CONDUCTED"/>
    <m/>
    <m/>
    <x v="0"/>
    <s v="Gem C. Vicencio"/>
    <s v="Jay Pee S. Ordoñez"/>
    <s v="Zosimo P. Suyat"/>
    <m/>
    <m/>
    <m/>
    <m/>
    <m/>
    <s v=""/>
    <s v=""/>
    <s v=""/>
    <s v=""/>
    <m/>
    <m/>
    <m/>
    <m/>
    <m/>
  </r>
  <r>
    <x v="3"/>
    <x v="74"/>
    <s v="MBA"/>
    <s v="Mamandil"/>
    <n v="1127"/>
    <n v="1301"/>
    <s v="CONDUCTED TECHNICAL ASSISTANCE"/>
    <n v="2025"/>
    <d v="2025-05-13T00:00:00"/>
    <x v="6"/>
    <s v="Gem C. Vicencio"/>
    <s v="Jay Pee S. Ordoñez"/>
    <s v="Zosimo P. Suyat"/>
    <s v="R3-2025-016317"/>
    <d v="2025-05-16T00:00:00"/>
    <d v="2025-05-16T00:00:00"/>
    <d v="2025-05-16T00:00:00"/>
    <d v="2025-05-19T00:00:00"/>
    <n v="3"/>
    <n v="1"/>
    <n v="1"/>
    <n v="1"/>
    <s v="Received by Planning"/>
    <s v="MRS"/>
    <s v="OPERATIONAL"/>
    <s v="Technical Assistance"/>
    <m/>
  </r>
  <r>
    <x v="3"/>
    <x v="74"/>
    <s v="MBA"/>
    <s v="Marcos District (Pob.)"/>
    <n v="948"/>
    <n v="1156"/>
    <s v="NO TECHNICAL ASSISTANCE CONDUCTED"/>
    <m/>
    <m/>
    <x v="0"/>
    <s v="Gem C. Vicencio"/>
    <s v="Jay Pee S. Ordoñez"/>
    <s v="Zosimo P. Suyat"/>
    <m/>
    <m/>
    <m/>
    <m/>
    <m/>
    <s v=""/>
    <s v=""/>
    <s v=""/>
    <s v=""/>
    <m/>
    <m/>
    <m/>
    <m/>
    <m/>
  </r>
  <r>
    <x v="3"/>
    <x v="74"/>
    <s v="MBA"/>
    <s v="Matingkis"/>
    <n v="1201"/>
    <n v="1405"/>
    <s v="CONDUCTED TECHNICAL ASSISTANCE"/>
    <n v="2025"/>
    <d v="2025-08-12T00:00:00"/>
    <x v="9"/>
    <s v="Gem C. Vicencio"/>
    <s v="Jay Pee S. Ordoñez"/>
    <s v="Zosimo P. Suyat"/>
    <s v="R3-2025-027298"/>
    <d v="2025-08-15T00:00:00"/>
    <d v="2025-08-18T00:00:00"/>
    <d v="2025-08-19T00:00:00"/>
    <d v="2025-08-19T00:00:00"/>
    <n v="3"/>
    <n v="1"/>
    <n v="1"/>
    <n v="1"/>
    <s v="Received by Planning"/>
    <s v="MRS"/>
    <s v="OPERATIONAL"/>
    <s v="Technical Assistance"/>
    <m/>
  </r>
  <r>
    <x v="3"/>
    <x v="74"/>
    <s v="MBA"/>
    <s v="Minabuyoc"/>
    <n v="2227"/>
    <n v="2243"/>
    <s v="CONDUCTED TECHNICAL ASSISTANCE"/>
    <n v="2024"/>
    <d v="2024-09-18T00:00:00"/>
    <x v="0"/>
    <s v="Gem C. Vicencio"/>
    <s v="Jay Pee S. Ordoñez"/>
    <s v="Zosimo P. Suyat"/>
    <m/>
    <m/>
    <m/>
    <m/>
    <m/>
    <s v=""/>
    <s v=""/>
    <s v=""/>
    <s v=""/>
    <m/>
    <s v="MRF"/>
    <s v="OPERATIONAL"/>
    <s v="Technical Assistance"/>
    <m/>
  </r>
  <r>
    <x v="3"/>
    <x v="74"/>
    <s v="MBA"/>
    <s v="Pag-asa (Pob.)"/>
    <n v="4989"/>
    <n v="5162"/>
    <s v="NO TECHNICAL ASSISTANCE CONDUCTED"/>
    <m/>
    <m/>
    <x v="0"/>
    <s v="Gem C. Vicencio"/>
    <s v="Jay Pee S. Ordoñez"/>
    <s v="Zosimo P. Suyat"/>
    <m/>
    <m/>
    <m/>
    <m/>
    <m/>
    <s v=""/>
    <s v=""/>
    <s v=""/>
    <s v=""/>
    <m/>
    <m/>
    <m/>
    <m/>
    <m/>
  </r>
  <r>
    <x v="3"/>
    <x v="74"/>
    <s v="MBA"/>
    <s v="Paludpod"/>
    <n v="906"/>
    <n v="1016"/>
    <s v="NO TECHNICAL ASSISTANCE CONDUCTED"/>
    <m/>
    <m/>
    <x v="0"/>
    <s v="Gem C. Vicencio"/>
    <s v="Jay Pee S. Ordoñez"/>
    <s v="Zosimo P. Suyat"/>
    <m/>
    <m/>
    <m/>
    <m/>
    <m/>
    <s v=""/>
    <s v=""/>
    <s v=""/>
    <s v=""/>
    <m/>
    <m/>
    <m/>
    <m/>
    <m/>
  </r>
  <r>
    <x v="3"/>
    <x v="74"/>
    <s v="MBA"/>
    <s v="Pantoc Bulac"/>
    <n v="851"/>
    <n v="1017"/>
    <s v="CONDUCTED TECHNICAL ASSISTANCE"/>
    <n v="2025"/>
    <d v="2025-01-28T00:00:00"/>
    <x v="3"/>
    <s v="Gem C. Vicencio"/>
    <s v="Jay Pee S. Ordoñez"/>
    <s v="Zosimo P. Suyat"/>
    <s v="R3-2025-003074 "/>
    <d v="2025-01-29T00:00:00"/>
    <d v="2025-01-30T00:00:00"/>
    <d v="2025-01-30T00:00:00"/>
    <d v="2025-01-30T00:00:00"/>
    <n v="1"/>
    <n v="1"/>
    <n v="1"/>
    <n v="1"/>
    <s v="Received by Planning"/>
    <s v="MRS"/>
    <s v="OPERATIONAL"/>
    <s v="Technical Assistance"/>
    <m/>
  </r>
  <r>
    <x v="3"/>
    <x v="74"/>
    <s v="MBA"/>
    <s v="Pinagpanaan"/>
    <n v="5581"/>
    <n v="5445"/>
    <s v="CONDUCTED TECHNICAL ASSISTANCE"/>
    <n v="2024"/>
    <d v="2024-05-21T00:00:00"/>
    <x v="0"/>
    <s v="Gem C. Vicencio"/>
    <s v="Jay Pee S. Ordoñez"/>
    <s v="Zosimo P. Suyat"/>
    <m/>
    <m/>
    <m/>
    <m/>
    <m/>
    <s v=""/>
    <s v=""/>
    <s v=""/>
    <s v=""/>
    <m/>
    <m/>
    <m/>
    <s v="Technical Assistance"/>
    <m/>
  </r>
  <r>
    <x v="3"/>
    <x v="74"/>
    <s v="MBA"/>
    <s v="Poblacion Sur"/>
    <n v="3409"/>
    <n v="3651"/>
    <s v="NO TECHNICAL ASSISTANCE CONDUCTED"/>
    <m/>
    <m/>
    <x v="0"/>
    <s v="Gem C. Vicencio"/>
    <s v="Jay Pee S. Ordoñez"/>
    <s v="Zosimo P. Suyat"/>
    <m/>
    <m/>
    <m/>
    <m/>
    <m/>
    <s v=""/>
    <s v=""/>
    <s v=""/>
    <s v=""/>
    <m/>
    <m/>
    <m/>
    <m/>
    <m/>
  </r>
  <r>
    <x v="3"/>
    <x v="74"/>
    <s v="MBA"/>
    <s v="Pula"/>
    <n v="2454"/>
    <n v="2667"/>
    <s v="CONDUCTED TECHNICAL ASSISTANCE"/>
    <n v="2024"/>
    <d v="2024-09-18T00:00:00"/>
    <x v="0"/>
    <s v="Gem C. Vicencio"/>
    <s v="Jay Pee S. Ordoñez"/>
    <s v="Zosimo P. Suyat"/>
    <m/>
    <m/>
    <m/>
    <m/>
    <m/>
    <s v=""/>
    <s v=""/>
    <s v=""/>
    <s v=""/>
    <m/>
    <s v="MRF"/>
    <s v="OPERATIONAL"/>
    <s v="Technical Assistance"/>
    <m/>
  </r>
  <r>
    <x v="3"/>
    <x v="74"/>
    <s v="MBA"/>
    <s v="Pulong San Miguel (Pob.)"/>
    <n v="1374"/>
    <n v="1481"/>
    <s v="NO TECHNICAL ASSISTANCE CONDUCTED"/>
    <m/>
    <m/>
    <x v="0"/>
    <s v="Gem C. Vicencio"/>
    <s v="Jay Pee S. Ordoñez"/>
    <s v="Zosimo P. Suyat"/>
    <m/>
    <m/>
    <m/>
    <m/>
    <m/>
    <s v=""/>
    <s v=""/>
    <s v=""/>
    <s v=""/>
    <m/>
    <m/>
    <m/>
    <m/>
    <m/>
  </r>
  <r>
    <x v="3"/>
    <x v="74"/>
    <s v="MBA"/>
    <s v="Purok Matias (Pob.)"/>
    <n v="1638"/>
    <n v="1444"/>
    <s v="NO TECHNICAL ASSISTANCE CONDUCTED"/>
    <m/>
    <m/>
    <x v="0"/>
    <s v="Gem C. Vicencio"/>
    <s v="Jay Pee S. Ordoñez"/>
    <s v="Zosimo P. Suyat"/>
    <m/>
    <m/>
    <m/>
    <m/>
    <m/>
    <s v=""/>
    <s v=""/>
    <s v=""/>
    <s v=""/>
    <m/>
    <m/>
    <m/>
    <m/>
    <m/>
  </r>
  <r>
    <x v="3"/>
    <x v="74"/>
    <s v="MBA"/>
    <s v="Sampaloc"/>
    <n v="1470"/>
    <n v="1786"/>
    <s v="NO TECHNICAL ASSISTANCE CONDUCTED"/>
    <m/>
    <m/>
    <x v="0"/>
    <s v="Gem C. Vicencio"/>
    <s v="Jay Pee S. Ordoñez"/>
    <s v="Zosimo P. Suyat"/>
    <m/>
    <m/>
    <m/>
    <m/>
    <m/>
    <s v=""/>
    <s v=""/>
    <s v=""/>
    <s v=""/>
    <m/>
    <m/>
    <m/>
    <m/>
    <m/>
  </r>
  <r>
    <x v="3"/>
    <x v="74"/>
    <s v="MBA"/>
    <s v="San Miguel na Munti"/>
    <n v="3340"/>
    <n v="3750"/>
    <s v="CONDUCTED TECHNICAL ASSISTANCE"/>
    <n v="2024"/>
    <d v="2024-01-29T00:00:00"/>
    <x v="0"/>
    <s v="Gem C. Vicencio"/>
    <s v="Jay Pee S. Ordoñez"/>
    <s v="Zosimo P. Suyat"/>
    <m/>
    <m/>
    <m/>
    <m/>
    <m/>
    <s v=""/>
    <s v=""/>
    <s v=""/>
    <s v=""/>
    <m/>
    <m/>
    <m/>
    <s v="Technical Assistance"/>
    <m/>
  </r>
  <r>
    <x v="3"/>
    <x v="74"/>
    <s v="MBA"/>
    <s v="San Pascual"/>
    <n v="6435"/>
    <n v="6542"/>
    <s v="CONDUCTED TECHNICAL ASSISTANCE"/>
    <n v="2024"/>
    <d v="2024-03-14T00:00:00"/>
    <x v="0"/>
    <s v="Gem C. Vicencio"/>
    <s v="Jay Pee S. Ordoñez"/>
    <s v="Zosimo P. Suyat"/>
    <m/>
    <m/>
    <m/>
    <m/>
    <m/>
    <s v=""/>
    <s v=""/>
    <s v=""/>
    <s v=""/>
    <m/>
    <m/>
    <m/>
    <s v="Technical Assistance"/>
    <m/>
  </r>
  <r>
    <x v="3"/>
    <x v="74"/>
    <s v="MBA"/>
    <s v="San Ricardo"/>
    <n v="2747"/>
    <n v="2769"/>
    <s v="CONDUCTED TECHNICAL ASSISTANCE"/>
    <n v="2024"/>
    <d v="2024-09-18T00:00:00"/>
    <x v="0"/>
    <s v="Gem C. Vicencio"/>
    <s v="Jay Pee S. Ordoñez"/>
    <s v="Zosimo P. Suyat"/>
    <m/>
    <m/>
    <m/>
    <m/>
    <m/>
    <s v=""/>
    <s v=""/>
    <s v=""/>
    <s v=""/>
    <m/>
    <s v="MRF"/>
    <s v="OPERATIONAL"/>
    <s v="Technical Assistance"/>
    <m/>
  </r>
  <r>
    <x v="3"/>
    <x v="74"/>
    <s v="MBA"/>
    <s v="Sibul"/>
    <n v="2771"/>
    <n v="3240"/>
    <s v="NO TECHNICAL ASSISTANCE CONDUCTED"/>
    <m/>
    <m/>
    <x v="0"/>
    <s v="Gem C. Vicencio"/>
    <s v="Jay Pee S. Ordoñez"/>
    <s v="Zosimo P. Suyat"/>
    <m/>
    <m/>
    <m/>
    <m/>
    <m/>
    <s v=""/>
    <s v=""/>
    <s v=""/>
    <s v=""/>
    <m/>
    <m/>
    <m/>
    <m/>
    <m/>
  </r>
  <r>
    <x v="3"/>
    <x v="74"/>
    <s v="MBA"/>
    <s v="Sicsican Matanda"/>
    <n v="2053"/>
    <n v="2411"/>
    <s v="CONDUCTED TECHNICAL ASSISTANCE"/>
    <n v="2025"/>
    <d v="2025-01-28T00:00:00"/>
    <x v="3"/>
    <s v="Gem C. Vicencio"/>
    <s v="Jay Pee S. Ordoñez"/>
    <s v="Zosimo P. Suyat"/>
    <s v="R3-2025-003231"/>
    <d v="2025-01-30T00:00:00"/>
    <d v="2025-02-03T00:00:00"/>
    <d v="2025-02-03T00:00:00"/>
    <d v="2025-02-03T00:00:00"/>
    <n v="2"/>
    <n v="2"/>
    <n v="1"/>
    <n v="1"/>
    <s v="Received by Planning"/>
    <s v="MRF"/>
    <s v="OPERATIONAL"/>
    <s v="Technical Assistance"/>
    <s v="None"/>
  </r>
  <r>
    <x v="3"/>
    <x v="74"/>
    <s v="MBA"/>
    <s v="Tabacao"/>
    <n v="4042"/>
    <n v="4455"/>
    <s v="CONDUCTED TECHNICAL ASSISTANCE"/>
    <n v="2025"/>
    <d v="2025-02-05T00:00:00"/>
    <x v="3"/>
    <s v="Gem C. Vicencio"/>
    <s v="Jay Pee S. Ordoñez"/>
    <s v="Zosimo P. Suyat"/>
    <s v="R3-2025-004120"/>
    <d v="2025-02-06T00:00:00"/>
    <d v="2025-02-10T00:00:00"/>
    <d v="2025-02-10T00:00:00"/>
    <d v="2025-02-11T00:00:00"/>
    <n v="1"/>
    <n v="2"/>
    <n v="1"/>
    <n v="1"/>
    <s v="Received by Planning"/>
    <s v="MRS"/>
    <s v="OPERATIONAL"/>
    <s v="Technical Assistance"/>
    <s v="None"/>
  </r>
  <r>
    <x v="3"/>
    <x v="74"/>
    <s v="MBA"/>
    <s v="Tagaytay"/>
    <n v="1093"/>
    <n v="1200"/>
    <s v="CONDUCTED TECHNICAL ASSISTANCE"/>
    <n v="2025"/>
    <d v="2025-01-28T00:00:00"/>
    <x v="3"/>
    <s v="Gem C. Vicencio"/>
    <s v="Jay Pee S. Ordoñez"/>
    <s v="Zosimo P. Suyat"/>
    <s v="R3-2025-003075"/>
    <d v="2025-01-29T00:00:00"/>
    <d v="2025-01-30T00:00:00"/>
    <d v="2025-01-30T00:00:00"/>
    <d v="2025-01-30T00:00:00"/>
    <n v="1"/>
    <n v="1"/>
    <n v="1"/>
    <n v="1"/>
    <s v="Received by Planning"/>
    <s v="MRS"/>
    <s v="OPERATIONAL"/>
    <s v="Technical Assistance"/>
    <s v="None"/>
  </r>
  <r>
    <x v="3"/>
    <x v="74"/>
    <s v="MBA"/>
    <s v="Valle"/>
    <n v="1450"/>
    <n v="1625"/>
    <s v="NO TECHNICAL ASSISTANCE CONDUCTED"/>
    <m/>
    <m/>
    <x v="0"/>
    <s v="Gem C. Vicencio"/>
    <s v="Jay Pee S. Ordoñez"/>
    <s v="Zosimo P. Suyat"/>
    <m/>
    <m/>
    <m/>
    <m/>
    <m/>
    <s v=""/>
    <s v=""/>
    <s v=""/>
    <s v=""/>
    <m/>
    <m/>
    <m/>
    <m/>
    <m/>
  </r>
  <r>
    <x v="3"/>
    <x v="75"/>
    <s v="MBA"/>
    <s v="Alula"/>
    <n v="1276"/>
    <n v="1247"/>
    <s v="CONDUCTED TECHNICAL ASSISTANCE"/>
    <n v="2024"/>
    <d v="2024-06-11T00:00:00"/>
    <x v="0"/>
    <s v="Aser A. Inocencio, Jr."/>
    <s v="Jay Pee S. Ordoñez"/>
    <s v="Zosimo P. Suyat"/>
    <m/>
    <m/>
    <m/>
    <m/>
    <m/>
    <s v=""/>
    <s v=""/>
    <s v=""/>
    <s v=""/>
    <m/>
    <m/>
    <m/>
    <s v="Technical Assistance"/>
    <m/>
  </r>
  <r>
    <x v="3"/>
    <x v="75"/>
    <s v="MBA"/>
    <s v="Baybayabas"/>
    <n v="1451"/>
    <n v="1663"/>
    <s v="CONDUCTED TECHNICAL ASSISTANCE"/>
    <n v="2025"/>
    <d v="2025-05-21T00:00:00"/>
    <x v="10"/>
    <s v="Aser A. Inocencio, Jr."/>
    <s v="Jay Pee S. Ordoñez"/>
    <s v="Zosimo P. Suyat"/>
    <s v="R3-2025-017543"/>
    <d v="2025-05-25T00:00:00"/>
    <d v="2025-05-26T00:00:00"/>
    <d v="2025-05-27T00:00:00"/>
    <d v="2025-05-28T00:00:00"/>
    <n v="2"/>
    <n v="1"/>
    <n v="1"/>
    <n v="1"/>
    <s v="Received by Planning"/>
    <s v="MRS"/>
    <s v="OPERATIONAL"/>
    <s v="Technical Assistance"/>
    <m/>
  </r>
  <r>
    <x v="3"/>
    <x v="75"/>
    <s v="MBA"/>
    <s v="Buted"/>
    <n v="683"/>
    <n v="712"/>
    <s v="CONDUCTED TECHNICAL ASSISTANCE"/>
    <n v="2025"/>
    <d v="2025-02-06T00:00:00"/>
    <x v="3"/>
    <s v="Aser A. Inocencio, Jr."/>
    <s v="Jay Pee S. Ordoñez"/>
    <s v="Zosimo P. Suyat"/>
    <s v="R3-2025-004802"/>
    <d v="2025-02-10T00:00:00"/>
    <d v="2025-02-11T00:00:00"/>
    <d v="2025-02-11T00:00:00"/>
    <d v="2025-02-13T00:00:00"/>
    <n v="2"/>
    <n v="1"/>
    <n v="1"/>
    <n v="2"/>
    <s v="Received by Planning"/>
    <s v="MRS"/>
    <s v="OPERATIONAL"/>
    <s v="Technical Assistance"/>
    <s v="None"/>
  </r>
  <r>
    <x v="3"/>
    <x v="75"/>
    <s v="MBA"/>
    <s v="Cabiangan"/>
    <n v="597"/>
    <n v="658"/>
    <s v="NO TECHNICAL ASSISTANCE CONDUCTED"/>
    <m/>
    <m/>
    <x v="0"/>
    <s v="Aser A. Inocencio, Jr."/>
    <s v="Jay Pee S. Ordoñez"/>
    <s v="Zosimo P. Suyat"/>
    <m/>
    <m/>
    <m/>
    <m/>
    <m/>
    <s v=""/>
    <s v=""/>
    <s v=""/>
    <s v=""/>
    <m/>
    <m/>
    <m/>
    <m/>
    <m/>
  </r>
  <r>
    <x v="3"/>
    <x v="75"/>
    <s v="MBA"/>
    <s v="Calisitan"/>
    <n v="472"/>
    <n v="483"/>
    <s v="NO TECHNICAL ASSISTANCE CONDUCTED"/>
    <m/>
    <m/>
    <x v="0"/>
    <s v="Aser A. Inocencio, Jr."/>
    <s v="Jay Pee S. Ordoñez"/>
    <s v="Zosimo P. Suyat"/>
    <m/>
    <m/>
    <m/>
    <m/>
    <m/>
    <s v=""/>
    <s v=""/>
    <s v=""/>
    <s v=""/>
    <m/>
    <m/>
    <m/>
    <m/>
    <m/>
  </r>
  <r>
    <x v="3"/>
    <x v="75"/>
    <s v="MBA"/>
    <s v="Cinense"/>
    <n v="800"/>
    <n v="780"/>
    <s v="CONDUCTED TECHNICAL ASSISTANCE"/>
    <n v="2025"/>
    <d v="2025-05-21T00:00:00"/>
    <x v="10"/>
    <s v="Aser A. Inocencio, Jr."/>
    <s v="Jay Pee S. Ordoñez"/>
    <s v="Zosimo P. Suyat"/>
    <s v="R3-2025-017545"/>
    <d v="2025-05-25T00:00:00"/>
    <d v="2025-05-26T00:00:00"/>
    <d v="2025-05-27T00:00:00"/>
    <d v="2025-05-28T00:00:00"/>
    <n v="2"/>
    <n v="1"/>
    <n v="1"/>
    <n v="1"/>
    <s v="Received by Planning"/>
    <s v="MRS"/>
    <s v="OPERATIONAL"/>
    <s v="Technical Assistance"/>
    <m/>
  </r>
  <r>
    <x v="3"/>
    <x v="75"/>
    <s v="MBA"/>
    <s v="Culiat"/>
    <n v="851"/>
    <n v="957"/>
    <s v="NO TECHNICAL ASSISTANCE CONDUCTED"/>
    <m/>
    <m/>
    <x v="0"/>
    <s v="Aser A. Inocencio, Jr."/>
    <s v="Jay Pee S. Ordoñez"/>
    <s v="Zosimo P. Suyat"/>
    <m/>
    <m/>
    <m/>
    <m/>
    <m/>
    <s v=""/>
    <s v=""/>
    <s v=""/>
    <s v=""/>
    <m/>
    <m/>
    <m/>
    <m/>
    <m/>
  </r>
  <r>
    <x v="3"/>
    <x v="75"/>
    <s v="MBA"/>
    <s v="Maasin"/>
    <n v="778"/>
    <n v="842"/>
    <s v="CONDUCTED TECHNICAL ASSISTANCE"/>
    <n v="2024"/>
    <d v="2024-06-11T00:00:00"/>
    <x v="0"/>
    <s v="Aser A. Inocencio, Jr."/>
    <s v="Jay Pee S. Ordoñez"/>
    <s v="Zosimo P. Suyat"/>
    <m/>
    <m/>
    <m/>
    <m/>
    <m/>
    <s v=""/>
    <s v=""/>
    <s v=""/>
    <s v=""/>
    <m/>
    <m/>
    <m/>
    <s v="Technical Assistance"/>
    <m/>
  </r>
  <r>
    <x v="3"/>
    <x v="75"/>
    <s v="MBA"/>
    <s v="Magsaysay (Pob.)"/>
    <n v="1480"/>
    <n v="1520"/>
    <s v="CONDUCTED TECHNICAL ASSISTANCE"/>
    <n v="2024"/>
    <d v="2024-06-11T00:00:00"/>
    <x v="0"/>
    <s v="Aser A. Inocencio, Jr."/>
    <s v="Jay Pee S. Ordoñez"/>
    <s v="Zosimo P. Suyat"/>
    <m/>
    <m/>
    <m/>
    <m/>
    <m/>
    <s v=""/>
    <s v=""/>
    <s v=""/>
    <s v=""/>
    <m/>
    <m/>
    <m/>
    <s v="Technical Assistance"/>
    <m/>
  </r>
  <r>
    <x v="3"/>
    <x v="75"/>
    <s v="MBA"/>
    <s v="Mayamot I"/>
    <n v="658"/>
    <n v="730"/>
    <s v="NO TECHNICAL ASSISTANCE CONDUCTED"/>
    <m/>
    <m/>
    <x v="0"/>
    <s v="Aser A. Inocencio, Jr."/>
    <s v="Jay Pee S. Ordoñez"/>
    <s v="Zosimo P. Suyat"/>
    <m/>
    <m/>
    <m/>
    <m/>
    <m/>
    <s v=""/>
    <s v=""/>
    <s v=""/>
    <s v=""/>
    <m/>
    <m/>
    <m/>
    <m/>
    <m/>
  </r>
  <r>
    <x v="3"/>
    <x v="75"/>
    <s v="MBA"/>
    <s v="Mayamot II"/>
    <n v="160"/>
    <n v="159"/>
    <s v="NO TECHNICAL ASSISTANCE CONDUCTED"/>
    <m/>
    <m/>
    <x v="0"/>
    <s v="Aser A. Inocencio, Jr."/>
    <s v="Jay Pee S. Ordoñez"/>
    <s v="Zosimo P. Suyat"/>
    <m/>
    <m/>
    <m/>
    <m/>
    <m/>
    <s v=""/>
    <s v=""/>
    <s v=""/>
    <s v=""/>
    <m/>
    <m/>
    <m/>
    <m/>
    <m/>
  </r>
  <r>
    <x v="3"/>
    <x v="75"/>
    <s v="MBA"/>
    <s v="Nangabulan"/>
    <n v="893"/>
    <n v="936"/>
    <s v="NO TECHNICAL ASSISTANCE CONDUCTED"/>
    <m/>
    <m/>
    <x v="0"/>
    <s v="Aser A. Inocencio, Jr."/>
    <s v="Jay Pee S. Ordoñez"/>
    <s v="Zosimo P. Suyat"/>
    <m/>
    <m/>
    <m/>
    <m/>
    <m/>
    <s v=""/>
    <s v=""/>
    <s v=""/>
    <s v=""/>
    <m/>
    <m/>
    <m/>
    <m/>
    <m/>
  </r>
  <r>
    <x v="3"/>
    <x v="75"/>
    <s v="MBA"/>
    <s v="Osmeña (Pob.)"/>
    <n v="1091"/>
    <n v="1093"/>
    <s v="CONDUCTED TECHNICAL ASSISTANCE"/>
    <n v="2024"/>
    <d v="2024-06-11T00:00:00"/>
    <x v="0"/>
    <s v="Aser A. Inocencio, Jr."/>
    <s v="Jay Pee S. Ordoñez"/>
    <s v="Zosimo P. Suyat"/>
    <m/>
    <m/>
    <m/>
    <m/>
    <m/>
    <s v=""/>
    <s v=""/>
    <s v=""/>
    <s v=""/>
    <m/>
    <m/>
    <m/>
    <s v="Technical Assistance"/>
    <m/>
  </r>
  <r>
    <x v="3"/>
    <x v="75"/>
    <s v="MBA"/>
    <s v="Pangit"/>
    <n v="895"/>
    <n v="871"/>
    <s v="NO TECHNICAL ASSISTANCE CONDUCTED"/>
    <m/>
    <m/>
    <x v="0"/>
    <s v="Aser A. Inocencio, Jr."/>
    <s v="Jay Pee S. Ordoñez"/>
    <s v="Zosimo P. Suyat"/>
    <m/>
    <m/>
    <m/>
    <m/>
    <m/>
    <s v=""/>
    <s v=""/>
    <s v=""/>
    <s v=""/>
    <m/>
    <m/>
    <m/>
    <m/>
    <m/>
  </r>
  <r>
    <x v="3"/>
    <x v="75"/>
    <s v="MBA"/>
    <s v="Patola"/>
    <n v="1433"/>
    <n v="1455"/>
    <s v="NO TECHNICAL ASSISTANCE CONDUCTED"/>
    <m/>
    <m/>
    <x v="0"/>
    <s v="Aser A. Inocencio, Jr."/>
    <s v="Jay Pee S. Ordoñez"/>
    <s v="Zosimo P. Suyat"/>
    <m/>
    <m/>
    <m/>
    <m/>
    <m/>
    <s v=""/>
    <s v=""/>
    <s v=""/>
    <s v=""/>
    <m/>
    <m/>
    <m/>
    <m/>
    <m/>
  </r>
  <r>
    <x v="3"/>
    <x v="75"/>
    <s v="MBA"/>
    <s v="Quezon (Pob.)"/>
    <n v="1062"/>
    <n v="1230"/>
    <s v="CONDUCTED TECHNICAL ASSISTANCE"/>
    <n v="2024"/>
    <d v="2024-06-11T00:00:00"/>
    <x v="0"/>
    <s v="Aser A. Inocencio, Jr."/>
    <s v="Jay Pee S. Ordoñez"/>
    <s v="Zosimo P. Suyat"/>
    <m/>
    <m/>
    <m/>
    <m/>
    <m/>
    <s v=""/>
    <s v=""/>
    <s v=""/>
    <s v=""/>
    <m/>
    <m/>
    <m/>
    <s v="Technical Assistance"/>
    <m/>
  </r>
  <r>
    <x v="3"/>
    <x v="75"/>
    <s v="MBA"/>
    <s v="Quirino (Pob.)"/>
    <n v="1071"/>
    <n v="1075"/>
    <s v="CONDUCTED TECHNICAL ASSISTANCE"/>
    <n v="2024"/>
    <d v="2024-06-11T00:00:00"/>
    <x v="0"/>
    <s v="Aser A. Inocencio, Jr."/>
    <s v="Jay Pee S. Ordoñez"/>
    <s v="Zosimo P. Suyat"/>
    <m/>
    <m/>
    <m/>
    <m/>
    <m/>
    <s v=""/>
    <s v=""/>
    <s v=""/>
    <s v=""/>
    <m/>
    <m/>
    <m/>
    <s v="Technical Assistance"/>
    <m/>
  </r>
  <r>
    <x v="3"/>
    <x v="75"/>
    <s v="MBA"/>
    <s v="Roxas (Pob.)"/>
    <n v="932"/>
    <n v="974"/>
    <s v="NO TECHNICAL ASSISTANCE CONDUCTED"/>
    <m/>
    <m/>
    <x v="0"/>
    <s v="Aser A. Inocencio, Jr."/>
    <s v="Jay Pee S. Ordoñez"/>
    <s v="Zosimo P. Suyat"/>
    <m/>
    <m/>
    <m/>
    <m/>
    <m/>
    <s v=""/>
    <s v=""/>
    <s v=""/>
    <s v=""/>
    <m/>
    <m/>
    <m/>
    <m/>
    <m/>
  </r>
  <r>
    <x v="3"/>
    <x v="75"/>
    <s v="MBA"/>
    <s v="Saguing"/>
    <n v="155"/>
    <n v="195"/>
    <s v="NO TECHNICAL ASSISTANCE CONDUCTED"/>
    <m/>
    <m/>
    <x v="0"/>
    <s v="Aser A. Inocencio, Jr."/>
    <s v="Jay Pee S. Ordoñez"/>
    <s v="Zosimo P. Suyat"/>
    <m/>
    <m/>
    <m/>
    <m/>
    <m/>
    <s v=""/>
    <s v=""/>
    <s v=""/>
    <s v=""/>
    <m/>
    <m/>
    <m/>
    <m/>
    <m/>
  </r>
  <r>
    <x v="3"/>
    <x v="75"/>
    <s v="MBA"/>
    <s v="Sampaloc"/>
    <n v="322"/>
    <n v="327"/>
    <s v="NO TECHNICAL ASSISTANCE CONDUCTED"/>
    <m/>
    <m/>
    <x v="0"/>
    <s v="Aser A. Inocencio, Jr."/>
    <s v="Jay Pee S. Ordoñez"/>
    <s v="Zosimo P. Suyat"/>
    <m/>
    <m/>
    <m/>
    <m/>
    <m/>
    <s v=""/>
    <s v=""/>
    <s v=""/>
    <s v=""/>
    <m/>
    <m/>
    <m/>
    <m/>
    <m/>
  </r>
  <r>
    <x v="3"/>
    <x v="75"/>
    <s v="MBA"/>
    <s v="Santa Catalina"/>
    <n v="622"/>
    <n v="698"/>
    <s v="NO TECHNICAL ASSISTANCE CONDUCTED"/>
    <m/>
    <m/>
    <x v="0"/>
    <s v="Aser A. Inocencio, Jr."/>
    <s v="Jay Pee S. Ordoñez"/>
    <s v="Zosimo P. Suyat"/>
    <m/>
    <m/>
    <m/>
    <m/>
    <m/>
    <s v=""/>
    <s v=""/>
    <s v=""/>
    <s v=""/>
    <m/>
    <m/>
    <m/>
    <m/>
    <m/>
  </r>
  <r>
    <x v="3"/>
    <x v="75"/>
    <s v="MBA"/>
    <s v="Santo Domingo"/>
    <n v="665"/>
    <n v="682"/>
    <s v="NO TECHNICAL ASSISTANCE CONDUCTED"/>
    <m/>
    <m/>
    <x v="0"/>
    <s v="Aser A. Inocencio, Jr."/>
    <s v="Jay Pee S. Ordoñez"/>
    <s v="Zosimo P. Suyat"/>
    <m/>
    <m/>
    <m/>
    <m/>
    <m/>
    <s v=""/>
    <s v=""/>
    <s v=""/>
    <s v=""/>
    <m/>
    <m/>
    <m/>
    <m/>
    <m/>
  </r>
  <r>
    <x v="3"/>
    <x v="75"/>
    <s v="MBA"/>
    <s v="Saringaya"/>
    <n v="850"/>
    <n v="910"/>
    <s v="NO TECHNICAL ASSISTANCE CONDUCTED"/>
    <m/>
    <m/>
    <x v="0"/>
    <s v="Aser A. Inocencio, Jr."/>
    <s v="Jay Pee S. Ordoñez"/>
    <s v="Zosimo P. Suyat"/>
    <m/>
    <m/>
    <m/>
    <m/>
    <m/>
    <s v=""/>
    <s v=""/>
    <s v=""/>
    <s v=""/>
    <m/>
    <m/>
    <m/>
    <m/>
    <m/>
  </r>
  <r>
    <x v="3"/>
    <x v="75"/>
    <s v="MBA"/>
    <s v="Saverona"/>
    <n v="1552"/>
    <n v="1762"/>
    <s v="NO TECHNICAL ASSISTANCE CONDUCTED"/>
    <m/>
    <m/>
    <x v="0"/>
    <s v="Aser A. Inocencio, Jr."/>
    <s v="Jay Pee S. Ordoñez"/>
    <s v="Zosimo P. Suyat"/>
    <m/>
    <m/>
    <m/>
    <m/>
    <m/>
    <s v=""/>
    <s v=""/>
    <s v=""/>
    <s v=""/>
    <m/>
    <m/>
    <m/>
    <m/>
    <m/>
  </r>
  <r>
    <x v="3"/>
    <x v="75"/>
    <s v="MBA"/>
    <s v="Tandoc"/>
    <n v="945"/>
    <n v="898"/>
    <s v="NO TECHNICAL ASSISTANCE CONDUCTED"/>
    <m/>
    <m/>
    <x v="0"/>
    <s v="Aser A. Inocencio, Jr."/>
    <s v="Jay Pee S. Ordoñez"/>
    <s v="Zosimo P. Suyat"/>
    <m/>
    <m/>
    <m/>
    <m/>
    <m/>
    <s v=""/>
    <s v=""/>
    <s v=""/>
    <s v=""/>
    <m/>
    <m/>
    <m/>
    <m/>
    <m/>
  </r>
  <r>
    <x v="3"/>
    <x v="75"/>
    <s v="MBA"/>
    <s v="Tibag"/>
    <n v="625"/>
    <n v="729"/>
    <s v="NO TECHNICAL ASSISTANCE CONDUCTED"/>
    <m/>
    <m/>
    <x v="0"/>
    <s v="Aser A. Inocencio, Jr."/>
    <s v="Jay Pee S. Ordoñez"/>
    <s v="Zosimo P. Suyat"/>
    <m/>
    <m/>
    <m/>
    <m/>
    <m/>
    <s v=""/>
    <s v=""/>
    <s v=""/>
    <s v=""/>
    <m/>
    <m/>
    <m/>
    <m/>
    <m/>
  </r>
  <r>
    <x v="3"/>
    <x v="75"/>
    <s v="MBA"/>
    <s v="Villa Boado"/>
    <n v="1053"/>
    <n v="1192"/>
    <s v="CONDUCTED TECHNICAL ASSISTANCE"/>
    <n v="2025"/>
    <d v="2025-05-21T00:00:00"/>
    <x v="10"/>
    <s v="Aser A. Inocencio, Jr."/>
    <s v="Jay Pee S. Ordoñez"/>
    <s v="Zosimo P. Suyat"/>
    <s v="R3-2025-017546"/>
    <d v="2025-05-25T00:00:00"/>
    <d v="2025-05-26T00:00:00"/>
    <d v="2025-05-27T00:00:00"/>
    <d v="2025-05-28T00:00:00"/>
    <n v="2"/>
    <n v="1"/>
    <n v="1"/>
    <n v="1"/>
    <s v="Received by Planning"/>
    <s v="MRS"/>
    <s v="OPERATIONAL"/>
    <s v="Technical Assistance"/>
    <m/>
  </r>
  <r>
    <x v="3"/>
    <x v="75"/>
    <s v="MBA"/>
    <s v="Villa Rosario"/>
    <n v="445"/>
    <n v="458"/>
    <s v="NO TECHNICAL ASSISTANCE CONDUCTED"/>
    <m/>
    <m/>
    <x v="0"/>
    <s v="Aser A. Inocencio, Jr."/>
    <s v="Jay Pee S. Ordoñez"/>
    <s v="Zosimo P. Suyat"/>
    <m/>
    <m/>
    <m/>
    <m/>
    <m/>
    <s v=""/>
    <s v=""/>
    <s v=""/>
    <s v=""/>
    <m/>
    <m/>
    <m/>
    <m/>
    <m/>
  </r>
  <r>
    <x v="3"/>
    <x v="76"/>
    <s v="MBA"/>
    <s v="Batitang"/>
    <n v="3792"/>
    <n v="4241"/>
    <s v="NO TECHNICAL ASSISTANCE CONDUCTED"/>
    <m/>
    <m/>
    <x v="0"/>
    <s v="Gem C. Vicencio"/>
    <s v="Jay Pee S. Ordoñez"/>
    <s v="Zosimo P. Suyat"/>
    <m/>
    <m/>
    <m/>
    <m/>
    <m/>
    <s v=""/>
    <s v=""/>
    <s v=""/>
    <s v=""/>
    <m/>
    <m/>
    <m/>
    <m/>
    <m/>
  </r>
  <r>
    <x v="3"/>
    <x v="76"/>
    <s v="MBA"/>
    <s v="Carmen"/>
    <n v="3405"/>
    <n v="3623"/>
    <s v="CONDUCTED TECHNICAL ASSISTANCE"/>
    <n v="2025"/>
    <d v="2025-02-11T00:00:00"/>
    <x v="3"/>
    <s v="Gem C. Vicencio"/>
    <s v="Jay Pee S. Ordoñez"/>
    <s v="Zosimo P. Suyat"/>
    <s v="R3-2025-004958"/>
    <d v="2025-02-11T00:00:00"/>
    <d v="2025-02-14T00:00:00"/>
    <d v="2025-02-14T00:00:00"/>
    <d v="2025-02-17T00:00:00"/>
    <n v="1"/>
    <n v="3"/>
    <n v="1"/>
    <n v="1"/>
    <s v="Received by Planning"/>
    <s v="MRS"/>
    <s v="OPERATIONAL"/>
    <s v="Technical Assistance"/>
    <m/>
  </r>
  <r>
    <x v="3"/>
    <x v="76"/>
    <s v="MBA"/>
    <s v="Concepcion"/>
    <n v="5534"/>
    <n v="5965"/>
    <s v="NO TECHNICAL ASSISTANCE CONDUCTED"/>
    <m/>
    <m/>
    <x v="0"/>
    <s v="Gem C. Vicencio"/>
    <s v="Jay Pee S. Ordoñez"/>
    <s v="Zosimo P. Suyat"/>
    <m/>
    <m/>
    <m/>
    <m/>
    <m/>
    <s v=""/>
    <s v=""/>
    <s v=""/>
    <s v=""/>
    <m/>
    <m/>
    <m/>
    <m/>
    <m/>
  </r>
  <r>
    <x v="3"/>
    <x v="76"/>
    <s v="MBA"/>
    <s v="Del Pilar"/>
    <n v="3528"/>
    <n v="3746"/>
    <s v="NO TECHNICAL ASSISTANCE CONDUCTED"/>
    <m/>
    <m/>
    <x v="0"/>
    <s v="Gem C. Vicencio"/>
    <s v="Jay Pee S. Ordoñez"/>
    <s v="Zosimo P. Suyat"/>
    <m/>
    <m/>
    <m/>
    <m/>
    <m/>
    <s v=""/>
    <s v=""/>
    <s v=""/>
    <s v=""/>
    <m/>
    <m/>
    <m/>
    <m/>
    <m/>
  </r>
  <r>
    <x v="3"/>
    <x v="76"/>
    <s v="MBA"/>
    <s v="General Luna"/>
    <n v="2285"/>
    <n v="2424"/>
    <s v="CONDUCTED TECHNICAL ASSISTANCE"/>
    <n v="2025"/>
    <d v="2025-02-11T00:00:00"/>
    <x v="3"/>
    <s v="Gem C. Vicencio"/>
    <s v="Jay Pee S. Ordoñez"/>
    <s v="Zosimo P. Suyat"/>
    <s v="R3-2025-004959"/>
    <d v="2025-02-11T00:00:00"/>
    <d v="2025-02-14T00:00:00"/>
    <d v="2025-02-14T00:00:00"/>
    <d v="2025-02-17T00:00:00"/>
    <n v="1"/>
    <n v="3"/>
    <n v="1"/>
    <n v="1"/>
    <s v="Received by Planning"/>
    <s v="MRS"/>
    <s v="NON-OPERATIONAL"/>
    <s v="Technical Assistance"/>
    <m/>
  </r>
  <r>
    <x v="3"/>
    <x v="76"/>
    <s v="MBA"/>
    <s v="H. Romero"/>
    <n v="757"/>
    <n v="860"/>
    <s v="NO TECHNICAL ASSISTANCE CONDUCTED"/>
    <m/>
    <m/>
    <x v="0"/>
    <s v="Gem C. Vicencio"/>
    <s v="Jay Pee S. Ordoñez"/>
    <s v="Zosimo P. Suyat"/>
    <m/>
    <m/>
    <m/>
    <m/>
    <m/>
    <s v=""/>
    <s v=""/>
    <s v=""/>
    <s v=""/>
    <m/>
    <m/>
    <m/>
    <m/>
    <m/>
  </r>
  <r>
    <x v="3"/>
    <x v="76"/>
    <s v="MBA"/>
    <s v="Macarse"/>
    <n v="2884"/>
    <n v="3211"/>
    <s v="NO TECHNICAL ASSISTANCE CONDUCTED"/>
    <m/>
    <m/>
    <x v="0"/>
    <s v="Gem C. Vicencio"/>
    <s v="Jay Pee S. Ordoñez"/>
    <s v="Zosimo P. Suyat"/>
    <m/>
    <m/>
    <m/>
    <m/>
    <m/>
    <s v=""/>
    <s v=""/>
    <s v=""/>
    <s v=""/>
    <m/>
    <m/>
    <m/>
    <m/>
    <m/>
  </r>
  <r>
    <x v="3"/>
    <x v="76"/>
    <s v="MBA"/>
    <s v="Manaul"/>
    <n v="1271"/>
    <n v="1375"/>
    <s v="NO TECHNICAL ASSISTANCE CONDUCTED"/>
    <m/>
    <m/>
    <x v="0"/>
    <s v="Gem C. Vicencio"/>
    <s v="Jay Pee S. Ordoñez"/>
    <s v="Zosimo P. Suyat"/>
    <m/>
    <m/>
    <m/>
    <m/>
    <m/>
    <s v=""/>
    <s v=""/>
    <s v=""/>
    <s v=""/>
    <m/>
    <m/>
    <m/>
    <m/>
    <m/>
  </r>
  <r>
    <x v="3"/>
    <x v="76"/>
    <s v="MBA"/>
    <s v="Mayamot"/>
    <n v="1357"/>
    <n v="1595"/>
    <s v="NO TECHNICAL ASSISTANCE CONDUCTED"/>
    <m/>
    <m/>
    <x v="0"/>
    <s v="Gem C. Vicencio"/>
    <s v="Jay Pee S. Ordoñez"/>
    <s v="Zosimo P. Suyat"/>
    <m/>
    <m/>
    <m/>
    <m/>
    <m/>
    <s v=""/>
    <s v=""/>
    <s v=""/>
    <s v=""/>
    <m/>
    <m/>
    <m/>
    <m/>
    <m/>
  </r>
  <r>
    <x v="3"/>
    <x v="76"/>
    <s v="MBA"/>
    <s v="Pantoc"/>
    <n v="1317"/>
    <n v="1329"/>
    <s v="NO TECHNICAL ASSISTANCE CONDUCTED"/>
    <m/>
    <m/>
    <x v="0"/>
    <s v="Gem C. Vicencio"/>
    <s v="Jay Pee S. Ordoñez"/>
    <s v="Zosimo P. Suyat"/>
    <m/>
    <m/>
    <m/>
    <m/>
    <m/>
    <s v=""/>
    <s v=""/>
    <s v=""/>
    <s v=""/>
    <m/>
    <m/>
    <m/>
    <m/>
    <m/>
  </r>
  <r>
    <x v="3"/>
    <x v="76"/>
    <s v="MBA"/>
    <s v="San Isidro"/>
    <n v="5944"/>
    <n v="6130"/>
    <s v="NO TECHNICAL ASSISTANCE CONDUCTED"/>
    <m/>
    <m/>
    <x v="0"/>
    <s v="Gem C. Vicencio"/>
    <s v="Jay Pee S. Ordoñez"/>
    <s v="Zosimo P. Suyat"/>
    <m/>
    <m/>
    <m/>
    <m/>
    <m/>
    <s v=""/>
    <s v=""/>
    <s v=""/>
    <s v=""/>
    <m/>
    <m/>
    <m/>
    <m/>
    <m/>
  </r>
  <r>
    <x v="3"/>
    <x v="76"/>
    <s v="MBA"/>
    <s v="San Rafael"/>
    <n v="1340"/>
    <n v="1366"/>
    <s v="NO TECHNICAL ASSISTANCE CONDUCTED"/>
    <m/>
    <m/>
    <x v="0"/>
    <s v="Gem C. Vicencio"/>
    <s v="Jay Pee S. Ordoñez"/>
    <s v="Zosimo P. Suyat"/>
    <m/>
    <m/>
    <m/>
    <m/>
    <m/>
    <s v=""/>
    <s v=""/>
    <s v=""/>
    <s v=""/>
    <m/>
    <m/>
    <m/>
    <m/>
    <m/>
  </r>
  <r>
    <x v="3"/>
    <x v="76"/>
    <s v="MBA"/>
    <s v="San Vicente (Pob.)"/>
    <n v="1544"/>
    <n v="1562"/>
    <s v="NO TECHNICAL ASSISTANCE CONDUCTED"/>
    <m/>
    <m/>
    <x v="0"/>
    <s v="Gem C. Vicencio"/>
    <s v="Jay Pee S. Ordoñez"/>
    <s v="Zosimo P. Suyat"/>
    <m/>
    <m/>
    <m/>
    <m/>
    <m/>
    <s v=""/>
    <s v=""/>
    <s v=""/>
    <s v=""/>
    <m/>
    <m/>
    <m/>
    <m/>
    <m/>
  </r>
  <r>
    <x v="3"/>
    <x v="76"/>
    <s v="MBA"/>
    <s v="Santa Cruz"/>
    <n v="1732"/>
    <n v="1849"/>
    <s v="NO TECHNICAL ASSISTANCE CONDUCTED"/>
    <m/>
    <m/>
    <x v="0"/>
    <s v="Gem C. Vicencio"/>
    <s v="Jay Pee S. Ordoñez"/>
    <s v="Zosimo P. Suyat"/>
    <m/>
    <m/>
    <m/>
    <m/>
    <m/>
    <s v=""/>
    <s v=""/>
    <s v=""/>
    <s v=""/>
    <m/>
    <m/>
    <m/>
    <m/>
    <m/>
  </r>
  <r>
    <x v="3"/>
    <x v="76"/>
    <s v="MBA"/>
    <s v="Santa Lucia Old"/>
    <n v="1759"/>
    <n v="1999"/>
    <s v="NO TECHNICAL ASSISTANCE CONDUCTED"/>
    <m/>
    <m/>
    <x v="0"/>
    <s v="Gem C. Vicencio"/>
    <s v="Jay Pee S. Ordoñez"/>
    <s v="Zosimo P. Suyat"/>
    <m/>
    <m/>
    <m/>
    <m/>
    <m/>
    <s v=""/>
    <s v=""/>
    <s v=""/>
    <s v=""/>
    <m/>
    <m/>
    <m/>
    <m/>
    <m/>
  </r>
  <r>
    <x v="3"/>
    <x v="76"/>
    <s v="MBA"/>
    <s v="Santa Lucia Young"/>
    <n v="3257"/>
    <n v="3784"/>
    <s v="CONDUCTED TECHNICAL ASSISTANCE"/>
    <n v="2025"/>
    <d v="2025-05-20T00:00:00"/>
    <x v="10"/>
    <s v="Gem C. Vicencio"/>
    <s v="Jay Pee S. Ordoñez"/>
    <s v="Zosimo P. Suyat"/>
    <s v="R3-2025-017388"/>
    <d v="2025-05-23T00:00:00"/>
    <d v="2025-05-26T00:00:00"/>
    <d v="2025-05-27T00:00:00"/>
    <d v="2025-05-28T00:00:00"/>
    <n v="3"/>
    <n v="1"/>
    <n v="1"/>
    <n v="1"/>
    <s v="Received by Planning"/>
    <s v="MRF"/>
    <s v="OPERATIONAL"/>
    <s v="Technical Assistance"/>
    <m/>
  </r>
  <r>
    <x v="3"/>
    <x v="76"/>
    <s v="MBA"/>
    <s v="Santo Rosario Old"/>
    <n v="3228"/>
    <n v="3608"/>
    <s v="NO TECHNICAL ASSISTANCE CONDUCTED"/>
    <m/>
    <m/>
    <x v="0"/>
    <s v="Gem C. Vicencio"/>
    <s v="Jay Pee S. Ordoñez"/>
    <s v="Zosimo P. Suyat"/>
    <m/>
    <m/>
    <m/>
    <m/>
    <m/>
    <s v=""/>
    <s v=""/>
    <s v=""/>
    <s v=""/>
    <m/>
    <m/>
    <m/>
    <m/>
    <m/>
  </r>
  <r>
    <x v="3"/>
    <x v="76"/>
    <s v="MBA"/>
    <s v="Santo Rosario Young"/>
    <n v="3914"/>
    <n v="3884"/>
    <s v="NO TECHNICAL ASSISTANCE CONDUCTED"/>
    <m/>
    <m/>
    <x v="0"/>
    <s v="Gem C. Vicencio"/>
    <s v="Jay Pee S. Ordoñez"/>
    <s v="Zosimo P. Suyat"/>
    <m/>
    <m/>
    <m/>
    <m/>
    <m/>
    <s v=""/>
    <s v=""/>
    <s v=""/>
    <s v=""/>
    <m/>
    <m/>
    <m/>
    <m/>
    <m/>
  </r>
  <r>
    <x v="3"/>
    <x v="76"/>
    <s v="MBA"/>
    <s v="Valeriana"/>
    <n v="539"/>
    <n v="539"/>
    <s v="NO TECHNICAL ASSISTANCE CONDUCTED"/>
    <m/>
    <m/>
    <x v="0"/>
    <s v="Gem C. Vicencio"/>
    <s v="Jay Pee S. Ordoñez"/>
    <s v="Zosimo P. Suyat"/>
    <m/>
    <m/>
    <m/>
    <m/>
    <m/>
    <s v=""/>
    <s v=""/>
    <s v=""/>
    <s v=""/>
    <m/>
    <m/>
    <m/>
    <m/>
    <m/>
  </r>
  <r>
    <x v="4"/>
    <x v="77"/>
    <s v="MBA"/>
    <s v="Agapito del Rosario"/>
    <n v="3230"/>
    <n v="2556"/>
    <s v="NO TECHNICAL ASSISTANCE CONDUCTED"/>
    <m/>
    <m/>
    <x v="0"/>
    <s v="Elyza A. Evilla"/>
    <m/>
    <s v="Yves Yshmael M. Balagtas"/>
    <m/>
    <m/>
    <m/>
    <m/>
    <m/>
    <s v=""/>
    <s v=""/>
    <s v=""/>
    <s v=""/>
    <m/>
    <m/>
    <m/>
    <m/>
    <m/>
  </r>
  <r>
    <x v="4"/>
    <x v="77"/>
    <s v="MBA"/>
    <s v="Amsic"/>
    <n v="14379"/>
    <n v="16953"/>
    <s v="NO TECHNICAL ASSISTANCE CONDUCTED"/>
    <m/>
    <m/>
    <x v="0"/>
    <s v="Elyza A. Evilla"/>
    <m/>
    <s v="Yves Yshmael M. Balagtas"/>
    <m/>
    <m/>
    <m/>
    <m/>
    <m/>
    <s v=""/>
    <s v=""/>
    <s v=""/>
    <s v=""/>
    <m/>
    <m/>
    <m/>
    <m/>
    <m/>
  </r>
  <r>
    <x v="4"/>
    <x v="77"/>
    <s v="MBA"/>
    <s v="Anunas"/>
    <n v="20911"/>
    <n v="26063"/>
    <s v="CONDUCTED TECHNICAL ASSISTANCE"/>
    <n v="2025"/>
    <d v="2025-06-04T00:00:00"/>
    <x v="10"/>
    <s v="Elyza A. Evilla"/>
    <s v="Jan Emerson C. Gonzales"/>
    <s v="Yves Yshmael M. Balagtas"/>
    <s v="R3-2025-018804"/>
    <d v="2025-06-05T00:00:00"/>
    <d v="2025-06-11T00:00:00"/>
    <d v="2025-06-18T00:00:00"/>
    <d v="2025-06-18T00:00:00"/>
    <n v="1"/>
    <n v="4"/>
    <n v="5"/>
    <n v="1"/>
    <s v="Received by Planning"/>
    <s v="MRS"/>
    <s v="NON-OPERATIONAL"/>
    <s v="Technical Assistance"/>
    <m/>
  </r>
  <r>
    <x v="4"/>
    <x v="77"/>
    <s v="MBA"/>
    <s v="Balibago"/>
    <n v="40087"/>
    <n v="42274"/>
    <s v="NO TECHNICAL ASSISTANCE CONDUCTED"/>
    <m/>
    <m/>
    <x v="0"/>
    <s v="Elyza A. Evilla"/>
    <m/>
    <s v="Yves Yshmael M. Balagtas"/>
    <m/>
    <m/>
    <m/>
    <m/>
    <m/>
    <s v=""/>
    <s v=""/>
    <s v=""/>
    <s v=""/>
    <m/>
    <m/>
    <m/>
    <m/>
    <m/>
  </r>
  <r>
    <x v="4"/>
    <x v="77"/>
    <s v="MBA"/>
    <s v="Capaya"/>
    <n v="8870"/>
    <n v="12602"/>
    <s v="NO TECHNICAL ASSISTANCE CONDUCTED"/>
    <m/>
    <m/>
    <x v="0"/>
    <s v="Elyza A. Evilla"/>
    <m/>
    <s v="Yves Yshmael M. Balagtas"/>
    <m/>
    <m/>
    <m/>
    <m/>
    <m/>
    <s v=""/>
    <s v=""/>
    <s v=""/>
    <s v=""/>
    <m/>
    <m/>
    <m/>
    <m/>
    <m/>
  </r>
  <r>
    <x v="4"/>
    <x v="77"/>
    <s v="MBA"/>
    <s v="Claro M. Recto"/>
    <n v="3981"/>
    <n v="5149"/>
    <s v="NO TECHNICAL ASSISTANCE CONDUCTED"/>
    <m/>
    <m/>
    <x v="0"/>
    <s v="Elyza A. Evilla"/>
    <m/>
    <s v="Yves Yshmael M. Balagtas"/>
    <m/>
    <m/>
    <m/>
    <m/>
    <m/>
    <s v=""/>
    <s v=""/>
    <s v=""/>
    <s v=""/>
    <m/>
    <m/>
    <m/>
    <m/>
    <m/>
  </r>
  <r>
    <x v="4"/>
    <x v="77"/>
    <s v="MBA"/>
    <s v="Cuayan"/>
    <n v="10363"/>
    <n v="15046"/>
    <s v="CONDUCTED TECHNICAL ASSISTANCE"/>
    <n v="2024"/>
    <d v="2024-09-11T00:00:00"/>
    <x v="0"/>
    <s v="Elyza A. Evilla"/>
    <m/>
    <s v="Yves Yshmael M. Balagtas"/>
    <m/>
    <m/>
    <m/>
    <m/>
    <m/>
    <s v=""/>
    <s v=""/>
    <s v=""/>
    <s v=""/>
    <m/>
    <s v="MRF"/>
    <s v="OPERATIONAL"/>
    <s v="Technical Assistance"/>
    <m/>
  </r>
  <r>
    <x v="4"/>
    <x v="77"/>
    <s v="MBA"/>
    <s v="Cutcut"/>
    <n v="27843"/>
    <n v="28296"/>
    <s v="CONDUCTED TECHNICAL ASSISTANCE"/>
    <n v="2025"/>
    <d v="2025-03-13T00:00:00"/>
    <x v="1"/>
    <s v="Elyza A. Evilla"/>
    <m/>
    <s v="Yves Yshmael M. Balagtas"/>
    <s v="R3-2025-008733"/>
    <d v="2025-03-13T00:00:00"/>
    <m/>
    <d v="2025-03-17T00:00:00"/>
    <d v="2025-03-18T00:00:00"/>
    <n v="1"/>
    <s v=""/>
    <n v="2"/>
    <n v="1"/>
    <s v="Received by Planning"/>
    <s v="MRS"/>
    <s v="OPERATIONAL"/>
    <s v="Technical Assistance"/>
    <m/>
  </r>
  <r>
    <x v="4"/>
    <x v="77"/>
    <s v="MBA"/>
    <s v="Cutud"/>
    <n v="23177"/>
    <n v="24821"/>
    <s v="NO TECHNICAL ASSISTANCE CONDUCTED"/>
    <m/>
    <m/>
    <x v="0"/>
    <s v="Elyza A. Evilla"/>
    <m/>
    <s v="Yves Yshmael M. Balagtas"/>
    <m/>
    <m/>
    <m/>
    <m/>
    <m/>
    <s v=""/>
    <s v=""/>
    <s v=""/>
    <s v=""/>
    <m/>
    <m/>
    <m/>
    <m/>
    <m/>
  </r>
  <r>
    <x v="4"/>
    <x v="77"/>
    <s v="MBA"/>
    <s v="Lourdes North West"/>
    <n v="9896"/>
    <n v="10054"/>
    <s v="NO TECHNICAL ASSISTANCE CONDUCTED"/>
    <m/>
    <m/>
    <x v="0"/>
    <s v="Elyza A. Evilla"/>
    <m/>
    <s v="Yves Yshmael M. Balagtas"/>
    <m/>
    <m/>
    <m/>
    <m/>
    <m/>
    <s v=""/>
    <s v=""/>
    <s v=""/>
    <s v=""/>
    <m/>
    <m/>
    <m/>
    <m/>
    <m/>
  </r>
  <r>
    <x v="4"/>
    <x v="77"/>
    <s v="MBA"/>
    <s v="Lourdes Sur"/>
    <n v="4797"/>
    <n v="4879"/>
    <s v="NO TECHNICAL ASSISTANCE CONDUCTED"/>
    <m/>
    <m/>
    <x v="0"/>
    <s v="Elyza A. Evilla"/>
    <m/>
    <s v="Yves Yshmael M. Balagtas"/>
    <m/>
    <m/>
    <m/>
    <m/>
    <m/>
    <s v=""/>
    <s v=""/>
    <s v=""/>
    <s v=""/>
    <m/>
    <m/>
    <m/>
    <m/>
    <m/>
  </r>
  <r>
    <x v="4"/>
    <x v="77"/>
    <s v="MBA"/>
    <s v="Lourdes Sur East"/>
    <n v="4741"/>
    <n v="3639"/>
    <s v="CONDUCTED TECHNICAL ASSISTANCE"/>
    <n v="2025"/>
    <d v="2025-08-13T00:00:00"/>
    <x v="9"/>
    <s v="Elyza A. Evilla"/>
    <s v="Jan Emerson C. Gonzales"/>
    <s v="Yves Yshmael M. Balagtas"/>
    <s v="R3-2025-027287"/>
    <d v="2025-08-14T00:00:00"/>
    <d v="2025-08-15T00:00:00"/>
    <d v="2025-08-19T00:00:00"/>
    <d v="2025-08-19T00:00:00"/>
    <n v="1"/>
    <n v="1"/>
    <n v="2"/>
    <n v="1"/>
    <s v="Received by Planning"/>
    <s v="MRS"/>
    <s v="OPERATIONAL"/>
    <s v="Technical Assistance"/>
    <m/>
  </r>
  <r>
    <x v="4"/>
    <x v="77"/>
    <s v="MBA"/>
    <s v="Malabanias"/>
    <n v="33174"/>
    <n v="29841"/>
    <s v="CONDUCTED TECHNICAL ASSISTANCE"/>
    <n v="2024"/>
    <d v="2024-10-10T00:00:00"/>
    <x v="0"/>
    <s v="Elyza A. Evilla"/>
    <m/>
    <s v="Yves Yshmael M. Balagtas"/>
    <m/>
    <m/>
    <m/>
    <m/>
    <m/>
    <s v=""/>
    <s v=""/>
    <s v=""/>
    <s v=""/>
    <m/>
    <s v="MRF"/>
    <s v="OPERATIONAL"/>
    <s v="Technical Assistance"/>
    <m/>
  </r>
  <r>
    <x v="4"/>
    <x v="77"/>
    <s v="MBA"/>
    <s v="Margot"/>
    <n v="5239"/>
    <n v="12229"/>
    <s v="CONDUCTED TECHNICAL ASSISTANCE"/>
    <n v="2024"/>
    <d v="2024-09-11T00:00:00"/>
    <x v="0"/>
    <s v="Elyza A. Evilla"/>
    <m/>
    <s v="Yves Yshmael M. Balagtas"/>
    <m/>
    <m/>
    <m/>
    <m/>
    <m/>
    <s v=""/>
    <s v=""/>
    <s v=""/>
    <s v=""/>
    <m/>
    <s v="MRF"/>
    <s v="OPERATIONAL"/>
    <s v="Technical Assistance"/>
    <m/>
  </r>
  <r>
    <x v="4"/>
    <x v="77"/>
    <s v="MBA"/>
    <s v="Mining"/>
    <n v="3186"/>
    <n v="5265"/>
    <s v="CONDUCTED TECHNICAL ASSISTANCE"/>
    <n v="2024"/>
    <d v="2024-08-02T00:00:00"/>
    <x v="0"/>
    <s v="Elyza A. Evilla"/>
    <m/>
    <s v="Yves Yshmael M. Balagtas"/>
    <m/>
    <m/>
    <m/>
    <m/>
    <m/>
    <s v=""/>
    <s v=""/>
    <s v=""/>
    <s v=""/>
    <m/>
    <s v="MRF"/>
    <s v="OPERATIONAL"/>
    <s v="Technical Assistance"/>
    <m/>
  </r>
  <r>
    <x v="4"/>
    <x v="77"/>
    <s v="MBA"/>
    <s v="Ninoy Aquino"/>
    <n v="11658"/>
    <n v="11337"/>
    <s v="CONDUCTED TECHNICAL ASSISTANCE"/>
    <n v="2024"/>
    <d v="2024-08-01T00:00:00"/>
    <x v="0"/>
    <s v="Elyza A. Evilla"/>
    <m/>
    <s v="Yves Yshmael M. Balagtas"/>
    <m/>
    <m/>
    <m/>
    <m/>
    <m/>
    <s v=""/>
    <s v=""/>
    <s v=""/>
    <s v=""/>
    <m/>
    <s v="MRF"/>
    <s v="OPERATIONAL"/>
    <s v="Technical Assistance"/>
    <m/>
  </r>
  <r>
    <x v="4"/>
    <x v="77"/>
    <s v="MBA"/>
    <s v="Pampang"/>
    <n v="20419"/>
    <n v="24653"/>
    <s v="CONDUCTED TECHNICAL ASSISTANCE"/>
    <n v="2024"/>
    <d v="2024-09-11T00:00:00"/>
    <x v="0"/>
    <s v="Elyza A. Evilla"/>
    <m/>
    <s v="Yves Yshmael M. Balagtas"/>
    <m/>
    <m/>
    <m/>
    <m/>
    <m/>
    <s v=""/>
    <s v=""/>
    <s v=""/>
    <s v=""/>
    <m/>
    <s v="MRF"/>
    <s v="OPERATIONAL"/>
    <s v="Technical Assistance"/>
    <m/>
  </r>
  <r>
    <x v="4"/>
    <x v="77"/>
    <s v="MBA"/>
    <s v="Pandan"/>
    <n v="20598"/>
    <n v="23928"/>
    <s v="CONDUCTED TECHNICAL ASSISTANCE"/>
    <n v="2024"/>
    <d v="2024-08-02T00:00:00"/>
    <x v="0"/>
    <s v="Elyza A. Evilla"/>
    <m/>
    <s v="Yves Yshmael M. Balagtas"/>
    <m/>
    <m/>
    <m/>
    <m/>
    <m/>
    <s v=""/>
    <s v=""/>
    <s v=""/>
    <s v=""/>
    <m/>
    <s v="MRF"/>
    <s v="OPERATIONAL"/>
    <s v="Technical Assistance"/>
    <m/>
  </r>
  <r>
    <x v="4"/>
    <x v="77"/>
    <s v="MBA"/>
    <s v="Pulung Cacutud"/>
    <n v="23891"/>
    <n v="25385"/>
    <s v="NO TECHNICAL ASSISTANCE CONDUCTED"/>
    <m/>
    <m/>
    <x v="0"/>
    <s v="Elyza A. Evilla"/>
    <m/>
    <s v="Yves Yshmael M. Balagtas"/>
    <m/>
    <m/>
    <m/>
    <m/>
    <m/>
    <s v=""/>
    <s v=""/>
    <s v=""/>
    <s v=""/>
    <m/>
    <m/>
    <m/>
    <m/>
    <m/>
  </r>
  <r>
    <x v="4"/>
    <x v="77"/>
    <s v="MBA"/>
    <s v="Pulung Maragul"/>
    <n v="18067"/>
    <n v="20675"/>
    <s v="NO TECHNICAL ASSISTANCE CONDUCTED"/>
    <m/>
    <m/>
    <x v="0"/>
    <s v="Elyza A. Evilla"/>
    <m/>
    <s v="Yves Yshmael M. Balagtas"/>
    <m/>
    <m/>
    <m/>
    <m/>
    <m/>
    <s v=""/>
    <s v=""/>
    <s v=""/>
    <s v=""/>
    <m/>
    <m/>
    <m/>
    <m/>
    <m/>
  </r>
  <r>
    <x v="4"/>
    <x v="77"/>
    <s v="MBA"/>
    <s v="Pulungbulu"/>
    <n v="12198"/>
    <n v="13025"/>
    <s v="CONDUCTED TECHNICAL ASSISTANCE"/>
    <n v="2025"/>
    <d v="2025-02-11T00:00:00"/>
    <x v="3"/>
    <s v="Elyza A. Evilla"/>
    <m/>
    <s v="Yves Yshmael M. Balagtas"/>
    <s v="R3-2025-005785"/>
    <d v="2025-02-17T00:00:00"/>
    <m/>
    <d v="2025-02-18T00:00:00"/>
    <d v="2025-02-18T00:00:00"/>
    <n v="4"/>
    <s v=""/>
    <n v="1"/>
    <n v="1"/>
    <s v="Received by Planning"/>
    <s v="MRF"/>
    <s v="OPERATIONAL"/>
    <s v="Technical Assistance"/>
    <m/>
  </r>
  <r>
    <x v="4"/>
    <x v="77"/>
    <s v="MBA"/>
    <s v="Salapungan"/>
    <n v="5443"/>
    <n v="5298"/>
    <s v="NO TECHNICAL ASSISTANCE CONDUCTED"/>
    <m/>
    <m/>
    <x v="0"/>
    <s v="Elyza A. Evilla"/>
    <m/>
    <s v="Yves Yshmael M. Balagtas"/>
    <m/>
    <m/>
    <m/>
    <m/>
    <m/>
    <s v=""/>
    <s v=""/>
    <s v=""/>
    <s v=""/>
    <m/>
    <m/>
    <m/>
    <m/>
    <m/>
  </r>
  <r>
    <x v="4"/>
    <x v="77"/>
    <s v="MBA"/>
    <s v="San Jose"/>
    <n v="5579"/>
    <n v="7187"/>
    <s v="CONDUCTED TECHNICAL ASSISTANCE"/>
    <n v="2025"/>
    <d v="2025-05-13T00:00:00"/>
    <x v="6"/>
    <s v="Elyza A. Evilla"/>
    <m/>
    <s v="Yves Yshmael M. Balagtas"/>
    <s v="R3-2025-016277"/>
    <d v="2025-05-15T00:00:00"/>
    <m/>
    <d v="2025-05-16T00:00:00"/>
    <d v="2025-05-16T00:00:00"/>
    <n v="2"/>
    <s v=""/>
    <n v="1"/>
    <n v="1"/>
    <s v="Received by Planning"/>
    <s v="MRS"/>
    <s v="OPERATIONAL"/>
    <s v="Technical Assistance"/>
    <m/>
  </r>
  <r>
    <x v="4"/>
    <x v="77"/>
    <s v="MBA"/>
    <s v="San Nicolas"/>
    <n v="3424"/>
    <n v="4811"/>
    <s v="CONDUCTED TECHNICAL ASSISTANCE"/>
    <n v="2024"/>
    <d v="2024-10-10T00:00:00"/>
    <x v="0"/>
    <s v="Elyza A. Evilla"/>
    <m/>
    <s v="Yves Yshmael M. Balagtas"/>
    <m/>
    <m/>
    <m/>
    <m/>
    <m/>
    <s v=""/>
    <s v=""/>
    <s v=""/>
    <s v=""/>
    <m/>
    <s v="MRF"/>
    <s v="OPERATIONAL"/>
    <s v="Technical Assistance"/>
    <m/>
  </r>
  <r>
    <x v="4"/>
    <x v="77"/>
    <s v="MBA"/>
    <s v="Santa Teresita"/>
    <n v="8402"/>
    <n v="9164"/>
    <s v="CONDUCTED TECHNICAL ASSISTANCE"/>
    <n v="2024"/>
    <d v="2024-10-10T00:00:00"/>
    <x v="0"/>
    <s v="Elyza A. Evilla"/>
    <m/>
    <s v="Yves Yshmael M. Balagtas"/>
    <m/>
    <m/>
    <m/>
    <m/>
    <m/>
    <s v=""/>
    <s v=""/>
    <s v=""/>
    <s v=""/>
    <m/>
    <s v="MRS"/>
    <s v="OPERATIONAL"/>
    <s v="Technical Assistance"/>
    <m/>
  </r>
  <r>
    <x v="4"/>
    <x v="77"/>
    <s v="MBA"/>
    <s v="Santa Trinidad"/>
    <n v="5036"/>
    <n v="6208"/>
    <s v="NO TECHNICAL ASSISTANCE CONDUCTED"/>
    <m/>
    <m/>
    <x v="0"/>
    <s v="Elyza A. Evilla"/>
    <m/>
    <s v="Yves Yshmael M. Balagtas"/>
    <m/>
    <m/>
    <m/>
    <m/>
    <m/>
    <s v=""/>
    <s v=""/>
    <s v=""/>
    <s v=""/>
    <m/>
    <m/>
    <m/>
    <m/>
    <m/>
  </r>
  <r>
    <x v="4"/>
    <x v="77"/>
    <s v="MBA"/>
    <s v="Santo Cristo"/>
    <n v="4222"/>
    <n v="4060"/>
    <s v="CONDUCTED TECHNICAL ASSISTANCE"/>
    <n v="2024"/>
    <d v="2024-09-11T00:00:00"/>
    <x v="0"/>
    <s v="Elyza A. Evilla"/>
    <m/>
    <s v="Yves Yshmael M. Balagtas"/>
    <m/>
    <m/>
    <m/>
    <m/>
    <m/>
    <s v=""/>
    <s v=""/>
    <s v=""/>
    <s v=""/>
    <m/>
    <s v="MRF"/>
    <s v="OPERATIONAL"/>
    <s v="Technical Assistance"/>
    <m/>
  </r>
  <r>
    <x v="4"/>
    <x v="77"/>
    <s v="MBA"/>
    <s v="Santo Domingo"/>
    <n v="17693"/>
    <n v="18672"/>
    <s v="CONDUCTED TECHNICAL ASSISTANCE"/>
    <n v="2025"/>
    <d v="2025-06-11T00:00:00"/>
    <x v="10"/>
    <s v="Elyza A. Evilla"/>
    <s v="Jan Emerson C. Gonzales"/>
    <s v="Yves Yshmael M. Balagtas"/>
    <s v="R3-2025-019664"/>
    <d v="2025-06-15T00:00:00"/>
    <d v="2025-06-18T00:00:00"/>
    <d v="2025-06-18T00:00:00"/>
    <d v="2025-06-18T00:00:00"/>
    <n v="2"/>
    <n v="2"/>
    <n v="1"/>
    <n v="1"/>
    <s v="Received by Planning"/>
    <s v="MRF"/>
    <s v="OPERATIONAL"/>
    <s v="Technical Assistance"/>
    <m/>
  </r>
  <r>
    <x v="4"/>
    <x v="77"/>
    <s v="MBA"/>
    <s v="Santo Rosario (Pob.)"/>
    <n v="4902"/>
    <n v="5835"/>
    <s v="NO TECHNICAL ASSISTANCE CONDUCTED"/>
    <m/>
    <m/>
    <x v="0"/>
    <s v="Elyza A. Evilla"/>
    <m/>
    <s v="Yves Yshmael M. Balagtas"/>
    <m/>
    <m/>
    <m/>
    <m/>
    <m/>
    <s v=""/>
    <s v=""/>
    <s v=""/>
    <s v=""/>
    <m/>
    <m/>
    <m/>
    <m/>
    <m/>
  </r>
  <r>
    <x v="4"/>
    <x v="77"/>
    <s v="MBA"/>
    <s v="Sapalibutad"/>
    <n v="12698"/>
    <n v="14280"/>
    <s v="CONDUCTED TECHNICAL ASSISTANCE"/>
    <n v="2024"/>
    <d v="2024-08-01T00:00:00"/>
    <x v="0"/>
    <s v="Elyza A. Evilla"/>
    <m/>
    <s v="Yves Yshmael M. Balagtas"/>
    <m/>
    <m/>
    <m/>
    <m/>
    <m/>
    <s v=""/>
    <s v=""/>
    <s v=""/>
    <s v=""/>
    <m/>
    <s v="MRF"/>
    <s v="NON-OPERATIONAL"/>
    <s v="Technical Assistance"/>
    <m/>
  </r>
  <r>
    <x v="4"/>
    <x v="77"/>
    <s v="MBA"/>
    <s v="Sapangbato"/>
    <n v="10965"/>
    <n v="13912"/>
    <s v="NO TECHNICAL ASSISTANCE CONDUCTED"/>
    <m/>
    <m/>
    <x v="0"/>
    <s v="Elyza A. Evilla"/>
    <m/>
    <s v="Yves Yshmael M. Balagtas"/>
    <m/>
    <m/>
    <m/>
    <m/>
    <m/>
    <s v=""/>
    <s v=""/>
    <s v=""/>
    <s v=""/>
    <m/>
    <m/>
    <m/>
    <m/>
    <m/>
  </r>
  <r>
    <x v="4"/>
    <x v="77"/>
    <s v="MBA"/>
    <s v="Tabun"/>
    <n v="10914"/>
    <n v="13656"/>
    <s v="NO TECHNICAL ASSISTANCE CONDUCTED"/>
    <m/>
    <m/>
    <x v="0"/>
    <s v="Elyza A. Evilla"/>
    <m/>
    <s v="Yves Yshmael M. Balagtas"/>
    <m/>
    <m/>
    <m/>
    <m/>
    <m/>
    <s v=""/>
    <s v=""/>
    <s v=""/>
    <s v=""/>
    <m/>
    <m/>
    <m/>
    <m/>
    <m/>
  </r>
  <r>
    <x v="4"/>
    <x v="77"/>
    <s v="MBA"/>
    <s v="Virgen Delos Remedios"/>
    <n v="1651"/>
    <n v="1175"/>
    <s v="NO TECHNICAL ASSISTANCE CONDUCTED"/>
    <m/>
    <m/>
    <x v="0"/>
    <s v="Elyza A. Evilla"/>
    <m/>
    <s v="Yves Yshmael M. Balagtas"/>
    <m/>
    <m/>
    <m/>
    <m/>
    <m/>
    <s v=""/>
    <s v=""/>
    <s v=""/>
    <s v=""/>
    <m/>
    <m/>
    <m/>
    <m/>
    <m/>
  </r>
  <r>
    <x v="4"/>
    <x v="78"/>
    <s v="MBA"/>
    <s v="San Vicente"/>
    <n v="22580"/>
    <n v="23686"/>
    <s v="CONDUCTED TECHNICAL ASSISTANCE"/>
    <n v="2025"/>
    <d v="2025-09-11T00:00:00"/>
    <x v="7"/>
    <s v="Glaiza S. Gaza"/>
    <m/>
    <s v="Yves Yshmael M. Balagtas"/>
    <s v="R3-2025-031348"/>
    <d v="2025-09-17T00:00:00"/>
    <m/>
    <d v="2025-09-17T00:00:00"/>
    <d v="2025-09-18T00:00:00"/>
    <n v="4"/>
    <s v=""/>
    <n v="1"/>
    <n v="1"/>
    <s v="Received by Planning"/>
    <s v="MRF"/>
    <s v="OPERATIONAL"/>
    <s v="Technical Assistance"/>
    <m/>
  </r>
  <r>
    <x v="4"/>
    <x v="78"/>
    <s v="MBA"/>
    <s v="Balucuc"/>
    <n v="10104"/>
    <n v="10867"/>
    <s v="CONDUCTED TECHNICAL ASSISTANCE"/>
    <n v="2025"/>
    <d v="2025-04-10T00:00:00"/>
    <x v="4"/>
    <s v="Glaiza S. Gaza"/>
    <m/>
    <s v="Yves Yshmael M. Balagtas"/>
    <s v="R3-2025-012812"/>
    <d v="2025-04-14T00:00:00"/>
    <m/>
    <d v="2025-04-15T00:00:00"/>
    <d v="2025-04-15T00:00:00"/>
    <n v="2"/>
    <s v=""/>
    <n v="1"/>
    <n v="1"/>
    <s v="Received by Planning"/>
    <s v="NO FACILITY"/>
    <s v="CATER BY LGU"/>
    <s v="Technical Assistance"/>
    <m/>
  </r>
  <r>
    <x v="4"/>
    <x v="78"/>
    <s v="MBA"/>
    <s v="Calantipe"/>
    <n v="3883"/>
    <n v="3998"/>
    <s v="CONDUCTED TECHNICAL ASSISTANCE"/>
    <n v="2025"/>
    <d v="2025-04-10T00:00:00"/>
    <x v="4"/>
    <s v="Glaiza S. Gaza"/>
    <m/>
    <s v="Yves Yshmael M. Balagtas"/>
    <s v="R3-2025-012810"/>
    <d v="2025-04-14T00:00:00"/>
    <m/>
    <d v="2025-04-15T00:00:00"/>
    <d v="2025-04-15T00:00:00"/>
    <n v="2"/>
    <s v=""/>
    <n v="1"/>
    <n v="1"/>
    <s v="Received by Planning"/>
    <s v="NO FACILITY"/>
    <s v="CATER BY LGU"/>
    <s v="Technical Assistance"/>
    <m/>
  </r>
  <r>
    <x v="4"/>
    <x v="78"/>
    <s v="MBA"/>
    <s v="Cansinala"/>
    <n v="7329"/>
    <n v="7856"/>
    <s v="CONDUCTED TECHNICAL ASSISTANCE"/>
    <n v="2025"/>
    <d v="2025-02-13T00:00:00"/>
    <x v="3"/>
    <s v="Glaiza S. Gaza"/>
    <m/>
    <s v="Yves Yshmael M. Balagtas"/>
    <s v="R3-2025-005865_x0009_"/>
    <d v="2025-02-13T00:00:00"/>
    <m/>
    <d v="2025-02-18T00:00:00"/>
    <d v="2025-02-19T00:00:00"/>
    <n v="1"/>
    <s v=""/>
    <n v="3"/>
    <n v="1"/>
    <s v="Received by Planning"/>
    <s v="MRS"/>
    <s v="OPERATIONAL"/>
    <s v="Technical Assistance"/>
    <m/>
  </r>
  <r>
    <x v="4"/>
    <x v="78"/>
    <s v="MBA"/>
    <s v="Capalangan"/>
    <n v="7121"/>
    <n v="7394"/>
    <s v="CONDUCTED TECHNICAL ASSISTANCE"/>
    <n v="2024"/>
    <d v="2024-11-08T00:00:00"/>
    <x v="0"/>
    <s v="Glaiza S. Gaza"/>
    <m/>
    <s v="Yves Yshmael M. Balagtas"/>
    <m/>
    <m/>
    <m/>
    <m/>
    <m/>
    <s v=""/>
    <s v=""/>
    <s v=""/>
    <s v=""/>
    <m/>
    <s v="MRS"/>
    <s v="CATER BY LGU"/>
    <s v="Technical Assistance"/>
    <m/>
  </r>
  <r>
    <x v="4"/>
    <x v="78"/>
    <s v="MBA"/>
    <s v="Colgante"/>
    <n v="7090"/>
    <n v="8307"/>
    <s v="CONDUCTED TECHNICAL ASSISTANCE"/>
    <n v="2025"/>
    <d v="2025-07-11T00:00:00"/>
    <x v="8"/>
    <s v="Glaiza S. Gaza"/>
    <s v="Jan Emerson C. Gonzales"/>
    <s v="Yves Yshmael M. Balagtas"/>
    <s v="R3-2025-023815"/>
    <d v="2025-07-16T00:00:00"/>
    <d v="2025-07-18T00:00:00"/>
    <d v="2025-07-18T00:00:00"/>
    <d v="2025-07-18T00:00:00"/>
    <n v="3"/>
    <n v="2"/>
    <n v="1"/>
    <n v="1"/>
    <s v="Received by Planning"/>
    <s v="NO FACILITY"/>
    <s v="CATER BY LGU"/>
    <s v="Technical Assistance"/>
    <m/>
  </r>
  <r>
    <x v="4"/>
    <x v="78"/>
    <s v="MBA"/>
    <s v="Paligui"/>
    <n v="2701"/>
    <n v="3925"/>
    <s v="CONDUCTED TECHNICAL ASSISTANCE"/>
    <n v="2025"/>
    <d v="2026-05-16T00:00:00"/>
    <x v="6"/>
    <s v="Glaiza S. Gaza"/>
    <m/>
    <s v="Yves Yshmael M. Balagtas"/>
    <s v="R3-2025-016437"/>
    <d v="2025-05-17T00:00:00"/>
    <m/>
    <d v="2025-05-19T00:00:00"/>
    <d v="2025-05-20T00:00:00"/>
    <n v="1"/>
    <s v=""/>
    <n v="1"/>
    <n v="1"/>
    <s v="Received by Planning"/>
    <s v="NO FACILITY"/>
    <s v="CATER BY LGU"/>
    <s v="Technical Assistance"/>
    <m/>
  </r>
  <r>
    <x v="4"/>
    <x v="78"/>
    <s v="MBA"/>
    <s v="Sampaloc"/>
    <n v="11891"/>
    <n v="13408"/>
    <s v="CONDUCTED TECHNICAL ASSISTANCE"/>
    <n v="2024"/>
    <d v="2024-07-11T00:00:00"/>
    <x v="8"/>
    <s v="Roger T. Encarnacion II"/>
    <m/>
    <s v="Yves Yshmael M. Balagtas"/>
    <m/>
    <m/>
    <m/>
    <m/>
    <m/>
    <s v=""/>
    <s v=""/>
    <s v=""/>
    <s v=""/>
    <m/>
    <s v="MRF"/>
    <s v="OPERATIONAL"/>
    <s v="Technical Assistance"/>
    <m/>
  </r>
  <r>
    <x v="4"/>
    <x v="78"/>
    <s v="MBA"/>
    <s v="San Juan (Pob.)"/>
    <n v="8932"/>
    <n v="8861"/>
    <s v="CONDUCTED TECHNICAL ASSISTANCE"/>
    <n v="2025"/>
    <d v="2025-07-17T00:00:00"/>
    <x v="8"/>
    <s v="Glaiza S. Gaza"/>
    <s v="Jan Emerson C. Gonzales"/>
    <s v="Yves Yshmael M. Balagtas"/>
    <s v="R3-2025-024186"/>
    <d v="2025-07-17T00:00:00"/>
    <d v="2025-07-18T00:00:00"/>
    <d v="2025-07-18T00:00:00"/>
    <d v="2025-07-18T00:00:00"/>
    <n v="1"/>
    <n v="1"/>
    <n v="1"/>
    <n v="1"/>
    <s v="Received by Planning"/>
    <s v="NO FACILITY"/>
    <s v="CATER BY LGU"/>
    <s v="Technical Assistance"/>
    <m/>
  </r>
  <r>
    <x v="4"/>
    <x v="78"/>
    <s v="MBA"/>
    <s v="Sucad"/>
    <n v="7246"/>
    <n v="7775"/>
    <s v="CONDUCTED TECHNICAL ASSISTANCE"/>
    <n v="2024"/>
    <d v="2024-11-08T00:00:00"/>
    <x v="0"/>
    <s v="Glaiza S. Gaza"/>
    <m/>
    <s v="Yves Yshmael M. Balagtas"/>
    <m/>
    <m/>
    <m/>
    <m/>
    <m/>
    <s v=""/>
    <s v=""/>
    <s v=""/>
    <s v=""/>
    <m/>
    <s v="MRS"/>
    <s v="CATER BY LGU"/>
    <s v="Technical Assistance"/>
    <m/>
  </r>
  <r>
    <x v="4"/>
    <x v="78"/>
    <s v="MBA"/>
    <s v="Sulipan"/>
    <n v="9269"/>
    <n v="11693"/>
    <s v="CONDUCTED TECHNICAL ASSISTANCE"/>
    <n v="2024"/>
    <d v="2024-11-08T00:00:00"/>
    <x v="0"/>
    <s v="Glaiza S. Gaza"/>
    <m/>
    <s v="Yves Yshmael M. Balagtas"/>
    <m/>
    <m/>
    <m/>
    <m/>
    <m/>
    <s v=""/>
    <s v=""/>
    <s v=""/>
    <s v=""/>
    <m/>
    <s v="MRS"/>
    <s v="CATER BY LGU"/>
    <s v="Technical Assistance"/>
    <m/>
  </r>
  <r>
    <x v="4"/>
    <x v="78"/>
    <s v="MBA"/>
    <s v="Tabuyuc"/>
    <n v="9819"/>
    <n v="9390"/>
    <s v="CONDUCTED TECHNICAL ASSISTANCE"/>
    <n v="2024"/>
    <d v="2024-10-15T00:00:00"/>
    <x v="0"/>
    <s v="Glaiza S. Gaza"/>
    <m/>
    <s v="Yves Yshmael M. Balagtas"/>
    <m/>
    <m/>
    <m/>
    <m/>
    <m/>
    <s v=""/>
    <s v=""/>
    <s v=""/>
    <s v=""/>
    <m/>
    <s v="MRS"/>
    <s v="CATER BY LGU"/>
    <s v="Technical Assistance"/>
    <m/>
  </r>
  <r>
    <x v="4"/>
    <x v="79"/>
    <s v="MBA"/>
    <s v="Arenas"/>
    <n v="4133"/>
    <n v="4429"/>
    <s v="NO TECHNICAL ASSISTANCE CONDUCTED"/>
    <m/>
    <m/>
    <x v="0"/>
    <s v="Roger T. Encarnacion II"/>
    <m/>
    <s v="Yves Yshmael M. Balagtas"/>
    <m/>
    <m/>
    <m/>
    <m/>
    <m/>
    <s v=""/>
    <s v=""/>
    <s v=""/>
    <s v=""/>
    <m/>
    <m/>
    <m/>
    <m/>
    <m/>
  </r>
  <r>
    <x v="4"/>
    <x v="79"/>
    <s v="MBA"/>
    <s v="Baliti"/>
    <n v="2582"/>
    <n v="2849"/>
    <s v="CONDUCTED TECHNICAL ASSISTANCE"/>
    <n v="2025"/>
    <d v="2025-06-03T00:00:00"/>
    <x v="10"/>
    <s v="Roger T. Encarnacion II"/>
    <s v="Jan Emerson C. Gonzales"/>
    <s v="Yves Yshmael M. Balagtas"/>
    <s v="R3-2025-018656"/>
    <d v="2025-06-05T00:00:00"/>
    <d v="2025-06-10T00:00:00"/>
    <d v="2025-06-18T00:00:00"/>
    <d v="2025-06-18T00:00:00"/>
    <n v="2"/>
    <n v="3"/>
    <n v="6"/>
    <n v="1"/>
    <s v="Received by Planning"/>
    <s v="MRF"/>
    <s v="OPERATIONAL"/>
    <s v="Technical Assistance"/>
    <m/>
  </r>
  <r>
    <x v="4"/>
    <x v="79"/>
    <s v="MBA"/>
    <s v="Batasan"/>
    <n v="2493"/>
    <n v="2882"/>
    <s v="NO TECHNICAL ASSISTANCE CONDUCTED"/>
    <m/>
    <m/>
    <x v="0"/>
    <s v="Roger T. Encarnacion II"/>
    <m/>
    <s v="Yves Yshmael M. Balagtas"/>
    <m/>
    <m/>
    <m/>
    <m/>
    <m/>
    <s v=""/>
    <s v=""/>
    <s v=""/>
    <s v=""/>
    <m/>
    <m/>
    <m/>
    <m/>
    <m/>
  </r>
  <r>
    <x v="4"/>
    <x v="79"/>
    <s v="MBA"/>
    <s v="Buensuceso"/>
    <n v="4322"/>
    <n v="5023"/>
    <s v="CONDUCTED TECHNICAL ASSISTANCE"/>
    <n v="2024"/>
    <d v="2024-09-04T00:00:00"/>
    <x v="0"/>
    <s v="Roger T. Encarnacion II"/>
    <m/>
    <s v="Yves Yshmael M. Balagtas"/>
    <m/>
    <m/>
    <m/>
    <m/>
    <m/>
    <s v=""/>
    <s v=""/>
    <s v=""/>
    <s v=""/>
    <m/>
    <s v="MRF"/>
    <s v="OPERATIONAL"/>
    <s v="Technical Assistance"/>
    <m/>
  </r>
  <r>
    <x v="4"/>
    <x v="79"/>
    <s v="MBA"/>
    <s v="Candating"/>
    <n v="5029"/>
    <n v="5588"/>
    <s v="NO TECHNICAL ASSISTANCE CONDUCTED"/>
    <m/>
    <m/>
    <x v="0"/>
    <s v="Roger T. Encarnacion II"/>
    <m/>
    <s v="Yves Yshmael M. Balagtas"/>
    <m/>
    <m/>
    <m/>
    <m/>
    <m/>
    <s v=""/>
    <s v=""/>
    <s v=""/>
    <s v=""/>
    <m/>
    <m/>
    <m/>
    <m/>
    <m/>
  </r>
  <r>
    <x v="4"/>
    <x v="79"/>
    <s v="MBA"/>
    <s v="Cupang"/>
    <n v="3763"/>
    <n v="4344"/>
    <s v="NO TECHNICAL ASSISTANCE CONDUCTED"/>
    <m/>
    <m/>
    <x v="0"/>
    <s v="Roger T. Encarnacion II"/>
    <m/>
    <s v="Yves Yshmael M. Balagtas"/>
    <m/>
    <m/>
    <m/>
    <m/>
    <m/>
    <s v=""/>
    <s v=""/>
    <s v=""/>
    <s v=""/>
    <m/>
    <m/>
    <m/>
    <m/>
    <m/>
  </r>
  <r>
    <x v="4"/>
    <x v="79"/>
    <s v="MBA"/>
    <s v="Gatiawin"/>
    <n v="6323"/>
    <n v="7121"/>
    <s v="CONDUCTED TECHNICAL ASSISTANCE"/>
    <n v="2025"/>
    <d v="2025-02-12T00:00:00"/>
    <x v="3"/>
    <s v="Roger T. Encarnacion II"/>
    <m/>
    <s v="Yves Yshmael M. Balagtas"/>
    <s v="R3-2025-005427"/>
    <d v="2025-02-14T00:00:00"/>
    <m/>
    <d v="2025-02-17T00:00:00"/>
    <d v="2025-02-18T00:00:00"/>
    <n v="2"/>
    <s v=""/>
    <n v="1"/>
    <n v="1"/>
    <s v="Received by Planning"/>
    <s v="MRF"/>
    <s v="NON-OPERATIONAL"/>
    <s v="Technical Assistance"/>
    <m/>
  </r>
  <r>
    <x v="4"/>
    <x v="79"/>
    <s v="MBA"/>
    <s v="Guemasan"/>
    <n v="4118"/>
    <n v="4170"/>
    <s v="CONDUCTED TECHNICAL ASSISTANCE"/>
    <n v="2025"/>
    <d v="2025-08-13T00:00:00"/>
    <x v="9"/>
    <s v="Roger T. Encarnacion II"/>
    <s v="Jan Emerson C. Gonzales"/>
    <s v="Yves Yshmael M. Balagtas"/>
    <s v="R3-2025-027143"/>
    <d v="2025-08-14T00:00:00"/>
    <d v="2025-08-15T00:00:00"/>
    <d v="2025-08-19T00:00:00"/>
    <d v="2025-08-19T00:00:00"/>
    <n v="1"/>
    <n v="1"/>
    <n v="2"/>
    <n v="1"/>
    <s v="Received by Planning"/>
    <s v="MRF"/>
    <s v="NON-OPERATIONAL"/>
    <s v="Technical Assistance"/>
    <m/>
  </r>
  <r>
    <x v="4"/>
    <x v="79"/>
    <s v="MBA"/>
    <s v="Kaledian"/>
    <n v="5423"/>
    <n v="5755"/>
    <s v="CONDUCTED TECHNICAL ASSISTANCE"/>
    <n v="2025"/>
    <d v="2025-07-09T00:00:00"/>
    <x v="8"/>
    <s v="Roger T. Encarnacion II"/>
    <s v="Jan Emerson C. Gonzales"/>
    <s v="Yves Yshmael M. Balagtas"/>
    <s v="R3-2025-022985"/>
    <d v="2025-07-11T00:00:00"/>
    <d v="2025-07-18T00:00:00"/>
    <d v="2025-07-18T00:00:00"/>
    <d v="2025-07-18T00:00:00"/>
    <n v="2"/>
    <n v="5"/>
    <n v="1"/>
    <n v="1"/>
    <s v="Received by Planning"/>
    <s v="MRF"/>
    <s v="NON-OPERATIONAL"/>
    <s v="Technical Assistance"/>
    <m/>
  </r>
  <r>
    <x v="4"/>
    <x v="79"/>
    <s v="MBA"/>
    <s v="La Paz"/>
    <n v="1059"/>
    <n v="964"/>
    <s v="NO TECHNICAL ASSISTANCE CONDUCTED"/>
    <m/>
    <m/>
    <x v="0"/>
    <s v="Roger T. Encarnacion II"/>
    <m/>
    <s v="Yves Yshmael M. Balagtas"/>
    <m/>
    <m/>
    <m/>
    <m/>
    <m/>
    <s v=""/>
    <s v=""/>
    <s v=""/>
    <s v=""/>
    <m/>
    <m/>
    <m/>
    <m/>
    <m/>
  </r>
  <r>
    <x v="4"/>
    <x v="79"/>
    <s v="MBA"/>
    <s v="Lacmit"/>
    <n v="5124"/>
    <n v="5197"/>
    <s v="NO TECHNICAL ASSISTANCE CONDUCTED"/>
    <m/>
    <m/>
    <x v="0"/>
    <s v="Roger T. Encarnacion II"/>
    <m/>
    <s v="Yves Yshmael M. Balagtas"/>
    <m/>
    <m/>
    <m/>
    <m/>
    <m/>
    <s v=""/>
    <s v=""/>
    <s v=""/>
    <s v=""/>
    <m/>
    <m/>
    <m/>
    <m/>
    <m/>
  </r>
  <r>
    <x v="4"/>
    <x v="79"/>
    <s v="MBA"/>
    <s v="Lacquios"/>
    <n v="3698"/>
    <n v="3736"/>
    <s v="NO TECHNICAL ASSISTANCE CONDUCTED"/>
    <m/>
    <m/>
    <x v="0"/>
    <s v="Roger T. Encarnacion II"/>
    <m/>
    <s v="Yves Yshmael M. Balagtas"/>
    <m/>
    <m/>
    <m/>
    <m/>
    <m/>
    <s v=""/>
    <s v=""/>
    <s v=""/>
    <s v=""/>
    <m/>
    <m/>
    <m/>
    <m/>
    <m/>
  </r>
  <r>
    <x v="4"/>
    <x v="79"/>
    <s v="MBA"/>
    <s v="Mangga-Cacutud"/>
    <n v="10133"/>
    <n v="10996"/>
    <s v="CONDUCTED TECHNICAL ASSISTANCE"/>
    <n v="2024"/>
    <d v="2024-06-04T00:00:00"/>
    <x v="0"/>
    <s v="Roger T. Encarnacion II"/>
    <m/>
    <s v="Yves Yshmael M. Balagtas"/>
    <m/>
    <m/>
    <m/>
    <m/>
    <m/>
    <s v=""/>
    <s v=""/>
    <s v=""/>
    <s v=""/>
    <m/>
    <m/>
    <m/>
    <s v="Technical Assistance"/>
    <m/>
  </r>
  <r>
    <x v="4"/>
    <x v="79"/>
    <s v="MBA"/>
    <s v="Mapalad"/>
    <n v="3735"/>
    <n v="3955"/>
    <s v="NO TECHNICAL ASSISTANCE CONDUCTED"/>
    <m/>
    <m/>
    <x v="0"/>
    <s v="Roger T. Encarnacion II"/>
    <m/>
    <s v="Yves Yshmael M. Balagtas"/>
    <m/>
    <m/>
    <m/>
    <m/>
    <m/>
    <s v=""/>
    <s v=""/>
    <s v=""/>
    <s v=""/>
    <m/>
    <m/>
    <m/>
    <m/>
    <m/>
  </r>
  <r>
    <x v="4"/>
    <x v="79"/>
    <s v="MBA"/>
    <s v="Matamo"/>
    <n v="3554"/>
    <n v="3820"/>
    <s v="NO TECHNICAL ASSISTANCE CONDUCTED"/>
    <m/>
    <m/>
    <x v="0"/>
    <s v="Roger T. Encarnacion II"/>
    <m/>
    <s v="Yves Yshmael M. Balagtas"/>
    <m/>
    <m/>
    <m/>
    <m/>
    <m/>
    <s v=""/>
    <s v=""/>
    <s v=""/>
    <s v=""/>
    <m/>
    <m/>
    <m/>
    <m/>
    <m/>
  </r>
  <r>
    <x v="4"/>
    <x v="79"/>
    <s v="MBA"/>
    <s v="Panlinlang"/>
    <n v="3214"/>
    <n v="3411"/>
    <s v="CONDUCTED TECHNICAL ASSISTANCE"/>
    <n v="2024"/>
    <d v="2024-07-12T00:00:00"/>
    <x v="0"/>
    <s v="Roger T. Encarnacion II"/>
    <m/>
    <s v="Yves Yshmael M. Balagtas"/>
    <m/>
    <m/>
    <m/>
    <m/>
    <m/>
    <s v=""/>
    <s v=""/>
    <s v=""/>
    <s v=""/>
    <m/>
    <m/>
    <m/>
    <m/>
    <m/>
  </r>
  <r>
    <x v="4"/>
    <x v="79"/>
    <s v="MBA"/>
    <s v="Paralaya"/>
    <n v="1913"/>
    <n v="2026"/>
    <s v="CONDUCTED TECHNICAL ASSISTANCE"/>
    <n v="2025"/>
    <d v="2025-08-13T00:00:00"/>
    <x v="9"/>
    <s v="Roger T. Encarnacion II"/>
    <s v="Jan Emerson C. Gonzales"/>
    <s v="Yves Yshmael M. Balagtas"/>
    <s v="R3-2025-027146"/>
    <d v="2025-08-14T00:00:00"/>
    <d v="2025-08-15T00:00:00"/>
    <d v="2025-08-19T00:00:00"/>
    <d v="2025-08-19T00:00:00"/>
    <n v="1"/>
    <n v="1"/>
    <n v="2"/>
    <n v="1"/>
    <s v="Received by Planning"/>
    <s v="MRF"/>
    <s v="NON-OPERATIONAL"/>
    <s v="Technical Assistance"/>
    <m/>
  </r>
  <r>
    <x v="4"/>
    <x v="79"/>
    <s v="MBA"/>
    <s v="Plazang Luma"/>
    <n v="5330"/>
    <n v="5362"/>
    <s v="CONDUCTED TECHNICAL ASSISTANCE"/>
    <n v="2025"/>
    <d v="2025-08-13T00:00:00"/>
    <x v="9"/>
    <s v="Roger T. Encarnacion II"/>
    <s v="Jan Emerson C. Gonzales"/>
    <s v="Yves Yshmael M. Balagtas"/>
    <s v="R3-2025-027147"/>
    <d v="2025-08-14T00:00:00"/>
    <d v="2025-08-15T00:00:00"/>
    <d v="2025-08-19T00:00:00"/>
    <d v="2025-08-19T00:00:00"/>
    <n v="1"/>
    <n v="1"/>
    <n v="2"/>
    <n v="1"/>
    <s v="Received by Planning"/>
    <s v="MRF"/>
    <s v="OPERATIONAL"/>
    <s v="Technical Assistance"/>
    <m/>
  </r>
  <r>
    <x v="4"/>
    <x v="79"/>
    <s v="MBA"/>
    <s v="Poblacion"/>
    <n v="3167"/>
    <n v="2197"/>
    <s v="NO TECHNICAL ASSISTANCE CONDUCTED"/>
    <m/>
    <m/>
    <x v="0"/>
    <s v="Roger T. Encarnacion II"/>
    <m/>
    <s v="Yves Yshmael M. Balagtas"/>
    <m/>
    <m/>
    <m/>
    <m/>
    <m/>
    <s v=""/>
    <s v=""/>
    <s v=""/>
    <s v=""/>
    <m/>
    <m/>
    <m/>
    <m/>
    <m/>
  </r>
  <r>
    <x v="4"/>
    <x v="79"/>
    <s v="MBA"/>
    <s v="San Agustin Norte"/>
    <n v="3593"/>
    <n v="3627"/>
    <s v="NO TECHNICAL ASSISTANCE CONDUCTED"/>
    <m/>
    <m/>
    <x v="0"/>
    <s v="Roger T. Encarnacion II"/>
    <m/>
    <s v="Yves Yshmael M. Balagtas"/>
    <m/>
    <m/>
    <m/>
    <m/>
    <m/>
    <s v=""/>
    <s v=""/>
    <s v=""/>
    <s v=""/>
    <m/>
    <m/>
    <m/>
    <m/>
    <m/>
  </r>
  <r>
    <x v="4"/>
    <x v="79"/>
    <s v="MBA"/>
    <s v="San Agustin Sur"/>
    <n v="1772"/>
    <n v="2011"/>
    <s v="CONDUCTED TECHNICAL ASSISTANCE"/>
    <n v="2025"/>
    <d v="2025-08-13T00:00:00"/>
    <x v="9"/>
    <s v="Roger T. Encarnacion II"/>
    <s v="Jan Emerson C. Gonzales"/>
    <s v="Yves Yshmael M. Balagtas"/>
    <s v="R3-2025-027142"/>
    <d v="2025-08-14T00:00:00"/>
    <d v="2025-08-15T00:00:00"/>
    <d v="2025-08-19T00:00:00"/>
    <d v="2025-08-19T00:00:00"/>
    <n v="1"/>
    <n v="1"/>
    <n v="2"/>
    <n v="1"/>
    <s v="Received by Planning"/>
    <s v="MRF"/>
    <s v="NON-OPERATIONAL"/>
    <s v="Technical Assistance"/>
    <m/>
  </r>
  <r>
    <x v="4"/>
    <x v="79"/>
    <s v="MBA"/>
    <s v="San Antonio"/>
    <n v="3361"/>
    <n v="3351"/>
    <s v="NO TECHNICAL ASSISTANCE CONDUCTED"/>
    <m/>
    <m/>
    <x v="0"/>
    <s v="Roger T. Encarnacion II"/>
    <m/>
    <s v="Yves Yshmael M. Balagtas"/>
    <m/>
    <m/>
    <m/>
    <m/>
    <m/>
    <s v=""/>
    <s v=""/>
    <s v=""/>
    <s v=""/>
    <m/>
    <m/>
    <m/>
    <m/>
    <m/>
  </r>
  <r>
    <x v="4"/>
    <x v="79"/>
    <s v="MBA"/>
    <s v="San Jose Mesulo"/>
    <n v="5004"/>
    <n v="5388"/>
    <s v="CONDUCTED TECHNICAL ASSISTANCE"/>
    <n v="2025"/>
    <d v="2025-08-13T00:00:00"/>
    <x v="9"/>
    <s v="Roger T. Encarnacion II"/>
    <s v="Jan Emerson C. Gonzales"/>
    <s v="Yves Yshmael M. Balagtas"/>
    <s v="R3-2025-027148"/>
    <d v="2025-08-14T00:00:00"/>
    <d v="2025-08-15T00:00:00"/>
    <d v="2025-08-19T00:00:00"/>
    <d v="2025-08-19T00:00:00"/>
    <n v="1"/>
    <n v="1"/>
    <n v="2"/>
    <n v="1"/>
    <s v="Received by Planning"/>
    <s v="MRF"/>
    <s v="NON-OPERATIONAL"/>
    <s v="Technical Assistance"/>
    <m/>
  </r>
  <r>
    <x v="4"/>
    <x v="79"/>
    <s v="MBA"/>
    <s v="San Juan Bano"/>
    <n v="9065"/>
    <n v="10476"/>
    <s v="CONDUCTED TECHNICAL ASSISTANCE"/>
    <n v="2024"/>
    <d v="2024-06-04T00:00:00"/>
    <x v="0"/>
    <s v="Roger T. Encarnacion II"/>
    <m/>
    <s v="Yves Yshmael M. Balagtas"/>
    <m/>
    <m/>
    <m/>
    <m/>
    <m/>
    <s v=""/>
    <s v=""/>
    <s v=""/>
    <s v=""/>
    <m/>
    <m/>
    <m/>
    <s v="Technical Assistance"/>
    <m/>
  </r>
  <r>
    <x v="4"/>
    <x v="79"/>
    <s v="MBA"/>
    <s v="San Mateo"/>
    <n v="6382"/>
    <n v="6611"/>
    <s v="CONDUCTED TECHNICAL ASSISTANCE"/>
    <n v="2025"/>
    <d v="2025-07-09T00:00:00"/>
    <x v="8"/>
    <s v="Roger T. Encarnacion II"/>
    <s v="Jan Emerson C. Gonzales"/>
    <s v="Yves Yshmael M. Balagtas"/>
    <s v="R3-2025-022986"/>
    <d v="2025-07-11T00:00:00"/>
    <d v="2025-07-16T00:00:00"/>
    <d v="2025-07-18T00:00:00"/>
    <d v="2025-07-18T00:00:00"/>
    <n v="2"/>
    <n v="3"/>
    <n v="2"/>
    <n v="1"/>
    <s v="Received by Planning"/>
    <s v="MRF"/>
    <s v="NON-OPERATIONAL"/>
    <s v="Technical Assistance"/>
    <m/>
  </r>
  <r>
    <x v="4"/>
    <x v="79"/>
    <s v="MBA"/>
    <s v="San Nicolas"/>
    <n v="8227"/>
    <n v="8832"/>
    <s v="CONDUCTED TECHNICAL ASSISTANCE"/>
    <n v="2025"/>
    <d v="2025-10-09T00:00:00"/>
    <x v="5"/>
    <s v="Roger T. Encarnacion II"/>
    <m/>
    <s v="Yves Yshmael M. Balagtas"/>
    <s v="R3-2025-034369"/>
    <d v="2025-10-12T00:00:00"/>
    <m/>
    <d v="2025-10-15T00:00:00"/>
    <d v="2025-10-20T00:00:00"/>
    <n v="1"/>
    <s v=""/>
    <n v="2"/>
    <n v="3"/>
    <s v="Received by Planning"/>
    <s v="MRF"/>
    <s v="NON-OPERATIONAL"/>
    <s v="Technical Assistance"/>
    <m/>
  </r>
  <r>
    <x v="4"/>
    <x v="79"/>
    <s v="MBA"/>
    <s v="San Roque Bitas"/>
    <n v="5389"/>
    <n v="6389"/>
    <s v="NO TECHNICAL ASSISTANCE CONDUCTED"/>
    <m/>
    <m/>
    <x v="0"/>
    <s v="Roger T. Encarnacion II"/>
    <m/>
    <s v="Yves Yshmael M. Balagtas"/>
    <m/>
    <m/>
    <m/>
    <m/>
    <m/>
    <s v=""/>
    <s v=""/>
    <s v=""/>
    <s v=""/>
    <m/>
    <m/>
    <m/>
    <m/>
    <m/>
  </r>
  <r>
    <x v="4"/>
    <x v="79"/>
    <s v="MBA"/>
    <s v="Santo Niño Tabuan"/>
    <n v="2725"/>
    <n v="3171"/>
    <s v="NO TECHNICAL ASSISTANCE CONDUCTED"/>
    <m/>
    <m/>
    <x v="0"/>
    <s v="Roger T. Encarnacion II"/>
    <m/>
    <s v="Yves Yshmael M. Balagtas"/>
    <m/>
    <m/>
    <m/>
    <m/>
    <m/>
    <s v=""/>
    <s v=""/>
    <s v=""/>
    <s v=""/>
    <m/>
    <m/>
    <m/>
    <m/>
    <m/>
  </r>
  <r>
    <x v="4"/>
    <x v="79"/>
    <s v="MBA"/>
    <s v="Suclayin"/>
    <n v="3291"/>
    <n v="3445"/>
    <s v="NO TECHNICAL ASSISTANCE CONDUCTED"/>
    <m/>
    <m/>
    <x v="0"/>
    <s v="Roger T. Encarnacion II"/>
    <m/>
    <s v="Yves Yshmael M. Balagtas"/>
    <m/>
    <m/>
    <m/>
    <m/>
    <m/>
    <s v=""/>
    <s v=""/>
    <s v=""/>
    <s v=""/>
    <m/>
    <m/>
    <m/>
    <m/>
    <m/>
  </r>
  <r>
    <x v="4"/>
    <x v="79"/>
    <s v="MBA"/>
    <s v="Telapayong"/>
    <n v="5570"/>
    <n v="7749"/>
    <s v="CONDUCTED TECHNICAL ASSISTANCE"/>
    <n v="2025"/>
    <d v="2025-02-12T00:00:00"/>
    <x v="3"/>
    <s v="Roger T. Encarnacion II"/>
    <m/>
    <s v="Yves Yshmael M. Balagtas"/>
    <s v="R3-2025-005428"/>
    <d v="2025-02-14T00:00:00"/>
    <m/>
    <d v="2025-02-17T00:00:00"/>
    <d v="2025-02-18T00:00:00"/>
    <n v="2"/>
    <s v=""/>
    <n v="1"/>
    <n v="1"/>
    <s v="Received by Planning"/>
    <s v="MRF"/>
    <s v="NON-OPERATIONAL"/>
    <s v="Technical Assistance"/>
    <m/>
  </r>
  <r>
    <x v="4"/>
    <x v="80"/>
    <s v="MBA"/>
    <s v="Balas"/>
    <n v="239"/>
    <n v="554"/>
    <s v="CONDUCTED TECHNICAL ASSISTANCE"/>
    <n v="2024"/>
    <d v="2024-11-12T00:00:00"/>
    <x v="0"/>
    <s v="Ivy M. Castro"/>
    <m/>
    <s v="Yves Yshmael M. Balagtas"/>
    <m/>
    <m/>
    <m/>
    <m/>
    <m/>
    <s v=""/>
    <s v=""/>
    <s v=""/>
    <s v=""/>
    <m/>
    <s v="MRF"/>
    <s v="OPERATIONAL"/>
    <s v="Technical Assistance"/>
    <m/>
  </r>
  <r>
    <x v="4"/>
    <x v="80"/>
    <s v="MBA"/>
    <s v="Cabalantian"/>
    <n v="4466"/>
    <n v="6126"/>
    <s v="CONDUCTED TECHNICAL ASSISTANCE"/>
    <n v="2024"/>
    <d v="2024-09-06T00:00:00"/>
    <x v="0"/>
    <s v="Ivy M. Castro"/>
    <m/>
    <s v="Yves Yshmael M. Balagtas"/>
    <m/>
    <m/>
    <m/>
    <m/>
    <m/>
    <s v=""/>
    <s v=""/>
    <s v=""/>
    <s v=""/>
    <m/>
    <s v="MRF"/>
    <s v="OPERATIONAL"/>
    <s v="Technical Assistance"/>
    <m/>
  </r>
  <r>
    <x v="4"/>
    <x v="80"/>
    <s v="MBA"/>
    <s v="Cabambangan (Pob.)"/>
    <n v="615"/>
    <n v="509"/>
    <s v="CONDUCTED TECHNICAL ASSISTANCE"/>
    <n v="2025"/>
    <d v="2025-11-07T00:00:00"/>
    <x v="11"/>
    <s v="Ivy M. Castro"/>
    <m/>
    <s v="Yves Yshmael M. Balagtas"/>
    <s v="R3-2025-037403"/>
    <d v="2025-11-08T00:00:00"/>
    <m/>
    <d v="2025-11-17T00:00:00"/>
    <d v="2025-11-18T00:00:00"/>
    <n v="1"/>
    <s v=""/>
    <n v="5"/>
    <n v="1"/>
    <s v="Received by Planning"/>
    <s v="MRS"/>
    <s v="OPERATIONAL"/>
    <s v="Technical Assistance"/>
    <m/>
  </r>
  <r>
    <x v="4"/>
    <x v="80"/>
    <s v="MBA"/>
    <s v="Cabetican"/>
    <n v="3486"/>
    <n v="3510"/>
    <s v="CONDUCTED TECHNICAL ASSISTANCE"/>
    <n v="2024"/>
    <d v="2024-09-06T00:00:00"/>
    <x v="0"/>
    <s v="Ivy M. Castro"/>
    <m/>
    <s v="Yves Yshmael M. Balagtas"/>
    <m/>
    <m/>
    <m/>
    <m/>
    <m/>
    <s v=""/>
    <s v=""/>
    <s v=""/>
    <s v=""/>
    <m/>
    <s v="MRF"/>
    <s v="OPERATIONAL"/>
    <s v="Technical Assistance"/>
    <m/>
  </r>
  <r>
    <x v="4"/>
    <x v="80"/>
    <s v="MBA"/>
    <s v="Calibutbut"/>
    <n v="12048"/>
    <n v="12701"/>
    <s v="CONDUCTED TECHNICAL ASSISTANCE"/>
    <n v="2025"/>
    <d v="2025-06-10T00:00:00"/>
    <x v="10"/>
    <s v="Ivy M. Castro"/>
    <s v="Jan Emerson C. Gonzales"/>
    <s v="Yves Yshmael M. Balagtas"/>
    <s v="R3-2025-019459"/>
    <d v="2025-06-11T00:00:00"/>
    <d v="2025-06-18T00:00:00"/>
    <d v="2025-06-18T00:00:00"/>
    <d v="2025-06-18T00:00:00"/>
    <n v="1"/>
    <n v="5"/>
    <n v="1"/>
    <n v="1"/>
    <s v="Received by Planning"/>
    <s v="MRF"/>
    <s v="OPERATIONAL"/>
    <s v="Technical Assistance"/>
    <m/>
  </r>
  <r>
    <x v="4"/>
    <x v="80"/>
    <s v="MBA"/>
    <s v="Concepcion"/>
    <n v="160"/>
    <n v="223"/>
    <s v="CONDUCTED TECHNICAL ASSISTANCE"/>
    <s v="2024_x000a_2025"/>
    <s v="12-Nov-24_x000a_13-Feb-25"/>
    <x v="3"/>
    <s v="Ivy M. Castro"/>
    <m/>
    <s v="Yves Yshmael M. Balagtas"/>
    <s v="R3-2024-041090_x000a_R3-2025-005815"/>
    <s v="18-Nov-24_x000a_17-Feb-25"/>
    <m/>
    <s v="20-Nov-24_x000a_18-Feb-25"/>
    <s v="20-Nov-24_x000a_19-Feb-25"/>
    <m/>
    <s v=""/>
    <m/>
    <m/>
    <s v="Received by Planning"/>
    <s v="MRF"/>
    <s v="OPERATIONAL"/>
    <s v="Technical Assistance"/>
    <m/>
  </r>
  <r>
    <x v="4"/>
    <x v="80"/>
    <s v="MBA"/>
    <s v="Dolores"/>
    <n v="544"/>
    <n v="724"/>
    <s v="CONDUCTED TECHNICAL ASSISTANCE"/>
    <n v="2024"/>
    <d v="2024-09-06T00:00:00"/>
    <x v="0"/>
    <s v="Ivy M. Castro"/>
    <m/>
    <s v="Yves Yshmael M. Balagtas"/>
    <m/>
    <m/>
    <m/>
    <m/>
    <m/>
    <s v=""/>
    <s v=""/>
    <s v=""/>
    <s v=""/>
    <m/>
    <s v="MRF"/>
    <s v="OPERATIONAL"/>
    <s v="Technical Assistance"/>
    <m/>
  </r>
  <r>
    <x v="4"/>
    <x v="80"/>
    <s v="MBA"/>
    <s v="Duat"/>
    <n v="210"/>
    <n v="358"/>
    <s v="CONDUCTED TECHNICAL ASSISTANCE"/>
    <s v="2024_x000a_2025"/>
    <s v="6-Sep-24_x000a_13-Feb-25"/>
    <x v="3"/>
    <s v="Ivy M. Castro"/>
    <m/>
    <s v="Yves Yshmael M. Balagtas"/>
    <s v="R3-2024-031846_x000a_R3-2025-005813"/>
    <s v="8-Sep-24_x000a_17-Feb-25"/>
    <m/>
    <s v="17-Sep-24_x000a_18-Feb-25"/>
    <s v="17-Sep-24_x000a_19-Feb-25"/>
    <m/>
    <s v=""/>
    <m/>
    <m/>
    <s v="Received by Planning"/>
    <s v="MRF"/>
    <s v="OPERATIONAL"/>
    <s v="Technical Assistance"/>
    <m/>
  </r>
  <r>
    <x v="4"/>
    <x v="80"/>
    <s v="MBA"/>
    <s v="Macabacle"/>
    <n v="780"/>
    <n v="1001"/>
    <s v="CONDUCTED TECHNICAL ASSISTANCE"/>
    <n v="2024"/>
    <d v="2024-11-12T00:00:00"/>
    <x v="0"/>
    <s v="Ivy M. Castro"/>
    <m/>
    <s v="Yves Yshmael M. Balagtas"/>
    <m/>
    <m/>
    <m/>
    <m/>
    <m/>
    <s v=""/>
    <s v=""/>
    <s v=""/>
    <s v=""/>
    <m/>
    <s v="MRF"/>
    <s v="OPERATIONAL"/>
    <s v="Technical Assistance"/>
    <m/>
  </r>
  <r>
    <x v="4"/>
    <x v="80"/>
    <s v="MBA"/>
    <s v="Magliman"/>
    <n v="2156"/>
    <n v="2461"/>
    <s v="CONDUCTED TECHNICAL ASSISTANCE"/>
    <n v="2024"/>
    <d v="2024-09-06T00:00:00"/>
    <x v="0"/>
    <s v="Ivy M. Castro"/>
    <m/>
    <s v="Yves Yshmael M. Balagtas"/>
    <m/>
    <m/>
    <m/>
    <m/>
    <m/>
    <s v=""/>
    <s v=""/>
    <s v=""/>
    <s v=""/>
    <m/>
    <s v="MRF"/>
    <s v="OPERATIONAL"/>
    <s v="Technical Assistance"/>
    <m/>
  </r>
  <r>
    <x v="4"/>
    <x v="80"/>
    <s v="MBA"/>
    <s v="Maliwalu"/>
    <n v="1203"/>
    <n v="1438"/>
    <s v="CONDUCTED TECHNICAL ASSISTANCE"/>
    <n v="2024"/>
    <d v="2024-07-09T00:00:00"/>
    <x v="0"/>
    <s v="Ivy M. Castro"/>
    <m/>
    <s v="Yves Yshmael M. Balagtas"/>
    <m/>
    <m/>
    <m/>
    <m/>
    <m/>
    <s v=""/>
    <s v=""/>
    <s v=""/>
    <s v=""/>
    <m/>
    <s v="MRF"/>
    <s v="OPERATIONAL"/>
    <s v="Technical Assistance"/>
    <m/>
  </r>
  <r>
    <x v="4"/>
    <x v="80"/>
    <s v="MBA"/>
    <s v="Mesalipit"/>
    <n v="191"/>
    <n v="75"/>
    <s v="CONDUCTED TECHNICAL ASSISTANCE"/>
    <n v="2025"/>
    <d v="2025-10-10T00:00:00"/>
    <x v="5"/>
    <s v="Ivy M. Castro"/>
    <m/>
    <s v="Yves Yshmael M. Balagtas"/>
    <s v="R3-2025-034152"/>
    <d v="2025-10-09T00:00:00"/>
    <m/>
    <d v="2025-10-15T00:00:00"/>
    <d v="2025-10-17T00:00:00"/>
    <n v="1"/>
    <s v=""/>
    <n v="4"/>
    <n v="2"/>
    <s v="Received by Planning"/>
    <s v="MRS"/>
    <s v="OPERATIONAL"/>
    <s v="Technical Assistance"/>
    <m/>
  </r>
  <r>
    <x v="4"/>
    <x v="80"/>
    <s v="MBA"/>
    <s v="Parulog"/>
    <n v="656"/>
    <n v="967"/>
    <s v="CONDUCTED TECHNICAL ASSISTANCE"/>
    <n v="2025"/>
    <d v="2025-07-08T00:00:00"/>
    <x v="8"/>
    <s v="Ivy M. Castro"/>
    <s v="Jan Emerson C. Gonzales"/>
    <s v="Yves Yshmael M. Balagtas"/>
    <s v="R3-2025-023112"/>
    <d v="2025-07-12T00:00:00"/>
    <d v="2025-07-18T00:00:00"/>
    <d v="2025-07-18T00:00:00"/>
    <d v="2025-07-18T00:00:00"/>
    <n v="3"/>
    <n v="4"/>
    <n v="1"/>
    <n v="1"/>
    <s v="Received by Planning"/>
    <s v="MRS"/>
    <s v="OPERATIONAL"/>
    <s v="Technical Assistance"/>
    <m/>
  </r>
  <r>
    <x v="4"/>
    <x v="80"/>
    <s v="MBA"/>
    <s v="Potrero"/>
    <n v="350"/>
    <n v="804"/>
    <s v="CONDUCTED TECHNICAL ASSISTANCE"/>
    <n v="2024"/>
    <d v="2024-09-10T00:00:00"/>
    <x v="0"/>
    <s v="Ivy M. Castro"/>
    <m/>
    <s v="Yves Yshmael M. Balagtas"/>
    <m/>
    <m/>
    <m/>
    <m/>
    <m/>
    <s v=""/>
    <s v=""/>
    <s v=""/>
    <s v=""/>
    <m/>
    <s v="MRF"/>
    <s v="OPERATIONAL"/>
    <s v="Technical Assistance"/>
    <m/>
  </r>
  <r>
    <x v="4"/>
    <x v="80"/>
    <s v="MBA"/>
    <s v="San Antonio"/>
    <n v="747"/>
    <n v="1231"/>
    <s v="CONDUCTED TECHNICAL ASSISTANCE"/>
    <n v="2025"/>
    <d v="2025-07-08T00:00:00"/>
    <x v="8"/>
    <s v="Ivy M. Castro"/>
    <s v="Jan Emerson C. Gonzales"/>
    <s v="Yves Yshmael M. Balagtas"/>
    <s v="R3-2025-024161"/>
    <d v="2025-07-08T00:00:00"/>
    <d v="2025-07-18T00:00:00"/>
    <d v="2025-07-18T00:00:00"/>
    <d v="2025-07-18T00:00:00"/>
    <n v="1"/>
    <n v="8"/>
    <n v="1"/>
    <n v="1"/>
    <s v="Received by Planning"/>
    <s v="MRF"/>
    <s v="OPERATIONAL"/>
    <s v="Technical Assistance"/>
    <m/>
  </r>
  <r>
    <x v="4"/>
    <x v="80"/>
    <s v="MBA"/>
    <s v="San Isidro"/>
    <n v="5703"/>
    <n v="6865"/>
    <s v="CONDUCTED TECHNICAL ASSISTANCE"/>
    <n v="2024"/>
    <d v="2024-09-11T00:00:00"/>
    <x v="0"/>
    <s v="Ivy M. Castro"/>
    <m/>
    <s v="Yves Yshmael M. Balagtas"/>
    <m/>
    <m/>
    <m/>
    <m/>
    <m/>
    <s v=""/>
    <s v=""/>
    <s v=""/>
    <s v=""/>
    <m/>
    <s v="MRF"/>
    <s v="OPERATIONAL"/>
    <s v="Technical Assistance"/>
    <m/>
  </r>
  <r>
    <x v="4"/>
    <x v="80"/>
    <s v="MBA"/>
    <s v="San Vicente"/>
    <n v="2643"/>
    <n v="2905"/>
    <s v="CONDUCTED TECHNICAL ASSISTANCE"/>
    <n v="2025"/>
    <d v="2025-02-13T00:00:00"/>
    <x v="3"/>
    <s v="Ivy M. Castro"/>
    <m/>
    <s v="Yves Yshmael M. Balagtas"/>
    <s v="R3-2025-005808"/>
    <d v="2025-02-17T00:00:00"/>
    <m/>
    <d v="2025-02-18T00:00:00"/>
    <d v="2025-02-18T00:00:00"/>
    <n v="2"/>
    <s v=""/>
    <n v="1"/>
    <n v="1"/>
    <s v="Received by Planning"/>
    <s v="MRF"/>
    <s v="OPERATIONAL"/>
    <s v="Technical Assistance"/>
    <m/>
  </r>
  <r>
    <x v="4"/>
    <x v="80"/>
    <s v="MBA"/>
    <s v="Santa Barbara"/>
    <n v="1061"/>
    <n v="1514"/>
    <s v="CONDUCTED TECHNICAL ASSISTANCE"/>
    <n v="2025"/>
    <d v="2025-11-07T00:00:00"/>
    <x v="11"/>
    <s v="Ivy M. Castro"/>
    <m/>
    <s v="Yves Yshmael M. Balagtas"/>
    <s v="R3-2025-037404"/>
    <d v="2025-11-08T00:00:00"/>
    <m/>
    <d v="2025-11-17T00:00:00"/>
    <d v="2025-11-18T00:00:00"/>
    <n v="1"/>
    <s v=""/>
    <n v="5"/>
    <n v="1"/>
    <s v="Received by Planning"/>
    <s v="MRS"/>
    <s v="OPERATIONAL"/>
    <s v="Technical Assistance"/>
    <m/>
  </r>
  <r>
    <x v="4"/>
    <x v="80"/>
    <s v="MBA"/>
    <s v="Santa Ines"/>
    <n v="1112"/>
    <n v="1400"/>
    <s v="CONDUCTED TECHNICAL ASSISTANCE"/>
    <n v="2025"/>
    <d v="2025-10-15T00:00:00"/>
    <x v="5"/>
    <s v="Ivy M. Castro"/>
    <m/>
    <s v="Yves Yshmael M. Balagtas"/>
    <s v="R3-2025-034967"/>
    <d v="2025-10-15T00:00:00"/>
    <m/>
    <d v="2025-10-16T00:00:00"/>
    <d v="2025-10-20T00:00:00"/>
    <n v="1"/>
    <s v=""/>
    <n v="1"/>
    <n v="2"/>
    <s v="Received by Planning"/>
    <s v="MRS"/>
    <s v="OPERATIONAL"/>
    <s v="Technical Assistance"/>
    <m/>
  </r>
  <r>
    <x v="4"/>
    <x v="80"/>
    <s v="MBA"/>
    <s v="Talba"/>
    <n v="135"/>
    <n v="168"/>
    <s v="CONDUCTED TECHNICAL ASSISTANCE"/>
    <n v="2024"/>
    <d v="2024-11-12T00:00:00"/>
    <x v="0"/>
    <s v="Ivy M. Castro"/>
    <m/>
    <s v="Yves Yshmael M. Balagtas"/>
    <m/>
    <m/>
    <m/>
    <m/>
    <m/>
    <s v=""/>
    <s v=""/>
    <s v=""/>
    <s v=""/>
    <m/>
    <s v="MRF"/>
    <s v="OPERATIONAL"/>
    <s v="Technical Assistance"/>
    <m/>
  </r>
  <r>
    <x v="4"/>
    <x v="80"/>
    <s v="MBA"/>
    <s v="Tinajero"/>
    <n v="955"/>
    <n v="2532"/>
    <s v="CONDUCTED TECHNICAL ASSISTANCE"/>
    <s v="2024_x000a_2025"/>
    <s v="12-Nov-24_x000a_13-Feb-25"/>
    <x v="3"/>
    <s v="Ivy M. Castro"/>
    <m/>
    <s v="Yves Yshmael M. Balagtas"/>
    <s v="R3-2024-041094_x000a_R3-2025-005816"/>
    <s v="18-Nov-24_x000a_17-Feb-25"/>
    <m/>
    <s v="20-Nov-24_x000a_18-Feb-25"/>
    <s v="20-Nov-24_x000a_19-Feb-25"/>
    <m/>
    <s v=""/>
    <m/>
    <m/>
    <s v="Received by Planning"/>
    <s v="MRF"/>
    <s v="OPERATIONAL"/>
    <s v="Technical Assistance"/>
    <m/>
  </r>
  <r>
    <x v="4"/>
    <x v="81"/>
    <s v="MBA"/>
    <s v="Paralaya (Pob.)"/>
    <n v="5374"/>
    <n v="5318"/>
    <s v="CONDUCTED TECHNICAL ASSISTANCE"/>
    <n v="2025"/>
    <d v="2025-08-28T00:00:00"/>
    <x v="7"/>
    <s v="Roger T. Encarnacion II"/>
    <m/>
    <s v="Yves Yshmael M. Balagtas"/>
    <s v="R3-2025-031398"/>
    <d v="2025-09-17T00:00:00"/>
    <m/>
    <d v="2025-09-17T00:00:00"/>
    <d v="2025-09-18T00:00:00"/>
    <n v="14"/>
    <s v=""/>
    <n v="1"/>
    <n v="1"/>
    <s v="Received by Planning"/>
    <s v="MRF"/>
    <s v="OPERATIONAL"/>
    <s v="Technical Assistance"/>
    <m/>
  </r>
  <r>
    <x v="4"/>
    <x v="81"/>
    <s v="MBA"/>
    <s v="Bahay Pare"/>
    <n v="11179"/>
    <n v="12159"/>
    <s v="NO TECHNICAL ASSISTANCE CONDUCTED"/>
    <m/>
    <m/>
    <x v="0"/>
    <s v="Roger T. Encarnacion II"/>
    <m/>
    <s v="Yves Yshmael M. Balagtas"/>
    <m/>
    <m/>
    <m/>
    <m/>
    <m/>
    <s v=""/>
    <s v=""/>
    <s v=""/>
    <s v=""/>
    <m/>
    <m/>
    <m/>
    <m/>
    <m/>
  </r>
  <r>
    <x v="4"/>
    <x v="81"/>
    <s v="MBA"/>
    <s v="Bambang"/>
    <n v="3084"/>
    <n v="3151"/>
    <s v="CONDUCTED TECHNICAL ASSISTANCE"/>
    <n v="2024"/>
    <d v="2024-11-14T00:00:00"/>
    <x v="0"/>
    <s v="Roger T. Encarnacion II"/>
    <m/>
    <s v="Yves Yshmael M. Balagtas"/>
    <m/>
    <m/>
    <m/>
    <m/>
    <m/>
    <s v=""/>
    <s v=""/>
    <s v=""/>
    <s v=""/>
    <m/>
    <s v="MRF"/>
    <s v="NON-OPERATIONAL"/>
    <s v="Technical Assistance"/>
    <m/>
  </r>
  <r>
    <x v="4"/>
    <x v="81"/>
    <s v="MBA"/>
    <s v="Barangca"/>
    <n v="1895"/>
    <n v="2148"/>
    <s v="NO TECHNICAL ASSISTANCE CONDUCTED"/>
    <m/>
    <m/>
    <x v="0"/>
    <s v="Roger T. Encarnacion II"/>
    <m/>
    <s v="Yves Yshmael M. Balagtas"/>
    <m/>
    <m/>
    <m/>
    <m/>
    <m/>
    <s v=""/>
    <s v=""/>
    <s v=""/>
    <s v=""/>
    <m/>
    <m/>
    <m/>
    <m/>
    <m/>
  </r>
  <r>
    <x v="4"/>
    <x v="81"/>
    <s v="MBA"/>
    <s v="Barit"/>
    <n v="2163"/>
    <n v="2743"/>
    <s v="CONDUCTED TECHNICAL ASSISTANCE"/>
    <n v="2025"/>
    <d v="2025-09-23T00:00:00"/>
    <x v="5"/>
    <s v="Roger T. Encarnacion II"/>
    <m/>
    <s v="Yves Yshmael M. Balagtas"/>
    <s v="R3-2025-035177"/>
    <d v="2025-10-16T00:00:00"/>
    <m/>
    <d v="2025-10-17T00:00:00"/>
    <d v="2025-10-20T00:00:00"/>
    <n v="17"/>
    <s v=""/>
    <n v="1"/>
    <n v="1"/>
    <s v="Received by Planning"/>
    <s v="MRF"/>
    <s v="OPERATIONAL"/>
    <s v="Technical Assistance"/>
    <m/>
  </r>
  <r>
    <x v="4"/>
    <x v="81"/>
    <s v="MBA"/>
    <s v="Buas (Pob.)"/>
    <n v="1797"/>
    <n v="1609"/>
    <s v="NO TECHNICAL ASSISTANCE CONDUCTED"/>
    <m/>
    <m/>
    <x v="0"/>
    <s v="Roger T. Encarnacion II"/>
    <m/>
    <s v="Yves Yshmael M. Balagtas"/>
    <m/>
    <m/>
    <m/>
    <m/>
    <m/>
    <s v=""/>
    <s v=""/>
    <s v=""/>
    <s v=""/>
    <m/>
    <m/>
    <m/>
    <m/>
    <m/>
  </r>
  <r>
    <x v="4"/>
    <x v="81"/>
    <s v="MBA"/>
    <s v="Cuayang Bugtong"/>
    <n v="1975"/>
    <n v="2113"/>
    <s v="NO TECHNICAL ASSISTANCE CONDUCTED"/>
    <m/>
    <m/>
    <x v="0"/>
    <s v="Roger T. Encarnacion II"/>
    <m/>
    <s v="Yves Yshmael M. Balagtas"/>
    <m/>
    <m/>
    <m/>
    <m/>
    <m/>
    <s v=""/>
    <s v=""/>
    <s v=""/>
    <s v=""/>
    <m/>
    <m/>
    <m/>
    <m/>
    <m/>
  </r>
  <r>
    <x v="4"/>
    <x v="81"/>
    <s v="MBA"/>
    <s v="Dalayap"/>
    <n v="2086"/>
    <n v="2480"/>
    <s v="NO TECHNICAL ASSISTANCE CONDUCTED"/>
    <m/>
    <m/>
    <x v="0"/>
    <s v="Roger T. Encarnacion II"/>
    <m/>
    <s v="Yves Yshmael M. Balagtas"/>
    <m/>
    <m/>
    <m/>
    <m/>
    <m/>
    <s v=""/>
    <s v=""/>
    <s v=""/>
    <s v=""/>
    <m/>
    <m/>
    <m/>
    <m/>
    <m/>
  </r>
  <r>
    <x v="4"/>
    <x v="81"/>
    <s v="MBA"/>
    <s v="Dulong Ilog"/>
    <n v="4532"/>
    <n v="4790"/>
    <s v="NO TECHNICAL ASSISTANCE CONDUCTED"/>
    <m/>
    <m/>
    <x v="0"/>
    <s v="Roger T. Encarnacion II"/>
    <m/>
    <s v="Yves Yshmael M. Balagtas"/>
    <m/>
    <m/>
    <m/>
    <m/>
    <m/>
    <s v=""/>
    <s v=""/>
    <s v=""/>
    <s v=""/>
    <m/>
    <m/>
    <m/>
    <m/>
    <m/>
  </r>
  <r>
    <x v="4"/>
    <x v="81"/>
    <s v="MBA"/>
    <s v="Gulap"/>
    <n v="4408"/>
    <n v="4910"/>
    <s v="CONDUCTED TECHNICAL ASSISTANCE"/>
    <n v="2024"/>
    <d v="2024-04-08T00:00:00"/>
    <x v="0"/>
    <s v="Roger T. Encarnacion II"/>
    <m/>
    <s v="Yves Yshmael M. Balagtas"/>
    <m/>
    <m/>
    <m/>
    <m/>
    <m/>
    <s v=""/>
    <s v=""/>
    <s v=""/>
    <s v=""/>
    <m/>
    <m/>
    <m/>
    <s v="Technical Assistance"/>
    <m/>
  </r>
  <r>
    <x v="4"/>
    <x v="81"/>
    <s v="MBA"/>
    <s v="Lanang"/>
    <n v="3326"/>
    <n v="3352"/>
    <s v="CONDUCTED TECHNICAL ASSISTANCE"/>
    <n v="2024"/>
    <d v="2024-11-14T00:00:00"/>
    <x v="0"/>
    <s v="Roger T. Encarnacion II"/>
    <m/>
    <s v="Yves Yshmael M. Balagtas"/>
    <m/>
    <m/>
    <m/>
    <m/>
    <m/>
    <s v=""/>
    <s v=""/>
    <s v=""/>
    <s v=""/>
    <m/>
    <s v="MRF"/>
    <s v="NON-OPERATIONAL"/>
    <s v="Technical Assistance"/>
    <m/>
  </r>
  <r>
    <x v="4"/>
    <x v="81"/>
    <s v="MBA"/>
    <s v="Lourdes"/>
    <n v="2474"/>
    <n v="2809"/>
    <s v="CONDUCTED TECHNICAL ASSISTANCE"/>
    <n v="2025"/>
    <d v="2025-09-25T00:00:00"/>
    <x v="5"/>
    <s v="Roger T. Encarnacion II"/>
    <m/>
    <s v="Yves Yshmael M. Balagtas"/>
    <s v="R3-2025-035182"/>
    <d v="2025-10-16T00:00:00"/>
    <m/>
    <d v="2025-10-17T00:00:00"/>
    <d v="2025-10-20T00:00:00"/>
    <n v="15"/>
    <s v=""/>
    <n v="1"/>
    <n v="1"/>
    <s v="Received by Planning"/>
    <s v="MRS"/>
    <s v="OPERATIONAL"/>
    <s v="Technical Assistance"/>
    <m/>
  </r>
  <r>
    <x v="4"/>
    <x v="81"/>
    <s v="MBA"/>
    <s v="Magumbali"/>
    <n v="2166"/>
    <n v="2414"/>
    <s v="NO TECHNICAL ASSISTANCE CONDUCTED"/>
    <m/>
    <m/>
    <x v="0"/>
    <s v="Roger T. Encarnacion II"/>
    <m/>
    <s v="Yves Yshmael M. Balagtas"/>
    <m/>
    <m/>
    <m/>
    <m/>
    <m/>
    <s v=""/>
    <s v=""/>
    <s v=""/>
    <s v=""/>
    <m/>
    <m/>
    <m/>
    <m/>
    <m/>
  </r>
  <r>
    <x v="4"/>
    <x v="81"/>
    <s v="MBA"/>
    <s v="Mandasig"/>
    <n v="4891"/>
    <n v="4837"/>
    <s v="CONDUCTED TECHNICAL ASSISTANCE"/>
    <n v="2024"/>
    <d v="2024-11-14T00:00:00"/>
    <x v="0"/>
    <s v="Roger T. Encarnacion II"/>
    <m/>
    <s v="Yves Yshmael M. Balagtas"/>
    <m/>
    <m/>
    <m/>
    <m/>
    <m/>
    <s v=""/>
    <s v=""/>
    <s v=""/>
    <s v=""/>
    <m/>
    <s v="MRF"/>
    <s v="OPERATIONAL"/>
    <s v="Technical Assistance"/>
    <m/>
  </r>
  <r>
    <x v="4"/>
    <x v="81"/>
    <s v="MBA"/>
    <s v="Mandili"/>
    <n v="5136"/>
    <n v="5462"/>
    <s v="NO TECHNICAL ASSISTANCE CONDUCTED"/>
    <m/>
    <m/>
    <x v="0"/>
    <s v="Roger T. Encarnacion II"/>
    <m/>
    <s v="Yves Yshmael M. Balagtas"/>
    <m/>
    <m/>
    <m/>
    <m/>
    <m/>
    <s v=""/>
    <s v=""/>
    <s v=""/>
    <s v=""/>
    <m/>
    <m/>
    <m/>
    <m/>
    <m/>
  </r>
  <r>
    <x v="4"/>
    <x v="81"/>
    <s v="MBA"/>
    <s v="Mangga"/>
    <n v="3322"/>
    <n v="4037"/>
    <s v="NO TECHNICAL ASSISTANCE CONDUCTED"/>
    <m/>
    <m/>
    <x v="0"/>
    <s v="Roger T. Encarnacion II"/>
    <m/>
    <s v="Yves Yshmael M. Balagtas"/>
    <m/>
    <m/>
    <m/>
    <m/>
    <m/>
    <s v=""/>
    <s v=""/>
    <s v=""/>
    <s v=""/>
    <m/>
    <m/>
    <m/>
    <m/>
    <m/>
  </r>
  <r>
    <x v="4"/>
    <x v="81"/>
    <s v="MBA"/>
    <s v="Mapaniqui"/>
    <n v="4836"/>
    <n v="5395"/>
    <s v="CONDUCTED TECHNICAL ASSISTANCE"/>
    <n v="2025"/>
    <d v="2025-09-27T00:00:00"/>
    <x v="5"/>
    <s v="Roger T. Encarnacion II"/>
    <m/>
    <s v="Yves Yshmael M. Balagtas"/>
    <s v="R3-2025-035183"/>
    <d v="2025-10-16T00:00:00"/>
    <m/>
    <d v="2025-10-17T00:00:00"/>
    <d v="2025-10-20T00:00:00"/>
    <n v="13"/>
    <s v=""/>
    <n v="1"/>
    <n v="1"/>
    <s v="Received by Planning"/>
    <s v="MRS"/>
    <s v="OPERATIONAL"/>
    <s v="Technical Assistance"/>
    <m/>
  </r>
  <r>
    <x v="4"/>
    <x v="81"/>
    <s v="MBA"/>
    <s v="Paligui"/>
    <n v="1553"/>
    <n v="1631"/>
    <s v="NO TECHNICAL ASSISTANCE CONDUCTED"/>
    <m/>
    <m/>
    <x v="0"/>
    <s v="Roger T. Encarnacion II"/>
    <m/>
    <s v="Yves Yshmael M. Balagtas"/>
    <m/>
    <m/>
    <m/>
    <m/>
    <m/>
    <s v=""/>
    <s v=""/>
    <s v=""/>
    <s v=""/>
    <m/>
    <m/>
    <m/>
    <m/>
    <m/>
  </r>
  <r>
    <x v="4"/>
    <x v="81"/>
    <s v="MBA"/>
    <s v="Pangclara"/>
    <n v="1587"/>
    <n v="1679"/>
    <s v="NO TECHNICAL ASSISTANCE CONDUCTED"/>
    <m/>
    <m/>
    <x v="0"/>
    <s v="Roger T. Encarnacion II"/>
    <m/>
    <s v="Yves Yshmael M. Balagtas"/>
    <m/>
    <m/>
    <m/>
    <m/>
    <m/>
    <s v=""/>
    <s v=""/>
    <s v=""/>
    <s v=""/>
    <m/>
    <m/>
    <m/>
    <m/>
    <m/>
  </r>
  <r>
    <x v="4"/>
    <x v="81"/>
    <s v="MBA"/>
    <s v="Pansinao"/>
    <n v="3295"/>
    <n v="3815"/>
    <s v="NO TECHNICAL ASSISTANCE CONDUCTED"/>
    <m/>
    <m/>
    <x v="0"/>
    <s v="Roger T. Encarnacion II"/>
    <m/>
    <s v="Yves Yshmael M. Balagtas"/>
    <m/>
    <m/>
    <m/>
    <m/>
    <m/>
    <s v=""/>
    <s v=""/>
    <s v=""/>
    <s v=""/>
    <m/>
    <m/>
    <m/>
    <m/>
    <m/>
  </r>
  <r>
    <x v="4"/>
    <x v="81"/>
    <s v="MBA"/>
    <s v="Pasig"/>
    <n v="5383"/>
    <n v="5591"/>
    <s v="NO TECHNICAL ASSISTANCE CONDUCTED"/>
    <m/>
    <m/>
    <x v="0"/>
    <s v="Roger T. Encarnacion II"/>
    <m/>
    <s v="Yves Yshmael M. Balagtas"/>
    <m/>
    <m/>
    <m/>
    <m/>
    <m/>
    <s v=""/>
    <s v=""/>
    <s v=""/>
    <s v=""/>
    <m/>
    <m/>
    <m/>
    <m/>
    <m/>
  </r>
  <r>
    <x v="4"/>
    <x v="81"/>
    <s v="MBA"/>
    <s v="Pescadores (Pob.)"/>
    <n v="1753"/>
    <n v="1872"/>
    <s v="CONDUCTED TECHNICAL ASSISTANCE"/>
    <n v="2024"/>
    <d v="2024-11-14T00:00:00"/>
    <x v="0"/>
    <s v="Roger T. Encarnacion II"/>
    <m/>
    <s v="Yves Yshmael M. Balagtas"/>
    <m/>
    <m/>
    <m/>
    <m/>
    <m/>
    <s v=""/>
    <s v=""/>
    <s v=""/>
    <s v=""/>
    <m/>
    <s v="MRF"/>
    <s v="NON-OPERATIONAL"/>
    <s v="Technical Assistance"/>
    <m/>
  </r>
  <r>
    <x v="4"/>
    <x v="81"/>
    <s v="MBA"/>
    <s v="Pulong Gubat"/>
    <n v="2009"/>
    <n v="2134"/>
    <s v="NO TECHNICAL ASSISTANCE CONDUCTED"/>
    <m/>
    <m/>
    <x v="0"/>
    <s v="Roger T. Encarnacion II"/>
    <m/>
    <s v="Yves Yshmael M. Balagtas"/>
    <m/>
    <m/>
    <m/>
    <m/>
    <m/>
    <s v=""/>
    <s v=""/>
    <s v=""/>
    <s v=""/>
    <m/>
    <m/>
    <m/>
    <m/>
    <m/>
  </r>
  <r>
    <x v="4"/>
    <x v="81"/>
    <s v="MBA"/>
    <s v="Pulong Palazan"/>
    <n v="3471"/>
    <n v="3864"/>
    <s v="NO TECHNICAL ASSISTANCE CONDUCTED"/>
    <m/>
    <m/>
    <x v="0"/>
    <s v="Roger T. Encarnacion II"/>
    <m/>
    <s v="Yves Yshmael M. Balagtas"/>
    <m/>
    <m/>
    <m/>
    <m/>
    <m/>
    <s v=""/>
    <s v=""/>
    <s v=""/>
    <s v=""/>
    <m/>
    <m/>
    <m/>
    <m/>
    <m/>
  </r>
  <r>
    <x v="4"/>
    <x v="81"/>
    <s v="MBA"/>
    <s v="Salapungan"/>
    <n v="5579"/>
    <n v="5019"/>
    <s v="NO TECHNICAL ASSISTANCE CONDUCTED"/>
    <m/>
    <m/>
    <x v="0"/>
    <s v="Roger T. Encarnacion II"/>
    <m/>
    <s v="Yves Yshmael M. Balagtas"/>
    <m/>
    <m/>
    <m/>
    <m/>
    <m/>
    <s v=""/>
    <s v=""/>
    <s v=""/>
    <s v=""/>
    <m/>
    <m/>
    <m/>
    <m/>
    <m/>
  </r>
  <r>
    <x v="4"/>
    <x v="81"/>
    <s v="MBA"/>
    <s v="San Agustin (Pob.)"/>
    <n v="5068"/>
    <n v="5293"/>
    <s v="CONDUCTED TECHNICAL ASSISTANCE"/>
    <n v="2024"/>
    <d v="2024-11-14T00:00:00"/>
    <x v="0"/>
    <s v="Roger T. Encarnacion II"/>
    <m/>
    <s v="Yves Yshmael M. Balagtas"/>
    <m/>
    <m/>
    <m/>
    <m/>
    <m/>
    <s v=""/>
    <s v=""/>
    <s v=""/>
    <s v=""/>
    <m/>
    <s v="MRF"/>
    <s v="OPERATIONAL"/>
    <s v="Technical Assistance"/>
    <m/>
  </r>
  <r>
    <x v="4"/>
    <x v="81"/>
    <s v="MBA"/>
    <s v="Santo Rosario"/>
    <n v="1157"/>
    <n v="1338"/>
    <s v="NO TECHNICAL ASSISTANCE CONDUCTED"/>
    <m/>
    <m/>
    <x v="0"/>
    <s v="Roger T. Encarnacion II"/>
    <m/>
    <s v="Yves Yshmael M. Balagtas"/>
    <m/>
    <m/>
    <m/>
    <m/>
    <m/>
    <s v=""/>
    <s v=""/>
    <s v=""/>
    <s v=""/>
    <m/>
    <m/>
    <m/>
    <m/>
    <m/>
  </r>
  <r>
    <x v="4"/>
    <x v="81"/>
    <s v="MBA"/>
    <s v="Tagulod"/>
    <n v="2510"/>
    <n v="2570"/>
    <s v="NO TECHNICAL ASSISTANCE CONDUCTED"/>
    <m/>
    <m/>
    <x v="0"/>
    <s v="Roger T. Encarnacion II"/>
    <m/>
    <s v="Yves Yshmael M. Balagtas"/>
    <m/>
    <m/>
    <m/>
    <m/>
    <m/>
    <s v=""/>
    <s v=""/>
    <s v=""/>
    <s v=""/>
    <m/>
    <m/>
    <m/>
    <m/>
    <m/>
  </r>
  <r>
    <x v="4"/>
    <x v="81"/>
    <s v="MBA"/>
    <s v="Talang"/>
    <n v="3107"/>
    <n v="3713"/>
    <s v="CONDUCTED TECHNICAL ASSISTANCE"/>
    <n v="2025"/>
    <d v="2025-09-23T00:00:00"/>
    <x v="5"/>
    <s v="Roger T. Encarnacion II"/>
    <m/>
    <s v="Yves Yshmael M. Balagtas"/>
    <s v="R3-2025-035180"/>
    <d v="2025-10-16T00:00:00"/>
    <m/>
    <d v="2025-10-17T00:00:00"/>
    <d v="2025-10-20T00:00:00"/>
    <n v="17"/>
    <s v=""/>
    <n v="1"/>
    <n v="1"/>
    <s v="Received by Planning"/>
    <s v="MRF"/>
    <s v="OPERATIONAL"/>
    <s v="Technical Assistance"/>
    <m/>
  </r>
  <r>
    <x v="4"/>
    <x v="81"/>
    <s v="MBA"/>
    <s v="Tenejero"/>
    <n v="2848"/>
    <n v="3266"/>
    <s v="NO TECHNICAL ASSISTANCE CONDUCTED"/>
    <m/>
    <m/>
    <x v="0"/>
    <s v="Roger T. Encarnacion II"/>
    <m/>
    <s v="Yves Yshmael M. Balagtas"/>
    <m/>
    <m/>
    <m/>
    <m/>
    <m/>
    <s v=""/>
    <s v=""/>
    <s v=""/>
    <s v=""/>
    <m/>
    <m/>
    <m/>
    <m/>
    <m/>
  </r>
  <r>
    <x v="4"/>
    <x v="81"/>
    <s v="MBA"/>
    <s v="Vizal San Pablo"/>
    <n v="2565"/>
    <n v="2824"/>
    <s v="CONDUCTED TECHNICAL ASSISTANCE"/>
    <n v="2025"/>
    <d v="2025-09-24T00:00:00"/>
    <x v="5"/>
    <s v="Roger T. Encarnacion II"/>
    <m/>
    <s v="Yves Yshmael M. Balagtas"/>
    <s v="R3-2025-035181"/>
    <d v="2025-10-16T00:00:00"/>
    <m/>
    <d v="2025-10-17T00:00:00"/>
    <d v="2025-10-20T00:00:00"/>
    <n v="16"/>
    <s v=""/>
    <n v="1"/>
    <n v="1"/>
    <s v="Received by Planning"/>
    <s v="MRS"/>
    <s v="OPERATIONAL"/>
    <s v="Technical Assistance"/>
    <m/>
  </r>
  <r>
    <x v="4"/>
    <x v="81"/>
    <s v="MBA"/>
    <s v="Vizal Santo Cristo"/>
    <n v="2309"/>
    <n v="2461"/>
    <s v="NO TECHNICAL ASSISTANCE CONDUCTED"/>
    <m/>
    <m/>
    <x v="0"/>
    <s v="Roger T. Encarnacion II"/>
    <m/>
    <s v="Yves Yshmael M. Balagtas"/>
    <m/>
    <m/>
    <m/>
    <m/>
    <m/>
    <s v=""/>
    <s v=""/>
    <s v=""/>
    <s v=""/>
    <m/>
    <m/>
    <m/>
    <m/>
    <m/>
  </r>
  <r>
    <x v="4"/>
    <x v="81"/>
    <s v="MBA"/>
    <s v="Vizal Santo Niño"/>
    <n v="2748"/>
    <n v="2700"/>
    <s v="NO TECHNICAL ASSISTANCE CONDUCTED"/>
    <m/>
    <m/>
    <x v="0"/>
    <s v="Roger T. Encarnacion II"/>
    <m/>
    <s v="Yves Yshmael M. Balagtas"/>
    <m/>
    <m/>
    <m/>
    <m/>
    <m/>
    <s v=""/>
    <s v=""/>
    <s v=""/>
    <s v=""/>
    <m/>
    <m/>
    <m/>
    <m/>
    <m/>
  </r>
  <r>
    <x v="4"/>
    <x v="82"/>
    <s v="MBA"/>
    <s v="Del Pilar"/>
    <n v="9260"/>
    <n v="10832"/>
    <s v="CONDUCTED TECHNICAL ASSISTANCE"/>
    <n v="2025"/>
    <d v="2025-09-09T00:00:00"/>
    <x v="7"/>
    <s v="Elyza A. Evilla"/>
    <s v="Jan Emerson C. Gonzales"/>
    <s v="Yves Yshmael M. Balagtas"/>
    <s v="R3-2025-030719"/>
    <d v="2025-09-13T00:00:00"/>
    <d v="2025-09-17T00:00:00"/>
    <d v="2025-09-17T00:00:00"/>
    <d v="2025-09-18T00:00:00"/>
    <n v="3"/>
    <n v="2"/>
    <n v="1"/>
    <n v="1"/>
    <s v="Received by Planning"/>
    <s v="MRF"/>
    <s v="OPERATIONAL"/>
    <s v="Technical Assistance"/>
    <m/>
  </r>
  <r>
    <x v="4"/>
    <x v="82"/>
    <s v="MBA"/>
    <s v="Alasas"/>
    <n v="4089"/>
    <n v="7026"/>
    <s v="CONDUCTED TECHNICAL ASSISTANCE"/>
    <n v="2025"/>
    <d v="2025-08-13T00:00:00"/>
    <x v="9"/>
    <s v="Elyza A. Evilla"/>
    <s v="Jan Emerson C. Gonzales"/>
    <s v="Yves Yshmael M. Balagtas"/>
    <s v="R3-2025-027286"/>
    <d v="2025-08-14T00:00:00"/>
    <d v="2025-08-15T00:00:00"/>
    <d v="2025-08-19T00:00:00"/>
    <d v="2025-08-19T00:00:00"/>
    <n v="1"/>
    <n v="1"/>
    <n v="2"/>
    <n v="1"/>
    <s v="Received by Planning"/>
    <s v="MRF"/>
    <s v="OPERATIONAL"/>
    <s v="Technical Assistance"/>
    <m/>
  </r>
  <r>
    <x v="4"/>
    <x v="82"/>
    <s v="MBA"/>
    <s v="Baliti"/>
    <n v="5454"/>
    <n v="6894"/>
    <s v="CONDUCTED TECHNICAL ASSISTANCE"/>
    <n v="2024"/>
    <d v="2024-05-08T00:00:00"/>
    <x v="0"/>
    <s v="Elyza A. Evilla"/>
    <m/>
    <s v="Yves Yshmael M. Balagtas"/>
    <m/>
    <m/>
    <m/>
    <m/>
    <m/>
    <s v=""/>
    <s v=""/>
    <s v=""/>
    <s v=""/>
    <m/>
    <m/>
    <m/>
    <s v="Technical Assistance"/>
    <m/>
  </r>
  <r>
    <x v="4"/>
    <x v="82"/>
    <s v="MBA"/>
    <s v="Bulaon"/>
    <n v="24685"/>
    <n v="27506"/>
    <s v="NO TECHNICAL ASSISTANCE CONDUCTED"/>
    <m/>
    <m/>
    <x v="0"/>
    <s v="Elyza A. Evilla"/>
    <m/>
    <s v="Yves Yshmael M. Balagtas"/>
    <m/>
    <m/>
    <m/>
    <m/>
    <m/>
    <s v=""/>
    <s v=""/>
    <s v=""/>
    <s v=""/>
    <m/>
    <m/>
    <m/>
    <m/>
    <m/>
  </r>
  <r>
    <x v="4"/>
    <x v="82"/>
    <s v="MBA"/>
    <s v="Calulut"/>
    <n v="37741"/>
    <n v="42528"/>
    <s v="NO TECHNICAL ASSISTANCE CONDUCTED"/>
    <m/>
    <m/>
    <x v="0"/>
    <s v="Elyza A. Evilla"/>
    <m/>
    <s v="Yves Yshmael M. Balagtas"/>
    <m/>
    <m/>
    <m/>
    <m/>
    <m/>
    <s v=""/>
    <s v=""/>
    <s v=""/>
    <s v=""/>
    <m/>
    <m/>
    <m/>
    <m/>
    <m/>
  </r>
  <r>
    <x v="4"/>
    <x v="82"/>
    <s v="MBA"/>
    <s v="Del Carmen"/>
    <n v="5879"/>
    <n v="6846"/>
    <s v="CONDUCTED TECHNICAL ASSISTANCE"/>
    <n v="2024"/>
    <d v="2024-04-03T00:00:00"/>
    <x v="0"/>
    <s v="Elyza A. Evilla"/>
    <m/>
    <s v="Yves Yshmael M. Balagtas"/>
    <m/>
    <m/>
    <m/>
    <m/>
    <m/>
    <s v=""/>
    <s v=""/>
    <s v=""/>
    <s v=""/>
    <m/>
    <m/>
    <m/>
    <s v="Technical Assistance"/>
    <m/>
  </r>
  <r>
    <x v="4"/>
    <x v="82"/>
    <s v="MBA"/>
    <s v="San Juan"/>
    <n v="4587"/>
    <n v="5712"/>
    <s v="CONDUCTED TECHNICAL ASSISTANCE"/>
    <n v="2025"/>
    <d v="2025-09-09T00:00:00"/>
    <x v="7"/>
    <s v="Elyza A. Evilla"/>
    <s v="Jan Emerson C. Gonzales"/>
    <s v="Yves Yshmael M. Balagtas"/>
    <s v="R3-2025-030720"/>
    <d v="2025-09-13T00:00:00"/>
    <d v="2025-09-17T00:00:00"/>
    <d v="2025-09-17T00:00:00"/>
    <d v="2025-09-18T00:00:00"/>
    <n v="3"/>
    <n v="2"/>
    <n v="1"/>
    <n v="1"/>
    <s v="Received by Planning"/>
    <s v="MRF"/>
    <s v="OPERATIONAL"/>
    <s v="Technical Assistance"/>
    <m/>
  </r>
  <r>
    <x v="4"/>
    <x v="82"/>
    <s v="MBA"/>
    <s v="Del Rosario"/>
    <n v="6885"/>
    <n v="8105"/>
    <s v="NO TECHNICAL ASSISTANCE CONDUCTED"/>
    <m/>
    <m/>
    <x v="0"/>
    <s v="Elyza A. Evilla"/>
    <m/>
    <s v="Yves Yshmael M. Balagtas"/>
    <m/>
    <m/>
    <m/>
    <m/>
    <m/>
    <s v=""/>
    <s v=""/>
    <s v=""/>
    <s v=""/>
    <m/>
    <m/>
    <m/>
    <m/>
    <m/>
  </r>
  <r>
    <x v="4"/>
    <x v="82"/>
    <s v="MBA"/>
    <s v="Dela Paz Norte"/>
    <n v="4397"/>
    <n v="5768"/>
    <s v="NO TECHNICAL ASSISTANCE CONDUCTED"/>
    <m/>
    <m/>
    <x v="0"/>
    <s v="Elyza A. Evilla"/>
    <m/>
    <s v="Yves Yshmael M. Balagtas"/>
    <m/>
    <m/>
    <m/>
    <m/>
    <m/>
    <s v=""/>
    <s v=""/>
    <s v=""/>
    <s v=""/>
    <m/>
    <m/>
    <m/>
    <m/>
    <m/>
  </r>
  <r>
    <x v="4"/>
    <x v="82"/>
    <s v="MBA"/>
    <s v="Dela Paz Sur"/>
    <n v="3036"/>
    <n v="3029"/>
    <s v="NO TECHNICAL ASSISTANCE CONDUCTED"/>
    <m/>
    <m/>
    <x v="0"/>
    <s v="Elyza A. Evilla"/>
    <m/>
    <s v="Yves Yshmael M. Balagtas"/>
    <m/>
    <m/>
    <m/>
    <m/>
    <m/>
    <s v=""/>
    <s v=""/>
    <s v=""/>
    <s v=""/>
    <m/>
    <m/>
    <m/>
    <m/>
    <m/>
  </r>
  <r>
    <x v="4"/>
    <x v="82"/>
    <s v="MBA"/>
    <s v="Dolores"/>
    <n v="19582"/>
    <n v="20542"/>
    <s v="NO TECHNICAL ASSISTANCE CONDUCTED"/>
    <m/>
    <m/>
    <x v="0"/>
    <s v="Elyza A. Evilla"/>
    <m/>
    <s v="Yves Yshmael M. Balagtas"/>
    <m/>
    <m/>
    <m/>
    <m/>
    <m/>
    <s v=""/>
    <s v=""/>
    <s v=""/>
    <s v=""/>
    <m/>
    <m/>
    <m/>
    <m/>
    <m/>
  </r>
  <r>
    <x v="4"/>
    <x v="82"/>
    <s v="MBA"/>
    <s v="Juliana"/>
    <n v="2899"/>
    <n v="4048"/>
    <s v="NO TECHNICAL ASSISTANCE CONDUCTED"/>
    <m/>
    <m/>
    <x v="0"/>
    <s v="Elyza A. Evilla"/>
    <m/>
    <s v="Yves Yshmael M. Balagtas"/>
    <m/>
    <m/>
    <m/>
    <m/>
    <m/>
    <s v=""/>
    <s v=""/>
    <s v=""/>
    <s v=""/>
    <m/>
    <m/>
    <m/>
    <m/>
    <m/>
  </r>
  <r>
    <x v="4"/>
    <x v="82"/>
    <s v="MBA"/>
    <s v="Lara"/>
    <n v="3128"/>
    <n v="3793"/>
    <s v="NO TECHNICAL ASSISTANCE CONDUCTED"/>
    <m/>
    <m/>
    <x v="0"/>
    <s v="Elyza A. Evilla"/>
    <m/>
    <s v="Yves Yshmael M. Balagtas"/>
    <m/>
    <m/>
    <m/>
    <m/>
    <m/>
    <s v=""/>
    <s v=""/>
    <s v=""/>
    <s v=""/>
    <m/>
    <m/>
    <m/>
    <m/>
    <m/>
  </r>
  <r>
    <x v="4"/>
    <x v="82"/>
    <s v="MBA"/>
    <s v="Lourdes"/>
    <n v="4256"/>
    <n v="4045"/>
    <s v="NO TECHNICAL ASSISTANCE CONDUCTED"/>
    <m/>
    <m/>
    <x v="0"/>
    <s v="Elyza A. Evilla"/>
    <m/>
    <s v="Yves Yshmael M. Balagtas"/>
    <m/>
    <m/>
    <m/>
    <m/>
    <m/>
    <s v=""/>
    <s v=""/>
    <s v=""/>
    <s v=""/>
    <m/>
    <m/>
    <m/>
    <m/>
    <m/>
  </r>
  <r>
    <x v="4"/>
    <x v="82"/>
    <s v="MBA"/>
    <s v="Magliman"/>
    <n v="4913"/>
    <n v="6666"/>
    <s v="CONDUCTED TECHNICAL ASSISTANCE"/>
    <n v="2024"/>
    <d v="2024-10-08T00:00:00"/>
    <x v="0"/>
    <s v="Elyza A. Evilla"/>
    <m/>
    <s v="Yves Yshmael M. Balagtas"/>
    <m/>
    <m/>
    <m/>
    <m/>
    <m/>
    <s v=""/>
    <s v=""/>
    <s v=""/>
    <s v=""/>
    <m/>
    <s v="MRF"/>
    <s v="OPERATIONAL"/>
    <s v="Technical Assistance"/>
    <m/>
  </r>
  <r>
    <x v="4"/>
    <x v="82"/>
    <s v="MBA"/>
    <s v="Maimpis"/>
    <n v="9441"/>
    <n v="12847"/>
    <s v="NO TECHNICAL ASSISTANCE CONDUCTED"/>
    <m/>
    <m/>
    <x v="0"/>
    <s v="Elyza A. Evilla"/>
    <m/>
    <s v="Yves Yshmael M. Balagtas"/>
    <m/>
    <m/>
    <m/>
    <m/>
    <m/>
    <s v=""/>
    <s v=""/>
    <s v=""/>
    <s v=""/>
    <m/>
    <m/>
    <m/>
    <m/>
    <m/>
  </r>
  <r>
    <x v="4"/>
    <x v="82"/>
    <s v="MBA"/>
    <s v="Malino"/>
    <n v="4487"/>
    <n v="5082"/>
    <s v="NO TECHNICAL ASSISTANCE CONDUCTED"/>
    <m/>
    <m/>
    <x v="0"/>
    <s v="Elyza A. Evilla"/>
    <m/>
    <s v="Yves Yshmael M. Balagtas"/>
    <m/>
    <m/>
    <m/>
    <m/>
    <m/>
    <s v=""/>
    <s v=""/>
    <s v=""/>
    <s v=""/>
    <m/>
    <m/>
    <m/>
    <m/>
    <m/>
  </r>
  <r>
    <x v="4"/>
    <x v="82"/>
    <s v="MBA"/>
    <s v="Malpitic"/>
    <n v="7048"/>
    <n v="7509"/>
    <s v="NO TECHNICAL ASSISTANCE CONDUCTED"/>
    <m/>
    <m/>
    <x v="0"/>
    <s v="Elyza A. Evilla"/>
    <m/>
    <s v="Yves Yshmael M. Balagtas"/>
    <m/>
    <m/>
    <m/>
    <m/>
    <m/>
    <s v=""/>
    <s v=""/>
    <s v=""/>
    <s v=""/>
    <m/>
    <m/>
    <m/>
    <m/>
    <m/>
  </r>
  <r>
    <x v="4"/>
    <x v="82"/>
    <s v="MBA"/>
    <s v="Pandaras"/>
    <n v="1404"/>
    <n v="1601"/>
    <s v="NO TECHNICAL ASSISTANCE CONDUCTED"/>
    <m/>
    <m/>
    <x v="0"/>
    <s v="Elyza A. Evilla"/>
    <m/>
    <s v="Yves Yshmael M. Balagtas"/>
    <m/>
    <m/>
    <m/>
    <m/>
    <m/>
    <s v=""/>
    <s v=""/>
    <s v=""/>
    <s v=""/>
    <m/>
    <m/>
    <m/>
    <m/>
    <m/>
  </r>
  <r>
    <x v="4"/>
    <x v="82"/>
    <s v="MBA"/>
    <s v="Panipuan"/>
    <n v="7259"/>
    <n v="8254"/>
    <s v="CONDUCTED TECHNICAL ASSISTANCE"/>
    <n v="2025"/>
    <d v="2025-03-14T00:00:00"/>
    <x v="1"/>
    <s v="Elyza A. Evilla"/>
    <m/>
    <s v="Yves Yshmael M. Balagtas"/>
    <s v="R3-2025-008734"/>
    <d v="2025-03-14T00:00:00"/>
    <m/>
    <d v="2025-03-17T00:00:00"/>
    <d v="2025-03-18T00:00:00"/>
    <n v="1"/>
    <s v=""/>
    <n v="1"/>
    <n v="1"/>
    <s v="Received by Planning"/>
    <s v="MRS"/>
    <s v="OPERATIONAL"/>
    <s v="Technical Assistance"/>
    <m/>
  </r>
  <r>
    <x v="4"/>
    <x v="82"/>
    <s v="MBA"/>
    <s v="Pulung Bulu"/>
    <n v="3115"/>
    <n v="6448"/>
    <s v="NO TECHNICAL ASSISTANCE CONDUCTED"/>
    <m/>
    <m/>
    <x v="0"/>
    <s v="Elyza A. Evilla"/>
    <m/>
    <s v="Yves Yshmael M. Balagtas"/>
    <m/>
    <m/>
    <m/>
    <m/>
    <m/>
    <s v=""/>
    <s v=""/>
    <s v=""/>
    <s v=""/>
    <m/>
    <m/>
    <m/>
    <m/>
    <m/>
  </r>
  <r>
    <x v="4"/>
    <x v="82"/>
    <s v="MBA"/>
    <s v="Quebiauan"/>
    <n v="9893"/>
    <n v="11002"/>
    <s v="NO TECHNICAL ASSISTANCE CONDUCTED"/>
    <m/>
    <m/>
    <x v="0"/>
    <s v="Elyza A. Evilla"/>
    <m/>
    <s v="Yves Yshmael M. Balagtas"/>
    <m/>
    <m/>
    <m/>
    <m/>
    <m/>
    <s v=""/>
    <s v=""/>
    <s v=""/>
    <s v=""/>
    <m/>
    <m/>
    <m/>
    <m/>
    <m/>
  </r>
  <r>
    <x v="4"/>
    <x v="82"/>
    <s v="MBA"/>
    <s v="Saguin"/>
    <n v="6987"/>
    <n v="8256"/>
    <s v="CONDUCTED TECHNICAL ASSISTANCE"/>
    <n v="2025"/>
    <d v="2025-05-02T00:00:00"/>
    <x v="6"/>
    <s v="Elyza A. Evilla"/>
    <m/>
    <s v="Yves Yshmael M. Balagtas"/>
    <s v="R3-2025-016275"/>
    <d v="2025-05-15T00:00:00"/>
    <m/>
    <d v="2025-05-16T00:00:00"/>
    <d v="2025-05-16T00:00:00"/>
    <n v="9"/>
    <s v=""/>
    <n v="1"/>
    <n v="1"/>
    <s v="Received by Planning"/>
    <s v="MRS"/>
    <s v="OPERATIONAL"/>
    <s v="Technical Assistance"/>
    <m/>
  </r>
  <r>
    <x v="4"/>
    <x v="82"/>
    <s v="MBA"/>
    <s v="San Agustin"/>
    <n v="20166"/>
    <n v="22539"/>
    <s v="NO TECHNICAL ASSISTANCE CONDUCTED"/>
    <m/>
    <m/>
    <x v="0"/>
    <s v="Elyza A. Evilla"/>
    <m/>
    <s v="Yves Yshmael M. Balagtas"/>
    <m/>
    <m/>
    <m/>
    <m/>
    <m/>
    <s v=""/>
    <s v=""/>
    <s v=""/>
    <s v=""/>
    <m/>
    <m/>
    <m/>
    <m/>
    <m/>
  </r>
  <r>
    <x v="4"/>
    <x v="82"/>
    <s v="MBA"/>
    <s v="San Felipe"/>
    <n v="4280"/>
    <n v="6035"/>
    <s v="NO TECHNICAL ASSISTANCE CONDUCTED"/>
    <m/>
    <m/>
    <x v="0"/>
    <s v="Elyza A. Evilla"/>
    <m/>
    <s v="Yves Yshmael M. Balagtas"/>
    <m/>
    <m/>
    <m/>
    <m/>
    <m/>
    <s v=""/>
    <s v=""/>
    <s v=""/>
    <s v=""/>
    <m/>
    <m/>
    <m/>
    <m/>
    <m/>
  </r>
  <r>
    <x v="4"/>
    <x v="82"/>
    <s v="MBA"/>
    <s v="San Isidro"/>
    <n v="4280"/>
    <n v="9616"/>
    <s v="CONDUCTED TECHNICAL ASSISTANCE"/>
    <n v="2025"/>
    <d v="2025-07-01T00:00:00"/>
    <x v="8"/>
    <s v="Elyza A. Evilla"/>
    <s v="Jan Emerson C. Gonzales"/>
    <s v="Yves Yshmael M. Balagtas"/>
    <s v="R3-2025-022195"/>
    <d v="2025-07-06T00:00:00"/>
    <d v="2025-07-09T00:00:00"/>
    <d v="2025-07-16T00:00:00"/>
    <d v="2025-07-17T00:00:00"/>
    <n v="3"/>
    <n v="2"/>
    <n v="5"/>
    <n v="1"/>
    <s v="Received by Planning"/>
    <s v="MRF"/>
    <s v="OPERATIONAL"/>
    <s v="Technical Assistance"/>
    <m/>
  </r>
  <r>
    <x v="4"/>
    <x v="82"/>
    <s v="MBA"/>
    <s v="San Jose"/>
    <n v="15313"/>
    <n v="16164"/>
    <s v="CONDUCTED TECHNICAL ASSISTANCE"/>
    <n v="2024"/>
    <d v="2024-09-10T00:00:00"/>
    <x v="0"/>
    <s v="Elyza A. Evilla"/>
    <m/>
    <s v="Yves Yshmael M. Balagtas"/>
    <m/>
    <m/>
    <m/>
    <m/>
    <m/>
    <s v=""/>
    <s v=""/>
    <s v=""/>
    <s v=""/>
    <m/>
    <s v="MRF"/>
    <s v="OPERATIONAL"/>
    <s v="Technical Assistance"/>
    <m/>
  </r>
  <r>
    <x v="4"/>
    <x v="82"/>
    <s v="MBA"/>
    <s v="Santa Lucia"/>
    <n v="7474"/>
    <n v="10090"/>
    <s v="CONDUCTED TECHNICAL ASSISTANCE"/>
    <n v="2025"/>
    <d v="2025-09-09T00:00:00"/>
    <x v="7"/>
    <s v="Elyza A. Evilla"/>
    <s v="Jan Emerson C. Gonzales"/>
    <s v="Yves Yshmael M. Balagtas"/>
    <s v="R3-2025-030721"/>
    <d v="2025-09-13T00:00:00"/>
    <d v="2025-09-17T00:00:00"/>
    <d v="2025-09-17T00:00:00"/>
    <d v="2025-09-18T00:00:00"/>
    <n v="3"/>
    <n v="2"/>
    <n v="1"/>
    <n v="1"/>
    <s v="Received by Planning"/>
    <s v="MRF"/>
    <s v="UNDER CONSTRUCTION"/>
    <s v="Technical Assistance"/>
    <m/>
  </r>
  <r>
    <x v="4"/>
    <x v="82"/>
    <s v="MBA"/>
    <s v="San Nicolas"/>
    <n v="9927"/>
    <n v="9899"/>
    <s v="NO TECHNICAL ASSISTANCE CONDUCTED"/>
    <m/>
    <m/>
    <x v="0"/>
    <s v="Elyza A. Evilla"/>
    <m/>
    <s v="Yves Yshmael M. Balagtas"/>
    <m/>
    <m/>
    <m/>
    <m/>
    <m/>
    <s v=""/>
    <s v=""/>
    <s v=""/>
    <s v=""/>
    <m/>
    <m/>
    <m/>
    <m/>
    <m/>
  </r>
  <r>
    <x v="4"/>
    <x v="82"/>
    <s v="MBA"/>
    <s v="San Pedro"/>
    <n v="12219"/>
    <n v="12049"/>
    <s v="NO TECHNICAL ASSISTANCE CONDUCTED"/>
    <m/>
    <m/>
    <x v="0"/>
    <s v="Elyza A. Evilla"/>
    <m/>
    <s v="Yves Yshmael M. Balagtas"/>
    <m/>
    <m/>
    <m/>
    <m/>
    <m/>
    <s v=""/>
    <s v=""/>
    <s v=""/>
    <s v=""/>
    <m/>
    <m/>
    <m/>
    <m/>
    <m/>
  </r>
  <r>
    <x v="4"/>
    <x v="82"/>
    <s v="MBA"/>
    <s v="Santa Teresita"/>
    <n v="1270"/>
    <n v="1385"/>
    <s v="NO TECHNICAL ASSISTANCE CONDUCTED"/>
    <m/>
    <m/>
    <x v="0"/>
    <s v="Elyza A. Evilla"/>
    <m/>
    <s v="Yves Yshmael M. Balagtas"/>
    <m/>
    <m/>
    <m/>
    <m/>
    <m/>
    <s v=""/>
    <s v=""/>
    <s v=""/>
    <s v=""/>
    <m/>
    <m/>
    <m/>
    <m/>
    <m/>
  </r>
  <r>
    <x v="4"/>
    <x v="82"/>
    <s v="MBA"/>
    <s v="Santo Niño"/>
    <n v="8804"/>
    <n v="11208"/>
    <s v="CONDUCTED TECHNICAL ASSISTANCE"/>
    <n v="2025"/>
    <d v="2025-01-22T00:00:00"/>
    <x v="2"/>
    <s v="Elyza A. Evilla"/>
    <m/>
    <s v="Yves Yshmael M. Balagtas"/>
    <s v="R3-2025-002079"/>
    <d v="2025-01-22T00:00:00"/>
    <m/>
    <d v="2025-01-24T00:00:00"/>
    <d v="2025-01-24T00:00:00"/>
    <n v="1"/>
    <s v=""/>
    <n v="2"/>
    <n v="1"/>
    <s v="Received by Planning"/>
    <s v="MRF"/>
    <s v="OPERATIONAL"/>
    <s v="Technical Assistance"/>
    <m/>
  </r>
  <r>
    <x v="4"/>
    <x v="82"/>
    <s v="MBA"/>
    <s v="Santo Rosario (Pob.)"/>
    <n v="674"/>
    <n v="727"/>
    <s v="NO TECHNICAL ASSISTANCE CONDUCTED"/>
    <m/>
    <m/>
    <x v="0"/>
    <s v="Elyza A. Evilla"/>
    <m/>
    <s v="Yves Yshmael M. Balagtas"/>
    <m/>
    <m/>
    <m/>
    <m/>
    <m/>
    <s v=""/>
    <s v=""/>
    <s v=""/>
    <s v=""/>
    <m/>
    <m/>
    <m/>
    <m/>
    <m/>
  </r>
  <r>
    <x v="4"/>
    <x v="82"/>
    <s v="MBA"/>
    <s v="Sindalan"/>
    <n v="14188"/>
    <n v="14997"/>
    <s v="CONDUCTED TECHNICAL ASSISTANCE"/>
    <n v="2025"/>
    <d v="2025-02-12T00:00:00"/>
    <x v="3"/>
    <s v="Elyza A. Evilla"/>
    <m/>
    <s v="Yves Yshmael M. Balagtas"/>
    <s v="R3-2025-005786"/>
    <d v="2025-02-17T00:00:00"/>
    <m/>
    <d v="2025-02-18T00:00:00"/>
    <d v="2025-02-18T00:00:00"/>
    <n v="3"/>
    <s v=""/>
    <n v="1"/>
    <n v="1"/>
    <s v="Received by Planning"/>
    <s v="MRF"/>
    <s v="OPERATIONAL"/>
    <s v="Technical Assistance"/>
    <m/>
  </r>
  <r>
    <x v="4"/>
    <x v="82"/>
    <s v="MBA"/>
    <s v="Telabastagan"/>
    <n v="13009"/>
    <n v="15618"/>
    <s v="NO TECHNICAL ASSISTANCE CONDUCTED"/>
    <m/>
    <m/>
    <x v="0"/>
    <s v="Elyza A. Evilla"/>
    <m/>
    <s v="Yves Yshmael M. Balagtas"/>
    <m/>
    <m/>
    <m/>
    <m/>
    <m/>
    <s v=""/>
    <s v=""/>
    <s v=""/>
    <s v=""/>
    <m/>
    <m/>
    <m/>
    <m/>
    <m/>
  </r>
  <r>
    <x v="4"/>
    <x v="83"/>
    <s v="MBA"/>
    <s v="Anon"/>
    <n v="2954"/>
    <n v="3252"/>
    <s v="CONDUCTED TECHNICAL ASSISTANCE"/>
    <n v="2025"/>
    <d v="2025-10-10T00:00:00"/>
    <x v="5"/>
    <s v="Elyza A. Evilla"/>
    <m/>
    <s v="Yves Yshmael M. Balagtas"/>
    <s v="R3-2025-034336"/>
    <d v="2025-10-12T00:00:00"/>
    <m/>
    <d v="2025-10-15T00:00:00"/>
    <d v="2025-10-20T00:00:00"/>
    <n v="1"/>
    <s v=""/>
    <n v="2"/>
    <n v="3"/>
    <s v="Received by Planning"/>
    <s v="MRF"/>
    <s v="OPERATIONAL"/>
    <s v="Technical Assistance"/>
    <m/>
  </r>
  <r>
    <x v="4"/>
    <x v="83"/>
    <s v="MBA"/>
    <s v="Apalit"/>
    <n v="9068"/>
    <n v="9298"/>
    <s v="CONDUCTED TECHNICAL ASSISTANCE"/>
    <n v="2024"/>
    <d v="2024-05-16T00:00:00"/>
    <x v="0"/>
    <s v="Elyza A. Evilla"/>
    <m/>
    <s v="Yves Yshmael M. Balagtas"/>
    <m/>
    <m/>
    <m/>
    <m/>
    <m/>
    <s v=""/>
    <s v=""/>
    <s v=""/>
    <s v=""/>
    <m/>
    <s v="MRF"/>
    <s v="OPERATIONAL"/>
    <s v="Technical Assistance"/>
    <m/>
  </r>
  <r>
    <x v="4"/>
    <x v="83"/>
    <s v="MBA"/>
    <s v="Basa Air Base"/>
    <n v="2840"/>
    <n v="2504"/>
    <s v="CONDUCTED TECHNICAL ASSISTANCE"/>
    <n v="2025"/>
    <d v="2025-10-10T00:00:00"/>
    <x v="5"/>
    <s v="Elyza A. Evilla"/>
    <m/>
    <s v="Yves Yshmael M. Balagtas"/>
    <s v="R3-2025-034337"/>
    <d v="2025-10-12T00:00:00"/>
    <m/>
    <d v="2025-10-15T00:00:00"/>
    <d v="2025-10-20T00:00:00"/>
    <n v="1"/>
    <s v=""/>
    <n v="2"/>
    <n v="3"/>
    <s v="Received by Planning"/>
    <s v="MRF"/>
    <s v="OPERATIONAL"/>
    <s v="Technical Assistance"/>
    <m/>
  </r>
  <r>
    <x v="4"/>
    <x v="83"/>
    <s v="MBA"/>
    <s v="Benedicto"/>
    <n v="1655"/>
    <n v="1877"/>
    <s v="CONDUCTED TECHNICAL ASSISTANCE"/>
    <n v="2024"/>
    <d v="2024-05-16T00:00:00"/>
    <x v="0"/>
    <s v="Elyza A. Evilla"/>
    <m/>
    <s v="Yves Yshmael M. Balagtas"/>
    <m/>
    <m/>
    <m/>
    <m/>
    <m/>
    <s v=""/>
    <s v=""/>
    <s v=""/>
    <s v=""/>
    <m/>
    <s v="MRF"/>
    <s v="OPERATIONAL"/>
    <s v="Technical Assistance"/>
    <m/>
  </r>
  <r>
    <x v="4"/>
    <x v="83"/>
    <s v="MBA"/>
    <s v="Bodega"/>
    <n v="3812"/>
    <n v="3663"/>
    <s v="CONDUCTED TECHNICAL ASSISTANCE"/>
    <n v="2024"/>
    <d v="2024-05-16T00:00:00"/>
    <x v="0"/>
    <s v="Elyza A. Evilla"/>
    <m/>
    <s v="Yves Yshmael M. Balagtas"/>
    <m/>
    <m/>
    <m/>
    <m/>
    <m/>
    <s v=""/>
    <s v=""/>
    <s v=""/>
    <s v=""/>
    <m/>
    <s v="MRS"/>
    <s v="OPERATIONAL"/>
    <s v="Technical Assistance"/>
    <m/>
  </r>
  <r>
    <x v="4"/>
    <x v="83"/>
    <s v="MBA"/>
    <s v="Cabangcalan"/>
    <n v="1904"/>
    <n v="2196"/>
    <s v="CONDUCTED TECHNICAL ASSISTANCE"/>
    <n v="2025"/>
    <d v="2025-10-02T00:00:00"/>
    <x v="5"/>
    <s v="Elyza A. Evilla"/>
    <s v="Jan Emerson C. Gonzales"/>
    <s v="Yves Yshmael M. Balagtas"/>
    <s v="R3-2025-033259"/>
    <d v="2025-10-02T00:00:00"/>
    <d v="2025-10-14T00:00:00"/>
    <d v="2025-10-15T00:00:00"/>
    <d v="2025-10-20T00:00:00"/>
    <n v="1"/>
    <n v="8"/>
    <n v="1"/>
    <n v="3"/>
    <s v="Received by Planning"/>
    <s v="NO FACILITY"/>
    <s v="CATER BY LGU"/>
    <s v="Technical Assistance"/>
    <m/>
  </r>
  <r>
    <x v="4"/>
    <x v="83"/>
    <s v="MBA"/>
    <s v="Calantas"/>
    <n v="6719"/>
    <n v="6828"/>
    <s v="CONDUCTED TECHNICAL ASSISTANCE"/>
    <n v="2025"/>
    <d v="2025-02-14T00:00:00"/>
    <x v="3"/>
    <s v="Elyza A. Evilla"/>
    <m/>
    <s v="Yves Yshmael M. Balagtas"/>
    <s v="R3-2025-005788"/>
    <d v="2025-02-17T00:00:00"/>
    <m/>
    <d v="2025-02-18T00:00:00"/>
    <d v="2025-02-18T00:00:00"/>
    <n v="1"/>
    <s v=""/>
    <n v="1"/>
    <n v="1"/>
    <s v="Received by Planning"/>
    <s v="MRF"/>
    <s v="OPERATIONAL"/>
    <s v="Technical Assistance"/>
    <m/>
  </r>
  <r>
    <x v="4"/>
    <x v="83"/>
    <s v="MBA"/>
    <s v="Carmencita"/>
    <n v="2307"/>
    <n v="2654"/>
    <s v="NO TECHNICAL ASSISTANCE CONDUCTED"/>
    <m/>
    <m/>
    <x v="0"/>
    <s v="Elyza A. Evilla"/>
    <m/>
    <s v="Yves Yshmael M. Balagtas"/>
    <m/>
    <m/>
    <m/>
    <m/>
    <m/>
    <s v=""/>
    <s v=""/>
    <s v=""/>
    <s v=""/>
    <m/>
    <s v="MRF"/>
    <s v="OPERATIONAL"/>
    <m/>
    <m/>
  </r>
  <r>
    <x v="4"/>
    <x v="83"/>
    <s v="MBA"/>
    <s v="Consuelo"/>
    <n v="2997"/>
    <n v="3609"/>
    <s v="CONDUCTED TECHNICAL ASSISTANCE"/>
    <n v="2024"/>
    <d v="2024-07-12T00:00:00"/>
    <x v="0"/>
    <s v="Elyza A. Evilla"/>
    <m/>
    <s v="Yves Yshmael M. Balagtas"/>
    <m/>
    <m/>
    <m/>
    <m/>
    <m/>
    <s v=""/>
    <s v=""/>
    <s v=""/>
    <s v=""/>
    <m/>
    <s v="MRF"/>
    <s v="OPERATIONAL"/>
    <s v="Technical Assistance"/>
    <m/>
  </r>
  <r>
    <x v="4"/>
    <x v="83"/>
    <s v="MBA"/>
    <s v="Dampe"/>
    <n v="3052"/>
    <n v="3268"/>
    <s v="CONDUCTED TECHNICAL ASSISTANCE"/>
    <n v="2024"/>
    <d v="2024-07-12T00:00:00"/>
    <x v="0"/>
    <s v="Elyza A. Evilla"/>
    <m/>
    <s v="Yves Yshmael M. Balagtas"/>
    <m/>
    <m/>
    <m/>
    <m/>
    <m/>
    <s v=""/>
    <s v=""/>
    <s v=""/>
    <s v=""/>
    <m/>
    <s v="MRS"/>
    <s v="OPERATIONAL"/>
    <s v="Technical Assistance"/>
    <m/>
  </r>
  <r>
    <x v="4"/>
    <x v="83"/>
    <s v="MBA"/>
    <s v="Del Carmen"/>
    <n v="3089"/>
    <n v="3152"/>
    <s v="CONDUCTED TECHNICAL ASSISTANCE"/>
    <n v="2024"/>
    <d v="2024-06-14T00:00:00"/>
    <x v="0"/>
    <s v="Elyza A. Evilla"/>
    <m/>
    <s v="Yves Yshmael M. Balagtas"/>
    <m/>
    <m/>
    <m/>
    <m/>
    <m/>
    <s v=""/>
    <s v=""/>
    <s v=""/>
    <s v=""/>
    <m/>
    <s v="MRF"/>
    <s v="OPERATIONAL"/>
    <s v="Technical Assistance"/>
    <m/>
  </r>
  <r>
    <x v="4"/>
    <x v="83"/>
    <s v="MBA"/>
    <s v="Fortuna"/>
    <n v="4377"/>
    <n v="5414"/>
    <s v="CONDUCTED TECHNICAL ASSISTANCE"/>
    <n v="2025"/>
    <d v="2025-03-12T00:00:00"/>
    <x v="1"/>
    <s v="Elyza A. Evilla"/>
    <m/>
    <s v="Yves Yshmael M. Balagtas"/>
    <s v="R3-2025-008732"/>
    <d v="2025-03-12T00:00:00"/>
    <m/>
    <d v="2025-03-17T00:00:00"/>
    <d v="2025-03-18T00:00:00"/>
    <n v="1"/>
    <s v=""/>
    <n v="3"/>
    <n v="1"/>
    <s v="Received by Planning"/>
    <s v="NO FACILITY"/>
    <s v="CATER BY LGU"/>
    <s v="Technical Assistance"/>
    <m/>
  </r>
  <r>
    <x v="4"/>
    <x v="83"/>
    <s v="MBA"/>
    <s v="Gutad"/>
    <n v="3656"/>
    <n v="4559"/>
    <s v="CONDUCTED TECHNICAL ASSISTANCE"/>
    <n v="2025"/>
    <d v="2025-10-10T00:00:00"/>
    <x v="5"/>
    <s v="Elyza A. Evilla"/>
    <m/>
    <s v="Yves Yshmael M. Balagtas"/>
    <s v="R3-2025-034338"/>
    <d v="2025-10-12T00:00:00"/>
    <m/>
    <d v="2025-10-15T00:00:00"/>
    <d v="2025-10-20T00:00:00"/>
    <n v="1"/>
    <s v=""/>
    <n v="2"/>
    <n v="3"/>
    <s v="Received by Planning"/>
    <s v="MRF"/>
    <s v="OPERATIONAL"/>
    <s v="Technical Assistance"/>
    <m/>
  </r>
  <r>
    <x v="4"/>
    <x v="83"/>
    <s v="MBA"/>
    <s v="Mabical"/>
    <n v="3171"/>
    <n v="3195"/>
    <s v="CONDUCTED TECHNICAL ASSISTANCE"/>
    <n v="2024"/>
    <d v="2024-06-14T00:00:00"/>
    <x v="0"/>
    <s v="Elyza A. Evilla"/>
    <m/>
    <s v="Yves Yshmael M. Balagtas"/>
    <m/>
    <m/>
    <m/>
    <m/>
    <m/>
    <s v=""/>
    <s v=""/>
    <s v=""/>
    <s v=""/>
    <m/>
    <s v="MRF"/>
    <s v="OPERATIONAL"/>
    <s v="Technical Assistance"/>
    <m/>
  </r>
  <r>
    <x v="4"/>
    <x v="83"/>
    <s v="MBA"/>
    <s v="Maligaya"/>
    <n v="969"/>
    <n v="996"/>
    <s v="CONDUCTED TECHNICAL ASSISTANCE"/>
    <n v="2025"/>
    <d v="2025-10-10T00:00:00"/>
    <x v="5"/>
    <s v="Elyza A. Evilla"/>
    <m/>
    <s v="Yves Yshmael M. Balagtas"/>
    <s v="R3-2025-034339"/>
    <d v="2025-10-12T00:00:00"/>
    <m/>
    <d v="2025-10-15T00:00:00"/>
    <d v="2025-10-20T00:00:00"/>
    <n v="1"/>
    <s v=""/>
    <n v="2"/>
    <n v="3"/>
    <s v="Received by Planning"/>
    <s v="MRS"/>
    <s v="OPERATIONAL"/>
    <s v="Technical Assistance"/>
    <m/>
  </r>
  <r>
    <x v="4"/>
    <x v="83"/>
    <s v="MBA"/>
    <s v="Mawacat"/>
    <n v="1556"/>
    <n v="1727"/>
    <s v="CONDUCTED TECHNICAL ASSISTANCE"/>
    <n v="2025"/>
    <d v="2025-10-10T00:00:00"/>
    <x v="5"/>
    <s v="Elyza A. Evilla"/>
    <m/>
    <s v="Yves Yshmael M. Balagtas"/>
    <s v="R3-2025-034340"/>
    <d v="2025-10-12T00:00:00"/>
    <m/>
    <d v="2025-10-15T00:00:00"/>
    <d v="2025-10-20T00:00:00"/>
    <n v="1"/>
    <s v=""/>
    <n v="2"/>
    <n v="3"/>
    <s v="Received by Planning"/>
    <s v="MRS"/>
    <s v="OPERATIONAL"/>
    <s v="Technical Assistance"/>
    <m/>
  </r>
  <r>
    <x v="4"/>
    <x v="83"/>
    <s v="MBA"/>
    <s v="Nabuclod"/>
    <n v="4020"/>
    <n v="4413"/>
    <s v="CONDUCTED TECHNICAL ASSISTANCE"/>
    <n v="2025"/>
    <d v="2025-10-10T00:00:00"/>
    <x v="5"/>
    <s v="Elyza A. Evilla"/>
    <m/>
    <s v="Yves Yshmael M. Balagtas"/>
    <s v="R3-2025-034341"/>
    <d v="2025-10-12T00:00:00"/>
    <m/>
    <d v="2025-10-15T00:00:00"/>
    <d v="2025-10-20T00:00:00"/>
    <n v="1"/>
    <s v=""/>
    <n v="2"/>
    <n v="3"/>
    <s v="Received by Planning"/>
    <s v="MRS"/>
    <s v="NON-OPERATIONAL"/>
    <s v="Technical Assistance"/>
    <m/>
  </r>
  <r>
    <x v="4"/>
    <x v="83"/>
    <s v="MBA"/>
    <s v="Pabanlag"/>
    <n v="1828"/>
    <n v="3347"/>
    <s v="CONDUCTED TECHNICAL ASSISTANCE"/>
    <n v="2025"/>
    <d v="2025-10-10T00:00:00"/>
    <x v="5"/>
    <s v="Elyza A. Evilla"/>
    <m/>
    <s v="Yves Yshmael M. Balagtas"/>
    <s v="R3-2025-034342"/>
    <d v="2025-10-12T00:00:00"/>
    <m/>
    <d v="2025-10-15T00:00:00"/>
    <d v="2025-10-20T00:00:00"/>
    <n v="1"/>
    <s v=""/>
    <n v="2"/>
    <n v="3"/>
    <s v="Received by Planning"/>
    <s v="MRS"/>
    <s v="OPERATIONAL"/>
    <s v="Technical Assistance"/>
    <m/>
  </r>
  <r>
    <x v="4"/>
    <x v="83"/>
    <s v="MBA"/>
    <s v="Paguiruan"/>
    <n v="6833"/>
    <n v="6907"/>
    <s v="CONDUCTED TECHNICAL ASSISTANCE"/>
    <n v="2024"/>
    <d v="2024-10-04T00:00:00"/>
    <x v="0"/>
    <s v="Elyza A. Evilla"/>
    <m/>
    <s v="Yves Yshmael M. Balagtas"/>
    <m/>
    <m/>
    <m/>
    <m/>
    <m/>
    <s v=""/>
    <s v=""/>
    <s v=""/>
    <s v=""/>
    <m/>
    <s v="MRS"/>
    <s v="OPERATIONAL"/>
    <s v="Technical Assistance"/>
    <m/>
  </r>
  <r>
    <x v="4"/>
    <x v="83"/>
    <s v="MBA"/>
    <s v="Palmayo"/>
    <n v="6025"/>
    <n v="6655"/>
    <s v="CONDUCTED TECHNICAL ASSISTANCE"/>
    <n v="2024"/>
    <d v="2024-06-14T00:00:00"/>
    <x v="0"/>
    <s v="Elyza A. Evilla"/>
    <m/>
    <s v="Yves Yshmael M. Balagtas"/>
    <m/>
    <m/>
    <m/>
    <m/>
    <m/>
    <s v=""/>
    <s v=""/>
    <s v=""/>
    <s v=""/>
    <m/>
    <s v="MRF"/>
    <s v="OPERATIONAL"/>
    <s v="Technical Assistance"/>
    <m/>
  </r>
  <r>
    <x v="4"/>
    <x v="83"/>
    <s v="MBA"/>
    <s v="Pandaguirig"/>
    <n v="3293"/>
    <n v="3578"/>
    <s v="NO TECHNICAL ASSISTANCE CONDUCTED"/>
    <m/>
    <m/>
    <x v="0"/>
    <s v="Elyza A. Evilla"/>
    <m/>
    <s v="Yves Yshmael M. Balagtas"/>
    <m/>
    <m/>
    <m/>
    <m/>
    <m/>
    <s v=""/>
    <s v=""/>
    <s v=""/>
    <s v=""/>
    <m/>
    <m/>
    <m/>
    <m/>
    <m/>
  </r>
  <r>
    <x v="4"/>
    <x v="83"/>
    <s v="MBA"/>
    <s v="Poblacion"/>
    <n v="3337"/>
    <n v="3535"/>
    <s v="CONDUCTED TECHNICAL ASSISTANCE"/>
    <n v="2025"/>
    <d v="2025-07-02T00:00:00"/>
    <x v="8"/>
    <s v="Elyza A. Evilla"/>
    <s v="Jan Emerson C. Gonzales"/>
    <s v="Yves Yshmael M. Balagtas"/>
    <s v="R3-2025-022196"/>
    <d v="2025-07-06T00:00:00"/>
    <d v="2025-07-09T00:00:00"/>
    <d v="2025-07-16T00:00:00"/>
    <d v="2025-07-17T00:00:00"/>
    <n v="2"/>
    <n v="2"/>
    <n v="5"/>
    <n v="1"/>
    <s v="Received by Planning"/>
    <s v="NO FACILITY"/>
    <s v="CATER BY LGU"/>
    <s v="Technical Assistance"/>
    <m/>
  </r>
  <r>
    <x v="4"/>
    <x v="83"/>
    <s v="MBA"/>
    <s v="San Antonio"/>
    <n v="3126"/>
    <n v="3575"/>
    <s v="CONDUCTED TECHNICAL ASSISTANCE"/>
    <n v="2024"/>
    <d v="2024-11-07T00:00:00"/>
    <x v="0"/>
    <s v="Elyza A. Evilla"/>
    <m/>
    <s v="Yves Yshmael M. Balagtas"/>
    <m/>
    <m/>
    <m/>
    <m/>
    <m/>
    <s v=""/>
    <s v=""/>
    <s v=""/>
    <s v=""/>
    <m/>
    <s v="MRS"/>
    <s v="OPERATIONAL"/>
    <s v="Technical Assistance"/>
    <m/>
  </r>
  <r>
    <x v="4"/>
    <x v="83"/>
    <s v="MBA"/>
    <s v="San Isidro"/>
    <n v="2424"/>
    <n v="2504"/>
    <s v="CONDUCTED TECHNICAL ASSISTANCE"/>
    <n v="2024"/>
    <d v="2024-06-14T00:00:00"/>
    <x v="0"/>
    <s v="Elyza A. Evilla"/>
    <m/>
    <s v="Yves Yshmael M. Balagtas"/>
    <m/>
    <m/>
    <m/>
    <m/>
    <m/>
    <s v=""/>
    <s v=""/>
    <s v=""/>
    <s v=""/>
    <m/>
    <s v="MRS"/>
    <s v="OPERATIONAL"/>
    <m/>
    <m/>
  </r>
  <r>
    <x v="4"/>
    <x v="83"/>
    <s v="MBA"/>
    <s v="San Jose"/>
    <n v="7656"/>
    <n v="8812"/>
    <s v="CONDUCTED TECHNICAL ASSISTANCE"/>
    <n v="2025"/>
    <d v="2025-04-04T00:00:00"/>
    <x v="4"/>
    <s v="Elyza A. Evilla"/>
    <m/>
    <s v="Yves Yshmael M. Balagtas"/>
    <s v="R3-2025-011747"/>
    <d v="2025-04-08T00:00:00"/>
    <m/>
    <d v="2025-04-21T00:00:00"/>
    <d v="2025-04-22T00:00:00"/>
    <n v="2"/>
    <s v=""/>
    <n v="9"/>
    <n v="1"/>
    <s v="Received by Planning"/>
    <s v="MRS"/>
    <s v="OPERATIONAL"/>
    <s v="Technical Assistance"/>
    <m/>
  </r>
  <r>
    <x v="4"/>
    <x v="83"/>
    <s v="MBA"/>
    <s v="San Nicolas"/>
    <n v="6053"/>
    <n v="5885"/>
    <s v="CONDUCTED TECHNICAL ASSISTANCE"/>
    <n v="2024"/>
    <d v="2024-11-07T00:00:00"/>
    <x v="0"/>
    <s v="Elyza A. Evilla"/>
    <m/>
    <s v="Yves Yshmael M. Balagtas"/>
    <m/>
    <m/>
    <m/>
    <m/>
    <m/>
    <s v=""/>
    <s v=""/>
    <s v=""/>
    <s v=""/>
    <m/>
    <s v="MRS"/>
    <s v="OPERATIONAL"/>
    <m/>
    <m/>
  </r>
  <r>
    <x v="4"/>
    <x v="83"/>
    <s v="MBA"/>
    <s v="San Pedro"/>
    <n v="4186"/>
    <n v="4118"/>
    <s v="NO TECHNICAL ASSISTANCE CONDUCTED"/>
    <m/>
    <m/>
    <x v="0"/>
    <s v="Elyza A. Evilla"/>
    <m/>
    <s v="Yves Yshmael M. Balagtas"/>
    <m/>
    <m/>
    <m/>
    <m/>
    <m/>
    <s v=""/>
    <s v=""/>
    <s v=""/>
    <s v=""/>
    <m/>
    <m/>
    <m/>
    <m/>
    <m/>
  </r>
  <r>
    <x v="4"/>
    <x v="83"/>
    <s v="MBA"/>
    <s v="San Ramon"/>
    <n v="2089"/>
    <n v="2241"/>
    <s v="CONDUCTED TECHNICAL ASSISTANCE"/>
    <n v="2025"/>
    <d v="2025-11-06T00:00:00"/>
    <x v="11"/>
    <s v="Elyza A. Evilla"/>
    <m/>
    <s v="Yves Yshmael M. Balagtas"/>
    <s v="R3-2025-037394 "/>
    <d v="2025-11-08T00:00:00"/>
    <m/>
    <d v="2025-11-11T00:00:00"/>
    <d v="2025-11-17T00:00:00"/>
    <n v="1"/>
    <s v=""/>
    <n v="1"/>
    <n v="4"/>
    <s v="Received by Planning"/>
    <s v="MRS"/>
    <s v="OPERATIONAL"/>
    <s v="Technical Assistance"/>
    <m/>
  </r>
  <r>
    <x v="4"/>
    <x v="83"/>
    <s v="MBA"/>
    <s v="San Roque"/>
    <n v="2127"/>
    <n v="2257"/>
    <s v="NO TECHNICAL ASSISTANCE CONDUCTED"/>
    <m/>
    <m/>
    <x v="0"/>
    <s v="Elyza A. Evilla"/>
    <m/>
    <s v="Yves Yshmael M. Balagtas"/>
    <m/>
    <m/>
    <m/>
    <m/>
    <m/>
    <s v=""/>
    <s v=""/>
    <s v=""/>
    <s v=""/>
    <m/>
    <m/>
    <m/>
    <m/>
    <m/>
  </r>
  <r>
    <x v="4"/>
    <x v="83"/>
    <s v="MBA"/>
    <s v="Santa Monica"/>
    <n v="3403"/>
    <n v="3920"/>
    <s v="NO TECHNICAL ASSISTANCE CONDUCTED"/>
    <m/>
    <m/>
    <x v="0"/>
    <s v="Elyza A. Evilla"/>
    <m/>
    <s v="Yves Yshmael M. Balagtas"/>
    <m/>
    <m/>
    <m/>
    <m/>
    <m/>
    <s v=""/>
    <s v=""/>
    <s v=""/>
    <s v=""/>
    <m/>
    <m/>
    <m/>
    <m/>
    <m/>
  </r>
  <r>
    <x v="4"/>
    <x v="83"/>
    <s v="MBA"/>
    <s v="Santo Rosario"/>
    <n v="2090"/>
    <n v="2097"/>
    <s v="CONDUCTED TECHNICAL ASSISTANCE"/>
    <n v="2024"/>
    <d v="2024-11-08T00:00:00"/>
    <x v="0"/>
    <s v="Elyza A. Evilla"/>
    <m/>
    <s v="Yves Yshmael M. Balagtas"/>
    <m/>
    <m/>
    <m/>
    <m/>
    <m/>
    <s v=""/>
    <s v=""/>
    <s v=""/>
    <s v=""/>
    <m/>
    <s v="MRS"/>
    <s v="OPERATIONAL"/>
    <s v="Technical Assistance"/>
    <m/>
  </r>
  <r>
    <x v="4"/>
    <x v="83"/>
    <s v="MBA"/>
    <s v="Solib"/>
    <n v="4825"/>
    <n v="5615"/>
    <s v="CONDUCTED TECHNICAL ASSISTANCE"/>
    <n v="2024"/>
    <d v="2024-11-07T00:00:00"/>
    <x v="0"/>
    <s v="Elyza A. Evilla"/>
    <m/>
    <s v="Yves Yshmael M. Balagtas"/>
    <m/>
    <m/>
    <m/>
    <m/>
    <m/>
    <s v=""/>
    <s v=""/>
    <s v=""/>
    <s v=""/>
    <m/>
    <s v="MRS"/>
    <s v="OPERATIONAL"/>
    <s v="Technical Assistance"/>
    <m/>
  </r>
  <r>
    <x v="4"/>
    <x v="83"/>
    <s v="MBA"/>
    <s v="Valdez"/>
    <n v="7722"/>
    <n v="7891"/>
    <s v="CONDUCTED TECHNICAL ASSISTANCE"/>
    <n v="2024"/>
    <d v="2024-11-07T00:00:00"/>
    <x v="0"/>
    <s v="Elyza A. Evilla"/>
    <m/>
    <s v="Yves Yshmael M. Balagtas"/>
    <m/>
    <m/>
    <m/>
    <m/>
    <m/>
    <s v=""/>
    <s v=""/>
    <s v=""/>
    <s v=""/>
    <m/>
    <s v="MRF"/>
    <s v="NON-OPERATIONAL"/>
    <s v="Technical Assistance"/>
    <m/>
  </r>
  <r>
    <x v="4"/>
    <x v="84"/>
    <s v="MBA"/>
    <s v="Plaza Burgos (Pob.)"/>
    <n v="269"/>
    <n v="296"/>
    <s v="CONDUCTED TECHNICAL ASSISTANCE"/>
    <n v="2025"/>
    <d v="2025-09-16T00:00:00"/>
    <x v="7"/>
    <s v="Ivy M. Castro"/>
    <m/>
    <s v="Yves Yshmael M. Balagtas"/>
    <s v="R3-2025-031228"/>
    <d v="2025-09-16T00:00:00"/>
    <m/>
    <d v="2025-09-17T00:00:00"/>
    <d v="2025-09-18T00:00:00"/>
    <n v="1"/>
    <s v=""/>
    <n v="1"/>
    <n v="1"/>
    <s v="Received by Planning"/>
    <s v="NO FACILITY"/>
    <s v="CATER BY LGU"/>
    <s v="Technical Assistance"/>
    <m/>
  </r>
  <r>
    <x v="4"/>
    <x v="84"/>
    <s v="MBA"/>
    <s v="Ascomo"/>
    <n v="3210"/>
    <n v="3998"/>
    <s v="NO TECHNICAL ASSISTANCE CONDUCTED"/>
    <m/>
    <m/>
    <x v="0"/>
    <s v="Ivy M. Castro"/>
    <m/>
    <s v="Yves Yshmael M. Balagtas"/>
    <m/>
    <m/>
    <m/>
    <m/>
    <m/>
    <s v=""/>
    <s v=""/>
    <s v=""/>
    <s v=""/>
    <m/>
    <m/>
    <m/>
    <m/>
    <m/>
  </r>
  <r>
    <x v="4"/>
    <x v="84"/>
    <s v="MBA"/>
    <s v="Bancal"/>
    <n v="6675"/>
    <n v="6777"/>
    <s v="NO TECHNICAL ASSISTANCE CONDUCTED"/>
    <m/>
    <m/>
    <x v="0"/>
    <s v="Ivy M. Castro"/>
    <m/>
    <s v="Yves Yshmael M. Balagtas"/>
    <m/>
    <m/>
    <m/>
    <m/>
    <m/>
    <s v=""/>
    <s v=""/>
    <s v=""/>
    <s v=""/>
    <m/>
    <m/>
    <m/>
    <m/>
    <m/>
  </r>
  <r>
    <x v="4"/>
    <x v="84"/>
    <s v="MBA"/>
    <s v="Jose Abad Santos (Siran)"/>
    <n v="2103"/>
    <n v="2297"/>
    <s v="CONDUCTED TECHNICAL ASSISTANCE"/>
    <n v="2025"/>
    <d v="2025-03-05T00:00:00"/>
    <x v="1"/>
    <s v="Ivy M. Castro"/>
    <m/>
    <s v="Yves Yshmael M. Balagtas"/>
    <s v="R3-2025-009105"/>
    <d v="2025-03-18T00:00:00"/>
    <m/>
    <d v="2025-03-18T00:00:00"/>
    <d v="2025-03-18T00:00:00"/>
    <n v="9"/>
    <s v=""/>
    <n v="1"/>
    <n v="1"/>
    <s v="Received by Planning"/>
    <s v="NO FACILITY"/>
    <s v="CATER BY LGU"/>
    <s v="Technical Assistance"/>
    <m/>
  </r>
  <r>
    <x v="4"/>
    <x v="84"/>
    <s v="MBA"/>
    <s v="Lambac"/>
    <n v="3377"/>
    <n v="3588"/>
    <s v="NO TECHNICAL ASSISTANCE CONDUCTED"/>
    <m/>
    <m/>
    <x v="0"/>
    <s v="Ivy M. Castro"/>
    <m/>
    <s v="Yves Yshmael M. Balagtas"/>
    <m/>
    <m/>
    <m/>
    <m/>
    <m/>
    <s v=""/>
    <s v=""/>
    <s v=""/>
    <s v=""/>
    <m/>
    <m/>
    <m/>
    <m/>
    <m/>
  </r>
  <r>
    <x v="4"/>
    <x v="84"/>
    <s v="MBA"/>
    <s v="Magsaysay"/>
    <n v="3319"/>
    <n v="3568"/>
    <s v="NO TECHNICAL ASSISTANCE CONDUCTED"/>
    <m/>
    <m/>
    <x v="0"/>
    <s v="Ivy M. Castro"/>
    <m/>
    <s v="Yves Yshmael M. Balagtas"/>
    <m/>
    <m/>
    <m/>
    <m/>
    <m/>
    <s v=""/>
    <s v=""/>
    <s v=""/>
    <s v=""/>
    <m/>
    <m/>
    <m/>
    <m/>
    <m/>
  </r>
  <r>
    <x v="4"/>
    <x v="84"/>
    <s v="MBA"/>
    <s v="Maquiapo"/>
    <n v="3378"/>
    <n v="3974"/>
    <s v="NO TECHNICAL ASSISTANCE CONDUCTED"/>
    <m/>
    <m/>
    <x v="0"/>
    <s v="Ivy M. Castro"/>
    <m/>
    <s v="Yves Yshmael M. Balagtas"/>
    <m/>
    <m/>
    <m/>
    <m/>
    <m/>
    <s v=""/>
    <s v=""/>
    <s v=""/>
    <s v=""/>
    <m/>
    <m/>
    <m/>
    <m/>
    <m/>
  </r>
  <r>
    <x v="4"/>
    <x v="84"/>
    <s v="MBA"/>
    <s v="Natividad"/>
    <n v="6151"/>
    <n v="8005"/>
    <s v="NO TECHNICAL ASSISTANCE CONDUCTED"/>
    <m/>
    <m/>
    <x v="0"/>
    <s v="Ivy M. Castro"/>
    <m/>
    <s v="Yves Yshmael M. Balagtas"/>
    <m/>
    <m/>
    <m/>
    <m/>
    <m/>
    <s v=""/>
    <s v=""/>
    <s v=""/>
    <s v=""/>
    <m/>
    <m/>
    <m/>
    <m/>
    <m/>
  </r>
  <r>
    <x v="4"/>
    <x v="84"/>
    <s v="MBA"/>
    <s v="San Isidro"/>
    <n v="1346"/>
    <n v="1463"/>
    <s v="CONDUCTED TECHNICAL ASSISTANCE"/>
    <n v="2025"/>
    <d v="2025-09-16T00:00:00"/>
    <x v="7"/>
    <s v="Ivy M. Castro"/>
    <m/>
    <s v="Yves Yshmael M. Balagtas"/>
    <s v="R3-2025-031221"/>
    <d v="2025-09-16T00:00:00"/>
    <m/>
    <d v="2025-09-17T00:00:00"/>
    <d v="2025-09-18T00:00:00"/>
    <n v="1"/>
    <s v=""/>
    <n v="1"/>
    <n v="1"/>
    <s v="Received by Planning"/>
    <s v="NO FACILITY"/>
    <s v="CATER BY LGU"/>
    <s v="Technical Assistance"/>
    <m/>
  </r>
  <r>
    <x v="4"/>
    <x v="84"/>
    <s v="MBA"/>
    <s v="Pulungmasle"/>
    <n v="9359"/>
    <n v="10105"/>
    <s v="NO TECHNICAL ASSISTANCE CONDUCTED"/>
    <m/>
    <m/>
    <x v="0"/>
    <s v="Ivy M. Castro"/>
    <m/>
    <s v="Yves Yshmael M. Balagtas"/>
    <m/>
    <m/>
    <m/>
    <m/>
    <m/>
    <s v=""/>
    <s v=""/>
    <s v=""/>
    <s v=""/>
    <m/>
    <m/>
    <m/>
    <m/>
    <m/>
  </r>
  <r>
    <x v="4"/>
    <x v="84"/>
    <s v="MBA"/>
    <s v="Rizal"/>
    <n v="3943"/>
    <n v="4241"/>
    <s v="CONDUCTED TECHNICAL ASSISTANCE"/>
    <n v="2025"/>
    <d v="2025-03-13T00:00:00"/>
    <x v="1"/>
    <s v="Ivy M. Castro"/>
    <m/>
    <s v="Yves Yshmael M. Balagtas"/>
    <s v="R3-2025-009107"/>
    <d v="2025-03-18T00:00:00"/>
    <m/>
    <d v="2025-03-18T00:00:00"/>
    <d v="2025-03-18T00:00:00"/>
    <n v="3"/>
    <s v=""/>
    <n v="1"/>
    <n v="1"/>
    <s v="Received by Planning"/>
    <s v="NO FACILITY"/>
    <s v="CATER BY LGU"/>
    <s v="Technical Assistance"/>
    <m/>
  </r>
  <r>
    <x v="4"/>
    <x v="84"/>
    <s v="MBA"/>
    <s v="San Agustin"/>
    <n v="5792"/>
    <n v="6863"/>
    <s v="CONDUCTED TECHNICAL ASSISTANCE"/>
    <n v="2025"/>
    <d v="2025-10-14T00:00:00"/>
    <x v="5"/>
    <s v="Ivy M. Castro"/>
    <m/>
    <s v="Yves Yshmael M. Balagtas"/>
    <s v="R3-2025-034965"/>
    <d v="2025-10-15T00:00:00"/>
    <m/>
    <d v="2025-10-16T00:00:00"/>
    <d v="2025-10-20T00:00:00"/>
    <n v="1"/>
    <s v=""/>
    <n v="1"/>
    <n v="2"/>
    <s v="Received by Planning"/>
    <s v="NO FACILITY"/>
    <s v="CATER BY LGU"/>
    <s v="Technical Assistance"/>
    <m/>
  </r>
  <r>
    <x v="4"/>
    <x v="84"/>
    <s v="MBA"/>
    <s v="San Antonio"/>
    <n v="4436"/>
    <n v="4886"/>
    <s v="CONDUCTED TECHNICAL ASSISTANCE"/>
    <n v="2024"/>
    <d v="2024-10-16T00:00:00"/>
    <x v="0"/>
    <s v="Ivy M. Castro"/>
    <m/>
    <s v="Yves Yshmael M. Balagtas"/>
    <m/>
    <m/>
    <m/>
    <m/>
    <m/>
    <s v=""/>
    <s v=""/>
    <s v=""/>
    <s v=""/>
    <m/>
    <s v="MRS"/>
    <s v="OPERATIONAL"/>
    <s v="Technical Assistance"/>
    <m/>
  </r>
  <r>
    <x v="4"/>
    <x v="84"/>
    <s v="MBA"/>
    <s v="San Juan"/>
    <n v="2509"/>
    <n v="2738"/>
    <s v="CONDUCTED TECHNICAL ASSISTANCE"/>
    <n v="2025"/>
    <d v="2025-09-16T00:00:00"/>
    <x v="7"/>
    <s v="Ivy M. Castro"/>
    <m/>
    <s v="Yves Yshmael M. Balagtas"/>
    <s v="R3-2025-031218"/>
    <d v="2025-09-16T00:00:00"/>
    <m/>
    <d v="2025-09-17T00:00:00"/>
    <d v="2025-09-17T00:00:00"/>
    <n v="1"/>
    <s v=""/>
    <n v="1"/>
    <n v="1"/>
    <s v="Received by Planning"/>
    <s v="NO FACILITY"/>
    <s v="CATER BY LGU"/>
    <s v="Technical Assistance"/>
    <m/>
  </r>
  <r>
    <x v="4"/>
    <x v="84"/>
    <s v="MBA"/>
    <s v="San Jose"/>
    <n v="2076"/>
    <n v="2256"/>
    <s v="CONDUCTED TECHNICAL ASSISTANCE"/>
    <n v="2025"/>
    <d v="2025-04-10T00:00:00"/>
    <x v="4"/>
    <s v="Ivy M. Castro"/>
    <m/>
    <s v="Yves Yshmael M. Balagtas"/>
    <s v="R3-2025-012462"/>
    <d v="2025-04-12T00:00:00"/>
    <m/>
    <d v="2025-04-21T00:00:00"/>
    <d v="2025-04-22T00:00:00"/>
    <n v="1"/>
    <s v=""/>
    <n v="5"/>
    <n v="1"/>
    <s v="Received by Planning"/>
    <s v="NO FACILITY"/>
    <s v="CATER BY LGU"/>
    <s v="Technical Assistance"/>
    <m/>
  </r>
  <r>
    <x v="4"/>
    <x v="84"/>
    <s v="MBA"/>
    <s v="San Pablo"/>
    <n v="2966"/>
    <n v="3209"/>
    <s v="CONDUCTED TECHNICAL ASSISTANCE"/>
    <n v="2025"/>
    <d v="2025-09-16T00:00:00"/>
    <x v="7"/>
    <s v="Ivy M. Castro"/>
    <m/>
    <s v="Yves Yshmael M. Balagtas"/>
    <s v="R3-2025-031222"/>
    <d v="2025-09-16T00:00:00"/>
    <m/>
    <d v="2025-09-17T00:00:00"/>
    <d v="2025-09-18T00:00:00"/>
    <n v="1"/>
    <s v=""/>
    <n v="1"/>
    <n v="1"/>
    <s v="Received by Planning"/>
    <s v="NO FACILITY"/>
    <s v="CATER BY LGU"/>
    <s v="Technical Assistance"/>
    <m/>
  </r>
  <r>
    <x v="4"/>
    <x v="84"/>
    <s v="MBA"/>
    <s v="San Juan Bautista"/>
    <n v="2537"/>
    <n v="2657"/>
    <s v="CONDUCTED TECHNICAL ASSISTANCE"/>
    <n v="2025"/>
    <d v="2025-10-14T00:00:00"/>
    <x v="5"/>
    <s v="Ivy M. Castro"/>
    <m/>
    <s v="Yves Yshmael M. Balagtas"/>
    <s v="R3-2025-034966"/>
    <d v="2025-10-15T00:00:00"/>
    <m/>
    <d v="2025-10-16T00:00:00"/>
    <d v="2025-10-20T00:00:00"/>
    <n v="1"/>
    <s v=""/>
    <n v="1"/>
    <n v="2"/>
    <s v="Received by Planning"/>
    <s v="NO FACILITY"/>
    <s v="CATER BY LGU"/>
    <s v="Technical Assistance"/>
    <m/>
  </r>
  <r>
    <x v="4"/>
    <x v="84"/>
    <s v="MBA"/>
    <s v="San Juan Nepomuceno"/>
    <n v="6060"/>
    <n v="6640"/>
    <s v="NO TECHNICAL ASSISTANCE CONDUCTED"/>
    <m/>
    <m/>
    <x v="0"/>
    <s v="Ivy M. Castro"/>
    <m/>
    <s v="Yves Yshmael M. Balagtas"/>
    <m/>
    <m/>
    <m/>
    <m/>
    <m/>
    <s v=""/>
    <s v=""/>
    <s v=""/>
    <s v=""/>
    <m/>
    <m/>
    <m/>
    <m/>
    <m/>
  </r>
  <r>
    <x v="4"/>
    <x v="84"/>
    <s v="MBA"/>
    <s v="San Matias"/>
    <n v="3500"/>
    <n v="4240"/>
    <s v="CONDUCTED TECHNICAL ASSISTANCE"/>
    <n v="2025"/>
    <d v="2025-07-16T00:00:00"/>
    <x v="8"/>
    <s v="Ivy M. Castro"/>
    <s v="Jan Emerson C. Gonzales"/>
    <s v="Yves Yshmael M. Balagtas"/>
    <s v="R3-2025-023799"/>
    <d v="2025-07-16T00:00:00"/>
    <d v="2025-07-18T00:00:00"/>
    <d v="2025-07-18T00:00:00"/>
    <d v="2025-07-18T00:00:00"/>
    <n v="1"/>
    <n v="2"/>
    <n v="1"/>
    <n v="1"/>
    <s v="Received by Planning"/>
    <s v="NO FACILITY"/>
    <s v="CATER BY LGU"/>
    <s v="Technical Assistance"/>
    <m/>
  </r>
  <r>
    <x v="4"/>
    <x v="84"/>
    <s v="MBA"/>
    <s v="San Miguel"/>
    <n v="4710"/>
    <n v="5108"/>
    <s v="CONDUCTED TECHNICAL ASSISTANCE"/>
    <n v="2025"/>
    <d v="2025-10-14T00:00:00"/>
    <x v="5"/>
    <s v="Ivy M. Castro"/>
    <m/>
    <s v="Yves Yshmael M. Balagtas"/>
    <s v="R3-2025-034964"/>
    <d v="2025-10-15T00:00:00"/>
    <m/>
    <d v="2025-10-16T00:00:00"/>
    <d v="2025-10-20T00:00:00"/>
    <n v="1"/>
    <s v=""/>
    <n v="1"/>
    <n v="2"/>
    <s v="Received by Planning"/>
    <s v="NO FACILITY"/>
    <s v="CATER BY LGU"/>
    <s v="Technical Assistance"/>
    <m/>
  </r>
  <r>
    <x v="4"/>
    <x v="84"/>
    <s v="MBA"/>
    <s v="San Nicolas 1st"/>
    <n v="1632"/>
    <n v="1822"/>
    <s v="NO TECHNICAL ASSISTANCE CONDUCTED"/>
    <m/>
    <m/>
    <x v="0"/>
    <s v="Ivy M. Castro"/>
    <m/>
    <s v="Yves Yshmael M. Balagtas"/>
    <m/>
    <m/>
    <m/>
    <m/>
    <m/>
    <s v=""/>
    <s v=""/>
    <s v=""/>
    <s v=""/>
    <m/>
    <m/>
    <m/>
    <m/>
    <m/>
  </r>
  <r>
    <x v="4"/>
    <x v="84"/>
    <s v="MBA"/>
    <s v="San Nicolas 2nd"/>
    <n v="2611"/>
    <n v="3275"/>
    <s v="NO TECHNICAL ASSISTANCE CONDUCTED"/>
    <m/>
    <m/>
    <x v="0"/>
    <s v="Ivy M. Castro"/>
    <m/>
    <s v="Yves Yshmael M. Balagtas"/>
    <m/>
    <m/>
    <m/>
    <m/>
    <m/>
    <s v=""/>
    <s v=""/>
    <s v=""/>
    <s v=""/>
    <m/>
    <m/>
    <m/>
    <m/>
    <m/>
  </r>
  <r>
    <x v="4"/>
    <x v="84"/>
    <s v="MBA"/>
    <s v="San Pedro"/>
    <n v="5314"/>
    <n v="5447"/>
    <s v="CONDUCTED TECHNICAL ASSISTANCE"/>
    <n v="2025"/>
    <d v="2025-09-16T00:00:00"/>
    <x v="7"/>
    <s v="Ivy M. Castro"/>
    <m/>
    <s v="Yves Yshmael M. Balagtas"/>
    <s v="R3-2025-031225 "/>
    <d v="2025-09-16T00:00:00"/>
    <m/>
    <d v="2025-09-17T00:00:00"/>
    <d v="2025-09-18T00:00:00"/>
    <n v="1"/>
    <s v=""/>
    <n v="1"/>
    <n v="1"/>
    <s v="Received by Planning"/>
    <s v="NO FACILITY"/>
    <s v="CATER BY LGU"/>
    <s v="Technical Assistance"/>
    <m/>
  </r>
  <r>
    <x v="4"/>
    <x v="84"/>
    <s v="MBA"/>
    <s v="San Rafael"/>
    <n v="3943"/>
    <n v="4251"/>
    <s v="CONDUCTED TECHNICAL ASSISTANCE"/>
    <n v="2025"/>
    <d v="2025-09-16T00:00:00"/>
    <x v="7"/>
    <s v="Ivy M. Castro"/>
    <m/>
    <s v="Yves Yshmael M. Balagtas"/>
    <s v="R3-2025-031226"/>
    <d v="2025-09-16T00:00:00"/>
    <m/>
    <d v="2025-09-17T00:00:00"/>
    <d v="2025-09-18T00:00:00"/>
    <n v="1"/>
    <s v=""/>
    <n v="1"/>
    <n v="1"/>
    <s v="Received by Planning"/>
    <s v="NO FACILITY"/>
    <s v="CATER BY LGU"/>
    <s v="Technical Assistance"/>
    <m/>
  </r>
  <r>
    <x v="4"/>
    <x v="84"/>
    <s v="MBA"/>
    <s v="Santa Filomena (Pob.)"/>
    <n v="1888"/>
    <n v="1741"/>
    <s v="CONDUCTED TECHNICAL ASSISTANCE"/>
    <n v="2025"/>
    <d v="2025-09-16T00:00:00"/>
    <x v="7"/>
    <s v="Ivy M. Castro"/>
    <m/>
    <s v="Yves Yshmael M. Balagtas"/>
    <s v="R3-2025-031229"/>
    <d v="2025-09-16T00:00:00"/>
    <m/>
    <d v="2025-09-17T00:00:00"/>
    <d v="2025-09-18T00:00:00"/>
    <n v="1"/>
    <s v=""/>
    <n v="1"/>
    <n v="1"/>
    <s v="Received by Planning"/>
    <s v="NO FACILITY"/>
    <s v="CATER BY LGU"/>
    <m/>
    <m/>
  </r>
  <r>
    <x v="4"/>
    <x v="84"/>
    <s v="MBA"/>
    <s v="San Roque"/>
    <n v="3251"/>
    <n v="3474"/>
    <s v="CONDUCTED TECHNICAL ASSISTANCE"/>
    <n v="2025"/>
    <d v="2025-03-13T00:00:00"/>
    <x v="1"/>
    <s v="Ivy M. Castro"/>
    <m/>
    <s v="Yves Yshmael M. Balagtas"/>
    <s v="R3-2025-009108"/>
    <d v="2025-03-18T00:00:00"/>
    <m/>
    <d v="2025-03-18T00:00:00"/>
    <d v="2025-03-18T00:00:00"/>
    <n v="3"/>
    <s v=""/>
    <n v="1"/>
    <n v="1"/>
    <s v="Received by Planning"/>
    <s v="NO FACILITY"/>
    <s v="CATER BY LGU"/>
    <s v="Technical Assistance"/>
    <m/>
  </r>
  <r>
    <x v="4"/>
    <x v="84"/>
    <s v="MBA"/>
    <s v="San Vicente"/>
    <n v="5972"/>
    <n v="6098"/>
    <s v="NO TECHNICAL ASSISTANCE CONDUCTED"/>
    <m/>
    <m/>
    <x v="0"/>
    <s v="Ivy M. Castro"/>
    <m/>
    <s v="Yves Yshmael M. Balagtas"/>
    <m/>
    <m/>
    <m/>
    <m/>
    <m/>
    <s v=""/>
    <s v=""/>
    <s v=""/>
    <s v=""/>
    <m/>
    <m/>
    <m/>
    <m/>
    <m/>
  </r>
  <r>
    <x v="4"/>
    <x v="84"/>
    <s v="MBA"/>
    <s v="Santa Ines"/>
    <n v="3438"/>
    <n v="3920"/>
    <s v="NO TECHNICAL ASSISTANCE CONDUCTED"/>
    <m/>
    <m/>
    <x v="0"/>
    <s v="Ivy M. Castro"/>
    <m/>
    <s v="Yves Yshmael M. Balagtas"/>
    <m/>
    <m/>
    <m/>
    <m/>
    <m/>
    <s v=""/>
    <s v=""/>
    <s v=""/>
    <s v=""/>
    <m/>
    <m/>
    <m/>
    <m/>
    <m/>
  </r>
  <r>
    <x v="4"/>
    <x v="84"/>
    <s v="MBA"/>
    <s v="Santa Ursula"/>
    <n v="5961"/>
    <n v="6014"/>
    <s v="NO TECHNICAL ASSISTANCE CONDUCTED"/>
    <m/>
    <m/>
    <x v="0"/>
    <s v="Ivy M. Castro"/>
    <m/>
    <s v="Yves Yshmael M. Balagtas"/>
    <m/>
    <m/>
    <m/>
    <m/>
    <m/>
    <s v=""/>
    <s v=""/>
    <s v=""/>
    <s v=""/>
    <m/>
    <m/>
    <m/>
    <m/>
    <m/>
  </r>
  <r>
    <x v="4"/>
    <x v="84"/>
    <s v="MBA"/>
    <s v="Santo Cristo"/>
    <n v="3605"/>
    <n v="3767"/>
    <s v="CONDUCTED TECHNICAL ASSISTANCE"/>
    <n v="2025"/>
    <d v="2025-10-14T00:00:00"/>
    <x v="5"/>
    <s v="Ivy M. Castro"/>
    <m/>
    <s v="Yves Yshmael M. Balagtas"/>
    <s v="R3-2025-034959"/>
    <d v="2025-10-15T00:00:00"/>
    <m/>
    <d v="2025-10-16T00:00:00"/>
    <d v="2025-10-20T00:00:00"/>
    <n v="1"/>
    <s v=""/>
    <n v="1"/>
    <n v="2"/>
    <s v="Received by Planning"/>
    <s v="NO FACILITY"/>
    <s v="CATER BY LGU"/>
    <s v="Technical Assistance"/>
    <m/>
  </r>
  <r>
    <x v="4"/>
    <x v="84"/>
    <s v="MBA"/>
    <s v="Santo Niño (Pob.)"/>
    <n v="2099"/>
    <n v="2175"/>
    <s v="CONDUCTED TECHNICAL ASSISTANCE"/>
    <n v="2025"/>
    <d v="2025-10-14T00:00:00"/>
    <x v="5"/>
    <s v="Ivy M. Castro"/>
    <m/>
    <s v="Yves Yshmael M. Balagtas"/>
    <s v="R3-2025-034963"/>
    <d v="2025-10-15T00:00:00"/>
    <m/>
    <d v="2025-10-16T00:00:00"/>
    <d v="2025-10-20T00:00:00"/>
    <n v="1"/>
    <s v=""/>
    <n v="1"/>
    <n v="2"/>
    <s v="Received by Planning"/>
    <s v="NO FACILITY"/>
    <s v="CATER BY LGU"/>
    <s v="Technical Assistance"/>
    <m/>
  </r>
  <r>
    <x v="4"/>
    <x v="85"/>
    <s v="MBA"/>
    <s v="San Roque Dau"/>
    <n v="12061"/>
    <n v="12955"/>
    <s v="CONDUCTED TECHNICAL ASSISTANCE"/>
    <n v="2024"/>
    <d v="2024-09-05T00:00:00"/>
    <x v="0"/>
    <s v="Ivy M. Castro"/>
    <m/>
    <s v="Yves Yshmael M. Balagtas"/>
    <m/>
    <m/>
    <m/>
    <m/>
    <m/>
    <s v=""/>
    <s v=""/>
    <s v=""/>
    <s v=""/>
    <m/>
    <s v="MRF"/>
    <s v="OPERATIONAL"/>
    <s v="Technical Assistance"/>
    <m/>
  </r>
  <r>
    <x v="4"/>
    <x v="85"/>
    <s v="MBA"/>
    <s v="Balantacan"/>
    <n v="2165"/>
    <n v="2492"/>
    <s v="NO TECHNICAL ASSISTANCE CONDUCTED"/>
    <m/>
    <m/>
    <x v="0"/>
    <s v="Ivy M. Castro"/>
    <m/>
    <s v="Yves Yshmael M. Balagtas"/>
    <m/>
    <m/>
    <m/>
    <m/>
    <m/>
    <s v=""/>
    <s v=""/>
    <s v=""/>
    <s v=""/>
    <m/>
    <m/>
    <m/>
    <m/>
    <m/>
  </r>
  <r>
    <x v="4"/>
    <x v="85"/>
    <s v="MBA"/>
    <s v="Bancal Pugad"/>
    <n v="839"/>
    <n v="1374"/>
    <s v="NO TECHNICAL ASSISTANCE CONDUCTED"/>
    <m/>
    <m/>
    <x v="0"/>
    <s v="Ivy M. Castro"/>
    <m/>
    <s v="Yves Yshmael M. Balagtas"/>
    <m/>
    <m/>
    <m/>
    <m/>
    <m/>
    <s v=""/>
    <s v=""/>
    <s v=""/>
    <s v=""/>
    <m/>
    <m/>
    <m/>
    <m/>
    <m/>
  </r>
  <r>
    <x v="4"/>
    <x v="85"/>
    <s v="MBA"/>
    <s v="Bancal Sinubli"/>
    <n v="758"/>
    <n v="800"/>
    <s v="NO TECHNICAL ASSISTANCE CONDUCTED"/>
    <m/>
    <m/>
    <x v="0"/>
    <s v="Ivy M. Castro"/>
    <m/>
    <s v="Yves Yshmael M. Balagtas"/>
    <m/>
    <m/>
    <m/>
    <m/>
    <m/>
    <s v=""/>
    <s v=""/>
    <s v=""/>
    <s v=""/>
    <m/>
    <m/>
    <m/>
    <m/>
    <m/>
  </r>
  <r>
    <x v="4"/>
    <x v="85"/>
    <s v="MBA"/>
    <s v="Baruya"/>
    <n v="4548"/>
    <n v="4425"/>
    <s v="NO TECHNICAL ASSISTANCE CONDUCTED"/>
    <m/>
    <m/>
    <x v="0"/>
    <s v="Ivy M. Castro"/>
    <m/>
    <s v="Yves Yshmael M. Balagtas"/>
    <m/>
    <m/>
    <m/>
    <m/>
    <m/>
    <s v=""/>
    <s v=""/>
    <s v=""/>
    <s v=""/>
    <m/>
    <m/>
    <m/>
    <m/>
    <m/>
  </r>
  <r>
    <x v="4"/>
    <x v="85"/>
    <s v="MBA"/>
    <s v="Calangain"/>
    <n v="2784"/>
    <n v="2975"/>
    <s v="CONDUCTED TECHNICAL ASSISTANCE"/>
    <n v="2024"/>
    <d v="2024-07-12T00:00:00"/>
    <x v="0"/>
    <s v="Ivy M. Castro"/>
    <m/>
    <s v="Yves Yshmael M. Balagtas"/>
    <m/>
    <m/>
    <m/>
    <m/>
    <m/>
    <s v=""/>
    <s v=""/>
    <s v=""/>
    <s v=""/>
    <m/>
    <s v="MRF"/>
    <s v="OPERATIONAL"/>
    <s v="Technical Assistance"/>
    <m/>
  </r>
  <r>
    <x v="4"/>
    <x v="85"/>
    <s v="MBA"/>
    <s v="Concepcion"/>
    <n v="7493"/>
    <n v="8473"/>
    <s v="NO TECHNICAL ASSISTANCE CONDUCTED"/>
    <m/>
    <m/>
    <x v="0"/>
    <s v="Ivy M. Castro"/>
    <m/>
    <s v="Yves Yshmael M. Balagtas"/>
    <m/>
    <m/>
    <m/>
    <m/>
    <m/>
    <s v=""/>
    <s v=""/>
    <s v=""/>
    <s v=""/>
    <m/>
    <m/>
    <m/>
    <m/>
    <m/>
  </r>
  <r>
    <x v="4"/>
    <x v="85"/>
    <s v="MBA"/>
    <s v="De La Paz"/>
    <n v="1564"/>
    <n v="1636"/>
    <s v="NO TECHNICAL ASSISTANCE CONDUCTED"/>
    <m/>
    <m/>
    <x v="0"/>
    <s v="Ivy M. Castro"/>
    <m/>
    <s v="Yves Yshmael M. Balagtas"/>
    <m/>
    <m/>
    <m/>
    <m/>
    <m/>
    <s v=""/>
    <s v=""/>
    <s v=""/>
    <s v=""/>
    <m/>
    <m/>
    <m/>
    <s v="Technical Assistance"/>
    <m/>
  </r>
  <r>
    <x v="4"/>
    <x v="85"/>
    <s v="MBA"/>
    <s v="Del Carmen"/>
    <n v="1936"/>
    <n v="2312"/>
    <s v="NO TECHNICAL ASSISTANCE CONDUCTED"/>
    <m/>
    <m/>
    <x v="0"/>
    <s v="Ivy M. Castro"/>
    <m/>
    <s v="Yves Yshmael M. Balagtas"/>
    <m/>
    <m/>
    <m/>
    <m/>
    <m/>
    <s v=""/>
    <s v=""/>
    <s v=""/>
    <s v=""/>
    <m/>
    <m/>
    <m/>
    <m/>
    <m/>
  </r>
  <r>
    <x v="4"/>
    <x v="85"/>
    <s v="MBA"/>
    <s v="Don Ignacio Dimson"/>
    <n v="4629"/>
    <n v="5703"/>
    <s v="NO TECHNICAL ASSISTANCE CONDUCTED"/>
    <m/>
    <m/>
    <x v="0"/>
    <s v="Ivy M. Castro"/>
    <m/>
    <s v="Yves Yshmael M. Balagtas"/>
    <m/>
    <m/>
    <m/>
    <m/>
    <m/>
    <s v=""/>
    <s v=""/>
    <s v=""/>
    <s v=""/>
    <m/>
    <m/>
    <m/>
    <m/>
    <m/>
  </r>
  <r>
    <x v="4"/>
    <x v="85"/>
    <s v="MBA"/>
    <s v="Lourdes"/>
    <n v="6344"/>
    <n v="7084"/>
    <s v="CONDUCTED TECHNICAL ASSISTANCE"/>
    <n v="2025"/>
    <d v="2025-05-14T00:00:00"/>
    <x v="6"/>
    <s v="Ivy M. Castro"/>
    <m/>
    <s v="Yves Yshmael M. Balagtas"/>
    <s v="R3-2025-016266"/>
    <d v="2025-05-15T00:00:00"/>
    <m/>
    <d v="2025-05-16T00:00:00"/>
    <d v="2025-05-16T00:00:00"/>
    <n v="1"/>
    <s v=""/>
    <n v="1"/>
    <n v="1"/>
    <s v="Received by Planning"/>
    <s v="NO FACILITY"/>
    <s v="CATER BY LGU"/>
    <s v="Technical Assistance"/>
    <m/>
  </r>
  <r>
    <x v="4"/>
    <x v="85"/>
    <s v="MBA"/>
    <s v="Prado Siongco"/>
    <n v="4333"/>
    <n v="4440"/>
    <s v="CONDUCTED TECHNICAL ASSISTANCE"/>
    <n v="2025"/>
    <d v="2025-05-14T00:00:00"/>
    <x v="6"/>
    <s v="Ivy M. Castro"/>
    <m/>
    <s v="Yves Yshmael M. Balagtas"/>
    <s v="R3-2025-016265"/>
    <d v="2025-05-15T00:00:00"/>
    <m/>
    <d v="2025-05-16T00:00:00"/>
    <d v="2025-05-16T00:00:00"/>
    <n v="1"/>
    <s v=""/>
    <n v="1"/>
    <n v="1"/>
    <s v="Received by Planning"/>
    <s v="NO FACILITY"/>
    <s v="CATER BY LGU"/>
    <s v="Technical Assistance"/>
    <m/>
  </r>
  <r>
    <x v="4"/>
    <x v="85"/>
    <s v="MBA"/>
    <s v="Remedios"/>
    <n v="4222"/>
    <n v="4481"/>
    <s v="NO TECHNICAL ASSISTANCE CONDUCTED"/>
    <m/>
    <m/>
    <x v="0"/>
    <s v="Ivy M. Castro"/>
    <m/>
    <s v="Yves Yshmael M. Balagtas"/>
    <m/>
    <m/>
    <m/>
    <m/>
    <m/>
    <s v=""/>
    <s v=""/>
    <s v=""/>
    <s v=""/>
    <m/>
    <m/>
    <m/>
    <m/>
    <m/>
  </r>
  <r>
    <x v="4"/>
    <x v="85"/>
    <s v="MBA"/>
    <s v="San Agustin"/>
    <n v="2798"/>
    <n v="2796"/>
    <s v="NO TECHNICAL ASSISTANCE CONDUCTED"/>
    <m/>
    <m/>
    <x v="0"/>
    <s v="Ivy M. Castro"/>
    <m/>
    <s v="Yves Yshmael M. Balagtas"/>
    <m/>
    <m/>
    <m/>
    <m/>
    <m/>
    <s v=""/>
    <s v=""/>
    <s v=""/>
    <s v=""/>
    <m/>
    <m/>
    <m/>
    <m/>
    <m/>
  </r>
  <r>
    <x v="4"/>
    <x v="85"/>
    <s v="MBA"/>
    <s v="San Antonio"/>
    <n v="3230"/>
    <n v="3127"/>
    <s v="NO TECHNICAL ASSISTANCE CONDUCTED"/>
    <m/>
    <m/>
    <x v="0"/>
    <s v="Ivy M. Castro"/>
    <m/>
    <s v="Yves Yshmael M. Balagtas"/>
    <m/>
    <m/>
    <m/>
    <m/>
    <m/>
    <s v=""/>
    <s v=""/>
    <s v=""/>
    <s v=""/>
    <m/>
    <m/>
    <m/>
    <m/>
    <m/>
  </r>
  <r>
    <x v="4"/>
    <x v="85"/>
    <s v="MBA"/>
    <s v="San Francisco"/>
    <n v="4929"/>
    <n v="5643"/>
    <s v="NO TECHNICAL ASSISTANCE CONDUCTED"/>
    <m/>
    <m/>
    <x v="0"/>
    <s v="Ivy M. Castro"/>
    <m/>
    <s v="Yves Yshmael M. Balagtas"/>
    <m/>
    <m/>
    <m/>
    <m/>
    <m/>
    <s v=""/>
    <s v=""/>
    <s v=""/>
    <s v=""/>
    <m/>
    <m/>
    <m/>
    <m/>
    <m/>
  </r>
  <r>
    <x v="4"/>
    <x v="85"/>
    <s v="MBA"/>
    <s v="San Isidro"/>
    <n v="3289"/>
    <n v="4197"/>
    <s v="CONDUCTED TECHNICAL ASSISTANCE"/>
    <n v="2025"/>
    <d v="2025-05-15T00:00:00"/>
    <x v="6"/>
    <s v="Ivy M. Castro"/>
    <m/>
    <s v="Yves Yshmael M. Balagtas"/>
    <s v="R3-2025-016260"/>
    <d v="2025-05-15T00:00:00"/>
    <m/>
    <d v="2025-05-16T00:00:00"/>
    <d v="2025-05-16T00:00:00"/>
    <n v="1"/>
    <s v=""/>
    <n v="1"/>
    <n v="1"/>
    <s v="Received by Planning"/>
    <s v="MRF"/>
    <s v="OPERATIONAL"/>
    <s v="Technical Assistance"/>
    <m/>
  </r>
  <r>
    <x v="4"/>
    <x v="85"/>
    <s v="MBA"/>
    <s v="San Jose Apunan"/>
    <n v="1342"/>
    <n v="1138"/>
    <s v="NO TECHNICAL ASSISTANCE CONDUCTED"/>
    <m/>
    <m/>
    <x v="0"/>
    <s v="Ivy M. Castro"/>
    <m/>
    <s v="Yves Yshmael M. Balagtas"/>
    <m/>
    <m/>
    <m/>
    <m/>
    <m/>
    <s v=""/>
    <s v=""/>
    <s v=""/>
    <s v=""/>
    <m/>
    <m/>
    <m/>
    <m/>
    <m/>
  </r>
  <r>
    <x v="4"/>
    <x v="85"/>
    <s v="MBA"/>
    <s v="San Jose Gumi"/>
    <n v="2176"/>
    <n v="2334"/>
    <s v="NO TECHNICAL ASSISTANCE CONDUCTED"/>
    <m/>
    <m/>
    <x v="0"/>
    <s v="Ivy M. Castro"/>
    <m/>
    <s v="Yves Yshmael M. Balagtas"/>
    <m/>
    <m/>
    <m/>
    <m/>
    <m/>
    <s v=""/>
    <s v=""/>
    <s v=""/>
    <s v=""/>
    <m/>
    <m/>
    <m/>
    <m/>
    <m/>
  </r>
  <r>
    <x v="4"/>
    <x v="85"/>
    <s v="MBA"/>
    <s v="San Juan (Pob.)"/>
    <n v="2423"/>
    <n v="2586"/>
    <s v="CONDUCTED TECHNICAL ASSISTANCE"/>
    <n v="2024"/>
    <d v="2024-07-12T00:00:00"/>
    <x v="0"/>
    <s v="Ivy M. Castro"/>
    <m/>
    <s v="Yves Yshmael M. Balagtas"/>
    <m/>
    <m/>
    <m/>
    <m/>
    <m/>
    <s v=""/>
    <s v=""/>
    <s v=""/>
    <s v=""/>
    <m/>
    <s v="MRF"/>
    <s v="OPERATIONAL"/>
    <s v="Technical Assistance"/>
    <m/>
  </r>
  <r>
    <x v="4"/>
    <x v="85"/>
    <s v="MBA"/>
    <s v="San Matias"/>
    <n v="1259"/>
    <n v="1369"/>
    <s v="NO TECHNICAL ASSISTANCE CONDUCTED"/>
    <m/>
    <m/>
    <x v="0"/>
    <s v="Ivy M. Castro"/>
    <m/>
    <s v="Yves Yshmael M. Balagtas"/>
    <m/>
    <m/>
    <m/>
    <m/>
    <m/>
    <s v=""/>
    <s v=""/>
    <s v=""/>
    <s v=""/>
    <m/>
    <m/>
    <m/>
    <m/>
    <m/>
  </r>
  <r>
    <x v="4"/>
    <x v="85"/>
    <s v="MBA"/>
    <s v="San Miguel"/>
    <n v="3540"/>
    <n v="2940"/>
    <s v="CONDUCTED TECHNICAL ASSISTANCE"/>
    <n v="2024"/>
    <d v="2024-04-11T00:00:00"/>
    <x v="0"/>
    <s v="Ivy M. Castro"/>
    <m/>
    <s v="Yves Yshmael M. Balagtas"/>
    <m/>
    <m/>
    <m/>
    <m/>
    <m/>
    <s v=""/>
    <s v=""/>
    <s v=""/>
    <s v=""/>
    <m/>
    <m/>
    <m/>
    <s v="Technical Assistance"/>
    <m/>
  </r>
  <r>
    <x v="4"/>
    <x v="85"/>
    <s v="MBA"/>
    <s v="San Nicolas 1st (Pob.)"/>
    <n v="2958"/>
    <n v="3242"/>
    <s v="CONDUCTED TECHNICAL ASSISTANCE"/>
    <n v="2024"/>
    <d v="2024-04-12T00:00:00"/>
    <x v="4"/>
    <s v="Ivy M. Castro"/>
    <m/>
    <s v="Yves Yshmael M. Balagtas"/>
    <m/>
    <m/>
    <m/>
    <m/>
    <m/>
    <s v=""/>
    <s v=""/>
    <s v=""/>
    <s v=""/>
    <m/>
    <m/>
    <m/>
    <s v="Technical Assistance"/>
    <m/>
  </r>
  <r>
    <x v="4"/>
    <x v="85"/>
    <s v="MBA"/>
    <s v="San Nicolas 2nd"/>
    <n v="2000"/>
    <n v="1860"/>
    <s v="CONDUCTED TECHNICAL ASSISTANCE"/>
    <n v="2024"/>
    <d v="2024-04-05T00:00:00"/>
    <x v="4"/>
    <s v="Ivy M. Castro"/>
    <m/>
    <s v="Yves Yshmael M. Balagtas"/>
    <m/>
    <m/>
    <m/>
    <m/>
    <m/>
    <s v=""/>
    <s v=""/>
    <s v=""/>
    <s v=""/>
    <m/>
    <m/>
    <m/>
    <s v="Technical Assistance"/>
    <m/>
  </r>
  <r>
    <x v="4"/>
    <x v="85"/>
    <s v="MBA"/>
    <s v="San Pablo 1st"/>
    <n v="1631"/>
    <n v="1575"/>
    <s v="NO TECHNICAL ASSISTANCE CONDUCTED"/>
    <m/>
    <m/>
    <x v="0"/>
    <s v="Ivy M. Castro"/>
    <m/>
    <s v="Yves Yshmael M. Balagtas"/>
    <m/>
    <m/>
    <m/>
    <m/>
    <m/>
    <s v=""/>
    <s v=""/>
    <s v=""/>
    <s v=""/>
    <m/>
    <m/>
    <m/>
    <m/>
    <m/>
  </r>
  <r>
    <x v="4"/>
    <x v="85"/>
    <s v="MBA"/>
    <s v="San Pablo 2nd"/>
    <n v="5130"/>
    <n v="4340"/>
    <s v="NO TECHNICAL ASSISTANCE CONDUCTED"/>
    <m/>
    <m/>
    <x v="0"/>
    <s v="Ivy M. Castro"/>
    <m/>
    <s v="Yves Yshmael M. Balagtas"/>
    <m/>
    <m/>
    <m/>
    <m/>
    <m/>
    <s v=""/>
    <s v=""/>
    <s v=""/>
    <s v=""/>
    <m/>
    <m/>
    <m/>
    <m/>
    <m/>
  </r>
  <r>
    <x v="4"/>
    <x v="85"/>
    <s v="MBA"/>
    <s v="San Pedro Palcarangan"/>
    <n v="3335"/>
    <n v="4002"/>
    <s v="NO TECHNICAL ASSISTANCE CONDUCTED"/>
    <m/>
    <m/>
    <x v="0"/>
    <s v="Ivy M. Castro"/>
    <m/>
    <s v="Yves Yshmael M. Balagtas"/>
    <m/>
    <m/>
    <m/>
    <m/>
    <m/>
    <s v=""/>
    <s v=""/>
    <s v=""/>
    <s v=""/>
    <m/>
    <m/>
    <m/>
    <m/>
    <m/>
  </r>
  <r>
    <x v="4"/>
    <x v="85"/>
    <s v="MBA"/>
    <s v="San Pedro Saug"/>
    <n v="1565"/>
    <n v="1811"/>
    <s v="NO TECHNICAL ASSISTANCE CONDUCTED"/>
    <m/>
    <m/>
    <x v="0"/>
    <s v="Ivy M. Castro"/>
    <m/>
    <s v="Yves Yshmael M. Balagtas"/>
    <m/>
    <m/>
    <m/>
    <m/>
    <m/>
    <s v=""/>
    <s v=""/>
    <s v=""/>
    <s v=""/>
    <m/>
    <m/>
    <m/>
    <m/>
    <m/>
  </r>
  <r>
    <x v="4"/>
    <x v="85"/>
    <s v="MBA"/>
    <s v="San Roque Arbol"/>
    <n v="3154"/>
    <n v="3405"/>
    <s v="CONDUCTED TECHNICAL ASSISTANCE"/>
    <n v="2025"/>
    <d v="2025-05-14T00:00:00"/>
    <x v="6"/>
    <s v="Ivy M. Castro"/>
    <m/>
    <s v="Yves Yshmael M. Balagtas"/>
    <s v="R3-2025-016261"/>
    <d v="2025-05-15T00:00:00"/>
    <m/>
    <d v="2025-05-16T00:00:00"/>
    <d v="2025-05-16T00:00:00"/>
    <n v="1"/>
    <s v=""/>
    <n v="1"/>
    <n v="1"/>
    <s v="Received by Planning"/>
    <s v="MRF"/>
    <s v="OPERATIONAL"/>
    <s v="Technical Assistance"/>
    <m/>
  </r>
  <r>
    <x v="4"/>
    <x v="85"/>
    <s v="MBA"/>
    <s v="San Vicente"/>
    <n v="1751"/>
    <n v="1391"/>
    <s v="CONDUCTED TECHNICAL ASSISTANCE"/>
    <n v="2024"/>
    <d v="2024-04-04T00:00:00"/>
    <x v="4"/>
    <s v="Ivy M. Castro"/>
    <m/>
    <s v="Yves Yshmael M. Balagtas"/>
    <m/>
    <m/>
    <m/>
    <m/>
    <m/>
    <s v=""/>
    <s v=""/>
    <s v=""/>
    <s v=""/>
    <m/>
    <m/>
    <m/>
    <s v="Technical Assistance"/>
    <m/>
  </r>
  <r>
    <x v="4"/>
    <x v="85"/>
    <s v="MBA"/>
    <s v="Santa Barbara"/>
    <n v="1902"/>
    <n v="2120"/>
    <s v="CONDUCTED TECHNICAL ASSISTANCE"/>
    <n v="2024"/>
    <d v="2024-10-08T00:00:00"/>
    <x v="5"/>
    <s v="Ivy M. Castro"/>
    <m/>
    <s v="Yves Yshmael M. Balagtas"/>
    <m/>
    <m/>
    <m/>
    <m/>
    <m/>
    <s v=""/>
    <s v=""/>
    <s v=""/>
    <s v=""/>
    <m/>
    <s v="MRS"/>
    <s v="OPERATIONAL"/>
    <s v="Technical Assistance"/>
    <m/>
  </r>
  <r>
    <x v="4"/>
    <x v="85"/>
    <s v="MBA"/>
    <s v="Santa Catalina"/>
    <n v="4928"/>
    <n v="5648"/>
    <s v="CONDUCTED TECHNICAL ASSISTANCE"/>
    <n v="2024"/>
    <d v="2024-10-08T00:00:00"/>
    <x v="5"/>
    <s v="Ivy M. Castro"/>
    <m/>
    <s v="Yves Yshmael M. Balagtas"/>
    <m/>
    <m/>
    <m/>
    <m/>
    <m/>
    <s v=""/>
    <s v=""/>
    <s v=""/>
    <s v=""/>
    <m/>
    <s v="MRS"/>
    <s v="CATER BY LGU"/>
    <s v="Technical Assistance"/>
    <m/>
  </r>
  <r>
    <x v="4"/>
    <x v="85"/>
    <s v="MBA"/>
    <s v="Santa Cruz"/>
    <n v="16416"/>
    <n v="17700"/>
    <s v="NO TECHNICAL ASSISTANCE CONDUCTED"/>
    <m/>
    <m/>
    <x v="0"/>
    <s v="Ivy M. Castro"/>
    <m/>
    <s v="Yves Yshmael M. Balagtas"/>
    <m/>
    <m/>
    <m/>
    <m/>
    <m/>
    <s v=""/>
    <s v=""/>
    <s v=""/>
    <s v=""/>
    <m/>
    <m/>
    <m/>
    <m/>
    <m/>
  </r>
  <r>
    <x v="4"/>
    <x v="85"/>
    <s v="MBA"/>
    <s v="Santa Lucia (Pob.)"/>
    <n v="2168"/>
    <n v="2535"/>
    <s v="NO TECHNICAL ASSISTANCE CONDUCTED"/>
    <m/>
    <m/>
    <x v="0"/>
    <s v="Ivy M. Castro"/>
    <m/>
    <s v="Yves Yshmael M. Balagtas"/>
    <m/>
    <m/>
    <m/>
    <m/>
    <m/>
    <s v=""/>
    <s v=""/>
    <s v=""/>
    <s v=""/>
    <m/>
    <m/>
    <m/>
    <m/>
    <m/>
  </r>
  <r>
    <x v="4"/>
    <x v="85"/>
    <s v="MBA"/>
    <s v="Santa Maria"/>
    <n v="1564"/>
    <n v="1698"/>
    <s v="NO TECHNICAL ASSISTANCE CONDUCTED"/>
    <m/>
    <m/>
    <x v="0"/>
    <s v="Ivy M. Castro"/>
    <m/>
    <s v="Yves Yshmael M. Balagtas"/>
    <m/>
    <m/>
    <m/>
    <m/>
    <m/>
    <s v=""/>
    <s v=""/>
    <s v=""/>
    <s v=""/>
    <m/>
    <m/>
    <m/>
    <m/>
    <m/>
  </r>
  <r>
    <x v="4"/>
    <x v="85"/>
    <s v="MBA"/>
    <s v="Santa Monica"/>
    <n v="5724"/>
    <n v="6006"/>
    <s v="CONDUCTED TECHNICAL ASSISTANCE"/>
    <n v="2024"/>
    <d v="2024-10-08T00:00:00"/>
    <x v="0"/>
    <s v="Ivy M. Castro"/>
    <m/>
    <s v="Yves Yshmael M. Balagtas"/>
    <m/>
    <m/>
    <m/>
    <m/>
    <m/>
    <s v=""/>
    <s v=""/>
    <s v=""/>
    <s v=""/>
    <m/>
    <s v="MRS"/>
    <s v="CATER BY LGU"/>
    <s v="Technical Assistance"/>
    <m/>
  </r>
  <r>
    <x v="4"/>
    <x v="85"/>
    <s v="MBA"/>
    <s v="Santa Rita"/>
    <n v="3516"/>
    <n v="2956"/>
    <s v="NO TECHNICAL ASSISTANCE CONDUCTED"/>
    <m/>
    <m/>
    <x v="0"/>
    <s v="Ivy M. Castro"/>
    <m/>
    <s v="Yves Yshmael M. Balagtas"/>
    <m/>
    <m/>
    <m/>
    <m/>
    <m/>
    <s v=""/>
    <s v=""/>
    <s v=""/>
    <s v=""/>
    <m/>
    <m/>
    <m/>
    <m/>
    <m/>
  </r>
  <r>
    <x v="4"/>
    <x v="85"/>
    <s v="MBA"/>
    <s v="Santa Teresa 1st"/>
    <n v="2856"/>
    <n v="3606"/>
    <s v="NO TECHNICAL ASSISTANCE CONDUCTED"/>
    <m/>
    <m/>
    <x v="0"/>
    <s v="Ivy M. Castro"/>
    <m/>
    <s v="Yves Yshmael M. Balagtas"/>
    <m/>
    <m/>
    <m/>
    <m/>
    <m/>
    <s v=""/>
    <s v=""/>
    <s v=""/>
    <s v=""/>
    <m/>
    <m/>
    <m/>
    <m/>
    <m/>
  </r>
  <r>
    <x v="4"/>
    <x v="85"/>
    <s v="MBA"/>
    <s v="Santa Teresa 2nd"/>
    <n v="3373"/>
    <n v="4255"/>
    <s v="NO TECHNICAL ASSISTANCE CONDUCTED"/>
    <m/>
    <m/>
    <x v="0"/>
    <s v="Ivy M. Castro"/>
    <m/>
    <s v="Yves Yshmael M. Balagtas"/>
    <m/>
    <m/>
    <m/>
    <m/>
    <m/>
    <s v=""/>
    <s v=""/>
    <s v=""/>
    <s v=""/>
    <m/>
    <m/>
    <m/>
    <m/>
    <m/>
  </r>
  <r>
    <x v="4"/>
    <x v="85"/>
    <s v="MBA"/>
    <s v="Santiago"/>
    <n v="3940"/>
    <n v="4575"/>
    <s v="NO TECHNICAL ASSISTANCE CONDUCTED"/>
    <m/>
    <m/>
    <x v="0"/>
    <s v="Ivy M. Castro"/>
    <m/>
    <s v="Yves Yshmael M. Balagtas"/>
    <m/>
    <m/>
    <m/>
    <m/>
    <m/>
    <s v=""/>
    <s v=""/>
    <s v=""/>
    <s v=""/>
    <m/>
    <m/>
    <m/>
    <m/>
    <m/>
  </r>
  <r>
    <x v="4"/>
    <x v="85"/>
    <s v="MBA"/>
    <s v="Santo Cristo"/>
    <n v="1102"/>
    <n v="1137"/>
    <s v="NO TECHNICAL ASSISTANCE CONDUCTED"/>
    <m/>
    <m/>
    <x v="0"/>
    <s v="Ivy M. Castro"/>
    <m/>
    <s v="Yves Yshmael M. Balagtas"/>
    <m/>
    <m/>
    <m/>
    <m/>
    <m/>
    <s v=""/>
    <s v=""/>
    <s v=""/>
    <s v=""/>
    <m/>
    <m/>
    <m/>
    <m/>
    <m/>
  </r>
  <r>
    <x v="4"/>
    <x v="85"/>
    <s v="MBA"/>
    <s v="Santo Domingo"/>
    <n v="3688"/>
    <n v="4525"/>
    <s v="CONDUCTED TECHNICAL ASSISTANCE"/>
    <n v="2024"/>
    <d v="2024-05-14T00:00:00"/>
    <x v="0"/>
    <s v="Ivy M. Castro"/>
    <m/>
    <s v="Yves Yshmael M. Balagtas"/>
    <m/>
    <m/>
    <m/>
    <m/>
    <m/>
    <s v=""/>
    <s v=""/>
    <s v=""/>
    <s v=""/>
    <m/>
    <m/>
    <m/>
    <s v="Technical Assistance"/>
    <m/>
  </r>
  <r>
    <x v="4"/>
    <x v="85"/>
    <s v="MBA"/>
    <s v="Santo Niño"/>
    <n v="3110"/>
    <n v="3852"/>
    <s v="CONDUCTED TECHNICAL ASSISTANCE"/>
    <n v="2025"/>
    <d v="2025-05-14T00:00:00"/>
    <x v="6"/>
    <s v="Ivy M. Castro"/>
    <m/>
    <s v="Yves Yshmael M. Balagtas"/>
    <s v="R3-2025-016258"/>
    <d v="2025-05-15T00:00:00"/>
    <m/>
    <d v="2025-05-16T00:00:00"/>
    <d v="2025-05-16T00:00:00"/>
    <n v="1"/>
    <s v=""/>
    <n v="1"/>
    <n v="1"/>
    <s v="Received by Planning"/>
    <s v="NO FACILITY"/>
    <s v="CATER BY LGU"/>
    <s v="Technical Assistance"/>
    <m/>
  </r>
  <r>
    <x v="4"/>
    <x v="85"/>
    <s v="MBA"/>
    <s v="Santo Tomas (Pob.)"/>
    <n v="6365"/>
    <n v="5983"/>
    <s v="NO TECHNICAL ASSISTANCE CONDUCTED"/>
    <m/>
    <m/>
    <x v="0"/>
    <s v="Ivy M. Castro"/>
    <m/>
    <s v="Yves Yshmael M. Balagtas"/>
    <m/>
    <m/>
    <m/>
    <m/>
    <m/>
    <s v=""/>
    <s v=""/>
    <s v=""/>
    <s v=""/>
    <m/>
    <m/>
    <m/>
    <m/>
    <m/>
  </r>
  <r>
    <x v="4"/>
    <x v="86"/>
    <s v="MBA"/>
    <s v="Duquit"/>
    <n v="12268"/>
    <n v="13899"/>
    <s v="CONDUCTED TECHNICAL ASSISTANCE"/>
    <n v="2025"/>
    <d v="2025-09-16T00:00:00"/>
    <x v="7"/>
    <s v="Roger T. Encarnacion II"/>
    <m/>
    <s v="Yves Yshmael M. Balagtas"/>
    <s v="R3-2025-031397"/>
    <d v="2025-09-17T00:00:00"/>
    <m/>
    <d v="2025-09-17T00:00:00"/>
    <d v="2025-09-18T00:00:00"/>
    <n v="1"/>
    <s v=""/>
    <n v="1"/>
    <n v="1"/>
    <s v="Received by Planning"/>
    <s v="NO FACILITY"/>
    <s v="CATER BY LGU"/>
    <s v="Technical Assistance"/>
    <m/>
  </r>
  <r>
    <x v="4"/>
    <x v="86"/>
    <s v="MBA"/>
    <s v="Atlu-Bola"/>
    <n v="9704"/>
    <n v="11411"/>
    <s v="NO TECHNICAL ASSISTANCE CONDUCTED"/>
    <m/>
    <m/>
    <x v="0"/>
    <s v="Roger T. Encarnacion II"/>
    <m/>
    <s v="Yves Yshmael M. Balagtas"/>
    <m/>
    <m/>
    <m/>
    <m/>
    <m/>
    <s v=""/>
    <s v=""/>
    <s v=""/>
    <s v=""/>
    <m/>
    <m/>
    <m/>
    <m/>
    <m/>
  </r>
  <r>
    <x v="4"/>
    <x v="86"/>
    <s v="MBA"/>
    <s v="Bical"/>
    <n v="3901"/>
    <n v="4786"/>
    <s v="CONDUCTED TECHNICAL ASSISTANCE"/>
    <n v="2025"/>
    <d v="2025-03-18T00:00:00"/>
    <x v="1"/>
    <s v="Roger T. Encarnacion II"/>
    <m/>
    <s v="Yves Yshmael M. Balagtas"/>
    <s v="R3-2025-009209"/>
    <d v="2025-03-18T00:00:00"/>
    <m/>
    <d v="2025-03-18T00:00:00"/>
    <d v="2025-03-19T00:00:00"/>
    <n v="1"/>
    <s v=""/>
    <n v="1"/>
    <n v="1"/>
    <s v="Received by Planning"/>
    <s v="NO FACILITY"/>
    <s v="CATER BY LGU"/>
    <s v="Technical Assistance"/>
    <m/>
  </r>
  <r>
    <x v="4"/>
    <x v="86"/>
    <s v="MBA"/>
    <s v="Bundagul"/>
    <n v="3151"/>
    <n v="3885"/>
    <s v="CONDUCTED TECHNICAL ASSISTANCE"/>
    <n v="2025"/>
    <d v="2025-03-11T00:00:00"/>
    <x v="1"/>
    <s v="Roger T. Encarnacion II"/>
    <m/>
    <s v="Yves Yshmael M. Balagtas"/>
    <s v="R3-2025-009210"/>
    <d v="2025-03-18T00:00:00"/>
    <m/>
    <d v="2025-03-18T00:00:00"/>
    <d v="2025-03-19T00:00:00"/>
    <n v="5"/>
    <s v=""/>
    <n v="1"/>
    <n v="1"/>
    <s v="Received by Planning"/>
    <s v="NO FACILITY"/>
    <s v="CATER BY LGU"/>
    <s v="Technical Assistance"/>
    <m/>
  </r>
  <r>
    <x v="4"/>
    <x v="86"/>
    <s v="MBA"/>
    <s v="Cacutud"/>
    <n v="1927"/>
    <n v="2997"/>
    <s v="NO TECHNICAL ASSISTANCE CONDUCTED"/>
    <m/>
    <m/>
    <x v="0"/>
    <s v="Roger T. Encarnacion II"/>
    <m/>
    <s v="Yves Yshmael M. Balagtas"/>
    <m/>
    <m/>
    <m/>
    <m/>
    <m/>
    <s v=""/>
    <s v=""/>
    <s v=""/>
    <s v=""/>
    <m/>
    <m/>
    <m/>
    <m/>
    <m/>
  </r>
  <r>
    <x v="4"/>
    <x v="86"/>
    <s v="MBA"/>
    <s v="Calumpang"/>
    <n v="1812"/>
    <n v="2017"/>
    <s v="NO TECHNICAL ASSISTANCE CONDUCTED"/>
    <m/>
    <m/>
    <x v="0"/>
    <s v="Roger T. Encarnacion II"/>
    <m/>
    <s v="Yves Yshmael M. Balagtas"/>
    <m/>
    <m/>
    <m/>
    <m/>
    <m/>
    <s v=""/>
    <s v=""/>
    <s v=""/>
    <s v=""/>
    <m/>
    <m/>
    <m/>
    <m/>
    <m/>
  </r>
  <r>
    <x v="4"/>
    <x v="86"/>
    <s v="MBA"/>
    <s v="Camachiles"/>
    <n v="11387"/>
    <n v="13063"/>
    <s v="NO TECHNICAL ASSISTANCE CONDUCTED"/>
    <m/>
    <m/>
    <x v="0"/>
    <s v="Roger T. Encarnacion II"/>
    <m/>
    <s v="Yves Yshmael M. Balagtas"/>
    <m/>
    <m/>
    <m/>
    <m/>
    <m/>
    <s v=""/>
    <s v=""/>
    <s v=""/>
    <s v=""/>
    <m/>
    <m/>
    <m/>
    <m/>
    <m/>
  </r>
  <r>
    <x v="4"/>
    <x v="86"/>
    <s v="MBA"/>
    <s v="Dapdap"/>
    <n v="37789"/>
    <n v="41695"/>
    <s v="NO TECHNICAL ASSISTANCE CONDUCTED"/>
    <m/>
    <m/>
    <x v="0"/>
    <s v="Roger T. Encarnacion II"/>
    <m/>
    <s v="Yves Yshmael M. Balagtas"/>
    <m/>
    <m/>
    <m/>
    <m/>
    <m/>
    <s v=""/>
    <s v=""/>
    <s v=""/>
    <s v=""/>
    <m/>
    <m/>
    <m/>
    <m/>
    <m/>
  </r>
  <r>
    <x v="4"/>
    <x v="86"/>
    <s v="MBA"/>
    <s v="Dau"/>
    <n v="54541"/>
    <n v="62378"/>
    <s v="NO TECHNICAL ASSISTANCE CONDUCTED"/>
    <m/>
    <m/>
    <x v="0"/>
    <s v="Roger T. Encarnacion II"/>
    <m/>
    <s v="Yves Yshmael M. Balagtas"/>
    <m/>
    <m/>
    <m/>
    <m/>
    <m/>
    <s v=""/>
    <s v=""/>
    <s v=""/>
    <s v=""/>
    <m/>
    <m/>
    <m/>
    <m/>
    <m/>
  </r>
  <r>
    <x v="4"/>
    <x v="86"/>
    <s v="MBA"/>
    <s v="Dolores"/>
    <n v="2841"/>
    <n v="4305"/>
    <s v="NO TECHNICAL ASSISTANCE CONDUCTED"/>
    <m/>
    <m/>
    <x v="0"/>
    <s v="Roger T. Encarnacion II"/>
    <m/>
    <s v="Yves Yshmael M. Balagtas"/>
    <m/>
    <m/>
    <m/>
    <m/>
    <m/>
    <s v=""/>
    <s v=""/>
    <s v=""/>
    <s v=""/>
    <m/>
    <m/>
    <m/>
    <m/>
    <m/>
  </r>
  <r>
    <x v="4"/>
    <x v="86"/>
    <s v="MBA"/>
    <s v="Lakandula"/>
    <n v="6786"/>
    <n v="8387"/>
    <s v="NO TECHNICAL ASSISTANCE CONDUCTED"/>
    <m/>
    <m/>
    <x v="0"/>
    <s v="Roger T. Encarnacion II"/>
    <m/>
    <s v="Yves Yshmael M. Balagtas"/>
    <m/>
    <m/>
    <m/>
    <m/>
    <m/>
    <s v=""/>
    <s v=""/>
    <s v=""/>
    <s v=""/>
    <m/>
    <m/>
    <m/>
    <m/>
    <m/>
  </r>
  <r>
    <x v="4"/>
    <x v="86"/>
    <s v="MBA"/>
    <s v="Mabiga"/>
    <n v="19056"/>
    <n v="24042"/>
    <s v="NO TECHNICAL ASSISTANCE CONDUCTED"/>
    <m/>
    <m/>
    <x v="0"/>
    <s v="Roger T. Encarnacion II"/>
    <m/>
    <s v="Yves Yshmael M. Balagtas"/>
    <m/>
    <m/>
    <m/>
    <m/>
    <m/>
    <s v=""/>
    <s v=""/>
    <s v=""/>
    <s v=""/>
    <m/>
    <m/>
    <m/>
    <m/>
    <m/>
  </r>
  <r>
    <x v="4"/>
    <x v="86"/>
    <s v="MBA"/>
    <s v="Macapagal Village"/>
    <n v="3768"/>
    <n v="4202"/>
    <s v="NO TECHNICAL ASSISTANCE CONDUCTED"/>
    <m/>
    <m/>
    <x v="0"/>
    <s v="Roger T. Encarnacion II"/>
    <m/>
    <s v="Yves Yshmael M. Balagtas"/>
    <m/>
    <m/>
    <m/>
    <m/>
    <m/>
    <s v=""/>
    <s v=""/>
    <s v=""/>
    <s v=""/>
    <m/>
    <m/>
    <m/>
    <m/>
    <m/>
  </r>
  <r>
    <x v="4"/>
    <x v="86"/>
    <s v="MBA"/>
    <s v="Mamatitang"/>
    <n v="2250"/>
    <n v="2284"/>
    <s v="NO TECHNICAL ASSISTANCE CONDUCTED"/>
    <m/>
    <m/>
    <x v="0"/>
    <s v="Roger T. Encarnacion II"/>
    <m/>
    <s v="Yves Yshmael M. Balagtas"/>
    <m/>
    <m/>
    <m/>
    <m/>
    <m/>
    <s v=""/>
    <s v=""/>
    <s v=""/>
    <s v=""/>
    <m/>
    <m/>
    <m/>
    <m/>
    <m/>
  </r>
  <r>
    <x v="4"/>
    <x v="86"/>
    <s v="MBA"/>
    <s v="Mangalit"/>
    <n v="940"/>
    <n v="954"/>
    <s v="NO TECHNICAL ASSISTANCE CONDUCTED"/>
    <m/>
    <m/>
    <x v="0"/>
    <s v="Roger T. Encarnacion II"/>
    <m/>
    <s v="Yves Yshmael M. Balagtas"/>
    <m/>
    <m/>
    <m/>
    <m/>
    <m/>
    <s v=""/>
    <s v=""/>
    <s v=""/>
    <s v=""/>
    <m/>
    <m/>
    <m/>
    <m/>
    <m/>
  </r>
  <r>
    <x v="4"/>
    <x v="86"/>
    <s v="MBA"/>
    <s v="Marcos Village"/>
    <n v="2924"/>
    <n v="4957"/>
    <s v="NO TECHNICAL ASSISTANCE CONDUCTED"/>
    <m/>
    <m/>
    <x v="0"/>
    <s v="Roger T. Encarnacion II"/>
    <m/>
    <s v="Yves Yshmael M. Balagtas"/>
    <m/>
    <m/>
    <m/>
    <m/>
    <m/>
    <s v=""/>
    <s v=""/>
    <s v=""/>
    <s v=""/>
    <m/>
    <m/>
    <m/>
    <m/>
    <m/>
  </r>
  <r>
    <x v="4"/>
    <x v="86"/>
    <s v="MBA"/>
    <s v="Mawaque"/>
    <n v="3056"/>
    <n v="3692"/>
    <s v="NO TECHNICAL ASSISTANCE CONDUCTED"/>
    <m/>
    <m/>
    <x v="0"/>
    <s v="Roger T. Encarnacion II"/>
    <m/>
    <s v="Yves Yshmael M. Balagtas"/>
    <m/>
    <m/>
    <m/>
    <m/>
    <m/>
    <s v=""/>
    <s v=""/>
    <s v=""/>
    <s v=""/>
    <m/>
    <m/>
    <m/>
    <m/>
    <m/>
  </r>
  <r>
    <x v="4"/>
    <x v="86"/>
    <s v="MBA"/>
    <s v="Paralayunan"/>
    <n v="1588"/>
    <n v="1830"/>
    <s v="NO TECHNICAL ASSISTANCE CONDUCTED"/>
    <m/>
    <m/>
    <x v="0"/>
    <s v="Roger T. Encarnacion II"/>
    <m/>
    <s v="Yves Yshmael M. Balagtas"/>
    <m/>
    <m/>
    <m/>
    <m/>
    <m/>
    <s v=""/>
    <s v=""/>
    <s v=""/>
    <s v=""/>
    <m/>
    <m/>
    <m/>
    <m/>
    <m/>
  </r>
  <r>
    <x v="4"/>
    <x v="86"/>
    <s v="MBA"/>
    <s v="Poblacion"/>
    <n v="2782"/>
    <n v="2759"/>
    <s v="NO TECHNICAL ASSISTANCE CONDUCTED"/>
    <m/>
    <m/>
    <x v="0"/>
    <s v="Roger T. Encarnacion II"/>
    <m/>
    <s v="Yves Yshmael M. Balagtas"/>
    <m/>
    <m/>
    <m/>
    <m/>
    <m/>
    <s v=""/>
    <s v=""/>
    <s v=""/>
    <s v=""/>
    <m/>
    <m/>
    <m/>
    <m/>
    <m/>
  </r>
  <r>
    <x v="4"/>
    <x v="86"/>
    <s v="MBA"/>
    <s v="San Francisco"/>
    <n v="12354"/>
    <n v="14661"/>
    <s v="NO TECHNICAL ASSISTANCE CONDUCTED"/>
    <m/>
    <m/>
    <x v="0"/>
    <s v="Roger T. Encarnacion II"/>
    <m/>
    <s v="Yves Yshmael M. Balagtas"/>
    <m/>
    <m/>
    <m/>
    <m/>
    <m/>
    <s v=""/>
    <s v=""/>
    <s v=""/>
    <s v=""/>
    <m/>
    <m/>
    <m/>
    <m/>
    <m/>
  </r>
  <r>
    <x v="4"/>
    <x v="86"/>
    <s v="MBA"/>
    <s v="San Joaquin"/>
    <n v="4977"/>
    <n v="5325"/>
    <s v="NO TECHNICAL ASSISTANCE CONDUCTED"/>
    <m/>
    <m/>
    <x v="0"/>
    <s v="Roger T. Encarnacion II"/>
    <m/>
    <s v="Yves Yshmael M. Balagtas"/>
    <m/>
    <m/>
    <m/>
    <m/>
    <m/>
    <s v=""/>
    <s v=""/>
    <s v=""/>
    <s v=""/>
    <m/>
    <m/>
    <m/>
    <m/>
    <m/>
  </r>
  <r>
    <x v="4"/>
    <x v="86"/>
    <s v="MBA"/>
    <s v="Santa Ines"/>
    <n v="3476"/>
    <n v="4535"/>
    <s v="CONDUCTED TECHNICAL ASSISTANCE"/>
    <n v="2025"/>
    <d v="2025-07-08T00:00:00"/>
    <x v="8"/>
    <s v="Roger T. Encarnacion II"/>
    <s v="Jan Emerson C. Gonzales"/>
    <s v="Yves Yshmael M. Balagtas"/>
    <s v="R3-2025-022983"/>
    <d v="2025-07-11T00:00:00"/>
    <d v="2025-07-16T00:00:00"/>
    <d v="2025-07-16T00:00:00"/>
    <d v="2025-07-17T00:00:00"/>
    <n v="3"/>
    <n v="3"/>
    <n v="1"/>
    <n v="1"/>
    <s v="Received by Planning"/>
    <s v="MRS"/>
    <s v="OPERATIONAL"/>
    <s v="Technical Assistance"/>
    <m/>
  </r>
  <r>
    <x v="4"/>
    <x v="86"/>
    <s v="MBA"/>
    <s v="Santa Maria"/>
    <n v="2091"/>
    <n v="3167"/>
    <s v="NO TECHNICAL ASSISTANCE CONDUCTED"/>
    <m/>
    <m/>
    <x v="0"/>
    <s v="Roger T. Encarnacion II"/>
    <m/>
    <s v="Yves Yshmael M. Balagtas"/>
    <m/>
    <m/>
    <m/>
    <m/>
    <m/>
    <s v=""/>
    <s v=""/>
    <s v=""/>
    <s v=""/>
    <m/>
    <m/>
    <m/>
    <m/>
    <m/>
  </r>
  <r>
    <x v="4"/>
    <x v="86"/>
    <s v="MBA"/>
    <s v="Santo Rosario"/>
    <n v="2039"/>
    <n v="1675"/>
    <s v="NO TECHNICAL ASSISTANCE CONDUCTED"/>
    <m/>
    <m/>
    <x v="0"/>
    <s v="Roger T. Encarnacion II"/>
    <m/>
    <s v="Yves Yshmael M. Balagtas"/>
    <m/>
    <m/>
    <m/>
    <m/>
    <m/>
    <s v=""/>
    <s v=""/>
    <s v=""/>
    <s v=""/>
    <m/>
    <m/>
    <m/>
    <m/>
    <m/>
  </r>
  <r>
    <x v="4"/>
    <x v="86"/>
    <s v="MBA"/>
    <s v="Sapang Balen"/>
    <n v="168"/>
    <n v="275"/>
    <s v="NO TECHNICAL ASSISTANCE CONDUCTED"/>
    <m/>
    <m/>
    <x v="0"/>
    <s v="Roger T. Encarnacion II"/>
    <m/>
    <s v="Yves Yshmael M. Balagtas"/>
    <m/>
    <m/>
    <m/>
    <m/>
    <m/>
    <s v=""/>
    <s v=""/>
    <s v=""/>
    <s v=""/>
    <m/>
    <m/>
    <m/>
    <m/>
    <m/>
  </r>
  <r>
    <x v="4"/>
    <x v="86"/>
    <s v="MBA"/>
    <s v="Sapang Biabas"/>
    <n v="28464"/>
    <n v="29096"/>
    <s v="NO TECHNICAL ASSISTANCE CONDUCTED"/>
    <m/>
    <m/>
    <x v="0"/>
    <s v="Roger T. Encarnacion II"/>
    <m/>
    <s v="Yves Yshmael M. Balagtas"/>
    <m/>
    <m/>
    <m/>
    <m/>
    <m/>
    <s v=""/>
    <s v=""/>
    <s v=""/>
    <s v=""/>
    <m/>
    <m/>
    <m/>
    <m/>
    <m/>
  </r>
  <r>
    <x v="4"/>
    <x v="86"/>
    <s v="MBA"/>
    <s v="Tabun"/>
    <n v="14759"/>
    <n v="20967"/>
    <s v="NO TECHNICAL ASSISTANCE CONDUCTED"/>
    <m/>
    <m/>
    <x v="0"/>
    <s v="Roger T. Encarnacion II"/>
    <m/>
    <s v="Yves Yshmael M. Balagtas"/>
    <m/>
    <m/>
    <m/>
    <m/>
    <m/>
    <s v=""/>
    <s v=""/>
    <s v=""/>
    <s v=""/>
    <m/>
    <m/>
    <m/>
    <m/>
    <m/>
  </r>
  <r>
    <x v="4"/>
    <x v="87"/>
    <s v="MBA"/>
    <s v="Batasan"/>
    <n v="4494"/>
    <n v="4450"/>
    <s v="NO TECHNICAL ASSISTANCE CONDUCTED"/>
    <m/>
    <m/>
    <x v="0"/>
    <s v="Glaiza S. Gaza"/>
    <m/>
    <s v="Yves Yshmael M. Balagtas"/>
    <m/>
    <m/>
    <m/>
    <m/>
    <m/>
    <s v=""/>
    <s v=""/>
    <s v=""/>
    <s v=""/>
    <m/>
    <m/>
    <m/>
    <m/>
    <m/>
  </r>
  <r>
    <x v="4"/>
    <x v="87"/>
    <s v="MBA"/>
    <s v="Caduang Tete"/>
    <n v="6561"/>
    <n v="7104"/>
    <s v="CONDUCTED TECHNICAL ASSISTANCE"/>
    <n v="2024"/>
    <d v="2024-10-04T00:00:00"/>
    <x v="0"/>
    <s v="Glaiza S. Gaza"/>
    <m/>
    <s v="Yves Yshmael M. Balagtas"/>
    <m/>
    <m/>
    <m/>
    <m/>
    <m/>
    <s v=""/>
    <s v=""/>
    <s v=""/>
    <s v=""/>
    <m/>
    <s v="MRS"/>
    <s v="CATER BY LGU"/>
    <s v="Technical Assistance"/>
    <m/>
  </r>
  <r>
    <x v="4"/>
    <x v="87"/>
    <s v="MBA"/>
    <s v="Candelaria"/>
    <n v="2905"/>
    <n v="3030"/>
    <s v="NO TECHNICAL ASSISTANCE CONDUCTED"/>
    <m/>
    <m/>
    <x v="0"/>
    <s v="Glaiza S. Gaza"/>
    <m/>
    <s v="Yves Yshmael M. Balagtas"/>
    <m/>
    <m/>
    <m/>
    <m/>
    <m/>
    <s v=""/>
    <s v=""/>
    <s v=""/>
    <s v=""/>
    <m/>
    <m/>
    <m/>
    <m/>
    <m/>
  </r>
  <r>
    <x v="4"/>
    <x v="87"/>
    <s v="MBA"/>
    <s v="Castuli"/>
    <n v="1219"/>
    <n v="1081"/>
    <s v="NO TECHNICAL ASSISTANCE CONDUCTED"/>
    <m/>
    <m/>
    <x v="0"/>
    <s v="Glaiza S. Gaza"/>
    <m/>
    <s v="Yves Yshmael M. Balagtas"/>
    <m/>
    <m/>
    <m/>
    <m/>
    <m/>
    <s v=""/>
    <s v=""/>
    <s v=""/>
    <s v=""/>
    <m/>
    <m/>
    <m/>
    <m/>
    <m/>
  </r>
  <r>
    <x v="4"/>
    <x v="87"/>
    <s v="MBA"/>
    <s v="Consuelo"/>
    <n v="2720"/>
    <n v="2669"/>
    <s v="NO TECHNICAL ASSISTANCE CONDUCTED"/>
    <m/>
    <m/>
    <x v="0"/>
    <s v="Glaiza S. Gaza"/>
    <m/>
    <s v="Yves Yshmael M. Balagtas"/>
    <m/>
    <m/>
    <m/>
    <m/>
    <m/>
    <s v=""/>
    <s v=""/>
    <s v=""/>
    <s v=""/>
    <m/>
    <m/>
    <m/>
    <m/>
    <m/>
  </r>
  <r>
    <x v="4"/>
    <x v="87"/>
    <s v="MBA"/>
    <s v="Dalayap"/>
    <n v="2574"/>
    <n v="2668"/>
    <s v="NO TECHNICAL ASSISTANCE CONDUCTED"/>
    <m/>
    <m/>
    <x v="0"/>
    <s v="Glaiza S. Gaza"/>
    <m/>
    <s v="Yves Yshmael M. Balagtas"/>
    <m/>
    <m/>
    <m/>
    <m/>
    <m/>
    <s v=""/>
    <s v=""/>
    <s v=""/>
    <s v=""/>
    <m/>
    <m/>
    <m/>
    <m/>
    <m/>
  </r>
  <r>
    <x v="4"/>
    <x v="87"/>
    <s v="MBA"/>
    <s v="Mataguiti"/>
    <n v="819"/>
    <n v="1118"/>
    <s v="NO TECHNICAL ASSISTANCE CONDUCTED"/>
    <m/>
    <m/>
    <x v="0"/>
    <s v="Glaiza S. Gaza"/>
    <m/>
    <s v="Yves Yshmael M. Balagtas"/>
    <m/>
    <m/>
    <m/>
    <m/>
    <m/>
    <s v=""/>
    <s v=""/>
    <s v=""/>
    <s v=""/>
    <m/>
    <m/>
    <m/>
    <m/>
    <m/>
  </r>
  <r>
    <x v="4"/>
    <x v="87"/>
    <s v="MBA"/>
    <s v="San Esteban"/>
    <n v="5002"/>
    <n v="6553"/>
    <s v="CONDUCTED TECHNICAL ASSISTANCE"/>
    <n v="2025"/>
    <d v="2025-11-07T00:00:00"/>
    <x v="11"/>
    <s v="Glaiza S. Gaza"/>
    <m/>
    <s v="Yves Yshmael M. Balagtas"/>
    <s v="R3-2025-037399"/>
    <d v="2025-11-08T00:00:00"/>
    <m/>
    <d v="2025-11-17T00:00:00"/>
    <d v="2025-11-18T00:00:00"/>
    <n v="1"/>
    <s v=""/>
    <n v="5"/>
    <n v="1"/>
    <s v="Received by Planning"/>
    <s v="NO FACILITY"/>
    <s v="CATER BY LGU"/>
    <s v="Technical Assistance"/>
    <m/>
  </r>
  <r>
    <x v="4"/>
    <x v="87"/>
    <s v="MBA"/>
    <s v="San Francisco"/>
    <n v="1820"/>
    <n v="2024"/>
    <s v="NO TECHNICAL ASSISTANCE CONDUCTED"/>
    <m/>
    <m/>
    <x v="0"/>
    <s v="Glaiza S. Gaza"/>
    <m/>
    <s v="Yves Yshmael M. Balagtas"/>
    <m/>
    <m/>
    <m/>
    <m/>
    <m/>
    <s v=""/>
    <s v=""/>
    <s v=""/>
    <s v=""/>
    <m/>
    <m/>
    <m/>
    <m/>
    <m/>
  </r>
  <r>
    <x v="4"/>
    <x v="87"/>
    <s v="MBA"/>
    <s v="San Gabriel (Pob.)"/>
    <n v="3948"/>
    <n v="4025"/>
    <s v="CONDUCTED TECHNICAL ASSISTANCE"/>
    <n v="2024"/>
    <d v="2024-10-04T00:00:00"/>
    <x v="0"/>
    <s v="Glaiza S. Gaza"/>
    <m/>
    <s v="Yves Yshmael M. Balagtas"/>
    <m/>
    <m/>
    <m/>
    <m/>
    <m/>
    <s v=""/>
    <s v=""/>
    <s v=""/>
    <s v=""/>
    <m/>
    <s v="MRS"/>
    <s v="CATER BY LGU"/>
    <s v="Technical Assistance"/>
    <m/>
  </r>
  <r>
    <x v="4"/>
    <x v="87"/>
    <s v="MBA"/>
    <s v="San Isidro"/>
    <n v="2001"/>
    <n v="2412"/>
    <s v="CONDUCTED TECHNICAL ASSISTANCE"/>
    <n v="2025"/>
    <d v="2025-08-15T00:00:00"/>
    <x v="9"/>
    <s v="Glaiza S. Gaza"/>
    <s v="Jan Emerson C. Gonzales"/>
    <s v="Yves Yshmael M. Balagtas"/>
    <s v="R3-2025-027563"/>
    <d v="2025-08-17T00:00:00"/>
    <d v="2025-08-18T00:00:00"/>
    <d v="2025-08-19T00:00:00"/>
    <d v="2025-08-19T00:00:00"/>
    <n v="1"/>
    <n v="1"/>
    <n v="1"/>
    <n v="1"/>
    <s v="Received by Planning"/>
    <s v="NO FACILITY"/>
    <s v="CATER BY LGU"/>
    <s v="Technical Assistance"/>
    <m/>
  </r>
  <r>
    <x v="4"/>
    <x v="87"/>
    <s v="MBA"/>
    <s v="San Jose"/>
    <n v="3751"/>
    <n v="3984"/>
    <s v="CONDUCTED TECHNICAL ASSISTANCE"/>
    <n v="2025"/>
    <d v="2025-10-10T00:00:00"/>
    <x v="5"/>
    <s v="Glaiza S. Gaza"/>
    <m/>
    <s v="Yves Yshmael M. Balagtas"/>
    <s v="R3-2025-034606"/>
    <d v="2025-10-13T00:00:00"/>
    <m/>
    <d v="2025-10-15T00:00:00"/>
    <d v="2025-10-20T00:00:00"/>
    <n v="1"/>
    <s v=""/>
    <n v="2"/>
    <n v="3"/>
    <s v="Received by Planning"/>
    <s v="NO FACILITY"/>
    <s v="CATER BY LGU"/>
    <s v="Technical Assistance"/>
    <m/>
  </r>
  <r>
    <x v="4"/>
    <x v="87"/>
    <s v="MBA"/>
    <s v="San Juan"/>
    <n v="2504"/>
    <n v="2827"/>
    <s v="NO TECHNICAL ASSISTANCE CONDUCTED"/>
    <m/>
    <m/>
    <x v="0"/>
    <s v="Glaiza S. Gaza"/>
    <m/>
    <s v="Yves Yshmael M. Balagtas"/>
    <m/>
    <m/>
    <m/>
    <m/>
    <m/>
    <s v=""/>
    <s v=""/>
    <s v=""/>
    <s v=""/>
    <m/>
    <m/>
    <m/>
    <m/>
    <m/>
  </r>
  <r>
    <x v="4"/>
    <x v="87"/>
    <s v="MBA"/>
    <s v="San Rafael"/>
    <n v="3411"/>
    <n v="3592"/>
    <s v="CONDUCTED TECHNICAL ASSISTANCE"/>
    <n v="2025"/>
    <d v="2025-10-10T00:00:00"/>
    <x v="5"/>
    <s v="Glaiza S. Gaza"/>
    <m/>
    <s v="Yves Yshmael M. Balagtas"/>
    <s v="R3-2025-034609"/>
    <d v="2025-10-13T00:00:00"/>
    <m/>
    <d v="2025-10-15T00:00:00"/>
    <d v="2025-10-20T00:00:00"/>
    <n v="1"/>
    <s v=""/>
    <n v="2"/>
    <n v="3"/>
    <s v="Received by Planning"/>
    <s v="NO FACILITY"/>
    <s v="CATER BY LGU"/>
    <s v="Technical Assistance"/>
    <m/>
  </r>
  <r>
    <x v="4"/>
    <x v="87"/>
    <s v="MBA"/>
    <s v="San Roque"/>
    <n v="4304"/>
    <n v="4127"/>
    <s v="NO TECHNICAL ASSISTANCE CONDUCTED"/>
    <m/>
    <m/>
    <x v="0"/>
    <s v="Glaiza S. Gaza"/>
    <m/>
    <s v="Yves Yshmael M. Balagtas"/>
    <m/>
    <m/>
    <m/>
    <m/>
    <m/>
    <s v=""/>
    <s v=""/>
    <s v=""/>
    <s v=""/>
    <m/>
    <m/>
    <m/>
    <m/>
    <m/>
  </r>
  <r>
    <x v="4"/>
    <x v="87"/>
    <s v="MBA"/>
    <s v="San Vicente"/>
    <n v="2808"/>
    <n v="3281"/>
    <s v="NO TECHNICAL ASSISTANCE CONDUCTED"/>
    <m/>
    <m/>
    <x v="0"/>
    <s v="Glaiza S. Gaza"/>
    <m/>
    <s v="Yves Yshmael M. Balagtas"/>
    <m/>
    <m/>
    <m/>
    <m/>
    <m/>
    <s v=""/>
    <s v=""/>
    <s v=""/>
    <s v=""/>
    <m/>
    <m/>
    <m/>
    <m/>
    <m/>
  </r>
  <r>
    <x v="4"/>
    <x v="87"/>
    <s v="MBA"/>
    <s v="Santa Cruz (Pob.)"/>
    <n v="1208"/>
    <n v="442"/>
    <s v="CONDUCTED TECHNICAL ASSISTANCE"/>
    <n v="2025"/>
    <d v="2025-08-15T00:00:00"/>
    <x v="9"/>
    <s v="Glaiza S. Gaza"/>
    <s v="Jan Emerson C. Gonzales"/>
    <s v="Yves Yshmael M. Balagtas"/>
    <s v="R3-2025-027564"/>
    <d v="2025-08-17T00:00:00"/>
    <d v="2025-08-18T00:00:00"/>
    <d v="2025-08-19T00:00:00"/>
    <d v="2025-08-19T00:00:00"/>
    <n v="1"/>
    <n v="1"/>
    <n v="1"/>
    <n v="1"/>
    <s v="Received by Planning"/>
    <s v="NO FACILITY"/>
    <s v="CATER BY LGU"/>
    <s v="Technical Assistance"/>
    <m/>
  </r>
  <r>
    <x v="4"/>
    <x v="87"/>
    <s v="MBA"/>
    <s v="Santa Lutgarda"/>
    <n v="991"/>
    <n v="1098"/>
    <s v="CONDUCTED TECHNICAL ASSISTANCE"/>
    <n v="2025"/>
    <d v="2025-10-10T00:00:00"/>
    <x v="5"/>
    <s v="Glaiza S. Gaza"/>
    <m/>
    <s v="Yves Yshmael M. Balagtas"/>
    <s v="R3-2025-034611"/>
    <d v="2025-10-13T00:00:00"/>
    <m/>
    <d v="2025-10-15T00:00:00"/>
    <d v="2025-10-20T00:00:00"/>
    <n v="1"/>
    <s v=""/>
    <n v="2"/>
    <n v="3"/>
    <s v="Received by Planning"/>
    <s v="NO FACILITY"/>
    <s v="CATER BY LGU"/>
    <s v="Technical Assistance"/>
    <m/>
  </r>
  <r>
    <x v="4"/>
    <x v="87"/>
    <s v="MBA"/>
    <s v="Santa Maria"/>
    <n v="5756"/>
    <n v="5128"/>
    <s v="CONDUCTED TECHNICAL ASSISTANCE"/>
    <n v="2025"/>
    <d v="2025-10-10T00:00:00"/>
    <x v="5"/>
    <s v="Glaiza S. Gaza"/>
    <m/>
    <s v="Yves Yshmael M. Balagtas"/>
    <s v="R3-2025-034613"/>
    <d v="2025-10-13T00:00:00"/>
    <m/>
    <d v="2025-10-15T00:00:00"/>
    <d v="2025-10-20T00:00:00"/>
    <n v="1"/>
    <s v=""/>
    <n v="2"/>
    <n v="3"/>
    <s v="Received by Planning"/>
    <s v="NO FACILITY"/>
    <s v="CATER BY LGU"/>
    <s v="Technical Assistance"/>
    <m/>
  </r>
  <r>
    <x v="4"/>
    <x v="87"/>
    <s v="MBA"/>
    <s v="Santa Rita (Pob.)"/>
    <n v="3470"/>
    <n v="3603"/>
    <s v="CONDUCTED TECHNICAL ASSISTANCE"/>
    <n v="2025"/>
    <d v="2025-08-15T00:00:00"/>
    <x v="9"/>
    <s v="Glaiza S. Gaza"/>
    <s v="Jan Emerson C. Gonzales"/>
    <s v="Yves Yshmael M. Balagtas"/>
    <s v="R3-2025-027566"/>
    <d v="2025-08-17T00:00:00"/>
    <d v="2025-08-18T00:00:00"/>
    <d v="2025-08-19T00:00:00"/>
    <d v="2025-08-19T00:00:00"/>
    <n v="1"/>
    <n v="1"/>
    <n v="1"/>
    <n v="1"/>
    <s v="Received by Planning"/>
    <s v="NO FACILITY"/>
    <s v="CATER BY LGU"/>
    <s v="Technical Assistance"/>
    <m/>
  </r>
  <r>
    <x v="4"/>
    <x v="87"/>
    <s v="MBA"/>
    <s v="Santo Niño"/>
    <n v="2720"/>
    <n v="2625"/>
    <s v="CONDUCTED TECHNICAL ASSISTANCE"/>
    <n v="2025"/>
    <d v="2025-10-10T00:00:00"/>
    <x v="5"/>
    <s v="Glaiza S. Gaza"/>
    <m/>
    <s v="Yves Yshmael M. Balagtas"/>
    <s v="R3-2025-034615"/>
    <d v="2025-10-13T00:00:00"/>
    <m/>
    <d v="2025-10-15T00:00:00"/>
    <d v="2025-10-20T00:00:00"/>
    <n v="1"/>
    <s v=""/>
    <n v="2"/>
    <n v="3"/>
    <s v="Received by Planning"/>
    <s v="NO FACILITY"/>
    <s v="CATER BY LGU"/>
    <s v="Technical Assistance"/>
    <m/>
  </r>
  <r>
    <x v="4"/>
    <x v="87"/>
    <s v="MBA"/>
    <s v="Santo Rosario (Pob.)"/>
    <n v="3114"/>
    <n v="2561"/>
    <s v="CONDUCTED TECHNICAL ASSISTANCE"/>
    <n v="2025"/>
    <d v="2025-08-15T00:00:00"/>
    <x v="9"/>
    <s v="Glaiza S. Gaza"/>
    <s v="Jan Emerson C. Gonzales"/>
    <s v="Yves Yshmael M. Balagtas"/>
    <s v="R3-2025-027567"/>
    <d v="2025-08-17T00:00:00"/>
    <d v="2025-08-18T00:00:00"/>
    <d v="2025-08-19T00:00:00"/>
    <d v="2025-08-19T00:00:00"/>
    <n v="1"/>
    <n v="1"/>
    <n v="1"/>
    <n v="1"/>
    <s v="Received by Planning"/>
    <s v="NO FACILITY"/>
    <s v="CATER BY LGU"/>
    <s v="Technical Assistance"/>
    <m/>
  </r>
  <r>
    <x v="4"/>
    <x v="87"/>
    <s v="MBA"/>
    <s v="Saplad David"/>
    <n v="1516"/>
    <n v="1239"/>
    <s v="NO TECHNICAL ASSISTANCE CONDUCTED"/>
    <m/>
    <m/>
    <x v="0"/>
    <s v="Glaiza S. Gaza"/>
    <m/>
    <s v="Yves Yshmael M. Balagtas"/>
    <m/>
    <m/>
    <m/>
    <m/>
    <m/>
    <s v=""/>
    <s v=""/>
    <s v=""/>
    <s v=""/>
    <m/>
    <m/>
    <m/>
    <m/>
    <m/>
  </r>
  <r>
    <x v="4"/>
    <x v="87"/>
    <s v="MBA"/>
    <s v="Tacasan"/>
    <n v="2416"/>
    <n v="2453"/>
    <s v="CONDUCTED TECHNICAL ASSISTANCE"/>
    <n v="2025"/>
    <d v="2025-02-13T00:00:00"/>
    <x v="3"/>
    <s v="Glaiza S. Gaza"/>
    <m/>
    <s v="Yves Yshmael M. Balagtas"/>
    <s v="R3-2025-005866_x0009_"/>
    <d v="2025-02-13T00:00:00"/>
    <m/>
    <d v="2025-02-18T00:00:00"/>
    <d v="2025-02-19T00:00:00"/>
    <n v="1"/>
    <s v=""/>
    <n v="3"/>
    <n v="1"/>
    <s v="Received by Planning"/>
    <s v="MRS"/>
    <s v="OPERATIONAL"/>
    <s v="Technical Assistance"/>
    <m/>
  </r>
  <r>
    <x v="4"/>
    <x v="87"/>
    <s v="MBA"/>
    <s v="Telacsan"/>
    <n v="3818"/>
    <n v="4057"/>
    <s v="NO TECHNICAL ASSISTANCE CONDUCTED"/>
    <m/>
    <m/>
    <x v="0"/>
    <s v="Glaiza S. Gaza"/>
    <m/>
    <s v="Yves Yshmael M. Balagtas"/>
    <m/>
    <m/>
    <m/>
    <m/>
    <m/>
    <s v=""/>
    <s v=""/>
    <s v=""/>
    <s v=""/>
    <m/>
    <m/>
    <m/>
    <m/>
    <m/>
  </r>
  <r>
    <x v="4"/>
    <x v="88"/>
    <s v="MBA"/>
    <s v="Ayala"/>
    <n v="3270"/>
    <n v="3493"/>
    <s v="CONDUCTED TECHNICAL ASSISTANCE"/>
    <n v="2025"/>
    <d v="2025-09-13T00:00:00"/>
    <x v="7"/>
    <s v="Roger T. Encarnacion II"/>
    <m/>
    <s v="Yves Yshmael M. Balagtas"/>
    <s v="R3-2025-031400"/>
    <d v="2025-09-17T00:00:00"/>
    <m/>
    <d v="2025-09-17T00:00:00"/>
    <d v="2025-09-18T00:00:00"/>
    <n v="2"/>
    <s v=""/>
    <n v="1"/>
    <n v="1"/>
    <s v="Received by Planning"/>
    <s v="MRF"/>
    <s v="OPERATIONAL"/>
    <s v="Technical Assistance"/>
    <m/>
  </r>
  <r>
    <x v="4"/>
    <x v="88"/>
    <s v="MBA"/>
    <s v="La Paz"/>
    <n v="2100"/>
    <n v="2472"/>
    <s v="CONDUCTED TECHNICAL ASSISTANCE"/>
    <n v="2025"/>
    <d v="2025-09-13T00:00:00"/>
    <x v="7"/>
    <s v="Roger T. Encarnacion II"/>
    <m/>
    <s v="Yves Yshmael M. Balagtas"/>
    <s v="R3-2025-031405"/>
    <d v="2025-09-17T00:00:00"/>
    <m/>
    <d v="2025-09-17T00:00:00"/>
    <d v="2025-09-18T00:00:00"/>
    <n v="2"/>
    <s v=""/>
    <n v="1"/>
    <n v="1"/>
    <s v="Received by Planning"/>
    <s v="MRF"/>
    <s v="OPERATIONAL"/>
    <s v="Technical Assistance"/>
    <m/>
  </r>
  <r>
    <x v="4"/>
    <x v="88"/>
    <s v="MBA"/>
    <s v="Bucanan"/>
    <n v="1703"/>
    <n v="2184"/>
    <s v="NO TECHNICAL ASSISTANCE CONDUCTED"/>
    <m/>
    <m/>
    <x v="0"/>
    <s v="Roger T. Encarnacion II"/>
    <m/>
    <s v="Yves Yshmael M. Balagtas"/>
    <m/>
    <m/>
    <m/>
    <m/>
    <m/>
    <s v=""/>
    <s v=""/>
    <s v=""/>
    <s v=""/>
    <m/>
    <m/>
    <m/>
    <m/>
    <m/>
  </r>
  <r>
    <x v="4"/>
    <x v="88"/>
    <s v="MBA"/>
    <s v="Camias"/>
    <n v="1963"/>
    <n v="2194"/>
    <s v="NO TECHNICAL ASSISTANCE CONDUCTED"/>
    <m/>
    <m/>
    <x v="0"/>
    <s v="Roger T. Encarnacion II"/>
    <m/>
    <s v="Yves Yshmael M. Balagtas"/>
    <m/>
    <m/>
    <m/>
    <m/>
    <m/>
    <s v=""/>
    <s v=""/>
    <s v=""/>
    <s v=""/>
    <m/>
    <m/>
    <m/>
    <m/>
    <m/>
  </r>
  <r>
    <x v="4"/>
    <x v="88"/>
    <s v="MBA"/>
    <s v="Dolores"/>
    <n v="1717"/>
    <n v="1640"/>
    <s v="CONDUCTED TECHNICAL ASSISTANCE"/>
    <n v="2024"/>
    <d v="2024-10-11T00:00:00"/>
    <x v="0"/>
    <s v="Roger T. Encarnacion II"/>
    <m/>
    <s v="Yves Yshmael M. Balagtas"/>
    <m/>
    <m/>
    <m/>
    <m/>
    <m/>
    <s v=""/>
    <s v=""/>
    <s v=""/>
    <s v=""/>
    <m/>
    <s v="MRF"/>
    <s v="OPERATIONAL"/>
    <s v="Technical Assistance"/>
    <m/>
  </r>
  <r>
    <x v="4"/>
    <x v="88"/>
    <s v="MBA"/>
    <s v="Escaler"/>
    <n v="1826"/>
    <n v="1952"/>
    <s v="NO TECHNICAL ASSISTANCE CONDUCTED"/>
    <m/>
    <m/>
    <x v="0"/>
    <s v="Roger T. Encarnacion II"/>
    <m/>
    <s v="Yves Yshmael M. Balagtas"/>
    <m/>
    <m/>
    <m/>
    <m/>
    <m/>
    <s v=""/>
    <s v=""/>
    <s v=""/>
    <s v=""/>
    <m/>
    <m/>
    <m/>
    <m/>
    <m/>
  </r>
  <r>
    <x v="4"/>
    <x v="88"/>
    <s v="MBA"/>
    <s v="San Pedro II"/>
    <n v="5435"/>
    <n v="5392"/>
    <s v="CONDUCTED TECHNICAL ASSISTANCE"/>
    <n v="2025"/>
    <d v="2025-09-13T00:00:00"/>
    <x v="7"/>
    <s v="Roger T. Encarnacion II"/>
    <m/>
    <s v="Yves Yshmael M. Balagtas"/>
    <s v="R3-2025-031406"/>
    <d v="2025-09-17T00:00:00"/>
    <m/>
    <d v="2025-09-17T00:00:00"/>
    <d v="2025-09-18T00:00:00"/>
    <n v="2"/>
    <s v=""/>
    <n v="1"/>
    <n v="1"/>
    <s v="Received by Planning"/>
    <s v="MRF"/>
    <s v="OPERATIONAL"/>
    <s v="Technical Assistance"/>
    <m/>
  </r>
  <r>
    <x v="4"/>
    <x v="88"/>
    <s v="MBA"/>
    <s v="Navaling"/>
    <n v="1522"/>
    <n v="1474"/>
    <s v="CONDUCTED TECHNICAL ASSISTANCE"/>
    <n v="2024"/>
    <d v="2024-10-11T00:00:00"/>
    <x v="0"/>
    <s v="Roger T. Encarnacion II"/>
    <m/>
    <s v="Yves Yshmael M. Balagtas"/>
    <m/>
    <m/>
    <m/>
    <m/>
    <m/>
    <s v=""/>
    <s v=""/>
    <s v=""/>
    <s v=""/>
    <m/>
    <s v="MRF"/>
    <s v="OPERATIONAL"/>
    <s v="Technical Assistance"/>
    <m/>
  </r>
  <r>
    <x v="4"/>
    <x v="88"/>
    <s v="MBA"/>
    <s v="San Agustin"/>
    <n v="3324"/>
    <n v="3820"/>
    <s v="CONDUCTED TECHNICAL ASSISTANCE"/>
    <n v="2025"/>
    <d v="2025-08-14T00:00:00"/>
    <x v="9"/>
    <s v="Roger T. Encarnacion II"/>
    <s v="Jan Emerson C. Gonzales"/>
    <s v="Yves Yshmael M. Balagtas"/>
    <s v="R3-2025-027312"/>
    <d v="2025-08-15T00:00:00"/>
    <d v="2025-08-15T00:00:00"/>
    <d v="2025-08-19T00:00:00"/>
    <d v="2025-08-19T00:00:00"/>
    <n v="1"/>
    <n v="1"/>
    <n v="2"/>
    <n v="1"/>
    <s v="Received by Planning"/>
    <s v="MRF"/>
    <s v="NON-OPERATIONAL"/>
    <s v="Technical Assistance"/>
    <m/>
  </r>
  <r>
    <x v="4"/>
    <x v="88"/>
    <s v="MBA"/>
    <s v="San Antonio"/>
    <n v="1754"/>
    <n v="2083"/>
    <s v="CONDUCTED TECHNICAL ASSISTANCE"/>
    <n v="2025"/>
    <d v="2025-05-15T00:00:00"/>
    <x v="6"/>
    <s v="Roger T. Encarnacion II"/>
    <m/>
    <s v="Yves Yshmael M. Balagtas"/>
    <s v="R3-2025-016233"/>
    <d v="2025-05-15T00:00:00"/>
    <m/>
    <d v="2025-05-16T00:00:00"/>
    <d v="2025-05-16T00:00:00"/>
    <n v="1"/>
    <s v=""/>
    <n v="1"/>
    <n v="1"/>
    <s v="Received by Planning"/>
    <s v="NO FACILITY"/>
    <s v="CATER BY LGU"/>
    <s v="Technical Assistance"/>
    <m/>
  </r>
  <r>
    <x v="4"/>
    <x v="88"/>
    <s v="MBA"/>
    <s v="San Franciso"/>
    <n v="5077"/>
    <n v="4948"/>
    <s v="NO TECHNICAL ASSISTANCE CONDUCTED"/>
    <m/>
    <m/>
    <x v="0"/>
    <s v="Roger T. Encarnacion II"/>
    <m/>
    <s v="Yves Yshmael M. Balagtas"/>
    <m/>
    <m/>
    <m/>
    <m/>
    <m/>
    <s v=""/>
    <s v=""/>
    <s v=""/>
    <s v=""/>
    <m/>
    <m/>
    <m/>
    <m/>
    <m/>
  </r>
  <r>
    <x v="4"/>
    <x v="88"/>
    <s v="MBA"/>
    <s v="San Ildefonso"/>
    <n v="6752"/>
    <n v="7593"/>
    <s v="NO TECHNICAL ASSISTANCE CONDUCTED"/>
    <m/>
    <m/>
    <x v="0"/>
    <s v="Roger T. Encarnacion II"/>
    <m/>
    <s v="Yves Yshmael M. Balagtas"/>
    <m/>
    <m/>
    <m/>
    <m/>
    <m/>
    <s v=""/>
    <s v=""/>
    <s v=""/>
    <s v=""/>
    <m/>
    <m/>
    <m/>
    <m/>
    <m/>
  </r>
  <r>
    <x v="4"/>
    <x v="88"/>
    <s v="MBA"/>
    <s v="San Isidro"/>
    <n v="24786"/>
    <n v="26787"/>
    <s v="CONDUCTED TECHNICAL ASSISTANCE"/>
    <n v="2025"/>
    <d v="2025-05-15T00:00:00"/>
    <x v="6"/>
    <s v="Roger T. Encarnacion II"/>
    <m/>
    <s v="Yves Yshmael M. Balagtas"/>
    <s v="R3-2025-016232"/>
    <d v="2025-05-15T00:00:00"/>
    <m/>
    <d v="2025-05-16T00:00:00"/>
    <d v="2025-05-16T00:00:00"/>
    <n v="1"/>
    <s v=""/>
    <n v="1"/>
    <n v="1"/>
    <s v="Received by Planning"/>
    <s v="NO FACILITY"/>
    <s v="CATER BY LGU"/>
    <s v="Technical Assistance"/>
    <m/>
  </r>
  <r>
    <x v="4"/>
    <x v="88"/>
    <s v="MBA"/>
    <s v="San Jose"/>
    <n v="3579"/>
    <n v="3563"/>
    <s v="NO TECHNICAL ASSISTANCE CONDUCTED"/>
    <m/>
    <m/>
    <x v="0"/>
    <s v="Roger T. Encarnacion II"/>
    <m/>
    <s v="Yves Yshmael M. Balagtas"/>
    <m/>
    <m/>
    <m/>
    <m/>
    <m/>
    <s v=""/>
    <s v=""/>
    <s v=""/>
    <s v=""/>
    <m/>
    <m/>
    <m/>
    <m/>
    <m/>
  </r>
  <r>
    <x v="4"/>
    <x v="88"/>
    <s v="MBA"/>
    <s v="San Miguel"/>
    <n v="2714"/>
    <n v="2790"/>
    <s v="CONDUCTED TECHNICAL ASSISTANCE"/>
    <n v="2024"/>
    <d v="2024-09-04T00:00:00"/>
    <x v="0"/>
    <s v="Roger T. Encarnacion II"/>
    <m/>
    <s v="Yves Yshmael M. Balagtas"/>
    <m/>
    <m/>
    <m/>
    <m/>
    <m/>
    <s v=""/>
    <s v=""/>
    <s v=""/>
    <s v=""/>
    <m/>
    <s v="MRF"/>
    <s v="OPERATIONAL"/>
    <s v="Technical Assistance"/>
    <m/>
  </r>
  <r>
    <x v="4"/>
    <x v="88"/>
    <s v="MBA"/>
    <s v="San Nicolas 1st (Pob.)"/>
    <n v="3458"/>
    <n v="3576"/>
    <s v="CONDUCTED TECHNICAL ASSISTANCE"/>
    <n v="2025"/>
    <d v="2025-03-18T00:00:00"/>
    <x v="1"/>
    <s v="Roger T. Encarnacion II"/>
    <m/>
    <s v="Yves Yshmael M. Balagtas"/>
    <s v="R3-2025-009207"/>
    <d v="2025-03-18T00:00:00"/>
    <m/>
    <d v="2025-03-18T00:00:00"/>
    <d v="2025-03-19T00:00:00"/>
    <n v="1"/>
    <s v=""/>
    <n v="1"/>
    <n v="1"/>
    <s v="Received by Planning"/>
    <s v="NO FACILITY"/>
    <s v="CATER BY LGU"/>
    <s v="Technical Assistance"/>
    <m/>
  </r>
  <r>
    <x v="4"/>
    <x v="88"/>
    <s v="MBA"/>
    <s v="San Nicolas 2nd"/>
    <n v="2856"/>
    <n v="4288"/>
    <s v="NO TECHNICAL ASSISTANCE CONDUCTED"/>
    <m/>
    <m/>
    <x v="0"/>
    <s v="Roger T. Encarnacion II"/>
    <m/>
    <s v="Yves Yshmael M. Balagtas"/>
    <m/>
    <m/>
    <m/>
    <m/>
    <m/>
    <s v=""/>
    <s v=""/>
    <s v=""/>
    <s v=""/>
    <m/>
    <m/>
    <m/>
    <m/>
    <m/>
  </r>
  <r>
    <x v="4"/>
    <x v="88"/>
    <s v="MBA"/>
    <s v="San Pablo (Pob.)"/>
    <n v="3420"/>
    <n v="4389"/>
    <s v="CONDUCTED TECHNICAL ASSISTANCE"/>
    <n v="2024"/>
    <d v="2024-09-04T00:00:00"/>
    <x v="0"/>
    <s v="Roger T. Encarnacion II"/>
    <m/>
    <s v="Yves Yshmael M. Balagtas"/>
    <m/>
    <m/>
    <m/>
    <m/>
    <m/>
    <s v=""/>
    <s v=""/>
    <s v=""/>
    <s v=""/>
    <m/>
    <s v="MRF"/>
    <s v="OPERATIONAL"/>
    <s v="Technical Assistance"/>
    <m/>
  </r>
  <r>
    <x v="4"/>
    <x v="88"/>
    <s v="MBA"/>
    <s v="San Pedro I"/>
    <n v="1760"/>
    <n v="1756"/>
    <s v="CONDUCTED TECHNICAL ASSISTANCE"/>
    <n v="2024"/>
    <d v="2024-10-11T00:00:00"/>
    <x v="0"/>
    <s v="Roger T. Encarnacion II"/>
    <m/>
    <s v="Yves Yshmael M. Balagtas"/>
    <m/>
    <m/>
    <m/>
    <m/>
    <m/>
    <s v=""/>
    <s v=""/>
    <s v=""/>
    <s v=""/>
    <m/>
    <s v="MRF"/>
    <s v="OPERATIONAL"/>
    <s v="Technical Assistance"/>
    <m/>
  </r>
  <r>
    <x v="4"/>
    <x v="88"/>
    <s v="MBA"/>
    <s v="Turu"/>
    <n v="2052"/>
    <n v="1962"/>
    <s v="CONDUCTED TECHNICAL ASSISTANCE"/>
    <n v="2025"/>
    <d v="2025-09-13T00:00:00"/>
    <x v="7"/>
    <s v="Roger T. Encarnacion II"/>
    <m/>
    <s v="Yves Yshmael M. Balagtas"/>
    <s v=" R3-2025-031402 "/>
    <d v="2025-09-17T00:00:00"/>
    <m/>
    <d v="2025-09-17T00:00:00"/>
    <d v="2025-09-18T00:00:00"/>
    <n v="2"/>
    <s v=""/>
    <n v="1"/>
    <n v="1"/>
    <s v="Received by Planning"/>
    <s v="MRF"/>
    <s v="OPERATIONAL"/>
    <s v="Technical Assistance"/>
    <m/>
  </r>
  <r>
    <x v="4"/>
    <x v="88"/>
    <s v="MBA"/>
    <s v="San Roque"/>
    <n v="2525"/>
    <n v="2833"/>
    <s v="CONDUCTED TECHNICAL ASSISTANCE"/>
    <n v="2024"/>
    <d v="2024-10-11T00:00:00"/>
    <x v="0"/>
    <s v="Roger T. Encarnacion II"/>
    <m/>
    <s v="Yves Yshmael M. Balagtas"/>
    <m/>
    <m/>
    <m/>
    <m/>
    <m/>
    <s v=""/>
    <s v=""/>
    <s v=""/>
    <s v=""/>
    <m/>
    <s v="MRF"/>
    <s v="OPERATIONAL"/>
    <s v="Technical Assistance"/>
    <m/>
  </r>
  <r>
    <x v="4"/>
    <x v="88"/>
    <s v="MBA"/>
    <s v="San Vicente"/>
    <n v="3726"/>
    <n v="4305"/>
    <s v="CONDUCTED TECHNICAL ASSISTANCE"/>
    <n v="2025"/>
    <d v="2025-02-11T00:00:00"/>
    <x v="3"/>
    <s v="Roger T. Encarnacion II"/>
    <m/>
    <s v="Yves Yshmael M. Balagtas"/>
    <s v="R3-2025-005425"/>
    <d v="2025-02-14T00:00:00"/>
    <m/>
    <d v="2025-02-17T00:00:00"/>
    <d v="2025-02-18T00:00:00"/>
    <n v="3"/>
    <s v=""/>
    <n v="1"/>
    <n v="1"/>
    <s v="Received by Planning"/>
    <s v="MRF"/>
    <s v="NON-OPERATIONAL"/>
    <s v="Technical Assistance"/>
    <m/>
  </r>
  <r>
    <x v="4"/>
    <x v="88"/>
    <s v="MBA"/>
    <s v="Santa Cruz (Pob.)"/>
    <n v="6396"/>
    <n v="7318"/>
    <s v="CONDUCTED TECHNICAL ASSISTANCE"/>
    <n v="2024"/>
    <d v="2024-10-11T00:00:00"/>
    <x v="0"/>
    <s v="Roger T. Encarnacion II"/>
    <m/>
    <s v="Yves Yshmael M. Balagtas"/>
    <m/>
    <m/>
    <m/>
    <m/>
    <m/>
    <s v=""/>
    <s v=""/>
    <s v=""/>
    <s v=""/>
    <m/>
    <s v="MRF"/>
    <s v="OPERATIONAL"/>
    <s v="Technical Assistance"/>
    <m/>
  </r>
  <r>
    <x v="4"/>
    <x v="88"/>
    <s v="MBA"/>
    <s v="Santa Lucia"/>
    <n v="8883"/>
    <n v="9673"/>
    <s v="CONDUCTED TECHNICAL ASSISTANCE"/>
    <n v="2024"/>
    <d v="2024-07-09T00:00:00"/>
    <x v="0"/>
    <s v="Roger T. Encarnacion II"/>
    <m/>
    <s v="Yves Yshmael M. Balagtas"/>
    <m/>
    <m/>
    <m/>
    <m/>
    <m/>
    <s v=""/>
    <s v=""/>
    <s v=""/>
    <s v=""/>
    <m/>
    <s v="MRF"/>
    <s v="NON-OPERATIONAL"/>
    <s v="Technical Assistance"/>
    <m/>
  </r>
  <r>
    <x v="4"/>
    <x v="88"/>
    <s v="MBA"/>
    <s v="Santa Maria"/>
    <n v="2740"/>
    <n v="2974"/>
    <s v="NO TECHNICAL ASSISTANCE CONDUCTED"/>
    <m/>
    <m/>
    <x v="0"/>
    <s v="Roger T. Encarnacion II"/>
    <m/>
    <s v="Yves Yshmael M. Balagtas"/>
    <m/>
    <m/>
    <m/>
    <m/>
    <m/>
    <s v=""/>
    <s v=""/>
    <s v=""/>
    <s v=""/>
    <m/>
    <m/>
    <m/>
    <m/>
    <m/>
  </r>
  <r>
    <x v="4"/>
    <x v="88"/>
    <s v="MBA"/>
    <s v="Santo Niño"/>
    <n v="3185"/>
    <n v="3494"/>
    <s v="CONDUCTED TECHNICAL ASSISTANCE"/>
    <n v="2024"/>
    <d v="2024-06-04T00:00:00"/>
    <x v="0"/>
    <s v="Roger T. Encarnacion II"/>
    <m/>
    <s v="Yves Yshmael M. Balagtas"/>
    <m/>
    <m/>
    <m/>
    <m/>
    <m/>
    <s v=""/>
    <s v=""/>
    <s v=""/>
    <s v=""/>
    <m/>
    <m/>
    <m/>
    <s v="Technical Assistance"/>
    <m/>
  </r>
  <r>
    <x v="4"/>
    <x v="88"/>
    <s v="MBA"/>
    <s v="Santo Rosario"/>
    <n v="4624"/>
    <n v="5235"/>
    <s v="CONDUCTED TECHNICAL ASSISTANCE"/>
    <n v="2025"/>
    <d v="2025-05-15T00:00:00"/>
    <x v="6"/>
    <s v="Roger T. Encarnacion II"/>
    <m/>
    <s v="Yves Yshmael M. Balagtas"/>
    <s v="R3-2025-016234"/>
    <d v="2025-05-15T00:00:00"/>
    <m/>
    <d v="2025-05-16T00:00:00"/>
    <d v="2025-05-16T00:00:00"/>
    <n v="1"/>
    <s v=""/>
    <n v="1"/>
    <n v="1"/>
    <s v="Received by Planning"/>
    <s v="NO FACILITY"/>
    <s v="CATER BY LGU"/>
    <s v="Technical Assistance"/>
    <m/>
  </r>
  <r>
    <x v="4"/>
    <x v="89"/>
    <s v="MBA"/>
    <s v="Alauli"/>
    <n v="1397"/>
    <n v="1773"/>
    <s v="NO TECHNICAL ASSISTANCE CONDUCTED"/>
    <m/>
    <m/>
    <x v="0"/>
    <s v="Glaiza S. Gaza"/>
    <m/>
    <s v="Yves Yshmael M. Balagtas"/>
    <m/>
    <m/>
    <m/>
    <m/>
    <m/>
    <s v=""/>
    <s v=""/>
    <s v=""/>
    <s v=""/>
    <m/>
    <m/>
    <m/>
    <m/>
    <m/>
  </r>
  <r>
    <x v="4"/>
    <x v="89"/>
    <s v="MBA"/>
    <s v="Bagang"/>
    <n v="1708"/>
    <n v="1676"/>
    <s v="CONDUCTED TECHNICAL ASSISTANCE"/>
    <n v="2024"/>
    <d v="2024-09-10T00:00:00"/>
    <x v="0"/>
    <s v="Glaiza S. Gaza"/>
    <m/>
    <s v="Yves Yshmael M. Balagtas"/>
    <m/>
    <m/>
    <m/>
    <m/>
    <m/>
    <s v=""/>
    <s v=""/>
    <s v=""/>
    <s v=""/>
    <m/>
    <s v="MRF"/>
    <s v="OPERATIONAL"/>
    <s v="Technical Assistance"/>
    <m/>
  </r>
  <r>
    <x v="4"/>
    <x v="89"/>
    <s v="MBA"/>
    <s v="Balibago"/>
    <n v="2094"/>
    <n v="1890"/>
    <s v="NO TECHNICAL ASSISTANCE CONDUCTED"/>
    <m/>
    <m/>
    <x v="0"/>
    <s v="Glaiza S. Gaza"/>
    <m/>
    <s v="Yves Yshmael M. Balagtas"/>
    <m/>
    <m/>
    <m/>
    <m/>
    <m/>
    <s v=""/>
    <s v=""/>
    <s v=""/>
    <s v=""/>
    <m/>
    <m/>
    <m/>
    <m/>
    <m/>
  </r>
  <r>
    <x v="4"/>
    <x v="89"/>
    <s v="MBA"/>
    <s v="Bebe Anac"/>
    <n v="6952"/>
    <n v="6786"/>
    <s v="CONDUCTED TECHNICAL ASSISTANCE"/>
    <n v="2025"/>
    <d v="2025-06-10T00:00:00"/>
    <x v="10"/>
    <s v="Glaiza S. Gaza"/>
    <s v="Jan Emerson C. Gonzales"/>
    <s v="Yves Yshmael M. Balagtas"/>
    <s v="R3-2025-019598"/>
    <d v="2025-06-14T00:00:00"/>
    <d v="2025-06-18T00:00:00"/>
    <d v="2025-06-18T00:00:00"/>
    <d v="2025-06-18T00:00:00"/>
    <n v="3"/>
    <n v="2"/>
    <n v="1"/>
    <n v="1"/>
    <s v="Received by Planning"/>
    <s v="NO FACILITY"/>
    <s v="CATER BY LGU"/>
    <s v="Technical Assistance"/>
    <m/>
  </r>
  <r>
    <x v="4"/>
    <x v="89"/>
    <s v="MBA"/>
    <s v="Bebe Matua"/>
    <n v="1402"/>
    <n v="1628"/>
    <s v="CONDUCTED TECHNICAL ASSISTANCE"/>
    <n v="2025"/>
    <d v="2025-06-10T00:00:00"/>
    <x v="10"/>
    <s v="Glaiza S. Gaza"/>
    <s v="Jan Emerson C. Gonzales"/>
    <s v="Yves Yshmael M. Balagtas"/>
    <s v="R3-2025-019600"/>
    <d v="2025-06-10T00:00:00"/>
    <d v="2025-06-14T00:00:00"/>
    <d v="2025-06-18T00:00:00"/>
    <d v="2025-06-18T00:00:00"/>
    <n v="1"/>
    <n v="3"/>
    <n v="2"/>
    <n v="1"/>
    <s v="Received by Planning"/>
    <s v="NO FACILITY"/>
    <s v="CATER BY LGU"/>
    <s v="Technical Assistance"/>
    <m/>
  </r>
  <r>
    <x v="4"/>
    <x v="89"/>
    <s v="MBA"/>
    <s v="Bulacus"/>
    <n v="1578"/>
    <n v="1618"/>
    <s v="CONDUCTED TECHNICAL ASSISTANCE"/>
    <n v="2025"/>
    <d v="2025-06-10T00:00:00"/>
    <x v="10"/>
    <s v="Glaiza S. Gaza"/>
    <s v="Jan Emerson C. Gonzales"/>
    <s v="Yves Yshmael M. Balagtas"/>
    <s v="R3-2025-019601"/>
    <d v="2025-06-14T00:00:00"/>
    <d v="2025-06-18T00:00:00"/>
    <d v="2025-06-18T00:00:00"/>
    <d v="2025-06-18T00:00:00"/>
    <n v="3"/>
    <n v="2"/>
    <n v="1"/>
    <n v="1"/>
    <s v="Received by Planning"/>
    <s v="NO FACILITY"/>
    <s v="CATER BY LGU"/>
    <s v="Technical Assistance"/>
    <m/>
  </r>
  <r>
    <x v="4"/>
    <x v="89"/>
    <s v="MBA"/>
    <s v="Cambasi"/>
    <n v="1412"/>
    <n v="1232"/>
    <s v="CONDUCTED TECHNICAL ASSISTANCE"/>
    <n v="2024"/>
    <d v="2024-09-10T00:00:00"/>
    <x v="0"/>
    <s v="Glaiza S. Gaza"/>
    <m/>
    <s v="Yves Yshmael M. Balagtas"/>
    <m/>
    <m/>
    <m/>
    <m/>
    <m/>
    <s v=""/>
    <s v=""/>
    <s v=""/>
    <s v=""/>
    <m/>
    <s v="MRF"/>
    <s v="OPERATIONAL"/>
    <s v="Technical Assistance"/>
    <m/>
  </r>
  <r>
    <x v="4"/>
    <x v="89"/>
    <s v="MBA"/>
    <s v="Malauli"/>
    <n v="1612"/>
    <n v="1939"/>
    <s v="CONDUCTED TECHNICAL ASSISTANCE"/>
    <n v="2024"/>
    <d v="2024-08-14T00:00:00"/>
    <x v="0"/>
    <s v="Glaiza S. Gaza"/>
    <m/>
    <s v="Yves Yshmael M. Balagtas"/>
    <m/>
    <m/>
    <m/>
    <m/>
    <m/>
    <s v=""/>
    <s v=""/>
    <s v=""/>
    <s v=""/>
    <m/>
    <s v="MRF"/>
    <s v="OPERATIONAL"/>
    <s v="Technical Assistance"/>
    <m/>
  </r>
  <r>
    <x v="4"/>
    <x v="89"/>
    <s v="MBA"/>
    <s v="Nigui"/>
    <n v="2216"/>
    <n v="2507"/>
    <s v="NO TECHNICAL ASSISTANCE CONDUCTED"/>
    <m/>
    <m/>
    <x v="0"/>
    <s v="Glaiza S. Gaza"/>
    <m/>
    <s v="Yves Yshmael M. Balagtas"/>
    <m/>
    <m/>
    <m/>
    <m/>
    <m/>
    <s v=""/>
    <s v=""/>
    <s v=""/>
    <s v=""/>
    <m/>
    <m/>
    <m/>
    <m/>
    <m/>
  </r>
  <r>
    <x v="4"/>
    <x v="89"/>
    <s v="MBA"/>
    <s v="Palimpe"/>
    <n v="1999"/>
    <n v="2515"/>
    <s v="NO TECHNICAL ASSISTANCE CONDUCTED"/>
    <m/>
    <m/>
    <x v="0"/>
    <s v="Glaiza S. Gaza"/>
    <m/>
    <s v="Yves Yshmael M. Balagtas"/>
    <m/>
    <m/>
    <m/>
    <m/>
    <m/>
    <s v=""/>
    <s v=""/>
    <s v=""/>
    <s v=""/>
    <m/>
    <m/>
    <m/>
    <m/>
    <m/>
  </r>
  <r>
    <x v="4"/>
    <x v="89"/>
    <s v="MBA"/>
    <s v="Puti"/>
    <n v="1123"/>
    <n v="1551"/>
    <s v="CONDUCTED TECHNICAL ASSISTANCE"/>
    <n v="2024"/>
    <d v="2024-08-14T00:00:00"/>
    <x v="0"/>
    <s v="Glaiza S. Gaza"/>
    <m/>
    <s v="Yves Yshmael M. Balagtas"/>
    <m/>
    <m/>
    <m/>
    <m/>
    <m/>
    <s v=""/>
    <s v=""/>
    <s v=""/>
    <s v=""/>
    <m/>
    <s v="MRF"/>
    <s v="OPERATIONAL"/>
    <s v="Technical Assistance"/>
    <m/>
  </r>
  <r>
    <x v="4"/>
    <x v="89"/>
    <s v="MBA"/>
    <s v="Sagrada"/>
    <n v="1288"/>
    <n v="863"/>
    <s v="CONDUCTED TECHNICAL ASSISTANCE"/>
    <n v="2024"/>
    <d v="2024-08-14T00:00:00"/>
    <x v="0"/>
    <s v="Glaiza S. Gaza"/>
    <m/>
    <s v="Yves Yshmael M. Balagtas"/>
    <m/>
    <m/>
    <m/>
    <m/>
    <m/>
    <s v=""/>
    <s v=""/>
    <s v=""/>
    <s v=""/>
    <m/>
    <s v="MRF"/>
    <s v="OPERATIONAL"/>
    <s v="Technical Assistance"/>
    <m/>
  </r>
  <r>
    <x v="4"/>
    <x v="89"/>
    <s v="MBA"/>
    <s v="San Agustin"/>
    <n v="1534"/>
    <n v="1782"/>
    <s v="CONDUCTED TECHNICAL ASSISTANCE"/>
    <n v="2025"/>
    <d v="2025-06-10T00:00:00"/>
    <x v="10"/>
    <s v="Glaiza S. Gaza"/>
    <s v="Jan Emerson C. Gonzales"/>
    <s v="Yves Yshmael M. Balagtas"/>
    <s v="R3-2025-019603"/>
    <d v="2025-06-14T00:00:00"/>
    <d v="2025-06-18T00:00:00"/>
    <d v="2025-06-18T00:00:00"/>
    <d v="2025-06-18T00:00:00"/>
    <n v="3"/>
    <n v="2"/>
    <n v="1"/>
    <n v="1"/>
    <s v="Received by Planning"/>
    <s v="MRF"/>
    <s v="NON-OPERATIONAL"/>
    <s v="Technical Assistance"/>
    <m/>
  </r>
  <r>
    <x v="4"/>
    <x v="89"/>
    <s v="MBA"/>
    <s v="San Isidro Anac"/>
    <n v="1144"/>
    <n v="1100"/>
    <s v="NO TECHNICAL ASSISTANCE CONDUCTED"/>
    <m/>
    <m/>
    <x v="0"/>
    <s v="Glaiza S. Gaza"/>
    <m/>
    <s v="Yves Yshmael M. Balagtas"/>
    <m/>
    <m/>
    <m/>
    <m/>
    <m/>
    <s v=""/>
    <s v=""/>
    <s v=""/>
    <s v=""/>
    <m/>
    <m/>
    <m/>
    <m/>
    <m/>
  </r>
  <r>
    <x v="4"/>
    <x v="89"/>
    <s v="MBA"/>
    <s v="San Isidro Matua (Pob.)"/>
    <n v="4552"/>
    <n v="3520"/>
    <s v="NO TECHNICAL ASSISTANCE CONDUCTED"/>
    <m/>
    <m/>
    <x v="0"/>
    <s v="Glaiza S. Gaza"/>
    <m/>
    <s v="Yves Yshmael M. Balagtas"/>
    <m/>
    <m/>
    <m/>
    <m/>
    <m/>
    <s v=""/>
    <s v=""/>
    <s v=""/>
    <s v=""/>
    <m/>
    <m/>
    <m/>
    <m/>
    <m/>
  </r>
  <r>
    <x v="4"/>
    <x v="89"/>
    <s v="MBA"/>
    <s v="San Nicolas (Pob.)"/>
    <n v="3494"/>
    <n v="3751"/>
    <s v="NO TECHNICAL ASSISTANCE CONDUCTED"/>
    <m/>
    <m/>
    <x v="0"/>
    <s v="Glaiza S. Gaza"/>
    <m/>
    <s v="Yves Yshmael M. Balagtas"/>
    <m/>
    <m/>
    <m/>
    <m/>
    <m/>
    <s v=""/>
    <s v=""/>
    <s v=""/>
    <s v=""/>
    <m/>
    <m/>
    <m/>
    <m/>
    <m/>
  </r>
  <r>
    <x v="4"/>
    <x v="89"/>
    <s v="MBA"/>
    <s v="San Pedro"/>
    <n v="1056"/>
    <n v="1238"/>
    <s v="CONDUCTED TECHNICAL ASSISTANCE"/>
    <n v="2025"/>
    <d v="2025-06-10T00:00:00"/>
    <x v="10"/>
    <s v="Glaiza S. Gaza"/>
    <s v="Jan Emerson C. Gonzales"/>
    <s v="Yves Yshmael M. Balagtas"/>
    <s v="R3-2025-019604"/>
    <d v="2025-06-14T00:00:00"/>
    <d v="2025-06-18T00:00:00"/>
    <d v="2025-06-18T00:00:00"/>
    <d v="2025-06-18T00:00:00"/>
    <n v="3"/>
    <n v="2"/>
    <n v="1"/>
    <n v="1"/>
    <s v="Received by Planning"/>
    <s v="MRF"/>
    <s v="NON-OPERATIONAL"/>
    <s v="Technical Assistance"/>
    <m/>
  </r>
  <r>
    <x v="4"/>
    <x v="89"/>
    <s v="MBA"/>
    <s v="Santa Cruz"/>
    <n v="2171"/>
    <n v="2452"/>
    <s v="CONDUCTED TECHNICAL ASSISTANCE"/>
    <n v="2024"/>
    <d v="2024-09-10T00:00:00"/>
    <x v="0"/>
    <s v="Glaiza S. Gaza"/>
    <m/>
    <s v="Yves Yshmael M. Balagtas"/>
    <m/>
    <m/>
    <m/>
    <m/>
    <m/>
    <s v=""/>
    <s v=""/>
    <s v=""/>
    <s v=""/>
    <m/>
    <s v="MRF"/>
    <s v="OPERATIONAL"/>
    <s v="Technical Assistance"/>
    <m/>
  </r>
  <r>
    <x v="4"/>
    <x v="89"/>
    <s v="MBA"/>
    <s v="Santa Lucia Anac (Pob.)"/>
    <n v="1373"/>
    <n v="1212"/>
    <s v="NO TECHNICAL ASSISTANCE CONDUCTED"/>
    <m/>
    <m/>
    <x v="0"/>
    <s v="Glaiza S. Gaza"/>
    <m/>
    <s v="Yves Yshmael M. Balagtas"/>
    <m/>
    <m/>
    <m/>
    <m/>
    <m/>
    <s v=""/>
    <s v=""/>
    <s v=""/>
    <s v=""/>
    <m/>
    <m/>
    <m/>
    <m/>
    <m/>
  </r>
  <r>
    <x v="4"/>
    <x v="89"/>
    <s v="MBA"/>
    <s v="Santa Lucia Matua"/>
    <n v="3439"/>
    <n v="3262"/>
    <s v="NO TECHNICAL ASSISTANCE CONDUCTED"/>
    <m/>
    <m/>
    <x v="0"/>
    <s v="Glaiza S. Gaza"/>
    <m/>
    <s v="Yves Yshmael M. Balagtas"/>
    <m/>
    <m/>
    <m/>
    <m/>
    <m/>
    <s v=""/>
    <s v=""/>
    <s v=""/>
    <s v=""/>
    <m/>
    <m/>
    <m/>
    <m/>
    <m/>
  </r>
  <r>
    <x v="4"/>
    <x v="89"/>
    <s v="MBA"/>
    <s v="Santa Lucia Paguiba"/>
    <n v="2216"/>
    <n v="2217"/>
    <s v="NO TECHNICAL ASSISTANCE CONDUCTED"/>
    <m/>
    <m/>
    <x v="0"/>
    <s v="Glaiza S. Gaza"/>
    <m/>
    <s v="Yves Yshmael M. Balagtas"/>
    <m/>
    <m/>
    <m/>
    <m/>
    <m/>
    <s v=""/>
    <s v=""/>
    <s v=""/>
    <s v=""/>
    <m/>
    <m/>
    <m/>
    <m/>
    <m/>
  </r>
  <r>
    <x v="4"/>
    <x v="89"/>
    <s v="MBA"/>
    <s v="Santa Lucia Wakas"/>
    <n v="2001"/>
    <n v="1932"/>
    <s v="NO TECHNICAL ASSISTANCE CONDUCTED"/>
    <m/>
    <m/>
    <x v="0"/>
    <s v="Glaiza S. Gaza"/>
    <m/>
    <s v="Yves Yshmael M. Balagtas"/>
    <m/>
    <m/>
    <m/>
    <m/>
    <m/>
    <s v=""/>
    <s v=""/>
    <s v=""/>
    <s v=""/>
    <m/>
    <m/>
    <m/>
    <m/>
    <m/>
  </r>
  <r>
    <x v="4"/>
    <x v="89"/>
    <s v="MBA"/>
    <s v="Santa Monica"/>
    <n v="901"/>
    <n v="856"/>
    <s v="NO TECHNICAL ASSISTANCE CONDUCTED"/>
    <m/>
    <m/>
    <x v="0"/>
    <s v="Glaiza S. Gaza"/>
    <m/>
    <s v="Yves Yshmael M. Balagtas"/>
    <m/>
    <m/>
    <m/>
    <m/>
    <m/>
    <s v=""/>
    <s v=""/>
    <s v=""/>
    <s v=""/>
    <m/>
    <m/>
    <m/>
    <m/>
    <m/>
  </r>
  <r>
    <x v="4"/>
    <x v="89"/>
    <s v="MBA"/>
    <s v="Santo Niño"/>
    <n v="3660"/>
    <n v="3604"/>
    <s v="NO TECHNICAL ASSISTANCE CONDUCTED"/>
    <m/>
    <m/>
    <x v="0"/>
    <s v="Glaiza S. Gaza"/>
    <m/>
    <s v="Yves Yshmael M. Balagtas"/>
    <m/>
    <m/>
    <m/>
    <m/>
    <m/>
    <s v=""/>
    <s v=""/>
    <s v=""/>
    <s v=""/>
    <m/>
    <m/>
    <m/>
    <m/>
    <m/>
  </r>
  <r>
    <x v="4"/>
    <x v="89"/>
    <s v="MBA"/>
    <s v="Sapang Kawayan"/>
    <n v="3022"/>
    <n v="3251"/>
    <s v="NO TECHNICAL ASSISTANCE CONDUCTED"/>
    <m/>
    <m/>
    <x v="0"/>
    <s v="Glaiza S. Gaza"/>
    <m/>
    <s v="Yves Yshmael M. Balagtas"/>
    <m/>
    <m/>
    <m/>
    <m/>
    <m/>
    <s v=""/>
    <s v=""/>
    <s v=""/>
    <s v=""/>
    <m/>
    <m/>
    <m/>
    <m/>
    <m/>
  </r>
  <r>
    <x v="4"/>
    <x v="89"/>
    <s v="MBA"/>
    <s v="Sua"/>
    <n v="1719"/>
    <n v="1835"/>
    <s v="NO TECHNICAL ASSISTANCE CONDUCTED"/>
    <m/>
    <m/>
    <x v="0"/>
    <s v="Glaiza S. Gaza"/>
    <m/>
    <s v="Yves Yshmael M. Balagtas"/>
    <m/>
    <m/>
    <m/>
    <m/>
    <m/>
    <s v=""/>
    <s v=""/>
    <s v=""/>
    <s v=""/>
    <m/>
    <m/>
    <m/>
    <m/>
    <m/>
  </r>
  <r>
    <x v="4"/>
    <x v="90"/>
    <s v="MBA"/>
    <s v="Acli"/>
    <n v="2932"/>
    <n v="2922"/>
    <s v="NO TECHNICAL ASSISTANCE CONDUCTED"/>
    <m/>
    <m/>
    <x v="0"/>
    <s v="Roger T. Encarnacion II"/>
    <m/>
    <s v="Yves Yshmael M. Balagtas"/>
    <m/>
    <m/>
    <m/>
    <m/>
    <m/>
    <s v=""/>
    <s v=""/>
    <s v=""/>
    <s v=""/>
    <m/>
    <m/>
    <m/>
    <m/>
    <m/>
  </r>
  <r>
    <x v="4"/>
    <x v="90"/>
    <s v="MBA"/>
    <s v="Anao"/>
    <n v="5065"/>
    <n v="5858"/>
    <s v="NO TECHNICAL ASSISTANCE CONDUCTED"/>
    <m/>
    <m/>
    <x v="0"/>
    <s v="Roger T. Encarnacion II"/>
    <m/>
    <s v="Yves Yshmael M. Balagtas"/>
    <m/>
    <m/>
    <m/>
    <m/>
    <m/>
    <s v=""/>
    <s v=""/>
    <s v=""/>
    <s v=""/>
    <m/>
    <m/>
    <m/>
    <m/>
    <m/>
  </r>
  <r>
    <x v="4"/>
    <x v="90"/>
    <s v="MBA"/>
    <s v="Balas"/>
    <n v="2690"/>
    <n v="2638"/>
    <s v="NO TECHNICAL ASSISTANCE CONDUCTED"/>
    <m/>
    <m/>
    <x v="0"/>
    <s v="Roger T. Encarnacion II"/>
    <m/>
    <s v="Yves Yshmael M. Balagtas"/>
    <m/>
    <m/>
    <m/>
    <m/>
    <m/>
    <s v=""/>
    <s v=""/>
    <s v=""/>
    <s v=""/>
    <m/>
    <m/>
    <m/>
    <m/>
    <m/>
  </r>
  <r>
    <x v="4"/>
    <x v="90"/>
    <s v="MBA"/>
    <s v="Buenavista"/>
    <n v="1211"/>
    <n v="1320"/>
    <s v="NO TECHNICAL ASSISTANCE CONDUCTED"/>
    <m/>
    <m/>
    <x v="0"/>
    <s v="Roger T. Encarnacion II"/>
    <m/>
    <s v="Yves Yshmael M. Balagtas"/>
    <m/>
    <m/>
    <m/>
    <m/>
    <m/>
    <s v=""/>
    <s v=""/>
    <s v=""/>
    <s v=""/>
    <m/>
    <m/>
    <m/>
    <m/>
    <m/>
  </r>
  <r>
    <x v="4"/>
    <x v="90"/>
    <s v="MBA"/>
    <s v="Camuning"/>
    <n v="2744"/>
    <n v="2835"/>
    <s v="CONDUCTED TECHNICAL ASSISTANCE"/>
    <n v="2025"/>
    <d v="2025-04-10T00:00:00"/>
    <x v="4"/>
    <s v="Roger T. Encarnacion II"/>
    <m/>
    <s v="Yves Yshmael M. Balagtas"/>
    <s v="R3-2025-012496"/>
    <d v="2025-04-13T00:00:00"/>
    <m/>
    <d v="2025-04-15T00:00:00"/>
    <d v="2025-04-21T00:00:00"/>
    <n v="1"/>
    <s v=""/>
    <n v="1"/>
    <n v="4"/>
    <s v="Received by Planning"/>
    <s v="NO FACILITY"/>
    <s v="CATER BY LGU"/>
    <s v="Technical Assistance"/>
    <m/>
  </r>
  <r>
    <x v="4"/>
    <x v="90"/>
    <s v="MBA"/>
    <s v="Cawayan"/>
    <n v="1158"/>
    <n v="1239"/>
    <s v="NO TECHNICAL ASSISTANCE CONDUCTED"/>
    <m/>
    <m/>
    <x v="0"/>
    <s v="Roger T. Encarnacion II"/>
    <m/>
    <s v="Yves Yshmael M. Balagtas"/>
    <m/>
    <m/>
    <m/>
    <m/>
    <m/>
    <s v=""/>
    <s v=""/>
    <s v=""/>
    <s v=""/>
    <m/>
    <m/>
    <m/>
    <m/>
    <m/>
  </r>
  <r>
    <x v="4"/>
    <x v="90"/>
    <s v="MBA"/>
    <s v="Concepcion"/>
    <n v="1900"/>
    <n v="2252"/>
    <s v="NO TECHNICAL ASSISTANCE CONDUCTED"/>
    <m/>
    <m/>
    <x v="0"/>
    <s v="Roger T. Encarnacion II"/>
    <m/>
    <s v="Yves Yshmael M. Balagtas"/>
    <m/>
    <m/>
    <m/>
    <m/>
    <m/>
    <s v=""/>
    <s v=""/>
    <s v=""/>
    <s v=""/>
    <m/>
    <m/>
    <m/>
    <m/>
    <m/>
  </r>
  <r>
    <x v="4"/>
    <x v="90"/>
    <s v="MBA"/>
    <s v="Culubasa"/>
    <n v="2565"/>
    <n v="3086"/>
    <s v="NO TECHNICAL ASSISTANCE CONDUCTED"/>
    <m/>
    <m/>
    <x v="0"/>
    <s v="Roger T. Encarnacion II"/>
    <m/>
    <s v="Yves Yshmael M. Balagtas"/>
    <m/>
    <m/>
    <m/>
    <m/>
    <m/>
    <s v=""/>
    <s v=""/>
    <s v=""/>
    <s v=""/>
    <m/>
    <m/>
    <m/>
    <m/>
    <m/>
  </r>
  <r>
    <x v="4"/>
    <x v="90"/>
    <s v="MBA"/>
    <s v="Divisoria"/>
    <n v="2277"/>
    <n v="2617"/>
    <s v="NO TECHNICAL ASSISTANCE CONDUCTED"/>
    <m/>
    <m/>
    <x v="0"/>
    <s v="Roger T. Encarnacion II"/>
    <m/>
    <s v="Yves Yshmael M. Balagtas"/>
    <m/>
    <m/>
    <m/>
    <m/>
    <m/>
    <s v=""/>
    <s v=""/>
    <s v=""/>
    <s v=""/>
    <m/>
    <m/>
    <m/>
    <m/>
    <m/>
  </r>
  <r>
    <x v="4"/>
    <x v="90"/>
    <s v="MBA"/>
    <s v="Dolores"/>
    <n v="2373"/>
    <n v="2513"/>
    <s v="NO TECHNICAL ASSISTANCE CONDUCTED"/>
    <m/>
    <m/>
    <x v="0"/>
    <s v="Roger T. Encarnacion II"/>
    <m/>
    <s v="Yves Yshmael M. Balagtas"/>
    <m/>
    <m/>
    <m/>
    <m/>
    <m/>
    <s v=""/>
    <s v=""/>
    <s v=""/>
    <s v=""/>
    <m/>
    <m/>
    <m/>
    <m/>
    <m/>
  </r>
  <r>
    <x v="4"/>
    <x v="90"/>
    <s v="MBA"/>
    <s v="Eden"/>
    <n v="649"/>
    <n v="863"/>
    <s v="CONDUCTED TECHNICAL ASSISTANCE"/>
    <n v="2025"/>
    <d v="2025-04-10T00:00:00"/>
    <x v="4"/>
    <s v="Roger T. Encarnacion II"/>
    <m/>
    <s v="Yves Yshmael M. Balagtas"/>
    <s v="R3-2025-012495"/>
    <d v="2025-04-13T00:00:00"/>
    <m/>
    <d v="2025-04-15T00:00:00"/>
    <d v="2025-04-21T00:00:00"/>
    <n v="1"/>
    <s v=""/>
    <n v="1"/>
    <n v="4"/>
    <s v="Received by Planning"/>
    <s v="NO FACILITY"/>
    <s v="CATER BY LGU"/>
    <s v="Technical Assistance"/>
    <m/>
  </r>
  <r>
    <x v="4"/>
    <x v="90"/>
    <s v="MBA"/>
    <s v="Gandus"/>
    <n v="706"/>
    <n v="848"/>
    <s v="NO TECHNICAL ASSISTANCE CONDUCTED"/>
    <m/>
    <m/>
    <x v="0"/>
    <s v="Roger T. Encarnacion II"/>
    <m/>
    <s v="Yves Yshmael M. Balagtas"/>
    <m/>
    <m/>
    <m/>
    <m/>
    <m/>
    <s v=""/>
    <s v=""/>
    <s v=""/>
    <s v=""/>
    <m/>
    <m/>
    <m/>
    <m/>
    <m/>
  </r>
  <r>
    <x v="4"/>
    <x v="90"/>
    <s v="MBA"/>
    <s v="Lagundi"/>
    <n v="5032"/>
    <n v="4799"/>
    <s v="NO TECHNICAL ASSISTANCE CONDUCTED"/>
    <m/>
    <m/>
    <x v="0"/>
    <s v="Roger T. Encarnacion II"/>
    <m/>
    <s v="Yves Yshmael M. Balagtas"/>
    <m/>
    <m/>
    <m/>
    <m/>
    <m/>
    <s v=""/>
    <s v=""/>
    <s v=""/>
    <s v=""/>
    <m/>
    <m/>
    <m/>
    <m/>
    <m/>
  </r>
  <r>
    <x v="4"/>
    <x v="90"/>
    <s v="MBA"/>
    <s v="Laput"/>
    <n v="2279"/>
    <n v="2411"/>
    <s v="NO TECHNICAL ASSISTANCE CONDUCTED"/>
    <m/>
    <m/>
    <x v="0"/>
    <s v="Roger T. Encarnacion II"/>
    <m/>
    <s v="Yves Yshmael M. Balagtas"/>
    <m/>
    <m/>
    <m/>
    <m/>
    <m/>
    <s v=""/>
    <s v=""/>
    <s v=""/>
    <s v=""/>
    <m/>
    <m/>
    <m/>
    <m/>
    <m/>
  </r>
  <r>
    <x v="4"/>
    <x v="90"/>
    <s v="MBA"/>
    <s v="Laug"/>
    <n v="3784"/>
    <n v="4136"/>
    <s v="NO TECHNICAL ASSISTANCE CONDUCTED"/>
    <m/>
    <m/>
    <x v="0"/>
    <s v="Roger T. Encarnacion II"/>
    <m/>
    <s v="Yves Yshmael M. Balagtas"/>
    <m/>
    <m/>
    <m/>
    <m/>
    <m/>
    <s v=""/>
    <s v=""/>
    <s v=""/>
    <s v=""/>
    <m/>
    <m/>
    <m/>
    <m/>
    <m/>
  </r>
  <r>
    <x v="4"/>
    <x v="90"/>
    <s v="MBA"/>
    <s v="Masamat"/>
    <n v="1550"/>
    <n v="1950"/>
    <s v="NO TECHNICAL ASSISTANCE CONDUCTED"/>
    <m/>
    <m/>
    <x v="0"/>
    <s v="Roger T. Encarnacion II"/>
    <m/>
    <s v="Yves Yshmael M. Balagtas"/>
    <m/>
    <m/>
    <m/>
    <m/>
    <m/>
    <s v=""/>
    <s v=""/>
    <s v=""/>
    <s v=""/>
    <m/>
    <m/>
    <m/>
    <m/>
    <m/>
  </r>
  <r>
    <x v="4"/>
    <x v="90"/>
    <s v="MBA"/>
    <s v="Masangsang"/>
    <n v="3175"/>
    <n v="3194"/>
    <s v="NO TECHNICAL ASSISTANCE CONDUCTED"/>
    <m/>
    <m/>
    <x v="0"/>
    <s v="Roger T. Encarnacion II"/>
    <m/>
    <s v="Yves Yshmael M. Balagtas"/>
    <m/>
    <m/>
    <m/>
    <m/>
    <m/>
    <s v=""/>
    <s v=""/>
    <s v=""/>
    <s v=""/>
    <m/>
    <m/>
    <m/>
    <m/>
    <m/>
  </r>
  <r>
    <x v="4"/>
    <x v="90"/>
    <s v="MBA"/>
    <s v="Nueva Victoria"/>
    <n v="2028"/>
    <n v="2285"/>
    <s v="NO TECHNICAL ASSISTANCE CONDUCTED"/>
    <m/>
    <m/>
    <x v="0"/>
    <s v="Roger T. Encarnacion II"/>
    <m/>
    <s v="Yves Yshmael M. Balagtas"/>
    <m/>
    <m/>
    <m/>
    <m/>
    <m/>
    <s v=""/>
    <s v=""/>
    <s v=""/>
    <s v=""/>
    <m/>
    <m/>
    <m/>
    <m/>
    <m/>
  </r>
  <r>
    <x v="4"/>
    <x v="90"/>
    <s v="MBA"/>
    <s v="Pandacaqui"/>
    <n v="28524"/>
    <n v="29027"/>
    <s v="NO TECHNICAL ASSISTANCE CONDUCTED"/>
    <m/>
    <m/>
    <x v="0"/>
    <s v="Roger T. Encarnacion II"/>
    <m/>
    <s v="Yves Yshmael M. Balagtas"/>
    <m/>
    <m/>
    <m/>
    <m/>
    <m/>
    <s v=""/>
    <s v=""/>
    <s v=""/>
    <s v=""/>
    <m/>
    <m/>
    <m/>
    <m/>
    <m/>
  </r>
  <r>
    <x v="4"/>
    <x v="90"/>
    <s v="MBA"/>
    <s v="Pangatlan"/>
    <n v="2374"/>
    <n v="2699"/>
    <s v="NO TECHNICAL ASSISTANCE CONDUCTED"/>
    <m/>
    <m/>
    <x v="0"/>
    <s v="Roger T. Encarnacion II"/>
    <m/>
    <s v="Yves Yshmael M. Balagtas"/>
    <m/>
    <m/>
    <m/>
    <m/>
    <m/>
    <s v=""/>
    <s v=""/>
    <s v=""/>
    <s v=""/>
    <m/>
    <m/>
    <m/>
    <m/>
    <m/>
  </r>
  <r>
    <x v="4"/>
    <x v="90"/>
    <s v="MBA"/>
    <s v="Panipuan"/>
    <n v="2371"/>
    <n v="4016"/>
    <s v="NO TECHNICAL ASSISTANCE CONDUCTED"/>
    <m/>
    <m/>
    <x v="0"/>
    <s v="Roger T. Encarnacion II"/>
    <m/>
    <s v="Yves Yshmael M. Balagtas"/>
    <m/>
    <m/>
    <m/>
    <m/>
    <m/>
    <s v=""/>
    <s v=""/>
    <s v=""/>
    <s v=""/>
    <m/>
    <m/>
    <m/>
    <m/>
    <m/>
  </r>
  <r>
    <x v="4"/>
    <x v="90"/>
    <s v="MBA"/>
    <s v="Parian (Pob.)"/>
    <n v="4231"/>
    <n v="5756"/>
    <s v="NO TECHNICAL ASSISTANCE CONDUCTED"/>
    <m/>
    <m/>
    <x v="0"/>
    <s v="Roger T. Encarnacion II"/>
    <m/>
    <s v="Yves Yshmael M. Balagtas"/>
    <m/>
    <m/>
    <m/>
    <m/>
    <m/>
    <s v=""/>
    <s v=""/>
    <s v=""/>
    <s v=""/>
    <m/>
    <m/>
    <m/>
    <m/>
    <m/>
  </r>
  <r>
    <x v="4"/>
    <x v="90"/>
    <s v="MBA"/>
    <s v="Sabanilla"/>
    <n v="2368"/>
    <n v="4919"/>
    <s v="NO TECHNICAL ASSISTANCE CONDUCTED"/>
    <m/>
    <m/>
    <x v="0"/>
    <s v="Roger T. Encarnacion II"/>
    <m/>
    <s v="Yves Yshmael M. Balagtas"/>
    <m/>
    <m/>
    <m/>
    <m/>
    <m/>
    <s v=""/>
    <s v=""/>
    <s v=""/>
    <s v=""/>
    <m/>
    <m/>
    <m/>
    <m/>
    <m/>
  </r>
  <r>
    <x v="4"/>
    <x v="90"/>
    <s v="MBA"/>
    <s v="San Antonio"/>
    <n v="5544"/>
    <n v="5759"/>
    <s v="NO TECHNICAL ASSISTANCE CONDUCTED"/>
    <m/>
    <m/>
    <x v="0"/>
    <s v="Roger T. Encarnacion II"/>
    <m/>
    <s v="Yves Yshmael M. Balagtas"/>
    <m/>
    <m/>
    <m/>
    <m/>
    <m/>
    <s v=""/>
    <s v=""/>
    <s v=""/>
    <s v=""/>
    <m/>
    <m/>
    <m/>
    <m/>
    <m/>
  </r>
  <r>
    <x v="4"/>
    <x v="90"/>
    <s v="MBA"/>
    <s v="San Carlos"/>
    <n v="3072"/>
    <n v="3076"/>
    <s v="NO TECHNICAL ASSISTANCE CONDUCTED"/>
    <m/>
    <m/>
    <x v="0"/>
    <s v="Roger T. Encarnacion II"/>
    <m/>
    <s v="Yves Yshmael M. Balagtas"/>
    <m/>
    <m/>
    <m/>
    <m/>
    <m/>
    <s v=""/>
    <s v=""/>
    <s v=""/>
    <s v=""/>
    <m/>
    <m/>
    <m/>
    <m/>
    <m/>
  </r>
  <r>
    <x v="4"/>
    <x v="90"/>
    <s v="MBA"/>
    <s v="San Jose Malino"/>
    <n v="6294"/>
    <n v="6853"/>
    <s v="NO TECHNICAL ASSISTANCE CONDUCTED"/>
    <m/>
    <m/>
    <x v="0"/>
    <s v="Roger T. Encarnacion II"/>
    <m/>
    <s v="Yves Yshmael M. Balagtas"/>
    <m/>
    <m/>
    <m/>
    <m/>
    <m/>
    <s v=""/>
    <s v=""/>
    <s v=""/>
    <s v=""/>
    <m/>
    <m/>
    <m/>
    <m/>
    <m/>
  </r>
  <r>
    <x v="4"/>
    <x v="90"/>
    <s v="MBA"/>
    <s v="San Jose Matulid"/>
    <n v="5808"/>
    <n v="6826"/>
    <s v="NO TECHNICAL ASSISTANCE CONDUCTED"/>
    <m/>
    <m/>
    <x v="0"/>
    <s v="Roger T. Encarnacion II"/>
    <m/>
    <s v="Yves Yshmael M. Balagtas"/>
    <m/>
    <m/>
    <m/>
    <m/>
    <m/>
    <s v=""/>
    <s v=""/>
    <s v=""/>
    <s v=""/>
    <m/>
    <m/>
    <m/>
    <m/>
    <m/>
  </r>
  <r>
    <x v="4"/>
    <x v="90"/>
    <s v="MBA"/>
    <s v="San Juan"/>
    <n v="3984"/>
    <n v="4492"/>
    <s v="NO TECHNICAL ASSISTANCE CONDUCTED"/>
    <m/>
    <m/>
    <x v="0"/>
    <s v="Roger T. Encarnacion II"/>
    <m/>
    <s v="Yves Yshmael M. Balagtas"/>
    <m/>
    <m/>
    <m/>
    <m/>
    <m/>
    <s v=""/>
    <s v=""/>
    <s v=""/>
    <s v=""/>
    <m/>
    <m/>
    <m/>
    <m/>
    <m/>
  </r>
  <r>
    <x v="4"/>
    <x v="90"/>
    <s v="MBA"/>
    <s v="San Lorenzo"/>
    <n v="2673"/>
    <n v="2817"/>
    <s v="NO TECHNICAL ASSISTANCE CONDUCTED"/>
    <m/>
    <m/>
    <x v="0"/>
    <s v="Roger T. Encarnacion II"/>
    <m/>
    <s v="Yves Yshmael M. Balagtas"/>
    <m/>
    <m/>
    <m/>
    <m/>
    <m/>
    <s v=""/>
    <s v=""/>
    <s v=""/>
    <s v=""/>
    <m/>
    <m/>
    <m/>
    <m/>
    <m/>
  </r>
  <r>
    <x v="4"/>
    <x v="90"/>
    <s v="MBA"/>
    <s v="San Miguel"/>
    <n v="2508"/>
    <n v="3313"/>
    <s v="NO TECHNICAL ASSISTANCE CONDUCTED"/>
    <m/>
    <m/>
    <x v="0"/>
    <s v="Roger T. Encarnacion II"/>
    <m/>
    <s v="Yves Yshmael M. Balagtas"/>
    <m/>
    <m/>
    <m/>
    <m/>
    <m/>
    <s v=""/>
    <s v=""/>
    <s v=""/>
    <s v=""/>
    <m/>
    <m/>
    <m/>
    <m/>
    <m/>
  </r>
  <r>
    <x v="4"/>
    <x v="90"/>
    <s v="MBA"/>
    <s v="San Nicolas"/>
    <n v="2776"/>
    <n v="2714"/>
    <s v="NO TECHNICAL ASSISTANCE CONDUCTED"/>
    <m/>
    <m/>
    <x v="0"/>
    <s v="Roger T. Encarnacion II"/>
    <m/>
    <s v="Yves Yshmael M. Balagtas"/>
    <m/>
    <m/>
    <m/>
    <m/>
    <m/>
    <s v=""/>
    <s v=""/>
    <s v=""/>
    <s v=""/>
    <m/>
    <m/>
    <m/>
    <m/>
    <m/>
  </r>
  <r>
    <x v="4"/>
    <x v="90"/>
    <s v="MBA"/>
    <s v="San Pablo"/>
    <n v="2561"/>
    <n v="2894"/>
    <s v="NO TECHNICAL ASSISTANCE CONDUCTED"/>
    <m/>
    <m/>
    <x v="0"/>
    <s v="Roger T. Encarnacion II"/>
    <m/>
    <s v="Yves Yshmael M. Balagtas"/>
    <m/>
    <m/>
    <m/>
    <m/>
    <m/>
    <s v=""/>
    <s v=""/>
    <s v=""/>
    <s v=""/>
    <m/>
    <m/>
    <m/>
    <m/>
    <m/>
  </r>
  <r>
    <x v="4"/>
    <x v="90"/>
    <s v="MBA"/>
    <s v="San Patricio"/>
    <n v="4173"/>
    <n v="4854"/>
    <s v="NO TECHNICAL ASSISTANCE CONDUCTED"/>
    <m/>
    <m/>
    <x v="0"/>
    <s v="Roger T. Encarnacion II"/>
    <m/>
    <s v="Yves Yshmael M. Balagtas"/>
    <m/>
    <m/>
    <m/>
    <m/>
    <m/>
    <s v=""/>
    <s v=""/>
    <s v=""/>
    <s v=""/>
    <m/>
    <m/>
    <m/>
    <m/>
    <m/>
  </r>
  <r>
    <x v="4"/>
    <x v="90"/>
    <s v="MBA"/>
    <s v="San Rafael"/>
    <n v="3158"/>
    <n v="4805"/>
    <s v="NO TECHNICAL ASSISTANCE CONDUCTED"/>
    <m/>
    <m/>
    <x v="0"/>
    <s v="Roger T. Encarnacion II"/>
    <m/>
    <s v="Yves Yshmael M. Balagtas"/>
    <m/>
    <m/>
    <m/>
    <m/>
    <m/>
    <s v=""/>
    <s v=""/>
    <s v=""/>
    <s v=""/>
    <m/>
    <m/>
    <m/>
    <m/>
    <m/>
  </r>
  <r>
    <x v="4"/>
    <x v="90"/>
    <s v="MBA"/>
    <s v="San Roque"/>
    <n v="1155"/>
    <n v="1341"/>
    <s v="NO TECHNICAL ASSISTANCE CONDUCTED"/>
    <m/>
    <m/>
    <x v="0"/>
    <s v="Roger T. Encarnacion II"/>
    <m/>
    <s v="Yves Yshmael M. Balagtas"/>
    <m/>
    <m/>
    <m/>
    <m/>
    <m/>
    <s v=""/>
    <s v=""/>
    <s v=""/>
    <s v=""/>
    <m/>
    <m/>
    <m/>
    <m/>
    <m/>
  </r>
  <r>
    <x v="4"/>
    <x v="90"/>
    <s v="MBA"/>
    <s v="San Vicente"/>
    <n v="3949"/>
    <n v="4449"/>
    <s v="NO TECHNICAL ASSISTANCE CONDUCTED"/>
    <m/>
    <m/>
    <x v="0"/>
    <s v="Roger T. Encarnacion II"/>
    <m/>
    <s v="Yves Yshmael M. Balagtas"/>
    <m/>
    <m/>
    <m/>
    <m/>
    <m/>
    <s v=""/>
    <s v=""/>
    <s v=""/>
    <s v=""/>
    <m/>
    <m/>
    <m/>
    <m/>
    <m/>
  </r>
  <r>
    <x v="4"/>
    <x v="90"/>
    <s v="MBA"/>
    <s v="Santa Cruz"/>
    <n v="2338"/>
    <n v="2019"/>
    <s v="NO TECHNICAL ASSISTANCE CONDUCTED"/>
    <m/>
    <m/>
    <x v="0"/>
    <s v="Roger T. Encarnacion II"/>
    <m/>
    <s v="Yves Yshmael M. Balagtas"/>
    <m/>
    <m/>
    <m/>
    <m/>
    <m/>
    <s v=""/>
    <s v=""/>
    <s v=""/>
    <s v=""/>
    <m/>
    <m/>
    <m/>
    <m/>
    <m/>
  </r>
  <r>
    <x v="4"/>
    <x v="90"/>
    <s v="MBA"/>
    <s v="Santa Maria"/>
    <n v="2842"/>
    <n v="2944"/>
    <s v="NO TECHNICAL ASSISTANCE CONDUCTED"/>
    <m/>
    <m/>
    <x v="0"/>
    <s v="Roger T. Encarnacion II"/>
    <m/>
    <s v="Yves Yshmael M. Balagtas"/>
    <m/>
    <m/>
    <m/>
    <m/>
    <m/>
    <s v=""/>
    <s v=""/>
    <s v=""/>
    <s v=""/>
    <m/>
    <m/>
    <m/>
    <m/>
    <m/>
  </r>
  <r>
    <x v="4"/>
    <x v="90"/>
    <s v="MBA"/>
    <s v="Santo Domingo"/>
    <n v="2621"/>
    <n v="2461"/>
    <s v="NO TECHNICAL ASSISTANCE CONDUCTED"/>
    <m/>
    <m/>
    <x v="0"/>
    <s v="Roger T. Encarnacion II"/>
    <m/>
    <s v="Yves Yshmael M. Balagtas"/>
    <m/>
    <m/>
    <m/>
    <m/>
    <m/>
    <s v=""/>
    <s v=""/>
    <s v=""/>
    <s v=""/>
    <m/>
    <m/>
    <m/>
    <m/>
    <m/>
  </r>
  <r>
    <x v="4"/>
    <x v="90"/>
    <s v="MBA"/>
    <s v="Santo Rosario"/>
    <n v="3621"/>
    <n v="4163"/>
    <s v="NO TECHNICAL ASSISTANCE CONDUCTED"/>
    <m/>
    <m/>
    <x v="0"/>
    <s v="Roger T. Encarnacion II"/>
    <m/>
    <s v="Yves Yshmael M. Balagtas"/>
    <m/>
    <m/>
    <m/>
    <m/>
    <m/>
    <s v=""/>
    <s v=""/>
    <s v=""/>
    <s v=""/>
    <m/>
    <m/>
    <m/>
    <m/>
    <m/>
  </r>
  <r>
    <x v="4"/>
    <x v="90"/>
    <s v="MBA"/>
    <s v="Sapang Maisac"/>
    <n v="6695"/>
    <n v="8085"/>
    <s v="NO TECHNICAL ASSISTANCE CONDUCTED"/>
    <m/>
    <m/>
    <x v="0"/>
    <s v="Roger T. Encarnacion II"/>
    <m/>
    <s v="Yves Yshmael M. Balagtas"/>
    <m/>
    <m/>
    <m/>
    <m/>
    <m/>
    <s v=""/>
    <s v=""/>
    <s v=""/>
    <s v=""/>
    <m/>
    <m/>
    <m/>
    <m/>
    <m/>
  </r>
  <r>
    <x v="4"/>
    <x v="90"/>
    <s v="MBA"/>
    <s v="Suclaban"/>
    <n v="1056"/>
    <n v="1393"/>
    <s v="NO TECHNICAL ASSISTANCE CONDUCTED"/>
    <m/>
    <m/>
    <x v="0"/>
    <s v="Roger T. Encarnacion II"/>
    <m/>
    <s v="Yves Yshmael M. Balagtas"/>
    <m/>
    <m/>
    <m/>
    <m/>
    <m/>
    <s v=""/>
    <s v=""/>
    <s v=""/>
    <s v=""/>
    <m/>
    <m/>
    <m/>
    <m/>
    <m/>
  </r>
  <r>
    <x v="4"/>
    <x v="90"/>
    <s v="MBA"/>
    <s v="Tangle"/>
    <n v="3810"/>
    <n v="3962"/>
    <s v="NO TECHNICAL ASSISTANCE CONDUCTED"/>
    <m/>
    <m/>
    <x v="0"/>
    <s v="Roger T. Encarnacion II"/>
    <m/>
    <s v="Yves Yshmael M. Balagtas"/>
    <m/>
    <m/>
    <m/>
    <m/>
    <m/>
    <s v=""/>
    <s v=""/>
    <s v=""/>
    <s v=""/>
    <m/>
    <m/>
    <m/>
    <m/>
    <m/>
  </r>
  <r>
    <x v="4"/>
    <x v="91"/>
    <s v="MBA"/>
    <s v="Bulac"/>
    <n v="1015"/>
    <n v="1036"/>
    <s v="CONDUCTED TECHNICAL ASSISTANCE"/>
    <n v="2024"/>
    <d v="2024-05-14T00:00:00"/>
    <x v="0"/>
    <s v="Glaiza S. Gaza"/>
    <m/>
    <s v="Yves Yshmael M. Balagtas"/>
    <m/>
    <m/>
    <m/>
    <m/>
    <m/>
    <s v=""/>
    <s v=""/>
    <s v=""/>
    <s v=""/>
    <m/>
    <m/>
    <m/>
    <s v="Technical Assistance"/>
    <m/>
  </r>
  <r>
    <x v="4"/>
    <x v="91"/>
    <s v="MBA"/>
    <s v="Dawe"/>
    <n v="1224"/>
    <n v="1072"/>
    <s v="NO TECHNICAL ASSISTANCE CONDUCTED"/>
    <m/>
    <m/>
    <x v="0"/>
    <s v="Glaiza S. Gaza"/>
    <m/>
    <s v="Yves Yshmael M. Balagtas"/>
    <m/>
    <m/>
    <m/>
    <m/>
    <m/>
    <s v=""/>
    <s v=""/>
    <s v=""/>
    <s v=""/>
    <m/>
    <m/>
    <m/>
    <m/>
    <m/>
  </r>
  <r>
    <x v="4"/>
    <x v="91"/>
    <s v="MBA"/>
    <s v="Lourdes"/>
    <n v="6088"/>
    <n v="6862"/>
    <s v="CONDUCTED TECHNICAL ASSISTANCE"/>
    <n v="2024"/>
    <d v="2024-04-11T00:00:00"/>
    <x v="0"/>
    <s v="Glaiza S. Gaza"/>
    <m/>
    <s v="Yves Yshmael M. Balagtas"/>
    <m/>
    <m/>
    <m/>
    <m/>
    <m/>
    <s v=""/>
    <s v=""/>
    <s v=""/>
    <s v=""/>
    <m/>
    <m/>
    <m/>
    <s v="Technical Assistance"/>
    <m/>
  </r>
  <r>
    <x v="4"/>
    <x v="91"/>
    <s v="MBA"/>
    <s v="Maniango"/>
    <n v="2108"/>
    <n v="2077"/>
    <s v="CONDUCTED TECHNICAL ASSISTANCE"/>
    <n v="2024"/>
    <d v="2024-06-14T00:00:00"/>
    <x v="0"/>
    <s v="Glaiza S. Gaza"/>
    <m/>
    <s v="Yves Yshmael M. Balagtas"/>
    <m/>
    <m/>
    <m/>
    <m/>
    <m/>
    <s v=""/>
    <s v=""/>
    <s v=""/>
    <s v=""/>
    <m/>
    <m/>
    <m/>
    <s v="Technical Assistance"/>
    <m/>
  </r>
  <r>
    <x v="4"/>
    <x v="91"/>
    <s v="MBA"/>
    <s v="San Francisco 1st"/>
    <n v="1838"/>
    <n v="1949"/>
    <s v="CONDUCTED TECHNICAL ASSISTANCE"/>
    <n v="2024"/>
    <d v="2024-05-14T00:00:00"/>
    <x v="0"/>
    <s v="Glaiza S. Gaza"/>
    <m/>
    <s v="Yves Yshmael M. Balagtas"/>
    <m/>
    <m/>
    <m/>
    <m/>
    <m/>
    <s v=""/>
    <s v=""/>
    <s v=""/>
    <s v=""/>
    <m/>
    <m/>
    <m/>
    <s v="Technical Assistance"/>
    <m/>
  </r>
  <r>
    <x v="4"/>
    <x v="91"/>
    <s v="MBA"/>
    <s v="San Francisco 2nd"/>
    <n v="1228"/>
    <n v="1183"/>
    <s v="CONDUCTED TECHNICAL ASSISTANCE"/>
    <n v="2024"/>
    <d v="2024-05-14T00:00:00"/>
    <x v="0"/>
    <s v="Glaiza S. Gaza"/>
    <m/>
    <s v="Yves Yshmael M. Balagtas"/>
    <m/>
    <m/>
    <m/>
    <m/>
    <m/>
    <s v=""/>
    <s v=""/>
    <s v=""/>
    <s v=""/>
    <m/>
    <m/>
    <m/>
    <s v="Technical Assistance"/>
    <m/>
  </r>
  <r>
    <x v="4"/>
    <x v="91"/>
    <s v="MBA"/>
    <s v="San Isidro"/>
    <n v="4748"/>
    <n v="6007"/>
    <s v="NO TECHNICAL ASSISTANCE CONDUCTED"/>
    <m/>
    <m/>
    <x v="0"/>
    <s v="Glaiza S. Gaza"/>
    <m/>
    <s v="Yves Yshmael M. Balagtas"/>
    <m/>
    <m/>
    <m/>
    <m/>
    <m/>
    <s v=""/>
    <s v=""/>
    <s v=""/>
    <s v=""/>
    <m/>
    <m/>
    <m/>
    <m/>
    <m/>
  </r>
  <r>
    <x v="4"/>
    <x v="91"/>
    <s v="MBA"/>
    <s v="San Nicolas (Pob.)"/>
    <n v="3245"/>
    <n v="2972"/>
    <s v="CONDUCTED TECHNICAL ASSISTANCE"/>
    <n v="2024"/>
    <d v="2024-06-14T00:00:00"/>
    <x v="0"/>
    <s v="Glaiza S. Gaza"/>
    <m/>
    <s v="Yves Yshmael M. Balagtas"/>
    <m/>
    <m/>
    <m/>
    <m/>
    <m/>
    <s v=""/>
    <s v=""/>
    <s v=""/>
    <s v=""/>
    <m/>
    <m/>
    <m/>
    <s v="Technical Assistance"/>
    <m/>
  </r>
  <r>
    <x v="4"/>
    <x v="91"/>
    <s v="MBA"/>
    <s v="San Pedro"/>
    <n v="2677"/>
    <n v="2534"/>
    <s v="CONDUCTED TECHNICAL ASSISTANCE"/>
    <n v="2024"/>
    <d v="2024-06-14T00:00:00"/>
    <x v="0"/>
    <s v="Glaiza S. Gaza"/>
    <m/>
    <s v="Yves Yshmael M. Balagtas"/>
    <m/>
    <m/>
    <m/>
    <m/>
    <m/>
    <s v=""/>
    <s v=""/>
    <s v=""/>
    <s v=""/>
    <m/>
    <m/>
    <m/>
    <s v="Technical Assistance"/>
    <m/>
  </r>
  <r>
    <x v="4"/>
    <x v="91"/>
    <s v="MBA"/>
    <s v="Santa Catalina"/>
    <n v="2319"/>
    <n v="2695"/>
    <s v="CONDUCTED TECHNICAL ASSISTANCE"/>
    <n v="2024"/>
    <d v="2024-05-14T00:00:00"/>
    <x v="0"/>
    <s v="Glaiza S. Gaza"/>
    <m/>
    <s v="Yves Yshmael M. Balagtas"/>
    <m/>
    <m/>
    <m/>
    <m/>
    <m/>
    <s v=""/>
    <s v=""/>
    <s v=""/>
    <s v=""/>
    <m/>
    <m/>
    <m/>
    <s v="Technical Assistance"/>
    <m/>
  </r>
  <r>
    <x v="4"/>
    <x v="91"/>
    <s v="MBA"/>
    <s v="Santa Maria"/>
    <n v="6159"/>
    <n v="5798"/>
    <s v="CONDUCTED TECHNICAL ASSISTANCE"/>
    <n v="2024"/>
    <d v="2024-04-11T00:00:00"/>
    <x v="0"/>
    <s v="Glaiza S. Gaza"/>
    <m/>
    <s v="Yves Yshmael M. Balagtas"/>
    <m/>
    <m/>
    <m/>
    <m/>
    <m/>
    <s v=""/>
    <s v=""/>
    <s v=""/>
    <s v=""/>
    <m/>
    <m/>
    <m/>
    <s v="Technical Assistance"/>
    <m/>
  </r>
  <r>
    <x v="4"/>
    <x v="91"/>
    <s v="MBA"/>
    <s v="Santa Rita"/>
    <n v="4530"/>
    <n v="4516"/>
    <s v="CONDUCTED TECHNICAL ASSISTANCE"/>
    <n v="2024"/>
    <d v="2024-04-11T00:00:00"/>
    <x v="0"/>
    <s v="Glaiza S. Gaza"/>
    <m/>
    <s v="Yves Yshmael M. Balagtas"/>
    <m/>
    <m/>
    <m/>
    <m/>
    <m/>
    <s v=""/>
    <s v=""/>
    <s v=""/>
    <s v=""/>
    <m/>
    <m/>
    <m/>
    <s v="Technical Assistance"/>
    <m/>
  </r>
  <r>
    <x v="4"/>
    <x v="91"/>
    <s v="MBA"/>
    <s v="Santo Domingo"/>
    <n v="5689"/>
    <n v="5432"/>
    <s v="CONDUCTED TECHNICAL ASSISTANCE"/>
    <n v="2024"/>
    <d v="2024-04-11T00:00:00"/>
    <x v="0"/>
    <s v="Glaiza S. Gaza"/>
    <m/>
    <s v="Yves Yshmael M. Balagtas"/>
    <m/>
    <m/>
    <m/>
    <m/>
    <m/>
    <s v=""/>
    <s v=""/>
    <s v=""/>
    <s v=""/>
    <m/>
    <m/>
    <m/>
    <s v="Technical Assistance"/>
    <m/>
  </r>
  <r>
    <x v="4"/>
    <x v="91"/>
    <s v="MBA"/>
    <s v="Santo Rosario (Pob.)"/>
    <n v="3166"/>
    <n v="3041"/>
    <s v="CONDUCTED TECHNICAL ASSISTANCE"/>
    <n v="2024"/>
    <d v="2024-06-14T00:00:00"/>
    <x v="0"/>
    <s v="Glaiza S. Gaza"/>
    <m/>
    <s v="Yves Yshmael M. Balagtas"/>
    <m/>
    <m/>
    <m/>
    <m/>
    <m/>
    <s v=""/>
    <s v=""/>
    <s v=""/>
    <s v=""/>
    <m/>
    <m/>
    <m/>
    <s v="Technical Assistance"/>
    <m/>
  </r>
  <r>
    <x v="4"/>
    <x v="91"/>
    <s v="MBA"/>
    <s v="Saplad"/>
    <n v="1679"/>
    <n v="1206"/>
    <s v="CONDUCTED TECHNICAL ASSISTANCE"/>
    <n v="2024"/>
    <d v="2024-05-14T00:00:00"/>
    <x v="0"/>
    <s v="Glaiza S. Gaza"/>
    <m/>
    <s v="Yves Yshmael M. Balagtas"/>
    <m/>
    <m/>
    <m/>
    <m/>
    <m/>
    <s v=""/>
    <s v=""/>
    <s v=""/>
    <s v=""/>
    <m/>
    <m/>
    <m/>
    <s v="Technical Assistance"/>
    <m/>
  </r>
  <r>
    <x v="4"/>
    <x v="92"/>
    <s v="MBA"/>
    <s v="Calzadang Bayu"/>
    <n v="6450"/>
    <n v="7779"/>
    <s v="CONDUCTED TECHNICAL ASSISTANCE"/>
    <n v="2025"/>
    <d v="2025-09-10T00:00:00"/>
    <x v="7"/>
    <s v="Elyza A. Evilla"/>
    <s v="Jan Emerson C. Gonzales"/>
    <s v="Yves Yshmael M. Balagtas"/>
    <s v="R3-2025-030722"/>
    <d v="2025-09-13T00:00:00"/>
    <d v="2025-09-17T00:00:00"/>
    <d v="2025-09-17T00:00:00"/>
    <d v="2025-09-18T00:00:00"/>
    <n v="2"/>
    <n v="2"/>
    <n v="1"/>
    <n v="1"/>
    <s v="Received by Planning"/>
    <s v="NO FACILITY"/>
    <s v="CATER BY LGU"/>
    <s v="Technical Assistance"/>
    <m/>
  </r>
  <r>
    <x v="4"/>
    <x v="92"/>
    <s v="MBA"/>
    <s v="Babo Pangulo"/>
    <n v="3324"/>
    <n v="4040"/>
    <s v="CONDUCTED TECHNICAL ASSISTANCE"/>
    <n v="2025"/>
    <d v="2025-08-14T00:00:00"/>
    <x v="9"/>
    <s v="Elyza A. Evilla"/>
    <s v="Jan Emerson C. Gonzales"/>
    <s v="Yves Yshmael M. Balagtas"/>
    <s v="R3-2025-027288"/>
    <d v="2025-08-14T00:00:00"/>
    <d v="2025-08-15T00:00:00"/>
    <d v="2025-08-19T00:00:00"/>
    <d v="2025-08-19T00:00:00"/>
    <n v="1"/>
    <n v="1"/>
    <n v="2"/>
    <n v="1"/>
    <s v="Received by Planning"/>
    <s v="MRS"/>
    <s v="OPERATIONAL"/>
    <s v="Technical Assistance"/>
    <m/>
  </r>
  <r>
    <x v="4"/>
    <x v="92"/>
    <s v="MBA"/>
    <s v="Babo Sacan"/>
    <n v="5434"/>
    <n v="5916"/>
    <s v="CONDUCTED TECHNICAL ASSISTANCE"/>
    <n v="2025"/>
    <d v="2025-08-14T00:00:00"/>
    <x v="9"/>
    <s v="Elyza A. Evilla"/>
    <s v="Jan Emerson C. Gonzales"/>
    <s v="Yves Yshmael M. Balagtas"/>
    <s v="R3-2025-027289"/>
    <d v="2025-08-14T00:00:00"/>
    <d v="2025-08-15T00:00:00"/>
    <d v="2025-08-19T00:00:00"/>
    <d v="2025-08-19T00:00:00"/>
    <n v="1"/>
    <n v="1"/>
    <n v="2"/>
    <n v="1"/>
    <s v="Received by Planning"/>
    <s v="MRF"/>
    <s v="OPERATIONAL"/>
    <s v="Technical Assistance"/>
    <m/>
  </r>
  <r>
    <x v="4"/>
    <x v="92"/>
    <s v="MBA"/>
    <s v="Balubad"/>
    <n v="2398"/>
    <n v="2543"/>
    <s v="NO TECHNICAL ASSISTANCE CONDUCTED"/>
    <m/>
    <m/>
    <x v="0"/>
    <s v="Elyza A. Evilla"/>
    <m/>
    <s v="Yves Yshmael M. Balagtas"/>
    <m/>
    <m/>
    <m/>
    <m/>
    <m/>
    <s v=""/>
    <s v=""/>
    <s v=""/>
    <s v=""/>
    <m/>
    <m/>
    <m/>
    <m/>
    <m/>
  </r>
  <r>
    <x v="4"/>
    <x v="92"/>
    <s v="MBA"/>
    <s v="Manibaug Pasig"/>
    <n v="4141"/>
    <n v="5039"/>
    <s v="CONDUCTED TECHNICAL ASSISTANCE"/>
    <n v="2025"/>
    <d v="2025-09-10T00:00:00"/>
    <x v="7"/>
    <s v="Elyza A. Evilla"/>
    <s v="Jan Emerson C. Gonzales"/>
    <s v="Yves Yshmael M. Balagtas"/>
    <s v="R3-2025-030723"/>
    <d v="2025-09-13T00:00:00"/>
    <d v="2025-09-17T00:00:00"/>
    <d v="2025-09-17T00:00:00"/>
    <d v="2025-09-18T00:00:00"/>
    <n v="2"/>
    <n v="2"/>
    <n v="1"/>
    <n v="1"/>
    <s v="Received by Planning"/>
    <s v="NO FACILITY"/>
    <s v="CATER BY LGU"/>
    <s v="Technical Assistance"/>
    <m/>
  </r>
  <r>
    <x v="4"/>
    <x v="92"/>
    <s v="MBA"/>
    <s v="Camias"/>
    <n v="1883"/>
    <n v="2431"/>
    <s v="NO TECHNICAL ASSISTANCE CONDUCTED"/>
    <m/>
    <m/>
    <x v="0"/>
    <s v="Elyza A. Evilla"/>
    <m/>
    <s v="Yves Yshmael M. Balagtas"/>
    <m/>
    <m/>
    <m/>
    <m/>
    <m/>
    <s v=""/>
    <s v=""/>
    <s v=""/>
    <s v=""/>
    <m/>
    <m/>
    <m/>
    <m/>
    <m/>
  </r>
  <r>
    <x v="4"/>
    <x v="92"/>
    <s v="MBA"/>
    <s v="Cangatba"/>
    <n v="2891"/>
    <n v="2937"/>
    <s v="CONDUCTED TECHNICAL ASSISTANCE"/>
    <n v="2024"/>
    <d v="2024-04-11T00:00:00"/>
    <x v="0"/>
    <s v="Elyza A. Evilla"/>
    <m/>
    <s v="Yves Yshmael M. Balagtas"/>
    <m/>
    <m/>
    <m/>
    <m/>
    <m/>
    <s v=""/>
    <s v=""/>
    <s v=""/>
    <s v=""/>
    <m/>
    <m/>
    <m/>
    <s v="Technical Assistance"/>
    <m/>
  </r>
  <r>
    <x v="4"/>
    <x v="92"/>
    <s v="MBA"/>
    <s v="Diaz"/>
    <n v="270"/>
    <n v="443"/>
    <s v="NO TECHNICAL ASSISTANCE CONDUCTED"/>
    <m/>
    <m/>
    <x v="0"/>
    <s v="Elyza A. Evilla"/>
    <m/>
    <s v="Yves Yshmael M. Balagtas"/>
    <m/>
    <m/>
    <m/>
    <m/>
    <m/>
    <s v=""/>
    <s v=""/>
    <s v=""/>
    <s v=""/>
    <m/>
    <m/>
    <m/>
    <m/>
    <m/>
  </r>
  <r>
    <x v="4"/>
    <x v="92"/>
    <s v="MBA"/>
    <s v="Dolores"/>
    <n v="5709"/>
    <n v="6138"/>
    <s v="NO TECHNICAL ASSISTANCE CONDUCTED"/>
    <m/>
    <m/>
    <x v="0"/>
    <s v="Elyza A. Evilla"/>
    <m/>
    <s v="Yves Yshmael M. Balagtas"/>
    <m/>
    <m/>
    <m/>
    <m/>
    <m/>
    <s v=""/>
    <s v=""/>
    <s v=""/>
    <s v=""/>
    <m/>
    <m/>
    <m/>
    <m/>
    <m/>
  </r>
  <r>
    <x v="4"/>
    <x v="92"/>
    <s v="MBA"/>
    <s v="Inararo"/>
    <n v="714"/>
    <n v="828"/>
    <s v="NO TECHNICAL ASSISTANCE CONDUCTED"/>
    <m/>
    <m/>
    <x v="0"/>
    <s v="Elyza A. Evilla"/>
    <m/>
    <s v="Yves Yshmael M. Balagtas"/>
    <m/>
    <m/>
    <m/>
    <m/>
    <m/>
    <s v=""/>
    <s v=""/>
    <s v=""/>
    <s v=""/>
    <m/>
    <m/>
    <m/>
    <m/>
    <m/>
  </r>
  <r>
    <x v="4"/>
    <x v="92"/>
    <s v="MBA"/>
    <s v="Jalung"/>
    <n v="3695"/>
    <n v="4803"/>
    <s v="CONDUCTED TECHNICAL ASSISTANCE"/>
    <n v="2024"/>
    <d v="2024-04-11T00:00:00"/>
    <x v="0"/>
    <s v="Elyza A. Evilla"/>
    <m/>
    <s v="Yves Yshmael M. Balagtas"/>
    <m/>
    <m/>
    <m/>
    <m/>
    <m/>
    <s v=""/>
    <s v=""/>
    <s v=""/>
    <s v=""/>
    <m/>
    <m/>
    <m/>
    <s v="Technical Assistance"/>
    <m/>
  </r>
  <r>
    <x v="4"/>
    <x v="92"/>
    <s v="MBA"/>
    <s v="Mancatian"/>
    <n v="1743"/>
    <n v="2707"/>
    <s v="NO TECHNICAL ASSISTANCE CONDUCTED"/>
    <m/>
    <m/>
    <x v="0"/>
    <s v="Elyza A. Evilla"/>
    <m/>
    <s v="Yves Yshmael M. Balagtas"/>
    <m/>
    <m/>
    <m/>
    <m/>
    <m/>
    <s v=""/>
    <s v=""/>
    <s v=""/>
    <s v=""/>
    <m/>
    <m/>
    <m/>
    <m/>
    <m/>
  </r>
  <r>
    <x v="4"/>
    <x v="92"/>
    <s v="MBA"/>
    <s v="Manibaug Libutad"/>
    <n v="4627"/>
    <n v="5576"/>
    <s v="CONDUCTED TECHNICAL ASSISTANCE"/>
    <n v="2025"/>
    <d v="2025-08-14T00:00:00"/>
    <x v="9"/>
    <s v="Elyza A. Evilla"/>
    <s v="Jan Emerson C. Gonzales"/>
    <s v="Yves Yshmael M. Balagtas"/>
    <s v="R3-2025-027290"/>
    <d v="2025-08-14T00:00:00"/>
    <d v="2025-08-15T00:00:00"/>
    <d v="2025-08-19T00:00:00"/>
    <d v="2025-08-19T00:00:00"/>
    <n v="1"/>
    <n v="1"/>
    <n v="2"/>
    <n v="1"/>
    <s v="Received by Planning"/>
    <s v="MRF"/>
    <s v="NON-OPERATIONAL"/>
    <s v="Technical Assistance"/>
    <m/>
  </r>
  <r>
    <x v="4"/>
    <x v="92"/>
    <s v="MBA"/>
    <s v="Manibaug Paralaya"/>
    <n v="13606"/>
    <n v="13487"/>
    <s v="CONDUCTED TECHNICAL ASSISTANCE"/>
    <n v="2025"/>
    <d v="2025-06-13T00:00:00"/>
    <x v="10"/>
    <s v="Elyza A. Evilla"/>
    <s v="Jan Emerson C. Gonzales"/>
    <s v="Yves Yshmael M. Balagtas"/>
    <s v="R3-2025-019665"/>
    <d v="2025-06-15T00:00:00"/>
    <d v="2025-06-18T00:00:00"/>
    <d v="2025-06-18T00:00:00"/>
    <d v="2025-06-18T00:00:00"/>
    <n v="1"/>
    <n v="2"/>
    <n v="1"/>
    <n v="1"/>
    <s v="Received by Planning"/>
    <s v="NO FACILITY"/>
    <s v="CATER BY LGU"/>
    <s v="Technical Assistance"/>
    <m/>
  </r>
  <r>
    <x v="4"/>
    <x v="92"/>
    <s v="MBA"/>
    <s v="Pulong Santol"/>
    <n v="7089"/>
    <n v="7297"/>
    <s v="CONDUCTED TECHNICAL ASSISTANCE"/>
    <n v="2025"/>
    <d v="2025-09-10T00:00:00"/>
    <x v="7"/>
    <s v="Elyza A. Evilla"/>
    <s v="Jan Emerson C. Gonzales"/>
    <s v="Yves Yshmael M. Balagtas"/>
    <s v="R3-2025-030724"/>
    <d v="2025-09-13T00:00:00"/>
    <d v="2025-09-17T00:00:00"/>
    <d v="2025-09-17T00:00:00"/>
    <d v="2025-09-18T00:00:00"/>
    <n v="2"/>
    <n v="2"/>
    <n v="1"/>
    <n v="1"/>
    <s v="Received by Planning"/>
    <s v="NO FACILITY"/>
    <s v="CATER BY LGU"/>
    <s v="Technical Assistance"/>
    <m/>
  </r>
  <r>
    <x v="4"/>
    <x v="92"/>
    <s v="MBA"/>
    <s v="Manuali"/>
    <n v="519"/>
    <n v="980"/>
    <s v="NO TECHNICAL ASSISTANCE CONDUCTED"/>
    <m/>
    <m/>
    <x v="0"/>
    <s v="Elyza A. Evilla"/>
    <m/>
    <s v="Yves Yshmael M. Balagtas"/>
    <m/>
    <m/>
    <m/>
    <m/>
    <m/>
    <s v=""/>
    <s v=""/>
    <s v=""/>
    <s v=""/>
    <m/>
    <m/>
    <m/>
    <m/>
    <m/>
  </r>
  <r>
    <x v="4"/>
    <x v="92"/>
    <s v="MBA"/>
    <s v="Mitla Proper"/>
    <n v="641"/>
    <n v="1766"/>
    <s v="NO TECHNICAL ASSISTANCE CONDUCTED"/>
    <m/>
    <m/>
    <x v="0"/>
    <s v="Elyza A. Evilla"/>
    <m/>
    <s v="Yves Yshmael M. Balagtas"/>
    <m/>
    <m/>
    <m/>
    <m/>
    <m/>
    <s v=""/>
    <s v=""/>
    <s v=""/>
    <s v=""/>
    <m/>
    <m/>
    <m/>
    <m/>
    <m/>
  </r>
  <r>
    <x v="4"/>
    <x v="92"/>
    <s v="MBA"/>
    <s v="Palat"/>
    <n v="3487"/>
    <n v="4426"/>
    <s v="CONDUCTED TECHNICAL ASSISTANCE"/>
    <n v="2025"/>
    <d v="2025-07-03T00:00:00"/>
    <x v="8"/>
    <s v="Elyza A. Evilla"/>
    <s v="Jan Emerson C. Gonzales"/>
    <s v="Yves Yshmael M. Balagtas"/>
    <s v="R3-2025-022197"/>
    <d v="2025-07-06T00:00:00"/>
    <d v="2025-07-09T00:00:00"/>
    <d v="2025-07-16T00:00:00"/>
    <d v="2025-07-17T00:00:00"/>
    <n v="1"/>
    <n v="2"/>
    <n v="5"/>
    <n v="1"/>
    <s v="Received by Planning"/>
    <s v="NO FACILITY"/>
    <s v="CATER BY LGU"/>
    <s v="Technical Assistance"/>
    <m/>
  </r>
  <r>
    <x v="4"/>
    <x v="92"/>
    <s v="MBA"/>
    <s v="Pias"/>
    <n v="3577"/>
    <n v="3983"/>
    <s v="NO TECHNICAL ASSISTANCE CONDUCTED"/>
    <m/>
    <m/>
    <x v="0"/>
    <s v="Elyza A. Evilla"/>
    <m/>
    <s v="Yves Yshmael M. Balagtas"/>
    <m/>
    <m/>
    <m/>
    <m/>
    <m/>
    <s v=""/>
    <s v=""/>
    <s v=""/>
    <s v=""/>
    <m/>
    <m/>
    <m/>
    <m/>
    <m/>
  </r>
  <r>
    <x v="4"/>
    <x v="92"/>
    <s v="MBA"/>
    <s v="Pio"/>
    <n v="16838"/>
    <n v="18206"/>
    <s v="CONDUCTED TECHNICAL ASSISTANCE"/>
    <n v="2025"/>
    <d v="2025-07-09T00:00:00"/>
    <x v="8"/>
    <s v="Elyza A. Evilla"/>
    <s v="Jan Emerson C. Gonzales"/>
    <s v="Yves Yshmael M. Balagtas"/>
    <s v="R3-2025-023101"/>
    <d v="2025-07-12T00:00:00"/>
    <d v="2025-07-18T00:00:00"/>
    <d v="2025-07-18T00:00:00"/>
    <d v="2025-07-18T00:00:00"/>
    <n v="2"/>
    <n v="4"/>
    <n v="1"/>
    <n v="1"/>
    <s v="Received by Planning"/>
    <s v="NO FACILITY"/>
    <s v="CATER BY LGU"/>
    <s v="Technical Assistance"/>
    <m/>
  </r>
  <r>
    <x v="4"/>
    <x v="92"/>
    <s v="MBA"/>
    <s v="Planas"/>
    <n v="3823"/>
    <n v="5068"/>
    <s v="CONDUCTED TECHNICAL ASSISTANCE"/>
    <n v="2025"/>
    <d v="2025-02-13T00:00:00"/>
    <x v="3"/>
    <s v="Elyza A. Evilla"/>
    <m/>
    <s v="Yves Yshmael M. Balagtas"/>
    <s v="R3-2025-005787"/>
    <d v="2025-02-17T00:00:00"/>
    <m/>
    <d v="2025-02-18T00:00:00"/>
    <d v="2025-02-18T00:00:00"/>
    <n v="2"/>
    <s v=""/>
    <n v="1"/>
    <n v="1"/>
    <s v="Received by Planning"/>
    <s v="MRS"/>
    <s v="OPERATIONAL"/>
    <s v="Technical Assistance"/>
    <m/>
  </r>
  <r>
    <x v="4"/>
    <x v="92"/>
    <s v="MBA"/>
    <s v="Poblacion"/>
    <n v="2044"/>
    <n v="1555"/>
    <s v="CONDUCTED TECHNICAL ASSISTANCE"/>
    <n v="2025"/>
    <d v="2025-08-14T00:00:00"/>
    <x v="9"/>
    <s v="Elyza A. Evilla"/>
    <s v="Jan Emerson C. Gonzales"/>
    <s v="Yves Yshmael M. Balagtas"/>
    <s v="R3-2025-027291"/>
    <d v="2025-08-14T00:00:00"/>
    <d v="2025-08-15T00:00:00"/>
    <d v="2025-08-19T00:00:00"/>
    <d v="2025-08-19T00:00:00"/>
    <n v="1"/>
    <n v="1"/>
    <n v="2"/>
    <n v="1"/>
    <s v="Received by Planning"/>
    <s v="NO FACILITY"/>
    <s v="CATER BY LGU"/>
    <s v="Technical Assistance"/>
    <m/>
  </r>
  <r>
    <x v="4"/>
    <x v="92"/>
    <s v="MBA"/>
    <s v="Sepung Bulaun"/>
    <n v="5354"/>
    <n v="5591"/>
    <s v="CONDUCTED TECHNICAL ASSISTANCE"/>
    <n v="2025"/>
    <d v="2025-09-10T00:00:00"/>
    <x v="7"/>
    <s v="Elyza A. Evilla"/>
    <s v="Jan Emerson C. Gonzales"/>
    <s v="Yves Yshmael M. Balagtas"/>
    <s v="R3-2025-030725"/>
    <d v="2025-09-13T00:00:00"/>
    <d v="2025-09-17T00:00:00"/>
    <d v="2025-09-17T00:00:00"/>
    <d v="2025-09-18T00:00:00"/>
    <n v="2"/>
    <n v="2"/>
    <n v="1"/>
    <n v="1"/>
    <s v="Received by Planning"/>
    <s v="NO FACILITY"/>
    <s v="CATER BY LGU"/>
    <s v="Technical Assistance"/>
    <m/>
  </r>
  <r>
    <x v="4"/>
    <x v="92"/>
    <s v="MBA"/>
    <s v="Salu"/>
    <n v="835"/>
    <n v="1021"/>
    <s v="NO TECHNICAL ASSISTANCE CONDUCTED"/>
    <m/>
    <m/>
    <x v="0"/>
    <s v="Elyza A. Evilla"/>
    <m/>
    <s v="Yves Yshmael M. Balagtas"/>
    <m/>
    <m/>
    <m/>
    <m/>
    <m/>
    <s v=""/>
    <s v=""/>
    <s v=""/>
    <s v=""/>
    <m/>
    <m/>
    <m/>
    <m/>
    <m/>
  </r>
  <r>
    <x v="4"/>
    <x v="92"/>
    <s v="MBA"/>
    <s v="San Jose Mitla"/>
    <n v="654"/>
    <n v="1412"/>
    <s v="CONDUCTED TECHNICAL ASSISTANCE"/>
    <n v="2025"/>
    <d v="2025-06-13T00:00:00"/>
    <x v="10"/>
    <s v="Elyza A. Evilla"/>
    <s v="Jan Emerson C. Gonzales"/>
    <s v="Yves Yshmael M. Balagtas"/>
    <s v="R3-2025-019666"/>
    <d v="2025-06-15T00:00:00"/>
    <d v="2025-06-18T00:00:00"/>
    <d v="2025-06-18T00:00:00"/>
    <d v="2025-06-18T00:00:00"/>
    <n v="1"/>
    <n v="2"/>
    <n v="1"/>
    <n v="1"/>
    <s v="Received by Planning"/>
    <s v="MRS"/>
    <s v="OPERATIONAL"/>
    <s v="Technical Assistance"/>
    <m/>
  </r>
  <r>
    <x v="4"/>
    <x v="92"/>
    <s v="MBA"/>
    <s v="Santa Cruz"/>
    <n v="17501"/>
    <n v="18624"/>
    <s v="CONDUCTED TECHNICAL ASSISTANCE"/>
    <n v="2025"/>
    <d v="2025-03-11T00:00:00"/>
    <x v="1"/>
    <s v="Elyza A. Evilla"/>
    <m/>
    <s v="Yves Yshmael M. Balagtas"/>
    <s v="R3-2025-008731"/>
    <d v="2025-03-12T00:00:00"/>
    <m/>
    <d v="2025-03-17T00:00:00"/>
    <d v="2025-03-18T00:00:00"/>
    <n v="1"/>
    <s v=""/>
    <n v="3"/>
    <n v="1"/>
    <s v="Received by Planning"/>
    <s v="NO FACILITY"/>
    <s v="CATER BY LGU"/>
    <s v="Technical Assistance"/>
    <m/>
  </r>
  <r>
    <x v="4"/>
    <x v="92"/>
    <s v="MBA"/>
    <s v="Sapang Uwak"/>
    <n v="1264"/>
    <n v="1398"/>
    <s v="NO TECHNICAL ASSISTANCE CONDUCTED"/>
    <m/>
    <m/>
    <x v="0"/>
    <s v="Elyza A. Evilla"/>
    <m/>
    <s v="Yves Yshmael M. Balagtas"/>
    <m/>
    <m/>
    <m/>
    <m/>
    <m/>
    <s v=""/>
    <s v=""/>
    <s v=""/>
    <s v=""/>
    <m/>
    <m/>
    <m/>
    <m/>
    <m/>
  </r>
  <r>
    <x v="4"/>
    <x v="92"/>
    <s v="MBA"/>
    <s v="Sinura"/>
    <n v="3031"/>
    <n v="3637"/>
    <s v="NO TECHNICAL ASSISTANCE CONDUCTED"/>
    <m/>
    <m/>
    <x v="0"/>
    <s v="Elyza A. Evilla"/>
    <m/>
    <s v="Yves Yshmael M. Balagtas"/>
    <m/>
    <m/>
    <m/>
    <m/>
    <m/>
    <s v=""/>
    <s v=""/>
    <s v=""/>
    <s v=""/>
    <m/>
    <m/>
    <m/>
    <m/>
    <m/>
  </r>
  <r>
    <x v="4"/>
    <x v="92"/>
    <s v="MBA"/>
    <s v="Villa Maria"/>
    <n v="839"/>
    <n v="1120"/>
    <s v="NO TECHNICAL ASSISTANCE CONDUCTED"/>
    <m/>
    <m/>
    <x v="0"/>
    <s v="Elyza A. Evilla"/>
    <m/>
    <s v="Yves Yshmael M. Balagtas"/>
    <m/>
    <m/>
    <m/>
    <m/>
    <m/>
    <s v=""/>
    <s v=""/>
    <s v=""/>
    <s v=""/>
    <m/>
    <m/>
    <m/>
    <m/>
    <m/>
  </r>
  <r>
    <x v="4"/>
    <x v="7"/>
    <s v="MBA"/>
    <s v="San Jose"/>
    <n v="7463"/>
    <n v="7384"/>
    <s v="CONDUCTED TECHNICAL ASSISTANCE"/>
    <n v="2025"/>
    <d v="2025-09-12T00:00:00"/>
    <x v="7"/>
    <s v="Glaiza S. Gaza"/>
    <m/>
    <s v="Yves Yshmael M. Balagtas"/>
    <s v="R3-2025-031361"/>
    <d v="2025-09-17T00:00:00"/>
    <m/>
    <d v="2025-09-17T00:00:00"/>
    <d v="2025-09-18T00:00:00"/>
    <n v="3"/>
    <s v=""/>
    <n v="1"/>
    <n v="1"/>
    <s v="Received by Planning"/>
    <s v="NO FACILITY"/>
    <s v="CATER BY LGU"/>
    <s v="Technical Assistance"/>
    <m/>
  </r>
  <r>
    <x v="4"/>
    <x v="7"/>
    <s v="MBA"/>
    <s v="San Agustin"/>
    <n v="1475"/>
    <n v="1563"/>
    <s v="NO TECHNICAL ASSISTANCE CONDUCTED"/>
    <m/>
    <m/>
    <x v="0"/>
    <s v="Glaiza S. Gaza"/>
    <m/>
    <s v="Yves Yshmael M. Balagtas"/>
    <m/>
    <m/>
    <m/>
    <m/>
    <m/>
    <s v=""/>
    <s v=""/>
    <s v=""/>
    <s v=""/>
    <m/>
    <m/>
    <m/>
    <m/>
    <m/>
  </r>
  <r>
    <x v="4"/>
    <x v="7"/>
    <s v="MBA"/>
    <s v="San Carlos"/>
    <n v="3859"/>
    <n v="4458"/>
    <s v="CONDUCTED TECHNICAL ASSISTANCE"/>
    <n v="2025"/>
    <d v="2025-04-11T00:00:00"/>
    <x v="4"/>
    <s v="Glaiza S. Gaza"/>
    <m/>
    <s v="Yves Yshmael M. Balagtas"/>
    <s v="R3-2025-012858"/>
    <d v="2025-04-15T00:00:00"/>
    <m/>
    <d v="2025-04-15T00:00:00"/>
    <d v="2025-04-15T00:00:00"/>
    <n v="2"/>
    <s v=""/>
    <n v="1"/>
    <n v="1"/>
    <s v="Received by Planning"/>
    <s v="MRF"/>
    <s v="OPERATIONAL"/>
    <s v="Technical Assistance"/>
    <m/>
  </r>
  <r>
    <x v="4"/>
    <x v="7"/>
    <s v="MBA"/>
    <s v="San Isidro"/>
    <n v="6976"/>
    <n v="7312"/>
    <s v="NO TECHNICAL ASSISTANCE CONDUCTED"/>
    <m/>
    <m/>
    <x v="0"/>
    <s v="Glaiza S. Gaza"/>
    <m/>
    <s v="Yves Yshmael M. Balagtas"/>
    <m/>
    <m/>
    <m/>
    <m/>
    <m/>
    <s v=""/>
    <s v=""/>
    <s v=""/>
    <s v=""/>
    <m/>
    <m/>
    <m/>
    <m/>
    <m/>
  </r>
  <r>
    <x v="4"/>
    <x v="7"/>
    <s v="MBA"/>
    <s v="San Sebastian"/>
    <n v="2334"/>
    <n v="2623"/>
    <s v="CONDUCTED TECHNICAL ASSISTANCE"/>
    <n v="2025"/>
    <d v="2025-09-12T00:00:00"/>
    <x v="7"/>
    <s v="Glaiza S. Gaza"/>
    <m/>
    <s v="Yves Yshmael M. Balagtas"/>
    <s v="R3-2025-031359"/>
    <d v="2025-09-17T00:00:00"/>
    <m/>
    <d v="2025-09-17T00:00:00"/>
    <d v="2025-09-18T00:00:00"/>
    <n v="3"/>
    <s v=""/>
    <n v="1"/>
    <n v="1"/>
    <s v="Received by Planning"/>
    <s v="NO FACILITY"/>
    <s v="CATER BY LGU"/>
    <s v="Technical Assistance"/>
    <m/>
  </r>
  <r>
    <x v="4"/>
    <x v="7"/>
    <s v="MBA"/>
    <s v="San Juan"/>
    <n v="5513"/>
    <n v="6322"/>
    <s v="CONDUCTED TECHNICAL ASSISTANCE"/>
    <n v="2024"/>
    <d v="2024-11-12T00:00:00"/>
    <x v="0"/>
    <s v="Glaiza S. Gaza"/>
    <m/>
    <s v="Yves Yshmael M. Balagtas"/>
    <m/>
    <m/>
    <m/>
    <m/>
    <m/>
    <s v=""/>
    <s v=""/>
    <s v=""/>
    <s v=""/>
    <m/>
    <s v="MRF"/>
    <s v="NON-OPERATIONAL"/>
    <s v="Technical Assistance"/>
    <m/>
  </r>
  <r>
    <x v="4"/>
    <x v="7"/>
    <s v="MBA"/>
    <s v="San Nicolas"/>
    <n v="1700"/>
    <n v="1829"/>
    <s v="NO TECHNICAL ASSISTANCE CONDUCTED"/>
    <m/>
    <m/>
    <x v="0"/>
    <s v="Glaiza S. Gaza"/>
    <m/>
    <s v="Yves Yshmael M. Balagtas"/>
    <m/>
    <m/>
    <m/>
    <m/>
    <m/>
    <s v=""/>
    <s v=""/>
    <s v=""/>
    <s v=""/>
    <m/>
    <m/>
    <m/>
    <m/>
    <m/>
  </r>
  <r>
    <x v="4"/>
    <x v="7"/>
    <s v="MBA"/>
    <s v="San Roque"/>
    <n v="5406"/>
    <n v="5254"/>
    <s v="CONDUCTED TECHNICAL ASSISTANCE"/>
    <n v="2025"/>
    <d v="2025-03-12T00:00:00"/>
    <x v="1"/>
    <s v="Glaiza S. Gaza"/>
    <m/>
    <s v="Yves Yshmael M. Balagtas"/>
    <s v="R3-2025-009196_x0009_"/>
    <d v="2025-03-18T00:00:00"/>
    <m/>
    <d v="2025-03-18T00:00:00"/>
    <d v="2025-03-19T00:00:00"/>
    <n v="4"/>
    <s v=""/>
    <n v="1"/>
    <n v="1"/>
    <s v="Received by Planning"/>
    <s v="MRF"/>
    <s v="UNDER CONSTRUCTION"/>
    <s v="Technical Assistance"/>
    <m/>
  </r>
  <r>
    <x v="4"/>
    <x v="7"/>
    <s v="MBA"/>
    <s v="Santa Cruz Poblacion"/>
    <n v="1535"/>
    <n v="1761"/>
    <s v="CONDUCTED TECHNICAL ASSISTANCE"/>
    <n v="2025"/>
    <d v="2025-09-12T00:00:00"/>
    <x v="7"/>
    <s v="Glaiza S. Gaza"/>
    <m/>
    <s v="Yves Yshmael M. Balagtas"/>
    <s v="R3-2025-031357"/>
    <d v="2025-09-17T00:00:00"/>
    <m/>
    <d v="2025-09-17T00:00:00"/>
    <d v="2025-09-18T00:00:00"/>
    <n v="3"/>
    <s v=""/>
    <n v="1"/>
    <n v="1"/>
    <s v="Received by Planning"/>
    <s v="NO FACILITY"/>
    <s v="CATER BY LGU"/>
    <s v="Technical Assistance"/>
    <m/>
  </r>
  <r>
    <x v="4"/>
    <x v="7"/>
    <s v="MBA"/>
    <s v="Santa Catalina"/>
    <n v="3097"/>
    <n v="3451"/>
    <s v="NO TECHNICAL ASSISTANCE CONDUCTED"/>
    <m/>
    <m/>
    <x v="0"/>
    <s v="Glaiza S. Gaza"/>
    <m/>
    <s v="Yves Yshmael M. Balagtas"/>
    <m/>
    <m/>
    <m/>
    <m/>
    <m/>
    <s v=""/>
    <s v=""/>
    <s v=""/>
    <s v=""/>
    <m/>
    <m/>
    <m/>
    <m/>
    <m/>
  </r>
  <r>
    <x v="4"/>
    <x v="7"/>
    <s v="MBA"/>
    <s v="Santa Cruz Pambilog"/>
    <n v="1192"/>
    <n v="1333"/>
    <s v="NO TECHNICAL ASSISTANCE CONDUCTED"/>
    <m/>
    <m/>
    <x v="0"/>
    <s v="Glaiza S. Gaza"/>
    <m/>
    <s v="Yves Yshmael M. Balagtas"/>
    <m/>
    <m/>
    <m/>
    <m/>
    <m/>
    <s v=""/>
    <s v=""/>
    <s v=""/>
    <s v=""/>
    <m/>
    <m/>
    <m/>
    <m/>
    <m/>
  </r>
  <r>
    <x v="4"/>
    <x v="7"/>
    <s v="MBA"/>
    <s v="Santa Rita"/>
    <n v="2395"/>
    <n v="2645"/>
    <s v="CONDUCTED TECHNICAL ASSISTANCE"/>
    <n v="2025"/>
    <d v="2025-09-12T00:00:00"/>
    <x v="7"/>
    <s v="Glaiza S. Gaza"/>
    <m/>
    <s v="Yves Yshmael M. Balagtas"/>
    <s v="R3-2025-031349"/>
    <d v="2025-09-17T00:00:00"/>
    <m/>
    <d v="2025-09-17T00:00:00"/>
    <d v="2025-09-18T00:00:00"/>
    <n v="3"/>
    <s v=""/>
    <n v="1"/>
    <n v="1"/>
    <s v="Received by Planning"/>
    <s v="NO FACILITY"/>
    <s v="CATER BY LGU"/>
    <s v="Technical Assistance"/>
    <m/>
  </r>
  <r>
    <x v="4"/>
    <x v="7"/>
    <s v="MBA"/>
    <s v="Santa Lucia"/>
    <n v="1594"/>
    <n v="1584"/>
    <s v="CONDUCTED TECHNICAL ASSISTANCE"/>
    <n v="2025"/>
    <d v="2025-02-14T00:00:00"/>
    <x v="3"/>
    <s v="Glaiza S. Gaza"/>
    <m/>
    <s v="Yves Yshmael M. Balagtas"/>
    <s v="R3-2025-005870"/>
    <d v="2025-02-18T00:00:00"/>
    <m/>
    <d v="2025-02-18T00:00:00"/>
    <d v="2025-02-18T00:00:00"/>
    <n v="2"/>
    <s v=""/>
    <n v="1"/>
    <n v="1"/>
    <s v="Received by Planning"/>
    <s v="MRS"/>
    <s v="OPERATIONAL"/>
    <s v="Technical Assistance"/>
    <m/>
  </r>
  <r>
    <x v="4"/>
    <x v="7"/>
    <s v="MBA"/>
    <s v="Santa Monica"/>
    <n v="2887"/>
    <n v="3207"/>
    <s v="CONDUCTED TECHNICAL ASSISTANCE"/>
    <n v="2025"/>
    <d v="2025-01-22T00:00:00"/>
    <x v="2"/>
    <s v="Glaiza S. Gaza"/>
    <m/>
    <s v="Yves Yshmael M. Balagtas"/>
    <s v="R3-2025-002093"/>
    <d v="2025-01-22T00:00:00"/>
    <m/>
    <d v="2025-01-24T00:00:00"/>
    <d v="2025-01-24T00:00:00"/>
    <n v="1"/>
    <s v=""/>
    <n v="2"/>
    <n v="1"/>
    <s v="Received by Planning"/>
    <s v="MRS"/>
    <s v="OPERATIONAL"/>
    <s v="Technical Assistance"/>
    <m/>
  </r>
  <r>
    <x v="4"/>
    <x v="7"/>
    <s v="MBA"/>
    <s v="Santo Tomas"/>
    <n v="2212"/>
    <n v="2524"/>
    <s v="CONDUCTED TECHNICAL ASSISTANCE"/>
    <n v="2025"/>
    <d v="2025-09-12T00:00:00"/>
    <x v="7"/>
    <s v="Glaiza S. Gaza"/>
    <m/>
    <s v="Yves Yshmael M. Balagtas"/>
    <s v="R3-2025-031352"/>
    <d v="2025-09-17T00:00:00"/>
    <m/>
    <d v="2025-09-17T00:00:00"/>
    <d v="2025-09-18T00:00:00"/>
    <n v="3"/>
    <s v=""/>
    <n v="1"/>
    <n v="1"/>
    <s v="Received by Planning"/>
    <s v="NO FACILITY"/>
    <s v="CATER BY LGU"/>
    <s v="Technical Assistance"/>
    <m/>
  </r>
  <r>
    <x v="4"/>
    <x v="7"/>
    <s v="MBA"/>
    <s v="Santo Niño"/>
    <n v="2496"/>
    <n v="2921"/>
    <s v="NO TECHNICAL ASSISTANCE CONDUCTED"/>
    <m/>
    <m/>
    <x v="0"/>
    <s v="Glaiza S. Gaza"/>
    <m/>
    <s v="Yves Yshmael M. Balagtas"/>
    <m/>
    <m/>
    <m/>
    <m/>
    <m/>
    <s v=""/>
    <s v=""/>
    <s v=""/>
    <s v=""/>
    <m/>
    <m/>
    <m/>
    <m/>
    <m/>
  </r>
  <r>
    <x v="4"/>
    <x v="7"/>
    <s v="MBA"/>
    <s v="Santo Rosario"/>
    <n v="1972"/>
    <n v="2380"/>
    <s v="CONDUCTED TECHNICAL ASSISTANCE"/>
    <n v="2025"/>
    <d v="2025-08-14T00:00:00"/>
    <x v="9"/>
    <s v="Glaiza S. Gaza"/>
    <s v="Jan Emerson C. Gonzales"/>
    <s v="Yves Yshmael M. Balagtas"/>
    <s v="R3-2025-027561"/>
    <d v="2025-08-17T00:00:00"/>
    <d v="2025-08-18T00:00:00"/>
    <d v="2025-08-19T00:00:00"/>
    <d v="2025-08-19T00:00:00"/>
    <n v="1"/>
    <n v="1"/>
    <n v="1"/>
    <n v="1"/>
    <s v="Received by Planning"/>
    <s v="NO FACILITY"/>
    <s v="CATER BY LGU"/>
    <s v="Technical Assistance"/>
    <m/>
  </r>
  <r>
    <x v="4"/>
    <x v="93"/>
    <s v="MBA"/>
    <s v="Concepcion"/>
    <n v="6174"/>
    <n v="7256"/>
    <s v="CONDUCTED TECHNICAL ASSISTANCE"/>
    <n v="2025"/>
    <d v="2025-07-16T00:00:00"/>
    <x v="8"/>
    <s v="Glaiza S. Gaza"/>
    <s v="Jan Emerson C. Gonzales"/>
    <s v="Yves Yshmael M. Balagtas"/>
    <s v="R3-2025-024184"/>
    <d v="2025-07-16T00:00:00"/>
    <d v="2025-07-18T00:00:00"/>
    <d v="2025-07-18T00:00:00"/>
    <d v="2025-07-18T00:00:00"/>
    <n v="1"/>
    <n v="2"/>
    <n v="1"/>
    <n v="1"/>
    <s v="Received by Planning"/>
    <s v="MRS"/>
    <s v="OPERATIONAL"/>
    <s v="Technical Assistance"/>
    <m/>
  </r>
  <r>
    <x v="4"/>
    <x v="93"/>
    <s v="MBA"/>
    <s v="De La Paz"/>
    <n v="2842"/>
    <n v="2950"/>
    <s v="CONDUCTED TECHNICAL ASSISTANCE"/>
    <n v="2025"/>
    <d v="2025-07-08T00:00:00"/>
    <x v="8"/>
    <s v="Glaiza S. Gaza"/>
    <s v="Jan Emerson C. Gonzales"/>
    <s v="Yves Yshmael M. Balagtas"/>
    <s v="R3-2025-023814"/>
    <d v="2025-07-16T00:00:00"/>
    <d v="2025-07-18T00:00:00"/>
    <d v="2025-07-18T00:00:00"/>
    <d v="2025-07-18T00:00:00"/>
    <n v="6"/>
    <n v="2"/>
    <n v="1"/>
    <n v="1"/>
    <s v="Received by Planning"/>
    <s v="MRS"/>
    <s v="OPERATIONAL"/>
    <s v="Technical Assistance"/>
    <m/>
  </r>
  <r>
    <x v="4"/>
    <x v="93"/>
    <s v="MBA"/>
    <s v="San Agustin"/>
    <n v="2119"/>
    <n v="2147"/>
    <s v="CONDUCTED TECHNICAL ASSISTANCE"/>
    <n v="2025"/>
    <d v="2025-05-16T00:00:00"/>
    <x v="6"/>
    <s v="Glaiza S. Gaza"/>
    <m/>
    <s v="Yves Yshmael M. Balagtas"/>
    <s v="R3-2025-016436"/>
    <d v="2025-05-17T00:00:00"/>
    <m/>
    <d v="2025-05-19T00:00:00"/>
    <d v="2025-05-20T00:00:00"/>
    <n v="1"/>
    <s v=""/>
    <n v="1"/>
    <n v="1"/>
    <s v="Received by Planning"/>
    <s v="NO FACILITY"/>
    <s v="CATER BY LGU"/>
    <s v="Technical Assistance"/>
    <m/>
  </r>
  <r>
    <x v="4"/>
    <x v="93"/>
    <s v="MBA"/>
    <s v="San Isidro"/>
    <n v="3345"/>
    <n v="3947"/>
    <s v="CONDUCTED TECHNICAL ASSISTANCE"/>
    <n v="2025"/>
    <d v="2025-03-12T00:00:00"/>
    <x v="1"/>
    <s v="Glaiza S. Gaza"/>
    <m/>
    <s v="Yves Yshmael M. Balagtas"/>
    <s v="R3-2025-009187"/>
    <d v="2025-03-12T00:00:00"/>
    <m/>
    <d v="2025-03-18T00:00:00"/>
    <d v="2025-03-19T00:00:00"/>
    <n v="1"/>
    <s v=""/>
    <n v="4"/>
    <n v="1"/>
    <s v="Received by Planning"/>
    <s v="NO FACILITY"/>
    <s v="CATER BY LGU"/>
    <s v="Technical Assistance"/>
    <m/>
  </r>
  <r>
    <x v="4"/>
    <x v="93"/>
    <s v="MBA"/>
    <s v="San Jose"/>
    <n v="5876"/>
    <n v="5528"/>
    <s v="CONDUCTED TECHNICAL ASSISTANCE"/>
    <n v="2025"/>
    <d v="2025-02-14T00:00:00"/>
    <x v="3"/>
    <s v="Glaiza S. Gaza"/>
    <m/>
    <s v="Yves Yshmael M. Balagtas"/>
    <s v="R3-2025-005867_x0009_"/>
    <d v="2025-02-18T00:00:00"/>
    <m/>
    <d v="2025-02-18T00:00:00"/>
    <d v="2025-02-19T00:00:00"/>
    <n v="2"/>
    <s v=""/>
    <n v="1"/>
    <n v="1"/>
    <s v="Received by Planning"/>
    <s v="MRS"/>
    <s v="OPERATIONAL"/>
    <s v="Technical Assistance"/>
    <m/>
  </r>
  <r>
    <x v="4"/>
    <x v="93"/>
    <s v="MBA"/>
    <s v="San Juan (Pob.)"/>
    <n v="2135"/>
    <n v="2416"/>
    <s v="NO TECHNICAL ASSISTANCE CONDUCTED"/>
    <m/>
    <m/>
    <x v="0"/>
    <s v="Glaiza S. Gaza"/>
    <m/>
    <s v="Yves Yshmael M. Balagtas"/>
    <m/>
    <m/>
    <m/>
    <m/>
    <m/>
    <s v=""/>
    <s v=""/>
    <s v=""/>
    <s v=""/>
    <m/>
    <m/>
    <m/>
    <m/>
    <m/>
  </r>
  <r>
    <x v="4"/>
    <x v="93"/>
    <s v="MBA"/>
    <s v="San Miguel"/>
    <n v="4722"/>
    <n v="4699"/>
    <s v="CONDUCTED TECHNICAL ASSISTANCE"/>
    <n v="2024"/>
    <d v="2024-08-07T00:00:00"/>
    <x v="0"/>
    <s v="Glaiza S. Gaza"/>
    <m/>
    <s v="Yves Yshmael M. Balagtas"/>
    <m/>
    <m/>
    <m/>
    <m/>
    <m/>
    <s v=""/>
    <s v=""/>
    <s v=""/>
    <s v=""/>
    <m/>
    <s v="MRF"/>
    <s v="OPERATIONAL"/>
    <s v="Technical Assistance"/>
    <m/>
  </r>
  <r>
    <x v="4"/>
    <x v="93"/>
    <s v="MBA"/>
    <s v="San Nicolas"/>
    <n v="2197"/>
    <n v="2485"/>
    <s v="CONDUCTED TECHNICAL ASSISTANCE"/>
    <n v="2025"/>
    <d v="2025-03-02T00:00:00"/>
    <x v="1"/>
    <s v="Glaiza S. Gaza"/>
    <m/>
    <s v="Yves Yshmael M. Balagtas"/>
    <s v="R3-2025-009190"/>
    <d v="2025-03-18T00:00:00"/>
    <m/>
    <d v="2025-03-18T00:00:00"/>
    <d v="2025-03-19T00:00:00"/>
    <n v="11"/>
    <s v=""/>
    <n v="1"/>
    <n v="1"/>
    <s v="Received by Planning"/>
    <s v="MRS"/>
    <s v="OPERATIONAL"/>
    <s v="Technical Assistance"/>
    <m/>
  </r>
  <r>
    <x v="4"/>
    <x v="93"/>
    <s v="MBA"/>
    <s v="San Pablo Libutad"/>
    <n v="1980"/>
    <n v="2165"/>
    <s v="CONDUCTED TECHNICAL ASSISTANCE"/>
    <n v="2025"/>
    <d v="2025-04-10T00:00:00"/>
    <x v="4"/>
    <s v="Glaiza S. Gaza"/>
    <m/>
    <s v="Yves Yshmael M. Balagtas"/>
    <s v="R3-2025-012814"/>
    <d v="2025-04-14T00:00:00"/>
    <m/>
    <d v="2025-04-15T00:00:00"/>
    <d v="2025-04-15T00:00:00"/>
    <n v="2"/>
    <s v=""/>
    <n v="1"/>
    <n v="1"/>
    <s v="Received by Planning"/>
    <s v="MRS"/>
    <s v="OPERATIONAL"/>
    <s v="Technical Assistance"/>
    <m/>
  </r>
  <r>
    <x v="4"/>
    <x v="93"/>
    <s v="MBA"/>
    <s v="San Pablo Proper"/>
    <n v="5132"/>
    <n v="6482"/>
    <s v="CONDUCTED TECHNICAL ASSISTANCE"/>
    <n v="2025"/>
    <d v="2025-03-12T00:00:00"/>
    <x v="1"/>
    <s v="Glaiza S. Gaza"/>
    <m/>
    <s v="Yves Yshmael M. Balagtas"/>
    <s v="R3-2025-009191_x0009_"/>
    <d v="2025-03-18T00:00:00"/>
    <m/>
    <d v="2025-03-18T00:00:00"/>
    <d v="2025-03-19T00:00:00"/>
    <n v="4"/>
    <s v=""/>
    <n v="1"/>
    <n v="1"/>
    <s v="Received by Planning"/>
    <s v="MRS"/>
    <s v="OPERATIONAL"/>
    <s v="Technical Assistance"/>
    <m/>
  </r>
  <r>
    <x v="4"/>
    <x v="93"/>
    <s v="MBA"/>
    <s v="San Pedro"/>
    <n v="7060"/>
    <n v="8007"/>
    <s v="CONDUCTED TECHNICAL ASSISTANCE"/>
    <n v="2025"/>
    <d v="2025-03-12T00:00:00"/>
    <x v="1"/>
    <s v="Glaiza S. Gaza"/>
    <m/>
    <s v="Yves Yshmael M. Balagtas"/>
    <s v="R3-2025-009193_x0009_"/>
    <d v="2025-03-18T00:00:00"/>
    <m/>
    <d v="2025-03-18T00:00:00"/>
    <d v="2025-03-19T00:00:00"/>
    <n v="4"/>
    <s v=""/>
    <n v="1"/>
    <n v="1"/>
    <s v="Received by Planning"/>
    <s v="MRS"/>
    <s v="OPERATIONAL"/>
    <s v="Technical Assistance"/>
    <m/>
  </r>
  <r>
    <x v="4"/>
    <x v="93"/>
    <s v="MBA"/>
    <s v="Santa Cruz"/>
    <n v="1352"/>
    <n v="1509"/>
    <s v="CONDUCTED TECHNICAL ASSISTANCE"/>
    <n v="2024"/>
    <d v="2024-10-09T00:00:00"/>
    <x v="0"/>
    <s v="Glaiza S. Gaza"/>
    <m/>
    <s v="Yves Yshmael M. Balagtas"/>
    <m/>
    <m/>
    <m/>
    <m/>
    <m/>
    <s v=""/>
    <s v=""/>
    <s v=""/>
    <s v=""/>
    <m/>
    <s v="MRF"/>
    <s v="OPERATIONAL"/>
    <s v="Technical Assistance"/>
    <m/>
  </r>
  <r>
    <x v="4"/>
    <x v="93"/>
    <s v="MBA"/>
    <s v="Santa Monica"/>
    <n v="4828"/>
    <n v="5762"/>
    <s v="NO TECHNICAL ASSISTANCE CONDUCTED"/>
    <m/>
    <m/>
    <x v="0"/>
    <s v="Glaiza S. Gaza"/>
    <m/>
    <s v="Yves Yshmael M. Balagtas"/>
    <m/>
    <m/>
    <m/>
    <m/>
    <m/>
    <s v=""/>
    <s v=""/>
    <s v=""/>
    <s v=""/>
    <m/>
    <m/>
    <m/>
    <m/>
    <m/>
  </r>
  <r>
    <x v="4"/>
    <x v="93"/>
    <s v="MBA"/>
    <s v="Santo Niño"/>
    <n v="3436"/>
    <n v="3829"/>
    <s v="CONDUCTED TECHNICAL ASSISTANCE"/>
    <n v="2025"/>
    <d v="2025-02-14T00:00:00"/>
    <x v="3"/>
    <s v="Glaiza S. Gaza"/>
    <m/>
    <s v="Yves Yshmael M. Balagtas"/>
    <s v="R3-2025-005869_x0009_"/>
    <d v="2025-02-18T00:00:00"/>
    <m/>
    <d v="2025-02-18T00:00:00"/>
    <d v="2025-02-19T00:00:00"/>
    <n v="2"/>
    <s v=""/>
    <n v="1"/>
    <n v="1"/>
    <s v="Received by Planning"/>
    <s v="MRS"/>
    <s v="OPERATIONAL"/>
    <s v="Technical Assistance"/>
    <m/>
  </r>
  <r>
    <x v="4"/>
    <x v="94"/>
    <s v="MBA"/>
    <s v="Moras De La Paz"/>
    <n v="5494"/>
    <n v="5488"/>
    <s v="NO TECHNICAL ASSISTANCE CONDUCTED"/>
    <m/>
    <m/>
    <x v="0"/>
    <s v="Elyza A. Evilla"/>
    <m/>
    <s v="Yves Yshmael M. Balagtas"/>
    <m/>
    <m/>
    <m/>
    <m/>
    <m/>
    <s v=""/>
    <s v=""/>
    <s v=""/>
    <s v=""/>
    <m/>
    <m/>
    <m/>
    <m/>
    <m/>
  </r>
  <r>
    <x v="4"/>
    <x v="94"/>
    <s v="MBA"/>
    <s v="Poblacion"/>
    <n v="3398"/>
    <n v="3133"/>
    <s v="CONDUCTED TECHNICAL ASSISTANCE"/>
    <n v="2025"/>
    <d v="2025-04-10T00:00:00"/>
    <x v="4"/>
    <s v="Elyza A. Evilla"/>
    <m/>
    <s v="Yves Yshmael M. Balagtas"/>
    <s v="R3-2025-012195"/>
    <d v="2025-04-11T00:00:00"/>
    <m/>
    <d v="2025-04-15T00:00:00"/>
    <d v="2025-04-21T00:00:00"/>
    <n v="1"/>
    <s v=""/>
    <n v="2"/>
    <n v="4"/>
    <s v="Received by Planning"/>
    <s v="MRF"/>
    <s v="OPERATIONAL"/>
    <s v="Technical Assistance"/>
    <m/>
  </r>
  <r>
    <x v="4"/>
    <x v="94"/>
    <s v="MBA"/>
    <s v="San Bartolome"/>
    <n v="2863"/>
    <n v="3456"/>
    <s v="CONDUCTED TECHNICAL ASSISTANCE"/>
    <n v="2025"/>
    <d v="2025-04-03T00:00:00"/>
    <x v="4"/>
    <s v="Elyza A. Evilla"/>
    <m/>
    <s v="Yves Yshmael M. Balagtas"/>
    <s v="R3-2025-011238"/>
    <d v="2025-04-03T00:00:00"/>
    <m/>
    <d v="2025-04-21T00:00:00"/>
    <d v="2025-04-22T00:00:00"/>
    <n v="1"/>
    <s v=""/>
    <n v="12"/>
    <n v="1"/>
    <s v="Received by Planning"/>
    <s v="MRF"/>
    <s v="OPERATIONAL"/>
    <s v="Technical Assistance"/>
    <m/>
  </r>
  <r>
    <x v="4"/>
    <x v="94"/>
    <s v="MBA"/>
    <s v="San Matias"/>
    <n v="12399"/>
    <n v="13769"/>
    <s v="NO TECHNICAL ASSISTANCE CONDUCTED"/>
    <m/>
    <m/>
    <x v="0"/>
    <s v="Elyza A. Evilla"/>
    <m/>
    <s v="Yves Yshmael M. Balagtas"/>
    <m/>
    <m/>
    <m/>
    <m/>
    <m/>
    <s v=""/>
    <s v=""/>
    <s v=""/>
    <s v=""/>
    <m/>
    <m/>
    <m/>
    <m/>
    <m/>
  </r>
  <r>
    <x v="4"/>
    <x v="94"/>
    <s v="MBA"/>
    <s v="San Vicente"/>
    <n v="11005"/>
    <n v="10048"/>
    <s v="NO TECHNICAL ASSISTANCE CONDUCTED"/>
    <m/>
    <m/>
    <x v="0"/>
    <s v="Elyza A. Evilla"/>
    <m/>
    <s v="Yves Yshmael M. Balagtas"/>
    <m/>
    <m/>
    <m/>
    <m/>
    <m/>
    <s v=""/>
    <s v=""/>
    <s v=""/>
    <s v=""/>
    <m/>
    <m/>
    <m/>
    <m/>
    <m/>
  </r>
  <r>
    <x v="4"/>
    <x v="94"/>
    <s v="MBA"/>
    <s v="Santo Rosario"/>
    <n v="2170"/>
    <n v="2642"/>
    <s v="NO TECHNICAL ASSISTANCE CONDUCTED"/>
    <m/>
    <m/>
    <x v="0"/>
    <s v="Elyza A. Evilla"/>
    <m/>
    <s v="Yves Yshmael M. Balagtas"/>
    <m/>
    <m/>
    <m/>
    <m/>
    <m/>
    <s v=""/>
    <s v=""/>
    <s v=""/>
    <s v=""/>
    <m/>
    <m/>
    <m/>
    <m/>
    <m/>
  </r>
  <r>
    <x v="4"/>
    <x v="94"/>
    <s v="MBA"/>
    <s v="Sapa"/>
    <n v="3146"/>
    <n v="4310"/>
    <s v="CONDUCTED TECHNICAL ASSISTANCE"/>
    <n v="2025"/>
    <d v="2025-05-14T00:00:00"/>
    <x v="6"/>
    <s v="Elyza A. Evilla"/>
    <m/>
    <s v="Yves Yshmael M. Balagtas"/>
    <s v="R3-2025-016276"/>
    <d v="2025-05-15T00:00:00"/>
    <m/>
    <d v="2025-05-16T00:00:00"/>
    <d v="2025-05-16T00:00:00"/>
    <n v="1"/>
    <s v=""/>
    <n v="1"/>
    <n v="1"/>
    <s v="Received by Planning"/>
    <s v="MRF"/>
    <s v="NON-OPERATIONAL"/>
    <s v="Technical Assistance"/>
    <m/>
  </r>
  <r>
    <x v="4"/>
    <x v="95"/>
    <s v="MBA"/>
    <s v="Batang 1st"/>
    <n v="292"/>
    <n v="299"/>
    <s v="NO TECHNICAL ASSISTANCE CONDUCTED"/>
    <m/>
    <m/>
    <x v="0"/>
    <s v="Ivy M. Castro"/>
    <m/>
    <s v="Yves Yshmael M. Balagtas"/>
    <m/>
    <m/>
    <m/>
    <m/>
    <m/>
    <s v=""/>
    <s v=""/>
    <s v=""/>
    <s v=""/>
    <m/>
    <m/>
    <m/>
    <m/>
    <m/>
  </r>
  <r>
    <x v="4"/>
    <x v="95"/>
    <s v="MBA"/>
    <s v="Batang 2nd"/>
    <n v="1223"/>
    <n v="1222"/>
    <s v="NO TECHNICAL ASSISTANCE CONDUCTED"/>
    <m/>
    <m/>
    <x v="0"/>
    <s v="Ivy M. Castro"/>
    <m/>
    <s v="Yves Yshmael M. Balagtas"/>
    <m/>
    <m/>
    <m/>
    <m/>
    <m/>
    <s v=""/>
    <s v=""/>
    <s v=""/>
    <s v=""/>
    <m/>
    <m/>
    <m/>
    <m/>
    <m/>
  </r>
  <r>
    <x v="4"/>
    <x v="95"/>
    <s v="MBA"/>
    <s v="Mabuanbuan"/>
    <n v="886"/>
    <n v="900"/>
    <s v="NO TECHNICAL ASSISTANCE CONDUCTED"/>
    <m/>
    <m/>
    <x v="0"/>
    <s v="Ivy M. Castro"/>
    <m/>
    <s v="Yves Yshmael M. Balagtas"/>
    <m/>
    <m/>
    <m/>
    <m/>
    <m/>
    <s v=""/>
    <s v=""/>
    <s v=""/>
    <s v=""/>
    <m/>
    <m/>
    <m/>
    <m/>
    <m/>
  </r>
  <r>
    <x v="4"/>
    <x v="95"/>
    <s v="MBA"/>
    <s v="Malusac"/>
    <n v="2488"/>
    <n v="2461"/>
    <s v="NO TECHNICAL ASSISTANCE CONDUCTED"/>
    <m/>
    <m/>
    <x v="0"/>
    <s v="Ivy M. Castro"/>
    <m/>
    <s v="Yves Yshmael M. Balagtas"/>
    <m/>
    <m/>
    <m/>
    <m/>
    <m/>
    <s v=""/>
    <s v=""/>
    <s v=""/>
    <s v=""/>
    <m/>
    <m/>
    <m/>
    <m/>
    <m/>
  </r>
  <r>
    <x v="4"/>
    <x v="95"/>
    <s v="MBA"/>
    <s v="Sabitanan"/>
    <n v="1373"/>
    <n v="1453"/>
    <s v="NO TECHNICAL ASSISTANCE CONDUCTED"/>
    <m/>
    <m/>
    <x v="0"/>
    <s v="Ivy M. Castro"/>
    <m/>
    <s v="Yves Yshmael M. Balagtas"/>
    <m/>
    <m/>
    <m/>
    <m/>
    <m/>
    <s v=""/>
    <s v=""/>
    <s v=""/>
    <s v=""/>
    <m/>
    <m/>
    <m/>
    <m/>
    <m/>
  </r>
  <r>
    <x v="4"/>
    <x v="95"/>
    <s v="MBA"/>
    <s v="San Antonio"/>
    <n v="2317"/>
    <n v="2539"/>
    <s v="CONDUCTED TECHNICAL ASSISTANCE"/>
    <n v="2025"/>
    <d v="2025-04-10T00:00:00"/>
    <x v="4"/>
    <s v="Ivy M. Castro"/>
    <m/>
    <s v="Yves Yshmael M. Balagtas"/>
    <s v="R3-2025-012460"/>
    <d v="2025-04-12T00:00:00"/>
    <m/>
    <d v="2025-04-21T00:00:00"/>
    <d v="2025-04-22T00:00:00"/>
    <n v="1"/>
    <s v=""/>
    <n v="5"/>
    <n v="1"/>
    <s v="Received by Planning"/>
    <s v="MRS"/>
    <s v="OPERATIONAL"/>
    <s v="Technical Assistance"/>
    <m/>
  </r>
  <r>
    <x v="4"/>
    <x v="95"/>
    <s v="MBA"/>
    <s v="San Nicolas 1st"/>
    <n v="2625"/>
    <n v="2687"/>
    <s v="NO TECHNICAL ASSISTANCE CONDUCTED"/>
    <m/>
    <m/>
    <x v="0"/>
    <s v="Ivy M. Castro"/>
    <m/>
    <s v="Yves Yshmael M. Balagtas"/>
    <m/>
    <m/>
    <m/>
    <m/>
    <m/>
    <s v=""/>
    <s v=""/>
    <s v=""/>
    <s v=""/>
    <m/>
    <m/>
    <m/>
    <m/>
    <m/>
  </r>
  <r>
    <x v="4"/>
    <x v="95"/>
    <s v="MBA"/>
    <s v="San Nicolas 2nd"/>
    <n v="3065"/>
    <n v="1678"/>
    <s v="CONDUCTED TECHNICAL ASSISTANCE"/>
    <n v="2025"/>
    <d v="2025-03-14T00:00:00"/>
    <x v="1"/>
    <s v="Ivy M. Castro"/>
    <m/>
    <s v="Yves Yshmael M. Balagtas"/>
    <s v="R3-2025-009106"/>
    <d v="2025-03-18T00:00:00"/>
    <m/>
    <d v="2025-03-18T00:00:00"/>
    <d v="2025-03-18T00:00:00"/>
    <n v="2"/>
    <s v=""/>
    <n v="1"/>
    <n v="1"/>
    <s v="Received by Planning"/>
    <s v="NO FACILITY"/>
    <s v="CATER BY LGU"/>
    <s v="Technical Assistance"/>
    <m/>
  </r>
  <r>
    <x v="4"/>
    <x v="95"/>
    <s v="MBA"/>
    <s v="San Pedro"/>
    <n v="3210"/>
    <n v="5111"/>
    <s v="CONDUCTED TECHNICAL ASSISTANCE"/>
    <n v="2024"/>
    <d v="2024-10-11T00:00:00"/>
    <x v="5"/>
    <s v="Ivy M. Castro"/>
    <m/>
    <s v="Yves Yshmael M. Balagtas"/>
    <m/>
    <m/>
    <m/>
    <m/>
    <m/>
    <s v=""/>
    <s v=""/>
    <s v=""/>
    <s v=""/>
    <m/>
    <s v="MRF"/>
    <s v="OPERATIONAL"/>
    <s v="Technical Assistance"/>
    <m/>
  </r>
  <r>
    <x v="4"/>
    <x v="95"/>
    <s v="MBA"/>
    <s v="Santa Lucia (Pob.)"/>
    <n v="3490"/>
    <n v="3538"/>
    <s v="CONDUCTED TECHNICAL ASSISTANCE"/>
    <n v="2024"/>
    <d v="2024-05-02T00:00:00"/>
    <x v="0"/>
    <s v="Ivy M. Castro"/>
    <m/>
    <s v="Yves Yshmael M. Balagtas"/>
    <m/>
    <m/>
    <m/>
    <m/>
    <m/>
    <s v=""/>
    <s v=""/>
    <s v=""/>
    <s v=""/>
    <m/>
    <m/>
    <m/>
    <s v="Technical Assistance"/>
    <m/>
  </r>
  <r>
    <x v="4"/>
    <x v="95"/>
    <s v="MBA"/>
    <s v="Santa Monica"/>
    <n v="3829"/>
    <n v="3961"/>
    <s v="CONDUCTED TECHNICAL ASSISTANCE"/>
    <n v="2025"/>
    <d v="2025-04-10T00:00:00"/>
    <x v="4"/>
    <s v="Ivy M. Castro"/>
    <m/>
    <s v="Yves Yshmael M. Balagtas"/>
    <s v="R3-2025-012507"/>
    <d v="2025-04-13T00:00:00"/>
    <m/>
    <d v="2025-04-15T00:00:00"/>
    <d v="2025-04-21T00:00:00"/>
    <n v="1"/>
    <s v=""/>
    <n v="1"/>
    <n v="4"/>
    <s v="Received by Planning"/>
    <s v="NO FACILITY"/>
    <s v="CATER BY LGU"/>
    <s v="Technical Assistance"/>
    <m/>
  </r>
  <r>
    <x v="4"/>
    <x v="95"/>
    <s v="MBA"/>
    <s v="Santo Tomas"/>
    <n v="3206"/>
    <n v="3227"/>
    <s v="NO TECHNICAL ASSISTANCE CONDUCTED"/>
    <m/>
    <m/>
    <x v="0"/>
    <s v="Ivy M. Castro"/>
    <m/>
    <s v="Yves Yshmael M. Balagtas"/>
    <m/>
    <m/>
    <m/>
    <m/>
    <m/>
    <s v=""/>
    <s v=""/>
    <s v=""/>
    <s v=""/>
    <m/>
    <m/>
    <m/>
    <m/>
    <m/>
  </r>
  <r>
    <x v="4"/>
    <x v="96"/>
    <s v="MBA"/>
    <s v="San Agustin"/>
    <n v="3251"/>
    <n v="3308"/>
    <s v="CONDUCTED TECHNICAL ASSISTANCE"/>
    <n v="2024"/>
    <d v="2024-09-04T00:00:00"/>
    <x v="0"/>
    <s v="Roger T. Encarnacion II"/>
    <m/>
    <s v="Yves Yshmael M. Balagtas"/>
    <m/>
    <m/>
    <m/>
    <m/>
    <m/>
    <s v=""/>
    <s v=""/>
    <s v=""/>
    <s v=""/>
    <m/>
    <m/>
    <m/>
    <m/>
    <m/>
  </r>
  <r>
    <x v="4"/>
    <x v="96"/>
    <s v="MBA"/>
    <s v="San Bartolome"/>
    <n v="1795"/>
    <n v="2774"/>
    <s v="NO TECHNICAL ASSISTANCE CONDUCTED"/>
    <m/>
    <m/>
    <x v="0"/>
    <s v="Roger T. Encarnacion II"/>
    <m/>
    <s v="Yves Yshmael M. Balagtas"/>
    <m/>
    <m/>
    <m/>
    <m/>
    <m/>
    <s v=""/>
    <s v=""/>
    <s v=""/>
    <s v=""/>
    <m/>
    <m/>
    <m/>
    <m/>
    <m/>
  </r>
  <r>
    <x v="4"/>
    <x v="96"/>
    <s v="MBA"/>
    <s v="San Isidro"/>
    <n v="5938"/>
    <n v="5485"/>
    <s v="NO TECHNICAL ASSISTANCE CONDUCTED"/>
    <m/>
    <m/>
    <x v="0"/>
    <s v="Roger T. Encarnacion II"/>
    <m/>
    <s v="Yves Yshmael M. Balagtas"/>
    <m/>
    <m/>
    <m/>
    <m/>
    <m/>
    <s v=""/>
    <s v=""/>
    <s v=""/>
    <s v=""/>
    <m/>
    <m/>
    <m/>
    <m/>
    <m/>
  </r>
  <r>
    <x v="4"/>
    <x v="96"/>
    <s v="MBA"/>
    <s v="San Joaquin (Pob.)"/>
    <n v="4240"/>
    <n v="3143"/>
    <s v="NO TECHNICAL ASSISTANCE CONDUCTED"/>
    <m/>
    <m/>
    <x v="0"/>
    <s v="Roger T. Encarnacion II"/>
    <m/>
    <s v="Yves Yshmael M. Balagtas"/>
    <m/>
    <m/>
    <m/>
    <m/>
    <m/>
    <s v=""/>
    <s v=""/>
    <s v=""/>
    <s v=""/>
    <m/>
    <m/>
    <m/>
    <m/>
    <m/>
  </r>
  <r>
    <x v="4"/>
    <x v="96"/>
    <s v="MBA"/>
    <s v="San Jose"/>
    <n v="1733"/>
    <n v="2110"/>
    <s v="NO TECHNICAL ASSISTANCE CONDUCTED"/>
    <m/>
    <m/>
    <x v="0"/>
    <s v="Roger T. Encarnacion II"/>
    <m/>
    <s v="Yves Yshmael M. Balagtas"/>
    <m/>
    <m/>
    <m/>
    <m/>
    <m/>
    <s v=""/>
    <s v=""/>
    <s v=""/>
    <s v=""/>
    <m/>
    <m/>
    <m/>
    <m/>
    <m/>
  </r>
  <r>
    <x v="4"/>
    <x v="96"/>
    <s v="MBA"/>
    <s v="San Juan"/>
    <n v="2491"/>
    <n v="2823"/>
    <s v="NO TECHNICAL ASSISTANCE CONDUCTED"/>
    <m/>
    <m/>
    <x v="0"/>
    <s v="Roger T. Encarnacion II"/>
    <m/>
    <s v="Yves Yshmael M. Balagtas"/>
    <m/>
    <m/>
    <m/>
    <m/>
    <m/>
    <s v=""/>
    <s v=""/>
    <s v=""/>
    <s v=""/>
    <m/>
    <m/>
    <m/>
    <m/>
    <m/>
  </r>
  <r>
    <x v="4"/>
    <x v="96"/>
    <s v="MBA"/>
    <s v="San Nicolas"/>
    <n v="5147"/>
    <n v="8651"/>
    <s v="NO TECHNICAL ASSISTANCE CONDUCTED"/>
    <m/>
    <m/>
    <x v="0"/>
    <s v="Roger T. Encarnacion II"/>
    <m/>
    <s v="Yves Yshmael M. Balagtas"/>
    <m/>
    <m/>
    <m/>
    <m/>
    <m/>
    <s v=""/>
    <s v=""/>
    <s v=""/>
    <s v=""/>
    <m/>
    <m/>
    <m/>
    <m/>
    <m/>
  </r>
  <r>
    <x v="4"/>
    <x v="96"/>
    <s v="MBA"/>
    <s v="San Pablo"/>
    <n v="4859"/>
    <n v="4949"/>
    <s v="CONDUCTED TECHNICAL ASSISTANCE"/>
    <n v="2024"/>
    <d v="2024-09-04T00:00:00"/>
    <x v="0"/>
    <s v="Roger T. Encarnacion II"/>
    <m/>
    <s v="Yves Yshmael M. Balagtas"/>
    <m/>
    <m/>
    <m/>
    <m/>
    <m/>
    <s v=""/>
    <s v=""/>
    <s v=""/>
    <s v=""/>
    <m/>
    <s v="MRF"/>
    <s v="NON-OPERATIONAL"/>
    <s v="Technical Assistance"/>
    <m/>
  </r>
  <r>
    <x v="4"/>
    <x v="96"/>
    <s v="MBA"/>
    <s v="San Pedro"/>
    <n v="1910"/>
    <n v="2279"/>
    <s v="CONDUCTED TECHNICAL ASSISTANCE"/>
    <n v="2025"/>
    <d v="2025-04-11T00:00:00"/>
    <x v="4"/>
    <s v="Roger T. Encarnacion II"/>
    <m/>
    <s v="Yves Yshmael M. Balagtas"/>
    <s v="R3-2025-012494"/>
    <d v="2025-04-13T00:00:00"/>
    <m/>
    <d v="2025-04-15T00:00:00"/>
    <d v="2025-04-21T00:00:00"/>
    <n v="1"/>
    <s v=""/>
    <n v="1"/>
    <n v="4"/>
    <s v="Received by Planning"/>
    <s v="NO FACILITY"/>
    <s v="CATER BY LGU"/>
    <s v="Technical Assistance"/>
    <m/>
  </r>
  <r>
    <x v="4"/>
    <x v="96"/>
    <s v="MBA"/>
    <s v="San Roque"/>
    <n v="3800"/>
    <n v="4065"/>
    <s v="CONDUCTED TECHNICAL ASSISTANCE"/>
    <n v="2025"/>
    <d v="2025-02-11T00:00:00"/>
    <x v="3"/>
    <s v="Roger T. Encarnacion II"/>
    <m/>
    <s v="Yves Yshmael M. Balagtas"/>
    <s v="R3-2025-005424"/>
    <d v="2025-02-14T00:00:00"/>
    <m/>
    <d v="2025-02-17T00:00:00"/>
    <d v="2025-02-18T00:00:00"/>
    <n v="3"/>
    <s v=""/>
    <n v="1"/>
    <n v="1"/>
    <s v="Received by Planning"/>
    <s v="MRF"/>
    <s v="NON-OPERATIONAL"/>
    <s v="Technical Assistance"/>
    <m/>
  </r>
  <r>
    <x v="4"/>
    <x v="96"/>
    <s v="MBA"/>
    <s v="Santa Lucia"/>
    <n v="7393"/>
    <n v="7872"/>
    <s v="CONDUCTED TECHNICAL ASSISTANCE"/>
    <n v="2024"/>
    <d v="2024-09-04T00:00:00"/>
    <x v="0"/>
    <s v="Roger T. Encarnacion II"/>
    <m/>
    <s v="Yves Yshmael M. Balagtas"/>
    <m/>
    <m/>
    <m/>
    <m/>
    <m/>
    <s v=""/>
    <s v=""/>
    <s v=""/>
    <s v=""/>
    <m/>
    <s v="MRF"/>
    <s v="NON-OPERATIONAL"/>
    <s v="Technical Assistance"/>
    <m/>
  </r>
  <r>
    <x v="4"/>
    <x v="96"/>
    <s v="MBA"/>
    <s v="Santa Maria"/>
    <n v="6764"/>
    <n v="8143"/>
    <s v="NO TECHNICAL ASSISTANCE CONDUCTED"/>
    <m/>
    <m/>
    <x v="0"/>
    <s v="Roger T. Encarnacion II"/>
    <m/>
    <s v="Yves Yshmael M. Balagtas"/>
    <m/>
    <m/>
    <m/>
    <m/>
    <m/>
    <s v=""/>
    <s v=""/>
    <s v=""/>
    <s v=""/>
    <m/>
    <m/>
    <m/>
    <m/>
    <m/>
  </r>
  <r>
    <x v="4"/>
    <x v="96"/>
    <s v="MBA"/>
    <s v="Santiago"/>
    <n v="4237"/>
    <n v="3995"/>
    <s v="CONDUCTED TECHNICAL ASSISTANCE"/>
    <n v="2025"/>
    <d v="2025-03-07T00:00:00"/>
    <x v="1"/>
    <s v="Roger T. Encarnacion II"/>
    <m/>
    <s v="Yves Yshmael M. Balagtas"/>
    <s v="R3-2025-009208"/>
    <d v="2025-03-18T00:00:00"/>
    <m/>
    <d v="2025-03-18T00:00:00"/>
    <d v="2025-03-19T00:00:00"/>
    <n v="7"/>
    <s v=""/>
    <n v="1"/>
    <n v="1"/>
    <s v="Received by Planning"/>
    <s v="MRF"/>
    <s v="OPERATIONAL"/>
    <s v="Technical Assistance"/>
    <m/>
  </r>
  <r>
    <x v="4"/>
    <x v="96"/>
    <s v="MBA"/>
    <s v="Santo Rosario"/>
    <n v="1620"/>
    <n v="1940"/>
    <s v="NO TECHNICAL ASSISTANCE CONDUCTED"/>
    <m/>
    <m/>
    <x v="0"/>
    <s v="Roger T. Encarnacion II"/>
    <m/>
    <s v="Yves Yshmael M. Balagtas"/>
    <m/>
    <m/>
    <m/>
    <m/>
    <m/>
    <s v=""/>
    <s v=""/>
    <s v=""/>
    <s v=""/>
    <m/>
    <m/>
    <m/>
    <m/>
    <m/>
  </r>
  <r>
    <x v="4"/>
    <x v="97"/>
    <s v="MBA"/>
    <s v="Becuran"/>
    <n v="3847"/>
    <n v="4285"/>
    <s v="CONDUCTED TECHNICAL ASSISTANCE"/>
    <n v="2025"/>
    <d v="2025-02-12T00:00:00"/>
    <x v="3"/>
    <s v="Ivy M. Castro"/>
    <m/>
    <s v="Yves Yshmael M. Balagtas"/>
    <s v="R3-2025-005817"/>
    <d v="2025-02-17T00:00:00"/>
    <m/>
    <d v="2025-02-18T00:00:00"/>
    <d v="2025-02-19T00:00:00"/>
    <n v="3"/>
    <s v=""/>
    <n v="1"/>
    <n v="1"/>
    <s v="Received by Planning"/>
    <s v="NO FACILITY"/>
    <s v="CATER BY LGU"/>
    <s v="Technical Assistance"/>
    <m/>
  </r>
  <r>
    <x v="4"/>
    <x v="97"/>
    <s v="MBA"/>
    <s v="Dila-dila"/>
    <n v="9481"/>
    <n v="10449"/>
    <s v="NO TECHNICAL ASSISTANCE CONDUCTED"/>
    <m/>
    <m/>
    <x v="0"/>
    <s v="Ivy M. Castro"/>
    <m/>
    <s v="Yves Yshmael M. Balagtas"/>
    <m/>
    <m/>
    <m/>
    <m/>
    <m/>
    <s v=""/>
    <s v=""/>
    <s v=""/>
    <s v=""/>
    <m/>
    <m/>
    <m/>
    <m/>
    <m/>
  </r>
  <r>
    <x v="4"/>
    <x v="97"/>
    <s v="MBA"/>
    <s v="San Agustin"/>
    <n v="3113"/>
    <n v="3792"/>
    <s v="CONDUCTED TECHNICAL ASSISTANCE"/>
    <n v="2025"/>
    <d v="2025-07-16T00:00:00"/>
    <x v="8"/>
    <s v="Ivy M. Castro"/>
    <s v="Jan Emerson C. Gonzales"/>
    <s v="Yves Yshmael M. Balagtas"/>
    <s v="R3-2025-023797"/>
    <d v="2025-07-16T00:00:00"/>
    <d v="2025-07-18T00:00:00"/>
    <d v="2025-07-18T00:00:00"/>
    <d v="2025-07-18T00:00:00"/>
    <n v="1"/>
    <n v="2"/>
    <n v="1"/>
    <n v="1"/>
    <s v="Received by Planning"/>
    <s v="NO FACILITY"/>
    <s v="CATER BY LGU"/>
    <s v="Technical Assistance"/>
    <m/>
  </r>
  <r>
    <x v="4"/>
    <x v="97"/>
    <s v="MBA"/>
    <s v="San Basilio"/>
    <n v="8407"/>
    <n v="11823"/>
    <s v="CONDUCTED TECHNICAL ASSISTANCE"/>
    <n v="2025"/>
    <d v="2025-08-07T00:00:00"/>
    <x v="9"/>
    <s v="Ivy M. Castro"/>
    <s v="Jan Emerson C. Gonzales"/>
    <s v="Yves Yshmael M. Balagtas"/>
    <s v="R3-2025-026448"/>
    <d v="2025-08-08T00:00:00"/>
    <d v="2025-08-12T00:00:00"/>
    <d v="2025-08-15T00:00:00"/>
    <d v="2025-08-19T00:00:00"/>
    <n v="1"/>
    <n v="2"/>
    <n v="3"/>
    <n v="2"/>
    <s v="Received by Planning"/>
    <s v="NO FACILITY"/>
    <s v="CATER BY LGU"/>
    <s v="Technical Assistance"/>
    <m/>
  </r>
  <r>
    <x v="4"/>
    <x v="97"/>
    <s v="MBA"/>
    <s v="San Isidro"/>
    <n v="3653"/>
    <n v="3956"/>
    <s v="CONDUCTED TECHNICAL ASSISTANCE"/>
    <n v="2025"/>
    <d v="2025-08-07T00:00:00"/>
    <x v="9"/>
    <s v="Ivy M. Castro"/>
    <s v="Jan Emerson C. Gonzales"/>
    <s v="Yves Yshmael M. Balagtas"/>
    <s v="R3-2025-026447"/>
    <d v="2025-08-08T00:00:00"/>
    <d v="2025-08-11T00:00:00"/>
    <d v="2025-08-12T00:00:00"/>
    <d v="2025-08-14T00:00:00"/>
    <n v="1"/>
    <n v="1"/>
    <n v="1"/>
    <n v="2"/>
    <s v="Received by Planning"/>
    <s v="NO FACILITY"/>
    <s v="CATER BY LGU"/>
    <s v="Technical Assistance"/>
    <m/>
  </r>
  <r>
    <x v="4"/>
    <x v="97"/>
    <s v="MBA"/>
    <s v="San Jose (Pob.)"/>
    <n v="2627"/>
    <n v="3002"/>
    <s v="CONDUCTED TECHNICAL ASSISTANCE"/>
    <n v="2025"/>
    <d v="2025-06-25T00:00:00"/>
    <x v="8"/>
    <s v="Ivy M. Castro"/>
    <s v="Jan Emerson C. Gonzales"/>
    <s v="Yves Yshmael M. Balagtas"/>
    <s v="R3-2025-021481"/>
    <d v="2025-06-30T00:00:00"/>
    <d v="2025-07-09T00:00:00"/>
    <d v="2025-07-16T00:00:00"/>
    <d v="2025-07-17T00:00:00"/>
    <n v="3"/>
    <n v="7"/>
    <n v="5"/>
    <n v="1"/>
    <s v="Received by Planning"/>
    <s v="NO FACILITY"/>
    <s v="CATER BY LGU"/>
    <s v="Technical Assistance"/>
    <m/>
  </r>
  <r>
    <x v="4"/>
    <x v="97"/>
    <s v="MBA"/>
    <s v="San Juan"/>
    <n v="2330"/>
    <n v="2994"/>
    <s v="CONDUCTED TECHNICAL ASSISTANCE"/>
    <n v="2025"/>
    <d v="2025-08-07T00:00:00"/>
    <x v="9"/>
    <s v="Ivy M. Castro"/>
    <s v="Jan Emerson C. Gonzales"/>
    <s v="Yves Yshmael M. Balagtas"/>
    <s v="R3-2025-026450"/>
    <d v="2025-08-08T00:00:00"/>
    <d v="2025-08-12T00:00:00"/>
    <d v="2025-08-15T00:00:00"/>
    <d v="2025-08-19T00:00:00"/>
    <n v="1"/>
    <n v="2"/>
    <n v="3"/>
    <n v="2"/>
    <s v="Received by Planning"/>
    <s v="NO FACILITY"/>
    <s v="CATER BY LGU"/>
    <s v="Technical Assistance"/>
    <m/>
  </r>
  <r>
    <x v="4"/>
    <x v="97"/>
    <s v="MBA"/>
    <s v="San Matias"/>
    <n v="3312"/>
    <n v="3577"/>
    <s v="NO TECHNICAL ASSISTANCE CONDUCTED"/>
    <m/>
    <m/>
    <x v="0"/>
    <s v="Ivy M. Castro"/>
    <m/>
    <s v="Yves Yshmael M. Balagtas"/>
    <m/>
    <m/>
    <m/>
    <m/>
    <m/>
    <s v=""/>
    <s v=""/>
    <s v=""/>
    <s v=""/>
    <m/>
    <s v="NO FACILITY"/>
    <s v="CATER BY LGU"/>
    <s v="Technical Assistance"/>
    <m/>
  </r>
  <r>
    <x v="4"/>
    <x v="97"/>
    <s v="MBA"/>
    <s v="San Vicente"/>
    <n v="1231"/>
    <n v="1268"/>
    <s v="CONDUCTED TECHNICAL ASSISTANCE"/>
    <n v="2025"/>
    <d v="2025-06-13T00:00:00"/>
    <x v="10"/>
    <s v="Ivy M. Castro"/>
    <s v="Jan Emerson C. Gonzales"/>
    <s v="Yves Yshmael M. Balagtas"/>
    <s v="R3-2025-019586"/>
    <d v="2025-06-13T00:00:00"/>
    <m/>
    <d v="2025-06-18T00:00:00"/>
    <d v="2025-06-18T00:00:00"/>
    <n v="1"/>
    <s v=""/>
    <n v="3"/>
    <n v="1"/>
    <s v="Received by Planning"/>
    <s v="NO FACILITY"/>
    <s v="CATER BY LGU"/>
    <s v="Technical Assistance"/>
    <m/>
  </r>
  <r>
    <x v="4"/>
    <x v="97"/>
    <s v="MBA"/>
    <s v="Santa Monica"/>
    <n v="2978"/>
    <n v="3063"/>
    <s v="CONDUCTED TECHNICAL ASSISTANCE"/>
    <n v="2025"/>
    <d v="2025-07-16T00:00:00"/>
    <x v="8"/>
    <s v="Ivy M. Castro"/>
    <s v="Jan Emerson C. Gonzales"/>
    <s v="Yves Yshmael M. Balagtas"/>
    <s v="R3-2025-023798"/>
    <d v="2025-07-16T00:00:00"/>
    <d v="2025-07-18T00:00:00"/>
    <d v="2025-07-18T00:00:00"/>
    <d v="2025-07-18T00:00:00"/>
    <n v="1"/>
    <n v="2"/>
    <n v="1"/>
    <n v="1"/>
    <s v="Received by Planning"/>
    <s v="NO FACILITY"/>
    <s v="CATER BY LGU"/>
    <s v="Technical Assistance"/>
    <m/>
  </r>
  <r>
    <x v="5"/>
    <x v="98"/>
    <s v="MBA"/>
    <s v="Casili"/>
    <n v="961"/>
    <n v="1037"/>
    <s v="CONDUCTED TECHNICAL ASSISTANCE"/>
    <n v="2025"/>
    <d v="2025-09-17T00:00:00"/>
    <x v="7"/>
    <s v="Jasper Keith B. Pili"/>
    <m/>
    <s v="Rod Ross S. De Jesus"/>
    <s v="R3-2025-031587"/>
    <d v="2025-09-18T00:00:00"/>
    <m/>
    <d v="2025-09-18T00:00:00"/>
    <d v="2025-09-19T00:00:00"/>
    <n v="1"/>
    <s v=""/>
    <n v="1"/>
    <n v="1"/>
    <s v="Received by Planning"/>
    <s v="MRF"/>
    <s v="OPERATIONAL"/>
    <s v="Technical Assistance"/>
    <m/>
  </r>
  <r>
    <x v="5"/>
    <x v="98"/>
    <s v="MBA"/>
    <s v="Baguindoc"/>
    <n v="361"/>
    <n v="415"/>
    <s v="NO TECHNICAL ASSISTANCE CONDUCTED"/>
    <m/>
    <m/>
    <x v="0"/>
    <s v="Jasper Keith B. Pili"/>
    <m/>
    <s v="Rod Ross S. De Jesus"/>
    <m/>
    <m/>
    <m/>
    <m/>
    <m/>
    <s v=""/>
    <s v=""/>
    <s v=""/>
    <s v=""/>
    <m/>
    <m/>
    <m/>
    <m/>
    <m/>
  </r>
  <r>
    <x v="5"/>
    <x v="98"/>
    <s v="MBA"/>
    <s v="Bantog"/>
    <n v="657"/>
    <n v="616"/>
    <s v="NO TECHNICAL ASSISTANCE CONDUCTED"/>
    <m/>
    <m/>
    <x v="0"/>
    <s v="Jasper Keith B. Pili"/>
    <m/>
    <s v="Rod Ross S. De Jesus"/>
    <m/>
    <m/>
    <m/>
    <m/>
    <m/>
    <s v=""/>
    <s v=""/>
    <s v=""/>
    <s v=""/>
    <m/>
    <m/>
    <m/>
    <m/>
    <m/>
  </r>
  <r>
    <x v="5"/>
    <x v="98"/>
    <s v="MBA"/>
    <s v="Campos"/>
    <n v="343"/>
    <n v="387"/>
    <s v="NO TECHNICAL ASSISTANCE CONDUCTED"/>
    <m/>
    <m/>
    <x v="0"/>
    <s v="Jasper Keith B. Pili"/>
    <m/>
    <s v="Rod Ross S. De Jesus"/>
    <m/>
    <m/>
    <m/>
    <m/>
    <m/>
    <s v=""/>
    <s v=""/>
    <s v=""/>
    <s v=""/>
    <m/>
    <m/>
    <m/>
    <m/>
    <m/>
  </r>
  <r>
    <x v="5"/>
    <x v="98"/>
    <s v="MBA"/>
    <s v="Carmen"/>
    <n v="725"/>
    <n v="798"/>
    <s v="CONDUCTED TECHNICAL ASSISTANCE"/>
    <n v="2025"/>
    <d v="2025-03-13T00:00:00"/>
    <x v="1"/>
    <s v="Jasper Keith B. Pili"/>
    <m/>
    <s v="Rod Ross S. De Jesus"/>
    <s v="R3-2025-008945"/>
    <d v="2025-03-16T00:00:00"/>
    <m/>
    <d v="2025-03-18T00:00:00"/>
    <d v="2025-03-18T00:00:00"/>
    <n v="1"/>
    <s v=""/>
    <n v="1"/>
    <n v="1"/>
    <s v="Received by Planning"/>
    <s v="MRF"/>
    <s v="OPERATIONAL"/>
    <s v="Technical Assistance"/>
    <m/>
  </r>
  <r>
    <x v="5"/>
    <x v="98"/>
    <s v="MBA"/>
    <s v="Hernando"/>
    <n v="449"/>
    <n v="458"/>
    <s v="CONDUCTED TECHNICAL ASSISTANCE"/>
    <n v="2025"/>
    <d v="2025-09-17T00:00:00"/>
    <x v="7"/>
    <s v="Jasper Keith B. Pili"/>
    <m/>
    <s v="Rod Ross S. De Jesus"/>
    <s v="R3-2025-031588"/>
    <d v="2025-09-18T00:00:00"/>
    <m/>
    <d v="2025-09-18T00:00:00"/>
    <d v="2025-09-19T00:00:00"/>
    <n v="1"/>
    <s v=""/>
    <n v="1"/>
    <n v="1"/>
    <s v="Received by Planning"/>
    <s v="MRF"/>
    <s v="OPERATIONAL"/>
    <s v="Technical Assistance"/>
    <m/>
  </r>
  <r>
    <x v="5"/>
    <x v="98"/>
    <s v="MBA"/>
    <s v="Don Ramon"/>
    <n v="418"/>
    <n v="445"/>
    <s v="CONDUCTED TECHNICAL ASSISTANCE"/>
    <n v="2025"/>
    <d v="2025-06-13T00:00:00"/>
    <x v="10"/>
    <s v="Jasper Keith B. Pili"/>
    <m/>
    <s v="Rod Ross S. De Jesus"/>
    <s v="R3-2025-019644"/>
    <d v="2025-06-15T00:00:00"/>
    <m/>
    <d v="2025-06-16T00:00:00"/>
    <d v="2025-06-16T00:00:00"/>
    <n v="1"/>
    <s v=""/>
    <n v="1"/>
    <n v="1"/>
    <s v="Received by Planning"/>
    <s v="MRF"/>
    <s v="OPERATIONAL"/>
    <s v="Technical Assistance"/>
    <m/>
  </r>
  <r>
    <x v="5"/>
    <x v="98"/>
    <s v="MBA"/>
    <s v="Poblacion"/>
    <n v="356"/>
    <n v="372"/>
    <s v="CONDUCTED TECHNICAL ASSISTANCE"/>
    <n v="2025"/>
    <d v="2025-06-13T00:00:00"/>
    <x v="10"/>
    <s v="Jasper Keith B. Pili"/>
    <m/>
    <s v="Rod Ross S. De Jesus"/>
    <s v="R3-2025-019645"/>
    <d v="2025-06-15T00:00:00"/>
    <m/>
    <d v="2025-06-16T00:00:00"/>
    <d v="2025-06-16T00:00:00"/>
    <n v="1"/>
    <s v=""/>
    <n v="1"/>
    <n v="1"/>
    <s v="Received by Planning"/>
    <s v="MRF"/>
    <s v="OPERATIONAL"/>
    <s v="Technical Assistance"/>
    <m/>
  </r>
  <r>
    <x v="5"/>
    <x v="98"/>
    <s v="MBA"/>
    <s v="Rizal"/>
    <n v="854"/>
    <n v="879"/>
    <s v="NO TECHNICAL ASSISTANCE CONDUCTED"/>
    <m/>
    <m/>
    <x v="0"/>
    <s v="Jasper Keith B. Pili"/>
    <m/>
    <s v="Rod Ross S. De Jesus"/>
    <m/>
    <m/>
    <m/>
    <m/>
    <m/>
    <s v=""/>
    <s v=""/>
    <s v=""/>
    <s v=""/>
    <m/>
    <m/>
    <m/>
    <m/>
    <m/>
  </r>
  <r>
    <x v="5"/>
    <x v="98"/>
    <s v="MBA"/>
    <s v="San Francisco East"/>
    <n v="617"/>
    <n v="641"/>
    <s v="NO TECHNICAL ASSISTANCE CONDUCTED"/>
    <m/>
    <m/>
    <x v="0"/>
    <s v="Jasper Keith B. Pili"/>
    <m/>
    <s v="Rod Ross S. De Jesus"/>
    <m/>
    <m/>
    <m/>
    <m/>
    <m/>
    <s v=""/>
    <s v=""/>
    <s v=""/>
    <s v=""/>
    <m/>
    <m/>
    <m/>
    <m/>
    <m/>
  </r>
  <r>
    <x v="5"/>
    <x v="98"/>
    <s v="MBA"/>
    <s v="San Francisco West"/>
    <n v="1107"/>
    <n v="1168"/>
    <s v="NO TECHNICAL ASSISTANCE CONDUCTED"/>
    <m/>
    <m/>
    <x v="0"/>
    <s v="Jasper Keith B. Pili"/>
    <m/>
    <s v="Rod Ross S. De Jesus"/>
    <s v=" "/>
    <m/>
    <m/>
    <m/>
    <m/>
    <s v=""/>
    <s v=""/>
    <s v=""/>
    <s v=""/>
    <m/>
    <m/>
    <m/>
    <m/>
    <m/>
  </r>
  <r>
    <x v="5"/>
    <x v="98"/>
    <s v="MBA"/>
    <s v="San Jose North"/>
    <n v="411"/>
    <n v="409"/>
    <s v="CONDUCTED TECHNICAL ASSISTANCE"/>
    <n v="2025"/>
    <d v="2025-04-04T00:00:00"/>
    <x v="4"/>
    <s v="Jasper Keith B. Pili"/>
    <m/>
    <s v="Rod Ross S. De Jesus"/>
    <s v="R3-2025-011430"/>
    <d v="2025-04-06T00:00:00"/>
    <m/>
    <d v="2025-04-07T00:00:00"/>
    <d v="2025-04-10T00:00:00"/>
    <n v="1"/>
    <s v=""/>
    <n v="1"/>
    <n v="3"/>
    <s v="Received by Planning"/>
    <s v="MRF"/>
    <s v="OPERATIONAL"/>
    <s v="Technical Assistance"/>
    <m/>
  </r>
  <r>
    <x v="5"/>
    <x v="98"/>
    <s v="MBA"/>
    <s v="San Jose South"/>
    <n v="405"/>
    <n v="462"/>
    <s v="CONDUCTED TECHNICAL ASSISTANCE"/>
    <n v="2025"/>
    <d v="2025-04-04T00:00:00"/>
    <x v="4"/>
    <s v="Jasper Keith B. Pili"/>
    <m/>
    <s v="Rod Ross S. De Jesus"/>
    <s v="R3-2025-011433"/>
    <d v="2025-04-06T00:00:00"/>
    <m/>
    <d v="2025-04-07T00:00:00"/>
    <d v="2025-04-10T00:00:00"/>
    <n v="1"/>
    <s v=""/>
    <n v="1"/>
    <n v="3"/>
    <s v="Received by Planning"/>
    <s v="MRF"/>
    <s v="UNDER CONSTRUCTION"/>
    <s v="Technical Assistance"/>
    <m/>
  </r>
  <r>
    <x v="5"/>
    <x v="98"/>
    <s v="MBA"/>
    <s v="San Juan"/>
    <n v="494"/>
    <n v="449"/>
    <s v="CONDUCTED TECHNICAL ASSISTANCE"/>
    <n v="2025"/>
    <d v="2025-05-16T00:00:00"/>
    <x v="6"/>
    <s v="Jasper Keith B. Pili"/>
    <m/>
    <s v="Rod Ross S. De Jesus"/>
    <s v="R3-2025-016488"/>
    <d v="2025-05-19T00:00:00"/>
    <m/>
    <d v="2025-05-19T00:00:00"/>
    <d v="2025-05-19T00:00:00"/>
    <n v="1"/>
    <s v=""/>
    <n v="1"/>
    <n v="1"/>
    <s v="Received by Planning"/>
    <s v="MRF"/>
    <s v="OPERATIONAL"/>
    <s v="Technical Assistance"/>
    <m/>
  </r>
  <r>
    <x v="5"/>
    <x v="98"/>
    <s v="MBA"/>
    <s v="San Roque"/>
    <n v="853"/>
    <n v="917"/>
    <s v="CONDUCTED TECHNICAL ASSISTANCE"/>
    <n v="2025"/>
    <d v="2025-03-13T00:00:00"/>
    <x v="1"/>
    <s v="Jasper Keith B. Pili"/>
    <m/>
    <s v="Rod Ross S. De Jesus"/>
    <s v="R3-2025-008948"/>
    <d v="2025-03-16T00:00:00"/>
    <m/>
    <d v="2025-03-18T00:00:00"/>
    <d v="2025-03-18T00:00:00"/>
    <n v="1"/>
    <s v=""/>
    <n v="1"/>
    <n v="1"/>
    <s v="Received by Planning"/>
    <s v="MRF"/>
    <s v="OPERATIONAL"/>
    <s v="Technical Assistance"/>
    <m/>
  </r>
  <r>
    <x v="5"/>
    <x v="98"/>
    <s v="MBA"/>
    <s v="Santo Domingo"/>
    <n v="387"/>
    <n v="450"/>
    <s v="CONDUCTED TECHNICAL ASSISTANCE"/>
    <n v="2024"/>
    <d v="2024-10-17T00:00:00"/>
    <x v="0"/>
    <s v="Jasper Keith B. Pili"/>
    <m/>
    <s v="Rod Ross S. De Jesus"/>
    <m/>
    <m/>
    <m/>
    <m/>
    <m/>
    <s v=""/>
    <s v=""/>
    <s v=""/>
    <s v=""/>
    <m/>
    <s v="MRS"/>
    <s v="OPERATIONAL"/>
    <s v="Technical Assistance"/>
    <m/>
  </r>
  <r>
    <x v="5"/>
    <x v="98"/>
    <s v="MBA"/>
    <s v="Sinense"/>
    <n v="1115"/>
    <n v="1227"/>
    <s v="CONDUCTED TECHNICAL ASSISTANCE"/>
    <n v="2024"/>
    <d v="2024-06-06T00:00:00"/>
    <x v="0"/>
    <s v="Jasper Keith B. Pili"/>
    <m/>
    <s v="Rod Ross S. De Jesus"/>
    <m/>
    <m/>
    <m/>
    <m/>
    <m/>
    <s v=""/>
    <s v=""/>
    <s v=""/>
    <s v=""/>
    <m/>
    <m/>
    <m/>
    <s v="Technical Assistance"/>
    <m/>
  </r>
  <r>
    <x v="5"/>
    <x v="98"/>
    <s v="MBA"/>
    <s v="Suaverdez"/>
    <n v="1015"/>
    <n v="1078"/>
    <s v="NO TECHNICAL ASSISTANCE CONDUCTED"/>
    <m/>
    <m/>
    <x v="0"/>
    <s v="Jasper Keith B. Pili"/>
    <m/>
    <s v="Rod Ross S. De Jesus"/>
    <m/>
    <m/>
    <m/>
    <m/>
    <m/>
    <s v=""/>
    <s v=""/>
    <s v=""/>
    <s v=""/>
    <m/>
    <m/>
    <m/>
    <m/>
    <m/>
  </r>
  <r>
    <x v="5"/>
    <x v="99"/>
    <s v="MBA"/>
    <s v="Anupul"/>
    <n v="19762"/>
    <n v="21794"/>
    <s v="CONDUCTED TECHNICAL ASSISTANCE"/>
    <n v="2025"/>
    <d v="2025-03-14T00:00:00"/>
    <x v="1"/>
    <s v="Gretzhen M. Apolonio"/>
    <m/>
    <s v="Rod Ross S. De Jesus"/>
    <s v="R3-2025-009052"/>
    <d v="2025-03-17T00:00:00"/>
    <m/>
    <d v="2025-03-18T00:00:00"/>
    <d v="2025-03-18T00:00:00"/>
    <n v="1"/>
    <s v=""/>
    <n v="1"/>
    <n v="1"/>
    <s v="Received by Planning"/>
    <s v="NO FACILITY"/>
    <s v="CATER BY LGU"/>
    <s v="Technical Assistance"/>
    <m/>
  </r>
  <r>
    <x v="5"/>
    <x v="99"/>
    <s v="MBA"/>
    <s v="Banaba"/>
    <n v="801"/>
    <n v="1115"/>
    <s v="NO TECHNICAL ASSISTANCE CONDUCTED"/>
    <m/>
    <m/>
    <x v="0"/>
    <s v="Gretzhen M. Apolonio"/>
    <m/>
    <s v="Rod Ross S. De Jesus"/>
    <m/>
    <m/>
    <m/>
    <m/>
    <m/>
    <s v=""/>
    <s v=""/>
    <s v=""/>
    <s v=""/>
    <m/>
    <m/>
    <m/>
    <m/>
    <m/>
  </r>
  <r>
    <x v="5"/>
    <x v="99"/>
    <s v="MBA"/>
    <s v="Bangcu"/>
    <n v="191"/>
    <n v="266"/>
    <s v="NO TECHNICAL ASSISTANCE CONDUCTED"/>
    <m/>
    <m/>
    <x v="0"/>
    <s v="Gretzhen M. Apolonio"/>
    <m/>
    <s v="Rod Ross S. De Jesus"/>
    <m/>
    <m/>
    <m/>
    <m/>
    <m/>
    <s v=""/>
    <s v=""/>
    <s v=""/>
    <s v=""/>
    <m/>
    <m/>
    <m/>
    <m/>
    <m/>
  </r>
  <r>
    <x v="5"/>
    <x v="99"/>
    <s v="MBA"/>
    <s v="Culubasa"/>
    <n v="271"/>
    <n v="434"/>
    <s v="NO TECHNICAL ASSISTANCE CONDUCTED"/>
    <m/>
    <m/>
    <x v="0"/>
    <s v="Gretzhen M. Apolonio"/>
    <m/>
    <s v="Rod Ross S. De Jesus"/>
    <m/>
    <m/>
    <m/>
    <m/>
    <m/>
    <s v=""/>
    <s v=""/>
    <s v=""/>
    <s v=""/>
    <m/>
    <m/>
    <m/>
    <m/>
    <m/>
  </r>
  <r>
    <x v="5"/>
    <x v="99"/>
    <s v="MBA"/>
    <s v="Dela Cruz"/>
    <n v="2292"/>
    <n v="2381"/>
    <s v="NO TECHNICAL ASSISTANCE CONDUCTED"/>
    <m/>
    <m/>
    <x v="0"/>
    <s v="Gretzhen M. Apolonio"/>
    <m/>
    <s v="Rod Ross S. De Jesus"/>
    <m/>
    <m/>
    <m/>
    <m/>
    <m/>
    <s v=""/>
    <s v=""/>
    <s v=""/>
    <s v=""/>
    <m/>
    <m/>
    <m/>
    <m/>
    <m/>
  </r>
  <r>
    <x v="5"/>
    <x v="99"/>
    <s v="MBA"/>
    <s v="La Paz"/>
    <n v="1135"/>
    <n v="1349"/>
    <s v="NO TECHNICAL ASSISTANCE CONDUCTED"/>
    <m/>
    <m/>
    <x v="0"/>
    <s v="Gretzhen M. Apolonio"/>
    <m/>
    <s v="Rod Ross S. De Jesus"/>
    <m/>
    <m/>
    <m/>
    <m/>
    <m/>
    <s v=""/>
    <s v=""/>
    <s v=""/>
    <s v=""/>
    <m/>
    <m/>
    <m/>
    <m/>
    <m/>
  </r>
  <r>
    <x v="5"/>
    <x v="99"/>
    <s v="MBA"/>
    <s v="Lourdes"/>
    <n v="5420"/>
    <n v="6671"/>
    <s v="CONDUCTED TECHNICAL ASSISTANCE"/>
    <n v="2025"/>
    <d v="2025-03-04T00:00:00"/>
    <x v="1"/>
    <s v="Gretzhen M. Apolonio"/>
    <m/>
    <s v="Rod Ross S. De Jesus"/>
    <s v="R3-2025-009069"/>
    <d v="2025-03-17T00:00:00"/>
    <m/>
    <d v="2025-03-18T00:00:00"/>
    <d v="2025-03-18T00:00:00"/>
    <n v="9"/>
    <s v=""/>
    <n v="1"/>
    <n v="1"/>
    <s v="Received by Planning"/>
    <s v="NO FACILITY"/>
    <s v="CATER BY LGU"/>
    <s v="Technical Assistance"/>
    <m/>
  </r>
  <r>
    <x v="5"/>
    <x v="99"/>
    <s v="MBA"/>
    <s v="Malonzo"/>
    <n v="34"/>
    <n v="40"/>
    <s v="NO TECHNICAL ASSISTANCE CONDUCTED"/>
    <m/>
    <m/>
    <x v="0"/>
    <s v="Gretzhen M. Apolonio"/>
    <m/>
    <s v="Rod Ross S. De Jesus"/>
    <m/>
    <m/>
    <m/>
    <m/>
    <m/>
    <s v=""/>
    <s v=""/>
    <s v=""/>
    <s v=""/>
    <m/>
    <m/>
    <m/>
    <m/>
    <m/>
  </r>
  <r>
    <x v="5"/>
    <x v="99"/>
    <s v="MBA"/>
    <s v="San Nicolas (Pob.)"/>
    <n v="19739"/>
    <n v="19777"/>
    <s v="CONDUCTED TECHNICAL ASSISTANCE"/>
    <n v="2025"/>
    <d v="2025-03-04T00:00:00"/>
    <x v="1"/>
    <s v="Gretzhen M. Apolonio"/>
    <m/>
    <s v="Rod Ross S. De Jesus"/>
    <s v="R3-2025-008247"/>
    <d v="2025-03-10T00:00:00"/>
    <m/>
    <d v="2025-03-11T00:00:00"/>
    <d v="2025-03-14T00:00:00"/>
    <n v="4"/>
    <s v=""/>
    <n v="1"/>
    <n v="3"/>
    <s v="Received by Planning"/>
    <s v="NO FACILITY"/>
    <s v="Not Applicable"/>
    <s v="Technical Assistance"/>
    <m/>
  </r>
  <r>
    <x v="5"/>
    <x v="99"/>
    <s v="MBA"/>
    <s v="San Pedro"/>
    <n v="189"/>
    <n v="480"/>
    <s v="NO TECHNICAL ASSISTANCE CONDUCTED"/>
    <m/>
    <m/>
    <x v="0"/>
    <s v="Gretzhen M. Apolonio"/>
    <m/>
    <s v="Rod Ross S. De Jesus"/>
    <m/>
    <m/>
    <m/>
    <m/>
    <m/>
    <s v=""/>
    <s v=""/>
    <s v=""/>
    <s v=""/>
    <m/>
    <m/>
    <m/>
    <m/>
    <m/>
  </r>
  <r>
    <x v="5"/>
    <x v="99"/>
    <s v="MBA"/>
    <s v="San Rafael"/>
    <n v="2058"/>
    <n v="2906"/>
    <s v="NO TECHNICAL ASSISTANCE CONDUCTED"/>
    <m/>
    <m/>
    <x v="0"/>
    <s v="Gretzhen M. Apolonio"/>
    <m/>
    <s v="Rod Ross S. De Jesus"/>
    <m/>
    <m/>
    <m/>
    <m/>
    <m/>
    <s v=""/>
    <s v=""/>
    <s v=""/>
    <s v=""/>
    <m/>
    <m/>
    <m/>
    <m/>
    <m/>
  </r>
  <r>
    <x v="5"/>
    <x v="99"/>
    <s v="MBA"/>
    <s v="San Roque"/>
    <n v="10678"/>
    <n v="11986"/>
    <s v="CONDUCTED TECHNICAL ASSISTANCE"/>
    <n v="2025"/>
    <d v="2025-07-08T00:00:00"/>
    <x v="8"/>
    <s v="Gretzhen M. Apolonio"/>
    <m/>
    <s v="Rod Ross S. De Jesus"/>
    <s v="R3-2025-024051"/>
    <d v="2025-07-17T00:00:00"/>
    <m/>
    <d v="2025-07-18T00:00:00"/>
    <d v="2025-07-18T00:00:00"/>
    <n v="7"/>
    <s v=""/>
    <n v="1"/>
    <n v="1"/>
    <s v="Received by Planning"/>
    <s v="NO FACILITY"/>
    <s v="CATER BY LGU"/>
    <s v="Technical Assistance"/>
    <m/>
  </r>
  <r>
    <x v="5"/>
    <x v="99"/>
    <s v="MBA"/>
    <s v="San Vicente"/>
    <n v="2676"/>
    <n v="3772"/>
    <s v="NO TECHNICAL ASSISTANCE CONDUCTED"/>
    <m/>
    <m/>
    <x v="0"/>
    <s v="Gretzhen M. Apolonio"/>
    <m/>
    <s v="Rod Ross S. De Jesus"/>
    <m/>
    <m/>
    <m/>
    <m/>
    <m/>
    <s v=""/>
    <s v=""/>
    <s v=""/>
    <s v=""/>
    <m/>
    <m/>
    <m/>
    <m/>
    <m/>
  </r>
  <r>
    <x v="5"/>
    <x v="99"/>
    <s v="MBA"/>
    <s v="Santo Niño"/>
    <n v="2111"/>
    <n v="2419"/>
    <s v="CONDUCTED TECHNICAL ASSISTANCE"/>
    <n v="2025"/>
    <d v="2025-07-08T00:00:00"/>
    <x v="8"/>
    <s v="Gretzhen M. Apolonio"/>
    <m/>
    <s v="Rod Ross S. De Jesus"/>
    <s v="R3-2025-024052"/>
    <d v="2025-07-17T00:00:00"/>
    <m/>
    <d v="2025-07-18T00:00:00"/>
    <d v="2025-07-18T00:00:00"/>
    <n v="7"/>
    <s v=""/>
    <n v="1"/>
    <n v="1"/>
    <s v="Received by Planning"/>
    <s v="MRF"/>
    <s v="OPERATIONAL"/>
    <s v="Technical Assistance"/>
    <m/>
  </r>
  <r>
    <x v="5"/>
    <x v="99"/>
    <s v="MBA"/>
    <s v="Virgen de los Remedios"/>
    <n v="2109"/>
    <n v="2870"/>
    <s v="NO TECHNICAL ASSISTANCE CONDUCTED"/>
    <m/>
    <m/>
    <x v="0"/>
    <s v="Gretzhen M. Apolonio"/>
    <m/>
    <s v="Rod Ross S. De Jesus"/>
    <m/>
    <m/>
    <m/>
    <m/>
    <m/>
    <s v=""/>
    <s v=""/>
    <s v=""/>
    <s v=""/>
    <m/>
    <m/>
    <m/>
    <m/>
    <m/>
  </r>
  <r>
    <x v="5"/>
    <x v="100"/>
    <s v="OUTSIDE MBA"/>
    <s v="Anoling 1st"/>
    <n v="704"/>
    <n v="769"/>
    <s v="CONDUCTED TECHNICAL ASSISTANCE"/>
    <n v="2025"/>
    <d v="2025-05-13T00:00:00"/>
    <x v="6"/>
    <s v="Jasper Keith B. Pili"/>
    <m/>
    <s v="Rod Ross S. De Jesus"/>
    <s v="R3-2025-016219"/>
    <d v="2025-05-15T00:00:00"/>
    <m/>
    <d v="2025-05-16T00:00:00"/>
    <d v="2025-05-16T00:00:00"/>
    <n v="2"/>
    <s v=""/>
    <n v="1"/>
    <n v="1"/>
    <s v="Received by Planning"/>
    <s v="MRS"/>
    <s v="OPERATIONAL"/>
    <s v="Technical Assistance"/>
    <m/>
  </r>
  <r>
    <x v="5"/>
    <x v="100"/>
    <s v="OUTSIDE MBA"/>
    <s v="Anoling 2nd"/>
    <n v="864"/>
    <n v="864"/>
    <s v="CONDUCTED TECHNICAL ASSISTANCE"/>
    <n v="2025"/>
    <d v="2025-05-13T00:00:00"/>
    <x v="6"/>
    <s v="Jasper Keith B. Pili"/>
    <m/>
    <s v="Rod Ross S. De Jesus"/>
    <s v="R3-2025-016220"/>
    <d v="2025-05-15T00:00:00"/>
    <m/>
    <d v="2025-05-16T00:00:00"/>
    <d v="2025-05-16T00:00:00"/>
    <n v="2"/>
    <s v=""/>
    <n v="1"/>
    <n v="1"/>
    <s v="Received by Planning"/>
    <s v="MRS"/>
    <s v="OPERATIONAL"/>
    <s v="Technical Assistance"/>
    <m/>
  </r>
  <r>
    <x v="5"/>
    <x v="100"/>
    <s v="OUTSIDE MBA"/>
    <s v="Anoling 3rd"/>
    <n v="1329"/>
    <n v="1336"/>
    <s v="NO TECHNICAL ASSISTANCE CONDUCTED"/>
    <m/>
    <m/>
    <x v="0"/>
    <s v="Jasper Keith B. Pili"/>
    <m/>
    <s v="Rod Ross S. De Jesus"/>
    <m/>
    <m/>
    <m/>
    <m/>
    <m/>
    <s v=""/>
    <s v=""/>
    <s v=""/>
    <s v=""/>
    <m/>
    <m/>
    <m/>
    <m/>
    <m/>
  </r>
  <r>
    <x v="5"/>
    <x v="100"/>
    <s v="OUTSIDE MBA"/>
    <s v="Bacabac"/>
    <n v="2419"/>
    <n v="2694"/>
    <s v="NO TECHNICAL ASSISTANCE CONDUCTED"/>
    <m/>
    <m/>
    <x v="0"/>
    <s v="Jasper Keith B. Pili"/>
    <m/>
    <s v="Rod Ross S. De Jesus"/>
    <m/>
    <m/>
    <m/>
    <m/>
    <m/>
    <s v=""/>
    <s v=""/>
    <s v=""/>
    <s v=""/>
    <m/>
    <m/>
    <m/>
    <m/>
    <m/>
  </r>
  <r>
    <x v="5"/>
    <x v="100"/>
    <s v="OUTSIDE MBA"/>
    <s v="Bacsay"/>
    <n v="1066"/>
    <n v="1004"/>
    <s v="CONDUCTED TECHNICAL ASSISTANCE"/>
    <n v="2024"/>
    <d v="2024-05-07T00:00:00"/>
    <x v="0"/>
    <s v="Jasper Keith B. Pili"/>
    <m/>
    <s v="Rod Ross S. De Jesus"/>
    <m/>
    <m/>
    <m/>
    <m/>
    <m/>
    <s v=""/>
    <s v=""/>
    <s v=""/>
    <s v=""/>
    <m/>
    <s v="MRS"/>
    <s v="OPERATIONAL"/>
    <s v="Technical Assistance"/>
    <m/>
  </r>
  <r>
    <x v="5"/>
    <x v="100"/>
    <s v="OUTSIDE MBA"/>
    <s v="Bancay 1st"/>
    <n v="978"/>
    <n v="1079"/>
    <s v="CONDUCTED TECHNICAL ASSISTANCE"/>
    <n v="2025"/>
    <d v="2025-08-12T00:00:00"/>
    <x v="9"/>
    <s v="Jasper Keith B. Pili"/>
    <m/>
    <s v="Rod Ross S. De Jesus"/>
    <s v="R3-2025-027824"/>
    <d v="2025-08-17T00:00:00"/>
    <m/>
    <d v="2025-08-18T00:00:00"/>
    <d v="2025-08-19T00:00:00"/>
    <n v="3"/>
    <s v=""/>
    <n v="1"/>
    <n v="1"/>
    <s v="Received by Planning"/>
    <s v="MRS"/>
    <s v="OPERATIONAL"/>
    <s v="Technical Assistance"/>
    <m/>
  </r>
  <r>
    <x v="5"/>
    <x v="100"/>
    <s v="OUTSIDE MBA"/>
    <s v="Bilad"/>
    <n v="2748"/>
    <n v="3075"/>
    <s v="NO TECHNICAL ASSISTANCE CONDUCTED"/>
    <m/>
    <m/>
    <x v="0"/>
    <s v="Jasper Keith B. Pili"/>
    <m/>
    <s v="Rod Ross S. De Jesus"/>
    <m/>
    <m/>
    <m/>
    <m/>
    <m/>
    <s v=""/>
    <s v=""/>
    <s v=""/>
    <s v=""/>
    <m/>
    <m/>
    <m/>
    <m/>
    <m/>
  </r>
  <r>
    <x v="5"/>
    <x v="100"/>
    <s v="OUTSIDE MBA"/>
    <s v="Birbira"/>
    <n v="1234"/>
    <n v="1229"/>
    <s v="CONDUCTED TECHNICAL ASSISTANCE"/>
    <n v="2024"/>
    <d v="2024-04-17T00:00:00"/>
    <x v="0"/>
    <s v="Jasper Keith B. Pili"/>
    <m/>
    <s v="Rod Ross S. De Jesus"/>
    <m/>
    <m/>
    <m/>
    <m/>
    <m/>
    <s v=""/>
    <s v=""/>
    <s v=""/>
    <s v=""/>
    <m/>
    <s v="MRS"/>
    <s v="OPERATIONAL"/>
    <s v="Technical Assistance"/>
    <m/>
  </r>
  <r>
    <x v="5"/>
    <x v="100"/>
    <s v="OUTSIDE MBA"/>
    <s v="Bobon 1st"/>
    <n v="2584"/>
    <n v="2627"/>
    <s v="CONDUCTED TECHNICAL ASSISTANCE"/>
    <n v="2025"/>
    <d v="2025-08-05T00:00:00"/>
    <x v="9"/>
    <s v="Jasper Keith B. Pili"/>
    <m/>
    <s v="Rod Ross S. De Jesus"/>
    <s v="R3-2025-026490"/>
    <d v="2025-08-10T00:00:00"/>
    <m/>
    <d v="2025-08-12T00:00:00"/>
    <d v="2025-08-13T00:00:00"/>
    <n v="3"/>
    <s v=""/>
    <n v="1"/>
    <n v="1"/>
    <s v="Received by Planning"/>
    <s v="MRS"/>
    <s v="OPERATIONAL"/>
    <s v="Technical Assistance"/>
    <m/>
  </r>
  <r>
    <x v="5"/>
    <x v="100"/>
    <s v="OUTSIDE MBA"/>
    <s v="Bobon 2nd"/>
    <n v="1320"/>
    <n v="1319"/>
    <s v="CONDUCTED TECHNICAL ASSISTANCE"/>
    <n v="2025"/>
    <d v="2025-08-05T00:00:00"/>
    <x v="9"/>
    <s v="Jasper Keith B. Pili"/>
    <m/>
    <s v="Rod Ross S. De Jesus"/>
    <s v="R3-2025-026491"/>
    <d v="2025-08-10T00:00:00"/>
    <m/>
    <d v="2025-08-12T00:00:00"/>
    <d v="2025-08-13T00:00:00"/>
    <n v="3"/>
    <s v=""/>
    <n v="1"/>
    <n v="1"/>
    <s v="Received by Planning"/>
    <s v="MRS"/>
    <s v="OPERATIONAL"/>
    <s v="Technical Assistance"/>
    <m/>
  </r>
  <r>
    <x v="5"/>
    <x v="100"/>
    <s v="OUTSIDE MBA"/>
    <s v="Bobon Caarosipan"/>
    <n v="710"/>
    <n v="723"/>
    <s v="CONDUCTED TECHNICAL ASSISTANCE"/>
    <n v="2025"/>
    <d v="2025-08-05T00:00:00"/>
    <x v="9"/>
    <s v="Jasper Keith B. Pili"/>
    <m/>
    <s v="Rod Ross S. De Jesus"/>
    <s v="R3-2025-026494"/>
    <d v="2025-08-10T00:00:00"/>
    <m/>
    <d v="2025-08-12T00:00:00"/>
    <d v="2025-08-13T00:00:00"/>
    <n v="3"/>
    <s v=""/>
    <n v="1"/>
    <n v="1"/>
    <s v="Received by Planning"/>
    <s v="MRS"/>
    <s v="OPERATIONAL"/>
    <s v="Technical Assistance"/>
    <m/>
  </r>
  <r>
    <x v="5"/>
    <x v="100"/>
    <s v="OUTSIDE MBA"/>
    <s v="Cabanabaan"/>
    <n v="961"/>
    <n v="1057"/>
    <s v="CONDUCTED TECHNICAL ASSISTANCE"/>
    <n v="2025"/>
    <d v="2025-07-08T00:00:00"/>
    <x v="8"/>
    <s v="Jasper Keith B. Pili"/>
    <m/>
    <s v="Rod Ross S. De Jesus"/>
    <s v="R3-2025-020583"/>
    <d v="2025-07-11T00:00:00"/>
    <m/>
    <d v="2025-07-15T00:00:00"/>
    <d v="2025-07-17T00:00:00"/>
    <n v="3"/>
    <s v=""/>
    <n v="2"/>
    <n v="2"/>
    <s v="Received by Planning"/>
    <s v="MRS"/>
    <s v="OPERATIONAL"/>
    <s v="Technical Assistance"/>
    <m/>
  </r>
  <r>
    <x v="5"/>
    <x v="100"/>
    <s v="OUTSIDE MBA"/>
    <s v="Cacamilingan Norte"/>
    <n v="2564"/>
    <n v="2490"/>
    <s v="CONDUCTED TECHNICAL ASSISTANCE"/>
    <n v="2025"/>
    <d v="2025-04-11T00:00:00"/>
    <x v="4"/>
    <s v="Jasper Keith B. Pili"/>
    <m/>
    <s v="Rod Ross S. De Jesus"/>
    <s v="R3-2025-012523"/>
    <d v="2025-04-13T00:00:00"/>
    <m/>
    <d v="2025-04-14T00:00:00"/>
    <d v="2025-04-14T00:00:00"/>
    <n v="1"/>
    <s v=""/>
    <n v="1"/>
    <n v="1"/>
    <s v="Received by Planning"/>
    <s v="MRF"/>
    <s v="OPERATIONAL"/>
    <s v="Technical Assistance"/>
    <m/>
  </r>
  <r>
    <x v="5"/>
    <x v="100"/>
    <s v="OUTSIDE MBA"/>
    <s v="Cacamilingan Sur"/>
    <n v="2182"/>
    <n v="2275"/>
    <s v="CONDUCTED TECHNICAL ASSISTANCE"/>
    <n v="2025"/>
    <d v="2025-05-06T00:00:00"/>
    <x v="6"/>
    <s v="Jasper Keith B. Pili"/>
    <m/>
    <s v="Rod Ross S. De Jesus"/>
    <s v="R3-2025-015432"/>
    <d v="2025-05-07T00:00:00"/>
    <m/>
    <d v="2025-05-13T00:00:00"/>
    <d v="2025-05-15T00:00:00"/>
    <n v="1"/>
    <s v=""/>
    <n v="4"/>
    <n v="2"/>
    <s v="Received by Planning"/>
    <s v="MRS"/>
    <s v="OPERATIONAL"/>
    <s v="Technical Assistance"/>
    <m/>
  </r>
  <r>
    <x v="5"/>
    <x v="100"/>
    <s v="OUTSIDE MBA"/>
    <s v="Caniag"/>
    <n v="725"/>
    <n v="728"/>
    <s v="NO TECHNICAL ASSISTANCE CONDUCTED"/>
    <m/>
    <m/>
    <x v="0"/>
    <s v="Jasper Keith B. Pili"/>
    <m/>
    <s v="Rod Ross S. De Jesus"/>
    <m/>
    <m/>
    <m/>
    <m/>
    <m/>
    <s v=""/>
    <s v=""/>
    <s v=""/>
    <s v=""/>
    <m/>
    <m/>
    <m/>
    <m/>
    <m/>
  </r>
  <r>
    <x v="5"/>
    <x v="100"/>
    <s v="OUTSIDE MBA"/>
    <s v="Carael"/>
    <n v="886"/>
    <n v="1045"/>
    <s v="CONDUCTED TECHNICAL ASSISTANCE"/>
    <n v="2025"/>
    <d v="2025-09-24T00:00:00"/>
    <x v="5"/>
    <s v="Jasper Keith B. Pili"/>
    <m/>
    <s v="Jan Emerson C. Gonzales"/>
    <s v="R3-2025-032754"/>
    <d v="2025-09-29T00:00:00"/>
    <m/>
    <d v="2025-10-10T00:00:00"/>
    <d v="2025-10-10T00:00:00"/>
    <n v="3"/>
    <s v=""/>
    <n v="9"/>
    <n v="1"/>
    <s v="Received by Planning"/>
    <s v="MRS"/>
    <s v="OPERATIONAL"/>
    <s v="Technical Assistance"/>
    <m/>
  </r>
  <r>
    <x v="5"/>
    <x v="100"/>
    <s v="OUTSIDE MBA"/>
    <s v="Cayaoan"/>
    <n v="2100"/>
    <n v="2263"/>
    <s v="CONDUCTED TECHNICAL ASSISTANCE"/>
    <n v="2025"/>
    <d v="2025-09-24T00:00:00"/>
    <x v="5"/>
    <s v="Jasper Keith B. Pili"/>
    <m/>
    <s v="Jan Emerson C. Gonzales"/>
    <s v="R3-2025-032752"/>
    <d v="2025-09-29T00:00:00"/>
    <m/>
    <d v="2025-10-10T00:00:00"/>
    <d v="2025-10-10T00:00:00"/>
    <n v="3"/>
    <s v=""/>
    <n v="9"/>
    <n v="1"/>
    <s v="Received by Planning"/>
    <s v="MRS"/>
    <s v="OPERATIONAL"/>
    <s v="Technical Assistance"/>
    <m/>
  </r>
  <r>
    <x v="5"/>
    <x v="100"/>
    <s v="OUTSIDE MBA"/>
    <s v="Cayasan"/>
    <n v="250"/>
    <n v="278"/>
    <s v="NO TECHNICAL ASSISTANCE CONDUCTED"/>
    <m/>
    <m/>
    <x v="0"/>
    <s v="Jasper Keith B. Pili"/>
    <m/>
    <s v="Rod Ross S. De Jesus"/>
    <m/>
    <m/>
    <m/>
    <m/>
    <m/>
    <s v=""/>
    <s v=""/>
    <s v=""/>
    <s v=""/>
    <m/>
    <m/>
    <m/>
    <m/>
    <m/>
  </r>
  <r>
    <x v="5"/>
    <x v="100"/>
    <s v="OUTSIDE MBA"/>
    <s v="Florida"/>
    <n v="958"/>
    <n v="1040"/>
    <s v="CONDUCTED TECHNICAL ASSISTANCE"/>
    <n v="2025"/>
    <d v="2025-09-24T00:00:00"/>
    <x v="5"/>
    <s v="Jasper Keith B. Pili"/>
    <m/>
    <s v="Jan Emerson C. Gonzales"/>
    <s v="R3-2025-032760"/>
    <d v="2025-09-29T00:00:00"/>
    <m/>
    <d v="2025-10-10T00:00:00"/>
    <d v="2025-10-10T00:00:00"/>
    <n v="3"/>
    <s v=""/>
    <n v="9"/>
    <n v="1"/>
    <s v="Received by Planning"/>
    <s v="MRS"/>
    <s v="NON-OPERATIONAL"/>
    <s v="Technical Assistance"/>
    <m/>
  </r>
  <r>
    <x v="5"/>
    <x v="100"/>
    <s v="OUTSIDE MBA"/>
    <s v="Lasong"/>
    <n v="995"/>
    <n v="1188"/>
    <s v="CONDUCTED TECHNICAL ASSISTANCE"/>
    <n v="2025"/>
    <d v="2025-05-06T00:00:00"/>
    <x v="6"/>
    <s v="Jasper Keith B. Pili"/>
    <m/>
    <s v="Rod Ross S. De Jesus"/>
    <s v="R3-2025-015435"/>
    <d v="2025-05-07T00:00:00"/>
    <m/>
    <d v="2025-05-13T00:00:00"/>
    <d v="2025-05-15T00:00:00"/>
    <n v="1"/>
    <s v=""/>
    <n v="4"/>
    <n v="2"/>
    <s v="Received by Planning"/>
    <s v="MRS"/>
    <s v="OPERATIONAL"/>
    <s v="Technical Assistance"/>
    <m/>
  </r>
  <r>
    <x v="5"/>
    <x v="100"/>
    <s v="OUTSIDE MBA"/>
    <s v="Libueg"/>
    <n v="2426"/>
    <n v="2561"/>
    <s v="CONDUCTED TECHNICAL ASSISTANCE"/>
    <n v="2025"/>
    <d v="2025-05-06T00:00:00"/>
    <x v="6"/>
    <s v="Jasper Keith B. Pili"/>
    <m/>
    <s v="Rod Ross S. De Jesus"/>
    <s v="R3-2025-015436"/>
    <d v="2025-05-07T00:00:00"/>
    <m/>
    <d v="2025-05-14T00:00:00"/>
    <d v="2025-05-15T00:00:00"/>
    <n v="1"/>
    <s v=""/>
    <n v="5"/>
    <n v="1"/>
    <s v="Received by Planning"/>
    <s v="MRS"/>
    <s v="OPERATIONAL"/>
    <s v="Technical Assistance"/>
    <m/>
  </r>
  <r>
    <x v="5"/>
    <x v="100"/>
    <s v="OUTSIDE MBA"/>
    <s v="Malacampa"/>
    <n v="5467"/>
    <n v="5902"/>
    <s v="CONDUCTED TECHNICAL ASSISTANCE"/>
    <n v="2024"/>
    <d v="2024-11-07T00:00:00"/>
    <x v="0"/>
    <s v="Jasper Keith B. Pili"/>
    <m/>
    <s v="Rod Ross S. De Jesus"/>
    <m/>
    <m/>
    <m/>
    <m/>
    <m/>
    <s v=""/>
    <s v=""/>
    <s v=""/>
    <s v=""/>
    <m/>
    <m/>
    <m/>
    <m/>
    <m/>
  </r>
  <r>
    <x v="5"/>
    <x v="100"/>
    <s v="OUTSIDE MBA"/>
    <s v="Manaquem"/>
    <n v="629"/>
    <n v="608"/>
    <s v="CONDUCTED TECHNICAL ASSISTANCE"/>
    <n v="2025"/>
    <d v="2025-08-05T00:00:00"/>
    <x v="9"/>
    <s v="Jasper Keith B. Pili"/>
    <m/>
    <s v="Rod Ross S. De Jesus"/>
    <s v="R3-2025-026495"/>
    <d v="2025-08-10T00:00:00"/>
    <m/>
    <d v="2025-08-12T00:00:00"/>
    <d v="2025-08-13T00:00:00"/>
    <n v="3"/>
    <s v=""/>
    <n v="1"/>
    <n v="1"/>
    <s v="Received by Planning"/>
    <s v="MRS"/>
    <s v="OPERATIONAL"/>
    <s v="Technical Assistance"/>
    <m/>
  </r>
  <r>
    <x v="5"/>
    <x v="100"/>
    <s v="OUTSIDE MBA"/>
    <s v="Manupeg"/>
    <n v="306"/>
    <n v="378"/>
    <s v="NO TECHNICAL ASSISTANCE CONDUCTED"/>
    <m/>
    <m/>
    <x v="0"/>
    <s v="Jasper Keith B. Pili"/>
    <m/>
    <s v="Rod Ross S. De Jesus"/>
    <m/>
    <m/>
    <m/>
    <m/>
    <m/>
    <s v=""/>
    <s v=""/>
    <s v=""/>
    <s v=""/>
    <m/>
    <m/>
    <m/>
    <m/>
    <m/>
  </r>
  <r>
    <x v="5"/>
    <x v="100"/>
    <s v="OUTSIDE MBA"/>
    <s v="Marawi"/>
    <n v="1725"/>
    <n v="1898"/>
    <s v="CONDUCTED TECHNICAL ASSISTANCE"/>
    <n v="2025"/>
    <d v="2025-08-12T00:00:00"/>
    <x v="9"/>
    <s v="Jasper Keith B. Pili"/>
    <m/>
    <s v="Rod Ross S. De Jesus"/>
    <s v="R3-2025-027829"/>
    <d v="2025-08-17T00:00:00"/>
    <m/>
    <d v="2025-08-18T00:00:00"/>
    <d v="2025-08-19T00:00:00"/>
    <n v="3"/>
    <s v=""/>
    <n v="1"/>
    <n v="1"/>
    <s v="Received by Planning"/>
    <s v="MRS"/>
    <s v="OPERATIONAL"/>
    <s v="Technical Assistance"/>
    <m/>
  </r>
  <r>
    <x v="5"/>
    <x v="100"/>
    <s v="OUTSIDE MBA"/>
    <s v="Matubog"/>
    <n v="1597"/>
    <n v="1742"/>
    <s v="CONDUCTED TECHNICAL ASSISTANCE"/>
    <n v="2025"/>
    <d v="2025-08-12T00:00:00"/>
    <x v="9"/>
    <s v="Jasper Keith B. Pili"/>
    <m/>
    <s v="Rod Ross S. De Jesus"/>
    <s v="R3-2025-027825"/>
    <d v="2025-08-17T00:00:00"/>
    <m/>
    <d v="2025-08-18T00:00:00"/>
    <d v="2025-08-19T00:00:00"/>
    <n v="3"/>
    <s v=""/>
    <n v="1"/>
    <n v="1"/>
    <s v="Received by Planning"/>
    <s v="MRS"/>
    <s v="OPERATIONAL"/>
    <s v="Technical Assistance"/>
    <m/>
  </r>
  <r>
    <x v="5"/>
    <x v="100"/>
    <s v="OUTSIDE MBA"/>
    <s v="Nagrambacan"/>
    <n v="376"/>
    <n v="408"/>
    <s v="CONDUCTED TECHNICAL ASSISTANCE"/>
    <n v="2025"/>
    <d v="2025-08-05T00:00:00"/>
    <x v="9"/>
    <s v="Jasper Keith B. Pili"/>
    <m/>
    <s v="Rod Ross S. De Jesus"/>
    <s v="R3-2025-026496"/>
    <d v="2025-08-10T00:00:00"/>
    <m/>
    <d v="2025-08-12T00:00:00"/>
    <d v="2025-08-13T00:00:00"/>
    <n v="3"/>
    <s v=""/>
    <n v="1"/>
    <n v="1"/>
    <s v="Received by Planning"/>
    <s v="MRS"/>
    <s v="OPERATIONAL"/>
    <s v="Technical Assistance"/>
    <m/>
  </r>
  <r>
    <x v="5"/>
    <x v="100"/>
    <s v="OUTSIDE MBA"/>
    <s v="Nagserialan"/>
    <n v="1535"/>
    <n v="1546"/>
    <s v="CONDUCTED TECHNICAL ASSISTANCE"/>
    <n v="2025"/>
    <d v="2025-08-12T00:00:00"/>
    <x v="9"/>
    <s v="Jasper Keith B. Pili"/>
    <m/>
    <s v="Rod Ross S. De Jesus"/>
    <s v="R3-2025-027841"/>
    <d v="2025-08-17T00:00:00"/>
    <m/>
    <d v="2025-08-18T00:00:00"/>
    <d v="2025-08-19T00:00:00"/>
    <n v="3"/>
    <s v=""/>
    <n v="1"/>
    <n v="1"/>
    <s v="Received by Planning"/>
    <s v="MRS"/>
    <s v="OPERATIONAL"/>
    <s v="Technical Assistance"/>
    <m/>
  </r>
  <r>
    <x v="5"/>
    <x v="100"/>
    <s v="OUTSIDE MBA"/>
    <s v="Palimbo Proper"/>
    <n v="1014"/>
    <n v="1160"/>
    <s v="CONDUCTED TECHNICAL ASSISTANCE"/>
    <n v="2025"/>
    <d v="2025-04-11T00:00:00"/>
    <x v="4"/>
    <s v="Jasper Keith B. Pili"/>
    <m/>
    <s v="Rod Ross S. De Jesus"/>
    <s v="R3-2025-012524"/>
    <d v="2025-04-13T00:00:00"/>
    <m/>
    <d v="2025-04-14T00:00:00"/>
    <d v="2025-04-14T00:00:00"/>
    <n v="1"/>
    <s v=""/>
    <n v="1"/>
    <n v="1"/>
    <s v="Received by Planning"/>
    <s v="MRS"/>
    <s v="OPERATIONAL"/>
    <s v="Technical Assistance"/>
    <m/>
  </r>
  <r>
    <x v="5"/>
    <x v="100"/>
    <s v="OUTSIDE MBA"/>
    <s v="Palimbo-Caarosipan"/>
    <n v="3260"/>
    <n v="3476"/>
    <s v="CONDUCTED TECHNICAL ASSISTANCE"/>
    <n v="2025"/>
    <d v="2025-07-08T00:00:00"/>
    <x v="8"/>
    <s v="Jasper Keith B. Pili"/>
    <m/>
    <s v="Rod Ross S. De Jesus"/>
    <s v="R3-2025-023066"/>
    <d v="2025-07-11T00:00:00"/>
    <m/>
    <d v="2025-07-15T00:00:00"/>
    <d v="2025-07-17T00:00:00"/>
    <n v="3"/>
    <s v=""/>
    <n v="2"/>
    <n v="2"/>
    <s v="Received by Planning"/>
    <s v="MRS"/>
    <s v="OPERATIONAL"/>
    <s v="Technical Assistance"/>
    <m/>
  </r>
  <r>
    <x v="5"/>
    <x v="100"/>
    <s v="OUTSIDE MBA"/>
    <s v="Pao 1st"/>
    <n v="1066"/>
    <n v="1182"/>
    <s v="NO TECHNICAL ASSISTANCE CONDUCTED"/>
    <m/>
    <m/>
    <x v="0"/>
    <s v="Jasper Keith B. Pili"/>
    <m/>
    <s v="Rod Ross S. De Jesus"/>
    <m/>
    <m/>
    <m/>
    <m/>
    <m/>
    <s v=""/>
    <s v=""/>
    <s v=""/>
    <s v=""/>
    <m/>
    <m/>
    <m/>
    <m/>
    <m/>
  </r>
  <r>
    <x v="5"/>
    <x v="100"/>
    <s v="OUTSIDE MBA"/>
    <s v="Pao 2nd"/>
    <n v="504"/>
    <n v="507"/>
    <s v="NO TECHNICAL ASSISTANCE CONDUCTED"/>
    <m/>
    <m/>
    <x v="0"/>
    <s v="Jasper Keith B. Pili"/>
    <m/>
    <s v="Rod Ross S. De Jesus"/>
    <m/>
    <m/>
    <m/>
    <m/>
    <m/>
    <s v=""/>
    <s v=""/>
    <s v=""/>
    <s v=""/>
    <m/>
    <m/>
    <m/>
    <m/>
    <m/>
  </r>
  <r>
    <x v="5"/>
    <x v="100"/>
    <s v="OUTSIDE MBA"/>
    <s v="Pao 3rd"/>
    <n v="922"/>
    <n v="898"/>
    <s v="NO TECHNICAL ASSISTANCE CONDUCTED"/>
    <m/>
    <m/>
    <x v="0"/>
    <s v="Jasper Keith B. Pili"/>
    <m/>
    <s v="Rod Ross S. De Jesus"/>
    <m/>
    <m/>
    <m/>
    <m/>
    <m/>
    <s v=""/>
    <s v=""/>
    <s v=""/>
    <s v=""/>
    <m/>
    <m/>
    <m/>
    <m/>
    <m/>
  </r>
  <r>
    <x v="5"/>
    <x v="100"/>
    <s v="OUTSIDE MBA"/>
    <s v="Papaac"/>
    <n v="1001"/>
    <n v="1025"/>
    <s v="NO TECHNICAL ASSISTANCE CONDUCTED"/>
    <m/>
    <m/>
    <x v="0"/>
    <s v="Jasper Keith B. Pili"/>
    <m/>
    <s v="Rod Ross S. De Jesus"/>
    <m/>
    <m/>
    <m/>
    <m/>
    <m/>
    <s v=""/>
    <s v=""/>
    <s v=""/>
    <s v=""/>
    <m/>
    <m/>
    <m/>
    <m/>
    <m/>
  </r>
  <r>
    <x v="5"/>
    <x v="100"/>
    <s v="OUTSIDE MBA"/>
    <s v="Pindangan 1st"/>
    <n v="966"/>
    <n v="940"/>
    <s v="NO TECHNICAL ASSISTANCE CONDUCTED"/>
    <m/>
    <m/>
    <x v="0"/>
    <s v="Jasper Keith B. Pili"/>
    <m/>
    <m/>
    <m/>
    <m/>
    <m/>
    <m/>
    <m/>
    <s v=""/>
    <s v=""/>
    <s v=""/>
    <s v=""/>
    <m/>
    <m/>
    <m/>
    <m/>
    <m/>
  </r>
  <r>
    <x v="5"/>
    <x v="100"/>
    <s v="OUTSIDE MBA"/>
    <s v="Pindangan 2nd"/>
    <n v="1795"/>
    <n v="1880"/>
    <s v="CONDUCTED TECHNICAL ASSISTANCE"/>
    <n v="2025"/>
    <d v="2025-10-21T00:00:00"/>
    <x v="11"/>
    <s v="Jasper Keith B. Pili"/>
    <s v="Sherwin John Y. Loquellano"/>
    <s v="Jan Emerson C. Gonzales"/>
    <s v="R3-2025-037169"/>
    <d v="2025-11-06T00:00:00"/>
    <d v="2025-11-17T00:00:00"/>
    <d v="2025-11-17T00:00:00"/>
    <d v="2025-11-17T00:00:00"/>
    <n v="12"/>
    <n v="7"/>
    <n v="7"/>
    <n v="1"/>
    <s v="Received by Planning"/>
    <s v="MRS"/>
    <s v="OPERATIONAL"/>
    <s v="Technical Assistance"/>
    <m/>
  </r>
  <r>
    <x v="5"/>
    <x v="100"/>
    <s v="OUTSIDE MBA"/>
    <s v="Poblacion A"/>
    <n v="1260"/>
    <n v="1223"/>
    <s v="CONDUCTED TECHNICAL ASSISTANCE"/>
    <n v="2024"/>
    <d v="2024-09-10T00:00:00"/>
    <x v="0"/>
    <s v="Jasper Keith B. Pili"/>
    <m/>
    <s v="Rod Ross S. De Jesus"/>
    <m/>
    <m/>
    <m/>
    <m/>
    <m/>
    <s v=""/>
    <s v=""/>
    <s v=""/>
    <s v=""/>
    <m/>
    <s v="MRS"/>
    <s v="OPERATIONAL"/>
    <s v="Technical Assistance"/>
    <m/>
  </r>
  <r>
    <x v="5"/>
    <x v="100"/>
    <s v="OUTSIDE MBA"/>
    <s v="Poblacion B"/>
    <n v="1828"/>
    <n v="1841"/>
    <s v="CONDUCTED TECHNICAL ASSISTANCE"/>
    <n v="2024"/>
    <d v="2024-10-15T00:00:00"/>
    <x v="0"/>
    <s v="Jasper Keith B. Pili"/>
    <m/>
    <s v="Rod Ross S. De Jesus"/>
    <m/>
    <m/>
    <m/>
    <m/>
    <m/>
    <s v=""/>
    <s v=""/>
    <s v=""/>
    <s v=""/>
    <m/>
    <s v="MRS"/>
    <s v="OPERATIONAL"/>
    <s v="Technical Assistance"/>
    <m/>
  </r>
  <r>
    <x v="5"/>
    <x v="100"/>
    <s v="OUTSIDE MBA"/>
    <s v="Poblacion C"/>
    <n v="1192"/>
    <n v="1098"/>
    <s v="NO TECHNICAL ASSISTANCE CONDUCTED"/>
    <m/>
    <m/>
    <x v="0"/>
    <s v="Jasper Keith B. Pili"/>
    <m/>
    <s v="Rod Ross S. De Jesus"/>
    <m/>
    <m/>
    <m/>
    <m/>
    <m/>
    <s v=""/>
    <s v=""/>
    <s v=""/>
    <s v=""/>
    <m/>
    <m/>
    <m/>
    <m/>
    <m/>
  </r>
  <r>
    <x v="5"/>
    <x v="100"/>
    <s v="OUTSIDE MBA"/>
    <s v="Poblacion D"/>
    <n v="1090"/>
    <n v="1080"/>
    <s v="CONDUCTED TECHNICAL ASSISTANCE"/>
    <n v="2025"/>
    <d v="2025-02-04T00:00:00"/>
    <x v="3"/>
    <s v="Jasper Keith B. Pili"/>
    <m/>
    <s v="Rod Ross S. De Jesus"/>
    <s v="R3-2025-004522"/>
    <d v="2025-02-10T00:00:00"/>
    <m/>
    <d v="2025-02-10T00:00:00"/>
    <d v="2025-02-13T00:00:00"/>
    <n v="4"/>
    <s v=""/>
    <n v="1"/>
    <n v="3"/>
    <s v="Received by Planning"/>
    <s v="MRS"/>
    <s v="OPERATIONAL"/>
    <s v="Technical Assistance"/>
    <m/>
  </r>
  <r>
    <x v="5"/>
    <x v="100"/>
    <s v="OUTSIDE MBA"/>
    <s v="Poblacion E"/>
    <n v="1281"/>
    <n v="1325"/>
    <s v="CONDUCTED TECHNICAL ASSISTANCE"/>
    <n v="2025"/>
    <d v="2025-02-26T00:00:00"/>
    <x v="1"/>
    <s v="Jasper Keith B. Pili"/>
    <m/>
    <s v="Rod Ross S. De Jesus"/>
    <s v="R3-2025-006967"/>
    <d v="2025-02-27T00:00:00"/>
    <m/>
    <d v="2025-03-07T00:00:00"/>
    <d v="2025-03-07T00:00:00"/>
    <n v="1"/>
    <s v=""/>
    <n v="6"/>
    <n v="1"/>
    <s v="Received by Planning"/>
    <s v="MRS"/>
    <s v="NON-OPERATIONAL"/>
    <s v="Technical Assistance"/>
    <m/>
  </r>
  <r>
    <x v="5"/>
    <x v="100"/>
    <s v="OUTSIDE MBA"/>
    <s v="Poblacion F"/>
    <n v="1198"/>
    <n v="1139"/>
    <s v="CONDUCTED TECHNICAL ASSISTANCE"/>
    <n v="2025"/>
    <d v="2025-03-04T00:00:00"/>
    <x v="1"/>
    <s v="Jasper Keith B. Pili"/>
    <m/>
    <s v="Rod Ross S. De Jesus"/>
    <s v="R3-2025-008076"/>
    <d v="2025-03-10T00:00:00"/>
    <m/>
    <d v="2025-03-11T00:00:00"/>
    <d v="2025-03-14T00:00:00"/>
    <n v="4"/>
    <s v=""/>
    <n v="1"/>
    <n v="3"/>
    <s v="Received by Planning"/>
    <s v="MRS"/>
    <s v="OPERATIONAL"/>
    <s v="Technical Assistance"/>
    <m/>
  </r>
  <r>
    <x v="5"/>
    <x v="100"/>
    <s v="OUTSIDE MBA"/>
    <s v="Poblacion G"/>
    <n v="1193"/>
    <n v="1254"/>
    <s v="NO TECHNICAL ASSISTANCE CONDUCTED"/>
    <m/>
    <m/>
    <x v="0"/>
    <s v="Jasper Keith B. Pili"/>
    <m/>
    <s v="Rod Ross S. De Jesus"/>
    <m/>
    <m/>
    <m/>
    <m/>
    <m/>
    <s v=""/>
    <s v=""/>
    <s v=""/>
    <s v=""/>
    <m/>
    <m/>
    <m/>
    <m/>
    <m/>
  </r>
  <r>
    <x v="5"/>
    <x v="100"/>
    <s v="OUTSIDE MBA"/>
    <s v="Poblacion H"/>
    <n v="1204"/>
    <n v="1100"/>
    <s v="CONDUCTED TECHNICAL ASSISTANCE"/>
    <n v="2025"/>
    <d v="2025-03-04T00:00:00"/>
    <x v="3"/>
    <s v="Jasper Keith B. Pili"/>
    <m/>
    <s v="Rod Ross S. De Jesus"/>
    <s v="R3-2025-008079"/>
    <d v="2025-03-10T00:00:00"/>
    <m/>
    <d v="2025-03-11T00:00:00"/>
    <d v="2025-03-14T00:00:00"/>
    <n v="4"/>
    <s v=""/>
    <n v="1"/>
    <n v="3"/>
    <s v="Received by Planning"/>
    <s v="MRS"/>
    <s v="NON-OPERATIONAL"/>
    <s v="Technical Assistance"/>
    <m/>
  </r>
  <r>
    <x v="5"/>
    <x v="100"/>
    <s v="OUTSIDE MBA"/>
    <s v="Poblacion I"/>
    <n v="1067"/>
    <n v="1090"/>
    <s v="CONDUCTED TECHNICAL ASSISTANCE"/>
    <n v="2025"/>
    <d v="2025-02-04T00:00:00"/>
    <x v="3"/>
    <s v="Jasper Keith B. Pili"/>
    <m/>
    <s v="Rod Ross S. De Jesus"/>
    <s v="R3-2025-004526"/>
    <d v="2025-02-10T00:00:00"/>
    <m/>
    <d v="2025-02-10T00:00:00"/>
    <d v="2025-02-13T00:00:00"/>
    <n v="4"/>
    <s v=""/>
    <n v="1"/>
    <n v="3"/>
    <s v="Received by Planning"/>
    <s v="MRS"/>
    <s v="OPERATIONAL"/>
    <s v="Technical Assistance"/>
    <m/>
  </r>
  <r>
    <x v="5"/>
    <x v="100"/>
    <s v="OUTSIDE MBA"/>
    <s v="Poblacion J"/>
    <n v="660"/>
    <n v="670"/>
    <s v="CONDUCTED TECHNICAL ASSISTANCE"/>
    <n v="2025"/>
    <d v="2025-02-04T00:00:00"/>
    <x v="3"/>
    <s v="Jasper Keith B. Pili"/>
    <m/>
    <s v="Rod Ross S. De Jesus"/>
    <s v="R3-2025-004536"/>
    <d v="2025-02-10T00:00:00"/>
    <m/>
    <d v="2025-02-10T00:00:00"/>
    <d v="2025-02-13T00:00:00"/>
    <n v="4"/>
    <s v=""/>
    <n v="1"/>
    <n v="3"/>
    <s v="Received by Planning"/>
    <s v="MRS"/>
    <s v="OPERATIONAL"/>
    <s v="Technical Assistance"/>
    <m/>
  </r>
  <r>
    <x v="5"/>
    <x v="100"/>
    <s v="OUTSIDE MBA"/>
    <s v="San Isidro"/>
    <n v="1232"/>
    <n v="1287"/>
    <s v="NO TECHNICAL ASSISTANCE CONDUCTED"/>
    <m/>
    <m/>
    <x v="0"/>
    <s v="Jasper Keith B. Pili"/>
    <m/>
    <s v="Rod Ross S. De Jesus"/>
    <m/>
    <m/>
    <m/>
    <m/>
    <m/>
    <s v=""/>
    <s v=""/>
    <s v=""/>
    <s v=""/>
    <m/>
    <m/>
    <m/>
    <m/>
    <m/>
  </r>
  <r>
    <x v="5"/>
    <x v="100"/>
    <s v="OUTSIDE MBA"/>
    <s v="Santa Maria"/>
    <n v="2292"/>
    <n v="2466"/>
    <s v="CONDUCTED TECHNICAL ASSISTANCE"/>
    <n v="2025"/>
    <d v="2025-02-12T00:00:00"/>
    <x v="3"/>
    <s v="Jasper Keith B. Pili"/>
    <m/>
    <s v="Rod Ross S. De Jesus"/>
    <s v="R3-2025-005367"/>
    <d v="2025-02-17T00:00:00"/>
    <m/>
    <d v="2025-02-18T00:00:00"/>
    <d v="2025-02-18T00:00:00"/>
    <n v="3"/>
    <s v=""/>
    <n v="1"/>
    <n v="1"/>
    <s v="Received by Planning"/>
    <s v="MRS"/>
    <s v="OPERATIONAL"/>
    <s v="Technical Assistance"/>
    <m/>
  </r>
  <r>
    <x v="5"/>
    <x v="100"/>
    <s v="OUTSIDE MBA"/>
    <s v="Sawat"/>
    <n v="1104"/>
    <n v="1240"/>
    <s v="CONDUCTED TECHNICAL ASSISTANCE"/>
    <n v="2025"/>
    <d v="2025-07-08T00:00:00"/>
    <x v="8"/>
    <s v="Jasper Keith B. Pili"/>
    <m/>
    <s v="Rod Ross S. De Jesus"/>
    <s v="R3-2025-023068"/>
    <d v="2025-07-11T00:00:00"/>
    <m/>
    <d v="2025-07-15T00:00:00"/>
    <d v="2025-07-17T00:00:00"/>
    <n v="3"/>
    <s v=""/>
    <n v="2"/>
    <n v="2"/>
    <s v="Received by Planning"/>
    <s v="MRS"/>
    <s v="OPERATIONAL"/>
    <s v="Technical Assistance"/>
    <m/>
  </r>
  <r>
    <x v="5"/>
    <x v="100"/>
    <s v="OUTSIDE MBA"/>
    <s v="Sinilian 1st"/>
    <n v="1319"/>
    <n v="1355"/>
    <s v="CONDUCTED TECHNICAL ASSISTANCE"/>
    <n v="2025"/>
    <d v="2025-06-03T00:00:00"/>
    <x v="10"/>
    <s v="Jasper Keith B. Pili"/>
    <m/>
    <s v="Rod Ross S. De Jesus"/>
    <s v="R3-2025-018923"/>
    <d v="2025-06-06T00:00:00"/>
    <m/>
    <d v="2025-06-16T00:00:00"/>
    <d v="2025-06-16T00:00:00"/>
    <n v="3"/>
    <s v=""/>
    <n v="6"/>
    <n v="1"/>
    <s v="Received by Planning"/>
    <s v="MRS"/>
    <s v="OPERATIONAL"/>
    <s v="Technical Assistance"/>
    <m/>
  </r>
  <r>
    <x v="5"/>
    <x v="100"/>
    <s v="OUTSIDE MBA"/>
    <s v="Sinilian 2nd"/>
    <n v="1128"/>
    <n v="1259"/>
    <s v="CONDUCTED TECHNICAL ASSISTANCE"/>
    <n v="2025"/>
    <d v="2025-06-03T00:00:00"/>
    <x v="10"/>
    <s v="Jasper Keith B. Pili"/>
    <m/>
    <s v="Rod Ross S. De Jesus"/>
    <s v="R3-2025-018924"/>
    <d v="2025-06-06T00:00:00"/>
    <m/>
    <d v="2025-06-16T00:00:00"/>
    <d v="2025-06-16T00:00:00"/>
    <n v="3"/>
    <s v=""/>
    <n v="6"/>
    <n v="1"/>
    <s v="Received by Planning"/>
    <s v="MRS"/>
    <s v="OPERATIONAL"/>
    <s v="Technical Assistance"/>
    <m/>
  </r>
  <r>
    <x v="5"/>
    <x v="100"/>
    <s v="OUTSIDE MBA"/>
    <s v="Sinilian 3rd"/>
    <n v="1448"/>
    <n v="1508"/>
    <s v="CONDUCTED TECHNICAL ASSISTANCE"/>
    <n v="2025"/>
    <d v="2025-06-03T00:00:00"/>
    <x v="10"/>
    <s v="Jasper Keith B. Pili"/>
    <m/>
    <s v="Rod Ross S. De Jesus"/>
    <s v="R3-2025-018925"/>
    <d v="2025-06-06T00:00:00"/>
    <m/>
    <d v="2025-06-16T00:00:00"/>
    <d v="2025-06-16T00:00:00"/>
    <n v="3"/>
    <s v=""/>
    <n v="6"/>
    <n v="1"/>
    <s v="Received by Planning"/>
    <s v="MRS"/>
    <s v="OPERATIONAL"/>
    <s v="Technical Assistance"/>
    <m/>
  </r>
  <r>
    <x v="5"/>
    <x v="100"/>
    <s v="OUTSIDE MBA"/>
    <s v="Sinilian Cacalibosoan"/>
    <n v="950"/>
    <n v="1071"/>
    <s v="CONDUCTED TECHNICAL ASSISTANCE"/>
    <n v="2025"/>
    <d v="2025-10-21T00:00:00"/>
    <x v="11"/>
    <s v="Jasper Keith B. Pili"/>
    <s v="Sherwin John Y. Loquellano"/>
    <s v="Jan Emerson C. Gonzales"/>
    <s v="R3-2025-037168"/>
    <d v="2025-11-06T00:00:00"/>
    <d v="2025-11-17T00:00:00"/>
    <d v="2025-11-17T00:00:00"/>
    <d v="2025-11-17T00:00:00"/>
    <n v="12"/>
    <n v="7"/>
    <n v="7"/>
    <n v="1"/>
    <s v="Received by Planning"/>
    <s v="MRS"/>
    <s v="OPERATIONAL"/>
    <s v="Technical Assistance"/>
    <m/>
  </r>
  <r>
    <x v="5"/>
    <x v="100"/>
    <s v="OUTSIDE MBA"/>
    <s v="Sinulatan 1st"/>
    <n v="1451"/>
    <n v="1666"/>
    <s v="CONDUCTED TECHNICAL ASSISTANCE"/>
    <n v="2025"/>
    <d v="2025-04-11T00:00:00"/>
    <x v="4"/>
    <s v="Jasper Keith B. Pili"/>
    <m/>
    <s v="Rod Ross S. De Jesus"/>
    <s v="R3-2025-012525"/>
    <d v="2025-04-13T00:00:00"/>
    <m/>
    <d v="2025-04-14T00:00:00"/>
    <d v="2025-04-14T00:00:00"/>
    <n v="1"/>
    <s v=""/>
    <n v="1"/>
    <n v="1"/>
    <s v="Received by Planning"/>
    <s v="MRF"/>
    <s v="OPERATIONAL"/>
    <s v="Technical Assistance"/>
    <m/>
  </r>
  <r>
    <x v="5"/>
    <x v="100"/>
    <s v="OUTSIDE MBA"/>
    <s v="Sinulatan 2nd"/>
    <n v="721"/>
    <n v="699"/>
    <s v="CONDUCTED TECHNICAL ASSISTANCE"/>
    <n v="2024"/>
    <d v="2024-11-06T00:00:00"/>
    <x v="0"/>
    <s v="Jasper Keith B. Pili"/>
    <m/>
    <s v="Rod Ross S. De Jesus"/>
    <m/>
    <m/>
    <m/>
    <m/>
    <m/>
    <s v=""/>
    <s v=""/>
    <s v=""/>
    <s v=""/>
    <m/>
    <s v="MRS"/>
    <s v="OPERATIONAL"/>
    <s v="Technical Assistance"/>
    <m/>
  </r>
  <r>
    <x v="5"/>
    <x v="100"/>
    <s v="OUTSIDE MBA"/>
    <s v="Surgui 1st"/>
    <n v="1212"/>
    <n v="1124"/>
    <s v="CONDUCTED TECHNICAL ASSISTANCE"/>
    <n v="2025"/>
    <d v="2025-02-12T00:00:00"/>
    <x v="3"/>
    <s v="Jasper Keith B. Pili"/>
    <m/>
    <s v="Rod Ross S. De Jesus"/>
    <s v="R3-2025-005545"/>
    <d v="2025-02-16T00:00:00"/>
    <m/>
    <d v="2025-02-17T00:00:00"/>
    <d v="2025-02-17T00:00:00"/>
    <n v="2"/>
    <s v=""/>
    <n v="1"/>
    <n v="1"/>
    <s v="Received by Planning"/>
    <s v="MRS"/>
    <s v="OPERATIONAL"/>
    <s v="Technical Assistance"/>
    <m/>
  </r>
  <r>
    <x v="5"/>
    <x v="100"/>
    <s v="OUTSIDE MBA"/>
    <s v="Surgui 2nd"/>
    <n v="1436"/>
    <n v="1509"/>
    <s v="CONDUCTED TECHNICAL ASSISTANCE"/>
    <n v="2025"/>
    <d v="2025-04-11T00:00:00"/>
    <x v="4"/>
    <s v="Jasper Keith B. Pili"/>
    <m/>
    <s v="Rod Ross S. De Jesus"/>
    <s v="R3-2025-012527"/>
    <d v="2025-04-13T00:00:00"/>
    <m/>
    <d v="2025-04-14T00:00:00"/>
    <d v="2025-04-14T00:00:00"/>
    <n v="1"/>
    <s v=""/>
    <n v="1"/>
    <n v="1"/>
    <s v="Received by Planning"/>
    <s v="MRF"/>
    <s v="OPERATIONAL"/>
    <s v="Technical Assistance"/>
    <m/>
  </r>
  <r>
    <x v="5"/>
    <x v="100"/>
    <s v="OUTSIDE MBA"/>
    <s v="Surgui 3rd"/>
    <n v="1316"/>
    <n v="1380"/>
    <s v="CONDUCTED TECHNICAL ASSISTANCE"/>
    <n v="2024"/>
    <d v="2024-11-07T00:00:00"/>
    <x v="0"/>
    <s v="Jasper Keith B. Pili"/>
    <m/>
    <s v="Rod Ross S. De Jesus"/>
    <m/>
    <m/>
    <m/>
    <m/>
    <m/>
    <s v=""/>
    <s v=""/>
    <s v=""/>
    <s v=""/>
    <m/>
    <s v="MRS"/>
    <s v="OPERATIONAL"/>
    <s v="Technical Assistance"/>
    <m/>
  </r>
  <r>
    <x v="5"/>
    <x v="100"/>
    <s v="OUTSIDE MBA"/>
    <s v="Tambugan"/>
    <n v="1441"/>
    <n v="1588"/>
    <s v="CONDUCTED TECHNICAL ASSISTANCE"/>
    <n v="2025"/>
    <d v="2025-05-29T00:00:00"/>
    <x v="10"/>
    <s v="Jasper Keith B. Pili"/>
    <m/>
    <s v="Rod Ross S. De Jesus"/>
    <s v="R3-2025-018205"/>
    <d v="2025-06-02T00:00:00"/>
    <m/>
    <d v="2025-06-05T00:00:00"/>
    <d v="2025-06-05T00:00:00"/>
    <n v="2"/>
    <s v=""/>
    <n v="3"/>
    <n v="1"/>
    <s v="Received by Planning"/>
    <s v="MRS"/>
    <s v="OPERATIONAL"/>
    <s v="Technical Assistance"/>
    <m/>
  </r>
  <r>
    <x v="5"/>
    <x v="100"/>
    <s v="OUTSIDE MBA"/>
    <s v="Telbang"/>
    <n v="834"/>
    <n v="817"/>
    <s v="CONDUCTED TECHNICAL ASSISTANCE"/>
    <n v="2024"/>
    <d v="2024-10-16T00:00:00"/>
    <x v="0"/>
    <s v="Jasper Keith B. Pili"/>
    <m/>
    <s v="Rod Ross S. De Jesus"/>
    <m/>
    <m/>
    <m/>
    <m/>
    <m/>
    <s v=""/>
    <s v=""/>
    <s v=""/>
    <s v=""/>
    <m/>
    <s v="MRS"/>
    <s v="OPERATIONAL"/>
    <s v="Technical Assistance"/>
    <m/>
  </r>
  <r>
    <x v="5"/>
    <x v="100"/>
    <s v="OUTSIDE MBA"/>
    <s v="Tuec"/>
    <n v="1225"/>
    <n v="1336"/>
    <s v="CONDUCTED TECHNICAL ASSISTANCE"/>
    <n v="2024"/>
    <d v="2024-11-07T00:00:00"/>
    <x v="0"/>
    <s v="Jasper Keith B. Pili"/>
    <m/>
    <s v="Rod Ross S. De Jesus"/>
    <m/>
    <m/>
    <m/>
    <m/>
    <m/>
    <s v=""/>
    <s v=""/>
    <s v=""/>
    <s v=""/>
    <m/>
    <s v="MRS"/>
    <s v="OPERATIONAL"/>
    <s v="Technical Assistance"/>
    <m/>
  </r>
  <r>
    <x v="5"/>
    <x v="101"/>
    <s v="MBA"/>
    <s v="Aranguren"/>
    <n v="7683"/>
    <n v="7714"/>
    <s v="CONDUCTED TECHNICAL ASSISTANCE"/>
    <n v="2025"/>
    <d v="2025-01-21T00:00:00"/>
    <x v="2"/>
    <s v="Gretzhen M. Apolonio"/>
    <m/>
    <s v="Rod Ross S. De Jesus"/>
    <s v="R3-2025-001917"/>
    <d v="2025-01-22T00:00:00"/>
    <m/>
    <d v="2025-01-22T00:00:00"/>
    <d v="2025-01-24T00:00:00"/>
    <n v="1"/>
    <s v=""/>
    <n v="1"/>
    <n v="2"/>
    <s v="Received by Planning"/>
    <s v="MRF"/>
    <s v="OPERATIONAL"/>
    <s v="Technical Assistance"/>
    <m/>
  </r>
  <r>
    <x v="5"/>
    <x v="101"/>
    <s v="MBA"/>
    <s v="Bueno"/>
    <n v="1755"/>
    <n v="2059"/>
    <s v="NO TECHNICAL ASSISTANCE CONDUCTED"/>
    <m/>
    <m/>
    <x v="0"/>
    <s v="Gretzhen M. Apolonio"/>
    <m/>
    <s v="Rod Ross S. De Jesus"/>
    <m/>
    <m/>
    <m/>
    <m/>
    <m/>
    <s v=""/>
    <s v=""/>
    <s v=""/>
    <s v=""/>
    <m/>
    <m/>
    <m/>
    <m/>
    <m/>
  </r>
  <r>
    <x v="5"/>
    <x v="101"/>
    <s v="MBA"/>
    <s v="Cristo Rey"/>
    <n v="31123"/>
    <n v="35334"/>
    <s v="CONDUCTED TECHNICAL ASSISTANCE"/>
    <n v="2025"/>
    <d v="2025-07-04T00:00:00"/>
    <x v="8"/>
    <s v="Gretzhen M. Apolonio"/>
    <m/>
    <s v="Rod Ross S. De Jesus"/>
    <s v="R3-2025-024045"/>
    <d v="2025-07-17T00:00:00"/>
    <m/>
    <d v="2025-07-18T00:00:00"/>
    <d v="2025-07-18T00:00:00"/>
    <n v="9"/>
    <s v=""/>
    <n v="1"/>
    <n v="1"/>
    <s v="Received by Planning"/>
    <s v="MRS"/>
    <s v="OPERATIONAL"/>
    <s v="Technical Assistance"/>
    <m/>
  </r>
  <r>
    <x v="5"/>
    <x v="101"/>
    <s v="MBA"/>
    <s v="Cubcub (Pob.)"/>
    <n v="3553"/>
    <n v="4039"/>
    <s v="CONDUCTED TECHNICAL ASSISTANCE"/>
    <n v="2025"/>
    <d v="2025-07-03T00:00:00"/>
    <x v="8"/>
    <s v="Gretzhen M. Apolonio"/>
    <m/>
    <s v="Rod Ross S. De Jesus"/>
    <s v="R3-2025-024044"/>
    <d v="2025-07-17T00:00:00"/>
    <m/>
    <d v="2025-07-18T00:00:00"/>
    <d v="2025-07-18T00:00:00"/>
    <n v="10"/>
    <s v=""/>
    <n v="1"/>
    <n v="1"/>
    <s v="Received by Planning"/>
    <s v="MRS"/>
    <s v="OPERATIONAL"/>
    <s v="Technical Assistance"/>
    <m/>
  </r>
  <r>
    <x v="5"/>
    <x v="101"/>
    <s v="MBA"/>
    <s v="Cutcut 1st"/>
    <n v="10475"/>
    <n v="12059"/>
    <s v="CONDUCTED TECHNICAL ASSISTANCE"/>
    <n v="2024"/>
    <d v="2024-07-10T00:00:00"/>
    <x v="0"/>
    <s v="Gretzhen M. Apolonio"/>
    <m/>
    <s v="Rod Ross S. De Jesus"/>
    <m/>
    <m/>
    <m/>
    <m/>
    <m/>
    <s v=""/>
    <s v=""/>
    <s v=""/>
    <s v=""/>
    <m/>
    <m/>
    <m/>
    <s v="Technical Assistance"/>
    <m/>
  </r>
  <r>
    <x v="5"/>
    <x v="101"/>
    <s v="MBA"/>
    <s v="Cutcut 2nd"/>
    <n v="6885"/>
    <n v="8214"/>
    <s v="CONDUCTED TECHNICAL ASSISTANCE"/>
    <n v="2025"/>
    <d v="2025-08-27T00:00:00"/>
    <x v="7"/>
    <s v="Gretzhen M. Apolonio"/>
    <m/>
    <s v="Rod Ross S. De Jesus"/>
    <s v="R3-2025-030893"/>
    <d v="2025-09-15T00:00:00"/>
    <m/>
    <d v="2025-09-16T00:00:00"/>
    <d v="2025-09-18T00:00:00"/>
    <n v="13"/>
    <s v=""/>
    <n v="1"/>
    <n v="2"/>
    <s v="Received by Planning"/>
    <s v="NO FACILITY"/>
    <s v="CATER BY LGU"/>
    <s v="Technical Assistance"/>
    <m/>
  </r>
  <r>
    <x v="5"/>
    <x v="101"/>
    <s v="MBA"/>
    <s v="Dolores"/>
    <n v="6752"/>
    <n v="7706"/>
    <s v="CONDUCTED TECHNICAL ASSISTANCE"/>
    <n v="2024"/>
    <d v="2024-06-06T00:00:00"/>
    <x v="0"/>
    <s v="Gretzhen M. Apolonio"/>
    <m/>
    <s v="Rod Ross S. De Jesus"/>
    <m/>
    <m/>
    <m/>
    <m/>
    <m/>
    <s v=""/>
    <s v=""/>
    <s v=""/>
    <s v=""/>
    <m/>
    <m/>
    <m/>
    <s v="Technical Assistance"/>
    <m/>
  </r>
  <r>
    <x v="5"/>
    <x v="101"/>
    <s v="MBA"/>
    <s v="Estrada"/>
    <n v="3347"/>
    <n v="4059"/>
    <s v="CONDUCTED TECHNICAL ASSISTANCE"/>
    <n v="2024"/>
    <d v="2024-11-12T00:00:00"/>
    <x v="0"/>
    <s v="Gretzhen M. Apolonio"/>
    <m/>
    <s v="Rod Ross S. De Jesus"/>
    <m/>
    <m/>
    <m/>
    <m/>
    <m/>
    <s v=""/>
    <s v=""/>
    <s v=""/>
    <s v=""/>
    <m/>
    <s v="MRS"/>
    <s v="NON-OPERATIONAL"/>
    <s v="Technical Assistance"/>
    <m/>
  </r>
  <r>
    <x v="5"/>
    <x v="101"/>
    <s v="MBA"/>
    <s v="Lawy"/>
    <n v="6423"/>
    <n v="7073"/>
    <s v="NO TECHNICAL ASSISTANCE CONDUCTED"/>
    <m/>
    <m/>
    <x v="0"/>
    <s v="Gretzhen M. Apolonio"/>
    <m/>
    <s v="Rod Ross S. De Jesus"/>
    <m/>
    <m/>
    <m/>
    <m/>
    <m/>
    <s v=""/>
    <s v=""/>
    <s v=""/>
    <s v=""/>
    <m/>
    <m/>
    <m/>
    <m/>
    <m/>
  </r>
  <r>
    <x v="5"/>
    <x v="101"/>
    <s v="MBA"/>
    <s v="Manga"/>
    <n v="1788"/>
    <n v="2100"/>
    <s v="CONDUCTED TECHNICAL ASSISTANCE"/>
    <n v="2024"/>
    <d v="2024-04-05T00:00:00"/>
    <x v="0"/>
    <s v="Gretzhen M. Apolonio"/>
    <m/>
    <s v="Rod Ross S. De Jesus"/>
    <m/>
    <m/>
    <m/>
    <m/>
    <m/>
    <s v=""/>
    <s v=""/>
    <s v=""/>
    <s v=""/>
    <m/>
    <m/>
    <m/>
    <s v="Technical Assistance"/>
    <m/>
  </r>
  <r>
    <x v="5"/>
    <x v="101"/>
    <s v="MBA"/>
    <s v="Manlapig"/>
    <n v="2002"/>
    <n v="2475"/>
    <s v="NO TECHNICAL ASSISTANCE CONDUCTED"/>
    <m/>
    <m/>
    <x v="0"/>
    <s v="Gretzhen M. Apolonio"/>
    <m/>
    <s v="Rod Ross S. De Jesus"/>
    <m/>
    <m/>
    <m/>
    <m/>
    <m/>
    <s v=""/>
    <s v=""/>
    <s v=""/>
    <s v=""/>
    <m/>
    <m/>
    <m/>
    <m/>
    <m/>
  </r>
  <r>
    <x v="5"/>
    <x v="101"/>
    <s v="MBA"/>
    <s v="Maruglu"/>
    <n v="2599"/>
    <n v="2916"/>
    <s v="NO TECHNICAL ASSISTANCE CONDUCTED"/>
    <m/>
    <m/>
    <x v="0"/>
    <s v="Gretzhen M. Apolonio"/>
    <m/>
    <s v="Rod Ross S. De Jesus"/>
    <m/>
    <m/>
    <m/>
    <m/>
    <m/>
    <s v=""/>
    <s v=""/>
    <s v=""/>
    <s v=""/>
    <m/>
    <m/>
    <m/>
    <m/>
    <m/>
  </r>
  <r>
    <x v="5"/>
    <x v="101"/>
    <s v="MBA"/>
    <s v="O'Donnell"/>
    <n v="14542"/>
    <n v="15973"/>
    <s v="CONDUCTED TECHNICAL ASSISTANCE"/>
    <n v="2025"/>
    <d v="2025-03-13T00:00:00"/>
    <x v="1"/>
    <s v="Gretzhen M. Apolonio"/>
    <m/>
    <s v="Rod Ross S. De Jesus"/>
    <s v="R3-2025-009082"/>
    <d v="2025-03-17T00:00:00"/>
    <m/>
    <d v="2025-03-18T00:00:00"/>
    <d v="2025-03-18T00:00:00"/>
    <n v="2"/>
    <s v=""/>
    <n v="1"/>
    <n v="1"/>
    <s v="Received by Planning"/>
    <s v="MRS"/>
    <s v="OPERATIONAL"/>
    <s v="Technical Assistance"/>
    <m/>
  </r>
  <r>
    <x v="5"/>
    <x v="101"/>
    <s v="MBA"/>
    <s v="Santa Juliana"/>
    <n v="7078"/>
    <n v="7426"/>
    <s v="NO TECHNICAL ASSISTANCE CONDUCTED"/>
    <m/>
    <m/>
    <x v="0"/>
    <s v="Gretzhen M. Apolonio"/>
    <m/>
    <s v="Rod Ross S. De Jesus"/>
    <m/>
    <m/>
    <m/>
    <m/>
    <m/>
    <s v=""/>
    <s v=""/>
    <s v=""/>
    <s v=""/>
    <m/>
    <m/>
    <m/>
    <m/>
    <m/>
  </r>
  <r>
    <x v="5"/>
    <x v="101"/>
    <s v="MBA"/>
    <s v="Santa Lucia"/>
    <n v="11174"/>
    <n v="11484"/>
    <s v="CONDUCTED TECHNICAL ASSISTANCE"/>
    <n v="2025"/>
    <d v="2025-07-04T00:00:00"/>
    <x v="8"/>
    <s v="Gretzhen M. Apolonio"/>
    <m/>
    <s v="Rod Ross S. De Jesus"/>
    <s v="R3-2025-024049"/>
    <d v="2025-07-17T00:00:00"/>
    <m/>
    <d v="2025-07-18T00:00:00"/>
    <d v="2025-07-18T00:00:00"/>
    <n v="9"/>
    <s v=""/>
    <n v="1"/>
    <n v="1"/>
    <s v="Received by Planning"/>
    <s v="MRS"/>
    <s v="OPERATIONAL"/>
    <s v="Technical Assistance"/>
    <m/>
  </r>
  <r>
    <x v="5"/>
    <x v="101"/>
    <s v="MBA"/>
    <s v="Santa Rita"/>
    <n v="1819"/>
    <n v="2325"/>
    <s v="CONDUCTED TECHNICAL ASSISTANCE"/>
    <n v="2024"/>
    <d v="2024-04-05T00:00:00"/>
    <x v="0"/>
    <s v="Gretzhen M. Apolonio"/>
    <m/>
    <s v="Rod Ross S. De Jesus"/>
    <m/>
    <m/>
    <m/>
    <m/>
    <m/>
    <s v=""/>
    <s v=""/>
    <s v=""/>
    <s v=""/>
    <m/>
    <m/>
    <m/>
    <s v="Technical Assistance"/>
    <m/>
  </r>
  <r>
    <x v="5"/>
    <x v="101"/>
    <s v="MBA"/>
    <s v="Santo Domingo 1st"/>
    <n v="2224"/>
    <n v="2419"/>
    <s v="CONDUCTED TECHNICAL ASSISTANCE"/>
    <n v="2025"/>
    <d v="2025-01-21T00:00:00"/>
    <x v="2"/>
    <s v="Gretzhen M. Apolonio"/>
    <m/>
    <s v="Rod Ross S. De Jesus"/>
    <s v="R3-2025-001920"/>
    <d v="2025-01-22T00:00:00"/>
    <m/>
    <d v="2025-01-23T00:00:00"/>
    <d v="2025-01-24T00:00:00"/>
    <n v="1"/>
    <s v=""/>
    <n v="1"/>
    <n v="1"/>
    <s v="Received by Planning"/>
    <s v="MRS"/>
    <s v="OPERATIONAL"/>
    <s v="Technical Assistance"/>
    <m/>
  </r>
  <r>
    <x v="5"/>
    <x v="101"/>
    <s v="MBA"/>
    <s v="Santo Domingo 2nd"/>
    <n v="6297"/>
    <n v="6933"/>
    <s v="NO TECHNICAL ASSISTANCE CONDUCTED"/>
    <m/>
    <m/>
    <x v="0"/>
    <s v="Gretzhen M. Apolonio"/>
    <m/>
    <s v="Rod Ross S. De Jesus"/>
    <m/>
    <m/>
    <m/>
    <m/>
    <m/>
    <s v=""/>
    <s v=""/>
    <s v=""/>
    <s v=""/>
    <m/>
    <m/>
    <m/>
    <m/>
    <m/>
  </r>
  <r>
    <x v="5"/>
    <x v="101"/>
    <s v="MBA"/>
    <s v="Santo Rosario"/>
    <n v="7099"/>
    <n v="6991"/>
    <s v="NO TECHNICAL ASSISTANCE CONDUCTED"/>
    <m/>
    <m/>
    <x v="0"/>
    <s v="Gretzhen M. Apolonio"/>
    <m/>
    <s v="Rod Ross S. De Jesus"/>
    <m/>
    <m/>
    <m/>
    <m/>
    <m/>
    <s v=""/>
    <s v=""/>
    <s v=""/>
    <s v=""/>
    <m/>
    <m/>
    <m/>
    <m/>
    <m/>
  </r>
  <r>
    <x v="5"/>
    <x v="101"/>
    <s v="MBA"/>
    <s v="Talaga"/>
    <n v="5584"/>
    <n v="6757"/>
    <s v="CONDUCTED TECHNICAL ASSISTANCE"/>
    <n v="2025"/>
    <d v="2025-08-27T00:00:00"/>
    <x v="7"/>
    <s v="Gretzhen M. Apolonio"/>
    <m/>
    <s v="Rod Ross S. De Jesus"/>
    <s v="R3-2025-030894"/>
    <d v="2025-09-15T00:00:00"/>
    <m/>
    <d v="2025-09-15T00:00:00"/>
    <d v="2025-09-18T00:00:00"/>
    <n v="13"/>
    <s v=""/>
    <n v="1"/>
    <n v="3"/>
    <s v="Received by Planning"/>
    <s v="NO FACILITY"/>
    <s v="CATER BY LGU"/>
    <s v="Technical Assistance"/>
    <m/>
  </r>
  <r>
    <x v="5"/>
    <x v="102"/>
    <s v="MBA"/>
    <s v="Alfonso"/>
    <n v="8750"/>
    <n v="9534"/>
    <s v="CONDUCTED TECHNICAL ASSISTANCE"/>
    <n v="2024"/>
    <d v="2024-08-06T00:00:00"/>
    <x v="0"/>
    <s v="Gretzhen M. Apolonio"/>
    <m/>
    <s v="Rod Ross S. De Jesus"/>
    <m/>
    <m/>
    <m/>
    <m/>
    <m/>
    <s v=""/>
    <s v=""/>
    <s v=""/>
    <s v=""/>
    <m/>
    <s v="MRF"/>
    <s v="OPERATIONAL"/>
    <s v="Technical Assistance"/>
    <m/>
  </r>
  <r>
    <x v="5"/>
    <x v="102"/>
    <s v="MBA"/>
    <s v="Balutu"/>
    <n v="3920"/>
    <n v="4306"/>
    <s v="NO TECHNICAL ASSISTANCE CONDUCTED"/>
    <m/>
    <m/>
    <x v="0"/>
    <s v="Gretzhen M. Apolonio"/>
    <m/>
    <s v="Rod Ross S. De Jesus"/>
    <m/>
    <m/>
    <m/>
    <m/>
    <m/>
    <s v=""/>
    <s v=""/>
    <s v=""/>
    <s v=""/>
    <m/>
    <m/>
    <m/>
    <m/>
    <m/>
  </r>
  <r>
    <x v="5"/>
    <x v="102"/>
    <s v="MBA"/>
    <s v="Cafe"/>
    <n v="2776"/>
    <n v="3239"/>
    <s v="CONDUCTED TECHNICAL ASSISTANCE"/>
    <n v="2025"/>
    <d v="2025-06-13T00:00:00"/>
    <x v="10"/>
    <s v="Gretzhen M. Apolonio"/>
    <m/>
    <s v="Rod Ross S. De Jesus"/>
    <s v="R3-2025-020250"/>
    <d v="2025-06-18T00:00:00"/>
    <m/>
    <d v="2025-06-19T00:00:00"/>
    <d v="2025-06-19T00:00:00"/>
    <n v="3"/>
    <s v=""/>
    <n v="1"/>
    <n v="1"/>
    <s v="Received by Planning"/>
    <s v="MRF"/>
    <s v="OPERATIONAL"/>
    <s v="Technical Assistance"/>
    <m/>
  </r>
  <r>
    <x v="5"/>
    <x v="102"/>
    <s v="MBA"/>
    <s v="Calius Gueco"/>
    <n v="1233"/>
    <n v="1295"/>
    <s v="NO TECHNICAL ASSISTANCE CONDUCTED"/>
    <m/>
    <m/>
    <x v="0"/>
    <s v="Gretzhen M. Apolonio"/>
    <m/>
    <s v="Rod Ross S. De Jesus"/>
    <m/>
    <m/>
    <m/>
    <m/>
    <m/>
    <s v=""/>
    <s v=""/>
    <s v=""/>
    <s v=""/>
    <m/>
    <m/>
    <m/>
    <m/>
    <m/>
  </r>
  <r>
    <x v="5"/>
    <x v="102"/>
    <s v="MBA"/>
    <s v="Caluluan"/>
    <n v="4694"/>
    <n v="5280"/>
    <s v="CONDUCTED TECHNICAL ASSISTANCE"/>
    <n v="2024"/>
    <d v="2024-07-03T00:00:00"/>
    <x v="0"/>
    <s v="Gretzhen M. Apolonio"/>
    <m/>
    <s v="Rod Ross S. De Jesus"/>
    <m/>
    <m/>
    <m/>
    <m/>
    <m/>
    <s v=""/>
    <s v=""/>
    <s v=""/>
    <s v=""/>
    <m/>
    <s v="MRF"/>
    <s v="OPERATIONAL"/>
    <s v="Technical Assistance"/>
    <m/>
  </r>
  <r>
    <x v="5"/>
    <x v="102"/>
    <s v="MBA"/>
    <s v="Castillo"/>
    <n v="3457"/>
    <n v="3821"/>
    <s v="NO TECHNICAL ASSISTANCE CONDUCTED"/>
    <m/>
    <m/>
    <x v="0"/>
    <s v="Gretzhen M. Apolonio"/>
    <m/>
    <s v="Rod Ross S. De Jesus"/>
    <m/>
    <m/>
    <m/>
    <m/>
    <m/>
    <s v=""/>
    <s v=""/>
    <s v=""/>
    <s v=""/>
    <m/>
    <m/>
    <m/>
    <m/>
    <m/>
  </r>
  <r>
    <x v="5"/>
    <x v="102"/>
    <s v="MBA"/>
    <s v="Corazon de Jesus"/>
    <n v="2114"/>
    <n v="2111"/>
    <s v="CONDUCTED TECHNICAL ASSISTANCE"/>
    <n v="2024"/>
    <d v="2024-07-03T00:00:00"/>
    <x v="0"/>
    <s v="Gretzhen M. Apolonio"/>
    <m/>
    <s v="Rod Ross S. De Jesus"/>
    <m/>
    <m/>
    <m/>
    <m/>
    <m/>
    <s v=""/>
    <s v=""/>
    <s v=""/>
    <s v=""/>
    <m/>
    <s v="MRF"/>
    <s v="OPERATIONAL"/>
    <s v="Technical Assistance"/>
    <m/>
  </r>
  <r>
    <x v="5"/>
    <x v="102"/>
    <s v="MBA"/>
    <s v="Culatingan"/>
    <n v="3237"/>
    <n v="3575"/>
    <s v="NO TECHNICAL ASSISTANCE CONDUCTED"/>
    <m/>
    <m/>
    <x v="0"/>
    <s v="Gretzhen M. Apolonio"/>
    <m/>
    <s v="Rod Ross S. De Jesus"/>
    <m/>
    <m/>
    <m/>
    <m/>
    <m/>
    <s v=""/>
    <s v=""/>
    <s v=""/>
    <s v=""/>
    <m/>
    <m/>
    <m/>
    <m/>
    <m/>
  </r>
  <r>
    <x v="5"/>
    <x v="102"/>
    <s v="MBA"/>
    <s v="Dungan"/>
    <n v="965"/>
    <n v="1161"/>
    <s v="NO TECHNICAL ASSISTANCE CONDUCTED"/>
    <m/>
    <m/>
    <x v="0"/>
    <s v="Gretzhen M. Apolonio"/>
    <m/>
    <s v="Rod Ross S. De Jesus"/>
    <m/>
    <m/>
    <m/>
    <m/>
    <m/>
    <s v=""/>
    <s v=""/>
    <s v=""/>
    <s v=""/>
    <m/>
    <m/>
    <m/>
    <m/>
    <m/>
  </r>
  <r>
    <x v="5"/>
    <x v="102"/>
    <s v="MBA"/>
    <s v="Dutung-A-Matas"/>
    <n v="5917"/>
    <n v="6396"/>
    <s v="CONDUCTED TECHNICAL ASSISTANCE"/>
    <n v="2024"/>
    <d v="2024-10-11T00:00:00"/>
    <x v="0"/>
    <s v="Gretzhen M. Apolonio"/>
    <m/>
    <s v="Rod Ross S. De Jesus"/>
    <m/>
    <m/>
    <m/>
    <m/>
    <m/>
    <s v=""/>
    <s v=""/>
    <s v=""/>
    <s v=""/>
    <m/>
    <s v="MRF"/>
    <s v="OPERATIONAL"/>
    <s v="Technical Assistance"/>
    <m/>
  </r>
  <r>
    <x v="5"/>
    <x v="102"/>
    <s v="MBA"/>
    <s v="Green Village"/>
    <n v="2560"/>
    <n v="2862"/>
    <s v="CONDUCTED TECHNICAL ASSISTANCE"/>
    <n v="2025"/>
    <d v="2025-02-13T00:00:00"/>
    <x v="3"/>
    <s v="Gretzhen M. Apolonio"/>
    <m/>
    <s v="Rod Ross S. De Jesus"/>
    <s v="R3-2025-005500"/>
    <d v="2025-02-16T00:00:00"/>
    <m/>
    <d v="2025-02-17T00:00:00"/>
    <d v="2025-02-20T00:00:00"/>
    <n v="1"/>
    <s v=""/>
    <n v="1"/>
    <n v="3"/>
    <s v="Received by Planning"/>
    <s v="MRF"/>
    <s v="OPERATIONAL"/>
    <s v="Technical Assistance"/>
    <m/>
  </r>
  <r>
    <x v="5"/>
    <x v="102"/>
    <s v="MBA"/>
    <s v="Lilibangan"/>
    <n v="1276"/>
    <n v="1388"/>
    <s v="NO TECHNICAL ASSISTANCE CONDUCTED"/>
    <m/>
    <m/>
    <x v="0"/>
    <s v="Gretzhen M. Apolonio"/>
    <m/>
    <s v="Rod Ross S. De Jesus"/>
    <m/>
    <m/>
    <m/>
    <m/>
    <m/>
    <s v=""/>
    <s v=""/>
    <s v=""/>
    <s v=""/>
    <m/>
    <m/>
    <m/>
    <m/>
    <m/>
  </r>
  <r>
    <x v="5"/>
    <x v="102"/>
    <s v="MBA"/>
    <s v="Mabilog"/>
    <n v="2566"/>
    <n v="2883"/>
    <s v="NO TECHNICAL ASSISTANCE CONDUCTED"/>
    <m/>
    <m/>
    <x v="0"/>
    <s v="Gretzhen M. Apolonio"/>
    <m/>
    <s v="Rod Ross S. De Jesus"/>
    <m/>
    <m/>
    <m/>
    <m/>
    <m/>
    <s v=""/>
    <s v=""/>
    <s v=""/>
    <s v=""/>
    <m/>
    <m/>
    <m/>
    <m/>
    <m/>
  </r>
  <r>
    <x v="5"/>
    <x v="102"/>
    <s v="MBA"/>
    <s v="Magao"/>
    <n v="2219"/>
    <n v="2441"/>
    <s v="NO TECHNICAL ASSISTANCE CONDUCTED"/>
    <m/>
    <m/>
    <x v="0"/>
    <s v="Gretzhen M. Apolonio"/>
    <m/>
    <s v="Rod Ross S. De Jesus"/>
    <m/>
    <m/>
    <m/>
    <m/>
    <m/>
    <s v=""/>
    <s v=""/>
    <s v=""/>
    <s v=""/>
    <m/>
    <m/>
    <m/>
    <m/>
    <m/>
  </r>
  <r>
    <x v="5"/>
    <x v="102"/>
    <s v="MBA"/>
    <s v="Malupa"/>
    <n v="1547"/>
    <n v="1729"/>
    <s v="NO TECHNICAL ASSISTANCE CONDUCTED"/>
    <m/>
    <m/>
    <x v="0"/>
    <s v="Gretzhen M. Apolonio"/>
    <m/>
    <s v="Rod Ross S. De Jesus"/>
    <m/>
    <m/>
    <m/>
    <m/>
    <m/>
    <s v=""/>
    <s v=""/>
    <s v=""/>
    <s v=""/>
    <m/>
    <m/>
    <m/>
    <m/>
    <m/>
  </r>
  <r>
    <x v="5"/>
    <x v="102"/>
    <s v="MBA"/>
    <s v="Minane"/>
    <n v="3725"/>
    <n v="3719"/>
    <s v="CONDUCTED TECHNICAL ASSISTANCE"/>
    <n v="2024"/>
    <d v="2024-05-02T00:00:00"/>
    <x v="0"/>
    <s v="Gretzhen M. Apolonio"/>
    <m/>
    <s v="Rod Ross S. De Jesus"/>
    <m/>
    <m/>
    <m/>
    <m/>
    <m/>
    <s v=""/>
    <s v=""/>
    <s v=""/>
    <s v=""/>
    <m/>
    <m/>
    <m/>
    <s v="Technical Assistance"/>
    <m/>
  </r>
  <r>
    <x v="5"/>
    <x v="102"/>
    <s v="MBA"/>
    <s v="Panalicsian"/>
    <n v="1207"/>
    <n v="1230"/>
    <s v="NO TECHNICAL ASSISTANCE CONDUCTED"/>
    <m/>
    <m/>
    <x v="0"/>
    <s v="Gretzhen M. Apolonio"/>
    <m/>
    <s v="Rod Ross S. De Jesus"/>
    <m/>
    <m/>
    <m/>
    <m/>
    <m/>
    <s v=""/>
    <s v=""/>
    <s v=""/>
    <s v=""/>
    <m/>
    <m/>
    <m/>
    <m/>
    <m/>
  </r>
  <r>
    <x v="5"/>
    <x v="102"/>
    <s v="MBA"/>
    <s v="Pando"/>
    <n v="2524"/>
    <n v="2761"/>
    <s v="NO TECHNICAL ASSISTANCE CONDUCTED"/>
    <m/>
    <m/>
    <x v="0"/>
    <s v="Gretzhen M. Apolonio"/>
    <m/>
    <s v="Rod Ross S. De Jesus"/>
    <m/>
    <m/>
    <m/>
    <m/>
    <m/>
    <s v=""/>
    <s v=""/>
    <s v=""/>
    <s v=""/>
    <m/>
    <m/>
    <m/>
    <m/>
    <m/>
  </r>
  <r>
    <x v="5"/>
    <x v="102"/>
    <s v="MBA"/>
    <s v="Parang"/>
    <n v="3260"/>
    <n v="3438"/>
    <s v="NO TECHNICAL ASSISTANCE CONDUCTED"/>
    <m/>
    <m/>
    <x v="0"/>
    <s v="Gretzhen M. Apolonio"/>
    <m/>
    <s v="Rod Ross S. De Jesus"/>
    <m/>
    <m/>
    <m/>
    <m/>
    <m/>
    <s v=""/>
    <s v=""/>
    <s v=""/>
    <s v=""/>
    <m/>
    <m/>
    <m/>
    <m/>
    <m/>
  </r>
  <r>
    <x v="5"/>
    <x v="102"/>
    <s v="MBA"/>
    <s v="Parulung"/>
    <n v="1725"/>
    <n v="1714"/>
    <s v="NO TECHNICAL ASSISTANCE CONDUCTED"/>
    <m/>
    <m/>
    <x v="0"/>
    <s v="Gretzhen M. Apolonio"/>
    <m/>
    <s v="Rod Ross S. De Jesus"/>
    <m/>
    <m/>
    <m/>
    <m/>
    <m/>
    <s v=""/>
    <s v=""/>
    <s v=""/>
    <s v=""/>
    <m/>
    <m/>
    <m/>
    <m/>
    <m/>
  </r>
  <r>
    <x v="5"/>
    <x v="102"/>
    <s v="MBA"/>
    <s v="Pitabunan"/>
    <n v="3107"/>
    <n v="3368"/>
    <s v="CONDUCTED TECHNICAL ASSISTANCE"/>
    <n v="2024"/>
    <d v="2024-07-02T00:00:00"/>
    <x v="0"/>
    <s v="Gretzhen M. Apolonio"/>
    <m/>
    <s v="Rod Ross S. De Jesus"/>
    <m/>
    <m/>
    <m/>
    <m/>
    <m/>
    <s v=""/>
    <s v=""/>
    <s v=""/>
    <s v=""/>
    <m/>
    <s v="MRF"/>
    <s v="OPERATIONAL"/>
    <s v="Technical Assistance"/>
    <m/>
  </r>
  <r>
    <x v="5"/>
    <x v="102"/>
    <s v="MBA"/>
    <s v="San Agustin"/>
    <n v="6040"/>
    <n v="7429"/>
    <s v="CONDUCTED TECHNICAL ASSISTANCE"/>
    <n v="2024"/>
    <d v="2024-09-06T00:00:00"/>
    <x v="0"/>
    <s v="Gretzhen M. Apolonio"/>
    <m/>
    <s v="Rod Ross S. De Jesus"/>
    <m/>
    <m/>
    <m/>
    <m/>
    <m/>
    <s v=""/>
    <s v=""/>
    <s v=""/>
    <s v=""/>
    <m/>
    <s v="MRF"/>
    <s v="OPERATIONAL"/>
    <s v="Technical Assistance"/>
    <m/>
  </r>
  <r>
    <x v="5"/>
    <x v="102"/>
    <s v="MBA"/>
    <s v="San Antonio"/>
    <n v="3175"/>
    <n v="3474"/>
    <s v="CONDUCTED TECHNICAL ASSISTANCE"/>
    <n v="2024"/>
    <d v="2024-11-08T00:00:00"/>
    <x v="0"/>
    <s v="Gretzhen M. Apolonio"/>
    <m/>
    <s v="Rod Ross S. De Jesus"/>
    <m/>
    <m/>
    <m/>
    <m/>
    <m/>
    <s v=""/>
    <s v=""/>
    <s v=""/>
    <s v=""/>
    <m/>
    <s v="MRF"/>
    <s v="OPERATIONAL"/>
    <s v="Technical Assistance"/>
    <m/>
  </r>
  <r>
    <x v="5"/>
    <x v="102"/>
    <s v="MBA"/>
    <s v="San Bartolome"/>
    <n v="2113"/>
    <n v="2415"/>
    <s v="NO TECHNICAL ASSISTANCE CONDUCTED"/>
    <m/>
    <m/>
    <x v="0"/>
    <s v="Gretzhen M. Apolonio"/>
    <m/>
    <s v="Rod Ross S. De Jesus"/>
    <m/>
    <m/>
    <m/>
    <m/>
    <m/>
    <s v=""/>
    <s v=""/>
    <s v=""/>
    <s v=""/>
    <m/>
    <m/>
    <m/>
    <m/>
    <m/>
  </r>
  <r>
    <x v="5"/>
    <x v="102"/>
    <s v="MBA"/>
    <s v="San Francisco"/>
    <n v="7983"/>
    <n v="8828"/>
    <s v="CONDUCTED TECHNICAL ASSISTANCE"/>
    <n v="2024"/>
    <d v="2024-05-02T00:00:00"/>
    <x v="0"/>
    <s v="Gretzhen M. Apolonio"/>
    <m/>
    <s v="Rod Ross S. De Jesus"/>
    <m/>
    <m/>
    <m/>
    <m/>
    <m/>
    <s v=""/>
    <s v=""/>
    <s v=""/>
    <s v=""/>
    <m/>
    <m/>
    <m/>
    <s v="Technical Assistance"/>
    <m/>
  </r>
  <r>
    <x v="5"/>
    <x v="102"/>
    <s v="MBA"/>
    <s v="San Isidro"/>
    <n v="2950"/>
    <n v="3252"/>
    <s v="NO TECHNICAL ASSISTANCE CONDUCTED"/>
    <m/>
    <m/>
    <x v="0"/>
    <s v="Gretzhen M. Apolonio"/>
    <m/>
    <s v="Rod Ross S. De Jesus"/>
    <m/>
    <m/>
    <m/>
    <m/>
    <m/>
    <s v=""/>
    <s v=""/>
    <s v=""/>
    <s v=""/>
    <m/>
    <m/>
    <m/>
    <m/>
    <m/>
  </r>
  <r>
    <x v="5"/>
    <x v="102"/>
    <s v="MBA"/>
    <s v="San Jose (Pob.)"/>
    <n v="9739"/>
    <n v="10454"/>
    <s v="CONDUCTED TECHNICAL ASSISTANCE"/>
    <n v="2024"/>
    <d v="2024-08-06T00:00:00"/>
    <x v="0"/>
    <s v="Gretzhen M. Apolonio"/>
    <m/>
    <s v="Rod Ross S. De Jesus"/>
    <m/>
    <m/>
    <m/>
    <m/>
    <m/>
    <s v=""/>
    <s v=""/>
    <s v=""/>
    <s v=""/>
    <m/>
    <s v="MRF"/>
    <s v="OPERATIONAL"/>
    <s v="Technical Assistance"/>
    <m/>
  </r>
  <r>
    <x v="5"/>
    <x v="102"/>
    <s v="MBA"/>
    <s v="San Juan"/>
    <n v="4565"/>
    <n v="5296"/>
    <s v="CONDUCTED TECHNICAL ASSISTANCE"/>
    <n v="2024"/>
    <d v="2024-10-11T00:00:00"/>
    <x v="0"/>
    <s v="Gretzhen M. Apolonio"/>
    <m/>
    <s v="Rod Ross S. De Jesus"/>
    <m/>
    <m/>
    <m/>
    <m/>
    <m/>
    <s v=""/>
    <s v=""/>
    <s v=""/>
    <s v=""/>
    <m/>
    <s v="MRF"/>
    <s v="OPERATIONAL"/>
    <s v="Technical Assistance"/>
    <m/>
  </r>
  <r>
    <x v="5"/>
    <x v="102"/>
    <s v="MBA"/>
    <s v="San Martin"/>
    <n v="408"/>
    <n v="447"/>
    <s v="NO TECHNICAL ASSISTANCE CONDUCTED"/>
    <m/>
    <m/>
    <x v="0"/>
    <s v="Gretzhen M. Apolonio"/>
    <m/>
    <s v="Rod Ross S. De Jesus"/>
    <m/>
    <m/>
    <m/>
    <m/>
    <m/>
    <s v=""/>
    <s v=""/>
    <s v=""/>
    <s v=""/>
    <m/>
    <m/>
    <m/>
    <m/>
    <m/>
  </r>
  <r>
    <x v="5"/>
    <x v="102"/>
    <s v="MBA"/>
    <s v="San Nicolas (Pob.)"/>
    <n v="4985"/>
    <n v="4882"/>
    <s v="NO TECHNICAL ASSISTANCE CONDUCTED"/>
    <m/>
    <m/>
    <x v="0"/>
    <s v="Gretzhen M. Apolonio"/>
    <m/>
    <s v="Rod Ross S. De Jesus"/>
    <m/>
    <m/>
    <m/>
    <m/>
    <m/>
    <s v=""/>
    <s v=""/>
    <s v=""/>
    <s v=""/>
    <m/>
    <m/>
    <m/>
    <m/>
    <m/>
  </r>
  <r>
    <x v="5"/>
    <x v="102"/>
    <s v="MBA"/>
    <s v="San Nicolas Balas"/>
    <n v="3852"/>
    <n v="4101"/>
    <s v="NO TECHNICAL ASSISTANCE CONDUCTED"/>
    <m/>
    <m/>
    <x v="0"/>
    <s v="Gretzhen M. Apolonio"/>
    <m/>
    <s v="Rod Ross S. De Jesus"/>
    <m/>
    <m/>
    <m/>
    <m/>
    <m/>
    <s v=""/>
    <s v=""/>
    <s v=""/>
    <s v=""/>
    <m/>
    <m/>
    <m/>
    <m/>
    <m/>
  </r>
  <r>
    <x v="5"/>
    <x v="102"/>
    <s v="MBA"/>
    <s v="San Vicente"/>
    <n v="1882"/>
    <n v="2239"/>
    <s v="NO TECHNICAL ASSISTANCE CONDUCTED"/>
    <m/>
    <m/>
    <x v="0"/>
    <s v="Gretzhen M. Apolonio"/>
    <m/>
    <s v="Rod Ross S. De Jesus"/>
    <m/>
    <m/>
    <m/>
    <m/>
    <m/>
    <s v=""/>
    <s v=""/>
    <s v=""/>
    <s v=""/>
    <m/>
    <m/>
    <m/>
    <m/>
    <m/>
  </r>
  <r>
    <x v="5"/>
    <x v="102"/>
    <s v="MBA"/>
    <s v="Santa Cruz"/>
    <n v="4948"/>
    <n v="5415"/>
    <s v="CONDUCTED TECHNICAL ASSISTANCE"/>
    <n v="2024"/>
    <d v="2024-06-11T00:00:00"/>
    <x v="0"/>
    <s v="Gretzhen M. Apolonio"/>
    <m/>
    <s v="Rod Ross S. De Jesus"/>
    <m/>
    <m/>
    <m/>
    <m/>
    <m/>
    <s v=""/>
    <s v=""/>
    <s v=""/>
    <s v=""/>
    <m/>
    <s v="MRF"/>
    <s v="OPERATIONAL"/>
    <s v="Technical Assistance"/>
    <m/>
  </r>
  <r>
    <x v="5"/>
    <x v="102"/>
    <s v="MBA"/>
    <s v="Santa Maria"/>
    <n v="1644"/>
    <n v="2259"/>
    <s v="CONDUCTED TECHNICAL ASSISTANCE"/>
    <n v="2024"/>
    <d v="2024-07-23T00:00:00"/>
    <x v="0"/>
    <s v="Gretzhen M. Apolonio"/>
    <m/>
    <s v="Rod Ross S. De Jesus"/>
    <m/>
    <m/>
    <m/>
    <m/>
    <m/>
    <s v=""/>
    <s v=""/>
    <s v=""/>
    <s v=""/>
    <m/>
    <s v="MRF"/>
    <s v="OPERATIONAL"/>
    <s v="Technical Assistance"/>
    <m/>
  </r>
  <r>
    <x v="5"/>
    <x v="102"/>
    <s v="MBA"/>
    <s v="Santa Monica"/>
    <n v="5610"/>
    <n v="6082"/>
    <s v="CONDUCTED TECHNICAL ASSISTANCE"/>
    <n v="2024"/>
    <d v="2024-06-11T00:00:00"/>
    <x v="0"/>
    <s v="Gretzhen M. Apolonio"/>
    <m/>
    <s v="Rod Ross S. De Jesus"/>
    <m/>
    <m/>
    <m/>
    <m/>
    <m/>
    <s v=""/>
    <s v=""/>
    <s v=""/>
    <s v=""/>
    <m/>
    <s v="MRF"/>
    <s v="OPERATIONAL"/>
    <s v="Technical Assistance"/>
    <m/>
  </r>
  <r>
    <x v="5"/>
    <x v="102"/>
    <s v="MBA"/>
    <s v="Santa Rita"/>
    <n v="4958"/>
    <n v="5586"/>
    <s v="CONDUCTED TECHNICAL ASSISTANCE"/>
    <n v="2024"/>
    <d v="2024-07-23T00:00:00"/>
    <x v="0"/>
    <s v="Gretzhen M. Apolonio"/>
    <m/>
    <s v="Rod Ross S. De Jesus"/>
    <m/>
    <m/>
    <m/>
    <m/>
    <m/>
    <s v=""/>
    <s v=""/>
    <s v=""/>
    <s v=""/>
    <m/>
    <s v="MRF"/>
    <s v="OPERATIONAL"/>
    <s v="Technical Assistance"/>
    <m/>
  </r>
  <r>
    <x v="5"/>
    <x v="102"/>
    <s v="MBA"/>
    <s v="Santa Rosa"/>
    <n v="4846"/>
    <n v="5693"/>
    <s v="CONDUCTED TECHNICAL ASSISTANCE"/>
    <n v="2024"/>
    <d v="2024-08-06T00:00:00"/>
    <x v="0"/>
    <s v="Gretzhen M. Apolonio"/>
    <m/>
    <s v="Rod Ross S. De Jesus"/>
    <m/>
    <m/>
    <m/>
    <m/>
    <m/>
    <s v=""/>
    <s v=""/>
    <s v=""/>
    <s v=""/>
    <m/>
    <s v="MRF"/>
    <s v="OPERATIONAL"/>
    <s v="Technical Assistance"/>
    <m/>
  </r>
  <r>
    <x v="5"/>
    <x v="102"/>
    <s v="MBA"/>
    <s v="Santiago"/>
    <n v="5391"/>
    <n v="5686"/>
    <s v="CONDUCTED TECHNICAL ASSISTANCE"/>
    <n v="2024"/>
    <d v="2024-10-11T00:00:00"/>
    <x v="0"/>
    <s v="Gretzhen M. Apolonio"/>
    <m/>
    <s v="Rod Ross S. De Jesus"/>
    <m/>
    <m/>
    <m/>
    <m/>
    <m/>
    <s v=""/>
    <s v=""/>
    <s v=""/>
    <s v=""/>
    <m/>
    <s v="MRF"/>
    <s v="OPERATIONAL"/>
    <s v="Technical Assistance"/>
    <m/>
  </r>
  <r>
    <x v="5"/>
    <x v="102"/>
    <s v="MBA"/>
    <s v="Santo Cristo"/>
    <n v="1463"/>
    <n v="1537"/>
    <s v="NO TECHNICAL ASSISTANCE CONDUCTED"/>
    <m/>
    <m/>
    <x v="0"/>
    <s v="Gretzhen M. Apolonio"/>
    <m/>
    <s v="Rod Ross S. De Jesus"/>
    <m/>
    <m/>
    <m/>
    <m/>
    <m/>
    <s v=""/>
    <s v=""/>
    <s v=""/>
    <s v=""/>
    <m/>
    <m/>
    <m/>
    <m/>
    <m/>
  </r>
  <r>
    <x v="5"/>
    <x v="102"/>
    <s v="MBA"/>
    <s v="Santo Niño"/>
    <n v="3971"/>
    <n v="4434"/>
    <s v="CONDUCTED TECHNICAL ASSISTANCE"/>
    <n v="2025"/>
    <d v="2025-06-17T00:00:00"/>
    <x v="10"/>
    <s v="Gretzhen M. Apolonio"/>
    <m/>
    <s v="Rod Ross S. De Jesus"/>
    <s v="R3-2025-020247"/>
    <d v="2025-06-18T00:00:00"/>
    <m/>
    <d v="2025-06-19T00:00:00"/>
    <d v="2025-06-19T00:00:00"/>
    <n v="1"/>
    <s v=""/>
    <n v="1"/>
    <n v="1"/>
    <s v="Received by Planning"/>
    <s v="MRF"/>
    <s v="OPERATIONAL"/>
    <s v="Technical Assistance"/>
    <m/>
  </r>
  <r>
    <x v="5"/>
    <x v="102"/>
    <s v="MBA"/>
    <s v="Santo Rosario"/>
    <n v="1819"/>
    <n v="2030"/>
    <s v="CONDUCTED TECHNICAL ASSISTANCE"/>
    <n v="2024"/>
    <d v="2024-07-03T00:00:00"/>
    <x v="0"/>
    <s v="Gretzhen M. Apolonio"/>
    <m/>
    <s v="Rod Ross S. De Jesus"/>
    <m/>
    <m/>
    <m/>
    <m/>
    <m/>
    <s v=""/>
    <s v=""/>
    <s v=""/>
    <s v=""/>
    <m/>
    <s v="MRF"/>
    <s v="OPERATIONAL"/>
    <s v="Technical Assistance"/>
    <m/>
  </r>
  <r>
    <x v="5"/>
    <x v="102"/>
    <s v="MBA"/>
    <s v="Talimunduc Marimla"/>
    <n v="1801"/>
    <n v="2043"/>
    <s v="CONDUCTED TECHNICAL ASSISTANCE"/>
    <n v="2025"/>
    <d v="2025-02-13T00:00:00"/>
    <x v="3"/>
    <s v="Gretzhen M. Apolonio"/>
    <m/>
    <s v="Rod Ross S. De Jesus"/>
    <s v="R3-2025-005501"/>
    <d v="2025-02-16T00:00:00"/>
    <m/>
    <d v="2025-02-17T00:00:00"/>
    <d v="2025-02-18T00:00:00"/>
    <n v="1"/>
    <s v=""/>
    <n v="1"/>
    <n v="1"/>
    <s v="Received by Planning"/>
    <s v="MRF"/>
    <s v="OPERATIONAL"/>
    <s v="Technical Assistance"/>
    <m/>
  </r>
  <r>
    <x v="5"/>
    <x v="102"/>
    <s v="MBA"/>
    <s v="Talimunduc San Miguel"/>
    <n v="2624"/>
    <n v="2565"/>
    <s v="CONDUCTED TECHNICAL ASSISTANCE"/>
    <n v="2025"/>
    <d v="2025-02-13T00:00:00"/>
    <x v="3"/>
    <s v="Gretzhen M. Apolonio"/>
    <m/>
    <s v="Rod Ross S. De Jesus"/>
    <s v="R3-2025-005502"/>
    <d v="2025-02-16T00:00:00"/>
    <m/>
    <d v="2025-02-17T00:00:00"/>
    <d v="2025-02-18T00:00:00"/>
    <n v="1"/>
    <s v=""/>
    <n v="1"/>
    <n v="1"/>
    <s v="Received by Planning"/>
    <s v="MRF"/>
    <s v="OPERATIONAL"/>
    <s v="Technical Assistance"/>
    <m/>
  </r>
  <r>
    <x v="5"/>
    <x v="102"/>
    <s v="MBA"/>
    <s v="Telabanca"/>
    <n v="95"/>
    <n v="208"/>
    <s v="NO TECHNICAL ASSISTANCE CONDUCTED"/>
    <m/>
    <m/>
    <x v="0"/>
    <s v="Gretzhen M. Apolonio"/>
    <m/>
    <s v="Rod Ross S. De Jesus"/>
    <m/>
    <m/>
    <m/>
    <m/>
    <m/>
    <s v=""/>
    <s v=""/>
    <s v=""/>
    <s v=""/>
    <m/>
    <m/>
    <m/>
    <m/>
    <m/>
  </r>
  <r>
    <x v="5"/>
    <x v="102"/>
    <s v="MBA"/>
    <s v="Tinang"/>
    <n v="4547"/>
    <n v="5347"/>
    <s v="CONDUCTED TECHNICAL ASSISTANCE"/>
    <n v="2024"/>
    <d v="2024-09-06T00:00:00"/>
    <x v="0"/>
    <s v="Gretzhen M. Apolonio"/>
    <m/>
    <s v="Rod Ross S. De Jesus"/>
    <m/>
    <m/>
    <m/>
    <m/>
    <m/>
    <s v=""/>
    <s v=""/>
    <s v=""/>
    <s v=""/>
    <m/>
    <s v="MRF"/>
    <s v="NON-OPERATIONAL"/>
    <s v="Technical Assistance"/>
    <m/>
  </r>
  <r>
    <x v="5"/>
    <x v="103"/>
    <s v="OUTSIDE MBA"/>
    <s v="Abagon"/>
    <n v="4428"/>
    <n v="4678"/>
    <s v="NO TECHNICAL ASSISTANCE CONDUCTED"/>
    <m/>
    <m/>
    <x v="0"/>
    <s v="Joshua A. Capones"/>
    <m/>
    <s v="Rod Ross S. De Jesus"/>
    <m/>
    <m/>
    <m/>
    <m/>
    <m/>
    <s v=""/>
    <s v=""/>
    <s v=""/>
    <s v=""/>
    <m/>
    <m/>
    <m/>
    <m/>
    <m/>
  </r>
  <r>
    <x v="5"/>
    <x v="103"/>
    <s v="OUTSIDE MBA"/>
    <s v="Amacalan"/>
    <n v="2845"/>
    <n v="3019"/>
    <s v="CONDUCTED TECHNICAL ASSISTANCE"/>
    <n v="2024"/>
    <d v="2024-07-09T00:00:00"/>
    <x v="0"/>
    <s v="Joshua A. Capones"/>
    <m/>
    <s v="Rod Ross S. De Jesus"/>
    <m/>
    <m/>
    <m/>
    <m/>
    <m/>
    <s v=""/>
    <s v=""/>
    <s v=""/>
    <s v=""/>
    <m/>
    <s v="MRF"/>
    <s v="OPERATIONAL"/>
    <s v="Technical Assistance"/>
    <m/>
  </r>
  <r>
    <x v="5"/>
    <x v="103"/>
    <s v="OUTSIDE MBA"/>
    <s v="Apsayan"/>
    <n v="2193"/>
    <n v="2573"/>
    <s v="CONDUCTED TECHNICAL ASSISTANCE"/>
    <n v="2025"/>
    <d v="2025-02-13T00:00:00"/>
    <x v="3"/>
    <s v="Joshua A. Capones"/>
    <m/>
    <s v="Rod Ross S. De Jesus"/>
    <s v=" R3-2025-005566"/>
    <d v="2025-02-17T00:00:00"/>
    <m/>
    <d v="2025-02-17T00:00:00"/>
    <d v="2025-02-17T00:00:00"/>
    <n v="2"/>
    <s v=""/>
    <n v="1"/>
    <n v="1"/>
    <s v="Received by Planning"/>
    <s v="MRS"/>
    <s v="OPERATIONAL"/>
    <s v="Technical Assistance"/>
    <m/>
  </r>
  <r>
    <x v="5"/>
    <x v="103"/>
    <s v="OUTSIDE MBA"/>
    <s v="Ayson"/>
    <n v="1440"/>
    <n v="1790"/>
    <s v="CONDUCTED TECHNICAL ASSISTANCE"/>
    <n v="2025"/>
    <d v="2025-02-13T00:00:00"/>
    <x v="3"/>
    <s v="Joshua A. Capones"/>
    <m/>
    <s v="Rod Ross S. De Jesus"/>
    <s v="R3-2025-005636"/>
    <d v="2025-02-17T00:00:00"/>
    <m/>
    <d v="2025-02-17T00:00:00"/>
    <d v="2025-02-18T00:00:00"/>
    <n v="2"/>
    <s v=""/>
    <n v="1"/>
    <n v="1"/>
    <s v="Received by Planning"/>
    <s v="MRS"/>
    <s v="OPERATIONAL"/>
    <s v="Technical Assistance"/>
    <m/>
  </r>
  <r>
    <x v="5"/>
    <x v="103"/>
    <s v="OUTSIDE MBA"/>
    <s v="Bawa"/>
    <n v="1879"/>
    <n v="1842"/>
    <s v="NO TECHNICAL ASSISTANCE CONDUCTED"/>
    <m/>
    <m/>
    <x v="0"/>
    <s v="Joshua A. Capones"/>
    <m/>
    <s v="Rod Ross S. De Jesus"/>
    <m/>
    <m/>
    <m/>
    <m/>
    <m/>
    <s v=""/>
    <s v=""/>
    <s v=""/>
    <s v=""/>
    <m/>
    <m/>
    <m/>
    <m/>
    <m/>
  </r>
  <r>
    <x v="5"/>
    <x v="103"/>
    <s v="OUTSIDE MBA"/>
    <s v="Buenlag"/>
    <n v="2310"/>
    <n v="2835"/>
    <s v="NO TECHNICAL ASSISTANCE CONDUCTED"/>
    <m/>
    <m/>
    <x v="0"/>
    <s v="Joshua A. Capones"/>
    <m/>
    <s v="Rod Ross S. De Jesus"/>
    <m/>
    <m/>
    <m/>
    <m/>
    <m/>
    <s v=""/>
    <s v=""/>
    <s v=""/>
    <s v=""/>
    <m/>
    <m/>
    <m/>
    <m/>
    <m/>
  </r>
  <r>
    <x v="5"/>
    <x v="103"/>
    <s v="OUTSIDE MBA"/>
    <s v="Bularit"/>
    <n v="2586"/>
    <n v="2856"/>
    <s v="CONDUCTED TECHNICAL ASSISTANCE"/>
    <n v="2024"/>
    <d v="2024-10-08T00:00:00"/>
    <x v="0"/>
    <s v="Joshua A. Capones"/>
    <m/>
    <s v="Rod Ross S. De Jesus"/>
    <m/>
    <m/>
    <m/>
    <m/>
    <m/>
    <s v=""/>
    <s v=""/>
    <s v=""/>
    <s v=""/>
    <m/>
    <s v="MRS"/>
    <s v="OPERATIONAL"/>
    <s v="Technical Assistance"/>
    <m/>
  </r>
  <r>
    <x v="5"/>
    <x v="103"/>
    <s v="OUTSIDE MBA"/>
    <s v="Calayaan"/>
    <n v="2945"/>
    <n v="3090"/>
    <s v="CONDUCTED TECHNICAL ASSISTANCE"/>
    <n v="2024"/>
    <d v="2024-04-04T00:00:00"/>
    <x v="0"/>
    <s v="Joshua A. Capones"/>
    <m/>
    <s v="Rod Ross S. De Jesus"/>
    <m/>
    <m/>
    <m/>
    <m/>
    <m/>
    <s v=""/>
    <s v=""/>
    <s v=""/>
    <s v=""/>
    <m/>
    <m/>
    <m/>
    <s v="Technical Assistance"/>
    <m/>
  </r>
  <r>
    <x v="5"/>
    <x v="103"/>
    <s v="OUTSIDE MBA"/>
    <s v="Carbonel"/>
    <n v="971"/>
    <n v="1243"/>
    <s v="NO TECHNICAL ASSISTANCE CONDUCTED"/>
    <m/>
    <m/>
    <x v="0"/>
    <s v="Joshua A. Capones"/>
    <m/>
    <s v="Rod Ross S. De Jesus"/>
    <m/>
    <m/>
    <m/>
    <m/>
    <m/>
    <s v=""/>
    <s v=""/>
    <s v=""/>
    <s v=""/>
    <m/>
    <m/>
    <m/>
    <m/>
    <m/>
  </r>
  <r>
    <x v="5"/>
    <x v="103"/>
    <s v="OUTSIDE MBA"/>
    <s v="Cardona"/>
    <n v="2770"/>
    <n v="2891"/>
    <s v="CONDUCTED TECHNICAL ASSISTANCE"/>
    <n v="2025"/>
    <d v="2025-04-08T00:00:00"/>
    <x v="4"/>
    <s v="Joshua A. Capones"/>
    <m/>
    <s v="Rod Ross S. De Jesus"/>
    <s v="R3-2025-011899"/>
    <d v="2025-04-08T00:00:00"/>
    <m/>
    <d v="2025-04-11T00:00:00"/>
    <d v="2025-04-15T00:00:00"/>
    <n v="1"/>
    <s v=""/>
    <n v="3"/>
    <n v="2"/>
    <s v="Received by Planning"/>
    <s v="MRS"/>
    <s v="OPERATIONAL"/>
    <s v="Technical Assistance"/>
    <m/>
  </r>
  <r>
    <x v="5"/>
    <x v="103"/>
    <s v="OUTSIDE MBA"/>
    <s v="Caturay"/>
    <n v="1199"/>
    <n v="1354"/>
    <s v="CONDUCTED TECHNICAL ASSISTANCE"/>
    <n v="2024"/>
    <d v="2024-09-17T00:00:00"/>
    <x v="0"/>
    <s v="Joshua A. Capones"/>
    <m/>
    <s v="Rod Ross S. De Jesus"/>
    <m/>
    <m/>
    <m/>
    <m/>
    <m/>
    <s v=""/>
    <s v=""/>
    <s v=""/>
    <s v=""/>
    <m/>
    <s v="MRS"/>
    <s v="OPERATIONAL"/>
    <s v="Technical Assistance"/>
    <m/>
  </r>
  <r>
    <x v="5"/>
    <x v="103"/>
    <s v="OUTSIDE MBA"/>
    <s v="Danzo"/>
    <n v="1662"/>
    <n v="1800"/>
    <s v="CONDUCTED TECHNICAL ASSISTANCE"/>
    <n v="2024"/>
    <d v="2024-06-13T00:00:00"/>
    <x v="0"/>
    <s v="Joshua A. Capones"/>
    <m/>
    <s v="Rod Ross S. De Jesus"/>
    <m/>
    <m/>
    <m/>
    <m/>
    <m/>
    <s v=""/>
    <s v=""/>
    <s v=""/>
    <s v=""/>
    <m/>
    <m/>
    <m/>
    <s v="Technical Assistance"/>
    <m/>
  </r>
  <r>
    <x v="5"/>
    <x v="103"/>
    <s v="OUTSIDE MBA"/>
    <s v="Dicolor"/>
    <n v="1951"/>
    <n v="2109"/>
    <s v="CONDUCTED TECHNICAL ASSISTANCE"/>
    <n v="2025"/>
    <d v="2025-05-16T00:00:00"/>
    <x v="6"/>
    <s v="Joshua A. Capones"/>
    <m/>
    <s v="Rod Ross S. De Jesus"/>
    <s v="R3-2025-016542"/>
    <d v="2025-05-16T00:00:00"/>
    <m/>
    <d v="2025-05-19T00:00:00"/>
    <d v="2025-05-19T00:00:00"/>
    <n v="1"/>
    <s v=""/>
    <n v="1"/>
    <n v="1"/>
    <s v="Received by Planning"/>
    <s v="NO FACILITY"/>
    <s v="CATER BY LGU"/>
    <s v="Technical Assistance"/>
    <m/>
  </r>
  <r>
    <x v="5"/>
    <x v="103"/>
    <s v="OUTSIDE MBA"/>
    <s v="Don Basilio"/>
    <n v="1207"/>
    <n v="1438"/>
    <s v="NO TECHNICAL ASSISTANCE CONDUCTED"/>
    <m/>
    <m/>
    <x v="0"/>
    <s v="Joshua A. Capones"/>
    <m/>
    <s v="Rod Ross S. De Jesus"/>
    <m/>
    <m/>
    <m/>
    <m/>
    <m/>
    <s v=""/>
    <s v=""/>
    <s v=""/>
    <s v=""/>
    <m/>
    <m/>
    <m/>
    <m/>
    <m/>
  </r>
  <r>
    <x v="5"/>
    <x v="103"/>
    <s v="OUTSIDE MBA"/>
    <s v="Luna"/>
    <n v="1797"/>
    <n v="2108"/>
    <s v="CONDUCTED TECHNICAL ASSISTANCE"/>
    <n v="2024"/>
    <d v="2024-10-03T00:00:00"/>
    <x v="0"/>
    <s v="Joshua A. Capones"/>
    <m/>
    <s v="Rod Ross S. De Jesus"/>
    <m/>
    <m/>
    <m/>
    <m/>
    <m/>
    <s v=""/>
    <s v=""/>
    <s v=""/>
    <s v=""/>
    <m/>
    <s v="MRF"/>
    <s v="OPERATIONAL"/>
    <s v="Technical Assistance"/>
    <m/>
  </r>
  <r>
    <x v="5"/>
    <x v="103"/>
    <s v="OUTSIDE MBA"/>
    <s v="Mabini"/>
    <n v="1573"/>
    <n v="1856"/>
    <s v="NO TECHNICAL ASSISTANCE CONDUCTED"/>
    <m/>
    <m/>
    <x v="0"/>
    <s v="Joshua A. Capones"/>
    <m/>
    <s v="Rod Ross S. De Jesus"/>
    <m/>
    <m/>
    <m/>
    <m/>
    <m/>
    <s v=""/>
    <s v=""/>
    <s v=""/>
    <s v=""/>
    <m/>
    <m/>
    <m/>
    <m/>
    <m/>
  </r>
  <r>
    <x v="5"/>
    <x v="103"/>
    <s v="OUTSIDE MBA"/>
    <s v="Magaspac"/>
    <n v="4627"/>
    <n v="4898"/>
    <s v="NO TECHNICAL ASSISTANCE CONDUCTED"/>
    <m/>
    <m/>
    <x v="0"/>
    <s v="Joshua A. Capones"/>
    <m/>
    <s v="Rod Ross S. De Jesus"/>
    <m/>
    <m/>
    <m/>
    <m/>
    <m/>
    <s v=""/>
    <s v=""/>
    <s v=""/>
    <s v=""/>
    <m/>
    <m/>
    <m/>
    <m/>
    <m/>
  </r>
  <r>
    <x v="5"/>
    <x v="103"/>
    <s v="OUTSIDE MBA"/>
    <s v="Malayep"/>
    <n v="1481"/>
    <n v="1637"/>
    <s v="NO TECHNICAL ASSISTANCE CONDUCTED"/>
    <m/>
    <m/>
    <x v="0"/>
    <s v="Joshua A. Capones"/>
    <m/>
    <s v="Rod Ross S. De Jesus"/>
    <m/>
    <m/>
    <m/>
    <m/>
    <m/>
    <s v=""/>
    <s v=""/>
    <s v=""/>
    <s v=""/>
    <m/>
    <m/>
    <m/>
    <m/>
    <m/>
  </r>
  <r>
    <x v="5"/>
    <x v="103"/>
    <s v="OUTSIDE MBA"/>
    <s v="Matapitap"/>
    <n v="1327"/>
    <n v="1522"/>
    <s v="NO TECHNICAL ASSISTANCE CONDUCTED"/>
    <m/>
    <m/>
    <x v="0"/>
    <s v="Joshua A. Capones"/>
    <m/>
    <s v="Rod Ross S. De Jesus"/>
    <m/>
    <m/>
    <m/>
    <m/>
    <m/>
    <s v=""/>
    <s v=""/>
    <s v=""/>
    <s v=""/>
    <m/>
    <m/>
    <m/>
    <m/>
    <m/>
  </r>
  <r>
    <x v="5"/>
    <x v="103"/>
    <s v="OUTSIDE MBA"/>
    <s v="Matayumcab"/>
    <n v="1606"/>
    <n v="1826"/>
    <s v="NO TECHNICAL ASSISTANCE CONDUCTED"/>
    <m/>
    <m/>
    <x v="0"/>
    <s v="Joshua A. Capones"/>
    <m/>
    <s v="Rod Ross S. De Jesus"/>
    <m/>
    <m/>
    <m/>
    <m/>
    <m/>
    <s v=""/>
    <s v=""/>
    <s v=""/>
    <s v=""/>
    <m/>
    <m/>
    <m/>
    <m/>
    <m/>
  </r>
  <r>
    <x v="5"/>
    <x v="103"/>
    <s v="OUTSIDE MBA"/>
    <s v="New Salem"/>
    <n v="1113"/>
    <n v="1233"/>
    <s v="CONDUCTED TECHNICAL ASSISTANCE"/>
    <n v="2025"/>
    <d v="2025-08-06T00:00:00"/>
    <x v="9"/>
    <s v="Joshua A. Capones"/>
    <m/>
    <s v="Rod Ross S. De Jesus"/>
    <s v="R3-2025-026427"/>
    <d v="2025-08-08T00:00:00"/>
    <m/>
    <d v="2025-08-11T00:00:00"/>
    <d v="2025-08-13T00:00:00"/>
    <n v="2"/>
    <s v=""/>
    <n v="1"/>
    <n v="2"/>
    <s v="Received by Planning"/>
    <s v="MRF"/>
    <s v="OPERATIONAL"/>
    <s v="Technical Assistance"/>
    <m/>
  </r>
  <r>
    <x v="5"/>
    <x v="103"/>
    <s v="OUTSIDE MBA"/>
    <s v="Oloybuaya"/>
    <n v="1172"/>
    <n v="1110"/>
    <s v="NO TECHNICAL ASSISTANCE CONDUCTED"/>
    <m/>
    <m/>
    <x v="0"/>
    <s v="Joshua A. Capones"/>
    <m/>
    <s v="Rod Ross S. De Jesus"/>
    <m/>
    <m/>
    <m/>
    <m/>
    <m/>
    <s v=""/>
    <s v=""/>
    <s v=""/>
    <s v=""/>
    <m/>
    <m/>
    <m/>
    <m/>
    <m/>
  </r>
  <r>
    <x v="5"/>
    <x v="103"/>
    <s v="OUTSIDE MBA"/>
    <s v="Padapada"/>
    <n v="1334"/>
    <n v="1327"/>
    <s v="NO TECHNICAL ASSISTANCE CONDUCTED"/>
    <m/>
    <m/>
    <x v="0"/>
    <s v="Joshua A. Capones"/>
    <m/>
    <s v="Rod Ross S. De Jesus"/>
    <m/>
    <m/>
    <m/>
    <m/>
    <m/>
    <s v=""/>
    <s v=""/>
    <s v=""/>
    <s v=""/>
    <m/>
    <m/>
    <m/>
    <s v="Technical Assistance"/>
    <m/>
  </r>
  <r>
    <x v="5"/>
    <x v="103"/>
    <s v="OUTSIDE MBA"/>
    <s v="Parsolingan"/>
    <n v="2904"/>
    <n v="3271"/>
    <s v="CONDUCTED TECHNICAL ASSISTANCE"/>
    <n v="2024"/>
    <d v="2024-09-09T00:00:00"/>
    <x v="0"/>
    <s v="Joshua A. Capones"/>
    <m/>
    <s v="Rod Ross S. De Jesus"/>
    <m/>
    <m/>
    <m/>
    <m/>
    <m/>
    <s v=""/>
    <s v=""/>
    <s v=""/>
    <s v=""/>
    <m/>
    <s v="MRS"/>
    <s v="OPERATIONAL"/>
    <s v="Technical Assistance"/>
    <m/>
  </r>
  <r>
    <x v="5"/>
    <x v="103"/>
    <s v="OUTSIDE MBA"/>
    <s v="Pinasling"/>
    <n v="3775"/>
    <n v="3701"/>
    <s v="NO TECHNICAL ASSISTANCE CONDUCTED"/>
    <m/>
    <m/>
    <x v="0"/>
    <s v="Joshua A. Capones"/>
    <m/>
    <s v="Rod Ross S. De Jesus"/>
    <m/>
    <m/>
    <m/>
    <m/>
    <m/>
    <s v=""/>
    <s v=""/>
    <s v=""/>
    <s v=""/>
    <m/>
    <m/>
    <m/>
    <m/>
    <m/>
  </r>
  <r>
    <x v="5"/>
    <x v="103"/>
    <s v="OUTSIDE MBA"/>
    <s v="Plastado"/>
    <n v="1444"/>
    <n v="1589"/>
    <s v="CONDUCTED TECHNICAL ASSISTANCE"/>
    <n v="2025"/>
    <d v="2025-06-11T00:00:00"/>
    <x v="10"/>
    <s v="Joshua A. Capones"/>
    <m/>
    <s v="Rod Ross S. De Jesus"/>
    <s v="R3-2025-019620"/>
    <d v="2025-06-14T00:00:00"/>
    <m/>
    <d v="2025-06-16T00:00:00"/>
    <d v="2025-06-16T00:00:00"/>
    <n v="2"/>
    <s v=""/>
    <n v="1"/>
    <n v="1"/>
    <s v="Received by Planning"/>
    <s v="MRS"/>
    <s v="OPERATIONAL"/>
    <s v="Technical Assistance"/>
    <m/>
  </r>
  <r>
    <x v="5"/>
    <x v="103"/>
    <s v="OUTSIDE MBA"/>
    <s v="Poblacion 1"/>
    <n v="2755"/>
    <n v="2986"/>
    <s v="CONDUCTED TECHNICAL ASSISTANCE"/>
    <n v="2024"/>
    <d v="2024-11-06T00:00:00"/>
    <x v="0"/>
    <s v="Joshua A. Capones"/>
    <m/>
    <s v="Rod Ross S. De Jesus"/>
    <m/>
    <m/>
    <m/>
    <m/>
    <m/>
    <s v=""/>
    <s v=""/>
    <s v=""/>
    <s v=""/>
    <m/>
    <s v="MRS"/>
    <s v="OPERATIONAL"/>
    <s v="Technical Assistance"/>
    <m/>
  </r>
  <r>
    <x v="5"/>
    <x v="103"/>
    <s v="OUTSIDE MBA"/>
    <s v="Poblacion 2"/>
    <n v="1151"/>
    <n v="1017"/>
    <s v="CONDUCTED TECHNICAL ASSISTANCE"/>
    <n v="2024"/>
    <d v="2024-04-04T00:00:00"/>
    <x v="0"/>
    <s v="Joshua A. Capones"/>
    <m/>
    <s v="Rod Ross S. De Jesus"/>
    <m/>
    <m/>
    <m/>
    <m/>
    <m/>
    <s v=""/>
    <s v=""/>
    <s v=""/>
    <s v=""/>
    <m/>
    <m/>
    <m/>
    <s v="Technical Assistance"/>
    <m/>
  </r>
  <r>
    <x v="5"/>
    <x v="103"/>
    <s v="OUTSIDE MBA"/>
    <s v="Poblacion 3"/>
    <n v="2082"/>
    <n v="2081"/>
    <s v="NO TECHNICAL ASSISTANCE CONDUCTED"/>
    <m/>
    <m/>
    <x v="0"/>
    <s v="Joshua A. Capones"/>
    <m/>
    <s v="Rod Ross S. De Jesus"/>
    <m/>
    <m/>
    <m/>
    <m/>
    <m/>
    <s v=""/>
    <s v=""/>
    <s v=""/>
    <s v=""/>
    <m/>
    <m/>
    <m/>
    <m/>
    <m/>
  </r>
  <r>
    <x v="5"/>
    <x v="103"/>
    <s v="OUTSIDE MBA"/>
    <s v="Quezon"/>
    <n v="1264"/>
    <n v="1279"/>
    <s v="CONDUCTED TECHNICAL ASSISTANCE"/>
    <n v="2025"/>
    <d v="2025-08-06T00:00:00"/>
    <x v="9"/>
    <s v="Joshua A. Capones"/>
    <m/>
    <s v="Rod Ross S. De Jesus"/>
    <s v="R3-2025-026428"/>
    <d v="2025-08-08T00:00:00"/>
    <m/>
    <d v="2025-08-12T00:00:00"/>
    <d v="2025-08-13T00:00:00"/>
    <n v="2"/>
    <s v=""/>
    <n v="2"/>
    <n v="1"/>
    <s v="Received by Planning"/>
    <s v="MRS"/>
    <s v="OPERATIONAL"/>
    <s v="Technical Assistance"/>
    <m/>
  </r>
  <r>
    <x v="5"/>
    <x v="103"/>
    <s v="OUTSIDE MBA"/>
    <s v="Rizal"/>
    <n v="1331"/>
    <n v="1592"/>
    <s v="NO TECHNICAL ASSISTANCE CONDUCTED"/>
    <m/>
    <m/>
    <x v="0"/>
    <s v="Joshua A. Capones"/>
    <m/>
    <s v="Rod Ross S. De Jesus"/>
    <m/>
    <m/>
    <m/>
    <m/>
    <m/>
    <s v=""/>
    <s v=""/>
    <s v=""/>
    <s v=""/>
    <m/>
    <m/>
    <m/>
    <m/>
    <m/>
  </r>
  <r>
    <x v="5"/>
    <x v="103"/>
    <s v="OUTSIDE MBA"/>
    <s v="Salapungan"/>
    <n v="2981"/>
    <n v="3050"/>
    <s v="CONDUCTED TECHNICAL ASSISTANCE"/>
    <n v="2024"/>
    <d v="2024-04-04T00:00:00"/>
    <x v="0"/>
    <s v="Joshua A. Capones"/>
    <m/>
    <s v="Rod Ross S. De Jesus"/>
    <m/>
    <m/>
    <m/>
    <m/>
    <m/>
    <s v=""/>
    <s v=""/>
    <s v=""/>
    <s v=""/>
    <m/>
    <m/>
    <m/>
    <s v="Technical Assistance"/>
    <m/>
  </r>
  <r>
    <x v="5"/>
    <x v="103"/>
    <s v="OUTSIDE MBA"/>
    <s v="San Agustin"/>
    <n v="1463"/>
    <n v="1779"/>
    <s v="CONDUCTED TECHNICAL ASSISTANCE"/>
    <n v="2024"/>
    <d v="2024-11-12T00:00:00"/>
    <x v="0"/>
    <s v="Joshua A. Capones"/>
    <m/>
    <s v="Rod Ross S. De Jesus"/>
    <m/>
    <m/>
    <m/>
    <m/>
    <m/>
    <s v=""/>
    <s v=""/>
    <s v=""/>
    <s v=""/>
    <m/>
    <s v="MRS"/>
    <s v="OPERATIONAL"/>
    <s v="Technical Assistance"/>
    <m/>
  </r>
  <r>
    <x v="5"/>
    <x v="103"/>
    <s v="OUTSIDE MBA"/>
    <s v="San Antonio"/>
    <n v="3106"/>
    <n v="3186"/>
    <s v="NO TECHNICAL ASSISTANCE CONDUCTED"/>
    <m/>
    <m/>
    <x v="0"/>
    <s v="Joshua A. Capones"/>
    <m/>
    <s v="Rod Ross S. De Jesus"/>
    <m/>
    <m/>
    <m/>
    <m/>
    <m/>
    <s v=""/>
    <s v=""/>
    <s v=""/>
    <s v=""/>
    <m/>
    <m/>
    <m/>
    <m/>
    <m/>
  </r>
  <r>
    <x v="5"/>
    <x v="103"/>
    <s v="OUTSIDE MBA"/>
    <s v="San Bartolome"/>
    <n v="1065"/>
    <n v="1212"/>
    <s v="CONDUCTED TECHNICAL ASSISTANCE"/>
    <n v="2025"/>
    <d v="2025-07-10T00:00:00"/>
    <x v="8"/>
    <s v="Joshua A. Capones"/>
    <m/>
    <s v="Rod Ross S. De Jesus"/>
    <s v="R3-2025-023128"/>
    <d v="2025-07-12T00:00:00"/>
    <m/>
    <d v="2025-07-16T00:00:00"/>
    <d v="2025-07-17T00:00:00"/>
    <n v="1"/>
    <s v=""/>
    <n v="2"/>
    <n v="1"/>
    <s v="Received by Planning"/>
    <s v="MRS"/>
    <s v="OPERATIONAL"/>
    <s v="Technical Assistance"/>
    <m/>
  </r>
  <r>
    <x v="5"/>
    <x v="103"/>
    <s v="OUTSIDE MBA"/>
    <s v="San Jose"/>
    <n v="1244"/>
    <n v="1492"/>
    <s v="NO TECHNICAL ASSISTANCE CONDUCTED"/>
    <m/>
    <m/>
    <x v="0"/>
    <s v="Joshua A. Capones"/>
    <m/>
    <s v="Rod Ross S. De Jesus"/>
    <m/>
    <m/>
    <m/>
    <m/>
    <m/>
    <s v=""/>
    <s v=""/>
    <s v=""/>
    <s v=""/>
    <m/>
    <m/>
    <m/>
    <m/>
    <m/>
  </r>
  <r>
    <x v="5"/>
    <x v="103"/>
    <s v="OUTSIDE MBA"/>
    <s v="Santa Lucia"/>
    <n v="778"/>
    <n v="903"/>
    <s v="CONDUCTED TECHNICAL ASSISTANCE"/>
    <n v="2025"/>
    <d v="2025-07-10T00:00:00"/>
    <x v="8"/>
    <s v="Joshua A. Capones"/>
    <m/>
    <s v="Rod Ross S. De Jesus"/>
    <s v="R3-2025-023126"/>
    <d v="2025-07-12T00:00:00"/>
    <m/>
    <d v="2025-07-16T00:00:00"/>
    <d v="2025-07-17T00:00:00"/>
    <n v="1"/>
    <s v=""/>
    <n v="2"/>
    <n v="1"/>
    <s v="Received by Planning"/>
    <s v="MRS"/>
    <s v="OPERATIONAL"/>
    <s v="Technical Assistance"/>
    <m/>
  </r>
  <r>
    <x v="5"/>
    <x v="103"/>
    <s v="OUTSIDE MBA"/>
    <s v="Santiago"/>
    <n v="2082"/>
    <n v="2283"/>
    <s v="CONDUCTED TECHNICAL ASSISTANCE"/>
    <n v="2025"/>
    <d v="2025-08-06T00:00:00"/>
    <x v="9"/>
    <s v="Joshua A. Capones"/>
    <m/>
    <s v="Rod Ross S. De Jesus"/>
    <s v="R3-2025-026429"/>
    <d v="2025-08-08T00:00:00"/>
    <m/>
    <d v="2025-08-12T00:00:00"/>
    <d v="2025-08-13T00:00:00"/>
    <n v="2"/>
    <s v=""/>
    <n v="2"/>
    <n v="1"/>
    <s v="Received by Planning"/>
    <s v="MRS"/>
    <s v="OPERATIONAL"/>
    <s v="Technical Assistance"/>
    <m/>
  </r>
  <r>
    <x v="5"/>
    <x v="103"/>
    <s v="OUTSIDE MBA"/>
    <s v="Sembrano"/>
    <n v="1416"/>
    <n v="1573"/>
    <s v="CONDUCTED TECHNICAL ASSISTANCE"/>
    <n v="2024"/>
    <d v="2024-11-06T00:00:00"/>
    <x v="0"/>
    <s v="Joshua A. Capones"/>
    <m/>
    <s v="Rod Ross S. De Jesus"/>
    <m/>
    <m/>
    <m/>
    <m/>
    <m/>
    <s v=""/>
    <s v=""/>
    <s v=""/>
    <s v=""/>
    <m/>
    <s v="MRF"/>
    <s v="OPERATIONAL"/>
    <s v="Technical Assistance"/>
    <m/>
  </r>
  <r>
    <x v="5"/>
    <x v="103"/>
    <s v="OUTSIDE MBA"/>
    <s v="Singat"/>
    <n v="1695"/>
    <n v="1528"/>
    <s v="NO TECHNICAL ASSISTANCE CONDUCTED"/>
    <m/>
    <m/>
    <x v="0"/>
    <s v="Joshua A. Capones"/>
    <m/>
    <s v="Rod Ross S. De Jesus"/>
    <m/>
    <m/>
    <m/>
    <m/>
    <m/>
    <s v=""/>
    <s v=""/>
    <s v=""/>
    <s v=""/>
    <m/>
    <m/>
    <m/>
    <m/>
    <m/>
  </r>
  <r>
    <x v="5"/>
    <x v="103"/>
    <s v="OUTSIDE MBA"/>
    <s v="Sulipa"/>
    <n v="1627"/>
    <n v="1732"/>
    <s v="CONDUCTED TECHNICAL ASSISTANCE"/>
    <n v="2024"/>
    <d v="2024-11-07T00:00:00"/>
    <x v="0"/>
    <s v="Joshua A. Capones"/>
    <m/>
    <s v="Rod Ross S. De Jesus"/>
    <m/>
    <m/>
    <m/>
    <m/>
    <m/>
    <s v=""/>
    <s v=""/>
    <s v=""/>
    <s v=""/>
    <m/>
    <s v="MRF"/>
    <s v="OPERATIONAL"/>
    <s v="Technical Assistance"/>
    <m/>
  </r>
  <r>
    <x v="5"/>
    <x v="103"/>
    <s v="OUTSIDE MBA"/>
    <s v="Tagumbao"/>
    <n v="4586"/>
    <n v="4461"/>
    <s v="NO TECHNICAL ASSISTANCE CONDUCTED"/>
    <m/>
    <m/>
    <x v="0"/>
    <s v="Joshua A. Capones"/>
    <m/>
    <s v="Rod Ross S. De Jesus"/>
    <m/>
    <m/>
    <m/>
    <m/>
    <m/>
    <s v=""/>
    <s v=""/>
    <s v=""/>
    <s v=""/>
    <m/>
    <m/>
    <m/>
    <m/>
    <m/>
  </r>
  <r>
    <x v="5"/>
    <x v="103"/>
    <s v="OUTSIDE MBA"/>
    <s v="Tangcaran"/>
    <n v="750"/>
    <n v="917"/>
    <s v="NO TECHNICAL ASSISTANCE CONDUCTED"/>
    <m/>
    <m/>
    <x v="0"/>
    <s v="Joshua A. Capones"/>
    <m/>
    <s v="Rod Ross S. De Jesus"/>
    <m/>
    <m/>
    <m/>
    <m/>
    <m/>
    <s v=""/>
    <s v=""/>
    <s v=""/>
    <s v=""/>
    <m/>
    <m/>
    <m/>
    <m/>
    <m/>
  </r>
  <r>
    <x v="5"/>
    <x v="103"/>
    <s v="OUTSIDE MBA"/>
    <s v="Villa Paz"/>
    <n v="1616"/>
    <n v="1818"/>
    <s v="NO TECHNICAL ASSISTANCE CONDUCTED"/>
    <m/>
    <m/>
    <x v="0"/>
    <s v="Joshua A. Capones"/>
    <m/>
    <s v="Rod Ross S. De Jesus"/>
    <m/>
    <m/>
    <m/>
    <m/>
    <m/>
    <s v=""/>
    <s v=""/>
    <s v=""/>
    <s v=""/>
    <m/>
    <m/>
    <m/>
    <m/>
    <m/>
  </r>
  <r>
    <x v="5"/>
    <x v="104"/>
    <s v="MBA"/>
    <s v="Motrico"/>
    <n v="3206"/>
    <n v="3459"/>
    <s v="CONDUCTED TECHNICAL ASSISTANCE"/>
    <n v="2025"/>
    <d v="2025-09-10T00:00:00"/>
    <x v="7"/>
    <s v="Joshua A. Capones"/>
    <m/>
    <s v="Rod Ross S. De Jesus"/>
    <s v="R3-2025-031318"/>
    <d v="2025-09-15T00:00:00"/>
    <m/>
    <d v="2025-09-17T00:00:00"/>
    <d v="2025-09-19T00:00:00"/>
    <n v="3"/>
    <s v=""/>
    <n v="2"/>
    <n v="2"/>
    <s v="Received by Planning"/>
    <s v="MRS"/>
    <s v="OPERATIONAL"/>
    <s v="Technical Assistance"/>
    <m/>
  </r>
  <r>
    <x v="5"/>
    <x v="104"/>
    <s v="MBA"/>
    <s v="Balanoy"/>
    <n v="2338"/>
    <n v="2572"/>
    <s v="CONDUCTED TECHNICAL ASSISTANCE"/>
    <n v="2025"/>
    <d v="2025-04-02T00:00:00"/>
    <x v="4"/>
    <s v="Joshua A. Capones"/>
    <m/>
    <s v="Rod Ross S. De Jesus"/>
    <s v="R3-2025-011691"/>
    <d v="2025-04-07T00:00:00"/>
    <m/>
    <d v="2025-04-08T00:00:00"/>
    <d v="2025-04-10T00:00:00"/>
    <n v="3"/>
    <s v=""/>
    <n v="1"/>
    <n v="2"/>
    <s v="Received by Planning"/>
    <s v="NO FACILITY"/>
    <s v="CATER BY LGU"/>
    <s v="Technical Assistance"/>
    <m/>
  </r>
  <r>
    <x v="5"/>
    <x v="104"/>
    <s v="MBA"/>
    <s v="Bantog"/>
    <n v="2790"/>
    <n v="3058"/>
    <s v="CONDUCTED TECHNICAL ASSISTANCE"/>
    <n v="2025"/>
    <d v="2025-08-08T00:00:00"/>
    <x v="9"/>
    <s v="Gretzhen M. Apolonio"/>
    <m/>
    <s v="Rod Ross S. De Jesus"/>
    <s v="R3-2025-027592"/>
    <d v="2025-08-16T00:00:00"/>
    <m/>
    <d v="2025-08-18T00:00:00"/>
    <d v="2025-08-19T00:00:00"/>
    <n v="5"/>
    <s v=""/>
    <n v="1"/>
    <n v="1"/>
    <s v="Received by Planning"/>
    <s v="MRS"/>
    <s v="OPERATIONAL"/>
    <s v="Technical Assistance"/>
    <m/>
  </r>
  <r>
    <x v="5"/>
    <x v="104"/>
    <s v="MBA"/>
    <s v="Caramutan"/>
    <n v="4212"/>
    <n v="4378"/>
    <s v="CONDUCTED TECHNICAL ASSISTANCE"/>
    <n v="2025"/>
    <d v="2025-04-02T00:00:00"/>
    <x v="4"/>
    <s v="Joshua A. Capones"/>
    <m/>
    <s v="Rod Ross S. De Jesus"/>
    <s v="R3-2025-011693"/>
    <d v="2025-04-07T00:00:00"/>
    <m/>
    <d v="2025-04-08T00:00:00"/>
    <d v="2025-04-10T00:00:00"/>
    <n v="3"/>
    <s v=""/>
    <n v="1"/>
    <n v="2"/>
    <s v="Received by Planning"/>
    <s v="NO FACILITY"/>
    <s v="Not Applicable"/>
    <s v="Technical Assistance"/>
    <m/>
  </r>
  <r>
    <x v="5"/>
    <x v="104"/>
    <s v="MBA"/>
    <s v="Caut"/>
    <n v="2588"/>
    <n v="2718"/>
    <s v="CONDUCTED TECHNICAL ASSISTANCE"/>
    <n v="2024"/>
    <d v="2024-11-06T00:00:00"/>
    <x v="0"/>
    <s v="Joshua A. Capones"/>
    <m/>
    <s v="Rod Ross S. De Jesus"/>
    <m/>
    <m/>
    <m/>
    <m/>
    <m/>
    <s v=""/>
    <s v=""/>
    <s v=""/>
    <s v=""/>
    <m/>
    <s v="MRS"/>
    <s v="OPERATIONAL"/>
    <s v="Technical Assistance"/>
    <m/>
  </r>
  <r>
    <x v="5"/>
    <x v="104"/>
    <s v="MBA"/>
    <s v="Comillas"/>
    <n v="4552"/>
    <n v="5101"/>
    <s v="CONDUCTED TECHNICAL ASSISTANCE"/>
    <n v="2025"/>
    <d v="2025-08-08T00:00:00"/>
    <x v="9"/>
    <s v="Joshua A. Capones"/>
    <m/>
    <s v="Rod Ross S. De Jesus"/>
    <s v="R3-2025-027590"/>
    <d v="2025-08-16T00:00:00"/>
    <m/>
    <d v="2025-08-18T00:00:00"/>
    <d v="2025-08-19T00:00:00"/>
    <n v="5"/>
    <s v=""/>
    <n v="1"/>
    <n v="1"/>
    <s v="Received by Planning"/>
    <s v="NO FACILITY"/>
    <s v="CATER BY LGU"/>
    <s v="Technical Assistance"/>
    <m/>
  </r>
  <r>
    <x v="5"/>
    <x v="104"/>
    <s v="MBA"/>
    <s v="Dumarais"/>
    <n v="4206"/>
    <n v="4690"/>
    <s v="CONDUCTED TECHNICAL ASSISTANCE"/>
    <n v="2024"/>
    <d v="2024-10-03T00:00:00"/>
    <x v="0"/>
    <s v="Joshua A. Capones"/>
    <m/>
    <s v="Rod Ross S. De Jesus"/>
    <m/>
    <m/>
    <m/>
    <m/>
    <m/>
    <s v=""/>
    <s v=""/>
    <s v=""/>
    <s v=""/>
    <m/>
    <s v="MRF"/>
    <s v="OPERATIONAL"/>
    <s v="Technical Assistance"/>
    <m/>
  </r>
  <r>
    <x v="5"/>
    <x v="104"/>
    <s v="MBA"/>
    <s v="Guevarra"/>
    <n v="4619"/>
    <n v="5062"/>
    <s v="CONDUCTED TECHNICAL ASSISTANCE"/>
    <n v="2025"/>
    <d v="2025-08-07T00:00:00"/>
    <x v="9"/>
    <s v="Gretzhen M. Apolonio"/>
    <m/>
    <s v="Rod Ross S. De Jesus"/>
    <s v="R3-2025-027598"/>
    <d v="2025-08-17T00:00:00"/>
    <m/>
    <d v="2025-08-18T00:00:00"/>
    <d v="2025-08-19T00:00:00"/>
    <n v="6"/>
    <s v=""/>
    <n v="1"/>
    <n v="1"/>
    <s v="Received by Planning"/>
    <s v="NO FACILITY"/>
    <s v="CATER BY LGU"/>
    <s v="Technical Assistance"/>
    <m/>
  </r>
  <r>
    <x v="5"/>
    <x v="104"/>
    <s v="MBA"/>
    <s v="Kapanikian"/>
    <n v="2011"/>
    <n v="1750"/>
    <s v="CONDUCTED TECHNICAL ASSISTANCE"/>
    <n v="2024"/>
    <d v="2024-09-10T00:00:00"/>
    <x v="0"/>
    <s v="Joshua A. Capones"/>
    <m/>
    <s v="Rod Ross S. De Jesus"/>
    <m/>
    <m/>
    <m/>
    <m/>
    <m/>
    <s v=""/>
    <s v=""/>
    <s v=""/>
    <s v=""/>
    <m/>
    <s v="MRF"/>
    <s v="OPERATIONAL"/>
    <s v="Technical Assistance"/>
    <m/>
  </r>
  <r>
    <x v="5"/>
    <x v="104"/>
    <s v="MBA"/>
    <s v="La Purisima"/>
    <n v="3113"/>
    <n v="3571"/>
    <s v="CONDUCTED TECHNICAL ASSISTANCE"/>
    <n v="2025"/>
    <d v="2025-08-07T00:00:00"/>
    <x v="9"/>
    <s v="Gretzhen M. Apolonio"/>
    <m/>
    <s v="Rod Ross S. De Jesus"/>
    <s v="R3-2025-027597"/>
    <d v="2025-08-17T00:00:00"/>
    <m/>
    <d v="2025-08-18T00:00:00"/>
    <d v="2025-08-19T00:00:00"/>
    <n v="6"/>
    <s v=""/>
    <n v="1"/>
    <n v="1"/>
    <s v="Received by Planning"/>
    <s v="MRS"/>
    <s v="OPERATIONAL"/>
    <s v="Technical Assistance"/>
    <m/>
  </r>
  <r>
    <x v="5"/>
    <x v="104"/>
    <s v="MBA"/>
    <s v="Lara"/>
    <n v="1255"/>
    <n v="1205"/>
    <s v="CONDUCTED TECHNICAL ASSISTANCE"/>
    <n v="2024"/>
    <d v="2024-06-13T00:00:00"/>
    <x v="0"/>
    <s v="Joshua A. Capones"/>
    <m/>
    <s v="Rod Ross S. De Jesus"/>
    <m/>
    <m/>
    <m/>
    <m/>
    <m/>
    <s v=""/>
    <s v=""/>
    <s v=""/>
    <s v=""/>
    <m/>
    <m/>
    <m/>
    <s v="Technical Assistance"/>
    <m/>
  </r>
  <r>
    <x v="5"/>
    <x v="104"/>
    <s v="MBA"/>
    <s v="Laungcupang"/>
    <n v="2152"/>
    <n v="2297"/>
    <s v="CONDUCTED TECHNICAL ASSISTANCE"/>
    <n v="2025"/>
    <d v="2025-08-08T00:00:00"/>
    <x v="9"/>
    <s v="Gretzhen M. Apolonio"/>
    <m/>
    <s v="Rod Ross S. De Jesus"/>
    <s v="R3-2025-027595"/>
    <d v="2025-08-17T00:00:00"/>
    <m/>
    <d v="2025-08-18T00:00:00"/>
    <d v="2025-08-19T00:00:00"/>
    <n v="5"/>
    <s v=""/>
    <n v="1"/>
    <n v="1"/>
    <s v="Received by Planning"/>
    <s v="NO FACILITY"/>
    <s v="CATER BY LGU"/>
    <s v="Technical Assistance"/>
    <m/>
  </r>
  <r>
    <x v="5"/>
    <x v="104"/>
    <s v="MBA"/>
    <s v="Lomboy"/>
    <n v="3414"/>
    <n v="3833"/>
    <s v="CONDUCTED TECHNICAL ASSISTANCE"/>
    <n v="2025"/>
    <d v="2025-08-07T00:00:00"/>
    <x v="9"/>
    <s v="Gretzhen M. Apolonio"/>
    <m/>
    <s v="Rod Ross S. De Jesus"/>
    <s v="R3-2025-027600"/>
    <d v="2025-08-17T00:00:00"/>
    <m/>
    <d v="2025-08-18T00:00:00"/>
    <d v="2025-08-19T00:00:00"/>
    <n v="6"/>
    <s v=""/>
    <n v="1"/>
    <n v="1"/>
    <s v="Received by Planning"/>
    <s v="NO FACILITY"/>
    <s v="CATER BY LGU"/>
    <s v="Technical Assistance"/>
    <m/>
  </r>
  <r>
    <x v="5"/>
    <x v="104"/>
    <s v="MBA"/>
    <s v="Macalong"/>
    <n v="2125"/>
    <n v="2348"/>
    <s v="CONDUCTED TECHNICAL ASSISTANCE"/>
    <n v="2024"/>
    <d v="2024-04-02T00:00:00"/>
    <x v="0"/>
    <s v="Joshua A. Capones"/>
    <m/>
    <s v="Rod Ross S. De Jesus"/>
    <m/>
    <m/>
    <m/>
    <m/>
    <m/>
    <s v=""/>
    <s v=""/>
    <s v=""/>
    <s v=""/>
    <m/>
    <m/>
    <m/>
    <s v="Technical Assistance"/>
    <m/>
  </r>
  <r>
    <x v="5"/>
    <x v="104"/>
    <s v="MBA"/>
    <s v="Matayumtayum"/>
    <n v="2820"/>
    <n v="3293"/>
    <s v="CONDUCTED TECHNICAL ASSISTANCE"/>
    <n v="2024"/>
    <d v="2024-05-07T00:00:00"/>
    <x v="0"/>
    <s v="Joshua A. Capones"/>
    <m/>
    <s v="Rod Ross S. De Jesus"/>
    <m/>
    <m/>
    <m/>
    <m/>
    <m/>
    <s v=""/>
    <s v=""/>
    <s v=""/>
    <s v=""/>
    <m/>
    <m/>
    <m/>
    <s v="Technical Assistance"/>
    <m/>
  </r>
  <r>
    <x v="5"/>
    <x v="104"/>
    <s v="MBA"/>
    <s v="Mayang"/>
    <n v="1739"/>
    <n v="1956"/>
    <s v="CONDUCTED TECHNICAL ASSISTANCE"/>
    <n v="2024"/>
    <d v="2024-09-10T00:00:00"/>
    <x v="0"/>
    <s v="Joshua A. Capones"/>
    <m/>
    <s v="Rod Ross S. De Jesus"/>
    <m/>
    <m/>
    <m/>
    <m/>
    <m/>
    <s v=""/>
    <s v=""/>
    <s v=""/>
    <s v=""/>
    <m/>
    <s v="MRF"/>
    <s v="OPERATIONAL"/>
    <s v="Technical Assistance"/>
    <m/>
  </r>
  <r>
    <x v="5"/>
    <x v="104"/>
    <s v="MBA"/>
    <s v="Paludpud"/>
    <n v="1672"/>
    <n v="1854"/>
    <s v="CONDUCTED TECHNICAL ASSISTANCE"/>
    <n v="2025"/>
    <d v="2025-09-09T00:00:00"/>
    <x v="7"/>
    <s v="Gretzhen M. Apolonio"/>
    <m/>
    <s v="Rod Ross S. De Jesus"/>
    <s v="R3-2025-031314"/>
    <d v="2025-09-15T00:00:00"/>
    <m/>
    <d v="2025-09-17T00:00:00"/>
    <d v="2025-09-19T00:00:00"/>
    <n v="4"/>
    <s v=""/>
    <n v="2"/>
    <n v="2"/>
    <s v="Received by Planning"/>
    <s v="NO FACILITY"/>
    <s v="CATER BY LGU"/>
    <s v="Technical Assistance"/>
    <m/>
  </r>
  <r>
    <x v="5"/>
    <x v="104"/>
    <s v="MBA"/>
    <s v="Rizal"/>
    <n v="1552"/>
    <n v="1671"/>
    <s v="CONDUCTED TECHNICAL ASSISTANCE"/>
    <n v="2025"/>
    <d v="2025-09-09T00:00:00"/>
    <x v="7"/>
    <s v="Gretzhen M. Apolonio"/>
    <m/>
    <s v="Rod Ross S. De Jesus"/>
    <s v="R3-2025-031312"/>
    <d v="2025-09-15T00:00:00"/>
    <m/>
    <d v="2025-09-17T00:00:00"/>
    <d v="2025-09-19T00:00:00"/>
    <n v="4"/>
    <s v=""/>
    <n v="2"/>
    <n v="2"/>
    <s v="Received by Planning"/>
    <s v="NO FACILITY"/>
    <s v="CATER BY LGU"/>
    <s v="Technical Assistance"/>
    <m/>
  </r>
  <r>
    <x v="5"/>
    <x v="104"/>
    <s v="MBA"/>
    <s v="San Isidro (Pob.)"/>
    <n v="3482"/>
    <n v="3615"/>
    <s v="CONDUCTED TECHNICAL ASSISTANCE"/>
    <n v="2025"/>
    <d v="2025-09-09T00:00:00"/>
    <x v="7"/>
    <s v="Gretzhen M. Apolonio"/>
    <m/>
    <s v="Rod Ross S. De Jesus"/>
    <s v="R3-2025-031307"/>
    <d v="2025-09-15T00:00:00"/>
    <m/>
    <d v="2025-09-17T00:00:00"/>
    <d v="2025-09-19T00:00:00"/>
    <n v="4"/>
    <s v=""/>
    <n v="2"/>
    <n v="2"/>
    <s v="Received by Planning"/>
    <s v="NO FACILITY"/>
    <s v="CATER BY LGU"/>
    <s v="Technical Assistance"/>
    <m/>
  </r>
  <r>
    <x v="5"/>
    <x v="104"/>
    <s v="MBA"/>
    <s v="San Roque (Pob.)"/>
    <n v="7915"/>
    <n v="8115"/>
    <s v="CONDUCTED TECHNICAL ASSISTANCE"/>
    <n v="2025"/>
    <d v="2025-09-09T00:00:00"/>
    <x v="7"/>
    <s v="Gretzhen M. Apolonio"/>
    <m/>
    <s v="Rod Ross S. De Jesus"/>
    <s v="R3-2025-031310"/>
    <d v="2025-09-15T00:00:00"/>
    <m/>
    <d v="2025-09-17T00:00:00"/>
    <d v="2025-09-19T00:00:00"/>
    <n v="4"/>
    <s v=""/>
    <n v="2"/>
    <n v="2"/>
    <s v="Received by Planning"/>
    <s v="NO FACILITY"/>
    <s v="CATER BY LGU"/>
    <s v="Technical Assistance"/>
    <m/>
  </r>
  <r>
    <x v="5"/>
    <x v="104"/>
    <s v="MBA"/>
    <s v="Sierra"/>
    <n v="2256"/>
    <n v="2406"/>
    <s v="CONDUCTED TECHNICAL ASSISTANCE"/>
    <n v="2025"/>
    <d v="2025-09-10T00:00:00"/>
    <x v="7"/>
    <s v="Gretzhen M. Apolonio"/>
    <m/>
    <s v="Rod Ross S. De Jesus"/>
    <s v="R3-2025-031321"/>
    <d v="2025-09-15T00:00:00"/>
    <m/>
    <d v="2025-09-17T00:00:00"/>
    <d v="2025-09-19T00:00:00"/>
    <n v="3"/>
    <s v=""/>
    <n v="2"/>
    <n v="2"/>
    <s v="Received by Planning"/>
    <s v="NO FACILITY"/>
    <s v="CATER BY LGU"/>
    <s v="Technical Assistance"/>
    <m/>
  </r>
  <r>
    <x v="5"/>
    <x v="105"/>
    <s v="OUTSIDE MBA"/>
    <s v="Ambalingit"/>
    <n v="758"/>
    <n v="648"/>
    <s v="CONDUCTED TECHNICAL ASSISTANCE"/>
    <n v="2025"/>
    <d v="2025-03-05T00:00:00"/>
    <x v="1"/>
    <s v="Jasper Keith B. Pili"/>
    <m/>
    <s v="Rod Ross S. De Jesus"/>
    <s v="R3-2025-008069"/>
    <d v="2025-03-10T00:00:00"/>
    <m/>
    <d v="2025-03-11T00:00:00"/>
    <d v="2025-03-14T00:00:00"/>
    <n v="3"/>
    <s v=""/>
    <n v="1"/>
    <n v="3"/>
    <s v="Received by Planning"/>
    <s v="MRF"/>
    <s v="OPERATIONAL"/>
    <s v="Technical Assistance"/>
    <m/>
  </r>
  <r>
    <x v="5"/>
    <x v="105"/>
    <s v="OUTSIDE MBA"/>
    <s v="Baybayaoas"/>
    <n v="478"/>
    <n v="464"/>
    <s v="NO TECHNICAL ASSISTANCE CONDUCTED"/>
    <m/>
    <m/>
    <x v="0"/>
    <s v="Jasper Keith B. Pili"/>
    <m/>
    <s v="Rod Ross S. De Jesus"/>
    <m/>
    <m/>
    <m/>
    <m/>
    <m/>
    <s v=""/>
    <s v=""/>
    <s v=""/>
    <s v=""/>
    <m/>
    <m/>
    <m/>
    <m/>
    <m/>
  </r>
  <r>
    <x v="5"/>
    <x v="105"/>
    <s v="OUTSIDE MBA"/>
    <s v="Bigbiga"/>
    <n v="1568"/>
    <n v="1660"/>
    <s v="CONDUCTED TECHNICAL ASSISTANCE"/>
    <n v="2025"/>
    <d v="2025-10-10T00:00:00"/>
    <x v="5"/>
    <s v="Jasper Keith B. Pili"/>
    <m/>
    <s v="Jan Emerson C. Gonzales"/>
    <s v="R3-2025-034451"/>
    <d v="2025-10-13T00:00:00"/>
    <m/>
    <d v="2025-10-14T00:00:00"/>
    <d v="2025-10-14T00:00:00"/>
    <n v="1"/>
    <s v=""/>
    <n v="1"/>
    <n v="1"/>
    <s v="Received by Planning"/>
    <s v="MRS"/>
    <s v="OPERATIONAL"/>
    <s v="Technical Assistance"/>
    <m/>
  </r>
  <r>
    <x v="5"/>
    <x v="105"/>
    <s v="OUTSIDE MBA"/>
    <s v="Binbinaca"/>
    <n v="665"/>
    <n v="679"/>
    <s v="NO TECHNICAL ASSISTANCE CONDUCTED"/>
    <m/>
    <m/>
    <x v="0"/>
    <s v="Jasper Keith B. Pili"/>
    <m/>
    <s v="Rod Ross S. De Jesus"/>
    <m/>
    <m/>
    <m/>
    <m/>
    <m/>
    <s v=""/>
    <s v=""/>
    <s v=""/>
    <s v=""/>
    <m/>
    <m/>
    <m/>
    <m/>
    <m/>
  </r>
  <r>
    <x v="5"/>
    <x v="105"/>
    <s v="OUTSIDE MBA"/>
    <s v="Calabtangan"/>
    <n v="638"/>
    <n v="743"/>
    <s v="CONDUCTED TECHNICAL ASSISTANCE"/>
    <n v="2024"/>
    <d v="2024-04-17T00:00:00"/>
    <x v="0"/>
    <s v="Jasper Keith B. Pili"/>
    <m/>
    <s v="Rod Ross S. De Jesus"/>
    <m/>
    <m/>
    <m/>
    <m/>
    <m/>
    <s v=""/>
    <s v=""/>
    <s v=""/>
    <s v=""/>
    <m/>
    <m/>
    <m/>
    <s v="Technical Assistance"/>
    <m/>
  </r>
  <r>
    <x v="5"/>
    <x v="105"/>
    <s v="OUTSIDE MBA"/>
    <s v="Caocaoayan"/>
    <n v="673"/>
    <n v="687"/>
    <s v="NO TECHNICAL ASSISTANCE CONDUCTED"/>
    <m/>
    <m/>
    <x v="0"/>
    <s v="Jasper Keith B. Pili"/>
    <m/>
    <s v="Rod Ross S. De Jesus"/>
    <m/>
    <m/>
    <m/>
    <m/>
    <m/>
    <s v=""/>
    <s v=""/>
    <s v=""/>
    <s v=""/>
    <m/>
    <m/>
    <m/>
    <m/>
    <m/>
  </r>
  <r>
    <x v="5"/>
    <x v="105"/>
    <s v="OUTSIDE MBA"/>
    <s v="Carabaoan"/>
    <n v="921"/>
    <n v="877"/>
    <s v="NO TECHNICAL ASSISTANCE CONDUCTED"/>
    <m/>
    <m/>
    <x v="0"/>
    <s v="Jasper Keith B. Pili"/>
    <m/>
    <s v="Rod Ross S. De Jesus"/>
    <m/>
    <m/>
    <m/>
    <m/>
    <m/>
    <s v=""/>
    <s v=""/>
    <s v=""/>
    <s v=""/>
    <m/>
    <m/>
    <m/>
    <m/>
    <m/>
  </r>
  <r>
    <x v="5"/>
    <x v="105"/>
    <s v="OUTSIDE MBA"/>
    <s v="Cubcub"/>
    <n v="468"/>
    <n v="453"/>
    <s v="CONDUCTED TECHNICAL ASSISTANCE"/>
    <n v="2025"/>
    <d v="2025-03-05T00:00:00"/>
    <x v="1"/>
    <s v="Jasper Keith B. Pili"/>
    <m/>
    <s v="Rod Ross S. De Jesus"/>
    <s v="R3-2025-008074"/>
    <d v="2025-03-10T00:00:00"/>
    <m/>
    <d v="2025-03-11T00:00:00"/>
    <d v="2025-03-14T00:00:00"/>
    <n v="3"/>
    <s v=""/>
    <n v="1"/>
    <n v="3"/>
    <s v="Received by Planning"/>
    <s v="MRF"/>
    <s v="NON-OPERATIONAL"/>
    <s v="Technical Assistance"/>
    <m/>
  </r>
  <r>
    <x v="5"/>
    <x v="105"/>
    <s v="OUTSIDE MBA"/>
    <s v="Gayonggayong"/>
    <n v="407"/>
    <n v="442"/>
    <s v="NO TECHNICAL ASSISTANCE CONDUCTED"/>
    <m/>
    <m/>
    <x v="0"/>
    <s v="Jasper Keith B. Pili"/>
    <m/>
    <s v="Rod Ross S. De Jesus"/>
    <m/>
    <m/>
    <m/>
    <m/>
    <m/>
    <s v=""/>
    <s v=""/>
    <s v=""/>
    <s v=""/>
    <m/>
    <m/>
    <m/>
    <m/>
    <m/>
  </r>
  <r>
    <x v="5"/>
    <x v="105"/>
    <s v="OUTSIDE MBA"/>
    <s v="Gossood"/>
    <n v="796"/>
    <n v="915"/>
    <s v="NO TECHNICAL ASSISTANCE CONDUCTED"/>
    <m/>
    <m/>
    <x v="0"/>
    <s v="Jasper Keith B. Pili"/>
    <m/>
    <s v="Rod Ross S. De Jesus"/>
    <m/>
    <m/>
    <m/>
    <m/>
    <m/>
    <s v=""/>
    <s v=""/>
    <s v=""/>
    <s v=""/>
    <m/>
    <m/>
    <m/>
    <m/>
    <m/>
  </r>
  <r>
    <x v="5"/>
    <x v="105"/>
    <s v="OUTSIDE MBA"/>
    <s v="Labney"/>
    <n v="1192"/>
    <n v="1267"/>
    <s v="NO TECHNICAL ASSISTANCE CONDUCTED"/>
    <m/>
    <m/>
    <x v="0"/>
    <s v="Jasper Keith B. Pili"/>
    <m/>
    <s v="Rod Ross S. De Jesus"/>
    <m/>
    <m/>
    <m/>
    <m/>
    <m/>
    <s v=""/>
    <s v=""/>
    <s v=""/>
    <s v=""/>
    <m/>
    <m/>
    <m/>
    <m/>
    <m/>
  </r>
  <r>
    <x v="5"/>
    <x v="105"/>
    <s v="OUTSIDE MBA"/>
    <s v="Mamonit"/>
    <n v="2593"/>
    <n v="2565"/>
    <s v="CONDUCTED TECHNICAL ASSISTANCE"/>
    <n v="2025"/>
    <d v="2025-10-10T00:00:00"/>
    <x v="5"/>
    <s v="Jasper Keith B. Pili"/>
    <m/>
    <s v="Jan Emerson C. Gonzales"/>
    <s v="R3-2025-034453"/>
    <d v="2025-10-13T00:00:00"/>
    <m/>
    <d v="2025-10-14T00:00:00"/>
    <d v="2025-10-14T00:00:00"/>
    <n v="1"/>
    <s v=""/>
    <n v="1"/>
    <n v="1"/>
    <s v="Received by Planning"/>
    <s v="MRS"/>
    <s v="OPERATIONAL"/>
    <s v="Technical Assistance"/>
    <m/>
  </r>
  <r>
    <x v="5"/>
    <x v="105"/>
    <s v="OUTSIDE MBA"/>
    <s v="Maniniog"/>
    <n v="848"/>
    <n v="817"/>
    <s v="NO TECHNICAL ASSISTANCE CONDUCTED"/>
    <m/>
    <m/>
    <x v="0"/>
    <s v="Jasper Keith B. Pili"/>
    <m/>
    <s v="Rod Ross S. De Jesus"/>
    <m/>
    <m/>
    <m/>
    <m/>
    <m/>
    <s v=""/>
    <s v=""/>
    <s v=""/>
    <s v=""/>
    <m/>
    <m/>
    <m/>
    <m/>
    <m/>
  </r>
  <r>
    <x v="5"/>
    <x v="105"/>
    <s v="OUTSIDE MBA"/>
    <s v="Mapandan"/>
    <n v="1587"/>
    <n v="1618"/>
    <s v="CONDUCTED TECHNICAL ASSISTANCE"/>
    <n v="2025"/>
    <d v="2025-10-10T00:00:00"/>
    <x v="5"/>
    <s v="Jasper Keith B. Pili"/>
    <m/>
    <s v="Jan Emerson C. Gonzales"/>
    <s v="R3-2025-034457"/>
    <d v="2025-10-13T00:00:00"/>
    <m/>
    <d v="2025-10-14T00:00:00"/>
    <d v="2025-10-14T00:00:00"/>
    <n v="1"/>
    <s v=""/>
    <n v="1"/>
    <n v="1"/>
    <s v="Received by Planning"/>
    <s v="MRF"/>
    <s v="OPERATIONAL"/>
    <s v="Technical Assistance"/>
    <m/>
  </r>
  <r>
    <x v="5"/>
    <x v="105"/>
    <s v="OUTSIDE MBA"/>
    <s v="Nambalan"/>
    <n v="1525"/>
    <n v="1570"/>
    <s v="NO TECHNICAL ASSISTANCE CONDUCTED"/>
    <m/>
    <m/>
    <x v="0"/>
    <s v="Jasper Keith B. Pili"/>
    <m/>
    <s v="Rod Ross S. De Jesus"/>
    <m/>
    <m/>
    <m/>
    <m/>
    <m/>
    <s v=""/>
    <s v=""/>
    <s v=""/>
    <s v=""/>
    <m/>
    <m/>
    <m/>
    <m/>
    <m/>
  </r>
  <r>
    <x v="5"/>
    <x v="105"/>
    <s v="OUTSIDE MBA"/>
    <s v="Pedro L. Quines"/>
    <n v="1889"/>
    <n v="1831"/>
    <s v="CONDUCTED TECHNICAL ASSISTANCE"/>
    <n v="2025"/>
    <d v="2025-10-10T00:00:00"/>
    <x v="5"/>
    <s v="Jasper Keith B. Pili"/>
    <m/>
    <s v="Jan Emerson C. Gonzales"/>
    <s v="R3-2025-034463"/>
    <d v="2025-10-13T00:00:00"/>
    <m/>
    <d v="2025-10-14T00:00:00"/>
    <d v="2025-10-14T00:00:00"/>
    <n v="1"/>
    <s v=""/>
    <n v="1"/>
    <n v="1"/>
    <s v="Received by Planning"/>
    <s v="MRS"/>
    <s v="OPERATIONAL"/>
    <s v="Technical Assistance"/>
    <m/>
  </r>
  <r>
    <x v="5"/>
    <x v="105"/>
    <s v="OUTSIDE MBA"/>
    <s v="Pitombayog"/>
    <n v="1954"/>
    <n v="2008"/>
    <s v="CONDUCTED TECHNICAL ASSISTANCE"/>
    <n v="2025"/>
    <d v="2025-10-10T00:00:00"/>
    <x v="5"/>
    <s v="Jasper Keith B. Pili"/>
    <m/>
    <s v="Jan Emerson C. Gonzales"/>
    <s v="R3-2025-034466"/>
    <d v="2025-10-13T00:00:00"/>
    <m/>
    <d v="2025-10-14T00:00:00"/>
    <d v="2025-10-14T00:00:00"/>
    <n v="1"/>
    <s v=""/>
    <n v="1"/>
    <n v="1"/>
    <s v="Received by Planning"/>
    <s v="MRS"/>
    <s v="OPERATIONAL"/>
    <s v="Technical Assistance"/>
    <m/>
  </r>
  <r>
    <x v="5"/>
    <x v="105"/>
    <s v="OUTSIDE MBA"/>
    <s v="Poblacion Norte"/>
    <n v="3296"/>
    <n v="3556"/>
    <s v="CONDUCTED TECHNICAL ASSISTANCE"/>
    <n v="2025"/>
    <d v="2025-02-27T00:00:00"/>
    <x v="1"/>
    <s v="Jasper Keith B. Pili"/>
    <m/>
    <s v="Rod Ross S. De Jesus"/>
    <s v="R3-2025-006965"/>
    <d v="2025-02-27T00:00:00"/>
    <m/>
    <d v="2025-03-07T00:00:00"/>
    <d v="2025-03-12T00:00:00"/>
    <n v="1"/>
    <s v=""/>
    <n v="6"/>
    <n v="3"/>
    <s v="Received by Planning"/>
    <s v="MRF"/>
    <s v="OPERATIONAL"/>
    <s v="Technical Assistance"/>
    <m/>
  </r>
  <r>
    <x v="5"/>
    <x v="105"/>
    <s v="OUTSIDE MBA"/>
    <s v="Poblacion Sur"/>
    <n v="3127"/>
    <n v="3079"/>
    <s v="CONDUCTED TECHNICAL ASSISTANCE"/>
    <n v="2025"/>
    <d v="2025-03-12T00:00:00"/>
    <x v="1"/>
    <s v="Jasper Keith B. Pili"/>
    <m/>
    <s v="Rod Ross S. De Jesus"/>
    <s v="R3-2025-009250"/>
    <d v="2025-03-18T00:00:00"/>
    <m/>
    <d v="2025-03-19T00:00:00"/>
    <d v="2025-03-19T00:00:00"/>
    <n v="4"/>
    <s v=""/>
    <n v="1"/>
    <n v="1"/>
    <s v="Received by Planning"/>
    <s v="MRF"/>
    <s v="OPERATIONAL"/>
    <s v="Technical Assistance"/>
    <m/>
  </r>
  <r>
    <x v="5"/>
    <x v="105"/>
    <s v="OUTSIDE MBA"/>
    <s v="Rotrottooc"/>
    <n v="1394"/>
    <n v="1254"/>
    <s v="CONDUCTED TECHNICAL ASSISTANCE"/>
    <n v="2024"/>
    <d v="2024-11-12T00:00:00"/>
    <x v="0"/>
    <s v="Jasper Keith B. Pili"/>
    <m/>
    <s v="Rod Ross S. De Jesus"/>
    <m/>
    <m/>
    <m/>
    <m/>
    <m/>
    <s v=""/>
    <s v=""/>
    <s v=""/>
    <s v=""/>
    <m/>
    <s v="MRF"/>
    <s v="OPERATIONAL"/>
    <s v="Technical Assistance"/>
    <m/>
  </r>
  <r>
    <x v="5"/>
    <x v="105"/>
    <s v="OUTSIDE MBA"/>
    <s v="San Bartolome"/>
    <n v="1726"/>
    <n v="1743"/>
    <s v="NO TECHNICAL ASSISTANCE CONDUCTED"/>
    <m/>
    <m/>
    <x v="0"/>
    <s v="Jasper Keith B. Pili"/>
    <m/>
    <s v="Rod Ross S. De Jesus"/>
    <m/>
    <m/>
    <m/>
    <m/>
    <m/>
    <s v=""/>
    <s v=""/>
    <s v=""/>
    <s v=""/>
    <m/>
    <m/>
    <m/>
    <m/>
    <m/>
  </r>
  <r>
    <x v="5"/>
    <x v="105"/>
    <s v="OUTSIDE MBA"/>
    <s v="San Jose"/>
    <n v="1670"/>
    <n v="1541"/>
    <s v="NO TECHNICAL ASSISTANCE CONDUCTED"/>
    <m/>
    <m/>
    <x v="0"/>
    <s v="Jasper Keith B. Pili"/>
    <m/>
    <s v="Rod Ross S. De Jesus"/>
    <m/>
    <m/>
    <m/>
    <m/>
    <m/>
    <s v=""/>
    <s v=""/>
    <s v=""/>
    <s v=""/>
    <m/>
    <m/>
    <m/>
    <m/>
    <m/>
  </r>
  <r>
    <x v="5"/>
    <x v="105"/>
    <s v="OUTSIDE MBA"/>
    <s v="Taldiapan"/>
    <n v="727"/>
    <n v="723"/>
    <s v="NO TECHNICAL ASSISTANCE CONDUCTED"/>
    <m/>
    <m/>
    <x v="0"/>
    <s v="Jasper Keith B. Pili"/>
    <m/>
    <s v="Rod Ross S. De Jesus"/>
    <m/>
    <m/>
    <m/>
    <m/>
    <m/>
    <s v=""/>
    <s v=""/>
    <s v=""/>
    <s v=""/>
    <m/>
    <m/>
    <m/>
    <m/>
    <m/>
  </r>
  <r>
    <x v="5"/>
    <x v="105"/>
    <s v="OUTSIDE MBA"/>
    <s v="Tangcarang (Melecio Manganaan)"/>
    <n v="1332"/>
    <n v="1457"/>
    <s v="NO TECHNICAL ASSISTANCE CONDUCTED"/>
    <n v="2025"/>
    <d v="2025-10-10T00:00:00"/>
    <x v="5"/>
    <s v="Jasper Keith B. Pili"/>
    <m/>
    <s v="Jan Emerson C. Gonzales"/>
    <s v="R3-2025-034458"/>
    <d v="2025-10-13T00:00:00"/>
    <m/>
    <d v="2025-10-14T00:00:00"/>
    <d v="2025-10-14T00:00:00"/>
    <n v="1"/>
    <s v=""/>
    <n v="1"/>
    <n v="1"/>
    <s v="Received by Planning"/>
    <s v="MRF"/>
    <s v="OPERATIONAL"/>
    <s v="Technical Assistance"/>
    <m/>
  </r>
  <r>
    <x v="5"/>
    <x v="106"/>
    <s v="OUTSIDE MBA"/>
    <s v="Ablang-Sapang"/>
    <n v="3720"/>
    <n v="4303"/>
    <s v="NO TECHNICAL ASSISTANCE CONDUCTED"/>
    <m/>
    <m/>
    <x v="0"/>
    <s v="Joshua A. Capones"/>
    <m/>
    <s v="Rod Ross S. De Jesus"/>
    <m/>
    <m/>
    <m/>
    <m/>
    <m/>
    <s v=""/>
    <s v=""/>
    <s v=""/>
    <s v=""/>
    <m/>
    <m/>
    <m/>
    <m/>
    <m/>
  </r>
  <r>
    <x v="5"/>
    <x v="106"/>
    <s v="OUTSIDE MBA"/>
    <s v="Aringin"/>
    <n v="1816"/>
    <n v="1768"/>
    <s v="CONDUCTED TECHNICAL ASSISTANCE"/>
    <n v="2025"/>
    <d v="2025-02-07T00:00:00"/>
    <x v="3"/>
    <s v="Joshua A. Capones"/>
    <m/>
    <s v="Rod Ross S. De Jesus"/>
    <s v="R3-2025-004495"/>
    <d v="2025-02-09T00:00:00"/>
    <m/>
    <d v="2025-02-11T00:00:00"/>
    <d v="2025-02-13T00:00:00"/>
    <n v="1"/>
    <s v=""/>
    <n v="1"/>
    <n v="2"/>
    <s v="Received by Planning"/>
    <s v="MRF"/>
    <s v="OPERATIONAL"/>
    <s v="Technical Assistance"/>
    <m/>
  </r>
  <r>
    <x v="5"/>
    <x v="106"/>
    <s v="OUTSIDE MBA"/>
    <s v="Atencio"/>
    <n v="612"/>
    <n v="761"/>
    <s v="NO TECHNICAL ASSISTANCE CONDUCTED"/>
    <m/>
    <m/>
    <x v="0"/>
    <s v="Joshua A. Capones"/>
    <m/>
    <s v="Rod Ross S. De Jesus"/>
    <m/>
    <m/>
    <m/>
    <m/>
    <m/>
    <s v=""/>
    <s v=""/>
    <s v=""/>
    <s v=""/>
    <m/>
    <m/>
    <m/>
    <m/>
    <m/>
  </r>
  <r>
    <x v="5"/>
    <x v="106"/>
    <s v="OUTSIDE MBA"/>
    <s v="Banaoang East"/>
    <n v="1312"/>
    <n v="1222"/>
    <s v="CONDUCTED TECHNICAL ASSISTANCE"/>
    <n v="2025"/>
    <d v="2025-10-09T00:00:00"/>
    <x v="5"/>
    <s v="Joshua A. Capones"/>
    <m/>
    <s v="Jan Emerson C. Gonzales"/>
    <s v="R3-2025-034170"/>
    <d v="2025-10-10T00:00:00"/>
    <m/>
    <d v="2025-10-14T00:00:00"/>
    <d v="2025-10-14T00:00:00"/>
    <n v="1"/>
    <s v=""/>
    <n v="2"/>
    <n v="1"/>
    <s v="Received by Planning"/>
    <s v="MRS"/>
    <s v="OPERATIONAL"/>
    <s v="Technical Assistance"/>
    <m/>
  </r>
  <r>
    <x v="5"/>
    <x v="106"/>
    <s v="OUTSIDE MBA"/>
    <s v="Banaoang West"/>
    <n v="1548"/>
    <n v="1672"/>
    <s v="CONDUCTED TECHNICAL ASSISTANCE"/>
    <n v="2025"/>
    <d v="2025-10-09T00:00:00"/>
    <x v="5"/>
    <s v="Joshua A. Capones"/>
    <m/>
    <s v="Jan Emerson C. Gonzales"/>
    <s v="R3-2025-034172"/>
    <d v="2025-10-10T00:00:00"/>
    <m/>
    <d v="2025-10-14T00:00:00"/>
    <d v="2025-10-14T00:00:00"/>
    <n v="1"/>
    <s v=""/>
    <n v="2"/>
    <n v="1"/>
    <s v="Received by Planning"/>
    <s v="MRS"/>
    <s v="OPERATIONAL"/>
    <s v="Technical Assistance"/>
    <m/>
  </r>
  <r>
    <x v="5"/>
    <x v="106"/>
    <s v="OUTSIDE MBA"/>
    <s v="Baquero Norte"/>
    <n v="1479"/>
    <n v="1675"/>
    <s v="CONDUCTED TECHNICAL ASSISTANCE"/>
    <n v="2024"/>
    <d v="2024-04-02T00:00:00"/>
    <x v="0"/>
    <s v="Joshua A. Capones"/>
    <m/>
    <s v="Rod Ross S. De Jesus"/>
    <m/>
    <m/>
    <m/>
    <m/>
    <m/>
    <s v=""/>
    <s v=""/>
    <s v=""/>
    <s v=""/>
    <m/>
    <m/>
    <m/>
    <s v="Technical Assistance"/>
    <m/>
  </r>
  <r>
    <x v="5"/>
    <x v="106"/>
    <s v="OUTSIDE MBA"/>
    <s v="Baquero Sur"/>
    <n v="1218"/>
    <n v="1341"/>
    <s v="CONDUCTED TECHNICAL ASSISTANCE"/>
    <n v="2025"/>
    <d v="2025-10-09T00:00:00"/>
    <x v="5"/>
    <s v="Joshua A. Capones"/>
    <m/>
    <s v="Jan Emerson C. Gonzales"/>
    <s v="R3-2025-034175"/>
    <d v="2025-10-10T00:00:00"/>
    <m/>
    <d v="2025-10-14T00:00:00"/>
    <d v="2025-10-14T00:00:00"/>
    <n v="1"/>
    <s v=""/>
    <n v="2"/>
    <n v="1"/>
    <s v="Received by Planning"/>
    <s v="MRS"/>
    <s v="OPERATIONAL"/>
    <s v="Technical Assistance"/>
    <m/>
  </r>
  <r>
    <x v="5"/>
    <x v="106"/>
    <s v="OUTSIDE MBA"/>
    <s v="Burgos"/>
    <n v="2359"/>
    <n v="2257"/>
    <s v="NO TECHNICAL ASSISTANCE CONDUCTED"/>
    <m/>
    <m/>
    <x v="0"/>
    <s v="Joshua A. Capones"/>
    <m/>
    <s v="Rod Ross S. De Jesus"/>
    <m/>
    <m/>
    <m/>
    <m/>
    <m/>
    <s v=""/>
    <s v=""/>
    <s v=""/>
    <s v=""/>
    <m/>
    <m/>
    <m/>
    <m/>
    <m/>
  </r>
  <r>
    <x v="5"/>
    <x v="106"/>
    <s v="OUTSIDE MBA"/>
    <s v="Calamay"/>
    <n v="714"/>
    <n v="914"/>
    <s v="CONDUCTED TECHNICAL ASSISTANCE"/>
    <n v="2024"/>
    <d v="2024-04-02T00:00:00"/>
    <x v="0"/>
    <s v="Joshua A. Capones"/>
    <m/>
    <s v="Rod Ross S. De Jesus"/>
    <m/>
    <m/>
    <m/>
    <m/>
    <m/>
    <s v=""/>
    <s v=""/>
    <s v=""/>
    <s v=""/>
    <m/>
    <m/>
    <m/>
    <s v="Technical Assistance"/>
    <m/>
  </r>
  <r>
    <x v="5"/>
    <x v="106"/>
    <s v="OUTSIDE MBA"/>
    <s v="Calapan"/>
    <n v="1203"/>
    <n v="1340"/>
    <s v="NO TECHNICAL ASSISTANCE CONDUCTED"/>
    <m/>
    <m/>
    <x v="0"/>
    <s v="Joshua A. Capones"/>
    <m/>
    <s v="Rod Ross S. De Jesus"/>
    <m/>
    <m/>
    <m/>
    <m/>
    <m/>
    <s v=""/>
    <s v=""/>
    <s v=""/>
    <s v=""/>
    <m/>
    <m/>
    <m/>
    <m/>
    <m/>
  </r>
  <r>
    <x v="5"/>
    <x v="106"/>
    <s v="OUTSIDE MBA"/>
    <s v="Camangaan East"/>
    <n v="1627"/>
    <n v="1713"/>
    <s v="CONDUCTED TECHNICAL ASSISTANCE"/>
    <n v="2025"/>
    <d v="2025-10-09T00:00:00"/>
    <x v="5"/>
    <s v="Joshua A. Capones"/>
    <m/>
    <s v="Jan Emerson C. Gonzales"/>
    <s v="R3-2025-034176"/>
    <d v="2025-10-10T00:00:00"/>
    <m/>
    <d v="2025-10-14T00:00:00"/>
    <d v="2025-10-14T00:00:00"/>
    <n v="1"/>
    <s v=""/>
    <n v="2"/>
    <n v="1"/>
    <s v="Received by Planning"/>
    <s v="MRS"/>
    <s v="OPERATIONAL"/>
    <s v="Technical Assistance"/>
    <m/>
  </r>
  <r>
    <x v="5"/>
    <x v="106"/>
    <s v="OUTSIDE MBA"/>
    <s v="Camangaan West"/>
    <n v="1181"/>
    <n v="1295"/>
    <s v="CONDUCTED TECHNICAL ASSISTANCE"/>
    <n v="2025"/>
    <d v="2025-09-17T00:00:00"/>
    <x v="5"/>
    <s v="Joshua A. Capones"/>
    <m/>
    <s v="Jan Emerson C. Gonzales"/>
    <s v="R3-2025-031555"/>
    <d v="2025-09-18T00:00:00"/>
    <m/>
    <d v="2025-10-10T00:00:00"/>
    <d v="2025-10-10T00:00:00"/>
    <n v="1"/>
    <s v=""/>
    <n v="16"/>
    <n v="1"/>
    <s v="Received by Planning"/>
    <s v="MRS"/>
    <s v="OPERATIONAL"/>
    <s v="Technical Assistance"/>
    <m/>
  </r>
  <r>
    <x v="5"/>
    <x v="106"/>
    <s v="OUTSIDE MBA"/>
    <s v="Camposanto 1 - Norte"/>
    <n v="1542"/>
    <n v="1607"/>
    <s v="NO TECHNICAL ASSISTANCE CONDUCTED"/>
    <m/>
    <m/>
    <x v="0"/>
    <s v="Joshua A. Capones"/>
    <m/>
    <s v="Rod Ross S. De Jesus"/>
    <m/>
    <m/>
    <m/>
    <m/>
    <m/>
    <s v=""/>
    <s v=""/>
    <s v=""/>
    <s v=""/>
    <m/>
    <m/>
    <m/>
    <m/>
    <m/>
  </r>
  <r>
    <x v="5"/>
    <x v="106"/>
    <s v="OUTSIDE MBA"/>
    <s v="Camposanto 1 - Sur"/>
    <n v="1716"/>
    <n v="1731"/>
    <s v="CONDUCTED TECHNICAL ASSISTANCE"/>
    <n v="2025"/>
    <d v="2025-03-14T00:00:00"/>
    <x v="1"/>
    <s v="Joshua A. Capones"/>
    <m/>
    <s v="Rod Ross S. De Jesus"/>
    <s v="R3-2025-008838"/>
    <d v="2025-03-16T00:00:00"/>
    <m/>
    <d v="2025-03-17T00:00:00"/>
    <d v="2025-03-18T00:00:00"/>
    <n v="1"/>
    <s v=""/>
    <n v="1"/>
    <n v="1"/>
    <s v="Received by Planning"/>
    <s v="MRS"/>
    <s v="OPERATIONAL"/>
    <s v="Technical Assistance"/>
    <m/>
  </r>
  <r>
    <x v="5"/>
    <x v="106"/>
    <s v="OUTSIDE MBA"/>
    <s v="Camposanto 2"/>
    <n v="2232"/>
    <n v="2102"/>
    <s v="NO TECHNICAL ASSISTANCE CONDUCTED"/>
    <m/>
    <m/>
    <x v="0"/>
    <s v="Joshua A. Capones"/>
    <m/>
    <s v="Rod Ross S. De Jesus"/>
    <m/>
    <m/>
    <m/>
    <m/>
    <m/>
    <s v=""/>
    <s v=""/>
    <s v=""/>
    <s v=""/>
    <m/>
    <m/>
    <m/>
    <m/>
    <m/>
  </r>
  <r>
    <x v="5"/>
    <x v="106"/>
    <s v="OUTSIDE MBA"/>
    <s v="Capaoayan"/>
    <n v="2780"/>
    <n v="3232"/>
    <s v="CONDUCTED TECHNICAL ASSISTANCE"/>
    <n v="2025"/>
    <d v="2025-03-11T00:00:00"/>
    <x v="1"/>
    <s v="Joshua A. Capones"/>
    <m/>
    <s v="Rod Ross S. De Jesus"/>
    <s v="R3-2025-008837"/>
    <d v="2025-03-16T00:00:00"/>
    <m/>
    <d v="2025-03-17T00:00:00"/>
    <d v="2025-03-18T00:00:00"/>
    <n v="3"/>
    <s v=""/>
    <n v="1"/>
    <n v="1"/>
    <s v="Received by Planning"/>
    <s v="MRS"/>
    <s v="OPERATIONAL"/>
    <s v="Technical Assistance"/>
    <m/>
  </r>
  <r>
    <x v="5"/>
    <x v="106"/>
    <s v="OUTSIDE MBA"/>
    <s v="Lapsing"/>
    <n v="1530"/>
    <n v="1627"/>
    <s v="NO TECHNICAL ASSISTANCE CONDUCTED"/>
    <m/>
    <m/>
    <x v="0"/>
    <s v="Joshua A. Capones"/>
    <m/>
    <s v="Rod Ross S. De Jesus"/>
    <m/>
    <m/>
    <m/>
    <m/>
    <m/>
    <s v=""/>
    <s v=""/>
    <s v=""/>
    <s v=""/>
    <m/>
    <m/>
    <m/>
    <m/>
    <m/>
  </r>
  <r>
    <x v="5"/>
    <x v="106"/>
    <s v="OUTSIDE MBA"/>
    <s v="Mabini"/>
    <n v="2139"/>
    <n v="2401"/>
    <s v="CONDUCTED TECHNICAL ASSISTANCE"/>
    <n v="2025"/>
    <d v="2025-05-14T00:00:00"/>
    <x v="6"/>
    <s v="Joshua A. Capones"/>
    <m/>
    <s v="Rod Ross S. De Jesus"/>
    <s v="R3-2025-016469"/>
    <d v="2025-05-16T00:00:00"/>
    <m/>
    <d v="2025-05-19T00:00:00"/>
    <d v="2025-05-19T00:00:00"/>
    <n v="2"/>
    <s v=""/>
    <n v="1"/>
    <n v="1"/>
    <s v="Received by Planning"/>
    <s v="NO FACILITY"/>
    <s v="CATER BY LGU"/>
    <s v="Technical Assistance"/>
    <m/>
  </r>
  <r>
    <x v="5"/>
    <x v="106"/>
    <s v="OUTSIDE MBA"/>
    <s v="Maluac"/>
    <n v="1594"/>
    <n v="1735"/>
    <s v="CONDUCTED TECHNICAL ASSISTANCE"/>
    <n v="2025"/>
    <d v="2025-05-14T00:00:00"/>
    <x v="6"/>
    <s v="Joshua A. Capones"/>
    <m/>
    <s v="Rod Ross S. De Jesus"/>
    <s v="R3-2025-016468"/>
    <d v="2025-05-18T00:00:00"/>
    <m/>
    <d v="2025-05-19T00:00:00"/>
    <d v="2025-05-19T00:00:00"/>
    <n v="2"/>
    <s v=""/>
    <n v="1"/>
    <n v="1"/>
    <s v="Received by Planning"/>
    <s v="MRS"/>
    <s v="OPERATIONAL"/>
    <s v="Technical Assistance"/>
    <m/>
  </r>
  <r>
    <x v="5"/>
    <x v="106"/>
    <s v="OUTSIDE MBA"/>
    <s v="Poblacion 1"/>
    <n v="1620"/>
    <n v="1802"/>
    <s v="NO TECHNICAL ASSISTANCE CONDUCTED"/>
    <m/>
    <m/>
    <x v="0"/>
    <s v="Joshua A. Capones"/>
    <m/>
    <s v="Rod Ross S. De Jesus"/>
    <m/>
    <m/>
    <m/>
    <m/>
    <m/>
    <s v=""/>
    <s v=""/>
    <s v=""/>
    <s v=""/>
    <m/>
    <m/>
    <m/>
    <m/>
    <m/>
  </r>
  <r>
    <x v="5"/>
    <x v="106"/>
    <s v="OUTSIDE MBA"/>
    <s v="Poblacion 2"/>
    <n v="1759"/>
    <n v="1786"/>
    <s v="CONDUCTED TECHNICAL ASSISTANCE"/>
    <n v="2025"/>
    <d v="2025-03-14T00:00:00"/>
    <x v="1"/>
    <s v="Joshua A. Capones"/>
    <m/>
    <s v="Rod Ross S. De Jesus"/>
    <s v="R3-2025-009290"/>
    <d v="2025-03-18T00:00:00"/>
    <m/>
    <d v="2025-03-19T00:00:00"/>
    <d v="2025-03-19T00:00:00"/>
    <n v="2"/>
    <s v=""/>
    <n v="1"/>
    <n v="1"/>
    <s v="Received by Planning"/>
    <s v="MRS"/>
    <s v="OPERATIONAL"/>
    <s v="Technical Assistance"/>
    <m/>
  </r>
  <r>
    <x v="5"/>
    <x v="106"/>
    <s v="OUTSIDE MBA"/>
    <s v="Poblacion 3"/>
    <n v="938"/>
    <n v="1023"/>
    <s v="CONDUCTED TECHNICAL ASSISTANCE"/>
    <n v="2025"/>
    <d v="2025-04-11T00:00:00"/>
    <x v="4"/>
    <s v="Joshua A. Capones"/>
    <m/>
    <s v="Rod Ross S. De Jesus"/>
    <s v="R3-2025-012429"/>
    <d v="2025-04-11T00:00:00"/>
    <m/>
    <d v="2025-04-14T00:00:00"/>
    <d v="2025-04-14T00:00:00"/>
    <n v="1"/>
    <s v=""/>
    <n v="1"/>
    <n v="1"/>
    <s v="Received by Planning"/>
    <s v="MRS"/>
    <s v="OPERATIONAL"/>
    <s v="Technical Assistance"/>
    <m/>
  </r>
  <r>
    <x v="5"/>
    <x v="106"/>
    <s v="OUTSIDE MBA"/>
    <s v="Poblacion 4"/>
    <n v="1024"/>
    <n v="1016"/>
    <s v="CONDUCTED TECHNICAL ASSISTANCE"/>
    <n v="2025"/>
    <d v="2025-04-11T00:00:00"/>
    <x v="4"/>
    <s v="Joshua A. Capones"/>
    <m/>
    <s v="Rod Ross S. De Jesus"/>
    <s v="R3-2025-012430"/>
    <d v="2025-04-11T00:00:00"/>
    <m/>
    <d v="2025-04-14T00:00:00"/>
    <d v="2025-04-14T00:00:00"/>
    <n v="1"/>
    <s v=""/>
    <n v="1"/>
    <n v="1"/>
    <s v="Received by Planning"/>
    <s v="NO FACILITY"/>
    <s v="Not Applicable"/>
    <s v="Technical Assistance"/>
    <m/>
  </r>
  <r>
    <x v="5"/>
    <x v="106"/>
    <s v="OUTSIDE MBA"/>
    <s v="Rizal"/>
    <n v="1346"/>
    <n v="1456"/>
    <s v="CONDUCTED TECHNICAL ASSISTANCE"/>
    <n v="2024"/>
    <d v="2024-10-02T00:00:00"/>
    <x v="0"/>
    <s v="Joshua A. Capones"/>
    <m/>
    <s v="Rod Ross S. De Jesus"/>
    <m/>
    <m/>
    <m/>
    <m/>
    <m/>
    <s v=""/>
    <s v=""/>
    <s v=""/>
    <s v=""/>
    <m/>
    <s v="MRS"/>
    <s v="OPERATIONAL"/>
    <s v="Technical Assistance"/>
    <m/>
  </r>
  <r>
    <x v="5"/>
    <x v="106"/>
    <s v="OUTSIDE MBA"/>
    <s v="San Juan"/>
    <n v="1988"/>
    <n v="2252"/>
    <s v="NO TECHNICAL ASSISTANCE CONDUCTED"/>
    <m/>
    <m/>
    <x v="0"/>
    <s v="Joshua A. Capones"/>
    <m/>
    <s v="Rod Ross S. De Jesus"/>
    <m/>
    <m/>
    <m/>
    <m/>
    <m/>
    <s v=""/>
    <s v=""/>
    <s v=""/>
    <s v=""/>
    <m/>
    <m/>
    <m/>
    <m/>
    <m/>
  </r>
  <r>
    <x v="5"/>
    <x v="106"/>
    <s v="OUTSIDE MBA"/>
    <s v="San Julian"/>
    <n v="2691"/>
    <n v="2975"/>
    <s v="CONDUCTED TECHNICAL ASSISTANCE"/>
    <n v="2025"/>
    <d v="2025-08-15T00:00:00"/>
    <x v="9"/>
    <s v="Joshua A. Capones"/>
    <m/>
    <s v="Rod Ross S. De Jesus"/>
    <s v="R3-2025-027534"/>
    <d v="2025-08-15T00:00:00"/>
    <m/>
    <d v="2025-08-18T00:00:00"/>
    <d v="2025-08-19T00:00:00"/>
    <n v="1"/>
    <s v=""/>
    <n v="1"/>
    <n v="1"/>
    <s v="Received by Planning"/>
    <s v="MRS"/>
    <s v="OPERATIONAL"/>
    <s v="Technical Assistance"/>
    <m/>
  </r>
  <r>
    <x v="5"/>
    <x v="106"/>
    <s v="OUTSIDE MBA"/>
    <s v="San Leon"/>
    <n v="1191"/>
    <n v="1402"/>
    <s v="CONDUCTED TECHNICAL ASSISTANCE"/>
    <n v="2024"/>
    <d v="2024-10-02T00:00:00"/>
    <x v="0"/>
    <s v="Joshua A. Capones"/>
    <m/>
    <s v="Rod Ross S. De Jesus"/>
    <m/>
    <m/>
    <m/>
    <m/>
    <m/>
    <s v=""/>
    <s v=""/>
    <s v=""/>
    <s v=""/>
    <m/>
    <s v="MRF"/>
    <s v="OPERATIONAL"/>
    <s v="Technical Assistance"/>
    <m/>
  </r>
  <r>
    <x v="5"/>
    <x v="106"/>
    <s v="OUTSIDE MBA"/>
    <s v="San Pedro"/>
    <n v="797"/>
    <n v="900"/>
    <s v="CONDUCTED TECHNICAL ASSISTANCE"/>
    <n v="2024"/>
    <d v="2024-10-02T00:00:00"/>
    <x v="0"/>
    <s v="Joshua A. Capones"/>
    <m/>
    <s v="Rod Ross S. De Jesus"/>
    <m/>
    <m/>
    <m/>
    <m/>
    <m/>
    <s v=""/>
    <s v=""/>
    <s v=""/>
    <s v=""/>
    <m/>
    <s v="MRF"/>
    <s v="OPERATIONAL"/>
    <s v="Technical Assistance"/>
    <m/>
  </r>
  <r>
    <x v="5"/>
    <x v="106"/>
    <s v="OUTSIDE MBA"/>
    <s v="San Roque"/>
    <n v="1176"/>
    <n v="1254"/>
    <s v="NO TECHNICAL ASSISTANCE CONDUCTED"/>
    <m/>
    <m/>
    <x v="0"/>
    <s v="Joshua A. Capones"/>
    <m/>
    <s v="Rod Ross S. De Jesus"/>
    <m/>
    <m/>
    <m/>
    <m/>
    <m/>
    <s v=""/>
    <s v=""/>
    <s v=""/>
    <s v=""/>
    <m/>
    <m/>
    <m/>
    <m/>
    <m/>
  </r>
  <r>
    <x v="5"/>
    <x v="106"/>
    <s v="OUTSIDE MBA"/>
    <s v="Santa Lucia East"/>
    <n v="1163"/>
    <n v="1151"/>
    <s v="NO TECHNICAL ASSISTANCE CONDUCTED"/>
    <m/>
    <m/>
    <x v="0"/>
    <s v="Joshua A. Capones"/>
    <m/>
    <s v="Rod Ross S. De Jesus"/>
    <m/>
    <m/>
    <m/>
    <m/>
    <m/>
    <s v=""/>
    <s v=""/>
    <s v=""/>
    <s v=""/>
    <m/>
    <m/>
    <m/>
    <m/>
    <m/>
  </r>
  <r>
    <x v="5"/>
    <x v="106"/>
    <s v="OUTSIDE MBA"/>
    <s v="Santa Lucia West"/>
    <n v="979"/>
    <n v="1058"/>
    <s v="CONDUCTED TECHNICAL ASSISTANCE"/>
    <n v="2024"/>
    <d v="2024-06-05T00:00:00"/>
    <x v="0"/>
    <s v="Joshua A. Capones"/>
    <m/>
    <s v="Rod Ross S. De Jesus"/>
    <m/>
    <m/>
    <m/>
    <m/>
    <m/>
    <s v=""/>
    <s v=""/>
    <s v=""/>
    <s v=""/>
    <m/>
    <m/>
    <m/>
    <s v="Technical Assistance"/>
    <m/>
  </r>
  <r>
    <x v="5"/>
    <x v="106"/>
    <s v="OUTSIDE MBA"/>
    <s v="Santa Maria"/>
    <n v="2029"/>
    <n v="2236"/>
    <s v="CONDUCTED TECHNICAL ASSISTANCE"/>
    <n v="2025"/>
    <d v="2025-08-15T00:00:00"/>
    <x v="9"/>
    <s v="Joshua A. Capones"/>
    <m/>
    <s v="Rod Ross S. De Jesus"/>
    <s v="R3-2025-027535"/>
    <d v="2025-08-16T00:00:00"/>
    <m/>
    <d v="2025-08-18T00:00:00"/>
    <d v="2025-08-19T00:00:00"/>
    <n v="1"/>
    <s v=""/>
    <n v="1"/>
    <n v="1"/>
    <s v="Received by Planning"/>
    <s v="NO FACILITY"/>
    <s v="CATER BY LGU"/>
    <s v="Technical Assistance"/>
    <m/>
  </r>
  <r>
    <x v="5"/>
    <x v="106"/>
    <s v="OUTSIDE MBA"/>
    <s v="Santa Monica"/>
    <n v="1674"/>
    <n v="1769"/>
    <s v="CONDUCTED TECHNICAL ASSISTANCE"/>
    <n v="2024"/>
    <d v="2024-10-02T00:00:00"/>
    <x v="0"/>
    <s v="Joshua A. Capones"/>
    <m/>
    <s v="Rod Ross S. De Jesus"/>
    <m/>
    <m/>
    <m/>
    <m/>
    <m/>
    <s v=""/>
    <s v=""/>
    <s v=""/>
    <s v=""/>
    <m/>
    <s v="MRF"/>
    <s v="OPERATIONAL"/>
    <s v="Technical Assistance"/>
    <m/>
  </r>
  <r>
    <x v="5"/>
    <x v="106"/>
    <s v="OUTSIDE MBA"/>
    <s v="Tolega Norte"/>
    <n v="889"/>
    <n v="945"/>
    <s v="NO TECHNICAL ASSISTANCE CONDUCTED"/>
    <m/>
    <m/>
    <x v="0"/>
    <s v="Joshua A. Capones"/>
    <m/>
    <s v="Rod Ross S. De Jesus"/>
    <m/>
    <m/>
    <m/>
    <m/>
    <m/>
    <s v=""/>
    <s v=""/>
    <s v=""/>
    <s v=""/>
    <m/>
    <m/>
    <m/>
    <m/>
    <m/>
  </r>
  <r>
    <x v="5"/>
    <x v="106"/>
    <s v="OUTSIDE MBA"/>
    <s v="Tolega Sur"/>
    <n v="1300"/>
    <n v="1557"/>
    <s v="NO TECHNICAL ASSISTANCE CONDUCTED"/>
    <m/>
    <m/>
    <x v="0"/>
    <s v="Joshua A. Capones"/>
    <m/>
    <s v="Rod Ross S. De Jesus"/>
    <m/>
    <m/>
    <m/>
    <m/>
    <m/>
    <s v=""/>
    <s v=""/>
    <s v=""/>
    <s v=""/>
    <m/>
    <m/>
    <m/>
    <m/>
    <m/>
  </r>
  <r>
    <x v="5"/>
    <x v="106"/>
    <s v="OUTSIDE MBA"/>
    <s v="Villa"/>
    <n v="668"/>
    <n v="861"/>
    <s v="NO TECHNICAL ASSISTANCE CONDUCTED"/>
    <m/>
    <m/>
    <x v="0"/>
    <s v="Joshua A. Capones"/>
    <m/>
    <s v="Rod Ross S. De Jesus"/>
    <m/>
    <m/>
    <m/>
    <m/>
    <m/>
    <s v=""/>
    <s v=""/>
    <s v=""/>
    <s v=""/>
    <m/>
    <m/>
    <m/>
    <m/>
    <m/>
  </r>
  <r>
    <x v="5"/>
    <x v="106"/>
    <s v="OUTSIDE MBA"/>
    <s v="Tubectubang"/>
    <n v="2233"/>
    <n v="2680"/>
    <s v="CONDUCTED TECHNICAL ASSISTANCE"/>
    <n v="2025"/>
    <d v="2025-09-17T00:00:00"/>
    <x v="5"/>
    <s v="Joshua A. Capones"/>
    <m/>
    <s v="Jan Emerson C. Gonzales"/>
    <s v="R3-2025-031554"/>
    <d v="2025-09-18T00:00:00"/>
    <m/>
    <d v="2025-10-03T00:00:00"/>
    <d v="2025-10-14T00:00:00"/>
    <n v="1"/>
    <s v=""/>
    <n v="11"/>
    <n v="7"/>
    <s v="Received by Planning"/>
    <s v="MRS"/>
    <s v="OPERATIONAL"/>
    <s v="Technical Assistance"/>
    <m/>
  </r>
  <r>
    <x v="5"/>
    <x v="107"/>
    <s v="OUTSIDE MBA"/>
    <s v="Abogado"/>
    <n v="4828"/>
    <n v="4612"/>
    <s v="CONDUCTED TECHNICAL ASSISTANCE"/>
    <n v="2025"/>
    <d v="2025-02-05T00:00:00"/>
    <x v="3"/>
    <s v="Joshua A. Capones"/>
    <m/>
    <s v="Rod Ross S. De Jesus"/>
    <s v="R3-2025-004348"/>
    <d v="2025-02-07T00:00:00"/>
    <m/>
    <d v="2025-02-07T00:00:00"/>
    <d v="2025-02-13T00:00:00"/>
    <n v="2"/>
    <s v=""/>
    <n v="1"/>
    <n v="4"/>
    <s v="Received by Planning"/>
    <s v="MRF"/>
    <s v="OPERATIONAL"/>
    <s v="Technical Assistance"/>
    <m/>
  </r>
  <r>
    <x v="5"/>
    <x v="107"/>
    <s v="OUTSIDE MBA"/>
    <s v="Acocolao"/>
    <n v="2049"/>
    <n v="2672"/>
    <s v="CONDUCTED TECHNICAL ASSISTANCE"/>
    <n v="2025"/>
    <d v="2025-02-05T00:00:00"/>
    <x v="3"/>
    <s v="Joshua A. Capones"/>
    <m/>
    <s v="Rod Ross S. De Jesus"/>
    <s v="R3-2025-004349"/>
    <d v="2025-02-07T00:00:00"/>
    <m/>
    <d v="2025-02-07T00:00:00"/>
    <d v="2025-02-13T00:00:00"/>
    <n v="2"/>
    <s v=""/>
    <n v="1"/>
    <n v="4"/>
    <s v="Received by Planning"/>
    <s v="MRF"/>
    <s v="OPERATIONAL"/>
    <s v="Technical Assistance"/>
    <m/>
  </r>
  <r>
    <x v="5"/>
    <x v="107"/>
    <s v="OUTSIDE MBA"/>
    <s v="Aduas"/>
    <n v="1508"/>
    <n v="1836"/>
    <s v="CONDUCTED TECHNICAL ASSISTANCE"/>
    <n v="2025"/>
    <d v="2025-02-05T00:00:00"/>
    <x v="3"/>
    <s v="Joshua A. Capones"/>
    <m/>
    <s v="Rod Ross S. De Jesus"/>
    <s v="R3-2025-004346"/>
    <d v="2025-02-07T00:00:00"/>
    <m/>
    <d v="2025-02-07T00:00:00"/>
    <d v="2025-02-13T00:00:00"/>
    <n v="2"/>
    <s v=""/>
    <n v="1"/>
    <n v="4"/>
    <s v="Received by Planning"/>
    <s v="MRF"/>
    <s v="OPERATIONAL"/>
    <s v="Technical Assistance"/>
    <m/>
  </r>
  <r>
    <x v="5"/>
    <x v="107"/>
    <s v="OUTSIDE MBA"/>
    <s v="Apulid"/>
    <n v="3314"/>
    <n v="3859"/>
    <s v="CONDUCTED TECHNICAL ASSISTANCE"/>
    <n v="2025"/>
    <d v="2025-02-05T00:00:00"/>
    <x v="3"/>
    <s v="Joshua A. Capones"/>
    <m/>
    <s v="Rod Ross S. De Jesus"/>
    <s v="R3-2025-004350"/>
    <d v="2025-02-07T00:00:00"/>
    <m/>
    <d v="2025-02-10T00:00:00"/>
    <d v="2025-02-13T00:00:00"/>
    <n v="2"/>
    <s v=""/>
    <n v="1"/>
    <n v="3"/>
    <s v="Received by Planning"/>
    <s v="MRS"/>
    <s v="OPERATIONAL"/>
    <s v="Technical Assistance"/>
    <m/>
  </r>
  <r>
    <x v="5"/>
    <x v="107"/>
    <s v="OUTSIDE MBA"/>
    <s v="Balaoang"/>
    <n v="3620"/>
    <n v="4361"/>
    <s v="NO TECHNICAL ASSISTANCE CONDUCTED"/>
    <m/>
    <m/>
    <x v="0"/>
    <s v="Joshua A. Capones"/>
    <m/>
    <s v="Rod Ross S. De Jesus"/>
    <m/>
    <m/>
    <m/>
    <m/>
    <m/>
    <s v=""/>
    <s v=""/>
    <s v=""/>
    <s v=""/>
    <m/>
    <m/>
    <m/>
    <m/>
    <m/>
  </r>
  <r>
    <x v="5"/>
    <x v="107"/>
    <s v="OUTSIDE MBA"/>
    <s v="Barang"/>
    <n v="1174"/>
    <n v="1309"/>
    <s v="NO TECHNICAL ASSISTANCE CONDUCTED"/>
    <m/>
    <m/>
    <x v="0"/>
    <s v="Joshua A. Capones"/>
    <m/>
    <s v="Rod Ross S. De Jesus"/>
    <m/>
    <m/>
    <m/>
    <m/>
    <m/>
    <s v=""/>
    <s v=""/>
    <s v=""/>
    <s v=""/>
    <m/>
    <m/>
    <m/>
    <m/>
    <m/>
  </r>
  <r>
    <x v="5"/>
    <x v="107"/>
    <s v="OUTSIDE MBA"/>
    <s v="Brillante"/>
    <n v="593"/>
    <n v="707"/>
    <s v="NO TECHNICAL ASSISTANCE CONDUCTED"/>
    <m/>
    <m/>
    <x v="0"/>
    <s v="Joshua A. Capones"/>
    <m/>
    <s v="Rod Ross S. De Jesus"/>
    <m/>
    <m/>
    <m/>
    <m/>
    <m/>
    <s v=""/>
    <s v=""/>
    <s v=""/>
    <s v=""/>
    <m/>
    <m/>
    <m/>
    <m/>
    <m/>
  </r>
  <r>
    <x v="5"/>
    <x v="107"/>
    <s v="OUTSIDE MBA"/>
    <s v="Burgos"/>
    <n v="2073"/>
    <n v="2345"/>
    <s v="NO TECHNICAL ASSISTANCE CONDUCTED"/>
    <m/>
    <m/>
    <x v="0"/>
    <s v="Joshua A. Capones"/>
    <m/>
    <s v="Rod Ross S. De Jesus"/>
    <m/>
    <m/>
    <m/>
    <m/>
    <m/>
    <s v=""/>
    <s v=""/>
    <s v=""/>
    <s v=""/>
    <m/>
    <m/>
    <m/>
    <m/>
    <m/>
  </r>
  <r>
    <x v="5"/>
    <x v="107"/>
    <s v="OUTSIDE MBA"/>
    <s v="Cabayaoasan"/>
    <n v="2890"/>
    <n v="3128"/>
    <s v="NO TECHNICAL ASSISTANCE CONDUCTED"/>
    <m/>
    <m/>
    <x v="0"/>
    <s v="Joshua A. Capones"/>
    <m/>
    <s v="Rod Ross S. De Jesus"/>
    <m/>
    <m/>
    <m/>
    <m/>
    <m/>
    <s v=""/>
    <s v=""/>
    <s v=""/>
    <s v=""/>
    <m/>
    <m/>
    <m/>
    <m/>
    <m/>
  </r>
  <r>
    <x v="5"/>
    <x v="107"/>
    <s v="OUTSIDE MBA"/>
    <s v="Carino"/>
    <n v="4643"/>
    <n v="5196"/>
    <s v="CONDUCTED TECHNICAL ASSISTANCE"/>
    <n v="2025"/>
    <d v="2025-10-14T00:00:00"/>
    <x v="5"/>
    <s v="Joshua A. Capones"/>
    <m/>
    <s v="Jan Emerson C. Gonzales"/>
    <s v="R3-2025-034779"/>
    <d v="2025-10-15T00:00:00"/>
    <m/>
    <d v="2025-10-15T00:00:00"/>
    <d v="2025-10-15T00:00:00"/>
    <n v="1"/>
    <s v=""/>
    <n v="1"/>
    <n v="1"/>
    <s v="Received by Planning"/>
    <s v="NO FACILITY"/>
    <s v="CATER BY LGU"/>
    <s v="Technical Assistance"/>
    <m/>
  </r>
  <r>
    <x v="5"/>
    <x v="107"/>
    <s v="OUTSIDE MBA"/>
    <s v="Cayanga"/>
    <n v="1669"/>
    <n v="1872"/>
    <s v="CONDUCTED TECHNICAL ASSISTANCE"/>
    <n v="2025"/>
    <d v="2025-10-14T00:00:00"/>
    <x v="5"/>
    <s v="Joshua A. Capones"/>
    <m/>
    <s v="Jan Emerson C. Gonzales"/>
    <s v="R3-2025-034780"/>
    <d v="2025-10-15T00:00:00"/>
    <m/>
    <d v="2025-10-15T00:00:00"/>
    <d v="2025-10-15T00:00:00"/>
    <n v="1"/>
    <s v=""/>
    <n v="1"/>
    <n v="1"/>
    <s v="Received by Planning"/>
    <s v="MRS"/>
    <s v="OPERATIONAL"/>
    <s v="Technical Assistance"/>
    <m/>
  </r>
  <r>
    <x v="5"/>
    <x v="107"/>
    <s v="OUTSIDE MBA"/>
    <s v="Colibangbang"/>
    <n v="1675"/>
    <n v="1657"/>
    <s v="CONDUCTED TECHNICAL ASSISTANCE"/>
    <n v="2025"/>
    <d v="2025-07-02T00:00:00"/>
    <x v="8"/>
    <s v="Joshua A. Capones"/>
    <m/>
    <s v="Rod Ross S. De Jesus"/>
    <s v="R3-2025-022161"/>
    <d v="2025-07-05T00:00:00"/>
    <m/>
    <d v="2025-07-09T00:00:00"/>
    <d v="2025-07-15T00:00:00"/>
    <n v="2"/>
    <s v=""/>
    <n v="2"/>
    <n v="4"/>
    <s v="Received by Planning"/>
    <s v="MRS"/>
    <s v="OPERATIONAL"/>
    <s v="Technical Assistance"/>
    <m/>
  </r>
  <r>
    <x v="5"/>
    <x v="107"/>
    <s v="OUTSIDE MBA"/>
    <s v="Coral"/>
    <n v="2298"/>
    <n v="2329"/>
    <s v="CONDUCTED TECHNICAL ASSISTANCE"/>
    <n v="2025"/>
    <d v="2025-10-14T00:00:00"/>
    <x v="5"/>
    <s v="Joshua A. Capones"/>
    <m/>
    <s v="Jan Emerson C. Gonzales"/>
    <s v="R3-2025-034777"/>
    <d v="2025-10-15T00:00:00"/>
    <m/>
    <d v="2025-10-15T00:00:00"/>
    <d v="2025-10-15T00:00:00"/>
    <n v="1"/>
    <s v=""/>
    <n v="1"/>
    <n v="1"/>
    <s v="Received by Planning"/>
    <s v="NO FACILITY"/>
    <s v="CATER BY LGU"/>
    <s v="Technical Assistance"/>
    <m/>
  </r>
  <r>
    <x v="5"/>
    <x v="107"/>
    <s v="OUTSIDE MBA"/>
    <s v="Dapdap"/>
    <n v="1296"/>
    <n v="1424"/>
    <s v="NO TECHNICAL ASSISTANCE CONDUCTED"/>
    <m/>
    <m/>
    <x v="0"/>
    <s v="Joshua A. Capones"/>
    <m/>
    <s v="Rod Ross S. De Jesus"/>
    <m/>
    <m/>
    <m/>
    <m/>
    <m/>
    <s v=""/>
    <s v=""/>
    <s v=""/>
    <s v=""/>
    <m/>
    <m/>
    <m/>
    <m/>
    <m/>
  </r>
  <r>
    <x v="5"/>
    <x v="107"/>
    <s v="OUTSIDE MBA"/>
    <s v="Estacion"/>
    <n v="4039"/>
    <n v="4755"/>
    <s v="CONDUCTED TECHNICAL ASSISTANCE"/>
    <n v="2025"/>
    <d v="2025-08-15T00:00:00"/>
    <x v="9"/>
    <s v="Joshua A. Capones"/>
    <m/>
    <s v="Rod Ross S. De Jesus"/>
    <s v="R3-2025-027503"/>
    <d v="2025-08-16T00:00:00"/>
    <m/>
    <d v="2025-08-18T00:00:00"/>
    <d v="2025-08-19T00:00:00"/>
    <n v="1"/>
    <s v=""/>
    <n v="1"/>
    <n v="1"/>
    <s v="Received by Planning"/>
    <s v="NO FACILITY"/>
    <s v="CATER BY LGU"/>
    <s v="Technical Assistance"/>
    <m/>
  </r>
  <r>
    <x v="5"/>
    <x v="107"/>
    <s v="OUTSIDE MBA"/>
    <s v="Mabilang"/>
    <n v="2312"/>
    <n v="2520"/>
    <s v="NO TECHNICAL ASSISTANCE CONDUCTED"/>
    <m/>
    <m/>
    <x v="0"/>
    <s v="Joshua A. Capones"/>
    <m/>
    <s v="Rod Ross S. De Jesus"/>
    <m/>
    <m/>
    <m/>
    <m/>
    <m/>
    <s v=""/>
    <s v=""/>
    <s v=""/>
    <s v=""/>
    <m/>
    <m/>
    <m/>
    <m/>
    <m/>
  </r>
  <r>
    <x v="5"/>
    <x v="107"/>
    <s v="OUTSIDE MBA"/>
    <s v="Manaois"/>
    <n v="1218"/>
    <n v="1552"/>
    <s v="NO TECHNICAL ASSISTANCE CONDUCTED"/>
    <m/>
    <m/>
    <x v="0"/>
    <s v="Joshua A. Capones"/>
    <m/>
    <s v="Rod Ross S. De Jesus"/>
    <m/>
    <m/>
    <m/>
    <m/>
    <m/>
    <s v=""/>
    <s v=""/>
    <s v=""/>
    <s v=""/>
    <m/>
    <m/>
    <m/>
    <m/>
    <m/>
  </r>
  <r>
    <x v="5"/>
    <x v="107"/>
    <s v="OUTSIDE MBA"/>
    <s v="Matalapitap"/>
    <n v="1753"/>
    <n v="2230"/>
    <s v="CONDUCTED TECHNICAL ASSISTANCE"/>
    <n v="2025"/>
    <d v="2025-08-13T00:00:00"/>
    <x v="9"/>
    <s v="Joshua A. Capones"/>
    <m/>
    <s v="Rod Ross S. De Jesus"/>
    <s v="R3-2025-027501"/>
    <d v="2025-08-16T00:00:00"/>
    <m/>
    <d v="2025-08-18T00:00:00"/>
    <d v="2025-08-19T00:00:00"/>
    <n v="2"/>
    <s v=""/>
    <n v="1"/>
    <n v="1"/>
    <s v="Received by Planning"/>
    <s v="NO FACILITY"/>
    <s v="CATER BY LGU"/>
    <s v="Technical Assistance"/>
    <m/>
  </r>
  <r>
    <x v="5"/>
    <x v="107"/>
    <s v="OUTSIDE MBA"/>
    <s v="Nagmisaan"/>
    <n v="1018"/>
    <n v="1090"/>
    <s v="NO TECHNICAL ASSISTANCE CONDUCTED"/>
    <m/>
    <m/>
    <x v="0"/>
    <s v="Joshua A. Capones"/>
    <m/>
    <s v="Rod Ross S. De Jesus"/>
    <m/>
    <m/>
    <m/>
    <m/>
    <m/>
    <s v=""/>
    <s v=""/>
    <s v=""/>
    <s v=""/>
    <m/>
    <m/>
    <m/>
    <m/>
    <m/>
  </r>
  <r>
    <x v="5"/>
    <x v="107"/>
    <s v="OUTSIDE MBA"/>
    <s v="Nancamarinan"/>
    <n v="3975"/>
    <n v="4494"/>
    <s v="CONDUCTED TECHNICAL ASSISTANCE"/>
    <n v="2025"/>
    <d v="2025-10-14T00:00:00"/>
    <x v="5"/>
    <s v="Joshua A. Capones"/>
    <m/>
    <s v="Jan Emerson C. Gonzales"/>
    <s v="R3-2025-034781"/>
    <d v="2025-10-15T00:00:00"/>
    <m/>
    <d v="2025-10-15T00:00:00"/>
    <d v="2025-10-15T00:00:00"/>
    <n v="1"/>
    <s v=""/>
    <n v="1"/>
    <n v="1"/>
    <s v="Received by Planning"/>
    <s v="NO FACILITY"/>
    <s v="CATER BY LGU"/>
    <s v="Technical Assistance"/>
    <m/>
  </r>
  <r>
    <x v="5"/>
    <x v="107"/>
    <s v="OUTSIDE MBA"/>
    <s v="Nipaco"/>
    <n v="1631"/>
    <n v="1654"/>
    <s v="NO TECHNICAL ASSISTANCE CONDUCTED"/>
    <m/>
    <m/>
    <x v="0"/>
    <s v="Joshua A. Capones"/>
    <m/>
    <s v="Rod Ross S. De Jesus"/>
    <m/>
    <m/>
    <m/>
    <m/>
    <m/>
    <s v=""/>
    <s v=""/>
    <s v=""/>
    <s v=""/>
    <m/>
    <m/>
    <m/>
    <m/>
    <m/>
  </r>
  <r>
    <x v="5"/>
    <x v="107"/>
    <s v="OUTSIDE MBA"/>
    <s v="Patalan"/>
    <n v="2835"/>
    <n v="3247"/>
    <s v="CONDUCTED TECHNICAL ASSISTANCE"/>
    <n v="2025"/>
    <d v="2025-05-13T00:00:00"/>
    <x v="6"/>
    <s v="Joshua A. Capones"/>
    <m/>
    <s v="Rod Ross S. De Jesus"/>
    <s v="R3-2025-016255"/>
    <d v="2025-05-15T00:00:00"/>
    <m/>
    <d v="2025-05-16T00:00:00"/>
    <d v="2025-05-19T00:00:00"/>
    <n v="2"/>
    <s v=""/>
    <n v="1"/>
    <n v="1"/>
    <s v="Received by Planning"/>
    <s v="NO FACILITY"/>
    <s v="CATER BY LGU"/>
    <s v="Technical Assistance"/>
    <m/>
  </r>
  <r>
    <x v="5"/>
    <x v="107"/>
    <s v="OUTSIDE MBA"/>
    <s v="Poblacion Norte"/>
    <n v="8581"/>
    <n v="8825"/>
    <s v="CONDUCTED TECHNICAL ASSISTANCE"/>
    <n v="2025"/>
    <d v="2025-05-13T00:00:00"/>
    <x v="6"/>
    <s v="Joshua A. Capones"/>
    <m/>
    <s v="Rod Ross S. De Jesus"/>
    <s v="R3-2025-016257"/>
    <d v="2025-05-15T00:00:00"/>
    <m/>
    <d v="2025-05-16T00:00:00"/>
    <d v="2025-05-19T00:00:00"/>
    <n v="2"/>
    <s v=""/>
    <n v="1"/>
    <n v="1"/>
    <s v="Received by Planning"/>
    <s v="NO FACILITY"/>
    <s v="CATER BY LGU"/>
    <s v="Technical Assistance"/>
    <m/>
  </r>
  <r>
    <x v="5"/>
    <x v="107"/>
    <s v="OUTSIDE MBA"/>
    <s v="Poblacion Sur"/>
    <n v="4933"/>
    <n v="4719"/>
    <s v="CONDUCTED TECHNICAL ASSISTANCE"/>
    <n v="2025"/>
    <d v="2025-05-13T00:00:00"/>
    <x v="6"/>
    <s v="Joshua A. Capones"/>
    <m/>
    <s v="Rod Ross S. De Jesus"/>
    <s v="R3-2025-016256"/>
    <d v="2025-05-15T00:00:00"/>
    <m/>
    <d v="2025-05-16T00:00:00"/>
    <d v="2025-05-19T00:00:00"/>
    <n v="2"/>
    <s v=""/>
    <n v="1"/>
    <n v="1"/>
    <s v="Received by Planning"/>
    <s v="MRF"/>
    <s v="OPERATIONAL"/>
    <s v="Technical Assistance"/>
    <m/>
  </r>
  <r>
    <x v="5"/>
    <x v="107"/>
    <s v="OUTSIDE MBA"/>
    <s v="Rang-ayan"/>
    <n v="2113"/>
    <n v="2399"/>
    <s v="CONDUCTED TECHNICAL ASSISTANCE"/>
    <n v="2025"/>
    <d v="2025-10-14T00:00:00"/>
    <x v="5"/>
    <s v="Joshua A. Capones"/>
    <m/>
    <s v="Jan Emerson C. Gonzales"/>
    <s v="R3-2025-034778"/>
    <d v="2025-10-15T00:00:00"/>
    <m/>
    <d v="2025-10-15T00:00:00"/>
    <d v="2025-10-15T00:00:00"/>
    <n v="1"/>
    <s v=""/>
    <n v="1"/>
    <n v="1"/>
    <s v="Received by Planning"/>
    <s v="NO FACILITY"/>
    <s v="CATER BY LGU"/>
    <s v="Technical Assistance"/>
    <m/>
  </r>
  <r>
    <x v="5"/>
    <x v="107"/>
    <s v="OUTSIDE MBA"/>
    <s v="Salumague"/>
    <n v="3408"/>
    <n v="3529"/>
    <s v="CONDUCTED TECHNICAL ASSISTANCE"/>
    <n v="2025"/>
    <d v="2025-06-17T00:00:00"/>
    <x v="10"/>
    <s v="Joshua A. Capones"/>
    <m/>
    <s v="Rod Ross S. De Jesus"/>
    <s v="R3-2025-020266"/>
    <d v="2025-06-18T00:00:00"/>
    <m/>
    <d v="2025-06-19T00:00:00"/>
    <d v="2025-06-19T00:00:00"/>
    <n v="1"/>
    <s v=""/>
    <n v="1"/>
    <n v="1"/>
    <s v="Received by Planning"/>
    <s v="MRS"/>
    <s v="OPERATIONAL"/>
    <s v="Technical Assistance"/>
    <m/>
  </r>
  <r>
    <x v="5"/>
    <x v="107"/>
    <s v="OUTSIDE MBA"/>
    <s v="Samput"/>
    <n v="4986"/>
    <n v="6253"/>
    <s v="CONDUCTED TECHNICAL ASSISTANCE"/>
    <n v="2025"/>
    <d v="2025-06-17T00:00:00"/>
    <x v="10"/>
    <s v="Joshua A. Capones"/>
    <m/>
    <s v="Rod Ross S. De Jesus"/>
    <s v="R3-2025-020267"/>
    <d v="2025-06-18T00:00:00"/>
    <m/>
    <d v="2025-06-19T00:00:00"/>
    <d v="2025-06-19T00:00:00"/>
    <n v="1"/>
    <s v=""/>
    <n v="1"/>
    <n v="1"/>
    <s v="Received by Planning"/>
    <s v="NO FACILITY"/>
    <s v="CATER BY LGU"/>
    <s v="Technical Assistance"/>
    <m/>
  </r>
  <r>
    <x v="5"/>
    <x v="107"/>
    <s v="OUTSIDE MBA"/>
    <s v="San Carlos"/>
    <n v="1396"/>
    <n v="1682"/>
    <s v="NO TECHNICAL ASSISTANCE CONDUCTED"/>
    <m/>
    <m/>
    <x v="0"/>
    <s v="Joshua A. Capones"/>
    <m/>
    <s v="Rod Ross S. De Jesus"/>
    <m/>
    <m/>
    <m/>
    <m/>
    <m/>
    <s v=""/>
    <s v=""/>
    <s v=""/>
    <s v=""/>
    <m/>
    <m/>
    <m/>
    <m/>
    <m/>
  </r>
  <r>
    <x v="5"/>
    <x v="107"/>
    <s v="OUTSIDE MBA"/>
    <s v="San Isidro"/>
    <n v="2049"/>
    <n v="2202"/>
    <s v="CONDUCTED TECHNICAL ASSISTANCE"/>
    <n v="2024"/>
    <d v="2024-09-10T00:00:00"/>
    <x v="0"/>
    <s v="Joshua A. Capones"/>
    <m/>
    <s v="Rod Ross S. De Jesus"/>
    <m/>
    <m/>
    <m/>
    <m/>
    <m/>
    <s v=""/>
    <s v=""/>
    <s v=""/>
    <s v=""/>
    <m/>
    <s v="MRS"/>
    <s v="OPERATIONAL"/>
    <s v="Technical Assistance"/>
    <m/>
  </r>
  <r>
    <x v="5"/>
    <x v="107"/>
    <s v="OUTSIDE MBA"/>
    <s v="San Juan de Milla"/>
    <n v="926"/>
    <n v="1077"/>
    <s v="NO TECHNICAL ASSISTANCE CONDUCTED"/>
    <m/>
    <m/>
    <x v="0"/>
    <s v="Joshua A. Capones"/>
    <m/>
    <s v="Rod Ross S. De Jesus"/>
    <m/>
    <m/>
    <m/>
    <m/>
    <m/>
    <s v=""/>
    <s v=""/>
    <s v=""/>
    <s v=""/>
    <m/>
    <m/>
    <m/>
    <m/>
    <m/>
  </r>
  <r>
    <x v="5"/>
    <x v="107"/>
    <s v="OUTSIDE MBA"/>
    <s v="Santa Ines"/>
    <n v="1711"/>
    <n v="2088"/>
    <s v="CONDUCTED TECHNICAL ASSISTANCE"/>
    <n v="2024"/>
    <d v="2024-07-03T00:00:00"/>
    <x v="0"/>
    <s v="Joshua A. Capones"/>
    <m/>
    <s v="Rod Ross S. De Jesus"/>
    <m/>
    <m/>
    <m/>
    <m/>
    <m/>
    <s v=""/>
    <s v=""/>
    <s v=""/>
    <s v=""/>
    <m/>
    <s v="MRF"/>
    <s v="OPERATIONAL"/>
    <s v="Technical Assistance"/>
    <m/>
  </r>
  <r>
    <x v="5"/>
    <x v="107"/>
    <s v="OUTSIDE MBA"/>
    <s v="Sinigpit"/>
    <n v="2051"/>
    <n v="2160"/>
    <s v="NO TECHNICAL ASSISTANCE CONDUCTED"/>
    <m/>
    <m/>
    <x v="0"/>
    <s v="Joshua A. Capones"/>
    <m/>
    <s v="Rod Ross S. De Jesus"/>
    <m/>
    <m/>
    <m/>
    <m/>
    <m/>
    <s v=""/>
    <s v=""/>
    <s v=""/>
    <s v=""/>
    <m/>
    <m/>
    <m/>
    <m/>
    <m/>
  </r>
  <r>
    <x v="5"/>
    <x v="107"/>
    <s v="OUTSIDE MBA"/>
    <s v="Tablang"/>
    <n v="2689"/>
    <n v="3082"/>
    <s v="NO TECHNICAL ASSISTANCE CONDUCTED"/>
    <m/>
    <m/>
    <x v="0"/>
    <s v="Joshua A. Capones"/>
    <m/>
    <s v="Rod Ross S. De Jesus"/>
    <m/>
    <m/>
    <m/>
    <m/>
    <m/>
    <s v=""/>
    <s v=""/>
    <s v=""/>
    <s v=""/>
    <m/>
    <m/>
    <m/>
    <m/>
    <m/>
  </r>
  <r>
    <x v="5"/>
    <x v="107"/>
    <s v="OUTSIDE MBA"/>
    <s v="Ventenilla"/>
    <n v="2441"/>
    <n v="2927"/>
    <s v="CONDUCTED TECHNICAL ASSISTANCE"/>
    <n v="2024"/>
    <d v="2024-07-03T00:00:00"/>
    <x v="0"/>
    <s v="Joshua A. Capones"/>
    <m/>
    <s v="Rod Ross S. De Jesus"/>
    <m/>
    <m/>
    <m/>
    <m/>
    <m/>
    <s v=""/>
    <s v=""/>
    <s v=""/>
    <s v=""/>
    <m/>
    <s v="MRF"/>
    <s v="OPERATIONAL"/>
    <s v="Technical Assistance"/>
    <m/>
  </r>
  <r>
    <x v="5"/>
    <x v="107"/>
    <s v="OUTSIDE MBA"/>
    <s v="Canan"/>
    <n v="2911"/>
    <n v="3211"/>
    <s v="CONDUCTED TECHNICAL ASSISTANCE"/>
    <n v="2025"/>
    <d v="2025-08-13T00:00:00"/>
    <x v="7"/>
    <s v="Joshua A. Capones"/>
    <m/>
    <s v="Rod Ross S. De Jesus"/>
    <s v="R3-2025-027502"/>
    <d v="2025-08-16T00:00:00"/>
    <m/>
    <d v="2025-08-18T00:00:00"/>
    <d v="2025-08-19T00:00:00"/>
    <n v="2"/>
    <s v=""/>
    <n v="1"/>
    <n v="1"/>
    <s v="Received by Planning"/>
    <s v="MRS"/>
    <s v="OPERATIONAL"/>
    <s v="Technical Assistance"/>
    <m/>
  </r>
  <r>
    <x v="5"/>
    <x v="108"/>
    <s v="OUTSIDE MBA"/>
    <s v="Balite"/>
    <n v="1730"/>
    <n v="1835"/>
    <s v="CONDUCTED TECHNICAL ASSISTANCE"/>
    <n v="2024"/>
    <d v="2024-11-06T00:00:00"/>
    <x v="0"/>
    <s v="Joshua A. Capones"/>
    <m/>
    <s v="Rod Ross S. De Jesus"/>
    <m/>
    <m/>
    <m/>
    <m/>
    <m/>
    <s v=""/>
    <s v=""/>
    <s v=""/>
    <s v=""/>
    <m/>
    <s v="MRF"/>
    <s v="OPERATIONAL"/>
    <s v="Technical Assistance"/>
    <m/>
  </r>
  <r>
    <x v="5"/>
    <x v="108"/>
    <s v="OUTSIDE MBA"/>
    <s v="Buenavista"/>
    <n v="2932"/>
    <n v="3105"/>
    <s v="CONDUCTED TECHNICAL ASSISTANCE"/>
    <n v="2025"/>
    <d v="2025-03-05T00:00:00"/>
    <x v="1"/>
    <s v="Joshua A. Capones"/>
    <m/>
    <s v="Rod Ross S. De Jesus"/>
    <s v="R3-2025-007910"/>
    <d v="2025-03-05T00:00:00"/>
    <m/>
    <d v="2025-03-10T00:00:00"/>
    <d v="2025-03-12T00:00:00"/>
    <n v="1"/>
    <s v=""/>
    <n v="3"/>
    <n v="2"/>
    <s v="Received by Planning"/>
    <s v="MRF"/>
    <s v="OPERATIONAL"/>
    <s v="Technical Assistance"/>
    <m/>
  </r>
  <r>
    <x v="5"/>
    <x v="108"/>
    <s v="OUTSIDE MBA"/>
    <s v="Cadanglaan"/>
    <n v="756"/>
    <n v="886"/>
    <s v="CONDUCTED TECHNICAL ASSISTANCE"/>
    <n v="2025"/>
    <d v="2025-03-05T00:00:00"/>
    <x v="1"/>
    <s v="Joshua A. Capones"/>
    <m/>
    <s v="Rod Ross S. De Jesus"/>
    <s v="R3-2025-007911"/>
    <d v="2025-03-07T00:00:00"/>
    <m/>
    <d v="2025-03-10T00:00:00"/>
    <d v="2025-03-12T00:00:00"/>
    <n v="2"/>
    <s v=""/>
    <n v="1"/>
    <n v="2"/>
    <s v="Received by Planning"/>
    <s v="MRS"/>
    <s v="OPERATIONAL"/>
    <s v="Technical Assistance"/>
    <m/>
  </r>
  <r>
    <x v="5"/>
    <x v="108"/>
    <s v="OUTSIDE MBA"/>
    <s v="Estipona"/>
    <n v="4201"/>
    <n v="4505"/>
    <s v="CONDUCTED TECHNICAL ASSISTANCE"/>
    <n v="2024"/>
    <d v="2024-05-07T00:00:00"/>
    <x v="0"/>
    <s v="Joshua A. Capones"/>
    <m/>
    <s v="Rod Ross S. De Jesus"/>
    <m/>
    <m/>
    <m/>
    <m/>
    <m/>
    <s v=""/>
    <s v=""/>
    <s v=""/>
    <s v=""/>
    <m/>
    <m/>
    <m/>
    <s v="Technical Assistance"/>
    <m/>
  </r>
  <r>
    <x v="5"/>
    <x v="108"/>
    <s v="OUTSIDE MBA"/>
    <s v="Maasin"/>
    <n v="783"/>
    <n v="722"/>
    <s v="NO TECHNICAL ASSISTANCE CONDUCTED"/>
    <m/>
    <m/>
    <x v="0"/>
    <s v="Joshua A. Capones"/>
    <m/>
    <s v="Rod Ross S. De Jesus"/>
    <m/>
    <m/>
    <m/>
    <m/>
    <m/>
    <s v=""/>
    <s v=""/>
    <s v=""/>
    <s v=""/>
    <m/>
    <m/>
    <m/>
    <m/>
    <m/>
  </r>
  <r>
    <x v="5"/>
    <x v="108"/>
    <s v="OUTSIDE MBA"/>
    <s v="Matindeg"/>
    <n v="1193"/>
    <n v="1296"/>
    <s v="NO TECHNICAL ASSISTANCE CONDUCTED"/>
    <m/>
    <m/>
    <x v="0"/>
    <s v="Joshua A. Capones"/>
    <m/>
    <s v="Rod Ross S. De Jesus"/>
    <m/>
    <m/>
    <m/>
    <m/>
    <m/>
    <s v=""/>
    <s v=""/>
    <s v=""/>
    <s v=""/>
    <m/>
    <m/>
    <m/>
    <m/>
    <m/>
  </r>
  <r>
    <x v="5"/>
    <x v="108"/>
    <s v="OUTSIDE MBA"/>
    <s v="Naya"/>
    <n v="1062"/>
    <n v="1284"/>
    <s v="CONDUCTED TECHNICAL ASSISTANCE"/>
    <n v="2024"/>
    <d v="2024-09-05T00:00:00"/>
    <x v="0"/>
    <s v="Joshua A. Capones"/>
    <m/>
    <s v="Rod Ross S. De Jesus"/>
    <m/>
    <m/>
    <m/>
    <m/>
    <m/>
    <s v=""/>
    <s v=""/>
    <s v=""/>
    <s v=""/>
    <m/>
    <s v="MRF"/>
    <s v="OPERATIONAL"/>
    <s v="Technical Assistance"/>
    <m/>
  </r>
  <r>
    <x v="5"/>
    <x v="108"/>
    <s v="OUTSIDE MBA"/>
    <s v="Nilasin 1st"/>
    <n v="1040"/>
    <n v="1225"/>
    <s v="CONDUCTED TECHNICAL ASSISTANCE"/>
    <n v="2024"/>
    <d v="2024-08-07T00:00:00"/>
    <x v="0"/>
    <s v="Joshua A. Capones"/>
    <m/>
    <s v="Rod Ross S. De Jesus"/>
    <m/>
    <m/>
    <m/>
    <m/>
    <m/>
    <s v=""/>
    <s v=""/>
    <s v=""/>
    <s v=""/>
    <m/>
    <s v="MRF"/>
    <s v="OPERATIONAL"/>
    <s v="Technical Assistance"/>
    <m/>
  </r>
  <r>
    <x v="5"/>
    <x v="108"/>
    <s v="OUTSIDE MBA"/>
    <s v="Nilasin 2nd"/>
    <n v="1098"/>
    <n v="1163"/>
    <s v="NO TECHNICAL ASSISTANCE CONDUCTED"/>
    <m/>
    <m/>
    <x v="0"/>
    <s v="Joshua A. Capones"/>
    <m/>
    <s v="Rod Ross S. De Jesus"/>
    <m/>
    <m/>
    <m/>
    <m/>
    <m/>
    <s v=""/>
    <s v=""/>
    <s v=""/>
    <s v=""/>
    <m/>
    <m/>
    <m/>
    <m/>
    <m/>
  </r>
  <r>
    <x v="5"/>
    <x v="108"/>
    <s v="OUTSIDE MBA"/>
    <s v="Poblacion 2"/>
    <n v="1059"/>
    <n v="1208"/>
    <s v="CONDUCTED TECHNICAL ASSISTANCE"/>
    <n v="2024"/>
    <d v="2024-06-18T00:00:00"/>
    <x v="0"/>
    <s v="Joshua A. Capones"/>
    <m/>
    <s v="Rod Ross S. De Jesus"/>
    <m/>
    <m/>
    <m/>
    <m/>
    <m/>
    <s v=""/>
    <s v=""/>
    <s v=""/>
    <s v=""/>
    <m/>
    <m/>
    <m/>
    <s v="Technical Assistance"/>
    <m/>
  </r>
  <r>
    <x v="5"/>
    <x v="108"/>
    <s v="OUTSIDE MBA"/>
    <s v="Poblacion 3"/>
    <n v="1207"/>
    <n v="1192"/>
    <s v="CONDUCTED TECHNICAL ASSISTANCE"/>
    <n v="2025"/>
    <d v="2025-11-05T00:00:00"/>
    <x v="11"/>
    <s v="Joshua A. Capones"/>
    <s v="Sherwin John Y. Loquellano"/>
    <s v="Jan Emerson C. Gonzales"/>
    <s v="R3-2025-037109"/>
    <d v="2025-11-05T00:00:00"/>
    <d v="2025-11-17T00:00:00"/>
    <d v="2025-11-17T00:00:00"/>
    <d v="2025-11-17T00:00:00"/>
    <n v="1"/>
    <n v="8"/>
    <n v="8"/>
    <n v="1"/>
    <s v="Received by Planning"/>
    <s v="MRS"/>
    <s v="OPERATIONAL"/>
    <s v="Technical Assistance"/>
    <m/>
  </r>
  <r>
    <x v="5"/>
    <x v="108"/>
    <s v="OUTSIDE MBA"/>
    <s v="Poroc"/>
    <n v="847"/>
    <n v="942"/>
    <s v="CONDUCTED TECHNICAL ASSISTANCE"/>
    <n v="2024"/>
    <d v="2024-05-02T00:00:00"/>
    <x v="0"/>
    <s v="Joshua A. Capones"/>
    <m/>
    <s v="Rod Ross S. De Jesus"/>
    <m/>
    <m/>
    <m/>
    <m/>
    <m/>
    <s v=""/>
    <s v=""/>
    <s v=""/>
    <s v=""/>
    <m/>
    <m/>
    <m/>
    <s v="Technical Assistance"/>
    <m/>
  </r>
  <r>
    <x v="5"/>
    <x v="108"/>
    <s v="OUTSIDE MBA"/>
    <s v="Singat"/>
    <n v="1695"/>
    <n v="2004"/>
    <s v="CONDUCTED TECHNICAL ASSISTANCE"/>
    <n v="2024"/>
    <d v="2024-09-05T00:00:00"/>
    <x v="0"/>
    <s v="Joshua A. Capones"/>
    <m/>
    <s v="Rod Ross S. De Jesus"/>
    <m/>
    <m/>
    <m/>
    <m/>
    <m/>
    <s v=""/>
    <s v=""/>
    <s v=""/>
    <s v=""/>
    <m/>
    <s v="MRF"/>
    <s v="OPERATIONAL"/>
    <s v="Technical Assistance"/>
    <m/>
  </r>
  <r>
    <x v="5"/>
    <x v="108"/>
    <s v="OUTSIDE MBA"/>
    <s v="Linao"/>
    <n v="1437"/>
    <n v="1609"/>
    <s v="CONDUCTED TECHNICAL ASSISTANCE"/>
    <n v="2025"/>
    <d v="2025-09-11T00:00:00"/>
    <x v="7"/>
    <s v="Joshua A. Capones"/>
    <m/>
    <s v="Rod Ross S. De Jesus"/>
    <s v="R3-2025-030818"/>
    <d v="2025-09-14T00:00:00"/>
    <m/>
    <d v="2025-09-16T00:00:00"/>
    <d v="2025-09-18T00:00:00"/>
    <n v="1"/>
    <s v=""/>
    <n v="1"/>
    <n v="2"/>
    <s v="Received by Planning"/>
    <s v="NO FACILITY"/>
    <s v="CATER BY LGU"/>
    <s v="Technical Assistance"/>
    <m/>
  </r>
  <r>
    <x v="5"/>
    <x v="108"/>
    <s v="OUTSIDE MBA"/>
    <s v="Maungib"/>
    <n v="1406"/>
    <n v="1601"/>
    <s v="CONDUCTED TECHNICAL ASSISTANCE"/>
    <n v="2025"/>
    <d v="2025-09-11T00:00:00"/>
    <x v="7"/>
    <s v="Joshua A. Capones"/>
    <m/>
    <s v="Rod Ross S. De Jesus"/>
    <s v="R3-2025-030820"/>
    <d v="2025-09-14T00:00:00"/>
    <m/>
    <d v="2025-09-16T00:00:00"/>
    <d v="2025-09-18T00:00:00"/>
    <n v="1"/>
    <s v=""/>
    <n v="1"/>
    <n v="2"/>
    <s v="Received by Planning"/>
    <s v="NO FACILITY"/>
    <s v="CATER BY LGU"/>
    <s v="Technical Assistance"/>
    <m/>
  </r>
  <r>
    <x v="5"/>
    <x v="108"/>
    <s v="OUTSIDE MBA"/>
    <s v="Poblacion 1"/>
    <n v="1266"/>
    <n v="1204"/>
    <s v="CONDUCTED TECHNICAL ASSISTANCE"/>
    <n v="2025"/>
    <d v="2025-09-11T00:00:00"/>
    <x v="7"/>
    <s v="Joshua A. Capones"/>
    <m/>
    <s v="Rod Ross S. De Jesus"/>
    <s v="R3-2025-030819"/>
    <d v="2025-09-14T00:00:00"/>
    <m/>
    <d v="2025-09-16T00:00:00"/>
    <d v="2025-09-18T00:00:00"/>
    <n v="1"/>
    <s v=""/>
    <n v="1"/>
    <n v="2"/>
    <s v="Received by Planning"/>
    <s v="NO FACILITY"/>
    <s v="CATER BY LGU"/>
    <s v="Technical Assistance"/>
    <m/>
  </r>
  <r>
    <x v="5"/>
    <x v="109"/>
    <s v="OUTSIDE MBA"/>
    <s v="Coral-Iloco"/>
    <n v="3538"/>
    <n v="4270"/>
    <s v="CONDUCTED TECHNICAL ASSISTANCE"/>
    <n v="2024"/>
    <d v="2024-09-11T00:00:00"/>
    <x v="0"/>
    <s v="Jasper Keith B. Pili"/>
    <m/>
    <s v="Rod Ross S. De Jesus"/>
    <m/>
    <m/>
    <m/>
    <m/>
    <m/>
    <s v=""/>
    <s v=""/>
    <s v=""/>
    <s v=""/>
    <m/>
    <s v="MRS"/>
    <s v="OPERATIONAL"/>
    <s v="Technical Assistance"/>
    <m/>
  </r>
  <r>
    <x v="5"/>
    <x v="109"/>
    <s v="OUTSIDE MBA"/>
    <s v="Guiteb"/>
    <n v="3634"/>
    <n v="3680"/>
    <s v="NO TECHNICAL ASSISTANCE CONDUCTED"/>
    <m/>
    <m/>
    <x v="0"/>
    <s v="Jasper Keith B. Pili"/>
    <m/>
    <s v="Rod Ross S. De Jesus"/>
    <m/>
    <m/>
    <m/>
    <m/>
    <m/>
    <s v=""/>
    <s v=""/>
    <s v=""/>
    <s v=""/>
    <m/>
    <m/>
    <m/>
    <m/>
    <m/>
  </r>
  <r>
    <x v="5"/>
    <x v="109"/>
    <s v="OUTSIDE MBA"/>
    <s v="Pance"/>
    <n v="4567"/>
    <n v="5102"/>
    <s v="CONDUCTED TECHNICAL ASSISTANCE"/>
    <n v="2025"/>
    <d v="2025-05-23T00:00:00"/>
    <x v="10"/>
    <s v="Jasper Keith B. Pili"/>
    <m/>
    <s v="Rod Ross S. De Jesus"/>
    <s v="R3-2025-017515"/>
    <d v="2025-05-26T00:00:00"/>
    <m/>
    <d v="2025-06-05T00:00:00"/>
    <d v="2025-06-05T00:00:00"/>
    <n v="1"/>
    <s v=""/>
    <n v="8"/>
    <n v="1"/>
    <s v="Received by Planning"/>
    <s v="MRS"/>
    <s v="OPERATIONAL"/>
    <s v="Technical Assistance"/>
    <m/>
  </r>
  <r>
    <x v="5"/>
    <x v="109"/>
    <s v="OUTSIDE MBA"/>
    <s v="Poblacion Center"/>
    <n v="1788"/>
    <n v="1791"/>
    <s v="CONDUCTED TECHNICAL ASSISTANCE"/>
    <n v="2025"/>
    <d v="2025-01-21T00:00:00"/>
    <x v="2"/>
    <s v="Jasper Keith B. Pili"/>
    <m/>
    <s v="Rod Ross S. De Jesus"/>
    <s v="R3-2025-002010"/>
    <d v="2025-01-22T00:00:00"/>
    <m/>
    <d v="2025-01-25T00:00:00"/>
    <d v="2025-01-24T00:00:00"/>
    <n v="1"/>
    <s v=""/>
    <n v="2"/>
    <n v="1"/>
    <s v="Received by Planning"/>
    <s v="MRF"/>
    <s v="OPERATIONAL"/>
    <s v="Technical Assistance"/>
    <m/>
  </r>
  <r>
    <x v="5"/>
    <x v="109"/>
    <s v="OUTSIDE MBA"/>
    <s v="Poblacion North"/>
    <n v="1502"/>
    <n v="1415"/>
    <s v="CONDUCTED TECHNICAL ASSISTANCE"/>
    <n v="2024"/>
    <d v="2024-10-03T00:00:00"/>
    <x v="0"/>
    <s v="Jasper Keith B. Pili"/>
    <m/>
    <s v="Rod Ross S. De Jesus"/>
    <m/>
    <m/>
    <m/>
    <m/>
    <m/>
    <s v=""/>
    <s v=""/>
    <s v=""/>
    <s v=""/>
    <m/>
    <s v="MRS"/>
    <s v="OPERATIONAL"/>
    <s v="Technical Assistance"/>
    <m/>
  </r>
  <r>
    <x v="5"/>
    <x v="109"/>
    <s v="OUTSIDE MBA"/>
    <s v="Poblacion South"/>
    <n v="2395"/>
    <n v="2498"/>
    <s v="CONDUCTED TECHNICAL ASSISTANCE"/>
    <n v="2025"/>
    <d v="2025-05-23T00:00:00"/>
    <x v="10"/>
    <s v="Jasper Keith B. Pili"/>
    <m/>
    <s v="Rod Ross S. De Jesus"/>
    <s v="R3-2025-017514"/>
    <d v="2025-05-25T00:00:00"/>
    <m/>
    <d v="2025-05-26T00:00:00"/>
    <d v="2025-05-26T00:00:00"/>
    <n v="1"/>
    <s v=""/>
    <n v="1"/>
    <n v="1"/>
    <s v="Received by Planning"/>
    <s v="MRS"/>
    <s v="OPERATIONAL"/>
    <s v="Technical Assistance"/>
    <m/>
  </r>
  <r>
    <x v="5"/>
    <x v="109"/>
    <s v="OUTSIDE MBA"/>
    <s v="Toledo"/>
    <n v="2097"/>
    <n v="2103"/>
    <s v="CONDUCTED TECHNICAL ASSISTANCE"/>
    <n v="2024"/>
    <d v="2024-10-03T00:00:00"/>
    <x v="0"/>
    <s v="Jasper Keith B. Pili"/>
    <m/>
    <s v="Rod Ross S. De Jesus"/>
    <m/>
    <m/>
    <m/>
    <m/>
    <m/>
    <s v=""/>
    <s v=""/>
    <s v=""/>
    <s v=""/>
    <m/>
    <s v="MRF"/>
    <s v="OPERATIONAL"/>
    <s v="Technical Assistance"/>
    <m/>
  </r>
  <r>
    <x v="5"/>
    <x v="109"/>
    <s v="OUTSIDE MBA"/>
    <s v="San Juan"/>
    <n v="539"/>
    <n v="598"/>
    <s v="CONDUCTED TECHNICAL ASSISTANCE"/>
    <n v="2025"/>
    <d v="2025-08-28T00:00:00"/>
    <x v="7"/>
    <s v="Jasper Keith B. Pili"/>
    <m/>
    <s v="Rod Ross S. De Jesus"/>
    <s v="R3-2025-028931"/>
    <d v="2025-08-29T00:00:00"/>
    <m/>
    <d v="2025-09-02T00:00:00"/>
    <d v="2025-09-03T00:00:00"/>
    <n v="1"/>
    <s v=""/>
    <n v="2"/>
    <n v="1"/>
    <s v="Received by Planning"/>
    <s v="MRS"/>
    <s v="OPERATIONAL"/>
    <s v="Technical Assistance"/>
    <m/>
  </r>
  <r>
    <x v="5"/>
    <x v="109"/>
    <s v="OUTSIDE MBA"/>
    <s v="San Raymundo"/>
    <n v="1290"/>
    <n v="1422"/>
    <s v="CONDUCTED TECHNICAL ASSISTANCE"/>
    <n v="2025"/>
    <d v="2025-08-28T00:00:00"/>
    <x v="7"/>
    <s v="Jasper Keith B. Pili"/>
    <m/>
    <s v="Rod Ross S. De Jesus"/>
    <s v="R3-2025-028932"/>
    <d v="2025-08-28T00:00:00"/>
    <m/>
    <d v="2025-09-02T00:00:00"/>
    <d v="2025-09-03T00:00:00"/>
    <n v="1"/>
    <s v=""/>
    <n v="3"/>
    <n v="1"/>
    <s v="Received by Planning"/>
    <s v="MRS"/>
    <s v="OPERATIONAL"/>
    <s v="Technical Assistance"/>
    <m/>
  </r>
  <r>
    <x v="5"/>
    <x v="110"/>
    <s v="OUTSIDE MBA"/>
    <s v="Balloc"/>
    <n v="1621"/>
    <n v="1785"/>
    <s v="CONDUCTED TECHNICAL ASSISTANCE"/>
    <n v="2024"/>
    <d v="2024-10-10T00:00:00"/>
    <x v="0"/>
    <s v="Jasper Keith B. Pili"/>
    <m/>
    <s v="Rod Ross S. De Jesus"/>
    <m/>
    <m/>
    <m/>
    <m/>
    <m/>
    <s v=""/>
    <s v=""/>
    <s v=""/>
    <s v=""/>
    <m/>
    <s v="MRF"/>
    <s v="OPERATIONAL"/>
    <s v="Technical Assistance"/>
    <m/>
  </r>
  <r>
    <x v="5"/>
    <x v="110"/>
    <s v="OUTSIDE MBA"/>
    <s v="Bamban"/>
    <n v="1204"/>
    <n v="1261"/>
    <s v="CONDUCTED TECHNICAL ASSISTANCE"/>
    <n v="2025"/>
    <d v="2025-06-25T00:00:00"/>
    <x v="8"/>
    <s v="Jasper Keith B. Pili"/>
    <m/>
    <s v="Rod Ross S. De Jesus"/>
    <s v="R3-2025-021234"/>
    <d v="2025-06-25T00:00:00"/>
    <m/>
    <d v="2025-06-30T00:00:00"/>
    <d v="2025-07-02T00:00:00"/>
    <n v="1"/>
    <s v=""/>
    <n v="3"/>
    <n v="2"/>
    <s v="Received by Planning"/>
    <s v="MRS"/>
    <s v="OPERATIONAL"/>
    <s v="Technical Assistance"/>
    <m/>
  </r>
  <r>
    <x v="5"/>
    <x v="110"/>
    <s v="OUTSIDE MBA"/>
    <s v="Casipo"/>
    <n v="321"/>
    <n v="315"/>
    <s v="CONDUCTED TECHNICAL ASSISTANCE"/>
    <n v="2024"/>
    <d v="2024-04-17T00:00:00"/>
    <x v="0"/>
    <s v="Jasper Keith B. Pili"/>
    <m/>
    <s v="Rod Ross S. De Jesus"/>
    <m/>
    <m/>
    <m/>
    <m/>
    <m/>
    <s v=""/>
    <s v=""/>
    <s v=""/>
    <s v=""/>
    <m/>
    <m/>
    <m/>
    <s v="Technical Assistance"/>
    <m/>
  </r>
  <r>
    <x v="5"/>
    <x v="110"/>
    <s v="OUTSIDE MBA"/>
    <s v="Catagudingan"/>
    <n v="737"/>
    <n v="690"/>
    <s v="CONDUCTED TECHNICAL ASSISTANCE"/>
    <n v="2024"/>
    <d v="2024-11-06T00:00:00"/>
    <x v="0"/>
    <s v="Jasper Keith B. Pili"/>
    <m/>
    <s v="Rod Ross S. De Jesus"/>
    <m/>
    <m/>
    <m/>
    <m/>
    <m/>
    <s v=""/>
    <s v=""/>
    <s v=""/>
    <s v=""/>
    <m/>
    <s v="MRS"/>
    <s v="OPERATIONAL"/>
    <s v="Technical Assistance"/>
    <m/>
  </r>
  <r>
    <x v="5"/>
    <x v="110"/>
    <s v="OUTSIDE MBA"/>
    <s v="Daldalayap"/>
    <n v="682"/>
    <n v="761"/>
    <s v="CONDUCTED TECHNICAL ASSISTANCE"/>
    <n v="2025"/>
    <d v="2025-11-04T00:00:00"/>
    <x v="11"/>
    <s v="Jasper Keith B. Pili"/>
    <s v="Sherwin John Y. Loquellano"/>
    <s v="Jan Emerson C. Gonzales"/>
    <s v="R3-2025-036975"/>
    <d v="2025-11-04T00:00:00"/>
    <d v="2025-11-06T00:00:00"/>
    <d v="2025-11-06T00:00:00"/>
    <d v="2025-11-17T00:00:00"/>
    <n v="1"/>
    <n v="2"/>
    <n v="2"/>
    <n v="7"/>
    <s v="Received by Planning"/>
    <s v="MRS"/>
    <s v="OPERATIONAL"/>
    <s v="Technical Assistance"/>
    <m/>
  </r>
  <r>
    <x v="5"/>
    <x v="110"/>
    <s v="OUTSIDE MBA"/>
    <s v="Maasin"/>
    <n v="1761"/>
    <n v="1771"/>
    <s v="CONDUCTED TECHNICAL ASSISTANCE"/>
    <n v="2024"/>
    <d v="2024-05-03T00:00:00"/>
    <x v="0"/>
    <s v="Jasper Keith B. Pili"/>
    <m/>
    <s v="Rod Ross S. De Jesus"/>
    <m/>
    <m/>
    <m/>
    <m/>
    <m/>
    <s v=""/>
    <s v=""/>
    <s v=""/>
    <s v=""/>
    <m/>
    <m/>
    <m/>
    <s v="Technical Assistance"/>
    <m/>
  </r>
  <r>
    <x v="5"/>
    <x v="110"/>
    <s v="OUTSIDE MBA"/>
    <s v="Nagsabaran"/>
    <n v="1040"/>
    <n v="1102"/>
    <s v="CONDUCTED TECHNICAL ASSISTANCE"/>
    <n v="2024"/>
    <d v="2024-09-05T00:00:00"/>
    <x v="0"/>
    <s v="Jasper Keith B. Pili"/>
    <m/>
    <s v="Rod Ross S. De Jesus"/>
    <m/>
    <m/>
    <m/>
    <m/>
    <m/>
    <s v=""/>
    <s v=""/>
    <s v=""/>
    <s v=""/>
    <m/>
    <s v="MRF"/>
    <s v="OPERATIONAL"/>
    <s v="Technical Assistance"/>
    <m/>
  </r>
  <r>
    <x v="5"/>
    <x v="110"/>
    <s v="OUTSIDE MBA"/>
    <s v="Pit-ao"/>
    <n v="1238"/>
    <n v="1285"/>
    <s v="CONDUCTED TECHNICAL ASSISTANCE"/>
    <n v="2025"/>
    <d v="2025-11-04T00:00:00"/>
    <x v="11"/>
    <s v="Jasper Keith B. Pili"/>
    <s v="Sherwin John Y. Loquellano"/>
    <s v="Jan Emerson C. Gonzales"/>
    <s v="R3-2025-036972"/>
    <d v="2025-11-04T00:00:00"/>
    <d v="2025-11-06T00:00:00"/>
    <d v="2025-11-06T00:00:00"/>
    <d v="2025-11-17T00:00:00"/>
    <n v="1"/>
    <n v="2"/>
    <n v="2"/>
    <n v="7"/>
    <s v="Received by Planning"/>
    <s v="MRS"/>
    <s v="OPERATIONAL"/>
    <s v="Technical Assistance"/>
    <m/>
  </r>
  <r>
    <x v="5"/>
    <x v="110"/>
    <s v="OUTSIDE MBA"/>
    <s v="Poblacion Norte"/>
    <n v="986"/>
    <n v="1022"/>
    <s v="CONDUCTED TECHNICAL ASSISTANCE"/>
    <n v="2024"/>
    <d v="2024-09-10T00:00:00"/>
    <x v="0"/>
    <s v="Jasper Keith B. Pili"/>
    <m/>
    <s v="Rod Ross S. De Jesus"/>
    <m/>
    <m/>
    <m/>
    <m/>
    <m/>
    <s v=""/>
    <s v=""/>
    <s v=""/>
    <s v=""/>
    <m/>
    <s v="MRS"/>
    <s v="OPERATIONAL"/>
    <s v="Technical Assistance"/>
    <m/>
  </r>
  <r>
    <x v="5"/>
    <x v="110"/>
    <s v="OUTSIDE MBA"/>
    <s v="Poblacion Sur"/>
    <n v="1603"/>
    <n v="1621"/>
    <s v="CONDUCTED TECHNICAL ASSISTANCE"/>
    <n v="2024"/>
    <d v="2024-09-10T00:00:00"/>
    <x v="0"/>
    <s v="Jasper Keith B. Pili"/>
    <m/>
    <s v="Rod Ross S. De Jesus"/>
    <m/>
    <m/>
    <m/>
    <m/>
    <m/>
    <s v=""/>
    <s v=""/>
    <s v=""/>
    <s v=""/>
    <m/>
    <s v="MRS"/>
    <s v="OPERATIONAL"/>
    <s v="Technical Assistance"/>
    <m/>
  </r>
  <r>
    <x v="5"/>
    <x v="110"/>
    <s v="OUTSIDE MBA"/>
    <s v="Doclong 1"/>
    <n v="791"/>
    <n v="804"/>
    <s v="CONDUCTED TECHNICAL ASSISTANCE"/>
    <n v="2025"/>
    <d v="2025-08-20T00:00:00"/>
    <x v="7"/>
    <s v="Jasper Keith B. Pili"/>
    <m/>
    <s v="Rod Ross S. De Jesus"/>
    <s v="R3-2025-029020"/>
    <d v="2025-08-31T00:00:00"/>
    <m/>
    <d v="2025-09-02T00:00:00"/>
    <d v="2025-09-03T00:00:00"/>
    <n v="7"/>
    <s v=""/>
    <n v="1"/>
    <n v="1"/>
    <s v="Received by Planning"/>
    <s v="MRS"/>
    <s v="OPERATIONAL"/>
    <s v="Technical Assistance"/>
    <m/>
  </r>
  <r>
    <x v="5"/>
    <x v="110"/>
    <s v="OUTSIDE MBA"/>
    <s v="Doclong 2"/>
    <n v="673"/>
    <n v="764"/>
    <s v="CONDUCTED TECHNICAL ASSISTANCE"/>
    <n v="2025"/>
    <d v="2025-08-20T00:00:00"/>
    <x v="7"/>
    <s v="Jasper Keith B. Pili"/>
    <m/>
    <s v="Rod Ross S. De Jesus"/>
    <s v="R3-2025-029021"/>
    <d v="2025-08-31T00:00:00"/>
    <m/>
    <d v="2025-09-02T00:00:00"/>
    <d v="2025-09-03T00:00:00"/>
    <n v="7"/>
    <s v=""/>
    <n v="1"/>
    <n v="1"/>
    <s v="Received by Planning"/>
    <s v="MRS"/>
    <s v="OPERATIONAL"/>
    <s v="Technical Assistance"/>
    <m/>
  </r>
  <r>
    <x v="5"/>
    <x v="111"/>
    <s v="OUTSIDE MBA"/>
    <s v="Burgos"/>
    <n v="2972"/>
    <n v="3172"/>
    <s v="NO TECHNICAL ASSISTANCE CONDUCTED"/>
    <m/>
    <m/>
    <x v="0"/>
    <s v="Gretzhen M. Apolonio"/>
    <m/>
    <s v="Rod Ross S. De Jesus"/>
    <m/>
    <m/>
    <m/>
    <m/>
    <m/>
    <s v=""/>
    <s v=""/>
    <s v=""/>
    <s v=""/>
    <m/>
    <m/>
    <m/>
    <m/>
    <m/>
  </r>
  <r>
    <x v="5"/>
    <x v="111"/>
    <s v="OUTSIDE MBA"/>
    <s v="David"/>
    <n v="1579"/>
    <n v="1749"/>
    <s v="CONDUCTED TECHNICAL ASSISTANCE"/>
    <n v="2025"/>
    <d v="2025-01-22T00:00:00"/>
    <x v="2"/>
    <s v="Gretzhen M. Apolonio"/>
    <m/>
    <s v="Rod Ross S. De Jesus"/>
    <s v="R3-2025-002516"/>
    <d v="2025-01-25T00:00:00"/>
    <m/>
    <d v="2025-01-27T00:00:00"/>
    <d v="2025-01-28T00:00:00"/>
    <n v="2"/>
    <s v=""/>
    <n v="1"/>
    <n v="1"/>
    <s v="Received by Planning"/>
    <s v="MRS"/>
    <s v="OPERATIONAL"/>
    <s v="Technical Assistance"/>
    <m/>
  </r>
  <r>
    <x v="5"/>
    <x v="111"/>
    <s v="OUTSIDE MBA"/>
    <s v="Iba"/>
    <n v="4983"/>
    <n v="5598"/>
    <s v="CONDUCTED TECHNICAL ASSISTANCE"/>
    <n v="2024"/>
    <d v="2024-05-09T00:00:00"/>
    <x v="0"/>
    <s v="Gretzhen M. Apolonio"/>
    <m/>
    <s v="Rod Ross S. De Jesus"/>
    <m/>
    <m/>
    <m/>
    <m/>
    <m/>
    <s v=""/>
    <s v=""/>
    <s v=""/>
    <s v=""/>
    <m/>
    <m/>
    <m/>
    <s v="Technical Assistance"/>
    <m/>
  </r>
  <r>
    <x v="5"/>
    <x v="111"/>
    <s v="OUTSIDE MBA"/>
    <s v="Labney"/>
    <n v="1878"/>
    <n v="2073"/>
    <s v="CONDUCTED TECHNICAL ASSISTANCE"/>
    <n v="2024"/>
    <d v="2024-11-07T00:00:00"/>
    <x v="0"/>
    <s v="Gretzhen M. Apolonio"/>
    <m/>
    <s v="Rod Ross S. De Jesus"/>
    <m/>
    <m/>
    <m/>
    <m/>
    <m/>
    <s v=""/>
    <s v=""/>
    <s v=""/>
    <s v=""/>
    <m/>
    <s v="MRS"/>
    <s v="OPERATIONAL"/>
    <s v="Technical Assistance"/>
    <m/>
  </r>
  <r>
    <x v="5"/>
    <x v="111"/>
    <s v="OUTSIDE MBA"/>
    <s v="Lawacamulag"/>
    <n v="1209"/>
    <n v="1371"/>
    <s v="CONDUCTED TECHNICAL ASSISTANCE"/>
    <n v="2024"/>
    <d v="2024-11-07T00:00:00"/>
    <x v="0"/>
    <s v="Gretzhen M. Apolonio"/>
    <m/>
    <s v="Rod Ross S. De Jesus"/>
    <m/>
    <m/>
    <m/>
    <m/>
    <m/>
    <s v=""/>
    <s v=""/>
    <s v=""/>
    <s v=""/>
    <m/>
    <s v="MRF"/>
    <s v="OPERATIONAL"/>
    <s v="Technical Assistance"/>
    <m/>
  </r>
  <r>
    <x v="5"/>
    <x v="111"/>
    <s v="OUTSIDE MBA"/>
    <s v="Lubigan"/>
    <n v="1421"/>
    <n v="1709"/>
    <s v="CONDUCTED TECHNICAL ASSISTANCE"/>
    <n v="2025"/>
    <d v="2025-06-18T00:00:00"/>
    <x v="10"/>
    <s v="Gretzhen M. Apolonio"/>
    <m/>
    <s v="Rod Ross S. De Jesus"/>
    <s v="R3-2025-020242"/>
    <d v="2025-06-18T00:00:00"/>
    <m/>
    <d v="2025-06-18T00:00:00"/>
    <d v="2025-06-19T00:00:00"/>
    <n v="1"/>
    <s v=""/>
    <n v="1"/>
    <n v="1"/>
    <s v="Received by Planning"/>
    <s v="NO FACILITY"/>
    <s v="CATER BY LGU"/>
    <s v="Technical Assistance"/>
    <m/>
  </r>
  <r>
    <x v="5"/>
    <x v="111"/>
    <s v="OUTSIDE MBA"/>
    <s v="Maamot"/>
    <n v="2726"/>
    <n v="2627"/>
    <s v="NO TECHNICAL ASSISTANCE CONDUCTED"/>
    <m/>
    <m/>
    <x v="0"/>
    <s v="Gretzhen M. Apolonio"/>
    <m/>
    <s v="Rod Ross S. De Jesus"/>
    <m/>
    <m/>
    <m/>
    <m/>
    <m/>
    <s v=""/>
    <s v=""/>
    <s v=""/>
    <s v=""/>
    <m/>
    <m/>
    <m/>
    <m/>
    <m/>
  </r>
  <r>
    <x v="5"/>
    <x v="111"/>
    <s v="OUTSIDE MBA"/>
    <s v="Mababanaba"/>
    <n v="3919"/>
    <n v="4404"/>
    <s v="CONDUCTED TECHNICAL ASSISTANCE"/>
    <n v="2024"/>
    <d v="2024-09-05T00:00:00"/>
    <x v="0"/>
    <s v="Gretzhen M. Apolonio"/>
    <m/>
    <s v="Rod Ross S. De Jesus"/>
    <m/>
    <m/>
    <m/>
    <m/>
    <m/>
    <s v=""/>
    <s v=""/>
    <s v=""/>
    <s v=""/>
    <m/>
    <s v="NO FACILITY"/>
    <s v="CATER BY LGU"/>
    <s v="Technical Assistance"/>
    <m/>
  </r>
  <r>
    <x v="5"/>
    <x v="111"/>
    <s v="OUTSIDE MBA"/>
    <s v="Moriones"/>
    <n v="3705"/>
    <n v="4401"/>
    <s v="NO TECHNICAL ASSISTANCE CONDUCTED"/>
    <m/>
    <m/>
    <x v="0"/>
    <s v="Gretzhen M. Apolonio"/>
    <m/>
    <s v="Rod Ross S. De Jesus"/>
    <m/>
    <m/>
    <m/>
    <m/>
    <m/>
    <s v=""/>
    <s v=""/>
    <s v=""/>
    <s v=""/>
    <m/>
    <m/>
    <m/>
    <m/>
    <m/>
  </r>
  <r>
    <x v="5"/>
    <x v="111"/>
    <s v="OUTSIDE MBA"/>
    <s v="Pao"/>
    <n v="1709"/>
    <n v="1737"/>
    <s v="NO TECHNICAL ASSISTANCE CONDUCTED"/>
    <m/>
    <m/>
    <x v="0"/>
    <s v="Gretzhen M. Apolonio"/>
    <m/>
    <s v="Rod Ross S. De Jesus"/>
    <m/>
    <m/>
    <m/>
    <m/>
    <m/>
    <s v=""/>
    <s v=""/>
    <s v=""/>
    <s v=""/>
    <m/>
    <m/>
    <m/>
    <m/>
    <m/>
  </r>
  <r>
    <x v="5"/>
    <x v="111"/>
    <s v="OUTSIDE MBA"/>
    <s v="San Juan de Valdez"/>
    <n v="1546"/>
    <n v="1572"/>
    <s v="CONDUCTED TECHNICAL ASSISTANCE"/>
    <n v="2025"/>
    <d v="2025-01-22T00:00:00"/>
    <x v="2"/>
    <s v="Gretzhen M. Apolonio"/>
    <m/>
    <s v="Rod Ross S. De Jesus"/>
    <s v="R3-2025-002517"/>
    <d v="2025-01-25T00:00:00"/>
    <m/>
    <d v="2025-01-27T00:00:00"/>
    <d v="2025-01-28T00:00:00"/>
    <n v="2"/>
    <s v=""/>
    <n v="1"/>
    <n v="1"/>
    <s v="Received by Planning"/>
    <s v="MRS"/>
    <s v="NON-OPERATIONAL"/>
    <s v="Technical Assistance"/>
    <m/>
  </r>
  <r>
    <x v="5"/>
    <x v="111"/>
    <s v="OUTSIDE MBA"/>
    <s v="Sula"/>
    <n v="3682"/>
    <n v="5122"/>
    <s v="NO TECHNICAL ASSISTANCE CONDUCTED"/>
    <m/>
    <m/>
    <x v="0"/>
    <s v="Gretzhen M. Apolonio"/>
    <m/>
    <s v="Rod Ross S. De Jesus"/>
    <m/>
    <m/>
    <m/>
    <m/>
    <m/>
    <s v=""/>
    <s v=""/>
    <s v=""/>
    <s v=""/>
    <m/>
    <m/>
    <m/>
    <m/>
    <m/>
  </r>
  <r>
    <x v="5"/>
    <x v="111"/>
    <s v="OUTSIDE MBA"/>
    <s v="Villa Aglipay"/>
    <n v="4924"/>
    <n v="5647"/>
    <s v="NO TECHNICAL ASSISTANCE CONDUCTED"/>
    <m/>
    <m/>
    <x v="0"/>
    <s v="Gretzhen M. Apolonio"/>
    <m/>
    <s v="Rod Ross S. De Jesus"/>
    <m/>
    <m/>
    <m/>
    <m/>
    <m/>
    <s v=""/>
    <s v=""/>
    <s v=""/>
    <s v=""/>
    <m/>
    <m/>
    <m/>
    <m/>
    <m/>
  </r>
  <r>
    <x v="5"/>
    <x v="112"/>
    <s v="OUTSIDE MBA"/>
    <s v="Lanat"/>
    <n v="2225"/>
    <n v="2329"/>
    <s v="CONDUCTED TECHNICAL ASSISTANCE"/>
    <n v="2025"/>
    <d v="2025-01-23T00:00:00"/>
    <x v="2"/>
    <s v="Jasper Keith B. Pili"/>
    <m/>
    <s v="Rod Ross S. De Jesus"/>
    <s v="R3-2025-002301"/>
    <d v="2025-01-23T00:00:00"/>
    <m/>
    <d v="2025-01-27T00:00:00"/>
    <d v="2025-01-28T00:00:00"/>
    <n v="1"/>
    <s v=""/>
    <n v="2"/>
    <n v="1"/>
    <s v="Received by Planning"/>
    <s v="MRS"/>
    <s v="OPERATIONAL"/>
    <s v="Technical Assistance"/>
    <m/>
  </r>
  <r>
    <x v="5"/>
    <x v="112"/>
    <s v="OUTSIDE MBA"/>
    <s v="Mangandingay"/>
    <n v="1206"/>
    <n v="1395"/>
    <s v="CONDUCTED TECHNICAL ASSISTANCE"/>
    <n v="2024"/>
    <d v="2024-05-09T00:00:00"/>
    <x v="0"/>
    <s v="Jasper Keith B. Pili"/>
    <m/>
    <s v="Rod Ross S. De Jesus"/>
    <m/>
    <m/>
    <m/>
    <m/>
    <m/>
    <s v=""/>
    <s v=""/>
    <s v=""/>
    <s v=""/>
    <m/>
    <m/>
    <m/>
    <s v="Technical Assistance"/>
    <m/>
  </r>
  <r>
    <x v="5"/>
    <x v="112"/>
    <s v="OUTSIDE MBA"/>
    <s v="Pacpaco"/>
    <n v="1266"/>
    <n v="1418"/>
    <s v="CONDUCTED TECHNICAL ASSISTANCE"/>
    <n v="2025"/>
    <d v="2025-09-25T00:00:00"/>
    <x v="5"/>
    <s v="Jasper Keith B. Pili"/>
    <m/>
    <s v="Jan Emerson C. Gonzales"/>
    <s v="R3-2025-032699"/>
    <d v="2025-09-29T00:00:00"/>
    <m/>
    <d v="2025-10-10T00:00:00"/>
    <d v="2025-10-10T00:00:00"/>
    <n v="2"/>
    <s v=""/>
    <n v="9"/>
    <n v="1"/>
    <s v="Received by Planning"/>
    <s v="MRS"/>
    <s v="OPERATIONAL"/>
    <s v="Technical Assistance"/>
    <m/>
  </r>
  <r>
    <x v="5"/>
    <x v="112"/>
    <s v="OUTSIDE MBA"/>
    <s v="Poblacion"/>
    <n v="1417"/>
    <n v="1549"/>
    <s v="CONDUCTED TECHNICAL ASSISTANCE"/>
    <n v="2025"/>
    <d v="2025-02-13T00:00:00"/>
    <x v="3"/>
    <s v="Jasper Keith B. Pili"/>
    <m/>
    <s v="Rod Ross S. De Jesus"/>
    <s v="R3-2025-005365"/>
    <d v="2025-02-14T00:00:00"/>
    <m/>
    <d v="2025-02-17T00:00:00"/>
    <d v="2025-02-18T00:00:00"/>
    <n v="1"/>
    <s v=""/>
    <n v="1"/>
    <n v="1"/>
    <s v="Received by Planning"/>
    <s v="MRF"/>
    <s v="OPERATIONAL"/>
    <s v="Technical Assistance"/>
    <m/>
  </r>
  <r>
    <x v="5"/>
    <x v="112"/>
    <s v="OUTSIDE MBA"/>
    <s v="Salcedo"/>
    <n v="2368"/>
    <n v="2420"/>
    <s v="CONDUCTED TECHNICAL ASSISTANCE"/>
    <n v="2025"/>
    <d v="2025-09-25T00:00:00"/>
    <x v="5"/>
    <s v="Jasper Keith B. Pili"/>
    <m/>
    <s v="Jan Emerson C. Gonzales"/>
    <s v="R3-2025-032702"/>
    <d v="2025-09-29T00:00:00"/>
    <m/>
    <d v="2025-10-10T00:00:00"/>
    <d v="2025-10-10T00:00:00"/>
    <n v="2"/>
    <s v=""/>
    <n v="9"/>
    <n v="1"/>
    <s v="Received by Planning"/>
    <s v="MRS"/>
    <s v="OPERATIONAL"/>
    <s v="Technical Assistance"/>
    <m/>
  </r>
  <r>
    <x v="5"/>
    <x v="112"/>
    <s v="OUTSIDE MBA"/>
    <s v="San Agustin"/>
    <n v="1896"/>
    <n v="2238"/>
    <s v="NO TECHNICAL ASSISTANCE CONDUCTED"/>
    <m/>
    <m/>
    <x v="0"/>
    <s v="Jasper Keith B. Pili"/>
    <m/>
    <s v="Rod Ross S. De Jesus"/>
    <m/>
    <m/>
    <m/>
    <m/>
    <m/>
    <s v=""/>
    <s v=""/>
    <s v=""/>
    <s v=""/>
    <m/>
    <m/>
    <m/>
    <m/>
    <m/>
  </r>
  <r>
    <x v="5"/>
    <x v="112"/>
    <s v="OUTSIDE MBA"/>
    <s v="San Felipe"/>
    <n v="2676"/>
    <n v="2930"/>
    <s v="NO TECHNICAL ASSISTANCE CONDUCTED"/>
    <m/>
    <m/>
    <x v="0"/>
    <s v="Jasper Keith B. Pili"/>
    <m/>
    <s v="Rod Ross S. De Jesus"/>
    <m/>
    <m/>
    <m/>
    <m/>
    <m/>
    <s v=""/>
    <s v=""/>
    <s v=""/>
    <s v=""/>
    <m/>
    <s v="MRS"/>
    <s v="OPERATIONAL"/>
    <s v="Technical Assistance"/>
    <m/>
  </r>
  <r>
    <x v="5"/>
    <x v="112"/>
    <s v="OUTSIDE MBA"/>
    <s v="San Jacinto"/>
    <n v="1238"/>
    <n v="1304"/>
    <s v="CONDUCTED TECHNICAL ASSISTANCE"/>
    <n v="2025"/>
    <d v="2025-09-25T00:00:00"/>
    <x v="5"/>
    <s v="Jasper Keith B. Pili"/>
    <m/>
    <s v="Jan Emerson C. Gonzales"/>
    <s v="R3-2025-032703"/>
    <d v="2025-09-29T00:00:00"/>
    <m/>
    <d v="2025-10-10T00:00:00"/>
    <d v="2025-10-10T00:00:00"/>
    <n v="2"/>
    <s v=""/>
    <n v="9"/>
    <n v="1"/>
    <s v="Received by Planning"/>
    <s v="MRS"/>
    <s v="OPERATIONAL"/>
    <s v="Technical Assistance"/>
    <m/>
  </r>
  <r>
    <x v="5"/>
    <x v="112"/>
    <s v="OUTSIDE MBA"/>
    <s v="San Miguel"/>
    <n v="2210"/>
    <n v="2447"/>
    <s v="NO TECHNICAL ASSISTANCE CONDUCTED"/>
    <m/>
    <m/>
    <x v="0"/>
    <s v="Jasper Keith B. Pili"/>
    <m/>
    <s v="Rod Ross S. De Jesus"/>
    <m/>
    <m/>
    <m/>
    <m/>
    <m/>
    <s v=""/>
    <s v=""/>
    <s v=""/>
    <s v=""/>
    <m/>
    <m/>
    <m/>
    <m/>
    <m/>
  </r>
  <r>
    <x v="5"/>
    <x v="112"/>
    <s v="OUTSIDE MBA"/>
    <s v="San Narciso"/>
    <n v="1443"/>
    <n v="1638"/>
    <s v="NO TECHNICAL ASSISTANCE CONDUCTED"/>
    <m/>
    <m/>
    <x v="0"/>
    <s v="Jasper Keith B. Pili"/>
    <m/>
    <s v="Rod Ross S. De Jesus"/>
    <m/>
    <m/>
    <m/>
    <m/>
    <m/>
    <s v=""/>
    <s v=""/>
    <s v=""/>
    <s v=""/>
    <m/>
    <m/>
    <m/>
    <m/>
    <m/>
  </r>
  <r>
    <x v="5"/>
    <x v="112"/>
    <s v="OUTSIDE MBA"/>
    <s v="San Vicente"/>
    <n v="1630"/>
    <n v="1939"/>
    <s v="NO TECHNICAL ASSISTANCE CONDUCTED"/>
    <m/>
    <m/>
    <x v="0"/>
    <s v="Jasper Keith B. Pili"/>
    <m/>
    <s v="Rod Ross S. De Jesus"/>
    <m/>
    <m/>
    <m/>
    <m/>
    <m/>
    <s v=""/>
    <s v=""/>
    <s v=""/>
    <s v=""/>
    <m/>
    <m/>
    <m/>
    <m/>
    <m/>
  </r>
  <r>
    <x v="5"/>
    <x v="112"/>
    <s v="OUTSIDE MBA"/>
    <s v="Santa Maria"/>
    <n v="1598"/>
    <n v="1644"/>
    <s v="NO TECHNICAL ASSISTANCE CONDUCTED"/>
    <m/>
    <m/>
    <x v="0"/>
    <s v="Jasper Keith B. Pili"/>
    <m/>
    <s v="Rod Ross S. De Jesus"/>
    <m/>
    <m/>
    <m/>
    <m/>
    <m/>
    <s v=""/>
    <s v=""/>
    <s v=""/>
    <s v=""/>
    <m/>
    <m/>
    <m/>
    <m/>
    <m/>
  </r>
  <r>
    <x v="5"/>
    <x v="112"/>
    <s v="OUTSIDE MBA"/>
    <s v="Colubot"/>
    <n v="1070"/>
    <n v="1142"/>
    <s v="CONDUCTED TECHNICAL ASSISTANCE"/>
    <n v="2025"/>
    <d v="2025-09-11T00:00:00"/>
    <x v="7"/>
    <s v="Jasper Keith B. Pili"/>
    <m/>
    <s v="Rod Ross S. De Jesus"/>
    <s v="R3-2025-030838"/>
    <d v="2025-09-15T00:00:00"/>
    <m/>
    <d v="2025-09-16T00:00:00"/>
    <d v="2025-09-18T00:00:00"/>
    <n v="2"/>
    <s v=""/>
    <n v="1"/>
    <n v="2"/>
    <s v="Received by Planning"/>
    <s v="MRS"/>
    <s v="OPERATIONAL"/>
    <s v="Technical Assistance"/>
    <m/>
  </r>
  <r>
    <x v="5"/>
    <x v="112"/>
    <s v="OUTSIDE MBA"/>
    <s v="Legaspi"/>
    <n v="2335"/>
    <n v="2859"/>
    <s v="CONDUCTED TECHNICAL ASSISTANCE"/>
    <n v="2025"/>
    <d v="2025-09-12T00:00:00"/>
    <x v="7"/>
    <s v="Jasper Keith B. Pili"/>
    <m/>
    <s v="Rod Ross S. De Jesus"/>
    <s v="R3-2025-030842"/>
    <d v="2025-09-15T00:00:00"/>
    <m/>
    <d v="2025-09-16T00:00:00"/>
    <d v="2025-09-18T00:00:00"/>
    <n v="1"/>
    <s v=""/>
    <n v="1"/>
    <n v="2"/>
    <s v="Received by Planning"/>
    <s v="NO FACILITY"/>
    <s v="CATER BY LGU"/>
    <s v="Technical Assistance"/>
    <m/>
  </r>
  <r>
    <x v="5"/>
    <x v="112"/>
    <s v="OUTSIDE MBA"/>
    <s v="Matarannoc"/>
    <n v="926"/>
    <n v="1135"/>
    <s v="CONDUCTED TECHNICAL ASSISTANCE"/>
    <n v="2025"/>
    <d v="2025-09-12T00:00:00"/>
    <x v="7"/>
    <s v="Jasper Keith B. Pili"/>
    <m/>
    <s v="Rod Ross S. De Jesus"/>
    <s v="R3-2025-030845"/>
    <d v="2025-09-15T00:00:00"/>
    <m/>
    <d v="2025-09-16T00:00:00"/>
    <d v="2025-09-18T00:00:00"/>
    <n v="1"/>
    <s v=""/>
    <n v="1"/>
    <n v="2"/>
    <s v="Received by Planning"/>
    <s v="MRS"/>
    <s v="OPERATIONAL"/>
    <s v="Technical Assistance"/>
    <m/>
  </r>
  <r>
    <x v="5"/>
    <x v="113"/>
    <s v="OUTSIDE MBA"/>
    <s v="Baldios"/>
    <n v="2084"/>
    <n v="2162"/>
    <s v="CONDUCTED TECHNICAL ASSISTANCE"/>
    <n v="2024"/>
    <d v="2024-09-10T00:00:00"/>
    <x v="0"/>
    <s v="Joshua A. Capones"/>
    <m/>
    <s v="Rod Ross S. De Jesus"/>
    <m/>
    <m/>
    <m/>
    <m/>
    <m/>
    <s v=""/>
    <s v=""/>
    <s v=""/>
    <s v=""/>
    <m/>
    <s v="MRS"/>
    <s v="OPERATIONAL"/>
    <s v="Technical Assistance"/>
    <m/>
  </r>
  <r>
    <x v="5"/>
    <x v="113"/>
    <s v="OUTSIDE MBA"/>
    <s v="Botbotones"/>
    <n v="1674"/>
    <n v="1682"/>
    <s v="NO TECHNICAL ASSISTANCE CONDUCTED"/>
    <m/>
    <m/>
    <x v="0"/>
    <s v="Joshua A. Capones"/>
    <m/>
    <s v="Rod Ross S. De Jesus"/>
    <m/>
    <m/>
    <m/>
    <m/>
    <m/>
    <s v=""/>
    <s v=""/>
    <s v=""/>
    <s v=""/>
    <m/>
    <m/>
    <m/>
    <m/>
    <m/>
  </r>
  <r>
    <x v="5"/>
    <x v="113"/>
    <s v="OUTSIDE MBA"/>
    <s v="Caanamongan"/>
    <n v="1712"/>
    <n v="1868"/>
    <s v="CONDUCTED TECHNICAL ASSISTANCE"/>
    <n v="2025"/>
    <d v="2025-02-11T00:00:00"/>
    <x v="3"/>
    <s v="Joshua A. Capones"/>
    <m/>
    <s v="Rod Ross S. De Jesus"/>
    <s v="R3-2025-005304"/>
    <d v="2025-02-13T00:00:00"/>
    <m/>
    <d v="2025-02-17T00:00:00"/>
    <d v="2025-02-17T00:00:00"/>
    <n v="2"/>
    <s v=""/>
    <n v="2"/>
    <n v="1"/>
    <s v="Received by Planning"/>
    <s v="MRS"/>
    <s v="OPERATIONAL"/>
    <s v="Technical Assistance"/>
    <m/>
  </r>
  <r>
    <x v="5"/>
    <x v="113"/>
    <s v="OUTSIDE MBA"/>
    <s v="Cabaruan"/>
    <n v="1071"/>
    <n v="1237"/>
    <s v="CONDUCTED TECHNICAL ASSISTANCE"/>
    <n v="2025"/>
    <d v="2025-02-11T00:00:00"/>
    <x v="3"/>
    <s v="Joshua A. Capones"/>
    <m/>
    <s v="Rod Ross S. De Jesus"/>
    <s v="R3-2025-005144"/>
    <d v="2025-02-13T00:00:00"/>
    <m/>
    <d v="2025-02-17T00:00:00"/>
    <d v="2025-02-17T00:00:00"/>
    <n v="2"/>
    <s v=""/>
    <n v="2"/>
    <n v="1"/>
    <s v="Received by Planning"/>
    <s v="MRS"/>
    <s v="OPERATIONAL"/>
    <s v="Technical Assistance"/>
    <m/>
  </r>
  <r>
    <x v="5"/>
    <x v="113"/>
    <s v="OUTSIDE MBA"/>
    <s v="Cabugbugan"/>
    <n v="1381"/>
    <n v="1540"/>
    <s v="CONDUCTED TECHNICAL ASSISTANCE"/>
    <n v="2025"/>
    <d v="2025-06-04T00:00:00"/>
    <x v="10"/>
    <s v="Joshua A. Capones"/>
    <m/>
    <s v="Rod Ross S. De Jesus"/>
    <s v="R3-2025-018845"/>
    <d v="2025-06-04T00:00:00"/>
    <m/>
    <d v="2025-06-06T00:00:00"/>
    <d v="2025-06-16T00:00:00"/>
    <n v="1"/>
    <s v=""/>
    <n v="2"/>
    <n v="6"/>
    <s v="Received by Planning"/>
    <s v="MRS"/>
    <s v="OPERATIONAL"/>
    <s v="Technical Assistance"/>
    <m/>
  </r>
  <r>
    <x v="5"/>
    <x v="113"/>
    <s v="OUTSIDE MBA"/>
    <s v="Caduldulaoan"/>
    <n v="763"/>
    <n v="777"/>
    <s v="NO TECHNICAL ASSISTANCE CONDUCTED"/>
    <m/>
    <m/>
    <x v="0"/>
    <s v="Joshua A. Capones"/>
    <m/>
    <s v="Rod Ross S. De Jesus"/>
    <m/>
    <m/>
    <m/>
    <m/>
    <m/>
    <s v=""/>
    <s v=""/>
    <s v=""/>
    <s v=""/>
    <m/>
    <s v="MRS"/>
    <s v="OPERATIONAL"/>
    <s v="Technical Assistance"/>
    <m/>
  </r>
  <r>
    <x v="5"/>
    <x v="113"/>
    <s v="OUTSIDE MBA"/>
    <s v="Calipayan"/>
    <n v="1604"/>
    <n v="1662"/>
    <s v="CONDUCTED TECHNICAL ASSISTANCE"/>
    <n v="2025"/>
    <d v="2025-06-04T00:00:00"/>
    <x v="10"/>
    <s v="Joshua A. Capones"/>
    <m/>
    <s v="Rod Ross S. De Jesus"/>
    <s v="R3-2025-018846"/>
    <d v="2025-06-04T00:00:00"/>
    <m/>
    <d v="2025-06-06T00:00:00"/>
    <d v="2025-06-16T00:00:00"/>
    <n v="1"/>
    <s v=""/>
    <n v="2"/>
    <n v="6"/>
    <s v="Received by Planning"/>
    <s v="MRS"/>
    <s v="OPERATIONAL"/>
    <s v="Technical Assistance"/>
    <m/>
  </r>
  <r>
    <x v="5"/>
    <x v="113"/>
    <s v="OUTSIDE MBA"/>
    <s v="Macaguing"/>
    <n v="706"/>
    <n v="707"/>
    <s v="CONDUCTED TECHNICAL ASSISTANCE"/>
    <n v="2025"/>
    <d v="2025-06-04T00:00:00"/>
    <x v="10"/>
    <s v="Joshua A. Capones"/>
    <m/>
    <s v="Rod Ross S. De Jesus"/>
    <s v="R3-2025-018847"/>
    <d v="2025-06-06T00:00:00"/>
    <m/>
    <d v="2025-06-16T00:00:00"/>
    <d v="2025-06-16T00:00:00"/>
    <n v="2"/>
    <s v=""/>
    <n v="6"/>
    <n v="1"/>
    <s v="Received by Planning"/>
    <s v="MRS"/>
    <s v="OPERATIONAL"/>
    <s v="Technical Assistance"/>
    <m/>
  </r>
  <r>
    <x v="5"/>
    <x v="113"/>
    <s v="OUTSIDE MBA"/>
    <s v="Nambalan"/>
    <n v="2539"/>
    <n v="2700"/>
    <s v="CONDUCTED TECHNICAL ASSISTANCE"/>
    <n v="2025"/>
    <d v="2025-04-04T00:00:00"/>
    <x v="4"/>
    <s v="Joshua A. Capones"/>
    <m/>
    <s v="Rod Ross S. De Jesus"/>
    <s v="R3-2025-011568"/>
    <d v="2025-04-07T00:00:00"/>
    <m/>
    <d v="2025-04-07T00:00:00"/>
    <d v="2025-04-10T00:00:00"/>
    <n v="1"/>
    <s v=""/>
    <n v="1"/>
    <n v="3"/>
    <s v="Received by Planning"/>
    <s v="MRF"/>
    <s v="OPERATIONAL"/>
    <s v="Technical Assistance"/>
    <m/>
  </r>
  <r>
    <x v="5"/>
    <x v="113"/>
    <s v="OUTSIDE MBA"/>
    <s v="Padapada"/>
    <n v="3366"/>
    <n v="3524"/>
    <s v="CONDUCTED TECHNICAL ASSISTANCE"/>
    <n v="2025"/>
    <d v="2025-04-04T00:00:00"/>
    <x v="4"/>
    <s v="Joshua A. Capones"/>
    <m/>
    <s v="Rod Ross S. De Jesus"/>
    <s v="R3-2025-011569"/>
    <d v="2025-04-07T00:00:00"/>
    <m/>
    <d v="2025-04-07T00:00:00"/>
    <d v="2025-04-10T00:00:00"/>
    <n v="1"/>
    <s v=""/>
    <n v="1"/>
    <n v="3"/>
    <s v="Received by Planning"/>
    <s v="MRS"/>
    <s v="OPERATIONAL"/>
    <s v="Technical Assistance"/>
    <m/>
  </r>
  <r>
    <x v="5"/>
    <x v="113"/>
    <s v="OUTSIDE MBA"/>
    <s v="Pilpila"/>
    <n v="2152"/>
    <n v="2222"/>
    <s v="NO TECHNICAL ASSISTANCE CONDUCTED"/>
    <m/>
    <m/>
    <x v="0"/>
    <s v="Joshua A. Capones"/>
    <m/>
    <s v="Rod Ross S. De Jesus"/>
    <m/>
    <m/>
    <m/>
    <m/>
    <m/>
    <s v=""/>
    <s v=""/>
    <s v=""/>
    <s v=""/>
    <m/>
    <m/>
    <m/>
    <m/>
    <m/>
  </r>
  <r>
    <x v="5"/>
    <x v="113"/>
    <s v="OUTSIDE MBA"/>
    <s v="Pinpinas"/>
    <n v="1209"/>
    <n v="1340"/>
    <s v="NO TECHNICAL ASSISTANCE CONDUCTED"/>
    <m/>
    <m/>
    <x v="0"/>
    <s v="Joshua A. Capones"/>
    <m/>
    <s v="Rod Ross S. De Jesus"/>
    <m/>
    <m/>
    <m/>
    <m/>
    <m/>
    <s v=""/>
    <s v=""/>
    <s v=""/>
    <s v=""/>
    <m/>
    <m/>
    <m/>
    <m/>
    <m/>
  </r>
  <r>
    <x v="5"/>
    <x v="113"/>
    <s v="OUTSIDE MBA"/>
    <s v="Poblacion East"/>
    <n v="3556"/>
    <n v="3846"/>
    <s v="CONDUCTED TECHNICAL ASSISTANCE"/>
    <n v="2024"/>
    <d v="2024-05-02T00:00:00"/>
    <x v="0"/>
    <s v="Joshua A. Capones"/>
    <m/>
    <s v="Rod Ross S. De Jesus"/>
    <m/>
    <m/>
    <m/>
    <m/>
    <m/>
    <s v=""/>
    <s v=""/>
    <s v=""/>
    <s v=""/>
    <m/>
    <m/>
    <m/>
    <s v="Technical Assistance"/>
    <m/>
  </r>
  <r>
    <x v="5"/>
    <x v="113"/>
    <s v="OUTSIDE MBA"/>
    <s v="Poblacion West"/>
    <n v="3714"/>
    <n v="4053"/>
    <s v="CONDUCTED TECHNICAL ASSISTANCE"/>
    <n v="2024"/>
    <d v="2024-08-02T00:00:00"/>
    <x v="0"/>
    <s v="Joshua A. Capones"/>
    <m/>
    <s v="Rod Ross S. De Jesus"/>
    <m/>
    <m/>
    <m/>
    <m/>
    <m/>
    <s v=""/>
    <s v=""/>
    <s v=""/>
    <s v=""/>
    <m/>
    <s v="MRS"/>
    <s v="OPERATIONAL"/>
    <s v="Technical Assistance"/>
    <m/>
  </r>
  <r>
    <x v="5"/>
    <x v="113"/>
    <s v="OUTSIDE MBA"/>
    <s v="Pugo-Cecilio"/>
    <n v="1870"/>
    <n v="2554"/>
    <s v="NO TECHNICAL ASSISTANCE CONDUCTED"/>
    <m/>
    <m/>
    <x v="0"/>
    <s v="Joshua A. Capones"/>
    <m/>
    <s v="Rod Ross S. De Jesus"/>
    <m/>
    <m/>
    <m/>
    <m/>
    <m/>
    <s v=""/>
    <s v=""/>
    <s v=""/>
    <s v=""/>
    <m/>
    <m/>
    <m/>
    <m/>
    <m/>
  </r>
  <r>
    <x v="5"/>
    <x v="113"/>
    <s v="OUTSIDE MBA"/>
    <s v="San Francisco"/>
    <n v="2318"/>
    <n v="2565"/>
    <s v="NO TECHNICAL ASSISTANCE CONDUCTED"/>
    <m/>
    <m/>
    <x v="0"/>
    <s v="Joshua A. Capones"/>
    <m/>
    <s v="Rod Ross S. De Jesus"/>
    <m/>
    <m/>
    <m/>
    <m/>
    <m/>
    <s v=""/>
    <s v=""/>
    <s v=""/>
    <s v=""/>
    <m/>
    <m/>
    <m/>
    <m/>
    <m/>
  </r>
  <r>
    <x v="5"/>
    <x v="113"/>
    <s v="OUTSIDE MBA"/>
    <s v="San Sotero"/>
    <n v="957"/>
    <n v="1083"/>
    <s v="NO TECHNICAL ASSISTANCE CONDUCTED"/>
    <m/>
    <m/>
    <x v="0"/>
    <s v="Joshua A. Capones"/>
    <m/>
    <s v="Rod Ross S. De Jesus"/>
    <m/>
    <m/>
    <m/>
    <m/>
    <m/>
    <s v=""/>
    <s v=""/>
    <s v=""/>
    <s v=""/>
    <m/>
    <m/>
    <m/>
    <m/>
    <m/>
  </r>
  <r>
    <x v="5"/>
    <x v="113"/>
    <s v="OUTSIDE MBA"/>
    <s v="San Vicente"/>
    <n v="2394"/>
    <n v="2574"/>
    <s v="CONDUCTED TECHNICAL ASSISTANCE"/>
    <n v="2024"/>
    <d v="2024-08-02T00:00:00"/>
    <x v="0"/>
    <s v="Joshua A. Capones"/>
    <m/>
    <s v="Rod Ross S. De Jesus"/>
    <m/>
    <m/>
    <m/>
    <m/>
    <m/>
    <s v=""/>
    <s v=""/>
    <s v=""/>
    <s v=""/>
    <m/>
    <s v="MRS"/>
    <s v="OPERATIONAL"/>
    <s v="Technical Assistance"/>
    <m/>
  </r>
  <r>
    <x v="5"/>
    <x v="113"/>
    <s v="OUTSIDE MBA"/>
    <s v="Santa Ines Centro"/>
    <n v="2298"/>
    <n v="2303"/>
    <s v="NO TECHNICAL ASSISTANCE CONDUCTED"/>
    <m/>
    <m/>
    <x v="0"/>
    <s v="Joshua A. Capones"/>
    <m/>
    <s v="Rod Ross S. De Jesus"/>
    <m/>
    <m/>
    <m/>
    <m/>
    <m/>
    <s v=""/>
    <s v=""/>
    <s v=""/>
    <s v=""/>
    <m/>
    <m/>
    <m/>
    <m/>
    <m/>
  </r>
  <r>
    <x v="5"/>
    <x v="113"/>
    <s v="OUTSIDE MBA"/>
    <s v="Santa Ines East"/>
    <n v="2446"/>
    <n v="2626"/>
    <s v="CONDUCTED TECHNICAL ASSISTANCE"/>
    <n v="2024"/>
    <d v="2024-06-11T00:00:00"/>
    <x v="0"/>
    <s v="Joshua A. Capones"/>
    <m/>
    <s v="Rod Ross S. De Jesus"/>
    <m/>
    <m/>
    <m/>
    <m/>
    <m/>
    <s v=""/>
    <s v=""/>
    <s v=""/>
    <s v=""/>
    <m/>
    <s v="MRF"/>
    <s v="OPERATIONAL"/>
    <s v="Technical Assistance"/>
    <m/>
  </r>
  <r>
    <x v="5"/>
    <x v="113"/>
    <s v="OUTSIDE MBA"/>
    <s v="Santa Ines West"/>
    <n v="2063"/>
    <n v="2295"/>
    <s v="NO TECHNICAL ASSISTANCE CONDUCTED"/>
    <m/>
    <m/>
    <x v="0"/>
    <s v="Joshua A. Capones"/>
    <m/>
    <s v="Rod Ross S. De Jesus"/>
    <m/>
    <m/>
    <m/>
    <m/>
    <m/>
    <s v=""/>
    <s v=""/>
    <s v=""/>
    <s v=""/>
    <m/>
    <m/>
    <m/>
    <m/>
    <m/>
  </r>
  <r>
    <x v="5"/>
    <x v="113"/>
    <s v="OUTSIDE MBA"/>
    <s v="Taguiporo"/>
    <n v="402"/>
    <n v="476"/>
    <s v="NO TECHNICAL ASSISTANCE CONDUCTED"/>
    <m/>
    <m/>
    <x v="0"/>
    <s v="Joshua A. Capones"/>
    <m/>
    <s v="Rod Ross S. De Jesus"/>
    <m/>
    <m/>
    <m/>
    <m/>
    <m/>
    <s v=""/>
    <s v=""/>
    <s v=""/>
    <s v=""/>
    <m/>
    <m/>
    <m/>
    <m/>
    <m/>
  </r>
  <r>
    <x v="5"/>
    <x v="113"/>
    <s v="OUTSIDE MBA"/>
    <s v="Timmaguab"/>
    <n v="2325"/>
    <n v="2556"/>
    <s v="CONDUCTED TECHNICAL ASSISTANCE"/>
    <n v="2024"/>
    <d v="2024-08-02T00:00:00"/>
    <x v="0"/>
    <s v="Joshua A. Capones"/>
    <m/>
    <s v="Rod Ross S. De Jesus"/>
    <m/>
    <m/>
    <m/>
    <m/>
    <m/>
    <s v=""/>
    <s v=""/>
    <s v=""/>
    <s v=""/>
    <m/>
    <s v="MRF"/>
    <s v="OPERATIONAL"/>
    <s v="Technical Assistance"/>
    <m/>
  </r>
  <r>
    <x v="5"/>
    <x v="113"/>
    <s v="OUTSIDE MBA"/>
    <s v="Vargas"/>
    <n v="2934"/>
    <n v="3274"/>
    <s v="CONDUCTED TECHNICAL ASSISTANCE"/>
    <n v="2024"/>
    <d v="2024-05-02T00:00:00"/>
    <x v="0"/>
    <s v="Joshua A. Capones"/>
    <m/>
    <s v="Rod Ross S. De Jesus"/>
    <m/>
    <m/>
    <m/>
    <m/>
    <m/>
    <s v=""/>
    <s v=""/>
    <s v=""/>
    <s v=""/>
    <m/>
    <m/>
    <m/>
    <s v="Technical Assistance"/>
    <m/>
  </r>
  <r>
    <x v="5"/>
    <x v="114"/>
    <s v="MBA"/>
    <s v="Care"/>
    <n v="4465"/>
    <n v="5126"/>
    <s v="CONDUCTED TECHNICAL ASSISTANCE"/>
    <n v="2025"/>
    <d v="2025-09-10T00:00:00"/>
    <x v="7"/>
    <s v="Joshua A. Capones"/>
    <m/>
    <s v="Rod Ross S. De Jesus"/>
    <s v="R3-2025-030686"/>
    <d v="2025-09-13T00:00:00"/>
    <m/>
    <d v="2025-09-16T00:00:00"/>
    <d v="2025-09-17T00:00:00"/>
    <n v="2"/>
    <s v=""/>
    <n v="1"/>
    <n v="1"/>
    <s v="Received by Planning"/>
    <s v="NO FACILITY"/>
    <s v="CATER BY LGU"/>
    <s v="Technical Assistance"/>
    <m/>
  </r>
  <r>
    <x v="5"/>
    <x v="114"/>
    <s v="MBA"/>
    <s v="Cut-cut II"/>
    <n v="7211"/>
    <n v="8250"/>
    <s v="NO TECHNICAL ASSISTANCE CONDUCTED"/>
    <m/>
    <m/>
    <x v="0"/>
    <s v="Joshua A. Capones"/>
    <m/>
    <s v="Rod Ross S. De Jesus"/>
    <m/>
    <m/>
    <m/>
    <m/>
    <m/>
    <s v=""/>
    <s v=""/>
    <s v=""/>
    <s v=""/>
    <m/>
    <m/>
    <m/>
    <s v="Technical Assistance"/>
    <m/>
  </r>
  <r>
    <x v="5"/>
    <x v="114"/>
    <s v="MBA"/>
    <s v="Laoang"/>
    <n v="3053"/>
    <n v="3277"/>
    <s v="CONDUCTED TECHNICAL ASSISTANCE"/>
    <n v="2025"/>
    <d v="2025-09-10T00:00:00"/>
    <x v="7"/>
    <s v="Joshua A. Capones"/>
    <m/>
    <s v="Rod Ross S. De Jesus"/>
    <s v="R3-2025-030689"/>
    <d v="2025-09-13T00:00:00"/>
    <m/>
    <d v="2025-09-16T00:00:00"/>
    <d v="2025-09-18T00:00:00"/>
    <n v="2"/>
    <s v=""/>
    <n v="1"/>
    <n v="2"/>
    <s v="Received by Planning"/>
    <s v="MRF"/>
    <s v="OPERATIONAL"/>
    <s v="Technical Assistance"/>
    <m/>
  </r>
  <r>
    <x v="5"/>
    <x v="114"/>
    <s v="MBA"/>
    <s v="Santo Cristo"/>
    <n v="2983"/>
    <n v="2888"/>
    <s v="CONDUCTED TECHNICAL ASSISTANCE"/>
    <n v="2025"/>
    <d v="2025-09-10T00:00:00"/>
    <x v="7"/>
    <s v="Joshua A. Capones"/>
    <m/>
    <s v="Rod Ross S. De Jesus"/>
    <s v="R3-2025-030690"/>
    <d v="2025-09-13T00:00:00"/>
    <m/>
    <d v="2025-09-16T00:00:00"/>
    <d v="2025-09-18T00:00:00"/>
    <n v="2"/>
    <s v=""/>
    <n v="1"/>
    <n v="2"/>
    <s v="Received by Planning"/>
    <s v="NO FACILITY"/>
    <s v="CATER BY LGU"/>
    <s v="Technical Assistance"/>
    <m/>
  </r>
  <r>
    <x v="5"/>
    <x v="114"/>
    <s v="MBA"/>
    <s v="Santo Domingo"/>
    <n v="1156"/>
    <n v="1319"/>
    <s v="CONDUCTED TECHNICAL ASSISTANCE"/>
    <n v="2025"/>
    <d v="2025-09-10T00:00:00"/>
    <x v="7"/>
    <s v="Joshua A. Capones"/>
    <m/>
    <s v="Rod Ross S. De Jesus"/>
    <s v="R3-2025-030691"/>
    <d v="2025-09-13T00:00:00"/>
    <m/>
    <d v="2025-09-16T00:00:00"/>
    <d v="2025-09-18T00:00:00"/>
    <n v="2"/>
    <s v=""/>
    <n v="1"/>
    <n v="2"/>
    <s v="Received by Planning"/>
    <s v="MRS"/>
    <s v="OPERATIONAL"/>
    <s v="Technical Assistance"/>
    <m/>
  </r>
  <r>
    <x v="5"/>
    <x v="114"/>
    <s v="MBA"/>
    <s v="Tariji"/>
    <n v="2723"/>
    <n v="3076"/>
    <s v="CONDUCTED TECHNICAL ASSISTANCE"/>
    <n v="2025"/>
    <d v="2025-08-08T00:00:00"/>
    <x v="7"/>
    <s v="Joshua A. Capones"/>
    <m/>
    <s v="Rod Ross S. De Jesus"/>
    <s v="R3-2025-026452"/>
    <d v="2025-08-09T00:00:00"/>
    <m/>
    <d v="2025-08-12T00:00:00"/>
    <d v="2025-08-13T00:00:00"/>
    <n v="1"/>
    <s v=""/>
    <n v="1"/>
    <n v="1"/>
    <s v="Received by Planning"/>
    <s v="NO FACILITY"/>
    <s v="CATER BY LGU"/>
    <s v="Technical Assistance"/>
    <m/>
  </r>
  <r>
    <x v="5"/>
    <x v="114"/>
    <s v="MBA"/>
    <s v="Aguso"/>
    <n v="6893"/>
    <n v="7718"/>
    <s v="NO TECHNICAL ASSISTANCE CONDUCTED"/>
    <m/>
    <m/>
    <x v="0"/>
    <s v="Joshua A. Capones"/>
    <m/>
    <s v="Rod Ross S. De Jesus"/>
    <m/>
    <m/>
    <m/>
    <m/>
    <m/>
    <s v=""/>
    <s v=""/>
    <s v=""/>
    <s v=""/>
    <m/>
    <m/>
    <m/>
    <m/>
    <m/>
  </r>
  <r>
    <x v="5"/>
    <x v="114"/>
    <s v="MBA"/>
    <s v="Alvindia Segundo"/>
    <n v="1573"/>
    <n v="1926"/>
    <s v="NO TECHNICAL ASSISTANCE CONDUCTED"/>
    <m/>
    <m/>
    <x v="0"/>
    <s v="Joshua A. Capones"/>
    <m/>
    <s v="Rod Ross S. De Jesus"/>
    <m/>
    <m/>
    <m/>
    <m/>
    <m/>
    <s v=""/>
    <s v=""/>
    <s v=""/>
    <s v=""/>
    <m/>
    <m/>
    <m/>
    <m/>
    <m/>
  </r>
  <r>
    <x v="5"/>
    <x v="114"/>
    <s v="MBA"/>
    <s v="Amucao"/>
    <n v="2220"/>
    <n v="2660"/>
    <s v="NO TECHNICAL ASSISTANCE CONDUCTED"/>
    <m/>
    <m/>
    <x v="0"/>
    <s v="Joshua A. Capones"/>
    <m/>
    <s v="Rod Ross S. De Jesus"/>
    <m/>
    <m/>
    <m/>
    <m/>
    <m/>
    <s v=""/>
    <s v=""/>
    <s v=""/>
    <s v=""/>
    <m/>
    <m/>
    <m/>
    <m/>
    <m/>
  </r>
  <r>
    <x v="5"/>
    <x v="114"/>
    <s v="MBA"/>
    <s v="Armenia"/>
    <n v="4985"/>
    <n v="5608"/>
    <s v="NO TECHNICAL ASSISTANCE CONDUCTED"/>
    <m/>
    <m/>
    <x v="0"/>
    <s v="Joshua A. Capones"/>
    <m/>
    <s v="Rod Ross S. De Jesus"/>
    <m/>
    <m/>
    <m/>
    <m/>
    <m/>
    <s v=""/>
    <s v=""/>
    <s v=""/>
    <s v=""/>
    <m/>
    <m/>
    <m/>
    <m/>
    <m/>
  </r>
  <r>
    <x v="5"/>
    <x v="114"/>
    <s v="MBA"/>
    <s v="Asturias"/>
    <n v="1771"/>
    <n v="1815"/>
    <s v="NO TECHNICAL ASSISTANCE CONDUCTED"/>
    <m/>
    <m/>
    <x v="0"/>
    <s v="Joshua A. Capones"/>
    <m/>
    <s v="Rod Ross S. De Jesus"/>
    <m/>
    <m/>
    <m/>
    <m/>
    <m/>
    <s v=""/>
    <s v=""/>
    <s v=""/>
    <s v=""/>
    <m/>
    <m/>
    <m/>
    <m/>
    <m/>
  </r>
  <r>
    <x v="5"/>
    <x v="114"/>
    <s v="MBA"/>
    <s v="Atioc"/>
    <n v="2232"/>
    <n v="2560"/>
    <s v="NO TECHNICAL ASSISTANCE CONDUCTED"/>
    <m/>
    <m/>
    <x v="0"/>
    <s v="Joshua A. Capones"/>
    <m/>
    <s v="Rod Ross S. De Jesus"/>
    <m/>
    <m/>
    <m/>
    <m/>
    <m/>
    <s v=""/>
    <s v=""/>
    <s v=""/>
    <s v=""/>
    <m/>
    <m/>
    <m/>
    <m/>
    <m/>
  </r>
  <r>
    <x v="5"/>
    <x v="114"/>
    <s v="MBA"/>
    <s v="Balanti"/>
    <n v="1725"/>
    <n v="1961"/>
    <s v="NO TECHNICAL ASSISTANCE CONDUCTED"/>
    <m/>
    <m/>
    <x v="0"/>
    <s v="Joshua A. Capones"/>
    <m/>
    <s v="Rod Ross S. De Jesus"/>
    <m/>
    <m/>
    <m/>
    <m/>
    <m/>
    <s v=""/>
    <s v=""/>
    <s v=""/>
    <s v=""/>
    <m/>
    <m/>
    <m/>
    <m/>
    <m/>
  </r>
  <r>
    <x v="5"/>
    <x v="114"/>
    <s v="MBA"/>
    <s v="Balete"/>
    <n v="4684"/>
    <n v="5445"/>
    <s v="NO TECHNICAL ASSISTANCE CONDUCTED"/>
    <m/>
    <m/>
    <x v="0"/>
    <s v="Joshua A. Capones"/>
    <m/>
    <s v="Rod Ross S. De Jesus"/>
    <m/>
    <m/>
    <m/>
    <m/>
    <m/>
    <s v=""/>
    <s v=""/>
    <s v=""/>
    <s v=""/>
    <m/>
    <m/>
    <m/>
    <m/>
    <m/>
  </r>
  <r>
    <x v="5"/>
    <x v="114"/>
    <s v="MBA"/>
    <s v="Balibago I"/>
    <n v="2208"/>
    <n v="2118"/>
    <s v="CONDUCTED TECHNICAL ASSISTANCE"/>
    <n v="2025"/>
    <d v="2025-06-05T00:00:00"/>
    <x v="10"/>
    <s v="Joshua A. Capones"/>
    <m/>
    <s v="Rod Ross S. De Jesus"/>
    <s v="R3-2025-018851"/>
    <d v="2025-06-06T00:00:00"/>
    <m/>
    <d v="2025-06-16T00:00:00"/>
    <d v="2025-06-16T00:00:00"/>
    <n v="1"/>
    <s v=""/>
    <n v="6"/>
    <n v="1"/>
    <s v="Received by Planning"/>
    <s v="NO FACILITY"/>
    <s v="CATER BY LGU"/>
    <s v="Technical Assistance"/>
    <m/>
  </r>
  <r>
    <x v="5"/>
    <x v="114"/>
    <s v="MBA"/>
    <s v="Balibago II"/>
    <n v="3533"/>
    <n v="4180"/>
    <s v="NO TECHNICAL ASSISTANCE CONDUCTED"/>
    <m/>
    <m/>
    <x v="0"/>
    <s v="Joshua A. Capones"/>
    <m/>
    <s v="Rod Ross S. De Jesus"/>
    <m/>
    <m/>
    <m/>
    <m/>
    <m/>
    <s v=""/>
    <s v=""/>
    <s v=""/>
    <s v=""/>
    <m/>
    <m/>
    <m/>
    <m/>
    <m/>
  </r>
  <r>
    <x v="5"/>
    <x v="114"/>
    <s v="MBA"/>
    <s v="Balingcanaway"/>
    <n v="5962"/>
    <n v="6769"/>
    <s v="NO TECHNICAL ASSISTANCE CONDUCTED"/>
    <m/>
    <m/>
    <x v="0"/>
    <s v="Joshua A. Capones"/>
    <m/>
    <s v="Rod Ross S. De Jesus"/>
    <m/>
    <m/>
    <m/>
    <m/>
    <m/>
    <s v=""/>
    <s v=""/>
    <s v=""/>
    <s v=""/>
    <m/>
    <m/>
    <m/>
    <m/>
    <m/>
  </r>
  <r>
    <x v="5"/>
    <x v="114"/>
    <s v="MBA"/>
    <s v="Banaba"/>
    <n v="1048"/>
    <n v="1245"/>
    <s v="NO TECHNICAL ASSISTANCE CONDUCTED"/>
    <m/>
    <m/>
    <x v="0"/>
    <s v="Joshua A. Capones"/>
    <m/>
    <s v="Rod Ross S. De Jesus"/>
    <m/>
    <m/>
    <m/>
    <m/>
    <m/>
    <s v=""/>
    <s v=""/>
    <s v=""/>
    <s v=""/>
    <m/>
    <m/>
    <m/>
    <m/>
    <m/>
  </r>
  <r>
    <x v="5"/>
    <x v="114"/>
    <s v="MBA"/>
    <s v="Bantog"/>
    <n v="2192"/>
    <n v="2410"/>
    <s v="NO TECHNICAL ASSISTANCE CONDUCTED"/>
    <m/>
    <m/>
    <x v="0"/>
    <s v="Joshua A. Capones"/>
    <m/>
    <s v="Rod Ross S. De Jesus"/>
    <m/>
    <m/>
    <m/>
    <m/>
    <m/>
    <s v=""/>
    <s v=""/>
    <s v=""/>
    <s v=""/>
    <m/>
    <m/>
    <m/>
    <m/>
    <m/>
  </r>
  <r>
    <x v="5"/>
    <x v="114"/>
    <s v="MBA"/>
    <s v="Baras-baras"/>
    <n v="4338"/>
    <n v="5173"/>
    <s v="NO TECHNICAL ASSISTANCE CONDUCTED"/>
    <m/>
    <m/>
    <x v="0"/>
    <s v="Joshua A. Capones"/>
    <m/>
    <s v="Rod Ross S. De Jesus"/>
    <m/>
    <m/>
    <m/>
    <m/>
    <m/>
    <s v=""/>
    <s v=""/>
    <s v=""/>
    <s v=""/>
    <m/>
    <m/>
    <m/>
    <m/>
    <m/>
  </r>
  <r>
    <x v="5"/>
    <x v="114"/>
    <s v="MBA"/>
    <s v="Batang-batang"/>
    <n v="1666"/>
    <n v="2258"/>
    <s v="NO TECHNICAL ASSISTANCE CONDUCTED"/>
    <m/>
    <m/>
    <x v="0"/>
    <s v="Joshua A. Capones"/>
    <m/>
    <s v="Rod Ross S. De Jesus"/>
    <m/>
    <m/>
    <m/>
    <m/>
    <m/>
    <s v=""/>
    <s v=""/>
    <s v=""/>
    <s v=""/>
    <m/>
    <m/>
    <m/>
    <m/>
    <m/>
  </r>
  <r>
    <x v="5"/>
    <x v="114"/>
    <s v="MBA"/>
    <s v="Binauganan"/>
    <n v="4498"/>
    <n v="5791"/>
    <s v="NO TECHNICAL ASSISTANCE CONDUCTED"/>
    <m/>
    <m/>
    <x v="0"/>
    <s v="Joshua A. Capones"/>
    <m/>
    <s v="Rod Ross S. De Jesus"/>
    <m/>
    <m/>
    <m/>
    <m/>
    <m/>
    <s v=""/>
    <s v=""/>
    <s v=""/>
    <s v=""/>
    <m/>
    <m/>
    <m/>
    <m/>
    <m/>
  </r>
  <r>
    <x v="5"/>
    <x v="114"/>
    <s v="MBA"/>
    <s v="Bora"/>
    <n v="1708"/>
    <n v="2083"/>
    <s v="NO TECHNICAL ASSISTANCE CONDUCTED"/>
    <m/>
    <m/>
    <x v="0"/>
    <s v="Joshua A. Capones"/>
    <m/>
    <s v="Rod Ross S. De Jesus"/>
    <m/>
    <m/>
    <m/>
    <m/>
    <m/>
    <s v=""/>
    <s v=""/>
    <s v=""/>
    <s v=""/>
    <m/>
    <m/>
    <m/>
    <m/>
    <m/>
  </r>
  <r>
    <x v="5"/>
    <x v="114"/>
    <s v="MBA"/>
    <s v="Buenavista"/>
    <n v="1249"/>
    <n v="1517"/>
    <s v="NO TECHNICAL ASSISTANCE CONDUCTED"/>
    <m/>
    <m/>
    <x v="0"/>
    <s v="Joshua A. Capones"/>
    <m/>
    <s v="Rod Ross S. De Jesus"/>
    <m/>
    <m/>
    <m/>
    <m/>
    <m/>
    <s v=""/>
    <s v=""/>
    <s v=""/>
    <s v=""/>
    <m/>
    <m/>
    <m/>
    <m/>
    <m/>
  </r>
  <r>
    <x v="5"/>
    <x v="114"/>
    <s v="MBA"/>
    <s v="Buhilit"/>
    <n v="1771"/>
    <n v="2109"/>
    <s v="NO TECHNICAL ASSISTANCE CONDUCTED"/>
    <m/>
    <m/>
    <x v="0"/>
    <s v="Joshua A. Capones"/>
    <m/>
    <s v="Rod Ross S. De Jesus"/>
    <m/>
    <m/>
    <m/>
    <m/>
    <m/>
    <s v=""/>
    <s v=""/>
    <s v=""/>
    <s v=""/>
    <m/>
    <m/>
    <m/>
    <m/>
    <m/>
  </r>
  <r>
    <x v="5"/>
    <x v="114"/>
    <s v="MBA"/>
    <s v="Burot"/>
    <n v="6105"/>
    <n v="7682"/>
    <s v="CONDUCTED TECHNICAL ASSISTANCE"/>
    <n v="2025"/>
    <d v="2025-05-21T00:00:00"/>
    <x v="10"/>
    <s v="Joshua A. Capones"/>
    <m/>
    <s v="Rod Ross S. De Jesus"/>
    <s v="R3-2025-017504"/>
    <d v="2025-05-24T00:00:00"/>
    <m/>
    <d v="2025-05-26T00:00:00"/>
    <d v="2025-05-26T00:00:00"/>
    <n v="2"/>
    <s v=""/>
    <n v="1"/>
    <n v="1"/>
    <s v="Received by Planning"/>
    <s v="NO FACILITY"/>
    <s v="CATER BY LGU"/>
    <s v="Technical Assistance"/>
    <m/>
  </r>
  <r>
    <x v="5"/>
    <x v="114"/>
    <s v="MBA"/>
    <s v="Calingcuan"/>
    <n v="3353"/>
    <n v="3679"/>
    <s v="NO TECHNICAL ASSISTANCE CONDUCTED"/>
    <m/>
    <m/>
    <x v="0"/>
    <s v="Joshua A. Capones"/>
    <m/>
    <s v="Rod Ross S. De Jesus"/>
    <m/>
    <m/>
    <m/>
    <m/>
    <m/>
    <s v=""/>
    <s v=""/>
    <s v=""/>
    <s v=""/>
    <m/>
    <m/>
    <m/>
    <m/>
    <m/>
  </r>
  <r>
    <x v="5"/>
    <x v="114"/>
    <s v="MBA"/>
    <s v="Capehan"/>
    <n v="1834"/>
    <n v="2239"/>
    <s v="NO TECHNICAL ASSISTANCE CONDUCTED"/>
    <m/>
    <m/>
    <x v="0"/>
    <s v="Joshua A. Capones"/>
    <m/>
    <s v="Rod Ross S. De Jesus"/>
    <m/>
    <m/>
    <m/>
    <m/>
    <m/>
    <s v=""/>
    <s v=""/>
    <s v=""/>
    <s v=""/>
    <m/>
    <m/>
    <m/>
    <m/>
    <m/>
  </r>
  <r>
    <x v="5"/>
    <x v="114"/>
    <s v="MBA"/>
    <s v="Carangian"/>
    <n v="9919"/>
    <n v="10195"/>
    <s v="NO TECHNICAL ASSISTANCE CONDUCTED"/>
    <m/>
    <m/>
    <x v="0"/>
    <s v="Joshua A. Capones"/>
    <m/>
    <s v="Rod Ross S. De Jesus"/>
    <m/>
    <m/>
    <m/>
    <m/>
    <m/>
    <s v=""/>
    <s v=""/>
    <s v=""/>
    <s v=""/>
    <m/>
    <m/>
    <m/>
    <m/>
    <m/>
  </r>
  <r>
    <x v="5"/>
    <x v="114"/>
    <s v="MBA"/>
    <s v="Central"/>
    <n v="4127"/>
    <n v="4008"/>
    <s v="NO TECHNICAL ASSISTANCE CONDUCTED"/>
    <m/>
    <m/>
    <x v="0"/>
    <s v="Joshua A. Capones"/>
    <m/>
    <s v="Rod Ross S. De Jesus"/>
    <m/>
    <m/>
    <m/>
    <m/>
    <m/>
    <s v=""/>
    <s v=""/>
    <s v=""/>
    <s v=""/>
    <m/>
    <m/>
    <m/>
    <m/>
    <m/>
  </r>
  <r>
    <x v="5"/>
    <x v="114"/>
    <s v="MBA"/>
    <s v="Culipat"/>
    <n v="1898"/>
    <n v="2764"/>
    <s v="NO TECHNICAL ASSISTANCE CONDUCTED"/>
    <m/>
    <m/>
    <x v="0"/>
    <s v="Joshua A. Capones"/>
    <m/>
    <s v="Rod Ross S. De Jesus"/>
    <m/>
    <m/>
    <m/>
    <m/>
    <m/>
    <s v=""/>
    <s v=""/>
    <s v=""/>
    <s v=""/>
    <m/>
    <m/>
    <m/>
    <m/>
    <m/>
  </r>
  <r>
    <x v="5"/>
    <x v="114"/>
    <s v="MBA"/>
    <s v="Cut-cut I"/>
    <n v="400"/>
    <n v="456"/>
    <s v="NO TECHNICAL ASSISTANCE CONDUCTED"/>
    <m/>
    <m/>
    <x v="0"/>
    <s v="Joshua A. Capones"/>
    <m/>
    <s v="Rod Ross S. De Jesus"/>
    <m/>
    <m/>
    <m/>
    <m/>
    <m/>
    <s v=""/>
    <s v=""/>
    <s v=""/>
    <s v=""/>
    <m/>
    <m/>
    <m/>
    <m/>
    <m/>
  </r>
  <r>
    <x v="5"/>
    <x v="114"/>
    <s v="MBA"/>
    <s v="Dalayap"/>
    <n v="3401"/>
    <n v="3912"/>
    <s v="NO TECHNICAL ASSISTANCE CONDUCTED"/>
    <m/>
    <m/>
    <x v="0"/>
    <s v="Joshua A. Capones"/>
    <m/>
    <s v="Rod Ross S. De Jesus"/>
    <m/>
    <m/>
    <m/>
    <m/>
    <m/>
    <s v=""/>
    <s v=""/>
    <s v=""/>
    <s v=""/>
    <m/>
    <m/>
    <m/>
    <m/>
    <m/>
  </r>
  <r>
    <x v="5"/>
    <x v="114"/>
    <s v="MBA"/>
    <s v="Dela Paz"/>
    <n v="2856"/>
    <n v="3410"/>
    <s v="NO TECHNICAL ASSISTANCE CONDUCTED"/>
    <m/>
    <m/>
    <x v="0"/>
    <s v="Joshua A. Capones"/>
    <m/>
    <s v="Rod Ross S. De Jesus"/>
    <m/>
    <m/>
    <m/>
    <m/>
    <m/>
    <s v=""/>
    <s v=""/>
    <s v=""/>
    <s v=""/>
    <m/>
    <m/>
    <m/>
    <m/>
    <m/>
  </r>
  <r>
    <x v="5"/>
    <x v="114"/>
    <s v="MBA"/>
    <s v="Dolores"/>
    <n v="3248"/>
    <n v="3972"/>
    <s v="CONDUCTED TECHNICAL ASSISTANCE"/>
    <n v="2025"/>
    <d v="2025-01-21T00:00:00"/>
    <x v="2"/>
    <s v="Joshua A. Capones"/>
    <m/>
    <s v="Rod Ross S. De Jesus"/>
    <s v="R3-2025-002069"/>
    <d v="2025-01-22T00:00:00"/>
    <m/>
    <d v="2025-01-23T00:00:00"/>
    <d v="2025-01-24T00:00:00"/>
    <n v="1"/>
    <s v=""/>
    <n v="1"/>
    <n v="1"/>
    <s v="Received by Planning"/>
    <s v="MRF"/>
    <s v="OPERATIONAL"/>
    <s v="Technical Assistance"/>
    <m/>
  </r>
  <r>
    <x v="5"/>
    <x v="114"/>
    <s v="MBA"/>
    <s v="Ligtasan"/>
    <n v="2596"/>
    <n v="2376"/>
    <s v="NO TECHNICAL ASSISTANCE CONDUCTED"/>
    <m/>
    <m/>
    <x v="0"/>
    <s v="Joshua A. Capones"/>
    <m/>
    <s v="Rod Ross S. De Jesus"/>
    <m/>
    <m/>
    <m/>
    <m/>
    <m/>
    <s v=""/>
    <s v=""/>
    <s v=""/>
    <s v=""/>
    <m/>
    <m/>
    <m/>
    <m/>
    <m/>
  </r>
  <r>
    <x v="5"/>
    <x v="114"/>
    <s v="MBA"/>
    <s v="Lourdes"/>
    <n v="2649"/>
    <n v="2888"/>
    <s v="NO TECHNICAL ASSISTANCE CONDUCTED"/>
    <m/>
    <m/>
    <x v="0"/>
    <s v="Joshua A. Capones"/>
    <m/>
    <s v="Rod Ross S. De Jesus"/>
    <m/>
    <m/>
    <m/>
    <m/>
    <m/>
    <s v=""/>
    <s v=""/>
    <s v=""/>
    <s v=""/>
    <m/>
    <m/>
    <m/>
    <m/>
    <m/>
  </r>
  <r>
    <x v="5"/>
    <x v="114"/>
    <s v="MBA"/>
    <s v="Mabini"/>
    <n v="628"/>
    <n v="851"/>
    <s v="NO TECHNICAL ASSISTANCE CONDUCTED"/>
    <m/>
    <m/>
    <x v="0"/>
    <s v="Joshua A. Capones"/>
    <m/>
    <s v="Rod Ross S. De Jesus"/>
    <m/>
    <m/>
    <m/>
    <m/>
    <m/>
    <s v=""/>
    <s v=""/>
    <s v=""/>
    <s v=""/>
    <m/>
    <m/>
    <m/>
    <m/>
    <m/>
  </r>
  <r>
    <x v="5"/>
    <x v="114"/>
    <s v="MBA"/>
    <s v="Maligaya"/>
    <n v="3615"/>
    <n v="4152"/>
    <s v="NO TECHNICAL ASSISTANCE CONDUCTED"/>
    <m/>
    <m/>
    <x v="0"/>
    <s v="Joshua A. Capones"/>
    <m/>
    <s v="Rod Ross S. De Jesus"/>
    <m/>
    <m/>
    <m/>
    <m/>
    <m/>
    <s v=""/>
    <s v=""/>
    <s v=""/>
    <s v=""/>
    <m/>
    <m/>
    <m/>
    <m/>
    <m/>
  </r>
  <r>
    <x v="5"/>
    <x v="114"/>
    <s v="MBA"/>
    <s v="Maliwalo"/>
    <n v="11891"/>
    <n v="16106"/>
    <s v="NO TECHNICAL ASSISTANCE CONDUCTED"/>
    <m/>
    <m/>
    <x v="0"/>
    <s v="Joshua A. Capones"/>
    <m/>
    <s v="Rod Ross S. De Jesus"/>
    <m/>
    <m/>
    <m/>
    <m/>
    <m/>
    <s v=""/>
    <s v=""/>
    <s v=""/>
    <s v=""/>
    <m/>
    <m/>
    <m/>
    <m/>
    <m/>
  </r>
  <r>
    <x v="5"/>
    <x v="114"/>
    <s v="MBA"/>
    <s v="Mapalacsiao"/>
    <n v="5252"/>
    <n v="5922"/>
    <s v="NO TECHNICAL ASSISTANCE CONDUCTED"/>
    <m/>
    <m/>
    <x v="0"/>
    <s v="Joshua A. Capones"/>
    <m/>
    <s v="Rod Ross S. De Jesus"/>
    <m/>
    <m/>
    <m/>
    <m/>
    <m/>
    <s v=""/>
    <s v=""/>
    <s v=""/>
    <s v=""/>
    <m/>
    <m/>
    <m/>
    <m/>
    <m/>
  </r>
  <r>
    <x v="5"/>
    <x v="114"/>
    <s v="MBA"/>
    <s v="Mapalad"/>
    <n v="612"/>
    <n v="678"/>
    <s v="CONDUCTED TECHNICAL ASSISTANCE"/>
    <n v="2025"/>
    <d v="2025-01-21T00:00:00"/>
    <x v="2"/>
    <s v="Joshua A. Capones"/>
    <m/>
    <s v="Rod Ross S. De Jesus"/>
    <s v="R3-2025-002070"/>
    <d v="2025-01-22T00:00:00"/>
    <m/>
    <d v="2025-01-23T00:00:00"/>
    <d v="2025-01-24T00:00:00"/>
    <n v="1"/>
    <s v=""/>
    <n v="1"/>
    <n v="1"/>
    <s v="Received by Planning"/>
    <s v="MRS"/>
    <s v="OPERATIONAL"/>
    <s v="Technical Assistance"/>
    <m/>
  </r>
  <r>
    <x v="5"/>
    <x v="114"/>
    <s v="MBA"/>
    <s v="Matadero"/>
    <n v="2330"/>
    <n v="2184"/>
    <s v="NO TECHNICAL ASSISTANCE CONDUCTED"/>
    <m/>
    <m/>
    <x v="0"/>
    <s v="Joshua A. Capones"/>
    <m/>
    <s v="Rod Ross S. De Jesus"/>
    <m/>
    <m/>
    <m/>
    <m/>
    <m/>
    <s v=""/>
    <s v=""/>
    <s v=""/>
    <s v=""/>
    <m/>
    <m/>
    <m/>
    <m/>
    <m/>
  </r>
  <r>
    <x v="5"/>
    <x v="114"/>
    <s v="MBA"/>
    <s v="Matatalaib"/>
    <n v="24140"/>
    <n v="24944"/>
    <s v="NO TECHNICAL ASSISTANCE CONDUCTED"/>
    <m/>
    <m/>
    <x v="0"/>
    <s v="Joshua A. Capones"/>
    <m/>
    <s v="Rod Ross S. De Jesus"/>
    <m/>
    <m/>
    <m/>
    <m/>
    <m/>
    <s v=""/>
    <s v=""/>
    <s v=""/>
    <s v=""/>
    <m/>
    <m/>
    <m/>
    <m/>
    <m/>
  </r>
  <r>
    <x v="5"/>
    <x v="114"/>
    <s v="MBA"/>
    <s v="Paraiso"/>
    <n v="3439"/>
    <n v="3435"/>
    <s v="NO TECHNICAL ASSISTANCE CONDUCTED"/>
    <m/>
    <m/>
    <x v="0"/>
    <s v="Joshua A. Capones"/>
    <m/>
    <s v="Rod Ross S. De Jesus"/>
    <m/>
    <m/>
    <m/>
    <m/>
    <m/>
    <s v=""/>
    <s v=""/>
    <s v=""/>
    <s v=""/>
    <m/>
    <m/>
    <m/>
    <m/>
    <m/>
  </r>
  <r>
    <x v="5"/>
    <x v="114"/>
    <s v="MBA"/>
    <s v="Poblacion"/>
    <n v="313"/>
    <n v="329"/>
    <s v="NO TECHNICAL ASSISTANCE CONDUCTED"/>
    <m/>
    <m/>
    <x v="0"/>
    <s v="Joshua A. Capones"/>
    <m/>
    <s v="Rod Ross S. De Jesus"/>
    <m/>
    <m/>
    <m/>
    <m/>
    <m/>
    <s v=""/>
    <s v=""/>
    <s v=""/>
    <s v=""/>
    <m/>
    <m/>
    <m/>
    <m/>
    <m/>
  </r>
  <r>
    <x v="5"/>
    <x v="114"/>
    <s v="MBA"/>
    <s v="Salapungan"/>
    <n v="1740"/>
    <n v="2015"/>
    <s v="CONDUCTED TECHNICAL ASSISTANCE"/>
    <n v="2025"/>
    <d v="2025-04-02T00:00:00"/>
    <x v="4"/>
    <s v="Joshua A. Capones"/>
    <m/>
    <s v="Rod Ross S. De Jesus"/>
    <s v="R3-2025-011232"/>
    <d v="2025-04-03T00:00:00"/>
    <m/>
    <d v="2025-04-07T00:00:00"/>
    <d v="2025-04-10T00:00:00"/>
    <n v="1"/>
    <s v=""/>
    <n v="2"/>
    <n v="3"/>
    <s v="Received by Planning"/>
    <s v="NO FACILITY"/>
    <s v="Not Applicable"/>
    <s v="Technical Assistance"/>
    <m/>
  </r>
  <r>
    <x v="5"/>
    <x v="114"/>
    <s v="MBA"/>
    <s v="San Carlos"/>
    <n v="1660"/>
    <n v="1703"/>
    <s v="NO TECHNICAL ASSISTANCE CONDUCTED"/>
    <m/>
    <m/>
    <x v="0"/>
    <s v="Joshua A. Capones"/>
    <m/>
    <s v="Rod Ross S. De Jesus"/>
    <m/>
    <m/>
    <m/>
    <m/>
    <m/>
    <s v=""/>
    <s v=""/>
    <s v=""/>
    <s v=""/>
    <m/>
    <m/>
    <m/>
    <m/>
    <m/>
  </r>
  <r>
    <x v="5"/>
    <x v="114"/>
    <s v="MBA"/>
    <s v="San Francisco"/>
    <n v="2650"/>
    <n v="2880"/>
    <s v="NO TECHNICAL ASSISTANCE CONDUCTED"/>
    <m/>
    <m/>
    <x v="0"/>
    <s v="Joshua A. Capones"/>
    <m/>
    <s v="Rod Ross S. De Jesus"/>
    <m/>
    <m/>
    <m/>
    <m/>
    <m/>
    <s v=""/>
    <s v=""/>
    <s v=""/>
    <s v=""/>
    <m/>
    <m/>
    <m/>
    <m/>
    <m/>
  </r>
  <r>
    <x v="5"/>
    <x v="114"/>
    <s v="MBA"/>
    <s v="San Isidro"/>
    <n v="12555"/>
    <n v="14614"/>
    <s v="CONDUCTED TECHNICAL ASSISTANCE"/>
    <n v="2024"/>
    <d v="2024-09-10T00:00:00"/>
    <x v="0"/>
    <s v="Joshua A. Capones"/>
    <m/>
    <s v="Rod Ross S. De Jesus"/>
    <m/>
    <m/>
    <m/>
    <m/>
    <m/>
    <s v=""/>
    <s v=""/>
    <s v=""/>
    <s v=""/>
    <m/>
    <s v="MRF"/>
    <s v="OPERATIONAL"/>
    <s v="Technical Assistance"/>
    <m/>
  </r>
  <r>
    <x v="5"/>
    <x v="114"/>
    <s v="MBA"/>
    <s v="San Jose"/>
    <n v="6974"/>
    <n v="9606"/>
    <s v="CONDUCTED TECHNICAL ASSISTANCE"/>
    <n v="2024"/>
    <d v="2024-10-10T00:00:00"/>
    <x v="0"/>
    <s v="Joshua A. Capones"/>
    <m/>
    <s v="Rod Ross S. De Jesus"/>
    <m/>
    <m/>
    <m/>
    <m/>
    <m/>
    <s v=""/>
    <s v=""/>
    <s v=""/>
    <s v=""/>
    <m/>
    <s v="MRF"/>
    <s v="OPERATIONAL"/>
    <s v="Technical Assistance"/>
    <m/>
  </r>
  <r>
    <x v="5"/>
    <x v="114"/>
    <s v="MBA"/>
    <s v="San Jose de Urquico"/>
    <n v="1996"/>
    <n v="2441"/>
    <s v="NO TECHNICAL ASSISTANCE CONDUCTED"/>
    <m/>
    <m/>
    <x v="0"/>
    <s v="Joshua A. Capones"/>
    <m/>
    <s v="Rod Ross S. De Jesus"/>
    <m/>
    <m/>
    <m/>
    <m/>
    <m/>
    <s v=""/>
    <s v=""/>
    <s v=""/>
    <s v=""/>
    <m/>
    <m/>
    <m/>
    <m/>
    <m/>
  </r>
  <r>
    <x v="5"/>
    <x v="114"/>
    <s v="MBA"/>
    <s v="San Juan de Mata"/>
    <n v="3890"/>
    <n v="4412"/>
    <s v="CONDUCTED TECHNICAL ASSISTANCE"/>
    <n v="2024"/>
    <d v="2024-07-05T00:00:00"/>
    <x v="0"/>
    <s v="Joshua A. Capones"/>
    <m/>
    <s v="Rod Ross S. De Jesus"/>
    <m/>
    <m/>
    <m/>
    <m/>
    <m/>
    <s v=""/>
    <s v=""/>
    <s v=""/>
    <s v=""/>
    <m/>
    <s v="MRS"/>
    <s v="OPERATIONAL"/>
    <s v="Technical Assistance"/>
    <m/>
  </r>
  <r>
    <x v="5"/>
    <x v="114"/>
    <s v="MBA"/>
    <s v="San Luis"/>
    <n v="3144"/>
    <n v="3383"/>
    <s v="NO TECHNICAL ASSISTANCE CONDUCTED"/>
    <m/>
    <m/>
    <x v="0"/>
    <s v="Joshua A. Capones"/>
    <m/>
    <s v="Rod Ross S. De Jesus"/>
    <m/>
    <m/>
    <m/>
    <m/>
    <m/>
    <s v=""/>
    <s v=""/>
    <s v=""/>
    <s v=""/>
    <m/>
    <m/>
    <m/>
    <m/>
    <m/>
  </r>
  <r>
    <x v="5"/>
    <x v="114"/>
    <s v="MBA"/>
    <s v="San Manuel"/>
    <n v="6344"/>
    <n v="7930"/>
    <s v="CONDUCTED TECHNICAL ASSISTANCE"/>
    <n v="2025"/>
    <d v="2025-03-07T00:00:00"/>
    <x v="1"/>
    <s v="Joshua A. Capones"/>
    <m/>
    <s v="Rod Ross S. De Jesus"/>
    <s v="R3-2025-007983"/>
    <d v="2025-03-09T00:00:00"/>
    <m/>
    <d v="2025-03-11T00:00:00"/>
    <d v="2025-03-12T00:00:00"/>
    <n v="1"/>
    <s v=""/>
    <n v="1"/>
    <n v="1"/>
    <s v="Received by Planning"/>
    <s v="NO FACILITY"/>
    <s v="Not Applicable"/>
    <s v="Technical Assistance"/>
    <m/>
  </r>
  <r>
    <x v="5"/>
    <x v="114"/>
    <s v="MBA"/>
    <s v="San Miguel"/>
    <n v="8620"/>
    <n v="8515"/>
    <s v="NO TECHNICAL ASSISTANCE CONDUCTED"/>
    <m/>
    <m/>
    <x v="0"/>
    <s v="Joshua A. Capones"/>
    <m/>
    <s v="Rod Ross S. De Jesus"/>
    <m/>
    <m/>
    <m/>
    <m/>
    <m/>
    <s v=""/>
    <s v=""/>
    <s v=""/>
    <s v=""/>
    <m/>
    <m/>
    <m/>
    <m/>
    <m/>
  </r>
  <r>
    <x v="5"/>
    <x v="114"/>
    <s v="MBA"/>
    <s v="San Nicolas"/>
    <n v="7103"/>
    <n v="6807"/>
    <s v="CONDUCTED TECHNICAL ASSISTANCE"/>
    <n v="2025"/>
    <d v="2025-03-07T00:00:00"/>
    <x v="1"/>
    <s v="Joshua A. Capones"/>
    <m/>
    <s v="Rod Ross S. De Jesus"/>
    <s v="R3-2025-007981"/>
    <d v="2025-03-09T00:00:00"/>
    <m/>
    <d v="2025-03-11T00:00:00"/>
    <d v="2025-03-14T00:00:00"/>
    <n v="1"/>
    <s v=""/>
    <n v="1"/>
    <n v="3"/>
    <s v="Received by Planning"/>
    <s v="NO FACILITY"/>
    <s v="Not Applicable"/>
    <s v="Technical Assistance"/>
    <m/>
  </r>
  <r>
    <x v="5"/>
    <x v="114"/>
    <s v="MBA"/>
    <s v="San Pablo"/>
    <n v="4582"/>
    <n v="4792"/>
    <s v="NO TECHNICAL ASSISTANCE CONDUCTED"/>
    <m/>
    <m/>
    <x v="0"/>
    <s v="Joshua A. Capones"/>
    <m/>
    <s v="Rod Ross S. De Jesus"/>
    <m/>
    <m/>
    <m/>
    <m/>
    <m/>
    <s v=""/>
    <s v=""/>
    <s v=""/>
    <s v=""/>
    <m/>
    <m/>
    <m/>
    <m/>
    <m/>
  </r>
  <r>
    <x v="5"/>
    <x v="114"/>
    <s v="MBA"/>
    <s v="San Pascual"/>
    <n v="3080"/>
    <n v="3568"/>
    <s v="NO TECHNICAL ASSISTANCE CONDUCTED"/>
    <m/>
    <m/>
    <x v="0"/>
    <s v="Joshua A. Capones"/>
    <m/>
    <s v="Rod Ross S. De Jesus"/>
    <m/>
    <m/>
    <m/>
    <m/>
    <m/>
    <s v=""/>
    <s v=""/>
    <s v=""/>
    <s v=""/>
    <m/>
    <m/>
    <m/>
    <m/>
    <m/>
  </r>
  <r>
    <x v="5"/>
    <x v="114"/>
    <s v="MBA"/>
    <s v="San Rafael"/>
    <n v="14341"/>
    <n v="20999"/>
    <s v="NO TECHNICAL ASSISTANCE CONDUCTED"/>
    <m/>
    <m/>
    <x v="0"/>
    <s v="Joshua A. Capones"/>
    <m/>
    <s v="Rod Ross S. De Jesus"/>
    <m/>
    <m/>
    <m/>
    <m/>
    <m/>
    <s v=""/>
    <s v=""/>
    <s v=""/>
    <s v=""/>
    <m/>
    <m/>
    <m/>
    <m/>
    <m/>
  </r>
  <r>
    <x v="5"/>
    <x v="114"/>
    <s v="MBA"/>
    <s v="San Roque"/>
    <n v="6514"/>
    <n v="6008"/>
    <s v="CONDUCTED TECHNICAL ASSISTANCE"/>
    <n v="2025"/>
    <d v="2025-07-09T00:00:00"/>
    <x v="8"/>
    <s v="Joshua A. Capones"/>
    <m/>
    <s v="Rod Ross S. De Jesus"/>
    <s v="R3-2025-023122"/>
    <d v="2025-07-12T00:00:00"/>
    <m/>
    <d v="2025-07-15T00:00:00"/>
    <d v="2025-07-17T00:00:00"/>
    <n v="2"/>
    <s v=""/>
    <n v="1"/>
    <n v="2"/>
    <s v="Received by Planning"/>
    <s v="MRS"/>
    <s v="OPERATIONAL"/>
    <s v="Technical Assistance"/>
    <m/>
  </r>
  <r>
    <x v="5"/>
    <x v="114"/>
    <s v="MBA"/>
    <s v="San Sebastian"/>
    <n v="3654"/>
    <n v="4231"/>
    <s v="CONDUCTED TECHNICAL ASSISTANCE"/>
    <n v="2025"/>
    <d v="2025-07-09T00:00:00"/>
    <x v="8"/>
    <s v="Joshua A. Capones"/>
    <m/>
    <s v="Rod Ross S. De Jesus"/>
    <s v="R3-2025-023124"/>
    <d v="2025-07-09T00:00:00"/>
    <m/>
    <d v="2025-07-15T00:00:00"/>
    <d v="2025-07-17T00:00:00"/>
    <n v="1"/>
    <s v=""/>
    <n v="4"/>
    <n v="2"/>
    <s v="Received by Planning"/>
    <s v="MRS"/>
    <s v="OPERATIONAL"/>
    <s v="Technical Assistance"/>
    <m/>
  </r>
  <r>
    <x v="5"/>
    <x v="114"/>
    <s v="MBA"/>
    <s v="San Vicente"/>
    <n v="19040"/>
    <n v="18105"/>
    <s v="NO TECHNICAL ASSISTANCE CONDUCTED"/>
    <m/>
    <m/>
    <x v="0"/>
    <s v="Joshua A. Capones"/>
    <m/>
    <s v="Rod Ross S. De Jesus"/>
    <m/>
    <m/>
    <m/>
    <m/>
    <m/>
    <s v=""/>
    <s v=""/>
    <s v=""/>
    <s v=""/>
    <m/>
    <m/>
    <m/>
    <m/>
    <m/>
  </r>
  <r>
    <x v="5"/>
    <x v="114"/>
    <s v="MBA"/>
    <s v="Santa Cruz"/>
    <n v="3918"/>
    <n v="4265"/>
    <s v="NO TECHNICAL ASSISTANCE CONDUCTED"/>
    <m/>
    <m/>
    <x v="0"/>
    <s v="Joshua A. Capones"/>
    <m/>
    <s v="Rod Ross S. De Jesus"/>
    <m/>
    <m/>
    <m/>
    <m/>
    <m/>
    <s v=""/>
    <s v=""/>
    <s v=""/>
    <s v=""/>
    <m/>
    <m/>
    <m/>
    <m/>
    <m/>
  </r>
  <r>
    <x v="5"/>
    <x v="114"/>
    <s v="MBA"/>
    <s v="Santa Maria"/>
    <n v="1254"/>
    <n v="1256"/>
    <s v="CONDUCTED TECHNICAL ASSISTANCE"/>
    <n v="2025"/>
    <d v="2025-01-21T00:00:00"/>
    <x v="2"/>
    <s v="Joshua A. Capones"/>
    <m/>
    <s v="Rod Ross S. De Jesus"/>
    <s v="R3-2025-002078"/>
    <d v="2025-01-22T00:00:00"/>
    <m/>
    <d v="2025-01-23T00:00:00"/>
    <d v="2025-01-24T00:00:00"/>
    <n v="1"/>
    <s v=""/>
    <n v="1"/>
    <n v="1"/>
    <s v="Received by Planning"/>
    <s v="NO FACILITY"/>
    <s v="CATER BY LGU"/>
    <s v="Technical Assistance"/>
    <m/>
  </r>
  <r>
    <x v="5"/>
    <x v="114"/>
    <s v="MBA"/>
    <s v="Santo Niño"/>
    <n v="653"/>
    <n v="720"/>
    <s v="CONDUCTED TECHNICAL ASSISTANCE"/>
    <n v="2025"/>
    <d v="2025-01-22T00:00:00"/>
    <x v="2"/>
    <s v="Joshua A. Capones"/>
    <m/>
    <s v="Rod Ross S. De Jesus"/>
    <s v="R3-2025-002077"/>
    <d v="2025-01-22T00:00:00"/>
    <m/>
    <d v="2025-01-23T00:00:00"/>
    <d v="2025-01-24T00:00:00"/>
    <n v="1"/>
    <s v=""/>
    <n v="1"/>
    <n v="1"/>
    <s v="Received by Planning"/>
    <s v="MRF"/>
    <s v="OPERATIONAL"/>
    <s v="1._x0009_The technical personnel from the Ecological Solid Waste Management Section (ESWM) will reschedule and revisit the barangay to provide technical assistance for the MRF or MRS in their solid waste management."/>
    <m/>
  </r>
  <r>
    <x v="5"/>
    <x v="114"/>
    <s v="MBA"/>
    <s v="Sapang Maragul"/>
    <n v="10682"/>
    <n v="12307"/>
    <s v="NO TECHNICAL ASSISTANCE CONDUCTED"/>
    <m/>
    <m/>
    <x v="0"/>
    <s v="Joshua A. Capones"/>
    <m/>
    <s v="Rod Ross S. De Jesus"/>
    <m/>
    <m/>
    <m/>
    <m/>
    <m/>
    <s v=""/>
    <s v=""/>
    <s v=""/>
    <s v=""/>
    <m/>
    <m/>
    <m/>
    <m/>
    <m/>
  </r>
  <r>
    <x v="5"/>
    <x v="114"/>
    <s v="MBA"/>
    <s v="Sapang Tagalog"/>
    <n v="5550"/>
    <n v="5226"/>
    <s v="NO TECHNICAL ASSISTANCE CONDUCTED"/>
    <m/>
    <m/>
    <x v="0"/>
    <s v="Joshua A. Capones"/>
    <m/>
    <s v="Rod Ross S. De Jesus"/>
    <m/>
    <m/>
    <m/>
    <m/>
    <m/>
    <s v=""/>
    <s v=""/>
    <s v=""/>
    <s v=""/>
    <m/>
    <m/>
    <m/>
    <m/>
    <m/>
  </r>
  <r>
    <x v="5"/>
    <x v="114"/>
    <s v="MBA"/>
    <s v="Sepung Calzada"/>
    <n v="4817"/>
    <n v="4817"/>
    <s v="NO TECHNICAL ASSISTANCE CONDUCTED"/>
    <m/>
    <m/>
    <x v="0"/>
    <s v="Joshua A. Capones"/>
    <m/>
    <s v="Rod Ross S. De Jesus"/>
    <m/>
    <m/>
    <m/>
    <m/>
    <m/>
    <s v=""/>
    <s v=""/>
    <s v=""/>
    <s v=""/>
    <m/>
    <m/>
    <m/>
    <m/>
    <m/>
  </r>
  <r>
    <x v="5"/>
    <x v="114"/>
    <s v="MBA"/>
    <s v="Sinait"/>
    <n v="2234"/>
    <n v="2533"/>
    <s v="NO TECHNICAL ASSISTANCE CONDUCTED"/>
    <m/>
    <m/>
    <x v="0"/>
    <s v="Joshua A. Capones"/>
    <m/>
    <s v="Rod Ross S. De Jesus"/>
    <m/>
    <m/>
    <m/>
    <m/>
    <m/>
    <s v=""/>
    <s v=""/>
    <s v=""/>
    <s v=""/>
    <m/>
    <m/>
    <m/>
    <m/>
    <m/>
  </r>
  <r>
    <x v="5"/>
    <x v="114"/>
    <s v="MBA"/>
    <s v="Suizo"/>
    <n v="4276"/>
    <n v="3967"/>
    <s v="NO TECHNICAL ASSISTANCE CONDUCTED"/>
    <m/>
    <m/>
    <x v="0"/>
    <s v="Joshua A. Capones"/>
    <m/>
    <s v="Rod Ross S. De Jesus"/>
    <m/>
    <m/>
    <m/>
    <m/>
    <m/>
    <s v=""/>
    <s v=""/>
    <s v=""/>
    <s v=""/>
    <m/>
    <m/>
    <m/>
    <m/>
    <m/>
  </r>
  <r>
    <x v="5"/>
    <x v="114"/>
    <s v="MBA"/>
    <s v="Tibag"/>
    <n v="16328"/>
    <n v="17800"/>
    <s v="NO TECHNICAL ASSISTANCE CONDUCTED"/>
    <m/>
    <m/>
    <x v="0"/>
    <s v="Joshua A. Capones"/>
    <m/>
    <s v="Rod Ross S. De Jesus"/>
    <m/>
    <m/>
    <m/>
    <m/>
    <m/>
    <s v=""/>
    <s v=""/>
    <s v=""/>
    <s v=""/>
    <m/>
    <m/>
    <m/>
    <m/>
    <m/>
  </r>
  <r>
    <x v="5"/>
    <x v="114"/>
    <s v="MBA"/>
    <s v="Tibagan"/>
    <n v="5459"/>
    <n v="6486"/>
    <s v="NO TECHNICAL ASSISTANCE CONDUCTED"/>
    <m/>
    <m/>
    <x v="0"/>
    <s v="Joshua A. Capones"/>
    <m/>
    <s v="Rod Ross S. De Jesus"/>
    <m/>
    <m/>
    <m/>
    <m/>
    <m/>
    <s v=""/>
    <s v=""/>
    <s v=""/>
    <s v=""/>
    <m/>
    <m/>
    <m/>
    <m/>
    <m/>
  </r>
  <r>
    <x v="5"/>
    <x v="114"/>
    <s v="MBA"/>
    <s v="Trinidad"/>
    <n v="1516"/>
    <n v="2095"/>
    <s v="NO TECHNICAL ASSISTANCE CONDUCTED"/>
    <m/>
    <m/>
    <x v="0"/>
    <s v="Joshua A. Capones"/>
    <m/>
    <s v="Rod Ross S. De Jesus"/>
    <m/>
    <m/>
    <m/>
    <m/>
    <m/>
    <s v=""/>
    <s v=""/>
    <s v=""/>
    <s v=""/>
    <m/>
    <m/>
    <m/>
    <m/>
    <m/>
  </r>
  <r>
    <x v="5"/>
    <x v="114"/>
    <s v="MBA"/>
    <s v="Ungot"/>
    <n v="3343"/>
    <n v="4006"/>
    <s v="NO TECHNICAL ASSISTANCE CONDUCTED"/>
    <m/>
    <m/>
    <x v="0"/>
    <s v="Joshua A. Capones"/>
    <m/>
    <s v="Rod Ross S. De Jesus"/>
    <m/>
    <m/>
    <m/>
    <m/>
    <m/>
    <s v=""/>
    <s v=""/>
    <s v=""/>
    <s v=""/>
    <m/>
    <m/>
    <m/>
    <m/>
    <m/>
  </r>
  <r>
    <x v="5"/>
    <x v="114"/>
    <s v="MBA"/>
    <s v="Villa Bacolor"/>
    <n v="2123"/>
    <n v="2447"/>
    <s v="CONDUCTED TECHNICAL ASSISTANCE"/>
    <n v="2025"/>
    <d v="2025-04-02T00:00:00"/>
    <x v="4"/>
    <s v="Joshua A. Capones"/>
    <m/>
    <s v="Rod Ross S. De Jesus"/>
    <s v="R3-2025-011231"/>
    <d v="2025-04-03T00:00:00"/>
    <m/>
    <d v="2025-04-07T00:00:00"/>
    <d v="2025-04-10T00:00:00"/>
    <n v="1"/>
    <s v=""/>
    <n v="2"/>
    <n v="3"/>
    <s v="Received by Planning"/>
    <s v="NO FACILITY"/>
    <s v="CATER BY LGU"/>
    <s v="Technical Assistance"/>
    <m/>
  </r>
  <r>
    <x v="5"/>
    <x v="115"/>
    <s v="MBA"/>
    <s v="Palacpalac"/>
    <n v="1672"/>
    <n v="1774"/>
    <s v="CONDUCTED TECHNICAL ASSISTANCE"/>
    <n v="2025"/>
    <d v="2025-09-11T00:00:00"/>
    <x v="7"/>
    <s v="Gretzhen M. Apolonio"/>
    <m/>
    <s v="Rod Ross S. De Jesus"/>
    <s v="R3-2025-031073"/>
    <d v="2025-09-15T00:00:00"/>
    <m/>
    <d v="2025-09-17T00:00:00"/>
    <d v="2025-09-19T00:00:00"/>
    <n v="2"/>
    <s v=""/>
    <n v="2"/>
    <n v="2"/>
    <s v="Received by Planning"/>
    <s v="MRS"/>
    <s v="OPERATIONAL"/>
    <s v="Technical Assistance"/>
    <m/>
  </r>
  <r>
    <x v="5"/>
    <x v="115"/>
    <s v="MBA"/>
    <s v="Baculong"/>
    <n v="4087"/>
    <n v="4325"/>
    <s v="CONDUCTED TECHNICAL ASSISTANCE"/>
    <n v="2025"/>
    <d v="2025-05-06T00:00:00"/>
    <x v="6"/>
    <s v="Gretzhen M. Apolonio"/>
    <m/>
    <s v="Rod Ross S. De Jesus"/>
    <s v="R3-2025-016244"/>
    <d v="2025-05-15T00:00:00"/>
    <m/>
    <d v="2025-05-16T00:00:00"/>
    <d v="2025-05-19T00:00:00"/>
    <n v="7"/>
    <s v=""/>
    <n v="1"/>
    <n v="1"/>
    <s v="Received by Planning"/>
    <s v="MRS"/>
    <s v="OPERATIONAL"/>
    <s v="Technical Assistance"/>
    <m/>
  </r>
  <r>
    <x v="5"/>
    <x v="115"/>
    <s v="MBA"/>
    <s v="Balayang"/>
    <n v="3257"/>
    <n v="3713"/>
    <s v="CONDUCTED TECHNICAL ASSISTANCE"/>
    <n v="2024"/>
    <d v="2024-10-01T00:00:00"/>
    <x v="0"/>
    <s v="Gretzhen M. Apolonio"/>
    <m/>
    <s v="Rod Ross S. De Jesus"/>
    <m/>
    <m/>
    <m/>
    <m/>
    <m/>
    <s v=""/>
    <s v=""/>
    <s v=""/>
    <s v=""/>
    <m/>
    <s v="MRS"/>
    <s v="OPERATIONAL"/>
    <s v="Technical Assistance"/>
    <m/>
  </r>
  <r>
    <x v="5"/>
    <x v="115"/>
    <s v="MBA"/>
    <s v="Balbaloto"/>
    <n v="1942"/>
    <n v="2211"/>
    <s v="CONDUCTED TECHNICAL ASSISTANCE"/>
    <n v="2025"/>
    <d v="2025-08-05T00:00:00"/>
    <x v="9"/>
    <s v="Gretzhen M. Apolonio"/>
    <m/>
    <s v="Rod Ross S. De Jesus"/>
    <s v="R3-2025-027536"/>
    <d v="2025-08-16T00:00:00"/>
    <m/>
    <d v="2025-08-18T00:00:00"/>
    <d v="2025-08-19T00:00:00"/>
    <n v="8"/>
    <s v=""/>
    <n v="1"/>
    <n v="1"/>
    <s v="Received by Planning"/>
    <s v="MRF"/>
    <s v="OPERATIONAL"/>
    <s v="Technical Assistance"/>
    <m/>
  </r>
  <r>
    <x v="5"/>
    <x v="115"/>
    <s v="MBA"/>
    <s v="Bangar"/>
    <n v="2255"/>
    <n v="2648"/>
    <s v="CONDUCTED TECHNICAL ASSISTANCE"/>
    <n v="2025"/>
    <d v="2025-08-05T00:00:00"/>
    <x v="9"/>
    <s v="Gretzhen M. Apolonio"/>
    <m/>
    <s v="Rod Ross S. De Jesus"/>
    <s v="R3-2025-027544"/>
    <d v="2025-08-16T00:00:00"/>
    <m/>
    <d v="2025-08-18T00:00:00"/>
    <d v="2025-08-19T00:00:00"/>
    <n v="8"/>
    <s v=""/>
    <n v="1"/>
    <n v="1"/>
    <s v="Received by Planning"/>
    <s v="NO FACILITY"/>
    <s v="CATER BY LGU"/>
    <s v="Technical Assistance"/>
    <m/>
  </r>
  <r>
    <x v="5"/>
    <x v="115"/>
    <s v="MBA"/>
    <s v="Bantog"/>
    <n v="2207"/>
    <n v="2430"/>
    <s v="CONDUCTED TECHNICAL ASSISTANCE"/>
    <n v="2024"/>
    <d v="2024-09-04T00:00:00"/>
    <x v="0"/>
    <s v="Gretzhen M. Apolonio"/>
    <m/>
    <s v="Rod Ross S. De Jesus"/>
    <m/>
    <m/>
    <m/>
    <m/>
    <m/>
    <s v=""/>
    <s v=""/>
    <s v=""/>
    <s v=""/>
    <m/>
    <s v="MRS"/>
    <s v="OPERATIONAL"/>
    <s v="Technical Assistance"/>
    <m/>
  </r>
  <r>
    <x v="5"/>
    <x v="115"/>
    <s v="MBA"/>
    <s v="Batangbatang"/>
    <n v="1380"/>
    <n v="1510"/>
    <s v="CONDUCTED TECHNICAL ASSISTANCE"/>
    <n v="2024"/>
    <d v="2024-10-01T00:00:00"/>
    <x v="0"/>
    <s v="Gretzhen M. Apolonio"/>
    <m/>
    <s v="Rod Ross S. De Jesus"/>
    <m/>
    <m/>
    <m/>
    <m/>
    <m/>
    <s v=""/>
    <s v=""/>
    <s v=""/>
    <s v=""/>
    <m/>
    <s v="MRS"/>
    <s v="OPERATIONAL"/>
    <s v="Technical Assistance"/>
    <m/>
  </r>
  <r>
    <x v="5"/>
    <x v="115"/>
    <s v="MBA"/>
    <s v="Bulo"/>
    <n v="2428"/>
    <n v="3031"/>
    <s v="CONDUCTED TECHNICAL ASSISTANCE"/>
    <n v="2025"/>
    <d v="2025-08-06T00:00:00"/>
    <x v="9"/>
    <s v="Gretzhen M. Apolonio"/>
    <m/>
    <s v="Rod Ross S. De Jesus"/>
    <s v="R3-2025-027527"/>
    <d v="2025-08-16T00:00:00"/>
    <m/>
    <d v="2025-08-18T00:00:00"/>
    <d v="2025-08-19T00:00:00"/>
    <n v="7"/>
    <s v=""/>
    <n v="1"/>
    <n v="1"/>
    <s v="Received by Planning"/>
    <s v="MRS"/>
    <s v="OPERATIONAL"/>
    <s v="Technical Assistance"/>
    <m/>
  </r>
  <r>
    <x v="5"/>
    <x v="115"/>
    <s v="MBA"/>
    <s v="Cabuluan"/>
    <n v="1339"/>
    <n v="1498"/>
    <s v="CONDUCTED TECHNICAL ASSISTANCE"/>
    <n v="2025"/>
    <d v="2025-08-05T00:00:00"/>
    <x v="9"/>
    <s v="Gretzhen M. Apolonio"/>
    <m/>
    <s v="Rod Ross S. De Jesus"/>
    <s v="R3-2025-027540"/>
    <d v="2025-08-16T00:00:00"/>
    <m/>
    <d v="2025-08-18T00:00:00"/>
    <d v="2025-08-19T00:00:00"/>
    <n v="8"/>
    <s v=""/>
    <n v="1"/>
    <n v="1"/>
    <s v="Received by Planning"/>
    <s v="MRS"/>
    <s v="OPERATIONAL"/>
    <s v="Technical Assistance"/>
    <m/>
  </r>
  <r>
    <x v="5"/>
    <x v="115"/>
    <s v="MBA"/>
    <s v="Calibungan"/>
    <n v="2363"/>
    <n v="2569"/>
    <s v="CONDUCTED TECHNICAL ASSISTANCE"/>
    <n v="2024"/>
    <d v="2024-04-11T00:00:00"/>
    <x v="0"/>
    <s v="Gretzhen M. Apolonio"/>
    <m/>
    <s v="Rod Ross S. De Jesus"/>
    <m/>
    <m/>
    <m/>
    <m/>
    <m/>
    <s v=""/>
    <s v=""/>
    <s v=""/>
    <s v=""/>
    <m/>
    <m/>
    <m/>
    <m/>
    <m/>
  </r>
  <r>
    <x v="5"/>
    <x v="115"/>
    <s v="MBA"/>
    <s v="Canarem"/>
    <n v="2181"/>
    <n v="2401"/>
    <s v="CONDUCTED TECHNICAL ASSISTANCE"/>
    <n v="2025"/>
    <d v="2025-02-12T00:00:00"/>
    <x v="3"/>
    <s v="Gretzhen M. Apolonio"/>
    <m/>
    <s v="Rod Ross S. De Jesus"/>
    <s v="R3-2025-005459"/>
    <d v="2025-02-15T00:00:00"/>
    <m/>
    <d v="2025-02-17T00:00:00"/>
    <d v="2025-02-17T00:00:00"/>
    <n v="2"/>
    <s v=""/>
    <n v="1"/>
    <n v="1"/>
    <s v="Received by Planning"/>
    <s v="MRF"/>
    <s v="OPERATIONAL"/>
    <s v="Technical Assistance"/>
    <m/>
  </r>
  <r>
    <x v="5"/>
    <x v="115"/>
    <s v="MBA"/>
    <s v="Cruz"/>
    <n v="1869"/>
    <n v="1934"/>
    <s v="CONDUCTED TECHNICAL ASSISTANCE"/>
    <n v="2025"/>
    <d v="2025-08-05T00:00:00"/>
    <x v="9"/>
    <s v="Gretzhen M. Apolonio"/>
    <m/>
    <s v="Rod Ross S. De Jesus"/>
    <s v="R3-2025-027533"/>
    <d v="2025-08-16T00:00:00"/>
    <m/>
    <d v="2025-08-18T00:00:00"/>
    <d v="2025-08-19T00:00:00"/>
    <n v="8"/>
    <s v=""/>
    <n v="1"/>
    <n v="1"/>
    <s v="Received by Planning"/>
    <s v="MRS"/>
    <s v="OPERATIONAL"/>
    <s v="Technical Assistance"/>
    <m/>
  </r>
  <r>
    <x v="5"/>
    <x v="115"/>
    <s v="MBA"/>
    <s v="Lalapac"/>
    <n v="2221"/>
    <n v="2428"/>
    <s v="CONDUCTED TECHNICAL ASSISTANCE"/>
    <n v="2025"/>
    <d v="2025-08-06T00:00:00"/>
    <x v="9"/>
    <s v="Gretzhen M. Apolonio"/>
    <m/>
    <s v="Rod Ross S. De Jesus"/>
    <s v="R3-2025-027266"/>
    <d v="2025-08-14T00:00:00"/>
    <m/>
    <d v="2025-08-18T00:00:00"/>
    <d v="2025-08-19T00:00:00"/>
    <n v="6"/>
    <s v=""/>
    <n v="2"/>
    <n v="1"/>
    <s v="Received by Planning"/>
    <s v="MRF"/>
    <s v="OPERATIONAL"/>
    <s v="Technical Assistance"/>
    <m/>
  </r>
  <r>
    <x v="5"/>
    <x v="115"/>
    <s v="MBA"/>
    <s v="Maluid"/>
    <n v="3081"/>
    <n v="3193"/>
    <s v="CONDUCTED TECHNICAL ASSISTANCE"/>
    <n v="2024"/>
    <d v="2024-09-11T00:00:00"/>
    <x v="0"/>
    <s v="Gretzhen M. Apolonio"/>
    <m/>
    <s v="Rod Ross S. De Jesus"/>
    <m/>
    <m/>
    <m/>
    <m/>
    <m/>
    <s v=""/>
    <s v=""/>
    <s v=""/>
    <s v=""/>
    <m/>
    <s v="MRS"/>
    <s v="OPERATIONAL"/>
    <s v="Technical Assistance"/>
    <m/>
  </r>
  <r>
    <x v="5"/>
    <x v="115"/>
    <s v="MBA"/>
    <s v="Mangolago"/>
    <n v="2477"/>
    <n v="2702"/>
    <s v="CONDUCTED TECHNICAL ASSISTANCE"/>
    <n v="2025"/>
    <d v="2025-02-12T00:00:00"/>
    <x v="3"/>
    <s v="Gretzhen M. Apolonio"/>
    <m/>
    <s v="Rod Ross S. De Jesus"/>
    <s v="R3-2025-005460"/>
    <d v="2025-02-15T00:00:00"/>
    <m/>
    <d v="2025-02-17T00:00:00"/>
    <d v="2025-02-17T00:00:00"/>
    <n v="2"/>
    <s v=""/>
    <n v="1"/>
    <n v="1"/>
    <s v="Received by Planning"/>
    <s v="MRS"/>
    <s v="OPERATIONAL"/>
    <s v="Technical Assistance"/>
    <m/>
  </r>
  <r>
    <x v="5"/>
    <x v="115"/>
    <s v="MBA"/>
    <s v="Masalasa"/>
    <n v="1691"/>
    <n v="1849"/>
    <s v="CONDUCTED TECHNICAL ASSISTANCE"/>
    <n v="2025"/>
    <d v="2025-02-12T00:00:00"/>
    <x v="3"/>
    <s v="Gretzhen M. Apolonio"/>
    <m/>
    <s v="Rod Ross S. De Jesus"/>
    <s v="R3-2025-005461"/>
    <d v="2025-02-15T00:00:00"/>
    <m/>
    <d v="2025-02-17T00:00:00"/>
    <d v="2025-02-18T00:00:00"/>
    <n v="2"/>
    <s v=""/>
    <n v="1"/>
    <n v="1"/>
    <s v="Received by Planning"/>
    <s v="MRF"/>
    <s v="OPERATIONAL"/>
    <s v="Technical Assistance"/>
    <m/>
  </r>
  <r>
    <x v="5"/>
    <x v="115"/>
    <s v="MBA"/>
    <s v="San Agustin"/>
    <n v="3204"/>
    <n v="3587"/>
    <s v="CONDUCTED TECHNICAL ASSISTANCE"/>
    <n v="2025"/>
    <d v="2025-09-12T00:00:00"/>
    <x v="5"/>
    <s v="Gretzhen M. Apolonio"/>
    <m/>
    <s v="Jan Emerson C. Gonzales"/>
    <s v="R3-2025-031661"/>
    <d v="2025-09-18T00:00:00"/>
    <m/>
    <d v="2025-10-03T00:00:00"/>
    <d v="2025-10-14T00:00:00"/>
    <n v="4"/>
    <s v=""/>
    <n v="11"/>
    <n v="7"/>
    <s v="Received by Planning"/>
    <s v="MRF"/>
    <s v="OPERATIONAL"/>
    <s v="Technical Assistance"/>
    <m/>
  </r>
  <r>
    <x v="5"/>
    <x v="115"/>
    <s v="MBA"/>
    <s v="San Andres"/>
    <n v="2211"/>
    <n v="2489"/>
    <s v="CONDUCTED TECHNICAL ASSISTANCE"/>
    <n v="2025"/>
    <d v="2025-05-06T00:00:00"/>
    <x v="6"/>
    <s v="Gretzhen M. Apolonio"/>
    <m/>
    <s v="Rod Ross S. De Jesus"/>
    <s v="R3-2025-016612"/>
    <d v="2025-05-19T00:00:00"/>
    <m/>
    <d v="2025-05-19T00:00:00"/>
    <d v="2025-05-20T00:00:00"/>
    <n v="9"/>
    <s v=""/>
    <n v="1"/>
    <n v="1"/>
    <s v="Received by Planning"/>
    <s v="NO FACILITY"/>
    <s v="CATER BY LGU"/>
    <s v="Technical Assistance"/>
    <m/>
  </r>
  <r>
    <x v="5"/>
    <x v="115"/>
    <s v="MBA"/>
    <s v="San Fernando (Pob.)"/>
    <n v="3098"/>
    <n v="3329"/>
    <s v="CONDUCTED TECHNICAL ASSISTANCE"/>
    <n v="2025"/>
    <d v="2025-09-12T00:00:00"/>
    <x v="5"/>
    <s v="Gretzhen M. Apolonio"/>
    <m/>
    <s v="Jan Emerson C. Gonzales"/>
    <s v="R3-2025-031650"/>
    <d v="2025-09-18T00:00:00"/>
    <m/>
    <d v="2025-10-10T00:00:00"/>
    <d v="2025-10-10T00:00:00"/>
    <n v="4"/>
    <s v=""/>
    <n v="16"/>
    <n v="1"/>
    <s v="Received by Planning"/>
    <s v="MRS"/>
    <s v="OPERATIONAL"/>
    <s v="Technical Assistance"/>
    <m/>
  </r>
  <r>
    <x v="5"/>
    <x v="115"/>
    <s v="MBA"/>
    <s v="San Francisco"/>
    <n v="1603"/>
    <n v="1828"/>
    <s v="CONDUCTED TECHNICAL ASSISTANCE"/>
    <n v="2024"/>
    <d v="2024-11-15T00:00:00"/>
    <x v="0"/>
    <s v="Gretzhen M. Apolonio"/>
    <m/>
    <s v="Rod Ross S. De Jesus"/>
    <m/>
    <m/>
    <m/>
    <m/>
    <m/>
    <s v=""/>
    <s v=""/>
    <s v=""/>
    <s v=""/>
    <m/>
    <s v="MRS"/>
    <s v="OPERATIONAL"/>
    <s v="Technical Assistance"/>
    <m/>
  </r>
  <r>
    <x v="5"/>
    <x v="115"/>
    <s v="MBA"/>
    <s v="San Gavino (Pob.)"/>
    <n v="2268"/>
    <n v="2232"/>
    <s v="NO TECHNICAL ASSISTANCE CONDUCTED"/>
    <m/>
    <m/>
    <x v="0"/>
    <s v="Gretzhen M. Apolonio"/>
    <m/>
    <s v="Rod Ross S. De Jesus"/>
    <m/>
    <m/>
    <m/>
    <m/>
    <m/>
    <s v=""/>
    <s v=""/>
    <s v=""/>
    <s v=""/>
    <m/>
    <m/>
    <m/>
    <m/>
    <m/>
  </r>
  <r>
    <x v="5"/>
    <x v="115"/>
    <s v="MBA"/>
    <s v="San Jacinto"/>
    <n v="3248"/>
    <n v="3332"/>
    <s v="CONDUCTED TECHNICAL ASSISTANCE"/>
    <n v="2025"/>
    <d v="2025-05-07T00:00:00"/>
    <x v="6"/>
    <s v="Gretzhen M. Apolonio"/>
    <m/>
    <s v="Rod Ross S. De Jesus"/>
    <s v="R3-2025-016617"/>
    <d v="2025-05-19T00:00:00"/>
    <m/>
    <d v="2025-05-19T00:00:00"/>
    <d v="2025-05-19T00:00:00"/>
    <n v="8"/>
    <s v=""/>
    <n v="1"/>
    <n v="1"/>
    <s v="Received by Planning"/>
    <s v="MRS"/>
    <s v="OPERATIONAL"/>
    <s v="Technical Assistance"/>
    <m/>
  </r>
  <r>
    <x v="5"/>
    <x v="115"/>
    <s v="MBA"/>
    <s v="San Nicolas (Pob.)"/>
    <n v="2739"/>
    <n v="2756"/>
    <s v="NO TECHNICAL ASSISTANCE CONDUCTED"/>
    <m/>
    <m/>
    <x v="0"/>
    <s v="Gretzhen M. Apolonio"/>
    <m/>
    <s v="Rod Ross S. De Jesus"/>
    <m/>
    <m/>
    <m/>
    <m/>
    <m/>
    <s v=""/>
    <s v=""/>
    <s v=""/>
    <s v=""/>
    <m/>
    <m/>
    <m/>
    <m/>
    <m/>
  </r>
  <r>
    <x v="5"/>
    <x v="115"/>
    <s v="MBA"/>
    <s v="San Vicente"/>
    <n v="2103"/>
    <n v="2192"/>
    <s v="CONDUCTED TECHNICAL ASSISTANCE"/>
    <n v="2025"/>
    <d v="2025-05-07T00:00:00"/>
    <x v="6"/>
    <s v="Gretzhen M. Apolonio"/>
    <m/>
    <s v="Rod Ross S. De Jesus"/>
    <s v="R3-2025-016247"/>
    <d v="2025-05-15T00:00:00"/>
    <m/>
    <d v="2025-05-16T00:00:00"/>
    <d v="2025-05-19T00:00:00"/>
    <n v="6"/>
    <s v=""/>
    <n v="1"/>
    <n v="1"/>
    <s v="Received by Planning"/>
    <s v="MRS"/>
    <s v="OPERATIONAL"/>
    <s v="Technical Assistance"/>
    <m/>
  </r>
  <r>
    <x v="5"/>
    <x v="115"/>
    <s v="MBA"/>
    <s v="Santa Barbara"/>
    <n v="5230"/>
    <n v="5837"/>
    <s v="CONDUCTED TECHNICAL ASSISTANCE"/>
    <n v="2024"/>
    <d v="2024-10-02T00:00:00"/>
    <x v="0"/>
    <s v="Gretzhen M. Apolonio"/>
    <m/>
    <s v="Rod Ross S. De Jesus"/>
    <m/>
    <m/>
    <m/>
    <m/>
    <m/>
    <s v=""/>
    <s v=""/>
    <s v=""/>
    <s v=""/>
    <m/>
    <s v="MRF"/>
    <s v="OPERATIONAL"/>
    <s v="Technical Assistance"/>
    <m/>
  </r>
  <r>
    <x v="5"/>
    <x v="115"/>
    <s v="MBA"/>
    <s v="Santa Lucia (Pob.)"/>
    <n v="1561"/>
    <n v="1572"/>
    <s v="CONDUCTED TECHNICAL ASSISTANCE"/>
    <n v="2025"/>
    <d v="2025-09-12T00:00:00"/>
    <x v="5"/>
    <s v="Gretzhen M. Apolonio"/>
    <m/>
    <s v="Jan Emerson C. Gonzales"/>
    <s v="R3-2025-031656"/>
    <d v="2025-09-18T00:00:00"/>
    <m/>
    <d v="2025-10-10T00:00:00"/>
    <d v="2025-10-10T00:00:00"/>
    <n v="4"/>
    <s v=""/>
    <n v="16"/>
    <n v="1"/>
    <s v="Received by Planning"/>
    <s v="MRS"/>
    <s v="OPERATIONAL"/>
    <s v="Technical Assistance"/>
    <m/>
  </r>
  <r>
    <x v="6"/>
    <x v="116"/>
    <s v="OUTSIDE MBA"/>
    <s v="Bancal"/>
    <n v="1142"/>
    <n v="1146"/>
    <s v="CONDUCTED TECHNICAL ASSISTANCE"/>
    <n v="2024"/>
    <d v="2024-11-06T00:00:00"/>
    <x v="0"/>
    <s v="Larizze Anne Santos"/>
    <s v="Ryan Christian R. Nunag"/>
    <s v="Jun Guillermo"/>
    <m/>
    <m/>
    <m/>
    <m/>
    <m/>
    <s v=""/>
    <s v=""/>
    <s v=""/>
    <s v=""/>
    <m/>
    <s v="MRF"/>
    <s v="OPERATIONAL"/>
    <s v="Technical Assistance"/>
    <m/>
  </r>
  <r>
    <x v="6"/>
    <x v="116"/>
    <s v="OUTSIDE MBA"/>
    <s v="Bangan"/>
    <n v="1327"/>
    <n v="1444"/>
    <s v="CONDUCTED TECHNICAL ASSISTANCE"/>
    <n v="2025"/>
    <d v="2025-10-07T00:00:00"/>
    <x v="5"/>
    <s v="Ryan Ace R. Angel"/>
    <s v="Ryan Christian R. Nunag"/>
    <s v="Jun Guillermo"/>
    <s v="R3-2025-034512"/>
    <d v="2025-10-13T00:00:00"/>
    <d v="2025-10-16T00:00:00"/>
    <d v="2025-10-16T00:00:00"/>
    <d v="2025-10-17T00:00:00"/>
    <n v="4"/>
    <n v="3"/>
    <n v="1"/>
    <n v="1"/>
    <s v="Received by Planning"/>
    <s v="MRF"/>
    <s v="OPERATIONAL"/>
    <s v="Technical Assistance"/>
    <m/>
  </r>
  <r>
    <x v="6"/>
    <x v="116"/>
    <s v="OUTSIDE MBA"/>
    <s v="Batonlapoc"/>
    <n v="1092"/>
    <n v="1455"/>
    <s v="CONDUCTED TECHNICAL ASSISTANCE"/>
    <n v="2025"/>
    <d v="2025-09-10T00:00:00"/>
    <x v="7"/>
    <s v="Larizze Anne Santos"/>
    <s v="Ryan Christian R. Nunag"/>
    <s v="Jun Guillermo"/>
    <s v="R3-2025-031058"/>
    <d v="2025-09-15T00:00:00"/>
    <d v="2025-09-17T00:00:00"/>
    <d v="2025-09-17T00:00:00"/>
    <d v="2025-09-17T00:00:00"/>
    <n v="3"/>
    <n v="2"/>
    <n v="1"/>
    <n v="1"/>
    <s v="Received by Planning"/>
    <s v="MRF"/>
    <s v="OPERATIONAL"/>
    <s v="Technical Assistance"/>
    <m/>
  </r>
  <r>
    <x v="6"/>
    <x v="116"/>
    <s v="OUTSIDE MBA"/>
    <s v="Belbel"/>
    <n v="372"/>
    <n v="376"/>
    <s v="CONDUCTED TECHNICAL ASSISTANCE"/>
    <n v="2025"/>
    <d v="2025-08-14T00:00:00"/>
    <x v="9"/>
    <s v="Larizze Anne Santos"/>
    <s v="Ryan Christian R. Nunag"/>
    <s v="Jun Guillermo"/>
    <s v="R3-2025-027723"/>
    <d v="2025-08-18T00:00:00"/>
    <d v="2025-08-18T00:00:00"/>
    <d v="2025-08-18T00:00:00"/>
    <d v="2025-08-18T00:00:00"/>
    <n v="2"/>
    <n v="1"/>
    <n v="1"/>
    <n v="1"/>
    <s v="Received by Planning"/>
    <s v="NO FACILITY"/>
    <s v="CATER BY LGU"/>
    <s v="Technical Assistance"/>
    <m/>
  </r>
  <r>
    <x v="6"/>
    <x v="116"/>
    <s v="OUTSIDE MBA"/>
    <s v="Beneg"/>
    <n v="1575"/>
    <n v="1969"/>
    <s v="CONDUCTED TECHNICAL ASSISTANCE"/>
    <n v="2025"/>
    <d v="2025-10-07T00:00:00"/>
    <x v="5"/>
    <s v="Ryan Ace R. Angel"/>
    <s v="Ryan Christian R. Nunag"/>
    <s v="Jun Guillermo"/>
    <s v="R3-2025-034509"/>
    <d v="2025-10-13T00:00:00"/>
    <d v="2025-10-16T00:00:00"/>
    <d v="2025-10-16T00:00:00"/>
    <d v="2025-10-17T00:00:00"/>
    <n v="4"/>
    <n v="3"/>
    <n v="1"/>
    <n v="1"/>
    <s v="Received by Planning"/>
    <s v="MRF"/>
    <s v="OPERATIONAL"/>
    <s v="Technical Assistance"/>
    <m/>
  </r>
  <r>
    <x v="6"/>
    <x v="116"/>
    <s v="OUTSIDE MBA"/>
    <s v="Binuclutan"/>
    <n v="1126"/>
    <n v="1239"/>
    <s v="CONDUCTED TECHNICAL ASSISTANCE"/>
    <n v="2025"/>
    <d v="2025-05-14T00:00:00"/>
    <x v="6"/>
    <s v="Larizze Anne Santos"/>
    <s v="Ryan Christian R. Nunag"/>
    <s v="Jun Guillermo"/>
    <s v="R3-2025-016768"/>
    <d v="2025-05-19T00:00:00"/>
    <d v="2025-05-20T00:00:00"/>
    <d v="2025-05-20T00:00:00"/>
    <d v="2025-05-20T00:00:00"/>
    <n v="3"/>
    <n v="1"/>
    <n v="1"/>
    <n v="1"/>
    <s v="Received by Planning"/>
    <s v="MRF"/>
    <s v="OPERATIONAL"/>
    <s v="Technical Assistance"/>
    <m/>
  </r>
  <r>
    <x v="6"/>
    <x v="116"/>
    <s v="OUTSIDE MBA"/>
    <s v="Burgos"/>
    <n v="650"/>
    <n v="741"/>
    <s v="CONDUCTED TECHNICAL ASSISTANCE"/>
    <n v="2025"/>
    <d v="2025-10-07T00:00:00"/>
    <x v="5"/>
    <s v="Ryan Ace R. Angel"/>
    <s v="Ryan Christian R. Nunag"/>
    <s v="Jun Guillermo"/>
    <s v="R3-2025-034465"/>
    <d v="2025-10-13T00:00:00"/>
    <d v="2025-10-14T00:00:00"/>
    <d v="2025-10-16T00:00:00"/>
    <d v="2025-10-17T00:00:00"/>
    <n v="4"/>
    <n v="1"/>
    <n v="2"/>
    <n v="1"/>
    <s v="Received by Planning"/>
    <s v="MRS"/>
    <s v="OPERATIONAL"/>
    <s v="Technical Assistance"/>
    <m/>
  </r>
  <r>
    <x v="6"/>
    <x v="116"/>
    <s v="OUTSIDE MBA"/>
    <s v="Cabatuan"/>
    <n v="507"/>
    <n v="814"/>
    <s v="CONDUCTED TECHNICAL ASSISTANCE"/>
    <n v="2025"/>
    <d v="2025-09-10T00:00:00"/>
    <x v="7"/>
    <s v="Larizze Anne Santos"/>
    <s v="Ryan Christian R. Nunag"/>
    <s v="Jun Guillermo"/>
    <s v="R3-2025-031060"/>
    <d v="2025-09-15T00:00:00"/>
    <d v="2025-09-17T00:00:00"/>
    <d v="2025-09-17T00:00:00"/>
    <d v="2025-09-17T00:00:00"/>
    <n v="3"/>
    <n v="2"/>
    <n v="1"/>
    <n v="1"/>
    <s v="Received by Planning"/>
    <s v="NO FACILITY"/>
    <s v="CATER BY LGU"/>
    <s v="Technical Assistance"/>
    <m/>
  </r>
  <r>
    <x v="6"/>
    <x v="116"/>
    <s v="OUTSIDE MBA"/>
    <s v="Capayawan"/>
    <n v="1010"/>
    <n v="1187"/>
    <s v="CONDUCTED TECHNICAL ASSISTANCE"/>
    <n v="2025"/>
    <d v="2025-10-07T00:00:00"/>
    <x v="5"/>
    <s v="Ryan Ace R. Angel"/>
    <s v="Ryan Christian R. Nunag"/>
    <s v="Jun Guillermo"/>
    <s v="R3-2025-034511"/>
    <d v="2025-10-13T00:00:00"/>
    <d v="2025-10-16T00:00:00"/>
    <d v="2025-10-16T00:00:00"/>
    <d v="2025-10-17T00:00:00"/>
    <n v="4"/>
    <n v="3"/>
    <n v="1"/>
    <n v="1"/>
    <s v="Received by Planning"/>
    <s v="MRF"/>
    <s v="OPERATIONAL"/>
    <s v="Technical Assistance"/>
    <m/>
  </r>
  <r>
    <x v="6"/>
    <x v="116"/>
    <s v="OUTSIDE MBA"/>
    <s v="Carael"/>
    <n v="2057"/>
    <n v="2405"/>
    <s v="CONDUCTED TECHNICAL ASSISTANCE"/>
    <n v="2025"/>
    <d v="2025-05-14T00:00:00"/>
    <x v="6"/>
    <s v="Larizze Anne Santos"/>
    <s v="Ryan Christian R. Nunag"/>
    <s v="Jun Guillermo"/>
    <s v="R3-2025-016771"/>
    <d v="2025-05-19T00:00:00"/>
    <d v="2025-05-20T00:00:00"/>
    <d v="2025-05-20T00:00:00"/>
    <d v="2025-05-20T00:00:00"/>
    <n v="3"/>
    <n v="1"/>
    <n v="1"/>
    <n v="1"/>
    <s v="Received by Planning"/>
    <s v="MRF"/>
    <s v="OPERATIONAL"/>
    <s v="Technical Assistance"/>
    <m/>
  </r>
  <r>
    <x v="6"/>
    <x v="116"/>
    <s v="OUTSIDE MBA"/>
    <s v="Danacbunga"/>
    <n v="2970"/>
    <n v="3053"/>
    <s v="CONDUCTED TECHNICAL ASSISTANCE"/>
    <n v="2025"/>
    <d v="2025-10-07T00:00:00"/>
    <x v="5"/>
    <s v="Ryan Ace R. Angel"/>
    <s v="Ryan Christian R. Nunag"/>
    <s v="Jun Guillermo"/>
    <s v="R3-2025-034513"/>
    <d v="2025-10-13T00:00:00"/>
    <d v="2025-10-16T00:00:00"/>
    <d v="2025-10-16T00:00:00"/>
    <d v="2025-10-17T00:00:00"/>
    <n v="4"/>
    <n v="3"/>
    <n v="1"/>
    <n v="1"/>
    <s v="Received by Planning"/>
    <s v="MRF"/>
    <s v="OPERATIONAL"/>
    <s v="Technical Assistance"/>
    <m/>
  </r>
  <r>
    <x v="6"/>
    <x v="116"/>
    <s v="OUTSIDE MBA"/>
    <s v="Maguisguis"/>
    <n v="664"/>
    <n v="598"/>
    <s v="CONDUCTED TECHNICAL ASSISTANCE"/>
    <n v="2025"/>
    <d v="2025-08-14T00:00:00"/>
    <x v="7"/>
    <s v="Larizze Anne Santos"/>
    <s v="Ryan Christian R. Nunag"/>
    <s v="Jun Guillermo"/>
    <s v="R3-2025-027720"/>
    <d v="2025-08-18T00:00:00"/>
    <d v="2025-08-18T00:00:00"/>
    <d v="2025-08-18T00:00:00"/>
    <d v="2025-08-18T00:00:00"/>
    <n v="2"/>
    <n v="1"/>
    <n v="1"/>
    <n v="1"/>
    <s v="Received by Planning"/>
    <s v="MRS"/>
    <s v="OPERATIONAL"/>
    <s v="Technical Assistance"/>
    <m/>
  </r>
  <r>
    <x v="6"/>
    <x v="116"/>
    <s v="OUTSIDE MBA"/>
    <s v="Malomboy"/>
    <n v="276"/>
    <n v="864"/>
    <s v="CONDUCTED TECHNICAL ASSISTANCE"/>
    <n v="2025"/>
    <d v="2025-09-10T00:00:00"/>
    <x v="7"/>
    <s v="Larizze Anne Santos"/>
    <s v="Ryan Christian R. Nunag"/>
    <s v="Jun Guillermo"/>
    <s v="R3-2025-031059"/>
    <d v="2025-09-15T00:00:00"/>
    <d v="2025-09-17T00:00:00"/>
    <d v="2025-09-17T00:00:00"/>
    <d v="2025-09-17T00:00:00"/>
    <n v="3"/>
    <n v="2"/>
    <n v="1"/>
    <n v="1"/>
    <s v="Received by Planning"/>
    <s v="MRF"/>
    <s v="OPERATIONAL"/>
    <s v="Technical Assistance"/>
    <m/>
  </r>
  <r>
    <x v="6"/>
    <x v="116"/>
    <s v="OUTSIDE MBA"/>
    <s v="Mambog"/>
    <n v="4145"/>
    <n v="4524"/>
    <s v="CONDUCTED TECHNICAL ASSISTANCE"/>
    <n v="2025"/>
    <d v="2025-10-07T00:00:00"/>
    <x v="5"/>
    <s v="Ryan Ace R. Angel"/>
    <s v="Ryan Christian R. Nunag"/>
    <s v="Jun Guillermo"/>
    <s v=" R3-2025-034459"/>
    <d v="2025-10-13T00:00:00"/>
    <d v="2025-10-14T00:00:00"/>
    <d v="2025-10-16T00:00:00"/>
    <d v="2025-10-17T00:00:00"/>
    <n v="4"/>
    <n v="1"/>
    <n v="2"/>
    <n v="1"/>
    <s v="Received by Planning"/>
    <s v="MRS"/>
    <s v="OPERATIONAL"/>
    <s v="Technical Assistance"/>
    <m/>
  </r>
  <r>
    <x v="6"/>
    <x v="116"/>
    <s v="OUTSIDE MBA"/>
    <s v="Moraza"/>
    <n v="501"/>
    <n v="453"/>
    <s v="CONDUCTED TECHNICAL ASSISTANCE"/>
    <n v="2025"/>
    <d v="2025-10-07T00:00:00"/>
    <x v="5"/>
    <s v="Ryan Ace R. Angel"/>
    <s v="Ryan Christian R. Nunag"/>
    <s v="Jun Guillermo"/>
    <s v="R3-2025-034461"/>
    <d v="2025-10-13T00:00:00"/>
    <d v="2025-10-14T00:00:00"/>
    <d v="2025-10-16T00:00:00"/>
    <d v="2025-10-17T00:00:00"/>
    <n v="4"/>
    <n v="1"/>
    <n v="2"/>
    <n v="1"/>
    <s v="Received by Planning"/>
    <s v="MRS"/>
    <s v="OPERATIONAL"/>
    <s v="Technical Assistance"/>
    <m/>
  </r>
  <r>
    <x v="6"/>
    <x v="116"/>
    <s v="OUTSIDE MBA"/>
    <s v="Nacolcol"/>
    <n v="776"/>
    <n v="495"/>
    <s v="CONDUCTED TECHNICAL ASSISTANCE"/>
    <n v="2025"/>
    <d v="2025-10-07T00:00:00"/>
    <x v="5"/>
    <s v="Ryan Ace R. Angel"/>
    <s v="Ryan Christian R. Nunag"/>
    <s v="Jun Guillermo"/>
    <s v="R3-2025-034464"/>
    <d v="2025-10-13T00:00:00"/>
    <d v="2025-10-14T00:00:00"/>
    <d v="2025-10-16T00:00:00"/>
    <d v="2025-10-17T00:00:00"/>
    <n v="4"/>
    <n v="1"/>
    <n v="2"/>
    <n v="1"/>
    <s v="Received by Planning"/>
    <s v="MRS"/>
    <s v="OPERATIONAL"/>
    <s v="Technical Assistance"/>
    <m/>
  </r>
  <r>
    <x v="6"/>
    <x v="116"/>
    <s v="OUTSIDE MBA"/>
    <s v="Owaog-Nibloc"/>
    <n v="479"/>
    <n v="420"/>
    <s v="CONDUCTED TECHNICAL ASSISTANCE"/>
    <n v="2025"/>
    <d v="2025-08-14T00:00:00"/>
    <x v="9"/>
    <s v="Larizze Anne Santos"/>
    <s v="Ryan Christian R. Nunag"/>
    <s v="Jun Guillermo"/>
    <s v="R3-2025-027722"/>
    <d v="2025-08-18T00:00:00"/>
    <d v="2025-08-18T00:00:00"/>
    <d v="2025-08-18T00:00:00"/>
    <d v="2025-08-18T00:00:00"/>
    <n v="2"/>
    <n v="1"/>
    <n v="1"/>
    <n v="1"/>
    <s v="Received by Planning"/>
    <s v="NO FACILITY"/>
    <s v="CATER BY LGU"/>
    <s v="Technical Assistance"/>
    <m/>
  </r>
  <r>
    <x v="6"/>
    <x v="116"/>
    <s v="OUTSIDE MBA"/>
    <s v="Paco (Pob.)"/>
    <n v="1598"/>
    <n v="1935"/>
    <s v="CONDUCTED TECHNICAL ASSISTANCE"/>
    <n v="2024"/>
    <d v="2024-11-06T00:00:00"/>
    <x v="0"/>
    <s v="Larizze Anne Santos"/>
    <s v="Ryan Christian R. Nunag"/>
    <s v="Jun Guillermo"/>
    <m/>
    <m/>
    <m/>
    <m/>
    <m/>
    <s v=""/>
    <s v=""/>
    <s v=""/>
    <s v=""/>
    <m/>
    <s v="MRF"/>
    <s v="OPERATIONAL"/>
    <s v="Technical Assistance"/>
    <m/>
  </r>
  <r>
    <x v="6"/>
    <x v="116"/>
    <s v="OUTSIDE MBA"/>
    <s v="Palis"/>
    <n v="409"/>
    <n v="455"/>
    <s v="CONDUCTED TECHNICAL ASSISTANCE"/>
    <n v="2025"/>
    <d v="2025-08-14T00:00:00"/>
    <x v="7"/>
    <s v="Larizze Anne Santos"/>
    <s v="Ryan Christian R. Nunag"/>
    <s v="Jun Guillermo"/>
    <s v="R3-2025-027718"/>
    <d v="2025-08-18T00:00:00"/>
    <d v="2025-08-18T00:00:00"/>
    <d v="2025-08-18T00:00:00"/>
    <d v="2025-08-18T00:00:00"/>
    <n v="2"/>
    <n v="1"/>
    <n v="1"/>
    <n v="1"/>
    <s v="Received by Planning"/>
    <s v="MRF"/>
    <s v="OPERATIONAL"/>
    <s v="Technical Assistance"/>
    <m/>
  </r>
  <r>
    <x v="6"/>
    <x v="116"/>
    <s v="OUTSIDE MBA"/>
    <s v="Panan"/>
    <n v="2728"/>
    <n v="2926"/>
    <s v="CONDUCTED TECHNICAL ASSISTANCE"/>
    <n v="2025"/>
    <d v="2025-09-10T00:00:00"/>
    <x v="7"/>
    <s v="Larizze Anne Santos"/>
    <s v="Ryan Christian R. Nunag"/>
    <s v="Jun Guillermo"/>
    <s v="R3-2025-031056"/>
    <d v="2025-09-15T00:00:00"/>
    <d v="2025-09-17T00:00:00"/>
    <d v="2025-09-17T00:00:00"/>
    <d v="2025-09-17T00:00:00"/>
    <n v="3"/>
    <n v="2"/>
    <n v="1"/>
    <n v="1"/>
    <s v="Received by Planning"/>
    <s v="MRF"/>
    <s v="OPERATIONAL"/>
    <s v="Technical Assistance"/>
    <m/>
  </r>
  <r>
    <x v="6"/>
    <x v="116"/>
    <s v="OUTSIDE MBA"/>
    <s v="Parel"/>
    <n v="1091"/>
    <n v="1257"/>
    <s v="CONDUCTED TECHNICAL ASSISTANCE"/>
    <n v="2025"/>
    <d v="2025-10-07T00:00:00"/>
    <x v="5"/>
    <s v="Ryan Ace R. Angel"/>
    <s v="Ryan Christian R. Nunag"/>
    <s v="Jun Guillermo"/>
    <s v="R3-2025-034515"/>
    <d v="2025-10-13T00:00:00"/>
    <d v="2025-10-16T00:00:00"/>
    <d v="2025-10-16T00:00:00"/>
    <d v="2025-10-17T00:00:00"/>
    <n v="4"/>
    <n v="3"/>
    <n v="1"/>
    <n v="1"/>
    <s v="Received by Planning"/>
    <s v="MRF"/>
    <s v="OPERATIONAL"/>
    <s v="Technical Assistance"/>
    <m/>
  </r>
  <r>
    <x v="6"/>
    <x v="116"/>
    <s v="OUTSIDE MBA"/>
    <s v="Paudpod"/>
    <n v="860"/>
    <n v="946"/>
    <s v="CONDUCTED TECHNICAL ASSISTANCE"/>
    <n v="2024"/>
    <d v="2024-11-06T00:00:00"/>
    <x v="0"/>
    <s v="Larizze Anne Santos"/>
    <s v="Ryan Christian R. Nunag"/>
    <s v="Jun Guillermo"/>
    <m/>
    <m/>
    <m/>
    <m/>
    <m/>
    <s v=""/>
    <s v=""/>
    <s v=""/>
    <s v=""/>
    <m/>
    <s v="MRF"/>
    <s v="OPERATIONAL"/>
    <s v="Technical Assistance"/>
    <m/>
  </r>
  <r>
    <x v="6"/>
    <x v="116"/>
    <s v="OUTSIDE MBA"/>
    <s v="Poonbato"/>
    <n v="998"/>
    <n v="1333"/>
    <s v="CONDUCTED TECHNICAL ASSISTANCE"/>
    <n v="2025"/>
    <d v="2025-08-14T00:00:00"/>
    <x v="7"/>
    <s v="Larizze Anne Santos"/>
    <s v="Ryan Christian R. Nunag"/>
    <s v="Jun Guillermo"/>
    <s v="R3-2025-027721"/>
    <d v="2025-08-18T00:00:00"/>
    <d v="2025-08-18T00:00:00"/>
    <d v="2025-08-18T00:00:00"/>
    <d v="2025-08-18T00:00:00"/>
    <n v="2"/>
    <n v="1"/>
    <n v="1"/>
    <n v="1"/>
    <s v="Received by Planning"/>
    <s v="MRS"/>
    <s v="NON-OPERATIONAL"/>
    <s v="Technical Assistance"/>
    <m/>
  </r>
  <r>
    <x v="6"/>
    <x v="116"/>
    <s v="OUTSIDE MBA"/>
    <s v="Porac"/>
    <n v="3306"/>
    <n v="3579"/>
    <s v="CONDUCTED TECHNICAL ASSISTANCE"/>
    <n v="2025"/>
    <d v="2025-10-07T00:00:00"/>
    <x v="5"/>
    <s v="Ryan Ace R. Angel"/>
    <s v="Ryan Christian R. Nunag"/>
    <s v="Jun Guillermo"/>
    <s v="R3-2025-034506"/>
    <d v="2025-10-13T00:00:00"/>
    <d v="2025-10-15T00:00:00"/>
    <d v="2025-10-16T00:00:00"/>
    <d v="2025-10-17T00:00:00"/>
    <n v="4"/>
    <n v="2"/>
    <n v="1"/>
    <n v="1"/>
    <s v="Received by Planning"/>
    <s v="MRF"/>
    <s v="OPERATIONAL"/>
    <s v="Technical Assistance"/>
    <m/>
  </r>
  <r>
    <x v="6"/>
    <x v="116"/>
    <s v="OUTSIDE MBA"/>
    <s v="San Isidro"/>
    <n v="1533"/>
    <n v="1802"/>
    <s v="CONDUCTED TECHNICAL ASSISTANCE"/>
    <n v="2024"/>
    <d v="2024-11-06T00:00:00"/>
    <x v="0"/>
    <s v="Larizze Anne Santos"/>
    <s v="Ryan Christian R. Nunag"/>
    <s v="Jun Guillermo"/>
    <m/>
    <m/>
    <m/>
    <m/>
    <m/>
    <s v=""/>
    <s v=""/>
    <s v=""/>
    <s v=""/>
    <m/>
    <s v="MRF"/>
    <s v="OPERATIONAL"/>
    <s v="Technical Assistance"/>
    <m/>
  </r>
  <r>
    <x v="6"/>
    <x v="116"/>
    <s v="OUTSIDE MBA"/>
    <s v="San Juan"/>
    <n v="7002"/>
    <n v="8856"/>
    <s v="CONDUCTED TECHNICAL ASSISTANCE"/>
    <n v="2024"/>
    <d v="2024-11-06T00:00:00"/>
    <x v="0"/>
    <s v="Larizze Anne Santos"/>
    <s v="Ryan Christian R. Nunag"/>
    <s v="Jun Guillermo"/>
    <m/>
    <m/>
    <m/>
    <m/>
    <m/>
    <s v=""/>
    <s v=""/>
    <s v=""/>
    <s v=""/>
    <m/>
    <s v="MRF"/>
    <s v="OPERATIONAL"/>
    <s v="Technical Assistance"/>
    <m/>
  </r>
  <r>
    <x v="6"/>
    <x v="116"/>
    <s v="OUTSIDE MBA"/>
    <s v="San Miguel"/>
    <n v="1355"/>
    <n v="1518"/>
    <s v="CONDUCTED TECHNICAL ASSISTANCE"/>
    <n v="2024"/>
    <d v="2024-11-06T00:00:00"/>
    <x v="0"/>
    <s v="Larizze Anne Santos"/>
    <s v="Ryan Christian R. Nunag"/>
    <s v="Jun Guillermo"/>
    <m/>
    <m/>
    <m/>
    <m/>
    <m/>
    <s v=""/>
    <s v=""/>
    <s v=""/>
    <s v=""/>
    <m/>
    <s v="MRF"/>
    <s v="OPERATIONAL"/>
    <s v="Technical Assistance"/>
    <m/>
  </r>
  <r>
    <x v="6"/>
    <x v="116"/>
    <s v="OUTSIDE MBA"/>
    <s v="Santiago"/>
    <n v="2025"/>
    <n v="2331"/>
    <s v="CONDUCTED TECHNICAL ASSISTANCE"/>
    <n v="2025"/>
    <d v="2025-09-10T00:00:00"/>
    <x v="7"/>
    <s v="Larizze Anne Santos"/>
    <s v="Ryan Christian R. Nunag"/>
    <s v="Jun Guillermo"/>
    <s v="R3-2025-031061"/>
    <d v="2025-09-15T00:00:00"/>
    <d v="2025-09-17T00:00:00"/>
    <d v="2025-09-17T00:00:00"/>
    <d v="2025-09-17T00:00:00"/>
    <n v="3"/>
    <n v="2"/>
    <n v="1"/>
    <n v="1"/>
    <s v="Received by Planning"/>
    <s v="MRF"/>
    <s v="OPERATIONAL"/>
    <s v="Technical Assistance"/>
    <m/>
  </r>
  <r>
    <x v="6"/>
    <x v="116"/>
    <s v="OUTSIDE MBA"/>
    <s v="Tampo (Pob.)"/>
    <n v="1733"/>
    <n v="1827"/>
    <s v="CONDUCTED TECHNICAL ASSISTANCE"/>
    <n v="2025"/>
    <d v="2025-09-10T00:00:00"/>
    <x v="7"/>
    <s v="Larizze Anne Santos"/>
    <s v="Ryan Christian R. Nunag"/>
    <s v="Jun Guillermo"/>
    <s v="R3-2025-031062_x0009_"/>
    <d v="2025-09-15T00:00:00"/>
    <d v="2025-09-17T00:00:00"/>
    <d v="2025-09-17T00:00:00"/>
    <d v="2025-09-17T00:00:00"/>
    <n v="3"/>
    <n v="2"/>
    <n v="1"/>
    <n v="1"/>
    <s v="Received by Planning"/>
    <s v="NO FACILITY"/>
    <s v="CATER BY LGU"/>
    <s v="Technical Assistance"/>
    <m/>
  </r>
  <r>
    <x v="6"/>
    <x v="116"/>
    <s v="OUTSIDE MBA"/>
    <s v="Taugtog"/>
    <n v="11393"/>
    <n v="14122"/>
    <s v="CONDUCTED TECHNICAL ASSISTANCE"/>
    <n v="2024"/>
    <d v="2024-09-04T00:00:00"/>
    <x v="0"/>
    <s v="Larizze Anne Santos"/>
    <s v="Ryan Christian R. Nunag"/>
    <s v="Jun Guillermo"/>
    <m/>
    <m/>
    <m/>
    <m/>
    <m/>
    <s v=""/>
    <s v=""/>
    <s v=""/>
    <s v=""/>
    <m/>
    <s v="MRF"/>
    <s v="OPERATIONAL"/>
    <s v="Technical Assistance"/>
    <m/>
  </r>
  <r>
    <x v="6"/>
    <x v="116"/>
    <s v="OUTSIDE MBA"/>
    <s v="Villar"/>
    <n v="1007"/>
    <n v="669"/>
    <s v="CONDUCTED TECHNICAL ASSISTANCE"/>
    <n v="2025"/>
    <d v="2025-08-14T00:00:00"/>
    <x v="9"/>
    <s v="Larizze Anne Santos"/>
    <s v="Ryan Christian R. Nunag"/>
    <s v="Jun Guillermo"/>
    <s v="R3-2025-027719"/>
    <d v="2025-08-18T00:00:00"/>
    <d v="2025-08-18T00:00:00"/>
    <d v="2025-08-18T00:00:00"/>
    <d v="2025-08-18T00:00:00"/>
    <n v="2"/>
    <n v="1"/>
    <n v="1"/>
    <n v="1"/>
    <s v="Received by Planning"/>
    <s v="NO FACILITY"/>
    <s v="CATER BY LGU"/>
    <s v="Technical Assistance"/>
    <m/>
  </r>
  <r>
    <x v="6"/>
    <x v="117"/>
    <s v="OUTSIDE MBA"/>
    <s v="Anonang"/>
    <n v="890"/>
    <n v="937"/>
    <s v="CONDUCTED TECHNICAL ASSISTANCE"/>
    <n v="2025"/>
    <d v="2025-05-15T00:00:00"/>
    <x v="6"/>
    <s v="Larizze Anne Santos"/>
    <s v="Ryan Christian R. Nunag"/>
    <s v="Jun Guillermo"/>
    <s v="R3-2025-016773"/>
    <d v="2025-05-19T00:00:00"/>
    <d v="2025-05-20T00:00:00"/>
    <d v="2025-05-20T00:00:00"/>
    <d v="2025-05-20T00:00:00"/>
    <n v="2"/>
    <n v="1"/>
    <n v="1"/>
    <n v="1"/>
    <s v="Received by Planning"/>
    <s v="MRF"/>
    <s v="OPERATIONAL"/>
    <s v="Technical Assistance"/>
    <m/>
  </r>
  <r>
    <x v="6"/>
    <x v="117"/>
    <s v="OUTSIDE MBA"/>
    <s v="Apo-apo"/>
    <n v="658"/>
    <n v="651"/>
    <s v="CONDUCTED TECHNICAL ASSISTANCE"/>
    <n v="2024"/>
    <d v="2024-10-17T00:00:00"/>
    <x v="0"/>
    <s v="Larizze Anne Santos"/>
    <s v="Ryan Christian R. Nunag"/>
    <s v="Jun Guillermo"/>
    <m/>
    <m/>
    <m/>
    <m/>
    <m/>
    <s v=""/>
    <s v=""/>
    <s v=""/>
    <s v=""/>
    <m/>
    <s v="MRF"/>
    <s v="OPERATIONAL"/>
    <s v="Technical Assistance"/>
    <m/>
  </r>
  <r>
    <x v="6"/>
    <x v="117"/>
    <s v="OUTSIDE MBA"/>
    <s v="Arew"/>
    <n v="1049"/>
    <n v="1239"/>
    <s v="CONDUCTED TECHNICAL ASSISTANCE"/>
    <n v="2025"/>
    <d v="2025-09-11T00:00:00"/>
    <x v="7"/>
    <s v="Larizze Anne Santos"/>
    <s v="Ryan Christian R. Nunag"/>
    <s v="Jun Guillermo"/>
    <s v="R3-2025-031063"/>
    <d v="2025-09-15T00:00:00"/>
    <d v="2025-09-17T00:00:00"/>
    <d v="2025-09-17T00:00:00"/>
    <d v="2025-09-17T00:00:00"/>
    <n v="2"/>
    <n v="2"/>
    <n v="1"/>
    <n v="1"/>
    <s v="Received by Planning"/>
    <s v="MRF"/>
    <s v="OPERATIONAL"/>
    <s v="Technical Assistance"/>
    <m/>
  </r>
  <r>
    <x v="6"/>
    <x v="117"/>
    <s v="OUTSIDE MBA"/>
    <s v="Banuambayo (Pob.)"/>
    <n v="275"/>
    <n v="329"/>
    <s v="CONDUCTED TECHNICAL ASSISTANCE"/>
    <n v="2024"/>
    <d v="2024-07-11T00:00:00"/>
    <x v="0"/>
    <s v="Larizze Anne Santos"/>
    <s v="Ryan Christian R. Nunag"/>
    <s v="Jun Guillermo"/>
    <m/>
    <m/>
    <m/>
    <m/>
    <m/>
    <s v=""/>
    <s v=""/>
    <s v=""/>
    <s v=""/>
    <m/>
    <s v="MRF"/>
    <s v="OPERATIONAL"/>
    <s v="Technical Assistance"/>
    <m/>
  </r>
  <r>
    <x v="6"/>
    <x v="117"/>
    <s v="OUTSIDE MBA"/>
    <s v="Cadmang-Reserva"/>
    <n v="2005"/>
    <n v="2427"/>
    <s v="CONDUCTED TECHNICAL ASSISTANCE"/>
    <n v="2025"/>
    <d v="2025-10-14T00:00:00"/>
    <x v="5"/>
    <s v="Ryan Ace R. Angel"/>
    <s v="Ryan Christian R. Nunag"/>
    <s v="Jun Guillermo"/>
    <s v=" R3-2025-035040"/>
    <d v="2025-10-16T00:00:00"/>
    <d v="2025-10-16T00:00:00"/>
    <d v="2025-10-16T00:00:00"/>
    <d v="2025-10-17T00:00:00"/>
    <n v="2"/>
    <n v="1"/>
    <n v="1"/>
    <n v="1"/>
    <s v="Received by Planning"/>
    <s v="MRF"/>
    <s v="OPERATIONAL"/>
    <s v="Technical Assistance"/>
    <m/>
  </r>
  <r>
    <x v="6"/>
    <x v="117"/>
    <s v="OUTSIDE MBA"/>
    <s v="Camiling"/>
    <n v="1582"/>
    <n v="1685"/>
    <s v="CONDUCTED TECHNICAL ASSISTANCE"/>
    <n v="2025"/>
    <d v="2025-06-13T00:00:00"/>
    <x v="10"/>
    <s v="Larizze Anne Santos"/>
    <s v="Ryan Christian R. Nunag"/>
    <s v="Jun Guillermo"/>
    <s v="R3-2025-019917"/>
    <d v="2025-06-16T00:00:00"/>
    <d v="2025-06-17T00:00:00"/>
    <d v="2025-06-17T00:00:00"/>
    <d v="2025-06-17T00:00:00"/>
    <n v="1"/>
    <n v="1"/>
    <n v="1"/>
    <n v="1"/>
    <s v="Received by Planning"/>
    <s v="MRF"/>
    <s v="OPERATIONAL"/>
    <s v="Technical Assistance"/>
    <m/>
  </r>
  <r>
    <x v="6"/>
    <x v="117"/>
    <s v="OUTSIDE MBA"/>
    <s v="Casabaan"/>
    <n v="604"/>
    <n v="703"/>
    <s v="CONDUCTED TECHNICAL ASSISTANCE"/>
    <n v="2025"/>
    <d v="2025-02-13T00:00:00"/>
    <x v="3"/>
    <s v="Larizze Anne Santos"/>
    <s v="Ryan Christian R. Nunag"/>
    <s v="Jun Guillermo"/>
    <s v="R3-2025-005888"/>
    <d v="2025-02-18T00:00:00"/>
    <d v="2025-02-19T00:00:00"/>
    <d v="2025-02-19T00:00:00"/>
    <d v="2025-02-19T00:00:00"/>
    <n v="3"/>
    <n v="1"/>
    <n v="1"/>
    <n v="1"/>
    <s v="Received by Planning"/>
    <s v="MRF"/>
    <s v="OPERATIONAL"/>
    <s v="Technical Assistance"/>
    <m/>
  </r>
  <r>
    <x v="6"/>
    <x v="117"/>
    <s v="OUTSIDE MBA"/>
    <s v="Del Carmen (Pob.)"/>
    <n v="392"/>
    <n v="379"/>
    <s v="CONDUCTED TECHNICAL ASSISTANCE"/>
    <n v="2025"/>
    <d v="2025-09-11T00:00:00"/>
    <x v="7"/>
    <s v="Larizze Anne Santos"/>
    <s v="Ryan Christian R. Nunag"/>
    <s v="Jun Guillermo"/>
    <s v="R3-2025-031064"/>
    <d v="2025-09-15T00:00:00"/>
    <d v="2025-09-17T00:00:00"/>
    <d v="2025-09-17T00:00:00"/>
    <d v="2025-09-17T00:00:00"/>
    <n v="2"/>
    <n v="2"/>
    <n v="1"/>
    <n v="1"/>
    <s v="Received by Planning"/>
    <s v="MRF"/>
    <s v="OPERATIONAL"/>
    <s v="Technical Assistance"/>
    <m/>
  </r>
  <r>
    <x v="6"/>
    <x v="117"/>
    <s v="OUTSIDE MBA"/>
    <s v="Dolores (Pob.)"/>
    <n v="1219"/>
    <n v="1310"/>
    <s v="CONDUCTED TECHNICAL ASSISTANCE"/>
    <n v="2025"/>
    <d v="2025-03-12T00:00:00"/>
    <x v="1"/>
    <s v="Larizze Anne Santos"/>
    <s v="Ryan Christian R. Nunag"/>
    <s v="Jun Guillermo"/>
    <s v="R3-2025-009174"/>
    <d v="2025-03-18T00:00:00"/>
    <d v="2025-03-18T00:00:00"/>
    <d v="2025-03-18T00:00:00"/>
    <d v="2025-03-18T00:00:00"/>
    <n v="4"/>
    <n v="1"/>
    <n v="1"/>
    <n v="1"/>
    <s v="Received by Planning"/>
    <s v="MRF"/>
    <s v="OPERATIONAL"/>
    <s v="Technical Assistance"/>
    <m/>
  </r>
  <r>
    <x v="6"/>
    <x v="117"/>
    <s v="OUTSIDE MBA"/>
    <s v="Felmida-Diaz"/>
    <n v="499"/>
    <n v="612"/>
    <s v="CONDUCTED TECHNICAL ASSISTANCE"/>
    <n v="2025"/>
    <d v="2025-09-11T00:00:00"/>
    <x v="7"/>
    <s v="Larizze Anne Santos"/>
    <s v="Ryan Christian R. Nunag"/>
    <s v="Jun Guillermo"/>
    <s v="R3-2025-031067"/>
    <d v="2025-09-15T00:00:00"/>
    <d v="2025-09-17T00:00:00"/>
    <d v="2025-09-17T00:00:00"/>
    <d v="2025-09-17T00:00:00"/>
    <n v="2"/>
    <n v="2"/>
    <n v="1"/>
    <n v="1"/>
    <s v="Received by Planning"/>
    <s v="MRF"/>
    <s v="OPERATIONAL"/>
    <s v="Technical Assistance"/>
    <m/>
  </r>
  <r>
    <x v="6"/>
    <x v="117"/>
    <s v="OUTSIDE MBA"/>
    <s v="Laoag"/>
    <n v="1224"/>
    <n v="1458"/>
    <s v="CONDUCTED TECHNICAL ASSISTANCE"/>
    <n v="2025"/>
    <d v="2025-09-11T00:00:00"/>
    <x v="7"/>
    <s v="Larizze Anne Santos"/>
    <s v="Ryan Christian R. Nunag"/>
    <s v="Jun Guillermo"/>
    <s v="R3-2025-031068"/>
    <d v="2025-09-15T00:00:00"/>
    <d v="2025-09-17T00:00:00"/>
    <d v="2025-09-17T00:00:00"/>
    <d v="2025-09-17T00:00:00"/>
    <n v="2"/>
    <n v="2"/>
    <n v="1"/>
    <n v="1"/>
    <s v="Received by Planning"/>
    <s v="MRF"/>
    <s v="OPERATIONAL"/>
    <s v="Technical Assistance"/>
    <m/>
  </r>
  <r>
    <x v="6"/>
    <x v="117"/>
    <s v="OUTSIDE MBA"/>
    <s v="Lomboy"/>
    <n v="641"/>
    <n v="779"/>
    <s v="CONDUCTED TECHNICAL ASSISTANCE"/>
    <n v="2025"/>
    <d v="2025-06-13T00:00:00"/>
    <x v="10"/>
    <s v="Larizze Anne Santos"/>
    <s v="Ryan Christian R. Nunag"/>
    <s v="Jun Guillermo"/>
    <s v="R3-2025-019918"/>
    <d v="2025-06-16T00:00:00"/>
    <d v="2025-06-17T00:00:00"/>
    <d v="2025-06-17T00:00:00"/>
    <d v="2025-06-17T00:00:00"/>
    <n v="1"/>
    <n v="1"/>
    <n v="1"/>
    <n v="1"/>
    <s v="Received by Planning"/>
    <s v="MRF"/>
    <s v="OPERATIONAL"/>
    <s v="Technical Assistance"/>
    <m/>
  </r>
  <r>
    <x v="6"/>
    <x v="117"/>
    <s v="OUTSIDE MBA"/>
    <s v="Longos"/>
    <n v="1052"/>
    <n v="1192"/>
    <s v="CONDUCTED TECHNICAL ASSISTANCE"/>
    <n v="2024"/>
    <d v="2024-09-05T00:00:00"/>
    <x v="0"/>
    <s v="Larizze Anne Santos"/>
    <s v="Ryan Christian R. Nunag"/>
    <s v="Jun Guillermo"/>
    <m/>
    <m/>
    <m/>
    <m/>
    <m/>
    <s v=""/>
    <s v=""/>
    <s v=""/>
    <s v=""/>
    <m/>
    <s v="MRF"/>
    <s v="OPERATIONAL"/>
    <s v="Technical Assistance"/>
    <m/>
  </r>
  <r>
    <x v="6"/>
    <x v="117"/>
    <s v="OUTSIDE MBA"/>
    <s v="Mabanglit"/>
    <n v="1991"/>
    <n v="2098"/>
    <s v="CONDUCTED TECHNICAL ASSISTANCE"/>
    <n v="2025"/>
    <d v="2025-09-11T00:00:00"/>
    <x v="7"/>
    <s v="Larizze Anne Santos"/>
    <s v="Ryan Christian R. Nunag"/>
    <s v="Jun Guillermo"/>
    <s v="R3-2025-031069"/>
    <d v="2025-09-15T00:00:00"/>
    <d v="2025-09-17T00:00:00"/>
    <d v="2025-09-17T00:00:00"/>
    <d v="2025-09-17T00:00:00"/>
    <n v="2"/>
    <n v="2"/>
    <n v="1"/>
    <n v="1"/>
    <s v="Received by Planning"/>
    <s v="MRF"/>
    <s v="OPERATIONAL"/>
    <s v="Technical Assistance"/>
    <m/>
  </r>
  <r>
    <x v="6"/>
    <x v="117"/>
    <s v="OUTSIDE MBA"/>
    <s v="New San Juan"/>
    <n v="1533"/>
    <n v="1848"/>
    <s v="CONDUCTED TECHNICAL ASSISTANCE"/>
    <n v="2025"/>
    <d v="2025-09-11T00:00:00"/>
    <x v="7"/>
    <s v="Larizze Anne Santos"/>
    <s v="Ryan Christian R. Nunag"/>
    <s v="Jun Guillermo"/>
    <s v="R3-2025-031070"/>
    <d v="2025-09-15T00:00:00"/>
    <d v="2025-09-17T00:00:00"/>
    <d v="2025-09-17T00:00:00"/>
    <d v="2025-09-17T00:00:00"/>
    <n v="2"/>
    <n v="2"/>
    <n v="1"/>
    <n v="1"/>
    <s v="Received by Planning"/>
    <s v="MRF"/>
    <s v="OPERATIONAL"/>
    <s v="Technical Assistance"/>
    <m/>
  </r>
  <r>
    <x v="6"/>
    <x v="117"/>
    <s v="OUTSIDE MBA"/>
    <s v="San Antonio"/>
    <n v="742"/>
    <n v="788"/>
    <s v="CONDUCTED TECHNICAL ASSISTANCE"/>
    <n v="2024"/>
    <d v="2024-07-11T00:00:00"/>
    <x v="0"/>
    <s v="Larizze Anne Santos"/>
    <s v="Ryan Christian R. Nunag"/>
    <s v="Jun Guillermo"/>
    <m/>
    <m/>
    <m/>
    <m/>
    <m/>
    <s v=""/>
    <s v=""/>
    <s v=""/>
    <s v=""/>
    <m/>
    <s v="MRF"/>
    <s v="OPERATIONAL"/>
    <s v="Technical Assistance"/>
    <m/>
  </r>
  <r>
    <x v="6"/>
    <x v="117"/>
    <s v="OUTSIDE MBA"/>
    <s v="San Isidro"/>
    <n v="2180"/>
    <n v="2321"/>
    <s v="CONDUCTED TECHNICAL ASSISTANCE"/>
    <n v="2025"/>
    <d v="2025-09-11T00:00:00"/>
    <x v="7"/>
    <s v="Larizze Anne Santos"/>
    <s v="Ryan Christian R. Nunag"/>
    <s v="Jun Guillermo"/>
    <s v="R3-2025-031071"/>
    <d v="2025-09-15T00:00:00"/>
    <d v="2025-09-17T00:00:00"/>
    <d v="2025-09-17T00:00:00"/>
    <d v="2025-09-17T00:00:00"/>
    <n v="2"/>
    <n v="2"/>
    <n v="1"/>
    <n v="1"/>
    <s v="Received by Planning"/>
    <s v="MRF"/>
    <s v="OPERATIONAL"/>
    <s v="Technical Assistance"/>
    <m/>
  </r>
  <r>
    <x v="6"/>
    <x v="117"/>
    <s v="OUTSIDE MBA"/>
    <s v="San Juan (Pob.)"/>
    <n v="1655"/>
    <n v="1671"/>
    <s v="CONDUCTED TECHNICAL ASSISTANCE"/>
    <n v="2025"/>
    <d v="2025-04-10T00:00:00"/>
    <x v="4"/>
    <s v="Larizze Anne Santos"/>
    <s v="Ryan Christian R. Nunag"/>
    <s v="Jun Guillermo"/>
    <s v="R3-2025-012821"/>
    <d v="2025-04-14T00:00:00"/>
    <d v="2025-04-15T00:00:00"/>
    <d v="2025-04-21T00:00:00"/>
    <d v="2025-04-21T00:00:00"/>
    <n v="2"/>
    <n v="4"/>
    <n v="4"/>
    <n v="1"/>
    <s v="Received by Planning"/>
    <s v="MRF"/>
    <s v="OPERATIONAL"/>
    <s v="Technical Assistance"/>
    <m/>
  </r>
  <r>
    <x v="6"/>
    <x v="117"/>
    <s v="OUTSIDE MBA"/>
    <s v="San Rafael"/>
    <n v="932"/>
    <n v="1097"/>
    <s v="CONDUCTED TECHNICAL ASSISTANCE"/>
    <n v="2025"/>
    <d v="2025-10-14T00:00:00"/>
    <x v="5"/>
    <s v="Ryan Ace R. Angel"/>
    <s v="Ryan Christian R. Nunag"/>
    <s v="Jun Guillermo"/>
    <s v="R3-2025-035034"/>
    <d v="2025-10-16T00:00:00"/>
    <d v="2025-10-16T00:00:00"/>
    <d v="2025-10-16T00:00:00"/>
    <d v="2025-10-17T00:00:00"/>
    <n v="2"/>
    <n v="1"/>
    <n v="1"/>
    <n v="1"/>
    <s v="Received by Planning"/>
    <s v="MRF"/>
    <s v="OPERATIONAL"/>
    <s v="Technical Assistance"/>
    <m/>
  </r>
  <r>
    <x v="6"/>
    <x v="117"/>
    <s v="OUTSIDE MBA"/>
    <s v="Santa Rita"/>
    <n v="1944"/>
    <n v="2130"/>
    <s v="CONDUCTED TECHNICAL ASSISTANCE"/>
    <n v="2024"/>
    <d v="2024-07-11T00:00:00"/>
    <x v="0"/>
    <s v="Larizze Anne Santos"/>
    <s v="Ryan Christian R. Nunag"/>
    <s v="Jun Guillermo"/>
    <m/>
    <m/>
    <m/>
    <m/>
    <m/>
    <s v=""/>
    <s v=""/>
    <s v=""/>
    <s v=""/>
    <m/>
    <s v="MRF"/>
    <s v="OPERATIONAL"/>
    <s v="Technical Assistance"/>
    <m/>
  </r>
  <r>
    <x v="6"/>
    <x v="117"/>
    <s v="OUTSIDE MBA"/>
    <s v="Santo Niño"/>
    <n v="996"/>
    <n v="1185"/>
    <s v="CONDUCTED TECHNICAL ASSISTANCE"/>
    <n v="2024"/>
    <d v="2024-10-17T00:00:00"/>
    <x v="0"/>
    <s v="Larizze Anne Santos"/>
    <s v="Ryan Christian R. Nunag"/>
    <s v="Jun Guillermo"/>
    <m/>
    <m/>
    <m/>
    <m/>
    <m/>
    <s v=""/>
    <s v=""/>
    <s v=""/>
    <s v=""/>
    <m/>
    <s v="MRF"/>
    <s v="OPERATIONAL"/>
    <s v="Technical Assistance"/>
    <m/>
  </r>
  <r>
    <x v="6"/>
    <x v="117"/>
    <s v="OUTSIDE MBA"/>
    <s v="Tondo"/>
    <n v="1100"/>
    <n v="1279"/>
    <s v="CONDUCTED TECHNICAL ASSISTANCE"/>
    <n v="2025"/>
    <d v="2025-05-15T00:00:00"/>
    <x v="6"/>
    <s v="Larizze Anne Santos"/>
    <s v="Ryan Christian R. Nunag"/>
    <s v="Jun Guillermo"/>
    <s v="R3-2025-016774"/>
    <d v="2025-05-19T00:00:00"/>
    <d v="2025-05-20T00:00:00"/>
    <d v="2025-05-20T00:00:00"/>
    <d v="2025-05-20T00:00:00"/>
    <n v="2"/>
    <n v="1"/>
    <n v="1"/>
    <n v="1"/>
    <s v="Received by Planning"/>
    <s v="MRF"/>
    <s v="OPERATIONAL"/>
    <s v="Technical Assistance"/>
    <m/>
  </r>
  <r>
    <x v="6"/>
    <x v="118"/>
    <s v="OUTSIDE MBA"/>
    <s v="Babancal"/>
    <n v="1769"/>
    <n v="1987"/>
    <s v="CONDUCTED TECHNICAL ASSISTANCE"/>
    <n v="2025"/>
    <d v="2025-04-03T00:00:00"/>
    <x v="4"/>
    <s v="Ryan Ace R. Angel"/>
    <s v="Ryan Christian R. Nunag"/>
    <s v="Jun Guillermo"/>
    <s v="R3-2025-011518"/>
    <d v="2025-04-07T00:00:00"/>
    <d v="2025-04-08T00:00:00"/>
    <d v="2025-04-08T00:00:00"/>
    <d v="2025-04-08T00:00:00"/>
    <n v="2"/>
    <n v="1"/>
    <n v="1"/>
    <n v="1"/>
    <s v="Received by Planning"/>
    <s v="MRF"/>
    <s v="OPERATIONAL"/>
    <s v="Technical Assistance"/>
    <m/>
  </r>
  <r>
    <x v="6"/>
    <x v="118"/>
    <s v="OUTSIDE MBA"/>
    <s v="Binabalian"/>
    <n v="1951"/>
    <n v="2302"/>
    <s v="CONDUCTED TECHNICAL ASSISTANCE"/>
    <n v="2024"/>
    <d v="2024-07-11T00:00:00"/>
    <x v="0"/>
    <s v="Ryan Ace R. Angel"/>
    <s v="Ryan Christian R. Nunag"/>
    <s v="Jun Guillermo"/>
    <m/>
    <m/>
    <m/>
    <m/>
    <m/>
    <s v=""/>
    <s v=""/>
    <s v=""/>
    <s v=""/>
    <m/>
    <s v="MRF"/>
    <s v="OPERATIONAL"/>
    <s v="Technical Assistance"/>
    <m/>
  </r>
  <r>
    <x v="6"/>
    <x v="118"/>
    <s v="OUTSIDE MBA"/>
    <s v="Catol"/>
    <n v="1344"/>
    <n v="1286"/>
    <s v="CONDUCTED TECHNICAL ASSISTANCE"/>
    <n v="2024"/>
    <d v="2024-07-11T00:00:00"/>
    <x v="0"/>
    <s v="Ryan Ace R. Angel"/>
    <s v="Ryan Christian R. Nunag"/>
    <s v="Jun Guillermo"/>
    <m/>
    <m/>
    <m/>
    <m/>
    <m/>
    <s v=""/>
    <s v=""/>
    <s v=""/>
    <s v=""/>
    <m/>
    <s v="MRF"/>
    <s v="OPERATIONAL"/>
    <s v="Technical Assistance"/>
    <m/>
  </r>
  <r>
    <x v="6"/>
    <x v="118"/>
    <s v="OUTSIDE MBA"/>
    <s v="Dampay"/>
    <n v="927"/>
    <n v="963"/>
    <s v="CONDUCTED TECHNICAL ASSISTANCE"/>
    <n v="2025"/>
    <d v="2025-03-06T00:00:00"/>
    <x v="1"/>
    <s v="Ryan Ace R. Angel"/>
    <s v="Ryan Christian R. Nunag"/>
    <s v="Jun Guillermo"/>
    <s v="R3-2025-008143"/>
    <d v="2025-03-10T00:00:00"/>
    <d v="2025-03-12T00:00:00"/>
    <d v="2025-03-12T00:00:00"/>
    <d v="2025-03-12T00:00:00"/>
    <n v="2"/>
    <n v="1"/>
    <n v="1"/>
    <n v="1"/>
    <s v="Received by Planning"/>
    <s v="MRF"/>
    <s v="OPERATIONAL"/>
    <s v="Technical Assistance"/>
    <m/>
  </r>
  <r>
    <x v="6"/>
    <x v="118"/>
    <s v="OUTSIDE MBA"/>
    <s v="Lauis"/>
    <n v="1894"/>
    <n v="2133"/>
    <s v="CONDUCTED TECHNICAL ASSISTANCE"/>
    <n v="2024"/>
    <d v="2024-07-11T00:00:00"/>
    <x v="0"/>
    <s v="Ryan Ace R. Angel"/>
    <s v="Ryan Christian R. Nunag"/>
    <s v="Jun Guillermo"/>
    <m/>
    <m/>
    <m/>
    <m/>
    <m/>
    <s v=""/>
    <s v=""/>
    <s v=""/>
    <s v=""/>
    <m/>
    <s v="MRF"/>
    <s v="OPERATIONAL"/>
    <s v="Technical Assistance"/>
    <m/>
  </r>
  <r>
    <x v="6"/>
    <x v="118"/>
    <s v="OUTSIDE MBA"/>
    <s v="Libertador"/>
    <n v="1360"/>
    <n v="1416"/>
    <s v="CONDUCTED TECHNICAL ASSISTANCE"/>
    <n v="2025"/>
    <d v="2025-03-06T00:00:00"/>
    <x v="1"/>
    <s v="Ryan Ace R. Angel"/>
    <s v="Ryan Christian R. Nunag"/>
    <s v="Jun Guillermo"/>
    <s v="R3-2025-008141"/>
    <d v="2025-03-10T00:00:00"/>
    <d v="2025-03-12T00:00:00"/>
    <d v="2025-03-12T00:00:00"/>
    <d v="2025-03-12T00:00:00"/>
    <n v="2"/>
    <n v="2"/>
    <n v="1"/>
    <n v="1"/>
    <s v="Received by Planning"/>
    <s v="MRF"/>
    <s v="NON-OPERATIONAL"/>
    <s v="Technical Assistance"/>
    <m/>
  </r>
  <r>
    <x v="6"/>
    <x v="118"/>
    <s v="OUTSIDE MBA"/>
    <s v="Malabon"/>
    <n v="2627"/>
    <n v="3175"/>
    <s v="CONDUCTED TECHNICAL ASSISTANCE"/>
    <n v="2024"/>
    <s v="November 14, 2024"/>
    <x v="0"/>
    <s v="Ryan Ace R. Angel"/>
    <s v="Ryan Christian R. Nunag"/>
    <s v="Jun Guillermo"/>
    <m/>
    <m/>
    <m/>
    <m/>
    <m/>
    <s v=""/>
    <s v=""/>
    <s v=""/>
    <s v=""/>
    <m/>
    <s v="MRF"/>
    <s v="OPERATIONAL"/>
    <s v="Technical Assistance"/>
    <m/>
  </r>
  <r>
    <x v="6"/>
    <x v="118"/>
    <s v="OUTSIDE MBA"/>
    <s v="Malimanga"/>
    <n v="1148"/>
    <n v="1228"/>
    <s v="CONDUCTED TECHNICAL ASSISTANCE"/>
    <n v="2024"/>
    <s v="November 14, 2024"/>
    <x v="0"/>
    <s v="Ryan Ace R. Angel"/>
    <s v="Ryan Christian R. Nunag"/>
    <s v="Jun Guillermo"/>
    <m/>
    <m/>
    <m/>
    <m/>
    <m/>
    <s v=""/>
    <s v=""/>
    <s v=""/>
    <s v=""/>
    <m/>
    <s v="MRF"/>
    <s v="OPERATIONAL"/>
    <s v="Technical Assistance"/>
    <m/>
  </r>
  <r>
    <x v="6"/>
    <x v="118"/>
    <s v="OUTSIDE MBA"/>
    <s v="Pamibian"/>
    <n v="1316"/>
    <n v="1431"/>
    <s v="CONDUCTED TECHNICAL ASSISTANCE"/>
    <n v="2024"/>
    <d v="2024-07-11T00:00:00"/>
    <x v="0"/>
    <s v="Ryan Ace R. Angel"/>
    <s v="Ryan Christian R. Nunag"/>
    <s v="Jun Guillermo"/>
    <m/>
    <m/>
    <m/>
    <m/>
    <m/>
    <s v=""/>
    <s v=""/>
    <s v=""/>
    <s v=""/>
    <m/>
    <s v="MRF"/>
    <s v="OPERATIONAL"/>
    <s v="Technical Assistance"/>
    <m/>
  </r>
  <r>
    <x v="6"/>
    <x v="118"/>
    <s v="OUTSIDE MBA"/>
    <s v="Panayonan"/>
    <n v="1067"/>
    <n v="1216"/>
    <s v="CONDUCTED TECHNICAL ASSISTANCE"/>
    <n v="2025"/>
    <d v="2025-11-06T00:00:00"/>
    <x v="11"/>
    <s v="Ryan Ace R. Angel"/>
    <s v="Ryan Christian R. Nunag"/>
    <s v="Jun Guillermo"/>
    <s v="R3-2025-037567"/>
    <d v="2025-11-11T00:00:00"/>
    <d v="2025-11-11T00:00:00"/>
    <d v="2025-11-11T00:00:00"/>
    <d v="2025-11-11T00:00:00"/>
    <n v="3"/>
    <n v="1"/>
    <n v="1"/>
    <n v="1"/>
    <s v="Received by Planning"/>
    <s v="MRF"/>
    <s v="OPERATIONAL"/>
    <s v="Technical Assistance"/>
    <m/>
  </r>
  <r>
    <x v="6"/>
    <x v="118"/>
    <s v="OUTSIDE MBA"/>
    <s v="Pinagrealan"/>
    <n v="1183"/>
    <n v="1441"/>
    <s v="CONDUCTED TECHNICAL ASSISTANCE"/>
    <n v="2025"/>
    <d v="2025-03-27T00:00:00"/>
    <x v="4"/>
    <s v="Ryan Ace R. Angel"/>
    <s v="Ryan Christian R. Nunag"/>
    <s v="Jun Guillermo"/>
    <s v="R3-2025-010766"/>
    <d v="2025-03-31T00:00:00"/>
    <d v="2025-03-31T00:00:00"/>
    <d v="2025-03-31T00:00:00"/>
    <d v="2025-03-31T00:00:00"/>
    <n v="2"/>
    <n v="1"/>
    <n v="1"/>
    <n v="1"/>
    <s v="Received by Planning"/>
    <s v="MRF"/>
    <s v="OPERATIONAL"/>
    <s v="Technical Assistance"/>
    <m/>
  </r>
  <r>
    <x v="6"/>
    <x v="118"/>
    <s v="OUTSIDE MBA"/>
    <s v="Poblacion"/>
    <n v="1093"/>
    <n v="1240"/>
    <s v="CONDUCTED TECHNICAL ASSISTANCE"/>
    <n v="2025"/>
    <d v="2025-03-06T00:00:00"/>
    <x v="1"/>
    <s v="Ryan Ace R. Angel"/>
    <s v="Ryan Christian R. Nunag"/>
    <s v="Jun Guillermo"/>
    <s v="R3-2025-008072"/>
    <d v="2025-03-10T00:00:00"/>
    <d v="2025-03-12T00:00:00"/>
    <d v="2025-03-12T00:00:00"/>
    <d v="2025-03-12T00:00:00"/>
    <n v="2"/>
    <n v="1"/>
    <n v="1"/>
    <n v="1"/>
    <s v="Received by Planning"/>
    <s v="MRS"/>
    <s v="OPERATIONAL"/>
    <s v="Technical Assistance"/>
    <m/>
  </r>
  <r>
    <x v="6"/>
    <x v="118"/>
    <s v="OUTSIDE MBA"/>
    <s v="Sinabacan"/>
    <n v="3563"/>
    <n v="3906"/>
    <s v="CONDUCTED TECHNICAL ASSISTANCE"/>
    <n v="2024"/>
    <s v="November 14, 2024"/>
    <x v="0"/>
    <s v="Ryan Ace R. Angel"/>
    <s v="Ryan Christian R. Nunag"/>
    <s v="Jun Guillermo"/>
    <m/>
    <m/>
    <m/>
    <m/>
    <m/>
    <s v=""/>
    <s v=""/>
    <s v=""/>
    <s v=""/>
    <m/>
    <s v="MRF"/>
    <s v="OPERATIONAL"/>
    <s v="Technical Assistance"/>
    <m/>
  </r>
  <r>
    <x v="6"/>
    <x v="118"/>
    <s v="OUTSIDE MBA"/>
    <s v="Taposo"/>
    <n v="1088"/>
    <n v="1164"/>
    <s v="CONDUCTED TECHNICAL ASSISTANCE"/>
    <n v="2025"/>
    <d v="2025-04-03T00:00:00"/>
    <x v="4"/>
    <s v="Ryan Ace R. Angel"/>
    <s v="Ryan Christian R. Nunag"/>
    <s v="Jun Guillermo"/>
    <s v="R3-2025-011539"/>
    <d v="2025-04-07T00:00:00"/>
    <d v="2025-04-08T00:00:00"/>
    <d v="2025-04-08T00:00:00"/>
    <d v="2025-04-08T00:00:00"/>
    <n v="2"/>
    <n v="1"/>
    <n v="1"/>
    <n v="1"/>
    <s v="Received by Planning"/>
    <s v="MRS"/>
    <s v="OPERATIONAL"/>
    <s v="Technical Assistance"/>
    <m/>
  </r>
  <r>
    <x v="6"/>
    <x v="118"/>
    <s v="OUTSIDE MBA"/>
    <s v="Uacon"/>
    <n v="3471"/>
    <n v="3851"/>
    <s v="CONDUCTED TECHNICAL ASSISTANCE"/>
    <n v="2024"/>
    <s v="November 14, 2024"/>
    <x v="0"/>
    <s v="Ryan Ace R. Angel"/>
    <s v="Ryan Christian R. Nunag"/>
    <s v="Jun Guillermo"/>
    <m/>
    <m/>
    <m/>
    <m/>
    <m/>
    <s v=""/>
    <s v=""/>
    <s v=""/>
    <s v=""/>
    <m/>
    <s v="MRF"/>
    <s v="OPERATIONAL"/>
    <s v="Technical Assistance"/>
    <m/>
  </r>
  <r>
    <x v="6"/>
    <x v="118"/>
    <s v="OUTSIDE MBA"/>
    <s v="Yamot"/>
    <n v="1373"/>
    <n v="1524"/>
    <s v="CONDUCTED TECHNICAL ASSISTANCE"/>
    <n v="2024"/>
    <d v="2024-07-11T00:00:00"/>
    <x v="0"/>
    <s v="Ryan Ace R. Angel"/>
    <s v="Ryan Christian R. Nunag"/>
    <s v="Jun Guillermo"/>
    <m/>
    <m/>
    <m/>
    <m/>
    <m/>
    <s v=""/>
    <s v=""/>
    <s v=""/>
    <s v=""/>
    <m/>
    <s v="MRF"/>
    <s v="NON-OPERATIONAL"/>
    <s v="Technical Assistance"/>
    <m/>
  </r>
  <r>
    <x v="6"/>
    <x v="119"/>
    <s v="OUTSIDE MBA"/>
    <s v="Balaybay"/>
    <n v="11064"/>
    <n v="10127"/>
    <s v="CONDUCTED TECHNICAL ASSISTANCE"/>
    <n v="2025"/>
    <d v="2025-08-14T00:00:00"/>
    <x v="9"/>
    <s v="Ryan Ace R. Angel"/>
    <s v="Ryan Christian R. Nunag"/>
    <s v="Jun Guillermo"/>
    <s v="R3-2025-027578"/>
    <d v="2025-08-17T00:00:00"/>
    <d v="2025-08-18T00:00:00"/>
    <d v="2025-08-18T00:00:00"/>
    <d v="2025-08-18T00:00:00"/>
    <n v="1"/>
    <n v="1"/>
    <n v="1"/>
    <n v="1"/>
    <s v="Received by Planning"/>
    <s v="MRF"/>
    <s v="NON-OPERATIONAL"/>
    <s v="Technical Assistance"/>
    <m/>
  </r>
  <r>
    <x v="6"/>
    <x v="119"/>
    <s v="OUTSIDE MBA"/>
    <s v="Buenavista"/>
    <n v="850"/>
    <n v="851"/>
    <s v="CONDUCTED TECHNICAL ASSISTANCE"/>
    <n v="2025"/>
    <d v="2025-08-14T00:00:00"/>
    <x v="9"/>
    <s v="Ryan Ace R. Angel"/>
    <s v="Ryan Christian R. Nunag"/>
    <s v="Jun Guillermo"/>
    <s v="R3-2025-027579"/>
    <d v="2025-08-17T00:00:00"/>
    <d v="2025-08-18T00:00:00"/>
    <d v="2025-08-18T00:00:00"/>
    <d v="2025-08-18T00:00:00"/>
    <n v="1"/>
    <n v="1"/>
    <n v="1"/>
    <n v="1"/>
    <s v="Received by Planning"/>
    <s v="MRF"/>
    <s v="OPERATIONAL"/>
    <s v="Technical Assistance"/>
    <m/>
  </r>
  <r>
    <x v="6"/>
    <x v="119"/>
    <s v="OUTSIDE MBA"/>
    <s v="Del Pilar"/>
    <n v="9115"/>
    <n v="12139"/>
    <s v="CONDUCTED TECHNICAL ASSISTANCE"/>
    <n v="2024"/>
    <d v="2024-10-03T00:00:00"/>
    <x v="0"/>
    <s v="Larizze Anne Santos"/>
    <s v="Ryan Christian R. Nunag"/>
    <s v="Jun Guillermo"/>
    <m/>
    <m/>
    <m/>
    <m/>
    <m/>
    <s v=""/>
    <s v=""/>
    <s v=""/>
    <s v=""/>
    <m/>
    <s v="MRF"/>
    <s v="OPERATIONAL"/>
    <s v="Technical Assistance"/>
    <m/>
  </r>
  <r>
    <x v="6"/>
    <x v="119"/>
    <s v="OUTSIDE MBA"/>
    <s v="Looc"/>
    <n v="1954"/>
    <n v="1967"/>
    <s v="CONDUCTED TECHNICAL ASSISTANCE"/>
    <n v="2025"/>
    <d v="2025-08-14T00:00:00"/>
    <x v="9"/>
    <s v="Larizze Anne Santos"/>
    <s v="Ryan Christian R. Nunag"/>
    <s v="Jun Guillermo"/>
    <s v="R3-2025-027581"/>
    <d v="2025-08-17T00:00:00"/>
    <d v="2025-08-18T00:00:00"/>
    <d v="2025-08-18T00:00:00"/>
    <d v="2025-08-18T00:00:00"/>
    <n v="1"/>
    <n v="1"/>
    <n v="1"/>
    <n v="1"/>
    <s v="Received by Planning"/>
    <s v="MRF"/>
    <s v="OPERATIONAL"/>
    <s v="Technical Assistance"/>
    <m/>
  </r>
  <r>
    <x v="6"/>
    <x v="119"/>
    <s v="OUTSIDE MBA"/>
    <s v="Magsaysay"/>
    <n v="3466"/>
    <n v="3673"/>
    <s v="CONDUCTED TECHNICAL ASSISTANCE"/>
    <n v="2025"/>
    <d v="2025-08-14T00:00:00"/>
    <x v="9"/>
    <s v="Larizze Anne Santos"/>
    <s v="Ryan Christian R. Nunag"/>
    <s v="Jun Guillermo"/>
    <s v="R3-2025-027580"/>
    <d v="2025-08-17T00:00:00"/>
    <d v="2025-08-18T00:00:00"/>
    <d v="2025-08-18T00:00:00"/>
    <d v="2025-08-18T00:00:00"/>
    <n v="1"/>
    <n v="1"/>
    <n v="1"/>
    <n v="1"/>
    <s v="Received by Planning"/>
    <s v="MRF"/>
    <s v="OPERATIONAL"/>
    <s v="Technical Assistance"/>
    <m/>
  </r>
  <r>
    <x v="6"/>
    <x v="119"/>
    <s v="OUTSIDE MBA"/>
    <s v="Nagbayan"/>
    <n v="2978"/>
    <n v="3602"/>
    <s v="CONDUCTED TECHNICAL ASSISTANCE"/>
    <n v="2024"/>
    <d v="2024-11-14T00:00:00"/>
    <x v="0"/>
    <s v="Larizze Anne Santos"/>
    <s v="Ryan Christian R. Nunag"/>
    <s v="Jun Guillermo"/>
    <m/>
    <m/>
    <m/>
    <m/>
    <m/>
    <s v=""/>
    <s v=""/>
    <s v=""/>
    <s v=""/>
    <m/>
    <s v="MRF"/>
    <s v="OPERATIONAL"/>
    <s v="Technical Assistance"/>
    <m/>
  </r>
  <r>
    <x v="6"/>
    <x v="119"/>
    <s v="OUTSIDE MBA"/>
    <s v="Nagbunga"/>
    <n v="6202"/>
    <n v="6962"/>
    <s v="CONDUCTED TECHNICAL ASSISTANCE"/>
    <n v="2024"/>
    <d v="2024-11-14T00:00:00"/>
    <x v="0"/>
    <s v="Larizze Anne Santos"/>
    <s v="Ryan Christian R. Nunag"/>
    <s v="Jun Guillermo"/>
    <m/>
    <m/>
    <m/>
    <m/>
    <m/>
    <s v=""/>
    <s v=""/>
    <s v=""/>
    <s v=""/>
    <m/>
    <s v="MRF"/>
    <s v="OPERATIONAL"/>
    <s v="Technical Assistance"/>
    <m/>
  </r>
  <r>
    <x v="6"/>
    <x v="119"/>
    <s v="OUTSIDE MBA"/>
    <s v="San Agustin"/>
    <n v="4545"/>
    <n v="4827"/>
    <s v="CONDUCTED TECHNICAL ASSISTANCE"/>
    <n v="2025"/>
    <d v="2025-01-17T00:00:00"/>
    <x v="2"/>
    <s v="Larizze Anne Santos"/>
    <s v="Ryan Christian R. Nunag"/>
    <s v="Jun Guillermo"/>
    <s v="R3-2025-001649"/>
    <d v="2025-01-20T00:00:00"/>
    <d v="2025-01-21T00:00:00"/>
    <d v="2025-01-21T00:00:00"/>
    <d v="2025-01-21T00:00:00"/>
    <n v="1"/>
    <n v="1"/>
    <n v="1"/>
    <n v="1"/>
    <s v="Received by Planning"/>
    <s v="MRF"/>
    <s v="OPERATIONAL"/>
    <s v="Technical Assistance"/>
    <m/>
  </r>
  <r>
    <x v="6"/>
    <x v="119"/>
    <s v="OUTSIDE MBA"/>
    <s v="San Jose (Pob.)"/>
    <n v="3589"/>
    <n v="3792"/>
    <s v="CONDUCTED TECHNICAL ASSISTANCE"/>
    <n v="2024"/>
    <d v="2024-11-14T00:00:00"/>
    <x v="0"/>
    <s v="Larizze Anne Santos"/>
    <s v="Ryan Christian R. Nunag"/>
    <s v="Jun Guillermo"/>
    <m/>
    <m/>
    <m/>
    <m/>
    <m/>
    <s v=""/>
    <s v=""/>
    <s v=""/>
    <s v=""/>
    <m/>
    <s v="MRF"/>
    <s v="OPERATIONAL"/>
    <s v="Technical Assistance"/>
    <m/>
  </r>
  <r>
    <x v="6"/>
    <x v="119"/>
    <s v="OUTSIDE MBA"/>
    <s v="San Juan (Pob.)"/>
    <n v="991"/>
    <n v="989"/>
    <s v="CONDUCTED TECHNICAL ASSISTANCE"/>
    <n v="2024"/>
    <d v="2024-10-03T00:00:00"/>
    <x v="0"/>
    <s v="Larizze Anne Santos"/>
    <s v="Ryan Christian R. Nunag"/>
    <s v="Jun Guillermo"/>
    <m/>
    <m/>
    <m/>
    <m/>
    <m/>
    <s v=""/>
    <s v=""/>
    <s v=""/>
    <s v=""/>
    <m/>
    <s v="MRF"/>
    <s v="OPERATIONAL"/>
    <s v="Technical Assistance"/>
    <m/>
  </r>
  <r>
    <x v="6"/>
    <x v="119"/>
    <s v="OUTSIDE MBA"/>
    <s v="San Nicolas"/>
    <n v="4893"/>
    <n v="4388"/>
    <s v="CONDUCTED TECHNICAL ASSISTANCE"/>
    <n v="2024"/>
    <d v="2024-11-14T00:00:00"/>
    <x v="0"/>
    <s v="Larizze Anne Santos"/>
    <s v="Ryan Christian R. Nunag"/>
    <s v="Jun Guillermo"/>
    <m/>
    <m/>
    <m/>
    <m/>
    <m/>
    <s v=""/>
    <s v=""/>
    <s v=""/>
    <s v=""/>
    <m/>
    <s v="MRF"/>
    <s v="OPERATIONAL"/>
    <s v="Technical Assistance"/>
    <m/>
  </r>
  <r>
    <x v="6"/>
    <x v="119"/>
    <s v="OUTSIDE MBA"/>
    <s v="San Pablo (Pob.)"/>
    <n v="11579"/>
    <n v="11139"/>
    <s v="CONDUCTED TECHNICAL ASSISTANCE"/>
    <n v="2024"/>
    <d v="2024-10-03T00:00:00"/>
    <x v="0"/>
    <s v="Larizze Anne Santos"/>
    <s v="Ryan Christian R. Nunag"/>
    <s v="Jun Guillermo"/>
    <m/>
    <m/>
    <m/>
    <m/>
    <m/>
    <s v=""/>
    <s v=""/>
    <s v=""/>
    <s v=""/>
    <m/>
    <s v="MRF"/>
    <s v="OPERATIONAL"/>
    <s v="Technical Assistance"/>
    <m/>
  </r>
  <r>
    <x v="6"/>
    <x v="119"/>
    <s v="OUTSIDE MBA"/>
    <s v="San Roque"/>
    <n v="1571"/>
    <n v="1422"/>
    <s v="CONDUCTED TECHNICAL ASSISTANCE"/>
    <n v="2024"/>
    <d v="2024-10-03T00:00:00"/>
    <x v="0"/>
    <s v="Larizze Anne Santos"/>
    <s v="Ryan Christian R. Nunag"/>
    <s v="Jun Guillermo"/>
    <m/>
    <m/>
    <m/>
    <m/>
    <m/>
    <s v=""/>
    <s v=""/>
    <s v=""/>
    <s v=""/>
    <m/>
    <s v="MRF"/>
    <s v="OPERATIONAL"/>
    <s v="Technical Assistance"/>
    <m/>
  </r>
  <r>
    <x v="6"/>
    <x v="119"/>
    <s v="OUTSIDE MBA"/>
    <s v="Santa Maria"/>
    <n v="2044"/>
    <n v="2011"/>
    <s v="CONDUCTED TECHNICAL ASSISTANCE"/>
    <n v="2024"/>
    <d v="2024-05-16T00:00:00"/>
    <x v="0"/>
    <s v="Larizze Anne Santos"/>
    <s v="Ryan Christian R. Nunag"/>
    <s v="Jun Guillermo"/>
    <m/>
    <m/>
    <m/>
    <m/>
    <m/>
    <s v=""/>
    <s v=""/>
    <s v=""/>
    <s v=""/>
    <m/>
    <s v="MRF"/>
    <s v="OPERATIONAL"/>
    <s v="Technical Assistance"/>
    <m/>
  </r>
  <r>
    <x v="6"/>
    <x v="120"/>
    <s v="OUTSIDE MBA"/>
    <s v="Amungan"/>
    <n v="9017"/>
    <n v="10714"/>
    <s v="CONDUCTED TECHNICAL ASSISTANCE"/>
    <n v="2024"/>
    <d v="2024-05-15T00:00:00"/>
    <x v="0"/>
    <s v="Larizze Anne Santos"/>
    <s v="Ryan Christian R. Nunag"/>
    <s v="Jun Guillermo"/>
    <m/>
    <m/>
    <m/>
    <m/>
    <m/>
    <s v=""/>
    <s v=""/>
    <s v=""/>
    <s v=""/>
    <m/>
    <s v="MRF"/>
    <s v="OPERATIONAL"/>
    <s v="Technical Assistance"/>
    <m/>
  </r>
  <r>
    <x v="6"/>
    <x v="120"/>
    <s v="OUTSIDE MBA"/>
    <s v="Bangantalinga"/>
    <n v="4759"/>
    <n v="5188"/>
    <s v="CONDUCTED TECHNICAL ASSISTANCE"/>
    <n v="2024"/>
    <d v="2024-07-16T00:00:00"/>
    <x v="0"/>
    <s v="Larizze Anne Santos"/>
    <s v="Ryan Christian R. Nunag"/>
    <s v="Jun Guillermo"/>
    <m/>
    <m/>
    <m/>
    <m/>
    <m/>
    <s v=""/>
    <s v=""/>
    <s v=""/>
    <s v=""/>
    <m/>
    <s v="MRF"/>
    <s v="OPERATIONAL"/>
    <s v="Technical Assistance"/>
    <m/>
  </r>
  <r>
    <x v="6"/>
    <x v="120"/>
    <s v="OUTSIDE MBA"/>
    <s v="Dirita-Baloguen"/>
    <n v="3162"/>
    <n v="3763"/>
    <s v="CONDUCTED TECHNICAL ASSISTANCE"/>
    <n v="2024"/>
    <d v="2024-05-15T00:00:00"/>
    <x v="0"/>
    <s v="Larizze Anne Santos"/>
    <s v="Ryan Christian R. Nunag"/>
    <s v="Jun Guillermo"/>
    <m/>
    <m/>
    <m/>
    <m/>
    <m/>
    <s v=""/>
    <s v=""/>
    <s v=""/>
    <s v=""/>
    <m/>
    <s v="MRF"/>
    <s v="OPERATIONAL"/>
    <s v="Technical Assistance"/>
    <m/>
  </r>
  <r>
    <x v="6"/>
    <x v="120"/>
    <s v="OUTSIDE MBA"/>
    <s v="Lipay-Dingin-Panibuatan"/>
    <n v="2987"/>
    <n v="3406"/>
    <s v="CONDUCTED TECHNICAL ASSISTANCE"/>
    <n v="2024"/>
    <d v="2024-07-16T00:00:00"/>
    <x v="0"/>
    <s v="Larizze Anne Santos"/>
    <s v="Ryan Christian R. Nunag"/>
    <s v="Jun Guillermo"/>
    <m/>
    <m/>
    <m/>
    <m/>
    <m/>
    <s v=""/>
    <s v=""/>
    <s v=""/>
    <s v=""/>
    <m/>
    <s v="MRS"/>
    <s v="CATER BY LGU"/>
    <s v="Technical Assistance"/>
    <m/>
  </r>
  <r>
    <x v="6"/>
    <x v="120"/>
    <s v="OUTSIDE MBA"/>
    <s v="Palanginan"/>
    <n v="10413"/>
    <n v="10973"/>
    <s v="CONDUCTED TECHNICAL ASSISTANCE"/>
    <n v="2024"/>
    <d v="2024-07-16T00:00:00"/>
    <x v="0"/>
    <s v="Larizze Anne Santos"/>
    <s v="Ryan Christian R. Nunag"/>
    <s v="Jun Guillermo"/>
    <m/>
    <m/>
    <m/>
    <m/>
    <m/>
    <s v=""/>
    <s v=""/>
    <s v=""/>
    <s v=""/>
    <m/>
    <s v="MRS"/>
    <s v="CATER BY LGU"/>
    <s v="Technical Assistance"/>
    <m/>
  </r>
  <r>
    <x v="6"/>
    <x v="120"/>
    <s v="OUTSIDE MBA"/>
    <s v="San Agustin"/>
    <n v="5609"/>
    <n v="6301"/>
    <s v="CONDUCTED TECHNICAL ASSISTANCE"/>
    <n v="2024"/>
    <d v="2024-07-16T00:00:00"/>
    <x v="0"/>
    <s v="Larizze Anne Santos"/>
    <s v="Ryan Christian R. Nunag"/>
    <s v="Jun Guillermo"/>
    <m/>
    <m/>
    <m/>
    <m/>
    <m/>
    <s v=""/>
    <s v=""/>
    <s v=""/>
    <s v=""/>
    <m/>
    <s v="MRF"/>
    <s v="OPERATIONAL"/>
    <s v="Technical Assistance"/>
    <m/>
  </r>
  <r>
    <x v="6"/>
    <x v="120"/>
    <s v="OUTSIDE MBA"/>
    <s v="Santa Barbara"/>
    <n v="4345"/>
    <n v="4526"/>
    <s v="CONDUCTED TECHNICAL ASSISTANCE"/>
    <n v="2024"/>
    <d v="2024-05-15T00:00:00"/>
    <x v="0"/>
    <s v="Larizze Anne Santos"/>
    <s v="Ryan Christian R. Nunag"/>
    <s v="Jun Guillermo"/>
    <m/>
    <m/>
    <m/>
    <m/>
    <m/>
    <s v=""/>
    <s v=""/>
    <s v=""/>
    <s v=""/>
    <m/>
    <s v="MRF"/>
    <s v="OPERATIONAL"/>
    <s v="Technical Assistance"/>
    <m/>
  </r>
  <r>
    <x v="6"/>
    <x v="120"/>
    <s v="OUTSIDE MBA"/>
    <s v="Santo Rosario"/>
    <n v="3979"/>
    <n v="4366"/>
    <s v="CONDUCTED TECHNICAL ASSISTANCE"/>
    <n v="2024"/>
    <d v="2024-09-17T00:00:00"/>
    <x v="0"/>
    <s v="Larizze Anne Santos"/>
    <s v="Ryan Christian R. Nunag"/>
    <s v="Jun Guillermo"/>
    <m/>
    <m/>
    <m/>
    <m/>
    <m/>
    <s v=""/>
    <s v=""/>
    <s v=""/>
    <s v=""/>
    <m/>
    <s v="MRS"/>
    <s v="CATER BY LGU"/>
    <s v="Technical Assistance"/>
    <m/>
  </r>
  <r>
    <x v="6"/>
    <x v="120"/>
    <s v="OUTSIDE MBA"/>
    <s v="Zone 1 Pob."/>
    <n v="2136"/>
    <n v="2403"/>
    <s v="CONDUCTED TECHNICAL ASSISTANCE"/>
    <n v="2024"/>
    <d v="2024-09-17T00:00:00"/>
    <x v="0"/>
    <s v="Larizze Anne Santos"/>
    <s v="Ryan Christian R. Nunag"/>
    <s v="Jun Guillermo"/>
    <m/>
    <m/>
    <m/>
    <m/>
    <m/>
    <s v=""/>
    <s v=""/>
    <s v=""/>
    <s v=""/>
    <m/>
    <s v="MRS"/>
    <s v="CATER BY LGU"/>
    <s v="Technical Assistance"/>
    <m/>
  </r>
  <r>
    <x v="6"/>
    <x v="120"/>
    <s v="OUTSIDE MBA"/>
    <s v="Zone 2 Pob."/>
    <n v="860"/>
    <n v="755"/>
    <s v="CONDUCTED TECHNICAL ASSISTANCE"/>
    <n v="2024"/>
    <d v="2024-10-16T00:00:00"/>
    <x v="0"/>
    <s v="Larizze Anne Santos"/>
    <s v="Ryan Christian R. Nunag"/>
    <s v="Jun Guillermo"/>
    <m/>
    <m/>
    <m/>
    <m/>
    <m/>
    <s v=""/>
    <s v=""/>
    <s v=""/>
    <s v=""/>
    <m/>
    <s v="MRS"/>
    <s v="OPERATIONAL"/>
    <s v="Technical Assistance"/>
    <m/>
  </r>
  <r>
    <x v="6"/>
    <x v="120"/>
    <s v="OUTSIDE MBA"/>
    <s v="Zone 3 Pob."/>
    <n v="415"/>
    <n v="549"/>
    <s v="CONDUCTED TECHNICAL ASSISTANCE"/>
    <n v="2024"/>
    <d v="2024-10-16T00:00:00"/>
    <x v="0"/>
    <s v="Larizze Anne Santos"/>
    <s v="Ryan Christian R. Nunag"/>
    <s v="Jun Guillermo"/>
    <m/>
    <m/>
    <m/>
    <m/>
    <m/>
    <s v=""/>
    <s v=""/>
    <s v=""/>
    <s v=""/>
    <m/>
    <s v="MRS"/>
    <s v="OPERATIONAL"/>
    <s v="Technical Assistance"/>
    <m/>
  </r>
  <r>
    <x v="6"/>
    <x v="120"/>
    <s v="OUTSIDE MBA"/>
    <s v="Zone 4 Pob."/>
    <n v="523"/>
    <n v="443"/>
    <s v="CONDUCTED TECHNICAL ASSISTANCE"/>
    <n v="2024"/>
    <d v="2024-10-16T00:00:00"/>
    <x v="0"/>
    <s v="Larizze Anne Santos"/>
    <s v="Ryan Christian R. Nunag"/>
    <s v="Jun Guillermo"/>
    <m/>
    <m/>
    <m/>
    <m/>
    <m/>
    <s v=""/>
    <s v=""/>
    <s v=""/>
    <s v=""/>
    <m/>
    <s v="MRS"/>
    <s v="OPERATIONAL"/>
    <s v="Technical Assistance"/>
    <m/>
  </r>
  <r>
    <x v="6"/>
    <x v="120"/>
    <s v="OUTSIDE MBA"/>
    <s v="Zone 5 Pob."/>
    <n v="1611"/>
    <n v="1407"/>
    <s v="CONDUCTED TECHNICAL ASSISTANCE"/>
    <n v="2024"/>
    <d v="2024-10-16T00:00:00"/>
    <x v="0"/>
    <s v="Larizze Anne Santos"/>
    <s v="Ryan Christian R. Nunag"/>
    <s v="Jun Guillermo"/>
    <m/>
    <m/>
    <m/>
    <m/>
    <m/>
    <s v=""/>
    <s v=""/>
    <s v=""/>
    <s v=""/>
    <m/>
    <s v="MRS"/>
    <s v="OPERATIONAL"/>
    <s v="Technical Assistance"/>
    <m/>
  </r>
  <r>
    <x v="6"/>
    <x v="120"/>
    <s v="OUTSIDE MBA"/>
    <s v="Zone 6 Pob."/>
    <n v="690"/>
    <n v="787"/>
    <s v="CONDUCTED TECHNICAL ASSISTANCE"/>
    <n v="2024"/>
    <d v="2024-05-15T00:00:00"/>
    <x v="0"/>
    <s v="Larizze Anne Santos"/>
    <s v="Ryan Christian R. Nunag"/>
    <s v="Jun Guillermo"/>
    <m/>
    <m/>
    <m/>
    <m/>
    <m/>
    <s v=""/>
    <s v=""/>
    <s v=""/>
    <s v=""/>
    <m/>
    <s v="MRF"/>
    <s v="OPERATIONAL"/>
    <s v="Technical Assistance"/>
    <m/>
  </r>
  <r>
    <x v="6"/>
    <x v="121"/>
    <s v="OUTSIDE MBA"/>
    <s v="Baloganon"/>
    <n v="6783"/>
    <n v="7786"/>
    <s v="CONDUCTED TECHNICAL ASSISTANCE"/>
    <n v="2025"/>
    <d v="2025-03-12T00:00:00"/>
    <x v="1"/>
    <s v="Ryan Ace R. Angel"/>
    <s v="Ryan Christian R. Nunag"/>
    <s v="Jun Guillermo"/>
    <s v="R3-2025-008721"/>
    <d v="2025-03-14T00:00:00"/>
    <d v="2025-03-17T00:00:00"/>
    <d v="2025-03-17T00:00:00"/>
    <d v="2025-03-17T00:00:00"/>
    <n v="2"/>
    <n v="1"/>
    <n v="1"/>
    <n v="1"/>
    <s v="Received by Planning"/>
    <s v="NO FACILITY"/>
    <s v="CATER BY LGU"/>
    <s v="Technical Assistance"/>
    <m/>
  </r>
  <r>
    <x v="6"/>
    <x v="121"/>
    <s v="OUTSIDE MBA"/>
    <s v="Bamban"/>
    <n v="2429"/>
    <n v="2666"/>
    <s v="CONDUCTED TECHNICAL ASSISTANCE"/>
    <n v="2025"/>
    <d v="2025-02-12T00:00:00"/>
    <x v="3"/>
    <s v="Ryan Ace R. Angel"/>
    <s v="Ryan Christian R. Nunag"/>
    <s v="Jun Guillermo"/>
    <s v="R3-2025-005837"/>
    <d v="2025-02-18T00:00:00"/>
    <d v="2025-02-18T00:00:00"/>
    <d v="2025-02-18T00:00:00"/>
    <d v="2025-02-18T00:00:00"/>
    <n v="4"/>
    <n v="1"/>
    <n v="1"/>
    <n v="1"/>
    <s v="Received by Planning"/>
    <s v="MRS"/>
    <s v="OPERATIONAL"/>
    <s v="Technical Assistance"/>
    <m/>
  </r>
  <r>
    <x v="6"/>
    <x v="121"/>
    <s v="OUTSIDE MBA"/>
    <s v="Bani"/>
    <n v="3972"/>
    <n v="5818"/>
    <s v="CONDUCTED TECHNICAL ASSISTANCE"/>
    <n v="2024"/>
    <d v="2024-08-09T00:00:00"/>
    <x v="0"/>
    <s v="Ryan Ace R. Angel"/>
    <s v="Ryan Christian R. Nunag"/>
    <s v="Jun Guillermo"/>
    <m/>
    <m/>
    <m/>
    <m/>
    <m/>
    <s v=""/>
    <s v=""/>
    <s v=""/>
    <s v=""/>
    <m/>
    <s v="MRF"/>
    <s v="OPERATIONAL"/>
    <s v="Technical Assistance"/>
    <m/>
  </r>
  <r>
    <x v="6"/>
    <x v="121"/>
    <s v="OUTSIDE MBA"/>
    <s v="Collat"/>
    <n v="2781"/>
    <n v="3184"/>
    <s v="CONDUCTED TECHNICAL ASSISTANCE"/>
    <n v="2025"/>
    <d v="2025-03-12T00:00:00"/>
    <x v="1"/>
    <s v="Ryan Ace R. Angel"/>
    <s v="Ryan Christian R. Nunag"/>
    <s v="Jun Guillermo"/>
    <s v="R3-2025-008882"/>
    <d v="2025-03-17T00:00:00"/>
    <d v="2025-03-17T00:00:00"/>
    <d v="2025-03-17T00:00:00"/>
    <d v="2025-03-17T00:00:00"/>
    <n v="3"/>
    <n v="1"/>
    <n v="1"/>
    <n v="1"/>
    <s v="Received by Planning"/>
    <s v="MRF"/>
    <s v="OPERATIONAL"/>
    <s v="Technical Assistance"/>
    <m/>
  </r>
  <r>
    <x v="6"/>
    <x v="121"/>
    <s v="OUTSIDE MBA"/>
    <s v="Inhobol"/>
    <n v="8409"/>
    <n v="9799"/>
    <s v="CONDUCTED TECHNICAL ASSISTANCE"/>
    <n v="2025"/>
    <d v="2025-02-12T00:00:00"/>
    <x v="3"/>
    <s v="Ryan Ace R. Angel"/>
    <s v="Ryan Christian R. Nunag"/>
    <s v="Jun Guillermo"/>
    <s v="R3-2025-005838"/>
    <d v="2025-02-18T00:00:00"/>
    <d v="2025-02-18T00:00:00"/>
    <d v="2025-02-18T00:00:00"/>
    <d v="2025-02-18T00:00:00"/>
    <n v="4"/>
    <n v="1"/>
    <n v="1"/>
    <n v="1"/>
    <s v="Received by Planning"/>
    <s v="MRF"/>
    <s v="OPERATIONAL"/>
    <s v="Technical Assistance"/>
    <m/>
  </r>
  <r>
    <x v="6"/>
    <x v="121"/>
    <s v="OUTSIDE MBA"/>
    <s v="North Poblacion"/>
    <n v="1681"/>
    <n v="1672"/>
    <s v="CONDUCTED TECHNICAL ASSISTANCE"/>
    <n v="2024"/>
    <d v="2024-08-09T00:00:00"/>
    <x v="0"/>
    <s v="Ryan Ace R. Angel"/>
    <s v="Ryan Christian R. Nunag"/>
    <s v="Jun Guillermo"/>
    <m/>
    <m/>
    <m/>
    <m/>
    <m/>
    <s v=""/>
    <s v=""/>
    <s v=""/>
    <s v=""/>
    <m/>
    <s v="MRF"/>
    <s v="OPERATIONAL"/>
    <s v="Technical Assistance"/>
    <m/>
  </r>
  <r>
    <x v="6"/>
    <x v="121"/>
    <s v="OUTSIDE MBA"/>
    <s v="San Lorenzo"/>
    <n v="3151"/>
    <n v="3359"/>
    <s v="CONDUCTED TECHNICAL ASSISTANCE"/>
    <n v="2024"/>
    <d v="2024-08-09T00:00:00"/>
    <x v="0"/>
    <s v="Ryan Ace R. Angel"/>
    <s v="Ryan Christian R. Nunag"/>
    <s v="Jun Guillermo"/>
    <m/>
    <m/>
    <m/>
    <m/>
    <m/>
    <s v=""/>
    <s v=""/>
    <s v=""/>
    <s v=""/>
    <m/>
    <s v="MRF"/>
    <s v="OPERATIONAL"/>
    <s v="Technical Assistance"/>
    <m/>
  </r>
  <r>
    <x v="6"/>
    <x v="121"/>
    <s v="OUTSIDE MBA"/>
    <s v="San Salvador"/>
    <n v="2214"/>
    <n v="2544"/>
    <s v="NO TECHNICAL ASSISTANCE CONDUCTED"/>
    <m/>
    <m/>
    <x v="0"/>
    <s v="Ryan Ace R. Angel"/>
    <s v="Ryan Christian R. Nunag"/>
    <s v="Jun Guillermo"/>
    <m/>
    <m/>
    <m/>
    <m/>
    <m/>
    <s v=""/>
    <s v=""/>
    <s v=""/>
    <s v=""/>
    <m/>
    <m/>
    <m/>
    <m/>
    <m/>
  </r>
  <r>
    <x v="6"/>
    <x v="121"/>
    <s v="OUTSIDE MBA"/>
    <s v="Santa Rita"/>
    <n v="2840"/>
    <n v="3097"/>
    <s v="CONDUCTED TECHNICAL ASSISTANCE"/>
    <n v="2024"/>
    <d v="2024-08-09T00:00:00"/>
    <x v="0"/>
    <s v="Ryan Ace R. Angel"/>
    <s v="Ryan Christian R. Nunag"/>
    <s v="Jun Guillermo"/>
    <m/>
    <m/>
    <m/>
    <m/>
    <m/>
    <s v=""/>
    <s v=""/>
    <s v=""/>
    <s v=""/>
    <m/>
    <s v="MRF"/>
    <s v="NON-OPERATIONAL"/>
    <s v="Technical Assistance"/>
    <m/>
  </r>
  <r>
    <x v="6"/>
    <x v="121"/>
    <s v="OUTSIDE MBA"/>
    <s v="Santo Rosario"/>
    <n v="2102"/>
    <n v="2307"/>
    <s v="CONDUCTED TECHNICAL ASSISTANCE"/>
    <n v="2025"/>
    <d v="2025-02-12T00:00:00"/>
    <x v="3"/>
    <s v="Ryan Ace R. Angel"/>
    <s v="Ryan Christian R. Nunag"/>
    <s v="Jun Guillermo"/>
    <s v="R3-2025-005836"/>
    <d v="2025-02-18T00:00:00"/>
    <d v="2025-02-18T00:00:00"/>
    <d v="2025-02-18T00:00:00"/>
    <d v="2025-02-18T00:00:00"/>
    <n v="4"/>
    <n v="1"/>
    <n v="1"/>
    <n v="1"/>
    <s v="Received by Planning"/>
    <s v="MRS"/>
    <s v="OPERATIONAL"/>
    <s v="Technical Assistance"/>
    <m/>
  </r>
  <r>
    <x v="6"/>
    <x v="121"/>
    <s v="OUTSIDE MBA"/>
    <s v="South Poblacion"/>
    <n v="4112"/>
    <n v="4403"/>
    <s v="CONDUCTED TECHNICAL ASSISTANCE"/>
    <n v="2024"/>
    <d v="2024-08-09T00:00:00"/>
    <x v="0"/>
    <s v="Ryan Ace R. Angel"/>
    <s v="Ryan Christian R. Nunag"/>
    <s v="Jun Guillermo"/>
    <m/>
    <m/>
    <m/>
    <m/>
    <m/>
    <s v=""/>
    <s v=""/>
    <s v=""/>
    <s v=""/>
    <m/>
    <s v="MRF"/>
    <s v="OPERATIONAL"/>
    <s v="Technical Assistance"/>
    <m/>
  </r>
  <r>
    <x v="6"/>
    <x v="121"/>
    <s v="OUTSIDE MBA"/>
    <s v="Taltal"/>
    <n v="4541"/>
    <n v="4807"/>
    <s v="CONDUCTED TECHNICAL ASSISTANCE"/>
    <n v="2024"/>
    <d v="2024-08-09T00:00:00"/>
    <x v="0"/>
    <s v="Ryan Ace R. Angel"/>
    <s v="Ryan Christian R. Nunag"/>
    <s v="Jun Guillermo"/>
    <m/>
    <m/>
    <m/>
    <m/>
    <m/>
    <s v=""/>
    <s v=""/>
    <s v=""/>
    <s v=""/>
    <m/>
    <s v="MRF"/>
    <s v="OPERATIONAL"/>
    <s v="Technical Assistance"/>
    <m/>
  </r>
  <r>
    <x v="6"/>
    <x v="121"/>
    <s v="OUTSIDE MBA"/>
    <s v="Tapuac"/>
    <n v="2704"/>
    <n v="3087"/>
    <s v="CONDUCTED TECHNICAL ASSISTANCE"/>
    <n v="2024"/>
    <d v="2024-08-09T00:00:00"/>
    <x v="0"/>
    <s v="Ryan Ace R. Angel"/>
    <s v="Ryan Christian R. Nunag"/>
    <s v="Jun Guillermo"/>
    <m/>
    <m/>
    <m/>
    <m/>
    <m/>
    <s v=""/>
    <s v=""/>
    <s v=""/>
    <s v=""/>
    <m/>
    <s v="MRF"/>
    <s v="NON-OPERATIONAL"/>
    <s v="Technical Assistance"/>
    <m/>
  </r>
  <r>
    <x v="6"/>
    <x v="122"/>
    <s v="OUTSIDE MBA"/>
    <s v="Asinan"/>
    <n v="3445"/>
    <n v="3485"/>
    <s v="CONDUCTED TECHNICAL ASSISTANCE"/>
    <n v="2025"/>
    <d v="2025-09-16T00:00:00"/>
    <x v="7"/>
    <s v="Ryan Ace R. Angel"/>
    <s v="Ryan Christian R. Nunag"/>
    <s v="Jun Guillermo"/>
    <s v="R3-2025-031556"/>
    <d v="2025-09-18T00:00:00"/>
    <d v="2025-09-18T00:00:00"/>
    <d v="2025-09-18T00:00:00"/>
    <d v="2025-09-18T00:00:00"/>
    <n v="2"/>
    <n v="1"/>
    <n v="1"/>
    <n v="1"/>
    <s v="Received by Planning"/>
    <s v="MRF"/>
    <s v="OPERATIONAL"/>
    <s v="Technical Assistance"/>
    <m/>
  </r>
  <r>
    <x v="6"/>
    <x v="122"/>
    <s v="OUTSIDE MBA"/>
    <s v="Banicain"/>
    <n v="6851"/>
    <n v="7563"/>
    <s v="CONDUCTED TECHNICAL ASSISTANCE"/>
    <n v="2025"/>
    <d v="2025-09-16T00:00:00"/>
    <x v="7"/>
    <s v="Ryan Ace R. Angel"/>
    <s v="Ryan Christian R. Nunag"/>
    <s v="Jun Guillermo"/>
    <s v="R3-2025-031559"/>
    <d v="2025-09-18T00:00:00"/>
    <d v="2025-09-18T00:00:00"/>
    <d v="2025-09-18T00:00:00"/>
    <d v="2025-09-18T00:00:00"/>
    <n v="2"/>
    <n v="1"/>
    <n v="1"/>
    <n v="1"/>
    <s v="Received by Planning"/>
    <s v="MRS"/>
    <s v="OPERATIONAL"/>
    <s v="Technical Assistance"/>
    <m/>
  </r>
  <r>
    <x v="6"/>
    <x v="122"/>
    <s v="OUTSIDE MBA"/>
    <s v="Barreto"/>
    <n v="19340"/>
    <n v="21794"/>
    <s v="NO TECHNICAL ASSISTANCE CONDUCTED"/>
    <m/>
    <m/>
    <x v="0"/>
    <m/>
    <s v="Ryan Christian R. Nunag"/>
    <s v="Jun Guillermo"/>
    <m/>
    <m/>
    <m/>
    <m/>
    <m/>
    <s v=""/>
    <s v=""/>
    <s v=""/>
    <s v=""/>
    <m/>
    <m/>
    <m/>
    <m/>
    <m/>
  </r>
  <r>
    <x v="6"/>
    <x v="122"/>
    <s v="OUTSIDE MBA"/>
    <s v="East Bajac-bajac"/>
    <n v="17165"/>
    <n v="19387"/>
    <s v="CONDUCTED TECHNICAL ASSISTANCE"/>
    <n v="2025"/>
    <d v="2025-09-16T00:00:00"/>
    <x v="7"/>
    <s v="Ryan Ace R. Angel"/>
    <s v="Ryan Christian R. Nunag"/>
    <s v="Jun Guillermo"/>
    <s v=" R3-2025-031557"/>
    <d v="2025-09-18T00:00:00"/>
    <d v="2025-09-18T00:00:00"/>
    <d v="2025-09-18T00:00:00"/>
    <d v="2025-09-18T00:00:00"/>
    <n v="2"/>
    <n v="1"/>
    <n v="1"/>
    <n v="1"/>
    <s v="Received by Planning"/>
    <s v="MRS"/>
    <s v="OPERATIONAL"/>
    <s v="Technical Assistance"/>
    <m/>
  </r>
  <r>
    <x v="6"/>
    <x v="122"/>
    <s v="OUTSIDE MBA"/>
    <s v="East Tapinac"/>
    <n v="9253"/>
    <n v="9952"/>
    <s v="CONDUCTED TECHNICAL ASSISTANCE"/>
    <n v="2025"/>
    <d v="2025-09-16T00:00:00"/>
    <x v="7"/>
    <s v="Ryan Ace R. Angel"/>
    <s v="Ryan Christian R. Nunag"/>
    <s v="Jun Guillermo"/>
    <s v="R3-2025-031558"/>
    <d v="2025-09-18T00:00:00"/>
    <d v="2025-09-18T00:00:00"/>
    <d v="2025-09-18T00:00:00"/>
    <d v="2025-09-18T00:00:00"/>
    <n v="2"/>
    <n v="1"/>
    <n v="1"/>
    <n v="1"/>
    <s v="Received by Planning"/>
    <s v="MRS"/>
    <s v="OPERATIONAL"/>
    <s v="Technical Assistance"/>
    <m/>
  </r>
  <r>
    <x v="6"/>
    <x v="122"/>
    <s v="OUTSIDE MBA"/>
    <s v="Gordon Heights"/>
    <n v="27874"/>
    <n v="30729"/>
    <s v="NO TECHNICAL ASSISTANCE CONDUCTED"/>
    <m/>
    <m/>
    <x v="0"/>
    <m/>
    <s v="Ryan Christian R. Nunag"/>
    <s v="Jun Guillermo"/>
    <m/>
    <m/>
    <m/>
    <m/>
    <m/>
    <s v=""/>
    <s v=""/>
    <s v=""/>
    <s v=""/>
    <m/>
    <m/>
    <m/>
    <m/>
    <m/>
  </r>
  <r>
    <x v="6"/>
    <x v="122"/>
    <s v="OUTSIDE MBA"/>
    <s v="Kalaklan"/>
    <n v="13137"/>
    <n v="14703"/>
    <s v="NO TECHNICAL ASSISTANCE CONDUCTED"/>
    <m/>
    <m/>
    <x v="0"/>
    <m/>
    <s v="Ryan Christian R. Nunag"/>
    <s v="Jun Guillermo"/>
    <m/>
    <m/>
    <m/>
    <m/>
    <m/>
    <s v=""/>
    <s v=""/>
    <s v=""/>
    <s v=""/>
    <m/>
    <m/>
    <m/>
    <m/>
    <m/>
  </r>
  <r>
    <x v="6"/>
    <x v="122"/>
    <s v="OUTSIDE MBA"/>
    <s v="Mabayuan"/>
    <n v="10622"/>
    <n v="12436"/>
    <s v="NO TECHNICAL ASSISTANCE CONDUCTED"/>
    <m/>
    <m/>
    <x v="0"/>
    <m/>
    <s v="Ryan Christian R. Nunag"/>
    <s v="Jun Guillermo"/>
    <m/>
    <m/>
    <m/>
    <m/>
    <m/>
    <s v=""/>
    <s v=""/>
    <s v=""/>
    <s v=""/>
    <m/>
    <m/>
    <m/>
    <m/>
    <m/>
  </r>
  <r>
    <x v="6"/>
    <x v="122"/>
    <s v="OUTSIDE MBA"/>
    <s v="New Cabalan"/>
    <n v="27714"/>
    <n v="33349"/>
    <s v="NO TECHNICAL ASSISTANCE CONDUCTED"/>
    <m/>
    <m/>
    <x v="0"/>
    <m/>
    <s v="Ryan Christian R. Nunag"/>
    <s v="Jun Guillermo"/>
    <m/>
    <m/>
    <m/>
    <m/>
    <m/>
    <s v=""/>
    <s v=""/>
    <s v=""/>
    <s v=""/>
    <m/>
    <m/>
    <m/>
    <m/>
    <m/>
  </r>
  <r>
    <x v="6"/>
    <x v="122"/>
    <s v="OUTSIDE MBA"/>
    <s v="New Ilalim"/>
    <n v="1518"/>
    <n v="1561"/>
    <s v="CONDUCTED TECHNICAL ASSISTANCE"/>
    <n v="2025"/>
    <d v="2025-09-16T00:00:00"/>
    <x v="7"/>
    <s v="Ryan Ace R. Angel"/>
    <s v="Ryan Christian R. Nunag"/>
    <s v="Jun Guillermo"/>
    <s v="R3-2025-031560"/>
    <d v="2025-09-18T00:00:00"/>
    <d v="2025-09-18T00:00:00"/>
    <d v="2025-09-18T00:00:00"/>
    <d v="2025-09-18T00:00:00"/>
    <n v="2"/>
    <n v="1"/>
    <n v="1"/>
    <n v="1"/>
    <s v="Received by Planning"/>
    <s v="MRS"/>
    <s v="OPERATIONAL"/>
    <s v="Technical Assistance"/>
    <m/>
  </r>
  <r>
    <x v="6"/>
    <x v="122"/>
    <s v="OUTSIDE MBA"/>
    <s v="New Kababae"/>
    <n v="2404"/>
    <n v="2422"/>
    <s v="CONDUCTED TECHNICAL ASSISTANCE"/>
    <n v="2025"/>
    <d v="2025-09-16T00:00:00"/>
    <x v="7"/>
    <s v="Ryan Ace R. Angel"/>
    <s v="Ryan Christian R. Nunag"/>
    <s v="Jun Guillermo"/>
    <s v="R3-2025-031561"/>
    <d v="2025-09-18T00:00:00"/>
    <d v="2025-09-18T00:00:00"/>
    <d v="2025-09-18T00:00:00"/>
    <d v="2025-09-18T00:00:00"/>
    <n v="2"/>
    <n v="1"/>
    <n v="1"/>
    <n v="1"/>
    <s v="Received by Planning"/>
    <s v="MRS"/>
    <s v="OPERATIONAL"/>
    <s v="Technical Assistance"/>
    <m/>
  </r>
  <r>
    <x v="6"/>
    <x v="122"/>
    <s v="OUTSIDE MBA"/>
    <s v="New Kalalake"/>
    <n v="9808"/>
    <n v="10296"/>
    <s v="CONDUCTED TECHNICAL ASSISTANCE"/>
    <n v="2025"/>
    <d v="2025-09-16T00:00:00"/>
    <x v="7"/>
    <s v="Ryan Ace R. Angel"/>
    <s v="Ryan Christian R. Nunag"/>
    <s v="Jun Guillermo"/>
    <s v="R3-2025-031562"/>
    <d v="2025-09-18T00:00:00"/>
    <d v="2025-09-18T00:00:00"/>
    <d v="2025-09-18T00:00:00"/>
    <d v="2025-09-18T00:00:00"/>
    <n v="2"/>
    <n v="1"/>
    <n v="1"/>
    <n v="1"/>
    <s v="Received by Planning"/>
    <s v="MRS"/>
    <s v="OPERATIONAL"/>
    <s v="Technical Assistance"/>
    <m/>
  </r>
  <r>
    <x v="6"/>
    <x v="122"/>
    <s v="OUTSIDE MBA"/>
    <s v="Old Cabalan"/>
    <n v="19274"/>
    <n v="23401"/>
    <s v="NO TECHNICAL ASSISTANCE CONDUCTED"/>
    <m/>
    <m/>
    <x v="0"/>
    <m/>
    <s v="Ryan Christian R. Nunag"/>
    <s v="Jun Guillermo"/>
    <m/>
    <m/>
    <m/>
    <m/>
    <m/>
    <s v=""/>
    <s v=""/>
    <s v=""/>
    <s v=""/>
    <m/>
    <m/>
    <m/>
    <m/>
    <m/>
  </r>
  <r>
    <x v="6"/>
    <x v="122"/>
    <s v="OUTSIDE MBA"/>
    <s v="Pag-asa"/>
    <n v="6070"/>
    <n v="6593"/>
    <s v="CONDUCTED TECHNICAL ASSISTANCE"/>
    <n v="2025"/>
    <d v="2025-09-16T00:00:00"/>
    <x v="7"/>
    <s v="Ryan Ace R. Angel"/>
    <s v="Ryan Christian R. Nunag"/>
    <s v="Jun Guillermo"/>
    <s v="R3-2025-031563"/>
    <d v="2025-09-18T00:00:00"/>
    <d v="2025-09-18T00:00:00"/>
    <d v="2025-09-18T00:00:00"/>
    <d v="2025-09-18T00:00:00"/>
    <n v="2"/>
    <n v="1"/>
    <n v="1"/>
    <n v="1"/>
    <s v="Received by Planning"/>
    <s v="MRF"/>
    <s v="OPERATIONAL"/>
    <s v="Technical Assistance"/>
    <m/>
  </r>
  <r>
    <x v="6"/>
    <x v="122"/>
    <s v="OUTSIDE MBA"/>
    <s v="Santa Rita"/>
    <n v="43632"/>
    <n v="47034"/>
    <s v="NO TECHNICAL ASSISTANCE CONDUCTED"/>
    <m/>
    <m/>
    <x v="0"/>
    <m/>
    <s v="Ryan Christian R. Nunag"/>
    <s v="Jun Guillermo"/>
    <m/>
    <m/>
    <m/>
    <m/>
    <m/>
    <s v=""/>
    <s v=""/>
    <s v=""/>
    <s v=""/>
    <m/>
    <m/>
    <m/>
    <m/>
    <m/>
  </r>
  <r>
    <x v="6"/>
    <x v="122"/>
    <s v="OUTSIDE MBA"/>
    <s v="West Bajac-bajac"/>
    <n v="8007"/>
    <n v="8433"/>
    <s v="CONDUCTED TECHNICAL ASSISTANCE"/>
    <n v="2025"/>
    <d v="2025-09-16T00:00:00"/>
    <x v="7"/>
    <s v="Ryan Ace R. Angel"/>
    <s v="Ryan Christian R. Nunag"/>
    <s v="Jun Guillermo"/>
    <s v="R3-2025-031564"/>
    <d v="2025-09-18T00:00:00"/>
    <d v="2025-09-18T00:00:00"/>
    <d v="2025-09-18T00:00:00"/>
    <d v="2025-09-18T00:00:00"/>
    <n v="2"/>
    <n v="1"/>
    <n v="1"/>
    <n v="1"/>
    <s v="Received by Planning"/>
    <s v="MRS"/>
    <s v="OPERATIONAL"/>
    <s v="Technical Assistance"/>
    <m/>
  </r>
  <r>
    <x v="6"/>
    <x v="122"/>
    <s v="OUTSIDE MBA"/>
    <s v="West Tapinac"/>
    <n v="6926"/>
    <n v="7179"/>
    <s v="CONDUCTED TECHNICAL ASSISTANCE"/>
    <n v="2025"/>
    <d v="2025-09-16T00:00:00"/>
    <x v="7"/>
    <s v="Ryan Ace R. Angel"/>
    <s v="Ryan Christian R. Nunag"/>
    <s v="Jun Guillermo"/>
    <s v="R3-2025-031565"/>
    <d v="2025-09-18T00:00:00"/>
    <d v="2025-09-18T00:00:00"/>
    <d v="2025-09-18T00:00:00"/>
    <d v="2025-09-18T00:00:00"/>
    <n v="2"/>
    <n v="1"/>
    <n v="1"/>
    <n v="1"/>
    <s v="Received by Planning"/>
    <s v="MRS"/>
    <s v="OPERATIONAL"/>
    <s v="Technical Assistance"/>
    <m/>
  </r>
  <r>
    <x v="6"/>
    <x v="123"/>
    <s v="OUTSIDE MBA"/>
    <s v="Alwa"/>
    <n v="672"/>
    <n v="820"/>
    <s v="CONDUCTED TECHNICAL ASSISTANCE"/>
    <n v="2024"/>
    <d v="2024-06-04T00:00:00"/>
    <x v="0"/>
    <s v="Ryan Ace R. Angel"/>
    <s v="Ryan Christian R. Nunag"/>
    <s v="Jun Guillermo"/>
    <m/>
    <m/>
    <m/>
    <m/>
    <m/>
    <s v=""/>
    <s v=""/>
    <s v=""/>
    <s v=""/>
    <m/>
    <s v="MRS"/>
    <s v="NON-OPERATIONAL"/>
    <s v="Technical Assistance"/>
    <m/>
  </r>
  <r>
    <x v="6"/>
    <x v="123"/>
    <s v="OUTSIDE MBA"/>
    <s v="Bato"/>
    <n v="1912"/>
    <n v="2010"/>
    <s v="CONDUCTED TECHNICAL ASSISTANCE"/>
    <n v="2024"/>
    <d v="2024-06-04T00:00:00"/>
    <x v="0"/>
    <s v="Ryan Ace R. Angel"/>
    <s v="Ryan Christian R. Nunag"/>
    <s v="Jun Guillermo"/>
    <m/>
    <m/>
    <m/>
    <m/>
    <m/>
    <s v=""/>
    <s v=""/>
    <s v=""/>
    <s v=""/>
    <m/>
    <s v="MRS"/>
    <s v="CATER BY LGU"/>
    <s v="Technical Assistance"/>
    <m/>
  </r>
  <r>
    <x v="6"/>
    <x v="123"/>
    <s v="OUTSIDE MBA"/>
    <s v="Bulawen"/>
    <n v="4939"/>
    <n v="5284"/>
    <s v="CONDUCTED TECHNICAL ASSISTANCE"/>
    <n v="2025"/>
    <d v="2025-01-21T00:00:00"/>
    <x v="2"/>
    <s v="Ryan Ace R. Angel"/>
    <s v="Ryan Christian R. Nunag"/>
    <s v="Jun Guillermo"/>
    <s v="R3-2025-002215"/>
    <d v="2025-01-23T00:00:00"/>
    <d v="2025-01-23T00:00:00"/>
    <d v="2025-01-23T00:00:00"/>
    <d v="2025-01-23T00:00:00"/>
    <n v="2"/>
    <n v="1"/>
    <n v="1"/>
    <n v="1"/>
    <s v="Received by Planning"/>
    <s v="MRS"/>
    <s v="CATER BY LGU"/>
    <s v="Technical Assistance"/>
    <m/>
  </r>
  <r>
    <x v="6"/>
    <x v="123"/>
    <s v="OUTSIDE MBA"/>
    <s v="Cauyan"/>
    <n v="1081"/>
    <n v="1142"/>
    <s v="CONDUCTED TECHNICAL ASSISTANCE"/>
    <n v="2024"/>
    <d v="2024-11-20T00:00:00"/>
    <x v="0"/>
    <s v="Ryan Ace R. Angel"/>
    <s v="Ryan Christian R. Nunag"/>
    <s v="Jun Guillermo"/>
    <m/>
    <m/>
    <m/>
    <m/>
    <m/>
    <s v=""/>
    <s v=""/>
    <s v=""/>
    <s v=""/>
    <m/>
    <s v="MRF"/>
    <s v="OPERATIONAL"/>
    <s v="Technical Assistance"/>
    <m/>
  </r>
  <r>
    <x v="6"/>
    <x v="123"/>
    <s v="OUTSIDE MBA"/>
    <s v="East Poblacion"/>
    <n v="1641"/>
    <n v="1778"/>
    <s v="CONDUCTED TECHNICAL ASSISTANCE"/>
    <n v="2024"/>
    <d v="2024-09-04T00:00:00"/>
    <x v="0"/>
    <s v="Ryan Ace R. Angel"/>
    <s v="Ryan Christian R. Nunag"/>
    <s v="Jun Guillermo"/>
    <m/>
    <m/>
    <m/>
    <m/>
    <m/>
    <s v=""/>
    <s v=""/>
    <s v=""/>
    <s v=""/>
    <m/>
    <s v="MRS"/>
    <s v="OPERATIONAL"/>
    <s v="Technical Assistance"/>
    <m/>
  </r>
  <r>
    <x v="6"/>
    <x v="123"/>
    <s v="OUTSIDE MBA"/>
    <s v="Garreta"/>
    <n v="1369"/>
    <n v="1461"/>
    <s v="CONDUCTED TECHNICAL ASSISTANCE"/>
    <n v="2024"/>
    <d v="2024-11-20T00:00:00"/>
    <x v="0"/>
    <s v="Ryan Ace R. Angel"/>
    <s v="Ryan Christian R. Nunag"/>
    <s v="Jun Guillermo"/>
    <m/>
    <m/>
    <m/>
    <m/>
    <m/>
    <s v=""/>
    <s v=""/>
    <s v=""/>
    <s v=""/>
    <m/>
    <s v="MRS"/>
    <s v="CATER BY LGU"/>
    <s v="Technical Assistance"/>
    <m/>
  </r>
  <r>
    <x v="6"/>
    <x v="123"/>
    <s v="OUTSIDE MBA"/>
    <s v="Libaba"/>
    <n v="740"/>
    <n v="896"/>
    <s v="CONDUCTED TECHNICAL ASSISTANCE"/>
    <n v="2024"/>
    <d v="2024-09-04T00:00:00"/>
    <x v="0"/>
    <s v="Ryan Ace R. Angel"/>
    <s v="Ryan Christian R. Nunag"/>
    <s v="Jun Guillermo"/>
    <m/>
    <m/>
    <m/>
    <m/>
    <m/>
    <s v=""/>
    <s v=""/>
    <s v=""/>
    <s v=""/>
    <m/>
    <s v="MRS"/>
    <s v="OPERATIONAL"/>
    <s v="Technical Assistance"/>
    <m/>
  </r>
  <r>
    <x v="6"/>
    <x v="123"/>
    <s v="OUTSIDE MBA"/>
    <s v="Liozon"/>
    <n v="3435"/>
    <n v="3613"/>
    <s v="CONDUCTED TECHNICAL ASSISTANCE"/>
    <n v="2025"/>
    <d v="2025-02-11T00:00:00"/>
    <x v="3"/>
    <s v="Ryan Ace R. Angel"/>
    <s v="Ryan Christian R. Nunag"/>
    <s v="Jun Guillermo"/>
    <s v="R3-2025-005514"/>
    <d v="2025-02-16T00:00:00"/>
    <d v="2025-02-17T00:00:00"/>
    <d v="2025-02-17T00:00:00"/>
    <d v="2025-02-17T00:00:00"/>
    <n v="3"/>
    <n v="1"/>
    <n v="1"/>
    <n v="1"/>
    <s v="Received by Planning"/>
    <s v="MRS"/>
    <s v="OPERATIONAL"/>
    <s v="Technical Assistance"/>
    <m/>
  </r>
  <r>
    <x v="6"/>
    <x v="123"/>
    <s v="OUTSIDE MBA"/>
    <s v="Lipay"/>
    <n v="2707"/>
    <n v="2906"/>
    <s v="CONDUCTED TECHNICAL ASSISTANCE"/>
    <n v="2025"/>
    <d v="2025-02-11T00:00:00"/>
    <x v="3"/>
    <s v="Ryan Ace R. Angel"/>
    <s v="Ryan Christian R. Nunag"/>
    <s v="Jun Guillermo"/>
    <s v="R3-2025-005515"/>
    <d v="2025-02-16T00:00:00"/>
    <d v="2025-02-17T00:00:00"/>
    <d v="2025-02-17T00:00:00"/>
    <d v="2025-02-17T00:00:00"/>
    <n v="3"/>
    <n v="1"/>
    <n v="1"/>
    <n v="1"/>
    <s v="Received by Planning"/>
    <s v="MRS"/>
    <s v="CATER BY LGU"/>
    <s v="Technical Assistance"/>
    <m/>
  </r>
  <r>
    <x v="6"/>
    <x v="123"/>
    <s v="OUTSIDE MBA"/>
    <s v="Locloc"/>
    <n v="1597"/>
    <n v="1938"/>
    <s v="CONDUCTED TECHNICAL ASSISTANCE"/>
    <n v="2025"/>
    <d v="2025-02-11T00:00:00"/>
    <x v="3"/>
    <s v="Ryan Ace R. Angel"/>
    <s v="Ryan Christian R. Nunag"/>
    <s v="Jun Guillermo"/>
    <s v="R3-2025-005516"/>
    <d v="2025-02-16T00:00:00"/>
    <d v="2025-02-17T00:00:00"/>
    <d v="2025-02-17T00:00:00"/>
    <d v="2025-02-17T00:00:00"/>
    <n v="3"/>
    <n v="1"/>
    <n v="1"/>
    <n v="1"/>
    <s v="Received by Planning"/>
    <s v="MRS"/>
    <s v="OPERATIONAL"/>
    <s v="Technical Assistance"/>
    <m/>
  </r>
  <r>
    <x v="6"/>
    <x v="123"/>
    <s v="OUTSIDE MBA"/>
    <s v="Macarang"/>
    <n v="1545"/>
    <n v="1746"/>
    <s v="CONDUCTED TECHNICAL ASSISTANCE"/>
    <n v="2024"/>
    <d v="2024-06-04T00:00:00"/>
    <x v="0"/>
    <s v="Ryan Ace R. Angel"/>
    <s v="Ryan Christian R. Nunag"/>
    <s v="Jun Guillermo"/>
    <m/>
    <m/>
    <m/>
    <m/>
    <m/>
    <s v=""/>
    <s v=""/>
    <s v=""/>
    <s v=""/>
    <m/>
    <s v="MRS"/>
    <s v="NON-OPERATIONAL"/>
    <s v="Technical Assistance"/>
    <m/>
  </r>
  <r>
    <x v="6"/>
    <x v="123"/>
    <s v="OUTSIDE MBA"/>
    <s v="Magalawa"/>
    <n v="373"/>
    <n v="419"/>
    <s v="NO TECHNICAL ASSISTANCE CONDUCTED"/>
    <m/>
    <m/>
    <x v="0"/>
    <s v="Ryan Ace R. Angel"/>
    <s v="Ryan Christian R. Nunag"/>
    <s v="Jun Guillermo"/>
    <m/>
    <m/>
    <m/>
    <m/>
    <m/>
    <s v=""/>
    <s v=""/>
    <s v=""/>
    <s v=""/>
    <m/>
    <m/>
    <m/>
    <m/>
    <m/>
  </r>
  <r>
    <x v="6"/>
    <x v="123"/>
    <s v="OUTSIDE MBA"/>
    <s v="Pangolingan"/>
    <n v="1791"/>
    <n v="2430"/>
    <s v="CONDUCTED TECHNICAL ASSISTANCE"/>
    <n v="2024"/>
    <d v="2024-09-04T00:00:00"/>
    <x v="0"/>
    <s v="Ryan Ace R. Angel"/>
    <s v="Ryan Christian R. Nunag"/>
    <s v="Jun Guillermo"/>
    <m/>
    <m/>
    <m/>
    <m/>
    <m/>
    <s v=""/>
    <s v=""/>
    <s v=""/>
    <s v=""/>
    <m/>
    <s v="MRS"/>
    <s v="OPERATIONAL"/>
    <s v="Technical Assistance"/>
    <m/>
  </r>
  <r>
    <x v="6"/>
    <x v="123"/>
    <s v="OUTSIDE MBA"/>
    <s v="Salaza"/>
    <n v="4126"/>
    <n v="5130"/>
    <s v="CONDUCTED TECHNICAL ASSISTANCE"/>
    <n v="2024"/>
    <d v="2024-09-04T00:00:00"/>
    <x v="0"/>
    <s v="Ryan Ace R. Angel"/>
    <s v="Ryan Christian R. Nunag"/>
    <s v="Jun Guillermo"/>
    <m/>
    <m/>
    <m/>
    <m/>
    <m/>
    <s v=""/>
    <s v=""/>
    <s v=""/>
    <s v=""/>
    <m/>
    <s v="MRS"/>
    <s v="OPERATIONAL"/>
    <s v="Technical Assistance"/>
    <m/>
  </r>
  <r>
    <x v="6"/>
    <x v="123"/>
    <s v="OUTSIDE MBA"/>
    <s v="San Juan"/>
    <n v="1209"/>
    <n v="1352"/>
    <s v="CONDUCTED TECHNICAL ASSISTANCE"/>
    <n v="2024"/>
    <d v="2024-09-04T00:00:00"/>
    <x v="0"/>
    <s v="Ryan Ace R. Angel"/>
    <s v="Ryan Christian R. Nunag"/>
    <s v="Jun Guillermo"/>
    <m/>
    <m/>
    <m/>
    <m/>
    <m/>
    <s v=""/>
    <s v=""/>
    <s v=""/>
    <s v=""/>
    <m/>
    <s v="MRS"/>
    <s v="OPERATIONAL"/>
    <s v="Technical Assistance"/>
    <m/>
  </r>
  <r>
    <x v="6"/>
    <x v="123"/>
    <s v="OUTSIDE MBA"/>
    <s v="Santo Niño"/>
    <n v="1739"/>
    <n v="2075"/>
    <s v="CONDUCTED TECHNICAL ASSISTANCE"/>
    <n v="2025"/>
    <d v="2025-02-11T00:00:00"/>
    <x v="3"/>
    <s v="Ryan Ace R. Angel"/>
    <s v="Ryan Christian R. Nunag"/>
    <s v="Jun Guillermo"/>
    <s v="R3-2025-005517 "/>
    <d v="2025-02-16T00:00:00"/>
    <d v="2025-02-17T00:00:00"/>
    <d v="2025-02-17T00:00:00"/>
    <d v="2025-02-17T00:00:00"/>
    <n v="3"/>
    <n v="1"/>
    <n v="1"/>
    <n v="1"/>
    <s v="Received by Planning"/>
    <s v="MRS"/>
    <s v="CATER BY LGU"/>
    <s v="Technical Assistance"/>
    <m/>
  </r>
  <r>
    <x v="6"/>
    <x v="123"/>
    <s v="OUTSIDE MBA"/>
    <s v="Santo Tomas"/>
    <n v="1384"/>
    <n v="1744"/>
    <s v="CONDUCTED TECHNICAL ASSISTANCE"/>
    <n v="2024"/>
    <d v="2024-06-04T00:00:00"/>
    <x v="0"/>
    <s v="Ryan Ace R. Angel"/>
    <s v="Ryan Christian R. Nunag"/>
    <s v="Jun Guillermo"/>
    <m/>
    <m/>
    <m/>
    <m/>
    <m/>
    <s v=""/>
    <s v=""/>
    <s v=""/>
    <s v=""/>
    <m/>
    <s v="MRF"/>
    <s v="NON-OPERATIONAL"/>
    <s v="Technical Assistance"/>
    <m/>
  </r>
  <r>
    <x v="6"/>
    <x v="123"/>
    <s v="OUTSIDE MBA"/>
    <s v="Tition (San Vicente)"/>
    <n v="1586"/>
    <n v="1858"/>
    <s v="CONDUCTED TECHNICAL ASSISTANCE"/>
    <n v="2025"/>
    <d v="2025-03-04T00:00:00"/>
    <x v="1"/>
    <s v="Ryan Ace R. Angel"/>
    <s v="Ryan Christian R. Nunag"/>
    <s v="Jun Guillermo"/>
    <s v="R3-2025-007991"/>
    <d v="2025-03-09T00:00:00"/>
    <d v="2025-03-12T00:00:00"/>
    <d v="2025-03-12T00:00:00"/>
    <d v="2025-03-12T00:00:00"/>
    <n v="3"/>
    <n v="2"/>
    <n v="1"/>
    <n v="1"/>
    <s v="Received by Planning"/>
    <s v="MRS"/>
    <s v="NON-OPERATIONAL"/>
    <s v="Technical Assistance"/>
    <m/>
  </r>
  <r>
    <x v="6"/>
    <x v="123"/>
    <s v="OUTSIDE MBA"/>
    <s v="West Poblacion"/>
    <n v="1101"/>
    <n v="1182"/>
    <s v="CONDUCTED TECHNICAL ASSISTANCE"/>
    <n v="2024"/>
    <d v="2024-11-20T00:00:00"/>
    <x v="0"/>
    <s v="Ryan Ace R. Angel"/>
    <s v="Ryan Christian R. Nunag"/>
    <s v="Jun Guillermo"/>
    <m/>
    <m/>
    <m/>
    <m/>
    <m/>
    <s v=""/>
    <s v=""/>
    <s v=""/>
    <s v=""/>
    <m/>
    <s v="MRS"/>
    <s v="CATER BY LGU"/>
    <s v="Technical Assistance"/>
    <m/>
  </r>
  <r>
    <x v="6"/>
    <x v="67"/>
    <s v="OUTSIDE MBA"/>
    <s v="Angeles"/>
    <n v="1854"/>
    <n v="2136"/>
    <s v="CONDUCTED TECHNICAL ASSISTANCE"/>
    <n v="2025"/>
    <d v="2025-07-17T00:00:00"/>
    <x v="8"/>
    <s v="Ryan Ace R. Angel"/>
    <s v="Ryan Christian R. Nunag"/>
    <s v="Jun Guillermo"/>
    <s v="R3-2025-024177"/>
    <d v="2025-07-18T00:00:00"/>
    <d v="2025-07-18T00:00:00"/>
    <d v="2025-07-18T00:00:00"/>
    <d v="2025-07-18T00:00:00"/>
    <n v="1"/>
    <n v="1"/>
    <n v="1"/>
    <n v="1"/>
    <s v="Received by Planning"/>
    <s v="MRF"/>
    <s v="OPERATIONAL"/>
    <s v="Technical Assistance"/>
    <m/>
  </r>
  <r>
    <x v="6"/>
    <x v="67"/>
    <s v="OUTSIDE MBA"/>
    <s v="Antipolo (Pob.)"/>
    <n v="1765"/>
    <n v="1940"/>
    <s v="CONDUCTED TECHNICAL ASSISTANCE"/>
    <n v="2025"/>
    <d v="2025-07-17T00:00:00"/>
    <x v="8"/>
    <s v="Ryan Ace R. Angel"/>
    <s v="Ryan Christian R. Nunag"/>
    <s v="Jun Guillermo"/>
    <s v="R3-2025-024182"/>
    <d v="2025-07-18T00:00:00"/>
    <d v="2025-07-18T00:00:00"/>
    <d v="2025-07-18T00:00:00"/>
    <d v="2025-07-18T00:00:00"/>
    <n v="1"/>
    <n v="1"/>
    <n v="1"/>
    <n v="1"/>
    <s v="Received by Planning"/>
    <s v="MRS"/>
    <s v="OPERATIONAL"/>
    <s v="Technical Assistance"/>
    <m/>
  </r>
  <r>
    <x v="6"/>
    <x v="67"/>
    <s v="OUTSIDE MBA"/>
    <s v="Burgos (Pob.)"/>
    <n v="5215"/>
    <n v="5898"/>
    <s v="CONDUCTED TECHNICAL ASSISTANCE"/>
    <n v="2024"/>
    <d v="2024-10-04T00:00:00"/>
    <x v="0"/>
    <m/>
    <s v="Ryan Christian R. Nunag"/>
    <s v="Jun Guillermo"/>
    <m/>
    <m/>
    <m/>
    <m/>
    <m/>
    <s v=""/>
    <s v=""/>
    <s v=""/>
    <s v=""/>
    <m/>
    <s v="MRF"/>
    <s v="OPERATIONAL"/>
    <s v="Technical Assistance"/>
    <m/>
  </r>
  <r>
    <x v="6"/>
    <x v="67"/>
    <s v="OUTSIDE MBA"/>
    <s v="East Dirita"/>
    <n v="3573"/>
    <n v="3852"/>
    <s v="CONDUCTED TECHNICAL ASSISTANCE"/>
    <s v="2024_x000a_2025"/>
    <d v="2025-07-17T00:00:00"/>
    <x v="8"/>
    <s v="Ryan Ace R. Angel"/>
    <s v="Ryan Christian R. Nunag"/>
    <s v="Jun Guillermo"/>
    <s v="R3-2025-024059"/>
    <d v="2025-07-18T00:00:00"/>
    <d v="2025-07-18T00:00:00"/>
    <d v="2025-07-18T00:00:00"/>
    <d v="2025-07-18T00:00:00"/>
    <n v="1"/>
    <n v="1"/>
    <n v="1"/>
    <n v="1"/>
    <s v="Received by Planning"/>
    <s v="MRF"/>
    <s v="OPERATIONAL"/>
    <s v="Technical Assistance"/>
    <m/>
  </r>
  <r>
    <x v="6"/>
    <x v="67"/>
    <s v="OUTSIDE MBA"/>
    <s v="Luna (Pob.)"/>
    <n v="2792"/>
    <n v="2675"/>
    <s v="CONDUCTED TECHNICAL ASSISTANCE"/>
    <n v="2025"/>
    <d v="2025-07-17T00:00:00"/>
    <x v="8"/>
    <s v="Ryan Ace R. Angel"/>
    <s v="Ryan Christian R. Nunag"/>
    <s v="Jun Guillermo"/>
    <s v="R3-2025-024183"/>
    <d v="2025-07-18T00:00:00"/>
    <d v="2025-07-18T00:00:00"/>
    <d v="2025-07-18T00:00:00"/>
    <d v="2025-07-18T00:00:00"/>
    <n v="1"/>
    <n v="1"/>
    <n v="1"/>
    <n v="1"/>
    <s v="Received by Planning"/>
    <s v="MRF"/>
    <s v="OPERATIONAL"/>
    <s v="Technical Assistance"/>
    <m/>
  </r>
  <r>
    <x v="6"/>
    <x v="67"/>
    <s v="OUTSIDE MBA"/>
    <s v="Pundaquit"/>
    <n v="2878"/>
    <n v="3476"/>
    <s v="CONDUCTED TECHNICAL ASSISTANCE"/>
    <n v="2024"/>
    <d v="2024-05-15T00:00:00"/>
    <x v="0"/>
    <m/>
    <s v="Ryan Christian R. Nunag"/>
    <s v="Jun Guillermo"/>
    <m/>
    <m/>
    <m/>
    <m/>
    <m/>
    <s v=""/>
    <s v=""/>
    <s v=""/>
    <s v=""/>
    <m/>
    <s v="MRF"/>
    <s v="OPERATIONAL"/>
    <s v="Technical Assistance"/>
    <m/>
  </r>
  <r>
    <x v="6"/>
    <x v="67"/>
    <s v="OUTSIDE MBA"/>
    <s v="Rizal"/>
    <n v="568"/>
    <n v="456"/>
    <s v="CONDUCTED TECHNICAL ASSISTANCE"/>
    <n v="2024"/>
    <d v="2024-05-15T00:00:00"/>
    <x v="0"/>
    <m/>
    <s v="Ryan Christian R. Nunag"/>
    <s v="Jun Guillermo"/>
    <m/>
    <m/>
    <m/>
    <m/>
    <m/>
    <s v=""/>
    <s v=""/>
    <s v=""/>
    <s v=""/>
    <m/>
    <s v="MRF"/>
    <s v="OPERATIONAL"/>
    <s v="Technical Assistance"/>
    <m/>
  </r>
  <r>
    <x v="6"/>
    <x v="67"/>
    <s v="OUTSIDE MBA"/>
    <s v="San Esteban"/>
    <n v="1525"/>
    <n v="1671"/>
    <s v="CONDUCTED TECHNICAL ASSISTANCE"/>
    <n v="2025"/>
    <d v="2025-07-17T00:00:00"/>
    <x v="8"/>
    <s v="Ryan Ace R. Angel"/>
    <s v="Ryan Christian R. Nunag"/>
    <s v="Jun Guillermo"/>
    <s v="R3-2025-024057"/>
    <d v="2025-07-18T00:00:00"/>
    <d v="2025-07-18T00:00:00"/>
    <d v="2025-07-18T00:00:00"/>
    <d v="2025-07-18T00:00:00"/>
    <n v="1"/>
    <n v="1"/>
    <n v="1"/>
    <n v="1"/>
    <s v="Received by Planning"/>
    <s v="MRF"/>
    <s v="OPERATIONAL"/>
    <s v="Technical Assistance"/>
    <m/>
  </r>
  <r>
    <x v="6"/>
    <x v="67"/>
    <s v="OUTSIDE MBA"/>
    <s v="San Gregorio (Pob.)"/>
    <n v="931"/>
    <n v="1013"/>
    <s v="CONDUCTED TECHNICAL ASSISTANCE"/>
    <n v="2025"/>
    <d v="2025-07-17T00:00:00"/>
    <x v="8"/>
    <s v="Ryan Ace R. Angel"/>
    <s v="Ryan Christian R. Nunag"/>
    <s v="Jun Guillermo"/>
    <s v="R3-2025-024185"/>
    <d v="2025-07-18T00:00:00"/>
    <d v="2025-07-18T00:00:00"/>
    <d v="2025-07-18T00:00:00"/>
    <d v="2025-07-18T00:00:00"/>
    <n v="1"/>
    <n v="1"/>
    <n v="1"/>
    <n v="1"/>
    <s v="Received by Planning"/>
    <s v="MRS"/>
    <s v="OPERATIONAL"/>
    <s v="Technical Assistance"/>
    <m/>
  </r>
  <r>
    <x v="6"/>
    <x v="67"/>
    <s v="OUTSIDE MBA"/>
    <s v="San Juan (Pob.)"/>
    <n v="1645"/>
    <n v="1634"/>
    <s v="CONDUCTED TECHNICAL ASSISTANCE"/>
    <n v="2024"/>
    <d v="2024-11-15T00:00:00"/>
    <x v="0"/>
    <m/>
    <s v="Ryan Christian R. Nunag"/>
    <s v="Jun Guillermo"/>
    <m/>
    <m/>
    <m/>
    <m/>
    <m/>
    <s v=""/>
    <s v=""/>
    <s v=""/>
    <s v=""/>
    <m/>
    <s v="MRF"/>
    <s v="OPERATIONAL"/>
    <s v="Technical Assistance"/>
    <m/>
  </r>
  <r>
    <x v="6"/>
    <x v="67"/>
    <s v="OUTSIDE MBA"/>
    <s v="San Miguel"/>
    <n v="4322"/>
    <n v="4079"/>
    <s v="CONDUCTED TECHNICAL ASSISTANCE"/>
    <n v="2024"/>
    <d v="2024-11-06T00:00:00"/>
    <x v="0"/>
    <m/>
    <s v="Ryan Christian R. Nunag"/>
    <s v="Jun Guillermo"/>
    <m/>
    <m/>
    <m/>
    <m/>
    <m/>
    <s v=""/>
    <s v=""/>
    <s v=""/>
    <s v=""/>
    <m/>
    <s v="MRF"/>
    <s v="OPERATIONAL"/>
    <s v="Technical Assistance"/>
    <m/>
  </r>
  <r>
    <x v="6"/>
    <x v="67"/>
    <s v="OUTSIDE MBA"/>
    <s v="San Nicolas (Pob.)"/>
    <n v="2933"/>
    <n v="3223"/>
    <s v="CONDUCTED TECHNICAL ASSISTANCE"/>
    <n v="2025"/>
    <d v="2025-07-17T00:00:00"/>
    <x v="8"/>
    <s v="Ryan Ace R. Angel"/>
    <s v="Ryan Christian R. Nunag"/>
    <s v="Jun Guillermo"/>
    <s v="R3-2025-024063"/>
    <d v="2025-07-18T00:00:00"/>
    <d v="2025-07-18T00:00:00"/>
    <d v="2025-07-18T00:00:00"/>
    <d v="2025-07-18T00:00:00"/>
    <n v="1"/>
    <n v="1"/>
    <n v="1"/>
    <n v="1"/>
    <s v="Received by Planning"/>
    <s v="MRS"/>
    <s v="OPERATIONAL"/>
    <s v="Technical Assistance"/>
    <m/>
  </r>
  <r>
    <x v="6"/>
    <x v="67"/>
    <s v="OUTSIDE MBA"/>
    <s v="Santiago"/>
    <n v="1513"/>
    <n v="1552"/>
    <s v="NO TECHNICAL ASSISTANCE CONDUCTED"/>
    <m/>
    <m/>
    <x v="0"/>
    <m/>
    <s v="Ryan Christian R. Nunag"/>
    <s v="Jun Guillermo"/>
    <m/>
    <m/>
    <m/>
    <m/>
    <m/>
    <s v=""/>
    <s v=""/>
    <s v=""/>
    <s v=""/>
    <m/>
    <m/>
    <m/>
    <m/>
    <m/>
  </r>
  <r>
    <x v="6"/>
    <x v="67"/>
    <s v="OUTSIDE MBA"/>
    <s v="West Dirita"/>
    <n v="3147"/>
    <n v="3845"/>
    <s v="CONDUCTED TECHNICAL ASSISTANCE"/>
    <n v="2024"/>
    <d v="2024-10-04T00:00:00"/>
    <x v="0"/>
    <m/>
    <s v="Ryan Christian R. Nunag"/>
    <s v="Jun Guillermo"/>
    <m/>
    <m/>
    <m/>
    <m/>
    <m/>
    <s v=""/>
    <s v=""/>
    <s v=""/>
    <s v=""/>
    <m/>
    <s v="MRF"/>
    <s v="OPERATIONAL"/>
    <s v="Technical Assistance"/>
    <m/>
  </r>
  <r>
    <x v="6"/>
    <x v="124"/>
    <s v="OUTSIDE MBA"/>
    <s v="Amagna (Pob.)"/>
    <n v="1259"/>
    <n v="1282"/>
    <s v="CONDUCTED TECHNICAL ASSISTANCE"/>
    <n v="2025"/>
    <d v="2025-10-15T00:00:00"/>
    <x v="5"/>
    <s v="Ryan Ace R. Angel"/>
    <s v="Ryan Christian R. Nunag"/>
    <s v="Jun Guillermo"/>
    <s v="R3-2025-035072"/>
    <d v="2025-10-16T00:00:00"/>
    <d v="2025-10-16T00:00:00"/>
    <d v="2025-10-16T00:00:00"/>
    <d v="2025-10-17T00:00:00"/>
    <n v="1"/>
    <n v="1"/>
    <n v="1"/>
    <n v="1"/>
    <s v="Received by Planning"/>
    <s v="MRS"/>
    <s v="OPERATIONAL"/>
    <s v="Technical Assistance"/>
    <m/>
  </r>
  <r>
    <x v="6"/>
    <x v="124"/>
    <s v="OUTSIDE MBA"/>
    <s v="Apostol (Pob.)"/>
    <n v="1832"/>
    <n v="1974"/>
    <s v="CONDUCTED TECHNICAL ASSISTANCE"/>
    <n v="2025"/>
    <d v="2025-04-11T00:00:00"/>
    <x v="4"/>
    <s v="Larizze Anne Santos"/>
    <s v="Ryan Christian R. Nunag"/>
    <s v="Jun Guillermo"/>
    <s v="R3-2025-012822"/>
    <d v="2025-04-14T00:00:00"/>
    <d v="2025-04-15T00:00:00"/>
    <d v="2025-04-21T00:00:00"/>
    <d v="2025-04-21T00:00:00"/>
    <n v="1"/>
    <n v="4"/>
    <n v="4"/>
    <n v="1"/>
    <s v="Received by Planning"/>
    <s v="MRF"/>
    <s v="OPERATIONAL"/>
    <s v="Technical Assistance"/>
    <m/>
  </r>
  <r>
    <x v="6"/>
    <x v="124"/>
    <s v="OUTSIDE MBA"/>
    <s v="Balincaguing"/>
    <n v="1027"/>
    <n v="1178"/>
    <s v="CONDUCTED TECHNICAL ASSISTANCE"/>
    <n v="2025"/>
    <d v="2025-11-11T00:00:00"/>
    <x v="11"/>
    <s v="Ryan Ace R. Angel"/>
    <s v="Ryan Christian R. Nunag"/>
    <s v="Jun Guillermo"/>
    <s v="R3-2025-037778"/>
    <d v="2025-11-11T00:00:00"/>
    <d v="2025-11-11T00:00:00"/>
    <d v="2025-11-12T00:00:00"/>
    <d v="2025-11-14T00:00:00"/>
    <n v="1"/>
    <n v="1"/>
    <n v="1"/>
    <n v="2"/>
    <s v="Received by Planning"/>
    <s v="MRF"/>
    <s v="OPERATIONAL"/>
    <s v="Technical Assistance"/>
    <m/>
  </r>
  <r>
    <x v="6"/>
    <x v="124"/>
    <s v="OUTSIDE MBA"/>
    <s v="Farañal (Pob.)"/>
    <n v="1672"/>
    <n v="1824"/>
    <s v="CONDUCTED TECHNICAL ASSISTANCE"/>
    <n v="2024"/>
    <d v="2024-06-14T00:00:00"/>
    <x v="0"/>
    <m/>
    <s v="Ryan Christian R. Nunag"/>
    <s v="Jun Guillermo"/>
    <m/>
    <m/>
    <m/>
    <m/>
    <m/>
    <s v=""/>
    <s v=""/>
    <s v=""/>
    <s v=""/>
    <m/>
    <s v="MRF"/>
    <s v="OPERATIONAL"/>
    <s v="Technical Assistance"/>
    <m/>
  </r>
  <r>
    <x v="6"/>
    <x v="124"/>
    <s v="OUTSIDE MBA"/>
    <s v="Feria (Pob.)"/>
    <n v="974"/>
    <n v="1093"/>
    <s v="CONDUCTED TECHNICAL ASSISTANCE"/>
    <n v="2025"/>
    <d v="2025-10-15T00:00:00"/>
    <x v="5"/>
    <s v="Ryan Ace R. Angel"/>
    <s v="Ryan Christian R. Nunag"/>
    <s v="Jun Guillermo"/>
    <s v="R3-2025-035073"/>
    <d v="2025-10-16T00:00:00"/>
    <d v="2025-10-16T00:00:00"/>
    <d v="2025-10-16T00:00:00"/>
    <d v="2025-10-17T00:00:00"/>
    <n v="1"/>
    <n v="1"/>
    <n v="1"/>
    <n v="1"/>
    <s v="Received by Planning"/>
    <s v="MRS"/>
    <s v="OPERATIONAL"/>
    <s v="Technical Assistance"/>
    <m/>
  </r>
  <r>
    <x v="6"/>
    <x v="124"/>
    <s v="OUTSIDE MBA"/>
    <s v="Maloma"/>
    <n v="5290"/>
    <n v="6048"/>
    <s v="CONDUCTED TECHNICAL ASSISTANCE"/>
    <n v="2024"/>
    <d v="2024-06-14T00:00:00"/>
    <x v="0"/>
    <m/>
    <s v="Ryan Christian R. Nunag"/>
    <s v="Jun Guillermo"/>
    <m/>
    <m/>
    <m/>
    <m/>
    <m/>
    <s v=""/>
    <s v=""/>
    <s v=""/>
    <s v=""/>
    <m/>
    <s v="MRF"/>
    <s v="OPERATIONAL"/>
    <s v="Technical Assistance"/>
    <m/>
  </r>
  <r>
    <x v="6"/>
    <x v="124"/>
    <s v="OUTSIDE MBA"/>
    <s v="Manglicmot (Pob.)"/>
    <n v="1723"/>
    <n v="1742"/>
    <s v="CONDUCTED TECHNICAL ASSISTANCE"/>
    <n v="2025"/>
    <d v="2025-05-16T00:00:00"/>
    <x v="6"/>
    <s v="Larizze Anne Santos"/>
    <s v="Ryan Christian R. Nunag"/>
    <s v="Jun Guillermo"/>
    <s v="R3-2025-016727"/>
    <d v="2025-05-19T00:00:00"/>
    <d v="2025-05-20T00:00:00"/>
    <d v="2025-05-20T00:00:00"/>
    <d v="2025-05-20T00:00:00"/>
    <n v="1"/>
    <n v="1"/>
    <n v="1"/>
    <n v="1"/>
    <s v="Received by Planning"/>
    <s v="NO FACILITY"/>
    <s v="CATER BY LGU"/>
    <s v="Technical Assistance"/>
    <m/>
  </r>
  <r>
    <x v="6"/>
    <x v="124"/>
    <s v="OUTSIDE MBA"/>
    <s v="Rosete (Pob.)"/>
    <n v="1520"/>
    <n v="1509"/>
    <s v="CONDUCTED TECHNICAL ASSISTANCE"/>
    <n v="2024"/>
    <d v="2024-06-14T00:00:00"/>
    <x v="0"/>
    <m/>
    <s v="Ryan Christian R. Nunag"/>
    <s v="Jun Guillermo"/>
    <m/>
    <m/>
    <m/>
    <m/>
    <m/>
    <s v=""/>
    <s v=""/>
    <s v=""/>
    <s v=""/>
    <m/>
    <s v="MRF"/>
    <s v="CATER BY LGU"/>
    <s v="Technical Assistance"/>
    <m/>
  </r>
  <r>
    <x v="6"/>
    <x v="124"/>
    <s v="OUTSIDE MBA"/>
    <s v="San Rafael"/>
    <n v="1296"/>
    <n v="1167"/>
    <s v="CONDUCTED TECHNICAL ASSISTANCE"/>
    <n v="2025"/>
    <d v="2025-05-16T00:00:00"/>
    <x v="6"/>
    <s v="Larizze Anne Santos"/>
    <s v="Ryan Christian R. Nunag"/>
    <s v="Jun Guillermo"/>
    <s v="R3-2025-016777"/>
    <d v="2025-05-19T00:00:00"/>
    <d v="2025-05-20T00:00:00"/>
    <d v="2025-05-20T00:00:00"/>
    <d v="2025-05-20T00:00:00"/>
    <n v="1"/>
    <n v="1"/>
    <n v="1"/>
    <n v="1"/>
    <s v="Received by Planning"/>
    <s v="MRF"/>
    <s v="OPERATIONAL"/>
    <s v="Technical Assistance"/>
    <m/>
  </r>
  <r>
    <x v="6"/>
    <x v="124"/>
    <s v="OUTSIDE MBA"/>
    <s v="Santo Niño"/>
    <n v="4307"/>
    <n v="4896"/>
    <s v="CONDUCTED TECHNICAL ASSISTANCE"/>
    <n v="2025"/>
    <d v="2025-05-16T00:00:00"/>
    <x v="6"/>
    <s v="Larizze Anne Santos"/>
    <s v="Ryan Christian R. Nunag"/>
    <s v="Jun Guillermo"/>
    <s v="R3-2025-016778"/>
    <d v="2025-05-19T00:00:00"/>
    <d v="2025-05-20T00:00:00"/>
    <d v="2025-05-20T00:00:00"/>
    <d v="2025-05-20T00:00:00"/>
    <n v="1"/>
    <n v="1"/>
    <n v="1"/>
    <n v="1"/>
    <s v="Received by Planning"/>
    <s v="MRS"/>
    <s v="OPERATIONAL"/>
    <s v="Technical Assistance"/>
    <m/>
  </r>
  <r>
    <x v="6"/>
    <x v="124"/>
    <s v="OUTSIDE MBA"/>
    <s v="Sindol"/>
    <n v="2283"/>
    <n v="2320"/>
    <s v="CONDUCTED TECHNICAL ASSISTANCE"/>
    <n v="2025"/>
    <d v="2025-10-15T00:00:00"/>
    <x v="5"/>
    <s v="Ryan Ace R. Angel"/>
    <s v="Ryan Christian R. Nunag"/>
    <s v="Jun Guillermo"/>
    <s v="R3-2025-035070"/>
    <d v="2025-10-16T00:00:00"/>
    <d v="2025-10-16T00:00:00"/>
    <d v="2025-10-16T00:00:00"/>
    <d v="2025-10-17T00:00:00"/>
    <n v="1"/>
    <n v="1"/>
    <n v="1"/>
    <n v="1"/>
    <s v="Received by Planning"/>
    <s v="MRF"/>
    <s v="OPERATIONAL"/>
    <s v="Technical Assistance"/>
    <m/>
  </r>
  <r>
    <x v="6"/>
    <x v="125"/>
    <s v="OUTSIDE MBA"/>
    <s v="Aglao"/>
    <n v="1939"/>
    <n v="2380"/>
    <s v="CONDUCTED TECHNICAL ASSISTANCE"/>
    <n v="2024"/>
    <d v="2024-06-11T00:00:00"/>
    <x v="0"/>
    <m/>
    <s v="Ryan Christian R. Nunag"/>
    <s v="Jun Guillermo"/>
    <m/>
    <m/>
    <m/>
    <m/>
    <m/>
    <s v=""/>
    <s v=""/>
    <s v=""/>
    <s v=""/>
    <m/>
    <s v="MRF"/>
    <s v="OPERATIONAL"/>
    <s v="Technical Assistance"/>
    <m/>
  </r>
  <r>
    <x v="6"/>
    <x v="125"/>
    <s v="OUTSIDE MBA"/>
    <s v="Buhawen"/>
    <n v="2803"/>
    <n v="3256"/>
    <s v="CONDUCTED TECHNICAL ASSISTANCE"/>
    <n v="2024"/>
    <d v="2024-06-05T00:00:00"/>
    <x v="0"/>
    <m/>
    <s v="Ryan Christian R. Nunag"/>
    <s v="Jun Guillermo"/>
    <m/>
    <m/>
    <m/>
    <m/>
    <m/>
    <s v=""/>
    <s v=""/>
    <s v=""/>
    <s v=""/>
    <m/>
    <s v="MRF"/>
    <s v="OPERATIONAL"/>
    <s v="Technical Assistance"/>
    <m/>
  </r>
  <r>
    <x v="6"/>
    <x v="125"/>
    <s v="OUTSIDE MBA"/>
    <s v="Burgos (Pob.)"/>
    <n v="2060"/>
    <n v="2155"/>
    <s v="CONDUCTED TECHNICAL ASSISTANCE"/>
    <n v="2024"/>
    <d v="2024-10-04T00:00:00"/>
    <x v="0"/>
    <m/>
    <s v="Ryan Christian R. Nunag"/>
    <s v="Jun Guillermo"/>
    <m/>
    <m/>
    <m/>
    <m/>
    <m/>
    <s v=""/>
    <s v=""/>
    <s v=""/>
    <s v=""/>
    <m/>
    <s v="MRF"/>
    <s v="OPERATIONAL"/>
    <s v="Technical Assistance"/>
    <m/>
  </r>
  <r>
    <x v="6"/>
    <x v="125"/>
    <s v="OUTSIDE MBA"/>
    <s v="Central (Pob.)"/>
    <n v="761"/>
    <n v="694"/>
    <s v="CONDUCTED TECHNICAL ASSISTANCE"/>
    <n v="2025"/>
    <d v="2025-08-15T00:00:00"/>
    <x v="11"/>
    <s v="Ryan Ace R. Angel"/>
    <s v="Ryan Christian R. Nunag"/>
    <s v="Jun Guillermo"/>
    <s v="R3-2025-027935"/>
    <d v="2025-08-18T00:00:00"/>
    <d v="2025-08-18T00:00:00"/>
    <d v="2025-08-18T00:00:00"/>
    <d v="2025-08-18T00:00:00"/>
    <n v="1"/>
    <n v="1"/>
    <n v="1"/>
    <n v="1"/>
    <s v="Received by Planning"/>
    <s v="MRS"/>
    <s v="OPERATIONAL"/>
    <s v="Technical Assistance"/>
    <m/>
  </r>
  <r>
    <x v="6"/>
    <x v="125"/>
    <s v="OUTSIDE MBA"/>
    <s v="Consuelo Norte"/>
    <n v="2013"/>
    <n v="2025"/>
    <s v="CONDUCTED TECHNICAL ASSISTANCE"/>
    <n v="2024"/>
    <d v="2024-10-04T00:00:00"/>
    <x v="0"/>
    <m/>
    <s v="Ryan Christian R. Nunag"/>
    <s v="Jun Guillermo"/>
    <m/>
    <m/>
    <m/>
    <m/>
    <m/>
    <s v=""/>
    <s v=""/>
    <s v=""/>
    <s v=""/>
    <m/>
    <s v="MRF"/>
    <s v="OPERATIONAL"/>
    <s v="Technical Assistance"/>
    <m/>
  </r>
  <r>
    <x v="6"/>
    <x v="125"/>
    <s v="OUTSIDE MBA"/>
    <s v="Consuelo Sur (Pob.)"/>
    <n v="1931"/>
    <n v="2053"/>
    <s v="CONDUCTED TECHNICAL ASSISTANCE"/>
    <n v="2025"/>
    <d v="2025-08-15T00:00:00"/>
    <x v="9"/>
    <s v="Ryan Ace R. Angel"/>
    <s v="Ryan Christian R. Nunag"/>
    <s v="Jun Guillermo"/>
    <s v="R3-2025-027908"/>
    <d v="2025-08-18T00:00:00"/>
    <d v="2025-08-18T00:00:00"/>
    <d v="2025-08-18T00:00:00"/>
    <d v="2025-08-18T00:00:00"/>
    <n v="1"/>
    <n v="1"/>
    <n v="1"/>
    <n v="1"/>
    <s v="Received by Planning"/>
    <s v="MRF"/>
    <s v="OPERATIONAL"/>
    <s v="Technical Assistance"/>
    <m/>
  </r>
  <r>
    <x v="6"/>
    <x v="125"/>
    <s v="OUTSIDE MBA"/>
    <s v="La Paz (Pob.)"/>
    <n v="1236"/>
    <n v="1428"/>
    <s v="CONDUCTED TECHNICAL ASSISTANCE"/>
    <n v="2025"/>
    <d v="2025-08-15T00:00:00"/>
    <x v="9"/>
    <s v="Ryan Ace R. Angel"/>
    <s v="Ryan Christian R. Nunag"/>
    <s v="Jun Guillermo"/>
    <s v="R3-2025-027937"/>
    <d v="2025-08-18T00:00:00"/>
    <d v="2025-08-18T00:00:00"/>
    <d v="2025-08-18T00:00:00"/>
    <d v="2025-08-18T00:00:00"/>
    <n v="1"/>
    <n v="1"/>
    <n v="1"/>
    <n v="1"/>
    <s v="Received by Planning"/>
    <s v="MRF"/>
    <s v="OPERATIONAL"/>
    <s v="Technical Assistance"/>
    <m/>
  </r>
  <r>
    <x v="6"/>
    <x v="125"/>
    <s v="OUTSIDE MBA"/>
    <s v="Laoag"/>
    <n v="2900"/>
    <n v="3210"/>
    <s v="CONDUCTED TECHNICAL ASSISTANCE"/>
    <n v="2025"/>
    <d v="2025-08-15T00:00:00"/>
    <x v="9"/>
    <s v="Ryan Ace R. Angel"/>
    <s v="Ryan Christian R. Nunag"/>
    <s v="Jun Guillermo"/>
    <s v="R3-2025-027939"/>
    <d v="2025-08-18T00:00:00"/>
    <d v="2025-08-18T00:00:00"/>
    <d v="2025-08-18T00:00:00"/>
    <d v="2025-08-18T00:00:00"/>
    <n v="1"/>
    <n v="1"/>
    <n v="1"/>
    <n v="1"/>
    <s v="Received by Planning"/>
    <s v="MRF"/>
    <s v="OPERATIONAL"/>
    <s v="Technical Assistance"/>
    <m/>
  </r>
  <r>
    <x v="6"/>
    <x v="125"/>
    <s v="OUTSIDE MBA"/>
    <s v="Linasin"/>
    <n v="2544"/>
    <n v="3066"/>
    <s v="CONDUCTED TECHNICAL ASSISTANCE"/>
    <n v="2025"/>
    <d v="2025-08-15T00:00:00"/>
    <x v="11"/>
    <s v="Ryan Ace R. Angel"/>
    <s v="Ryan Christian R. Nunag"/>
    <s v="Jun Guillermo"/>
    <s v="R3-2025-027941"/>
    <d v="2025-08-18T00:00:00"/>
    <d v="2025-08-18T00:00:00"/>
    <d v="2025-08-18T00:00:00"/>
    <d v="2025-08-18T00:00:00"/>
    <n v="1"/>
    <n v="1"/>
    <n v="1"/>
    <n v="1"/>
    <s v="Received by Planning"/>
    <s v="MRF"/>
    <s v="OPERATIONAL"/>
    <s v="Technical Assistance"/>
    <m/>
  </r>
  <r>
    <x v="6"/>
    <x v="125"/>
    <s v="OUTSIDE MBA"/>
    <s v="Linusungan"/>
    <n v="1654"/>
    <n v="1686"/>
    <s v="CONDUCTED TECHNICAL ASSISTANCE"/>
    <n v="2025"/>
    <d v="2025-08-15T00:00:00"/>
    <x v="9"/>
    <s v="Ryan Ace R. Angel"/>
    <s v="Ryan Christian R. Nunag"/>
    <s v="Jun Guillermo"/>
    <s v="R3-2025-027907"/>
    <d v="2025-08-18T00:00:00"/>
    <d v="2025-08-18T00:00:00"/>
    <d v="2025-08-18T00:00:00"/>
    <d v="2025-08-18T00:00:00"/>
    <n v="1"/>
    <n v="1"/>
    <n v="1"/>
    <n v="1"/>
    <s v="Received by Planning"/>
    <s v="MRF"/>
    <s v="OPERATIONAL"/>
    <s v="Technical Assistance"/>
    <m/>
  </r>
  <r>
    <x v="6"/>
    <x v="125"/>
    <s v="OUTSIDE MBA"/>
    <s v="Lucero (Pob.)"/>
    <n v="1617"/>
    <n v="1745"/>
    <s v="NO TECHNICAL ASSISTANCE CONDUCTED"/>
    <m/>
    <m/>
    <x v="0"/>
    <m/>
    <s v="Ryan Christian R. Nunag"/>
    <s v="Jun Guillermo"/>
    <m/>
    <m/>
    <m/>
    <m/>
    <m/>
    <s v=""/>
    <s v=""/>
    <s v=""/>
    <s v=""/>
    <m/>
    <m/>
    <m/>
    <m/>
    <m/>
  </r>
  <r>
    <x v="6"/>
    <x v="125"/>
    <s v="OUTSIDE MBA"/>
    <s v="Nagbunga"/>
    <n v="2129"/>
    <n v="2425"/>
    <s v="CONDUCTED TECHNICAL ASSISTANCE"/>
    <n v="2025"/>
    <d v="2025-06-17T00:00:00"/>
    <x v="10"/>
    <s v="Larizze Anne Santos"/>
    <s v="Ryan Christian R. Nunag"/>
    <s v="Jun Guillermo"/>
    <s v="R3-2025-020245"/>
    <d v="2025-06-18T00:00:00"/>
    <d v="2025-06-19T00:00:00"/>
    <d v="2025-06-19T00:00:00"/>
    <d v="2025-06-19T00:00:00"/>
    <n v="1"/>
    <n v="1"/>
    <n v="1"/>
    <n v="1"/>
    <s v="Received by Planning"/>
    <s v="MRF"/>
    <s v="OPERATIONAL"/>
    <s v="Technical Assistance"/>
    <m/>
  </r>
  <r>
    <x v="6"/>
    <x v="125"/>
    <s v="OUTSIDE MBA"/>
    <s v="Rabanes"/>
    <n v="2035"/>
    <n v="2618"/>
    <s v="CONDUCTED TECHNICAL ASSISTANCE"/>
    <n v="2025"/>
    <d v="2025-08-15T00:00:00"/>
    <x v="9"/>
    <s v="Ryan Ace R. Angel"/>
    <s v="Ryan Christian R. Nunag"/>
    <s v="Jun Guillermo"/>
    <s v="R3-2025-027909"/>
    <d v="2025-08-18T00:00:00"/>
    <d v="2025-08-18T00:00:00"/>
    <d v="2025-08-18T00:00:00"/>
    <d v="2025-08-18T00:00:00"/>
    <n v="1"/>
    <n v="1"/>
    <n v="1"/>
    <n v="1"/>
    <s v="Received by Planning"/>
    <s v="MRF"/>
    <s v="OPERATIONAL"/>
    <s v="Technical Assistance"/>
    <m/>
  </r>
  <r>
    <x v="6"/>
    <x v="125"/>
    <s v="OUTSIDE MBA"/>
    <s v="Rizal (Pob.)"/>
    <n v="910"/>
    <n v="1115"/>
    <s v="CONDUCTED TECHNICAL ASSISTANCE"/>
    <n v="2025"/>
    <d v="2025-06-17T00:00:00"/>
    <x v="10"/>
    <s v="Larizze Anne Santos"/>
    <s v="Ryan Christian R. Nunag"/>
    <s v="Jun Guillermo"/>
    <s v="R3-2025-020094"/>
    <d v="2025-06-18T00:00:00"/>
    <d v="2025-06-18T00:00:00"/>
    <d v="2025-06-18T00:00:00"/>
    <d v="2025-06-18T00:00:00"/>
    <n v="1"/>
    <n v="1"/>
    <n v="1"/>
    <n v="1"/>
    <s v="Received by Planning"/>
    <s v="MRF"/>
    <s v="OPERATIONAL"/>
    <s v="Technical Assistance"/>
    <m/>
  </r>
  <r>
    <x v="6"/>
    <x v="125"/>
    <s v="OUTSIDE MBA"/>
    <s v="San Guillermo (Pob.)"/>
    <n v="883"/>
    <n v="716"/>
    <s v="CONDUCTED TECHNICAL ASSISTANCE"/>
    <n v="2025"/>
    <d v="2025-06-17T00:00:00"/>
    <x v="10"/>
    <s v="Larizze Anne Santos"/>
    <s v="Ryan Christian R. Nunag"/>
    <s v="Jun Guillermo"/>
    <s v="R3-2025-020093"/>
    <d v="2025-06-18T00:00:00"/>
    <d v="2025-06-18T00:00:00"/>
    <d v="2025-06-18T00:00:00"/>
    <d v="2025-06-18T00:00:00"/>
    <n v="1"/>
    <n v="1"/>
    <n v="1"/>
    <n v="1"/>
    <s v="Received by Planning"/>
    <s v="MRF"/>
    <s v="NON-OPERATIONAL"/>
    <s v="Technical Assistance"/>
    <m/>
  </r>
  <r>
    <x v="6"/>
    <x v="125"/>
    <s v="OUTSIDE MBA"/>
    <s v="San Isidro (Pob.)"/>
    <n v="1931"/>
    <n v="2095"/>
    <s v="CONDUCTED TECHNICAL ASSISTANCE"/>
    <n v="2024"/>
    <d v="2024-06-13T00:00:00"/>
    <x v="0"/>
    <m/>
    <s v="Ryan Christian R. Nunag"/>
    <s v="Jun Guillermo"/>
    <m/>
    <m/>
    <m/>
    <m/>
    <m/>
    <s v=""/>
    <s v=""/>
    <s v=""/>
    <s v=""/>
    <m/>
    <s v="MRF"/>
    <s v="OPERATIONAL"/>
    <s v="Technical Assistance"/>
    <m/>
  </r>
  <r>
    <x v="6"/>
    <x v="125"/>
    <s v="OUTSIDE MBA"/>
    <s v="San Rafael"/>
    <n v="2480"/>
    <n v="2924"/>
    <s v="CONDUCTED TECHNICAL ASSISTANCE"/>
    <n v="2024"/>
    <d v="2024-06-18T00:00:00"/>
    <x v="0"/>
    <m/>
    <s v="Ryan Christian R. Nunag"/>
    <s v="Jun Guillermo"/>
    <m/>
    <m/>
    <m/>
    <m/>
    <m/>
    <s v=""/>
    <s v=""/>
    <s v=""/>
    <s v=""/>
    <m/>
    <s v="MRF"/>
    <s v="OPERATIONAL"/>
    <s v="Technical Assistance"/>
    <m/>
  </r>
  <r>
    <x v="6"/>
    <x v="125"/>
    <s v="OUTSIDE MBA"/>
    <s v="Santa Fe"/>
    <n v="1839"/>
    <n v="2128"/>
    <s v="CONDUCTED TECHNICAL ASSISTANCE"/>
    <n v="2025"/>
    <d v="2025-08-15T00:00:00"/>
    <x v="9"/>
    <s v="Ryan Ace R. Angel"/>
    <s v="Ryan Christian R. Nunag"/>
    <s v="Jun Guillermo"/>
    <s v="R3-2025-027936"/>
    <d v="2025-08-18T00:00:00"/>
    <d v="2025-08-18T00:00:00"/>
    <d v="2025-08-18T00:00:00"/>
    <d v="2025-08-18T00:00:00"/>
    <n v="1"/>
    <n v="1"/>
    <n v="1"/>
    <n v="1"/>
    <s v="Received by Planning"/>
    <s v="MRF"/>
    <s v="OPERATIONAL"/>
    <s v="Technical Assistance"/>
    <m/>
  </r>
  <r>
    <x v="6"/>
    <x v="126"/>
    <s v="OUTSIDE MBA"/>
    <s v="Alusiis"/>
    <n v="1450"/>
    <n v="1484"/>
    <s v="CONDUCTED TECHNICAL ASSISTANCE"/>
    <n v="2025"/>
    <d v="2025-02-14T00:00:00"/>
    <x v="3"/>
    <s v="Larizze Anne Santos"/>
    <s v="Ryan Christian R. Nunag"/>
    <s v="Jun Guillermo"/>
    <s v="R3-2025-005887"/>
    <d v="2025-02-18T00:00:00"/>
    <d v="2025-02-19T00:00:00"/>
    <d v="2025-02-19T00:00:00"/>
    <d v="2025-02-19T00:00:00"/>
    <n v="2"/>
    <n v="1"/>
    <n v="1"/>
    <n v="1"/>
    <s v="Received by Planning"/>
    <s v="MRF"/>
    <s v="OPERATIONAL"/>
    <s v="Technical Assistance"/>
    <m/>
  </r>
  <r>
    <x v="6"/>
    <x v="126"/>
    <s v="OUTSIDE MBA"/>
    <s v="Beddeng"/>
    <n v="3293"/>
    <n v="3251"/>
    <s v="CONDUCTED TECHNICAL ASSISTANCE"/>
    <n v="2024"/>
    <d v="2024-08-07T00:00:00"/>
    <x v="0"/>
    <m/>
    <s v="Ryan Christian R. Nunag"/>
    <s v="Jun Guillermo"/>
    <m/>
    <m/>
    <m/>
    <m/>
    <m/>
    <s v=""/>
    <s v=""/>
    <s v=""/>
    <s v=""/>
    <m/>
    <s v="MRF"/>
    <s v="OPERATIONAL"/>
    <s v="Technical Assistance"/>
    <m/>
  </r>
  <r>
    <x v="6"/>
    <x v="126"/>
    <s v="OUTSIDE MBA"/>
    <s v="Candelaria (Pob.)"/>
    <n v="831"/>
    <n v="845"/>
    <s v="CONDUCTED TECHNICAL ASSISTANCE"/>
    <n v="2025"/>
    <d v="2025-07-10T00:00:00"/>
    <x v="8"/>
    <s v="Larizze Anne Santos"/>
    <s v="Ryan Christian R. Nunag"/>
    <s v="Jun Guillermo"/>
    <s v="R3-2025-024084"/>
    <d v="2025-07-18T00:00:00"/>
    <d v="2025-07-18T00:00:00"/>
    <d v="2025-07-18T00:00:00"/>
    <d v="2025-07-18T00:00:00"/>
    <n v="6"/>
    <n v="1"/>
    <n v="1"/>
    <n v="1"/>
    <s v="Received by Planning"/>
    <s v="MRF"/>
    <s v="OPERATIONAL"/>
    <s v="Technical Assistance"/>
    <m/>
  </r>
  <r>
    <x v="6"/>
    <x v="126"/>
    <s v="OUTSIDE MBA"/>
    <s v="Dallipawen"/>
    <n v="1061"/>
    <n v="1016"/>
    <s v="CONDUCTED TECHNICAL ASSISTANCE"/>
    <n v="2024"/>
    <d v="2024-08-07T00:00:00"/>
    <x v="0"/>
    <m/>
    <s v="Ryan Christian R. Nunag"/>
    <s v="Jun Guillermo"/>
    <m/>
    <m/>
    <m/>
    <m/>
    <m/>
    <s v=""/>
    <s v=""/>
    <s v=""/>
    <s v=""/>
    <m/>
    <s v="MRF"/>
    <s v="OPERATIONAL"/>
    <s v="Technical Assistance"/>
    <m/>
  </r>
  <r>
    <x v="6"/>
    <x v="126"/>
    <s v="OUTSIDE MBA"/>
    <s v="Grullo"/>
    <n v="1749"/>
    <n v="1891"/>
    <s v="CONDUCTED TECHNICAL ASSISTANCE"/>
    <n v="2024"/>
    <d v="2024-08-07T00:00:00"/>
    <x v="0"/>
    <m/>
    <s v="Ryan Christian R. Nunag"/>
    <s v="Jun Guillermo"/>
    <m/>
    <m/>
    <m/>
    <m/>
    <m/>
    <s v=""/>
    <s v=""/>
    <s v=""/>
    <s v=""/>
    <m/>
    <s v="MRF"/>
    <s v="OPERATIONAL"/>
    <s v="Technical Assistance"/>
    <m/>
  </r>
  <r>
    <x v="6"/>
    <x v="126"/>
    <s v="OUTSIDE MBA"/>
    <s v="La Paz"/>
    <n v="3836"/>
    <n v="4322"/>
    <s v="CONDUCTED TECHNICAL ASSISTANCE"/>
    <n v="2024"/>
    <d v="2024-08-07T00:00:00"/>
    <x v="0"/>
    <m/>
    <s v="Ryan Christian R. Nunag"/>
    <s v="Jun Guillermo"/>
    <m/>
    <m/>
    <m/>
    <m/>
    <m/>
    <s v=""/>
    <s v=""/>
    <s v=""/>
    <s v=""/>
    <m/>
    <s v="MRF"/>
    <s v="OPERATIONAL"/>
    <s v="Technical Assistance"/>
    <m/>
  </r>
  <r>
    <x v="6"/>
    <x v="126"/>
    <s v="OUTSIDE MBA"/>
    <s v="Libertad (Pob.)"/>
    <n v="489"/>
    <n v="548"/>
    <s v="CONDUCTED TECHNICAL ASSISTANCE"/>
    <n v="2025"/>
    <d v="2025-03-14T00:00:00"/>
    <x v="1"/>
    <s v="Larizze Anne Santos"/>
    <s v="Ryan Christian R. Nunag"/>
    <s v="Jun Guillermo"/>
    <s v="R3-2025-009178"/>
    <d v="2025-03-18T00:00:00"/>
    <d v="2025-03-18T00:00:00"/>
    <d v="2025-03-18T00:00:00"/>
    <d v="2025-03-18T00:00:00"/>
    <n v="2"/>
    <n v="1"/>
    <n v="1"/>
    <n v="1"/>
    <s v="Received by Planning"/>
    <s v="MRF"/>
    <s v="OPERATIONAL"/>
    <s v="Technical Assistance"/>
    <m/>
  </r>
  <r>
    <x v="6"/>
    <x v="126"/>
    <s v="OUTSIDE MBA"/>
    <s v="Namatacan"/>
    <n v="1808"/>
    <n v="1867"/>
    <s v="CONDUCTED TECHNICAL ASSISTANCE"/>
    <n v="2024"/>
    <d v="2024-08-07T00:00:00"/>
    <x v="0"/>
    <m/>
    <s v="Ryan Christian R. Nunag"/>
    <s v="Jun Guillermo"/>
    <m/>
    <m/>
    <m/>
    <m/>
    <m/>
    <s v=""/>
    <s v=""/>
    <s v=""/>
    <s v=""/>
    <m/>
    <s v="MRF"/>
    <s v="OPERATIONAL"/>
    <s v="Technical Assistance"/>
    <m/>
  </r>
  <r>
    <x v="6"/>
    <x v="126"/>
    <s v="OUTSIDE MBA"/>
    <s v="Natividad (Pob.)"/>
    <n v="3278"/>
    <n v="4237"/>
    <s v="CONDUCTED TECHNICAL ASSISTANCE"/>
    <n v="2025"/>
    <d v="2025-07-10T00:00:00"/>
    <x v="8"/>
    <s v="Larizze Anne Santos"/>
    <s v="Ryan Christian R. Nunag"/>
    <s v="Jun Guillermo"/>
    <s v="R3-2025-023909"/>
    <d v="2025-07-17T00:00:00"/>
    <d v="2025-07-17T00:00:00"/>
    <d v="2025-07-17T00:00:00"/>
    <d v="2025-07-17T00:00:00"/>
    <n v="5"/>
    <n v="1"/>
    <n v="1"/>
    <n v="1"/>
    <s v="Received by Planning"/>
    <s v="MRF"/>
    <s v="OPERATIONAL"/>
    <s v="Technical Assistance"/>
    <m/>
  </r>
  <r>
    <x v="6"/>
    <x v="126"/>
    <s v="OUTSIDE MBA"/>
    <s v="Omaya"/>
    <n v="610"/>
    <n v="611"/>
    <s v="CONDUCTED TECHNICAL ASSISTANCE"/>
    <n v="2024"/>
    <d v="2024-08-07T00:00:00"/>
    <x v="0"/>
    <m/>
    <s v="Ryan Christian R. Nunag"/>
    <s v="Jun Guillermo"/>
    <m/>
    <m/>
    <m/>
    <m/>
    <m/>
    <s v=""/>
    <s v=""/>
    <s v=""/>
    <s v=""/>
    <m/>
    <s v="MRF"/>
    <s v="OPERATIONAL"/>
    <s v="Technical Assistance"/>
    <m/>
  </r>
  <r>
    <x v="6"/>
    <x v="126"/>
    <s v="OUTSIDE MBA"/>
    <s v="Paite"/>
    <n v="653"/>
    <n v="762"/>
    <s v="CONDUCTED TECHNICAL ASSISTANCE"/>
    <n v="2024"/>
    <d v="2024-08-07T00:00:00"/>
    <x v="0"/>
    <m/>
    <s v="Ryan Christian R. Nunag"/>
    <s v="Jun Guillermo"/>
    <m/>
    <m/>
    <m/>
    <m/>
    <m/>
    <s v=""/>
    <s v=""/>
    <s v=""/>
    <s v=""/>
    <m/>
    <s v="MRF"/>
    <s v="OPERATIONAL"/>
    <s v="Technical Assistance"/>
    <m/>
  </r>
  <r>
    <x v="6"/>
    <x v="126"/>
    <s v="OUTSIDE MBA"/>
    <s v="Patrocinio (Pob.)"/>
    <n v="2291"/>
    <n v="2313"/>
    <s v="CONDUCTED TECHNICAL ASSISTANCE"/>
    <n v="2025"/>
    <d v="2025-07-10T00:00:00"/>
    <x v="9"/>
    <s v="Larizze Anne Santos"/>
    <s v="Ryan Christian R. Nunag"/>
    <s v="Jun Guillermo"/>
    <s v="R3-2025-024406"/>
    <d v="2025-07-21T00:00:00"/>
    <d v="2025-07-21T00:00:00"/>
    <d v="2025-07-21T00:00:00"/>
    <d v="2025-07-21T00:00:00"/>
    <n v="7"/>
    <n v="1"/>
    <n v="1"/>
    <n v="1"/>
    <s v="Received by Planning"/>
    <s v="MRS"/>
    <s v="OPERATIONAL"/>
    <s v="Technical Assistance"/>
    <m/>
  </r>
  <r>
    <x v="6"/>
    <x v="126"/>
    <s v="OUTSIDE MBA"/>
    <s v="San Jose (Pob.)"/>
    <n v="542"/>
    <n v="581"/>
    <s v="CONDUCTED TECHNICAL ASSISTANCE"/>
    <n v="2025"/>
    <d v="2025-07-10T00:00:00"/>
    <x v="8"/>
    <s v="Larizze Anne Santos"/>
    <s v="Ryan Christian R. Nunag"/>
    <s v="Jun Guillermo"/>
    <s v="R3-2025-024086"/>
    <d v="2025-07-18T00:00:00"/>
    <d v="2025-07-18T00:00:00"/>
    <d v="2025-07-18T00:00:00"/>
    <d v="2025-07-18T00:00:00"/>
    <n v="6"/>
    <n v="1"/>
    <n v="1"/>
    <n v="1"/>
    <s v="Received by Planning"/>
    <s v="MRF"/>
    <s v="OPERATIONAL"/>
    <s v="Technical Assistance"/>
    <m/>
  </r>
  <r>
    <x v="6"/>
    <x v="126"/>
    <s v="OUTSIDE MBA"/>
    <s v="San Juan (Pob.)"/>
    <n v="1476"/>
    <n v="1516"/>
    <s v="CONDUCTED TECHNICAL ASSISTANCE"/>
    <n v="2025"/>
    <d v="2025-07-10T00:00:00"/>
    <x v="8"/>
    <s v="Larizze Anne Santos"/>
    <s v="Ryan Christian R. Nunag"/>
    <s v="Jun Guillermo"/>
    <s v="R3-2025-024085"/>
    <d v="2025-07-18T00:00:00"/>
    <d v="2025-07-18T00:00:00"/>
    <d v="2025-07-18T00:00:00"/>
    <d v="2025-07-18T00:00:00"/>
    <n v="6"/>
    <n v="1"/>
    <n v="1"/>
    <n v="1"/>
    <s v="Received by Planning"/>
    <s v="MRF"/>
    <s v="OPERATIONAL"/>
    <s v="Technical Assistance"/>
    <m/>
  </r>
  <r>
    <x v="6"/>
    <x v="126"/>
    <s v="OUTSIDE MBA"/>
    <s v="San Pascual (Pob.)"/>
    <n v="1874"/>
    <n v="1956"/>
    <s v="CONDUCTED TECHNICAL ASSISTANCE"/>
    <n v="2025"/>
    <d v="2025-03-14T00:00:00"/>
    <x v="1"/>
    <s v="Larizze Anne Santos"/>
    <s v="Ryan Christian R. Nunag"/>
    <s v="Jun Guillermo"/>
    <s v="R3-2025-009180"/>
    <d v="2025-03-18T00:00:00"/>
    <d v="2025-03-18T00:00:00"/>
    <d v="2025-03-18T00:00:00"/>
    <d v="2025-03-18T00:00:00"/>
    <n v="2"/>
    <n v="1"/>
    <n v="1"/>
    <n v="1"/>
    <s v="Received by Planning"/>
    <s v="MRF"/>
    <s v="OPERATIONAL"/>
    <s v="Technical Assistance"/>
    <m/>
  </r>
  <r>
    <x v="6"/>
    <x v="126"/>
    <s v="OUTSIDE MBA"/>
    <s v="San Rafael (Pob.)"/>
    <n v="1297"/>
    <n v="1302"/>
    <s v="CONDUCTED TECHNICAL ASSISTANCE"/>
    <n v="2025"/>
    <d v="2025-07-10T00:00:00"/>
    <x v="8"/>
    <s v="Larizze Anne Santos"/>
    <s v="Ryan Christian R. Nunag"/>
    <s v="Jun Guillermo"/>
    <s v="R3-2025-023479"/>
    <d v="2025-07-14T00:00:00"/>
    <d v="2025-07-16T00:00:00"/>
    <d v="2025-07-16T00:00:00"/>
    <d v="2025-07-16T00:00:00"/>
    <n v="2"/>
    <n v="2"/>
    <n v="1"/>
    <n v="1"/>
    <s v="Received by Planning"/>
    <s v="MRF"/>
    <s v="OPERATIONAL"/>
    <s v="Technical Assistance"/>
    <m/>
  </r>
  <r>
    <x v="6"/>
    <x v="126"/>
    <s v="OUTSIDE MBA"/>
    <s v="Siminublan"/>
    <n v="1822"/>
    <n v="2257"/>
    <s v="CONDUCTED TECHNICAL ASSISTANCE"/>
    <n v="2024"/>
    <d v="2024-08-07T00:00:00"/>
    <x v="0"/>
    <m/>
    <s v="Ryan Christian R. Nunag"/>
    <s v="Jun Guillermo"/>
    <m/>
    <m/>
    <m/>
    <m/>
    <m/>
    <s v=""/>
    <s v=""/>
    <s v=""/>
    <s v=""/>
    <m/>
    <s v="MRF"/>
    <s v="OPERATIONAL"/>
    <s v="Technical Assistance"/>
    <m/>
  </r>
  <r>
    <x v="6"/>
    <x v="127"/>
    <s v="OUTSIDE MBA"/>
    <s v="Babuyan"/>
    <n v="523"/>
    <n v="555"/>
    <s v="NO TECHNICAL ASSISTANCE CONDUCTED"/>
    <m/>
    <m/>
    <x v="0"/>
    <m/>
    <s v="Ryan Christian R. Nunag"/>
    <s v="Jun Guillermo"/>
    <m/>
    <m/>
    <m/>
    <m/>
    <m/>
    <s v=""/>
    <s v=""/>
    <s v=""/>
    <s v=""/>
    <m/>
    <m/>
    <m/>
    <s v="Technical Assistance"/>
    <m/>
  </r>
  <r>
    <x v="6"/>
    <x v="127"/>
    <s v="OUTSIDE MBA"/>
    <s v="Bangcol"/>
    <n v="925"/>
    <n v="1029"/>
    <s v="CONDUCTED TECHNICAL ASSISTANCE"/>
    <n v="2024"/>
    <d v="2024-10-16T00:00:00"/>
    <x v="0"/>
    <m/>
    <s v="Ryan Christian R. Nunag"/>
    <s v="Jun Guillermo"/>
    <m/>
    <m/>
    <m/>
    <m/>
    <m/>
    <s v=""/>
    <s v=""/>
    <s v=""/>
    <s v=""/>
    <m/>
    <s v="MRS"/>
    <s v="OPERATIONAL"/>
    <s v="Technical Assistance"/>
    <m/>
  </r>
  <r>
    <x v="6"/>
    <x v="127"/>
    <s v="OUTSIDE MBA"/>
    <s v="Bayto"/>
    <n v="3925"/>
    <n v="4116"/>
    <s v="CONDUCTED TECHNICAL ASSISTANCE"/>
    <n v="2025"/>
    <d v="2025-03-14T00:00:00"/>
    <x v="1"/>
    <s v="Ryan Ace R. Angel"/>
    <s v="Ryan Christian R. Nunag"/>
    <s v="Jun Guillermo"/>
    <s v="R3-2025-008891"/>
    <d v="2025-03-17T00:00:00"/>
    <d v="2025-03-17T00:00:00"/>
    <d v="2025-03-17T00:00:00"/>
    <d v="2025-03-17T00:00:00"/>
    <n v="1"/>
    <n v="1"/>
    <n v="1"/>
    <n v="1"/>
    <s v="Received by Planning"/>
    <s v="MRS"/>
    <s v="OPERATIONAL"/>
    <s v="Technical Assistance"/>
    <m/>
  </r>
  <r>
    <x v="6"/>
    <x v="127"/>
    <s v="OUTSIDE MBA"/>
    <s v="Biay"/>
    <n v="2379"/>
    <n v="2645"/>
    <s v="CONDUCTED TECHNICAL ASSISTANCE"/>
    <n v="2024"/>
    <d v="2024-05-16T00:00:00"/>
    <x v="0"/>
    <m/>
    <s v="Ryan Christian R. Nunag"/>
    <s v="Jun Guillermo"/>
    <m/>
    <m/>
    <m/>
    <m/>
    <m/>
    <s v=""/>
    <s v=""/>
    <s v=""/>
    <s v=""/>
    <m/>
    <s v="MRS"/>
    <s v="OPERATIONAL"/>
    <s v="Technical Assistance"/>
    <m/>
  </r>
  <r>
    <x v="6"/>
    <x v="127"/>
    <s v="OUTSIDE MBA"/>
    <s v="Bolitoc"/>
    <n v="3375"/>
    <n v="3648"/>
    <s v="CONDUCTED TECHNICAL ASSISTANCE"/>
    <n v="2025"/>
    <d v="2025-05-16T00:00:00"/>
    <x v="6"/>
    <s v="Ryan Ace R. Angel"/>
    <s v="Ryan Christian R. Nunag"/>
    <s v="Jun Guillermo"/>
    <s v="R3-2025-016930"/>
    <d v="2025-05-20T00:00:00"/>
    <d v="2025-05-20T00:00:00"/>
    <d v="2025-05-20T00:00:00"/>
    <d v="2025-05-20T00:00:00"/>
    <n v="2"/>
    <n v="1"/>
    <n v="1"/>
    <n v="1"/>
    <s v="Received by Planning"/>
    <s v="MRS"/>
    <s v="OPERATIONAL"/>
    <s v="Technical Assistance"/>
    <m/>
  </r>
  <r>
    <x v="6"/>
    <x v="127"/>
    <s v="OUTSIDE MBA"/>
    <s v="Bulawon"/>
    <n v="1244"/>
    <n v="1441"/>
    <s v="CONDUCTED TECHNICAL ASSISTANCE"/>
    <n v="2024"/>
    <d v="2024-10-16T00:00:00"/>
    <x v="0"/>
    <m/>
    <s v="Ryan Christian R. Nunag"/>
    <s v="Jun Guillermo"/>
    <m/>
    <m/>
    <m/>
    <m/>
    <m/>
    <s v=""/>
    <s v=""/>
    <s v=""/>
    <s v=""/>
    <m/>
    <s v="MRF"/>
    <s v="OPERATIONAL"/>
    <s v="Technical Assistance"/>
    <m/>
  </r>
  <r>
    <x v="6"/>
    <x v="127"/>
    <s v="OUTSIDE MBA"/>
    <s v="Canaynayan"/>
    <n v="1225"/>
    <n v="1180"/>
    <s v="CONDUCTED TECHNICAL ASSISTANCE"/>
    <n v="2025"/>
    <d v="2025-05-16T00:00:00"/>
    <x v="6"/>
    <s v="Ryan Ace R. Angel"/>
    <s v="Ryan Christian R. Nunag"/>
    <s v="Jun Guillermo"/>
    <s v="R3-2025-016928"/>
    <d v="2025-05-20T00:00:00"/>
    <d v="2025-05-20T00:00:00"/>
    <d v="2025-05-20T00:00:00"/>
    <d v="2025-05-20T00:00:00"/>
    <n v="2"/>
    <n v="1"/>
    <n v="1"/>
    <n v="1"/>
    <s v="Received by Planning"/>
    <s v="MRS"/>
    <s v="OPERATIONAL"/>
    <s v="Technical Assistance"/>
    <m/>
  </r>
  <r>
    <x v="6"/>
    <x v="127"/>
    <s v="OUTSIDE MBA"/>
    <s v="Gama"/>
    <n v="2025"/>
    <n v="2102"/>
    <s v="CONDUCTED TECHNICAL ASSISTANCE"/>
    <n v="2025"/>
    <d v="2025-04-04T00:00:00"/>
    <x v="4"/>
    <s v="Ryan Ace R. Angel"/>
    <s v="Ryan Christian R. Nunag"/>
    <s v="Jun Guillermo"/>
    <s v="R3-2025-011560"/>
    <d v="2025-04-07T00:00:00"/>
    <d v="2025-04-08T00:00:00"/>
    <d v="2025-04-08T00:00:00"/>
    <d v="2025-04-08T00:00:00"/>
    <n v="1"/>
    <n v="1"/>
    <n v="1"/>
    <n v="1"/>
    <s v="Received by Planning"/>
    <s v="MRS"/>
    <s v="OPERATIONAL"/>
    <s v="Technical Assistance"/>
    <m/>
  </r>
  <r>
    <x v="6"/>
    <x v="127"/>
    <s v="OUTSIDE MBA"/>
    <s v="Guinabon"/>
    <n v="1351"/>
    <n v="1657"/>
    <s v="CONDUCTED TECHNICAL ASSISTANCE"/>
    <n v="2025"/>
    <d v="2025-06-17T00:00:00"/>
    <x v="10"/>
    <s v="Ryan Ace R. Angel"/>
    <s v="Ryan Christian R. Nunag"/>
    <s v="Jun Guillermo"/>
    <s v="R3-2025-020100"/>
    <d v="2025-06-18T00:00:00"/>
    <d v="2025-06-18T00:00:00"/>
    <d v="2025-06-18T00:00:00"/>
    <d v="2025-06-18T00:00:00"/>
    <n v="1"/>
    <n v="1"/>
    <n v="1"/>
    <n v="1"/>
    <s v="Received by Planning"/>
    <s v="MRF"/>
    <s v="OPERATIONAL"/>
    <s v="Technical Assistance"/>
    <m/>
  </r>
  <r>
    <x v="6"/>
    <x v="127"/>
    <s v="OUTSIDE MBA"/>
    <s v="Guisguis"/>
    <n v="3356"/>
    <n v="3418"/>
    <s v="CONDUCTED TECHNICAL ASSISTANCE"/>
    <n v="2025"/>
    <d v="2025-06-17T00:00:00"/>
    <x v="10"/>
    <s v="Ryan Ace R. Angel"/>
    <s v="Ryan Christian R. Nunag"/>
    <s v="Jun Guillermo"/>
    <s v="R3-2025-020099"/>
    <d v="2025-06-18T00:00:00"/>
    <d v="2025-06-18T00:00:00"/>
    <d v="2025-06-18T00:00:00"/>
    <d v="2025-06-18T00:00:00"/>
    <n v="1"/>
    <n v="1"/>
    <n v="1"/>
    <n v="1"/>
    <s v="Received by Planning"/>
    <s v="NO FACILITY"/>
    <s v="CATER BY LGU"/>
    <s v="Technical Assistance"/>
    <m/>
  </r>
  <r>
    <x v="6"/>
    <x v="127"/>
    <s v="OUTSIDE MBA"/>
    <s v="Lipay"/>
    <n v="6190"/>
    <n v="6446"/>
    <s v="CONDUCTED TECHNICAL ASSISTANCE"/>
    <n v="2025"/>
    <d v="2025-04-04T00:00:00"/>
    <x v="4"/>
    <s v="Ryan Ace R. Angel"/>
    <s v="Ryan Christian R. Nunag"/>
    <s v="Jun Guillermo"/>
    <s v="R3-2025-011639"/>
    <d v="2025-04-07T00:00:00"/>
    <d v="2025-04-08T00:00:00"/>
    <d v="2025-04-08T00:00:00"/>
    <d v="2025-04-08T00:00:00"/>
    <n v="1"/>
    <n v="1"/>
    <n v="1"/>
    <n v="1"/>
    <s v="Received by Planning"/>
    <s v="MRS"/>
    <s v="OPERATIONAL"/>
    <s v="Technical Assistance"/>
    <m/>
  </r>
  <r>
    <x v="6"/>
    <x v="127"/>
    <s v="OUTSIDE MBA"/>
    <s v="Lomboy"/>
    <n v="1553"/>
    <n v="1801"/>
    <s v="CONDUCTED TECHNICAL ASSISTANCE"/>
    <n v="2025"/>
    <d v="2025-06-17T00:00:00"/>
    <x v="10"/>
    <s v="Ryan Ace R. Angel"/>
    <s v="Ryan Christian R. Nunag"/>
    <s v="Jun Guillermo"/>
    <s v="R3-2025-020098"/>
    <d v="2025-06-18T00:00:00"/>
    <d v="2025-06-18T00:00:00"/>
    <d v="2025-06-18T00:00:00"/>
    <d v="2025-06-18T00:00:00"/>
    <n v="1"/>
    <n v="1"/>
    <n v="1"/>
    <n v="1"/>
    <s v="Received by Planning"/>
    <s v="NO FACILITY"/>
    <s v="CATER BY LGU"/>
    <s v="Technical Assistance"/>
    <m/>
  </r>
  <r>
    <x v="6"/>
    <x v="127"/>
    <s v="OUTSIDE MBA"/>
    <s v="Lucapon North"/>
    <n v="2521"/>
    <n v="2657"/>
    <s v="CONDUCTED TECHNICAL ASSISTANCE"/>
    <n v="2024"/>
    <d v="2024-05-16T00:00:00"/>
    <x v="0"/>
    <m/>
    <s v="Ryan Christian R. Nunag"/>
    <s v="Jun Guillermo"/>
    <m/>
    <m/>
    <m/>
    <m/>
    <m/>
    <s v=""/>
    <s v=""/>
    <s v=""/>
    <s v=""/>
    <m/>
    <s v="MRS"/>
    <s v="OPERATIONAL"/>
    <s v="Technical Assistance"/>
    <m/>
  </r>
  <r>
    <x v="6"/>
    <x v="127"/>
    <s v="OUTSIDE MBA"/>
    <s v="Lucapon South"/>
    <n v="3941"/>
    <n v="4284"/>
    <s v="CONDUCTED TECHNICAL ASSISTANCE"/>
    <n v="2024"/>
    <d v="2024-05-16T00:00:00"/>
    <x v="0"/>
    <m/>
    <s v="Ryan Christian R. Nunag"/>
    <s v="Jun Guillermo"/>
    <m/>
    <m/>
    <m/>
    <m/>
    <m/>
    <s v=""/>
    <s v=""/>
    <s v=""/>
    <s v=""/>
    <m/>
    <s v="MRS"/>
    <s v="OPERATIONAL"/>
    <s v="Technical Assistance"/>
    <m/>
  </r>
  <r>
    <x v="6"/>
    <x v="127"/>
    <s v="OUTSIDE MBA"/>
    <s v="Malabago"/>
    <n v="2299"/>
    <n v="2781"/>
    <s v="CONDUCTED TECHNICAL ASSISTANCE"/>
    <n v="2024"/>
    <d v="2024-10-16T00:00:00"/>
    <x v="0"/>
    <m/>
    <s v="Ryan Christian R. Nunag"/>
    <s v="Jun Guillermo"/>
    <m/>
    <m/>
    <m/>
    <m/>
    <m/>
    <s v=""/>
    <s v=""/>
    <s v=""/>
    <s v=""/>
    <m/>
    <s v="MRS"/>
    <s v="CATER BY LGU"/>
    <s v="Technical Assistance"/>
    <m/>
  </r>
  <r>
    <x v="6"/>
    <x v="127"/>
    <s v="OUTSIDE MBA"/>
    <s v="Naulo"/>
    <n v="2021"/>
    <n v="2524"/>
    <s v="CONDUCTED TECHNICAL ASSISTANCE"/>
    <n v="2024"/>
    <d v="2024-05-16T00:00:00"/>
    <x v="0"/>
    <m/>
    <s v="Ryan Christian R. Nunag"/>
    <s v="Jun Guillermo"/>
    <m/>
    <m/>
    <m/>
    <m/>
    <m/>
    <s v=""/>
    <s v=""/>
    <s v=""/>
    <s v=""/>
    <m/>
    <s v="MRS"/>
    <s v="OPERATIONAL"/>
    <s v="Technical Assistance"/>
    <m/>
  </r>
  <r>
    <x v="6"/>
    <x v="127"/>
    <s v="OUTSIDE MBA"/>
    <s v="Pagatpat"/>
    <n v="3101"/>
    <n v="3560"/>
    <s v="CONDUCTED TECHNICAL ASSISTANCE"/>
    <n v="2024"/>
    <d v="2024-10-16T00:00:00"/>
    <x v="0"/>
    <m/>
    <s v="Ryan Christian R. Nunag"/>
    <s v="Jun Guillermo"/>
    <m/>
    <m/>
    <m/>
    <m/>
    <m/>
    <s v=""/>
    <s v=""/>
    <s v=""/>
    <s v=""/>
    <m/>
    <s v="MRS"/>
    <s v="CATER BY LGU"/>
    <s v="Technical Assistance"/>
    <m/>
  </r>
  <r>
    <x v="6"/>
    <x v="127"/>
    <s v="OUTSIDE MBA"/>
    <s v="Pamonoran"/>
    <n v="1193"/>
    <n v="1261"/>
    <s v="CONDUCTED TECHNICAL ASSISTANCE"/>
    <n v="2025"/>
    <d v="2025-05-16T00:00:00"/>
    <x v="6"/>
    <s v="Ryan Ace R. Angel"/>
    <s v="Ryan Christian R. Nunag"/>
    <s v="Jun Guillermo"/>
    <s v="R3-2025-016927_x0009_"/>
    <d v="2025-05-20T00:00:00"/>
    <d v="2025-05-20T00:00:00"/>
    <d v="2025-05-20T00:00:00"/>
    <d v="2025-05-20T00:00:00"/>
    <n v="2"/>
    <n v="1"/>
    <n v="1"/>
    <n v="1"/>
    <s v="Received by Planning"/>
    <s v="MRS"/>
    <s v="OPERATIONAL"/>
    <s v="Technical Assistance"/>
    <m/>
  </r>
  <r>
    <x v="6"/>
    <x v="127"/>
    <s v="OUTSIDE MBA"/>
    <s v="Poblacion North"/>
    <n v="3033"/>
    <n v="3163"/>
    <s v="CONDUCTED TECHNICAL ASSISTANCE"/>
    <n v="2024"/>
    <d v="2024-10-16T00:00:00"/>
    <x v="0"/>
    <m/>
    <s v="Ryan Christian R. Nunag"/>
    <s v="Jun Guillermo"/>
    <m/>
    <m/>
    <m/>
    <m/>
    <m/>
    <s v=""/>
    <s v=""/>
    <s v=""/>
    <s v=""/>
    <m/>
    <s v="MRS"/>
    <s v="CATER BY LGU"/>
    <s v="Technical Assistance"/>
    <m/>
  </r>
  <r>
    <x v="6"/>
    <x v="127"/>
    <s v="OUTSIDE MBA"/>
    <s v="Poblacion South"/>
    <n v="3437"/>
    <n v="3705"/>
    <s v="CONDUCTED TECHNICAL ASSISTANCE"/>
    <n v="2025"/>
    <d v="2025-04-11T00:00:00"/>
    <x v="4"/>
    <s v="Ryan Ace R. Angel"/>
    <s v="Ryan Christian R. Nunag"/>
    <s v="Jun Guillermo"/>
    <s v="R3-2025-012600"/>
    <d v="2025-04-14T00:00:00"/>
    <d v="2025-04-14T00:00:00"/>
    <d v="2025-04-14T00:00:00"/>
    <d v="2025-04-14T00:00:00"/>
    <n v="1"/>
    <n v="1"/>
    <n v="1"/>
    <n v="1"/>
    <s v="Received by Planning"/>
    <s v="NO FACILITY"/>
    <s v="CATER BY LGU"/>
    <s v="Technical Assistance"/>
    <m/>
  </r>
  <r>
    <x v="6"/>
    <x v="127"/>
    <s v="OUTSIDE MBA"/>
    <s v="Sabang"/>
    <n v="1138"/>
    <n v="1410"/>
    <s v="CONDUCTED TECHNICAL ASSISTANCE"/>
    <n v="2025"/>
    <d v="2025-05-16T00:00:00"/>
    <x v="6"/>
    <s v="Ryan Ace R. Angel"/>
    <s v="Ryan Christian R. Nunag"/>
    <s v="Jun Guillermo"/>
    <s v="R3-2025-016929"/>
    <d v="2025-05-20T00:00:00"/>
    <d v="2025-05-20T00:00:00"/>
    <d v="2025-05-20T00:00:00"/>
    <d v="2025-05-20T00:00:00"/>
    <n v="2"/>
    <n v="1"/>
    <n v="1"/>
    <n v="1"/>
    <s v="Received by Planning"/>
    <s v="MRS"/>
    <s v="OPERATIONAL"/>
    <s v="Technical Assistance"/>
    <m/>
  </r>
  <r>
    <x v="6"/>
    <x v="127"/>
    <s v="OUTSIDE MBA"/>
    <s v="San Fernando"/>
    <n v="2227"/>
    <n v="2597"/>
    <s v="CONDUCTED TECHNICAL ASSISTANCE"/>
    <n v="2025"/>
    <d v="2025-06-17T00:00:00"/>
    <x v="10"/>
    <s v="Ryan Ace R. Angel"/>
    <s v="Ryan Christian R. Nunag"/>
    <s v="Jun Guillermo"/>
    <s v="R3-2025-020096_x0009_"/>
    <d v="2025-06-18T00:00:00"/>
    <d v="2025-06-18T00:00:00"/>
    <d v="2025-06-18T00:00:00"/>
    <d v="2025-06-18T00:00:00"/>
    <n v="1"/>
    <n v="1"/>
    <n v="1"/>
    <n v="1"/>
    <s v="Received by Planning"/>
    <s v="MRS"/>
    <s v="NON-OPERATIONAL"/>
    <s v="Technical Assistance"/>
    <m/>
  </r>
  <r>
    <x v="6"/>
    <x v="127"/>
    <s v="OUTSIDE MBA"/>
    <s v="Tabalong"/>
    <n v="593"/>
    <n v="601"/>
    <s v="CONDUCTED TECHNICAL ASSISTANCE"/>
    <n v="2025"/>
    <d v="2025-04-04T00:00:00"/>
    <x v="4"/>
    <s v="Ryan Ace R. Angel"/>
    <s v="Ryan Christian R. Nunag"/>
    <s v="Jun Guillermo"/>
    <s v="R3-2025-011571"/>
    <d v="2025-04-07T00:00:00"/>
    <d v="2025-04-08T00:00:00"/>
    <d v="2025-04-08T00:00:00"/>
    <d v="2025-04-08T00:00:00"/>
    <n v="1"/>
    <n v="1"/>
    <n v="1"/>
    <n v="1"/>
    <s v="Received by Planning"/>
    <s v="MRS"/>
    <s v="OPERATIONAL"/>
    <s v="Technical Assistance"/>
    <m/>
  </r>
  <r>
    <x v="6"/>
    <x v="127"/>
    <s v="OUTSIDE MBA"/>
    <s v="Tubotubo North"/>
    <n v="2514"/>
    <n v="2839"/>
    <s v="CONDUCTED TECHNICAL ASSISTANCE"/>
    <n v="2025"/>
    <d v="2025-06-17T00:00:00"/>
    <x v="10"/>
    <s v="Ryan Ace R. Angel"/>
    <s v="Ryan Christian R. Nunag"/>
    <s v="Jun Guillermo"/>
    <s v="R3-2025-020097"/>
    <d v="2025-06-18T00:00:00"/>
    <d v="2025-06-18T00:00:00"/>
    <d v="2025-06-18T00:00:00"/>
    <d v="2025-06-18T00:00:00"/>
    <n v="1"/>
    <n v="1"/>
    <n v="1"/>
    <n v="1"/>
    <s v="Received by Planning"/>
    <s v="MRS"/>
    <s v="OPERATIONAL"/>
    <s v="Technical Assistance"/>
    <m/>
  </r>
  <r>
    <x v="6"/>
    <x v="127"/>
    <s v="OUTSIDE MBA"/>
    <s v="Tubotubo South"/>
    <n v="2062"/>
    <n v="2419"/>
    <s v="CONDUCTED TECHNICAL ASSISTANCE"/>
    <n v="2025"/>
    <d v="2025-11-11T00:00:00"/>
    <x v="11"/>
    <s v="Ryan Ace R. Angel"/>
    <s v="Ryan Christian R. Nunag"/>
    <s v="Jun Guillermo"/>
    <s v="R3-2025-037775"/>
    <d v="2025-11-11T00:00:00"/>
    <d v="2025-11-11T00:00:00"/>
    <d v="2025-11-12T00:00:00"/>
    <d v="2025-11-14T00:00:00"/>
    <n v="1"/>
    <n v="1"/>
    <n v="1"/>
    <n v="2"/>
    <s v="Received by Planning"/>
    <s v="MRS"/>
    <s v="NON-OPERATIONAL"/>
    <s v="Technical Assistance"/>
    <m/>
  </r>
  <r>
    <x v="6"/>
    <x v="128"/>
    <s v="OUTSIDE MBA"/>
    <s v="Aningway Sacatihan"/>
    <n v="5357"/>
    <n v="5676"/>
    <s v="CONDUCTED TECHNICAL ASSISTANCE"/>
    <n v="2024"/>
    <d v="2024-09-10T00:00:00"/>
    <x v="0"/>
    <m/>
    <s v="Ryan Christian R. Nunag"/>
    <s v="Jun Guillermo"/>
    <m/>
    <m/>
    <m/>
    <m/>
    <m/>
    <s v=""/>
    <s v=""/>
    <s v=""/>
    <s v=""/>
    <m/>
    <s v="MRF"/>
    <s v="OPERATIONAL"/>
    <s v="Technical Assistance"/>
    <m/>
  </r>
  <r>
    <x v="6"/>
    <x v="128"/>
    <s v="OUTSIDE MBA"/>
    <s v="Asinan Poblacion"/>
    <n v="1212"/>
    <n v="1072"/>
    <s v="CONDUCTED TECHNICAL ASSISTANCE"/>
    <n v="2025"/>
    <d v="2025-10-08T00:00:00"/>
    <x v="5"/>
    <s v="Ryan Ace R. Angel"/>
    <s v="Ryan Christian R. Nunag"/>
    <s v="Jun Guillermo"/>
    <s v="R3-2025-034647"/>
    <d v="2025-10-14T00:00:00"/>
    <d v="2025-10-16T00:00:00"/>
    <d v="2025-10-16T00:00:00"/>
    <d v="2025-10-17T00:00:00"/>
    <n v="4"/>
    <n v="2"/>
    <n v="1"/>
    <n v="1"/>
    <s v="Received by Planning"/>
    <s v="MRF"/>
    <s v="NON-OPERATIONAL"/>
    <s v="Technical Assistance"/>
    <m/>
  </r>
  <r>
    <x v="6"/>
    <x v="128"/>
    <s v="OUTSIDE MBA"/>
    <s v="Asinan Proper"/>
    <n v="7855"/>
    <n v="9049"/>
    <s v="CONDUCTED TECHNICAL ASSISTANCE"/>
    <n v="2025"/>
    <d v="2025-10-09T00:00:00"/>
    <x v="5"/>
    <s v="Ryan Ace R. Angel"/>
    <s v="Ryan Christian R. Nunag"/>
    <s v="Jun Guillermo"/>
    <s v="R3-2025-034995"/>
    <d v="2025-10-16T00:00:00"/>
    <d v="2025-10-16T00:00:00"/>
    <d v="2025-10-16T00:00:00"/>
    <d v="2025-10-17T00:00:00"/>
    <n v="5"/>
    <n v="1"/>
    <n v="1"/>
    <n v="1"/>
    <s v="Received by Planning"/>
    <s v="MRF"/>
    <s v="OPERATIONAL"/>
    <s v="Technical Assistance"/>
    <m/>
  </r>
  <r>
    <x v="6"/>
    <x v="128"/>
    <s v="OUTSIDE MBA"/>
    <s v="Baraca-Camachile (Pob.)"/>
    <n v="3596"/>
    <n v="3369"/>
    <s v="CONDUCTED TECHNICAL ASSISTANCE"/>
    <n v="2025"/>
    <d v="2025-10-09T00:00:00"/>
    <x v="5"/>
    <s v="Ryan Ace R. Angel"/>
    <s v="Ryan Christian R. Nunag"/>
    <s v="Jun Guillermo"/>
    <s v="R3-2025-034998"/>
    <d v="2025-10-16T00:00:00"/>
    <d v="2025-10-16T00:00:00"/>
    <d v="2025-10-16T00:00:00"/>
    <d v="2025-10-17T00:00:00"/>
    <n v="5"/>
    <n v="1"/>
    <n v="1"/>
    <n v="1"/>
    <s v="Received by Planning"/>
    <s v="MRF"/>
    <s v="NON-OPERATIONAL"/>
    <s v="Technical Assistance"/>
    <m/>
  </r>
  <r>
    <x v="6"/>
    <x v="128"/>
    <s v="OUTSIDE MBA"/>
    <s v="Batiawan"/>
    <n v="1310"/>
    <n v="1389"/>
    <s v="NO TECHNICAL ASSISTANCE CONDUCTED"/>
    <m/>
    <m/>
    <x v="0"/>
    <m/>
    <s v="Ryan Christian R. Nunag"/>
    <s v="Jun Guillermo"/>
    <m/>
    <m/>
    <m/>
    <m/>
    <m/>
    <s v=""/>
    <s v=""/>
    <s v=""/>
    <s v=""/>
    <m/>
    <m/>
    <m/>
    <m/>
    <m/>
  </r>
  <r>
    <x v="6"/>
    <x v="128"/>
    <s v="OUTSIDE MBA"/>
    <s v="Calapacuan"/>
    <n v="14307"/>
    <n v="15626"/>
    <s v="CONDUCTED TECHNICAL ASSISTANCE"/>
    <n v="2025"/>
    <d v="2025-11-04T00:00:00"/>
    <x v="11"/>
    <s v="Ryan Ace R. Angel"/>
    <s v="Ryan Christian R. Nunag"/>
    <s v="Jun Guillermo"/>
    <s v="R3-2025-037562"/>
    <d v="2025-11-11T00:00:00"/>
    <d v="2025-11-11T00:00:00"/>
    <d v="2025-11-12T00:00:00"/>
    <d v="2025-11-14T00:00:00"/>
    <n v="5"/>
    <n v="1"/>
    <n v="1"/>
    <n v="2"/>
    <s v="Received by Planning"/>
    <s v="NO FACILITY"/>
    <s v="CATER BY LGU"/>
    <s v="Technical Assistance"/>
    <m/>
  </r>
  <r>
    <x v="6"/>
    <x v="128"/>
    <s v="OUTSIDE MBA"/>
    <s v="Calapandayan (Pob.)"/>
    <n v="9684"/>
    <n v="10343"/>
    <s v="CONDUCTED TECHNICAL ASSISTANCE"/>
    <n v="2025"/>
    <d v="2025-11-04T00:00:00"/>
    <x v="11"/>
    <s v="Ryan Ace R. Angel"/>
    <s v="Ryan Christian R. Nunag"/>
    <s v="Jun Guillermo"/>
    <s v="R3-2025-037563"/>
    <d v="2025-11-11T00:00:00"/>
    <d v="2025-11-11T00:00:00"/>
    <d v="2025-11-12T00:00:00"/>
    <d v="2025-11-18T00:00:00"/>
    <n v="5"/>
    <n v="1"/>
    <n v="1"/>
    <n v="4"/>
    <s v="Received by Planning"/>
    <s v="MRS"/>
    <s v="OPERATIONAL"/>
    <s v="Technical Assistance"/>
    <m/>
  </r>
  <r>
    <x v="6"/>
    <x v="128"/>
    <s v="OUTSIDE MBA"/>
    <s v="Cawag"/>
    <n v="15956"/>
    <n v="16982"/>
    <s v="CONDUCTED TECHNICAL ASSISTANCE"/>
    <n v="2025"/>
    <d v="2025-10-09T00:00:00"/>
    <x v="5"/>
    <s v="Ryan Ace R. Angel"/>
    <s v="Ryan Christian R. Nunag"/>
    <s v="Jun Guillermo"/>
    <s v="R3-2025-034996"/>
    <d v="2025-10-16T00:00:00"/>
    <d v="2025-10-16T00:00:00"/>
    <d v="2025-10-16T00:00:00"/>
    <d v="2025-10-17T00:00:00"/>
    <n v="5"/>
    <n v="1"/>
    <n v="1"/>
    <n v="1"/>
    <s v="Received by Planning"/>
    <s v="MRF"/>
    <s v="OPERATIONAL"/>
    <s v="Technical Assistance"/>
    <m/>
  </r>
  <r>
    <x v="6"/>
    <x v="128"/>
    <s v="OUTSIDE MBA"/>
    <s v="Ilwas (Pob.)"/>
    <n v="3226"/>
    <n v="2953"/>
    <s v="CONDUCTED TECHNICAL ASSISTANCE"/>
    <n v="2025"/>
    <d v="2025-11-04T00:00:00"/>
    <x v="11"/>
    <s v="Ryan Ace R. Angel"/>
    <s v="Ryan Christian R. Nunag"/>
    <s v="Jun Guillermo"/>
    <s v="R3-2025-037564"/>
    <d v="2025-11-11T00:00:00"/>
    <d v="2025-11-11T00:00:00"/>
    <d v="2025-11-11T00:00:00"/>
    <d v="2025-11-11T00:00:00"/>
    <n v="5"/>
    <n v="1"/>
    <n v="1"/>
    <n v="1"/>
    <s v="Received by Planning"/>
    <s v="MRF"/>
    <s v="UNDER CONSTRUCTION"/>
    <s v="Technical Assistance"/>
    <m/>
  </r>
  <r>
    <x v="6"/>
    <x v="128"/>
    <s v="OUTSIDE MBA"/>
    <s v="Mangan-Vaca"/>
    <n v="11557"/>
    <n v="13563"/>
    <s v="CONDUCTED TECHNICAL ASSISTANCE"/>
    <n v="2025"/>
    <d v="2025-10-09T00:00:00"/>
    <x v="5"/>
    <s v="Ryan Ace R. Angel"/>
    <s v="Ryan Christian R. Nunag"/>
    <s v="Jun Guillermo"/>
    <s v="R3-2025-034646"/>
    <d v="2025-10-14T00:00:00"/>
    <d v="2025-10-16T00:00:00"/>
    <d v="2025-10-16T00:00:00"/>
    <d v="2025-10-17T00:00:00"/>
    <n v="3"/>
    <n v="2"/>
    <n v="1"/>
    <n v="1"/>
    <s v="Received by Planning"/>
    <s v="NO FACILITY"/>
    <s v="CATER BY LGU"/>
    <s v="Technical Assistance"/>
    <m/>
  </r>
  <r>
    <x v="6"/>
    <x v="128"/>
    <s v="OUTSIDE MBA"/>
    <s v="Matain"/>
    <n v="8275"/>
    <n v="8230"/>
    <s v="CONDUCTED TECHNICAL ASSISTANCE"/>
    <n v="2025"/>
    <d v="2025-11-04T00:00:00"/>
    <x v="11"/>
    <s v="Ryan Ace R. Angel"/>
    <s v="Ryan Christian R. Nunag"/>
    <s v="Jun Guillermo"/>
    <s v=" R3-2025-037566"/>
    <d v="2025-11-11T00:00:00"/>
    <d v="2025-11-11T00:00:00"/>
    <d v="2025-11-11T00:00:00"/>
    <d v="2025-11-11T00:00:00"/>
    <n v="5"/>
    <n v="1"/>
    <n v="1"/>
    <n v="1"/>
    <s v="Received by Planning"/>
    <s v="MRF"/>
    <s v="OPERATIONAL"/>
    <s v="Technical Assistance"/>
    <m/>
  </r>
  <r>
    <x v="6"/>
    <x v="128"/>
    <s v="OUTSIDE MBA"/>
    <s v="Naugsol"/>
    <n v="2704"/>
    <n v="3257"/>
    <s v="CONDUCTED TECHNICAL ASSISTANCE"/>
    <n v="2024"/>
    <d v="2024-09-10T00:00:00"/>
    <x v="0"/>
    <m/>
    <s v="Ryan Christian R. Nunag"/>
    <s v="Jun Guillermo"/>
    <m/>
    <m/>
    <m/>
    <m/>
    <m/>
    <s v=""/>
    <s v=""/>
    <s v=""/>
    <s v=""/>
    <m/>
    <s v="MRF"/>
    <s v="OPERATIONAL"/>
    <s v="Technical Assistance"/>
    <m/>
  </r>
  <r>
    <x v="6"/>
    <x v="128"/>
    <s v="OUTSIDE MBA"/>
    <s v="Pamatawan"/>
    <n v="4292"/>
    <n v="4923"/>
    <s v="CONDUCTED TECHNICAL ASSISTANCE"/>
    <n v="2024"/>
    <d v="2024-09-10T00:00:00"/>
    <x v="0"/>
    <m/>
    <s v="Ryan Christian R. Nunag"/>
    <s v="Jun Guillermo"/>
    <m/>
    <m/>
    <m/>
    <m/>
    <m/>
    <s v=""/>
    <s v=""/>
    <s v=""/>
    <s v=""/>
    <m/>
    <s v="MRF"/>
    <s v="OPERATIONAL"/>
    <s v="Technical Assistance"/>
    <m/>
  </r>
  <r>
    <x v="6"/>
    <x v="128"/>
    <s v="OUTSIDE MBA"/>
    <s v="San Isidro"/>
    <n v="7869"/>
    <n v="8709"/>
    <s v="CONDUCTED TECHNICAL ASSISTANCE"/>
    <n v="2024"/>
    <d v="2024-09-10T00:00:00"/>
    <x v="0"/>
    <m/>
    <s v="Ryan Christian R. Nunag"/>
    <s v="Jun Guillermo"/>
    <m/>
    <m/>
    <m/>
    <m/>
    <m/>
    <s v=""/>
    <s v=""/>
    <s v=""/>
    <s v=""/>
    <m/>
    <s v="MRF"/>
    <s v="OPERATIONAL"/>
    <s v="Technical Assistance"/>
    <m/>
  </r>
  <r>
    <x v="6"/>
    <x v="128"/>
    <s v="OUTSIDE MBA"/>
    <s v="Santo Tomas"/>
    <n v="5481"/>
    <n v="5427"/>
    <s v="CONDUCTED TECHNICAL ASSISTANCE"/>
    <n v="2024"/>
    <d v="2024-09-10T00:00:00"/>
    <x v="0"/>
    <m/>
    <s v="Ryan Christian R. Nunag"/>
    <s v="Jun Guillermo"/>
    <m/>
    <m/>
    <m/>
    <m/>
    <m/>
    <s v=""/>
    <s v=""/>
    <s v=""/>
    <s v=""/>
    <m/>
    <s v="MRF"/>
    <s v="OPERATIONAL"/>
    <s v="Technical Assistance"/>
    <m/>
  </r>
  <r>
    <x v="6"/>
    <x v="128"/>
    <s v="OUTSIDE MBA"/>
    <s v="Wawandue (Pob.)"/>
    <n v="2090"/>
    <n v="1344"/>
    <s v="CONDUCTED TECHNICAL ASSISTANCE"/>
    <n v="2025"/>
    <d v="2025-10-09T00:00:00"/>
    <x v="5"/>
    <s v="Ryan Ace R. Angel"/>
    <s v="Ryan Christian R. Nunag"/>
    <s v="Jun Guillermo"/>
    <s v="R3-2025-034997"/>
    <d v="2025-10-16T00:00:00"/>
    <d v="2025-10-16T00:00:00"/>
    <d v="2025-10-16T00:00:00"/>
    <d v="2025-10-17T00:00:00"/>
    <n v="5"/>
    <n v="1"/>
    <n v="1"/>
    <n v="1"/>
    <s v="Received by Planning"/>
    <s v="MRF"/>
    <s v="OPERATIONAL"/>
    <s v="Technical Assistance"/>
    <m/>
  </r>
  <r>
    <x v="7"/>
    <x v="129"/>
    <m/>
    <m/>
    <m/>
    <m/>
    <m/>
    <m/>
    <m/>
    <x v="0"/>
    <m/>
    <m/>
    <m/>
    <m/>
    <m/>
    <m/>
    <m/>
    <m/>
    <m/>
    <s v=""/>
    <m/>
    <m/>
    <m/>
    <m/>
    <m/>
    <m/>
    <m/>
  </r>
  <r>
    <x v="7"/>
    <x v="129"/>
    <m/>
    <m/>
    <m/>
    <m/>
    <m/>
    <m/>
    <m/>
    <x v="0"/>
    <m/>
    <m/>
    <m/>
    <m/>
    <m/>
    <m/>
    <m/>
    <m/>
    <s v=""/>
    <s v=""/>
    <s v=""/>
    <s v=""/>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4">
  <r>
    <x v="0"/>
    <s v="Baler"/>
    <n v="5"/>
    <s v="OUTSIDE MBA"/>
    <s v="Lone"/>
    <n v="15.759167"/>
    <n v="121.562848"/>
    <s v="15.759167,121.562848"/>
    <s v="EMB FUNDED BRGY MRF"/>
    <n v="1"/>
    <n v="2018"/>
    <n v="427500"/>
    <s v="3.March"/>
    <s v="Zaila Mae R. Leander"/>
    <m/>
    <s v="Ryan Christian R. Nunag"/>
    <s v="R3-2025-007935"/>
    <d v="2025-03-04T00:00:00"/>
    <d v="2025-03-08T00:00:00"/>
    <d v="2025-03-08T00:00:00"/>
    <d v="2025-03-11T00:00:00"/>
    <d v="2025-03-12T00:00:00"/>
    <n v="3"/>
    <n v="1"/>
    <n v="1"/>
    <n v="1"/>
    <s v="Received by Planning"/>
    <n v="1"/>
    <s v="Plastic shredder"/>
    <s v="No Data"/>
    <s v="No Data"/>
    <s v="No Data"/>
    <e v="#VALUE!"/>
    <s v="NON-OPERATIONAL"/>
    <m/>
    <s v="Non-Compliant"/>
    <m/>
    <s v="NO"/>
    <m/>
    <m/>
    <m/>
    <m/>
    <m/>
    <m/>
  </r>
  <r>
    <x v="0"/>
    <s v="Baler"/>
    <s v="Buhangin"/>
    <s v="OUTSIDE MBA"/>
    <s v="Lone"/>
    <n v="15.768186"/>
    <n v="121.55754399999999"/>
    <s v="15.768186,121.557544"/>
    <s v="EMB FUNDED BRGY MRF"/>
    <n v="1"/>
    <n v="2018"/>
    <n v="427500"/>
    <s v="3.March"/>
    <s v="Zaila Mae R. Leander"/>
    <m/>
    <s v="Ryan Christian R. Nunag"/>
    <s v="R3-2025-007933"/>
    <d v="2025-03-04T00:00:00"/>
    <d v="2025-03-08T00:00:00"/>
    <d v="2025-03-08T00:00:00"/>
    <d v="2025-03-11T00:00:00"/>
    <d v="2025-03-12T00:00:00"/>
    <n v="3"/>
    <n v="1"/>
    <n v="1"/>
    <n v="1"/>
    <s v="Received by Planning"/>
    <n v="1"/>
    <s v="No Data"/>
    <m/>
    <s v="No Data"/>
    <s v="No Data"/>
    <e v="#VALUE!"/>
    <s v="OPERATIONAL"/>
    <m/>
    <s v="Non-Compliant"/>
    <m/>
    <s v="NO"/>
    <m/>
    <m/>
    <m/>
    <m/>
    <m/>
    <m/>
  </r>
  <r>
    <x v="0"/>
    <s v="Baler"/>
    <s v="Obligasyon"/>
    <s v="OUTSIDE MBA"/>
    <s v="Lone"/>
    <n v="15.779536"/>
    <n v="121.526573"/>
    <s v="15.779536,121.526573"/>
    <s v="EMB FUNDED BRGY MRF"/>
    <n v="1"/>
    <n v="2018"/>
    <n v="427500"/>
    <s v="7.July"/>
    <s v="Zaila Mae R. Leander"/>
    <m/>
    <s v="Ryan Christian R. Nunag"/>
    <s v="R3-2025-021989"/>
    <d v="2025-07-01T00:00:00"/>
    <d v="2025-07-03T00:00:00"/>
    <m/>
    <d v="2025-07-07T00:00:00"/>
    <d v="2025-07-09T00:00:00"/>
    <n v="2"/>
    <s v=""/>
    <n v="2"/>
    <n v="2"/>
    <s v="Received by Planning"/>
    <n v="0"/>
    <s v="None"/>
    <s v="N/A"/>
    <s v="N/A"/>
    <s v="N/A"/>
    <e v="#VALUE!"/>
    <s v="NON-OPERATIONAL"/>
    <s v="Used as storage of equipment by the barangay"/>
    <m/>
    <m/>
    <m/>
    <m/>
    <m/>
    <m/>
    <m/>
    <m/>
    <m/>
  </r>
  <r>
    <x v="0"/>
    <s v="Baler"/>
    <s v="Pingit "/>
    <s v="OUTSIDE MBA"/>
    <s v="Lone"/>
    <n v="15.735852299999999"/>
    <n v="121.5629275"/>
    <s v="15.7358523,121.5629275"/>
    <s v="EMB FUNDED BRGY MRF"/>
    <n v="1"/>
    <n v="2018"/>
    <n v="427500"/>
    <s v="8.August"/>
    <s v="Zaila Mae R. Leander"/>
    <m/>
    <s v="Ryan Christian R. Nunag"/>
    <s v="R3-2025-026688"/>
    <d v="2025-08-08T00:00:00"/>
    <d v="2025-08-11T00:00:00"/>
    <m/>
    <d v="2025-08-13T00:00:00"/>
    <d v="2025-08-13T00:00:00"/>
    <n v="1"/>
    <s v=""/>
    <n v="2"/>
    <n v="1"/>
    <s v="Received by Planning"/>
    <n v="1"/>
    <s v="None"/>
    <s v="Biodegradable waste,Recyclables,Residual Wastes"/>
    <n v="0"/>
    <n v="91.44"/>
    <n v="0"/>
    <s v="OPERATIONAL"/>
    <m/>
    <s v="Non-Compliant"/>
    <s v="No Records"/>
    <s v="NO"/>
    <m/>
    <m/>
    <m/>
    <m/>
    <m/>
    <m/>
  </r>
  <r>
    <x v="0"/>
    <s v="Baler"/>
    <s v="Zabali"/>
    <s v="OUTSIDE MBA"/>
    <s v="Lone"/>
    <n v="15.751450999999999"/>
    <n v="121.56715079999999"/>
    <s v="15.751451,121.5671508"/>
    <s v="EMB FUNDED BRGY MRF"/>
    <n v="1"/>
    <n v="2018"/>
    <n v="427500"/>
    <s v="8.August"/>
    <s v="Zaila Mae R. Leander"/>
    <m/>
    <s v="Ryan Christian R. Nunag"/>
    <s v="R3-2025-026694"/>
    <d v="2025-08-08T00:00:00"/>
    <d v="2025-08-11T00:00:00"/>
    <m/>
    <d v="2025-08-14T00:00:00"/>
    <d v="2025-08-18T00:00:00"/>
    <n v="1"/>
    <s v=""/>
    <n v="3"/>
    <n v="2"/>
    <s v="Received by Planning"/>
    <n v="0"/>
    <s v="N/A"/>
    <s v="N/A"/>
    <s v="N/A"/>
    <s v="N/A"/>
    <e v="#VALUE!"/>
    <s v="NON-OPERATIONAL"/>
    <s v="The Facility has been domolished and replaced by constructing the Senior Citizen Building of the LGU"/>
    <m/>
    <m/>
    <d v="2025-08-27T00:00:00"/>
    <s v="The LGU submitted an explanation letter regarding the removal of the EMB Funded MRF and according to the letter the LGU was constructed a new MRF besides the newly constructed Senior Citizen Building."/>
    <m/>
    <m/>
    <m/>
    <m/>
    <m/>
  </r>
  <r>
    <x v="0"/>
    <s v="Dingalan"/>
    <s v="Umiray"/>
    <s v="OUTSIDE MBA"/>
    <s v="Lone"/>
    <n v="15.223196"/>
    <n v="121.40795"/>
    <s v="15.223196,121.40795"/>
    <s v="EMB FUNDED BRGY MRF"/>
    <n v="1"/>
    <n v="2018"/>
    <n v="427500"/>
    <s v="9.September"/>
    <s v="Nikko Jay M. Valenzuela"/>
    <m/>
    <s v="Ryan Christian R. Nunag"/>
    <s v="R3-2025-031098"/>
    <d v="2025-09-11T00:00:00"/>
    <d v="2025-09-16T00:00:00"/>
    <m/>
    <d v="2025-09-16T00:00:00"/>
    <d v="2025-09-17T00:00:00"/>
    <n v="3"/>
    <s v=""/>
    <n v="1"/>
    <n v="1"/>
    <s v="Received by Planning"/>
    <n v="1"/>
    <s v="None"/>
    <s v="Recyclables"/>
    <n v="6.66"/>
    <n v="123.33"/>
    <n v="5.4001459498905377E-2"/>
    <s v="OPERATIONAL"/>
    <m/>
    <s v="Compliant"/>
    <m/>
    <m/>
    <m/>
    <m/>
    <m/>
    <m/>
    <m/>
    <m/>
  </r>
  <r>
    <x v="0"/>
    <s v="Dipaculao"/>
    <s v="Dibutonan"/>
    <s v="OUTSIDE MBA"/>
    <s v="Lone"/>
    <n v="15.9421021"/>
    <n v="121.603663"/>
    <s v="15.9421021,121.603663"/>
    <s v="EMB FUNDED BRGY MRF"/>
    <n v="1"/>
    <n v="2018"/>
    <n v="427500"/>
    <s v="10.October"/>
    <s v="Zaila Mae R. Leander"/>
    <m/>
    <s v="Ryan Christian R. Nunag"/>
    <s v="R3-2025-034214"/>
    <d v="2025-10-09T00:00:00"/>
    <d v="2025-10-10T00:00:00"/>
    <m/>
    <d v="2025-10-14T00:00:00"/>
    <d v="2025-10-15T00:00:00"/>
    <n v="1"/>
    <s v=""/>
    <n v="2"/>
    <n v="1"/>
    <s v="Received by Planning"/>
    <n v="1"/>
    <s v="None"/>
    <s v="No Data"/>
    <s v="No Data"/>
    <s v="No Data"/>
    <e v="#VALUE!"/>
    <s v="OPERATIONAL"/>
    <m/>
    <m/>
    <m/>
    <m/>
    <m/>
    <m/>
    <m/>
    <m/>
    <m/>
    <m/>
  </r>
  <r>
    <x v="0"/>
    <s v="Dipaculao"/>
    <s v="Dinadiawan"/>
    <s v="OUTSIDE MBA"/>
    <s v="Lone"/>
    <n v="16.076998"/>
    <n v="121.769361"/>
    <s v="16.076998,121.769361"/>
    <s v="EMB FUNDED BRGY MRF"/>
    <n v="1"/>
    <n v="2018"/>
    <n v="427500"/>
    <s v="10.October"/>
    <s v="Zaila Mae R. Leander"/>
    <m/>
    <s v="Ryan Christian R. Nunag"/>
    <s v="R3-2025-034968"/>
    <d v="2025-10-14T00:00:00"/>
    <d v="2025-10-15T00:00:00"/>
    <m/>
    <d v="2025-10-16T00:00:00"/>
    <d v="2025-10-16T00:00:00"/>
    <n v="1"/>
    <s v=""/>
    <n v="1"/>
    <n v="1"/>
    <s v="Received by Planning"/>
    <n v="1"/>
    <s v="None"/>
    <s v="No Data"/>
    <s v="No Data"/>
    <s v="No Data"/>
    <e v="#VALUE!"/>
    <s v="OPERATIONAL"/>
    <m/>
    <m/>
    <m/>
    <m/>
    <m/>
    <m/>
    <m/>
    <m/>
    <m/>
    <m/>
  </r>
  <r>
    <x v="0"/>
    <s v="Dipaculao"/>
    <s v="Gupa"/>
    <s v="OUTSIDE MBA"/>
    <s v="Lone"/>
    <n v="15.887986"/>
    <n v="121.55078899999999"/>
    <s v="15.887986,121.550789"/>
    <s v="EMB FUNDED BRGY MRF"/>
    <n v="1"/>
    <n v="2018"/>
    <n v="427500"/>
    <s v="11.November"/>
    <s v="Zaila Mae R. Leander"/>
    <m/>
    <s v="Ryan Christian R. Nunag"/>
    <s v="_x0009_R3-2025-036844"/>
    <d v="2025-10-30T00:00:00"/>
    <d v="2025-11-04T00:00:00"/>
    <m/>
    <d v="2025-11-05T00:00:00"/>
    <d v="2025-11-07T00:00:00"/>
    <n v="3"/>
    <s v=""/>
    <n v="1"/>
    <n v="2"/>
    <s v="Received by Planning"/>
    <n v="1"/>
    <s v="Weighing Scale"/>
    <s v="Biodegradable, Recyclable, Residual"/>
    <n v="0"/>
    <n v="0"/>
    <e v="#DIV/0!"/>
    <s v="OPERATIONAL"/>
    <m/>
    <m/>
    <m/>
    <m/>
    <m/>
    <m/>
    <m/>
    <m/>
    <m/>
    <m/>
  </r>
  <r>
    <x v="0"/>
    <s v="Dipaculao"/>
    <s v="Majires"/>
    <s v="OUTSIDE MBA"/>
    <s v="Lone"/>
    <n v="15.874658999999999"/>
    <n v="121.544376"/>
    <s v="15.874659,121.544376"/>
    <s v="EMB FUNDED BRGY MRF"/>
    <n v="1"/>
    <n v="2018"/>
    <n v="427500"/>
    <s v="11.November"/>
    <s v="Zaila Mae R. Leander"/>
    <m/>
    <s v="Ryan Christian R. Nunag"/>
    <s v=" R3-2025-036843"/>
    <d v="2025-10-30T00:00:00"/>
    <d v="2025-11-04T00:00:00"/>
    <m/>
    <d v="2025-11-05T00:00:00"/>
    <d v="2025-11-07T00:00:00"/>
    <n v="3"/>
    <s v=""/>
    <n v="1"/>
    <n v="2"/>
    <s v="Received by Planning"/>
    <n v="1"/>
    <s v="Weighing Scale"/>
    <s v="Biodegradable, Recyclable, Residual"/>
    <s v="N/A"/>
    <s v="N/A"/>
    <e v="#VALUE!"/>
    <s v="OPERATIONAL"/>
    <m/>
    <m/>
    <s v="•_x0009_The barangay still has no MRF record book, resulting in the absence of documented data on waste collection, segregation, and hauling activities."/>
    <m/>
    <m/>
    <m/>
    <m/>
    <m/>
    <m/>
    <m/>
  </r>
  <r>
    <x v="1"/>
    <s v="Abucay"/>
    <s v="Capitangan"/>
    <s v="MBA"/>
    <s v="1st"/>
    <n v="14.7035"/>
    <n v="120.488"/>
    <s v="14.7035,120.488"/>
    <s v="LGU FUNDED MRF"/>
    <m/>
    <s v="N/A"/>
    <s v="N/A"/>
    <s v="7.July"/>
    <s v="Dennis Tolentino"/>
    <m/>
    <s v="Christle D. David"/>
    <s v="R3-2025-023327"/>
    <d v="2025-07-09T00:00:00"/>
    <d v="2025-07-14T00:00:00"/>
    <m/>
    <d v="2025-07-15T00:00:00"/>
    <d v="2025-07-17T00:00:00"/>
    <n v="3"/>
    <s v=""/>
    <n v="1"/>
    <n v="2"/>
    <s v="Received by Planning"/>
    <n v="9"/>
    <s v="Conveyor, Wheel Loader, Biowaste Shredder, Plastic Shredder, Rotary Composter, Plastic Chair Factory, Charcoal Briquetting Machine/ Carbonizer, Electric Power"/>
    <s v="Biodegradable, Recyclables, Special, Residual"/>
    <n v="3448.02"/>
    <n v="9800.35"/>
    <n v="0.35182621028840805"/>
    <s v="OPERATIONAL"/>
    <m/>
    <s v="Compliant"/>
    <m/>
    <m/>
    <m/>
    <m/>
    <m/>
    <m/>
    <m/>
    <m/>
  </r>
  <r>
    <x v="1"/>
    <s v="Bagac"/>
    <s v="Banawang"/>
    <s v="MBA"/>
    <s v="3rd"/>
    <n v="14.619694000000001"/>
    <n v="120.386025"/>
    <s v="14.619694,120.386025"/>
    <s v="EMB FUNDED BRGY MRF"/>
    <n v="1"/>
    <n v="2018"/>
    <n v="285000"/>
    <s v="5.May"/>
    <s v="Laurence Radasa"/>
    <m/>
    <s v="Christle D. David"/>
    <s v="R3-2025-016419"/>
    <d v="2025-05-15T00:00:00"/>
    <d v="2025-05-17T00:00:00"/>
    <d v="2025-05-17T00:00:00"/>
    <d v="2025-05-19T00:00:00"/>
    <d v="2025-05-20T00:00:00"/>
    <n v="1"/>
    <n v="1"/>
    <n v="1"/>
    <n v="1"/>
    <s v="Received by Planning"/>
    <n v="1"/>
    <s v="None"/>
    <s v="Bio, Rcyclable,Residual"/>
    <n v="14.5"/>
    <n v="124.56"/>
    <n v="0.11640976236351959"/>
    <s v="OPERATIONAL"/>
    <s v="Used as MRS"/>
    <m/>
    <m/>
    <m/>
    <m/>
    <m/>
    <m/>
    <m/>
    <m/>
    <m/>
  </r>
  <r>
    <x v="1"/>
    <s v="Balanga City"/>
    <s v="Puerto Rivas Lote"/>
    <s v="MBA"/>
    <s v="2nd"/>
    <n v="14.687931000000001"/>
    <n v="120.55045800000001"/>
    <s v="14.687931,120.550458"/>
    <s v="EMB FUNDED BRGY MRF"/>
    <n v="1"/>
    <n v="2018"/>
    <n v="427500"/>
    <s v="8.August"/>
    <s v="Dennis Tolentino"/>
    <m/>
    <s v="Christle D. David"/>
    <s v="R3-2025-027730"/>
    <d v="2025-08-12T00:00:00"/>
    <d v="2025-08-18T00:00:00"/>
    <d v="2025-08-18T00:00:00"/>
    <d v="2025-08-18T00:00:00"/>
    <d v="2025-08-18T00:00:00"/>
    <n v="4"/>
    <n v="1"/>
    <n v="1"/>
    <n v="1"/>
    <s v="Received by Planning"/>
    <n v="1"/>
    <s v="Boiwaste Shredder, Rotary Composter"/>
    <s v="Biodegrdable, Recyclable,"/>
    <n v="73.36"/>
    <n v="586.09"/>
    <n v="0.12516848948113771"/>
    <s v="OPERATIONAL"/>
    <m/>
    <m/>
    <m/>
    <m/>
    <m/>
    <m/>
    <m/>
    <m/>
    <m/>
    <m/>
  </r>
  <r>
    <x v="1"/>
    <s v="Balanga City"/>
    <s v="San Jose"/>
    <s v="MBA"/>
    <s v="2nd"/>
    <n v="14.671465"/>
    <n v="120.534471"/>
    <s v="14.671465,120.534471"/>
    <s v="EMB FUNDED BRGY MRF"/>
    <n v="1"/>
    <n v="2018"/>
    <n v="285000"/>
    <s v="8.August"/>
    <s v="Dennis Tolentino"/>
    <m/>
    <s v="Christle D. David"/>
    <s v="R3-2025-027729"/>
    <d v="2025-08-12T00:00:00"/>
    <d v="2025-08-18T00:00:00"/>
    <m/>
    <d v="2025-08-18T00:00:00"/>
    <d v="2025-08-18T00:00:00"/>
    <n v="4"/>
    <s v=""/>
    <n v="1"/>
    <n v="1"/>
    <s v="Received by Planning"/>
    <n v="1"/>
    <s v="None"/>
    <s v="Reyclable"/>
    <n v="448"/>
    <n v="1578.73"/>
    <n v="0.28377239933364157"/>
    <s v="OPERATIONAL"/>
    <m/>
    <s v="Compliant"/>
    <m/>
    <m/>
    <m/>
    <m/>
    <m/>
    <m/>
    <m/>
    <m/>
  </r>
  <r>
    <x v="1"/>
    <s v="Orion"/>
    <s v="General Lim"/>
    <s v="MBA"/>
    <s v="2nd"/>
    <n v="14.5871"/>
    <n v="120.527"/>
    <s v="14.5871,120.527"/>
    <s v="LGU FUNDED MRF"/>
    <m/>
    <s v="N/A"/>
    <s v="N/A"/>
    <s v="9.September"/>
    <s v="Dennis Tolentino"/>
    <m/>
    <s v="Christle D. David"/>
    <s v="R3-2025-031520"/>
    <d v="2025-09-16T00:00:00"/>
    <d v="2025-09-17T00:00:00"/>
    <m/>
    <d v="2025-09-17T00:00:00"/>
    <d v="2025-09-18T00:00:00"/>
    <n v="1"/>
    <s v=""/>
    <n v="1"/>
    <n v="1"/>
    <s v="Received by Planning"/>
    <n v="23"/>
    <s v="Conveyor, Bottle Crusher, Bricks Mixer Machine, Biowaste Shredder, Plastic Shredder, Rotary Composter, Bricks maker/molder"/>
    <s v="Biodegradable, Recyclable, Residual"/>
    <n v="21370"/>
    <n v="28866.23"/>
    <n v="0.74031142965326613"/>
    <s v="OPERATIONAL"/>
    <m/>
    <m/>
    <m/>
    <m/>
    <m/>
    <m/>
    <m/>
    <m/>
    <m/>
    <m/>
  </r>
  <r>
    <x v="2"/>
    <s v="Limay"/>
    <s v="San Franciso De Asis"/>
    <s v="MBA"/>
    <s v="2nd"/>
    <n v="14.569686000000001"/>
    <n v="120.551528"/>
    <s v="14.569686,120.551528"/>
    <s v="EMB FUNDED MRF"/>
    <n v="1"/>
    <n v="2019"/>
    <n v="502714.29"/>
    <s v="9.September"/>
    <s v="Dennis Tolentino"/>
    <m/>
    <s v="Christle D. David"/>
    <s v="R3-2025-031511"/>
    <d v="2025-09-17T00:00:00"/>
    <d v="2025-09-17T00:00:00"/>
    <m/>
    <d v="2025-09-17T00:00:00"/>
    <d v="2025-09-18T00:00:00"/>
    <n v="1"/>
    <s v=""/>
    <n v="1"/>
    <n v="1"/>
    <s v="Received by Planning"/>
    <n v="0"/>
    <s v="None"/>
    <s v="None"/>
    <s v="No Data"/>
    <s v="No Data"/>
    <e v="#VALUE!"/>
    <s v="NON-OPERATIONAL"/>
    <s v="The LGU is yet to operate the Materials Recovery Facility this 2025 due to the availability of equipment within the facility."/>
    <m/>
    <m/>
    <m/>
    <m/>
    <m/>
    <m/>
    <m/>
    <m/>
    <m/>
  </r>
  <r>
    <x v="1"/>
    <s v="Balanga City"/>
    <s v="Cabog Cabog"/>
    <s v="MBA"/>
    <s v="2nd"/>
    <n v="14.671575000000001"/>
    <n v="120.534451"/>
    <s v="14.671575,120.534451"/>
    <s v="EMB FUNDED BRGY MRF"/>
    <n v="1"/>
    <n v="2018"/>
    <n v="285000"/>
    <s v="4.April"/>
    <s v="Dennis Tolentino"/>
    <m/>
    <s v="Christle D. David"/>
    <s v="R3-2025-010730"/>
    <d v="2025-03-28T00:00:00"/>
    <d v="2025-03-30T00:00:00"/>
    <d v="2025-03-30T00:00:00"/>
    <d v="2025-03-31T00:00:00"/>
    <d v="2025-03-31T00:00:00"/>
    <n v="1"/>
    <n v="1"/>
    <n v="1"/>
    <n v="1"/>
    <s v="Received by Planning"/>
    <n v="1"/>
    <s v="Biowaste Shredder"/>
    <s v="Biodegradable, Recyclables"/>
    <n v="100"/>
    <n v="1089.5999999999999"/>
    <n v="9.1776798825256981E-2"/>
    <s v="OPERATIONAL"/>
    <m/>
    <s v="Compliant"/>
    <m/>
    <m/>
    <m/>
    <m/>
    <m/>
    <m/>
    <m/>
    <m/>
  </r>
  <r>
    <x v="1"/>
    <s v="Balanga City"/>
    <s v="Munting Batangas"/>
    <s v="MBA"/>
    <s v="2nd"/>
    <n v="14.678100000000001"/>
    <n v="120.477"/>
    <s v="14.6781,120.477"/>
    <s v="LGU FUNDED MRF"/>
    <m/>
    <s v="N/A"/>
    <s v="N/A"/>
    <s v="3.March"/>
    <s v="Dennis Tolentino"/>
    <m/>
    <s v="Christle D. David"/>
    <s v="R3-2025-007106"/>
    <d v="2025-02-27T00:00:00"/>
    <d v="2025-03-02T00:00:00"/>
    <m/>
    <d v="2025-03-03T00:00:00"/>
    <d v="2025-03-03T00:00:00"/>
    <n v="1"/>
    <s v=""/>
    <n v="1"/>
    <n v="1"/>
    <s v="Received by Planning"/>
    <n v="25"/>
    <s v="Conveyor, Bricks Mixer Machine, Biowaste Shredder, Plastic Shredder, Rotary Composter, Bricks Maker/Molder"/>
    <s v="Bidegradable, Recyclable, Residual"/>
    <n v="10721.89"/>
    <n v="24547.38"/>
    <n v="0.43678347750350544"/>
    <s v="OPERATIONAL"/>
    <m/>
    <s v="Compliant"/>
    <m/>
    <m/>
    <m/>
    <m/>
    <m/>
    <m/>
    <m/>
    <m/>
  </r>
  <r>
    <x v="2"/>
    <s v="Pilar"/>
    <s v="Alauli"/>
    <s v="MBA"/>
    <s v="2nd"/>
    <n v="14.66066"/>
    <n v="120.543603"/>
    <s v="14.66066,120.543603"/>
    <s v="EMB FUNDED MRF"/>
    <n v="1"/>
    <n v="2019"/>
    <n v="502714.29"/>
    <s v="10.October"/>
    <s v="Dennis Tolentino"/>
    <m/>
    <s v="Christle D. David"/>
    <s v="R3-2025-034952"/>
    <d v="2025-10-15T00:00:00"/>
    <d v="2025-10-15T00:00:00"/>
    <m/>
    <d v="2025-10-20T00:00:00"/>
    <d v="2025-10-20T00:00:00"/>
    <n v="1"/>
    <s v=""/>
    <n v="3"/>
    <n v="1"/>
    <s v="Received by Planning"/>
    <n v="19"/>
    <s v="Biowaste Granulating Machine, Bottle Crusher, Plastic Granulating Machine, Bricks Mixer Machine, Glass shredder/ pulverizer, Rotary composter, Bricks maker/molder"/>
    <s v="Biodegradable, Recyclable, Residual, Special"/>
    <n v="0"/>
    <n v="26397.56"/>
    <n v="0"/>
    <s v="OPERATIONAL"/>
    <m/>
    <s v="Non-Compliant"/>
    <m/>
    <d v="2025-10-28T00:00:00"/>
    <m/>
    <m/>
    <m/>
    <m/>
    <m/>
    <m/>
  </r>
  <r>
    <x v="1"/>
    <s v="Balanga City"/>
    <s v="San Jose"/>
    <s v="MBA"/>
    <s v="2nd"/>
    <n v="14.628389"/>
    <n v="120.469267"/>
    <s v="14.628389,120.469267"/>
    <s v="EMB FUNDED BRGY MRF"/>
    <n v="1"/>
    <n v="2018"/>
    <n v="285000"/>
    <s v="3.March"/>
    <s v="Dennis Tolentino"/>
    <m/>
    <s v="Christle D. David"/>
    <s v="R3-2025-008825"/>
    <d v="2025-03-14T00:00:00"/>
    <d v="2025-03-16T00:00:00"/>
    <d v="2025-03-16T00:00:00"/>
    <d v="2025-03-16T00:00:00"/>
    <d v="2025-03-17T00:00:00"/>
    <n v="1"/>
    <n v="1"/>
    <n v="1"/>
    <n v="1"/>
    <s v="Received by Planning"/>
    <n v="1"/>
    <s v="None"/>
    <s v="Bidegradable, Recyclable"/>
    <n v="448"/>
    <n v="3359"/>
    <n v="0.13337302768681156"/>
    <s v="OPERATIONAL"/>
    <m/>
    <s v="Compliant"/>
    <m/>
    <m/>
    <m/>
    <m/>
    <m/>
    <m/>
    <m/>
    <m/>
  </r>
  <r>
    <x v="1"/>
    <s v="Hermosa"/>
    <s v="Mambog"/>
    <s v="MBA"/>
    <s v="1st"/>
    <n v="14.814500000000001"/>
    <n v="120.479"/>
    <s v="14.8145,120.479"/>
    <s v="LGU FUNDED MRF"/>
    <m/>
    <s v="N/A"/>
    <s v="N/A"/>
    <s v="8.August"/>
    <s v="John-lester Signio"/>
    <m/>
    <s v="Christle D. David"/>
    <s v="R3-2025-027711"/>
    <d v="2025-08-12T00:00:00"/>
    <d v="2025-08-18T00:00:00"/>
    <m/>
    <d v="2025-08-18T00:00:00"/>
    <d v="2025-08-18T00:00:00"/>
    <n v="4"/>
    <s v=""/>
    <n v="1"/>
    <n v="1"/>
    <s v="Received by Planning"/>
    <n v="23"/>
    <s v="Boiwaste Shredder, Rotary Composter"/>
    <s v="Biodegrdable, Recyclable, Residual"/>
    <n v="30.09"/>
    <n v="38088.69"/>
    <n v="7.8999829083121521E-4"/>
    <s v="OPERATIONAL"/>
    <m/>
    <s v="Compliant"/>
    <m/>
    <m/>
    <m/>
    <m/>
    <m/>
    <m/>
    <m/>
    <m/>
  </r>
  <r>
    <x v="1"/>
    <s v="Balanga City"/>
    <s v="San Jose Proper (Market)"/>
    <s v="MBA"/>
    <s v="2nd"/>
    <n v="14.673788999999999"/>
    <n v="120.532878"/>
    <s v="14.673789,120.532878"/>
    <s v="EMB FUNDED BRGY MRF"/>
    <n v="1"/>
    <n v="2018"/>
    <n v="285000"/>
    <s v="3.March"/>
    <s v="Dennis Tolentino"/>
    <m/>
    <s v="Christle D. David"/>
    <s v="R3-2025-008826"/>
    <d v="2025-03-14T00:00:00"/>
    <d v="2025-03-16T00:00:00"/>
    <d v="2025-03-16T00:00:00"/>
    <d v="2025-03-16T00:00:00"/>
    <d v="2025-03-16T00:00:00"/>
    <n v="1"/>
    <n v="1"/>
    <n v="1"/>
    <n v="1"/>
    <s v="Received by Planning"/>
    <n v="1"/>
    <s v="Biowaste Shredder"/>
    <s v="None"/>
    <n v="0"/>
    <n v="0"/>
    <e v="#DIV/0!"/>
    <s v="NON-OPERATIONAL"/>
    <m/>
    <s v="Compliant"/>
    <m/>
    <m/>
    <m/>
    <m/>
    <m/>
    <m/>
    <m/>
    <m/>
  </r>
  <r>
    <x v="1"/>
    <s v="Orani"/>
    <s v="Pag-asa"/>
    <s v="MBA"/>
    <s v="1st"/>
    <n v="14.7852"/>
    <n v="120.476"/>
    <s v="14.7852,120.476"/>
    <s v="LGU FUNDED MRF"/>
    <m/>
    <s v="N/A"/>
    <s v="N/A"/>
    <s v="9.September"/>
    <s v="John-lester Signio"/>
    <m/>
    <s v="Christle D. David"/>
    <s v="R3-2025-030937"/>
    <d v="2025-09-11T00:00:00"/>
    <d v="2025-09-15T00:00:00"/>
    <m/>
    <d v="2025-09-17T00:00:00"/>
    <d v="2025-09-17T00:00:00"/>
    <n v="2"/>
    <s v=""/>
    <n v="2"/>
    <n v="1"/>
    <s v="Received by Planning"/>
    <n v="29"/>
    <s v="Weighing Scale, Conveyor, Bottle Crusher, Bricks Mixer Machine, Biowaste shredder, Plastic shredder, Glass shredder/ pulverizer, Rotary composter, Bricks maker/molder, Electric power"/>
    <s v="Biodegradable, Recyclable, Residual"/>
    <n v="5138.99"/>
    <n v="41180.11"/>
    <n v="0.1247930129375565"/>
    <s v="OPERATIONAL"/>
    <m/>
    <s v="Compliant"/>
    <m/>
    <m/>
    <m/>
    <m/>
    <m/>
    <m/>
    <m/>
    <m/>
  </r>
  <r>
    <x v="1"/>
    <s v="Mariveles"/>
    <s v="Alas-Asin"/>
    <s v="MBA"/>
    <s v="3rd"/>
    <n v="14.459136300000001"/>
    <n v="120.5266262"/>
    <s v="14.4591363,120.5266262"/>
    <s v="EMB FUNDED BRGY MRF"/>
    <n v="1"/>
    <n v="2018"/>
    <n v="285000"/>
    <s v="6.June"/>
    <s v="Laurence Radasa"/>
    <m/>
    <s v="Christle D. David"/>
    <s v="R3-2025-018260"/>
    <d v="2025-05-29T00:00:00"/>
    <d v="2025-06-02T00:00:00"/>
    <d v="2025-06-02T00:00:00"/>
    <d v="2025-06-02T00:00:00"/>
    <d v="2025-06-04T00:00:00"/>
    <n v="2"/>
    <n v="1"/>
    <n v="1"/>
    <n v="2"/>
    <s v="Received by Planning"/>
    <n v="1"/>
    <s v="Biowaste Shredder"/>
    <s v="Biodegradable, Recyclable, Residual"/>
    <n v="1232"/>
    <n v="2973.65"/>
    <n v="0.41430565130395303"/>
    <s v="OPERATIONAL"/>
    <m/>
    <s v="Compliant"/>
    <m/>
    <m/>
    <m/>
    <m/>
    <m/>
    <m/>
    <m/>
    <m/>
  </r>
  <r>
    <x v="1"/>
    <s v="Mariveles"/>
    <s v="Alion"/>
    <s v="MBA"/>
    <s v="3rd"/>
    <n v="14.490861600000001"/>
    <n v="120.5811223"/>
    <s v="14.4908616,120.5811223"/>
    <s v="EMB FUNDED BRGY MRF"/>
    <n v="1"/>
    <n v="2018"/>
    <n v="285000"/>
    <s v="6.June"/>
    <s v="Laurence Radasa"/>
    <m/>
    <s v="Christle D. David"/>
    <s v="R3-2025-017932"/>
    <d v="2025-05-27T00:00:00"/>
    <d v="2025-05-28T00:00:00"/>
    <d v="2025-05-28T00:00:00"/>
    <d v="2025-05-29T00:00:00"/>
    <d v="2025-05-30T00:00:00"/>
    <n v="1"/>
    <n v="1"/>
    <n v="1"/>
    <n v="1"/>
    <s v="Received by Planning"/>
    <n v="1"/>
    <s v="Biowaste Shredder"/>
    <s v="Biodegradable, Recyclable, Residual"/>
    <n v="152"/>
    <n v="624.13"/>
    <n v="0.24353900629676509"/>
    <s v="OPERATIONAL"/>
    <m/>
    <s v="Compliant"/>
    <m/>
    <m/>
    <m/>
    <m/>
    <m/>
    <m/>
    <m/>
    <m/>
  </r>
  <r>
    <x v="1"/>
    <s v="Mariveles"/>
    <s v="Balon-Anito"/>
    <s v="MBA"/>
    <s v="3rd"/>
    <n v="14.4421395"/>
    <n v="120.46040720000001"/>
    <s v="14.4421395,120.4604072"/>
    <s v="EMB FUNDED BRGY MRF"/>
    <n v="1"/>
    <n v="2018"/>
    <n v="285000"/>
    <s v="6.June"/>
    <s v="Laurence Radasa"/>
    <m/>
    <s v="Christle D. David"/>
    <s v="R3-2025-018261_x0009_"/>
    <d v="2025-05-29T00:00:00"/>
    <d v="2025-06-02T00:00:00"/>
    <d v="2025-06-02T00:00:00"/>
    <d v="2025-06-02T00:00:00"/>
    <d v="2025-06-04T00:00:00"/>
    <n v="2"/>
    <n v="1"/>
    <n v="1"/>
    <n v="2"/>
    <s v="Received by Planning"/>
    <n v="1"/>
    <s v="Biowaste Shredder"/>
    <s v="Biodegradable, Recyclable, Residual"/>
    <n v="21"/>
    <n v="3955"/>
    <n v="5.3097345132743362E-3"/>
    <s v="OPERATIONAL"/>
    <m/>
    <s v="Compliant"/>
    <m/>
    <m/>
    <m/>
    <m/>
    <m/>
    <m/>
    <m/>
    <m/>
  </r>
  <r>
    <x v="1"/>
    <s v="Bagac"/>
    <s v="Binuangan"/>
    <s v="MBA"/>
    <s v="3rd"/>
    <n v="14.516517"/>
    <n v="120.386411"/>
    <s v="14.516517,120.386411"/>
    <s v="EMB FUNDED BRGY MRF"/>
    <n v="1"/>
    <n v="2018"/>
    <n v="285000"/>
    <s v="7.July"/>
    <s v="Laurence Radasa"/>
    <m/>
    <s v="Christle D. David"/>
    <s v="R3-2025-022317"/>
    <d v="2025-07-03T00:00:00"/>
    <d v="2025-07-07T00:00:00"/>
    <m/>
    <d v="2025-07-07T00:00:00"/>
    <d v="2025-07-09T00:00:00"/>
    <n v="2"/>
    <s v=""/>
    <n v="1"/>
    <n v="2"/>
    <s v="Received by Planning"/>
    <n v="1"/>
    <s v="None"/>
    <s v="Recyclable, Residual"/>
    <n v="10"/>
    <n v="61.78"/>
    <n v="0.16186468112657817"/>
    <s v="OPERATIONAL"/>
    <m/>
    <m/>
    <m/>
    <m/>
    <m/>
    <m/>
    <m/>
    <m/>
    <m/>
    <m/>
  </r>
  <r>
    <x v="1"/>
    <s v="Mariveles"/>
    <s v="Ipag"/>
    <s v="MBA"/>
    <s v="3rd"/>
    <n v="14.42460374"/>
    <n v="120.48033257"/>
    <s v="14.42460374,120.48033257"/>
    <s v="LGU FUNDED MRF"/>
    <m/>
    <m/>
    <m/>
    <s v="6.June"/>
    <s v="Laurence Radasa"/>
    <m/>
    <s v="Christle D. David"/>
    <s v="R3-2025-018264"/>
    <d v="2025-05-30T00:00:00"/>
    <d v="2025-06-02T00:00:00"/>
    <d v="2025-06-02T00:00:00"/>
    <d v="2025-06-02T00:00:00"/>
    <d v="2025-06-04T00:00:00"/>
    <n v="1"/>
    <n v="1"/>
    <n v="1"/>
    <n v="2"/>
    <s v="Received by Planning"/>
    <n v="14"/>
    <s v="Conveyor, Bottle Crusher, Bricks Maker Machine, Biowaste Shredder, Plastic Shredder, Glass shredder/ pulverizer, "/>
    <s v="Biodegradable, Recyclable, Residual"/>
    <n v="183"/>
    <n v="26853.84"/>
    <n v="6.8146678463862154E-3"/>
    <s v="OPERATIONAL"/>
    <m/>
    <s v="Compliant"/>
    <m/>
    <m/>
    <m/>
    <m/>
    <m/>
    <m/>
    <m/>
    <m/>
  </r>
  <r>
    <x v="1"/>
    <s v="Bagac"/>
    <s v="Pasyawan"/>
    <s v="MBA"/>
    <s v="3rd"/>
    <n v="14.535556"/>
    <n v="120.39277800000001"/>
    <s v="14.535556,120.392778"/>
    <s v="EMB FUNDED BRGY MRF"/>
    <n v="1"/>
    <n v="2018"/>
    <n v="285000"/>
    <s v="7.July"/>
    <s v="Laurence Radasa"/>
    <m/>
    <s v="Christle D. David"/>
    <s v="R3-2025-022318"/>
    <d v="2025-07-03T00:00:00"/>
    <d v="2025-07-07T00:00:00"/>
    <m/>
    <d v="2025-07-07T00:00:00"/>
    <d v="2025-07-09T00:00:00"/>
    <n v="2"/>
    <s v=""/>
    <n v="1"/>
    <n v="2"/>
    <s v="Received by Planning"/>
    <n v="1"/>
    <s v="Biowaste shredder "/>
    <s v="Recyclable, Residual"/>
    <n v="20"/>
    <n v="87.26"/>
    <n v="0.22920009168003666"/>
    <s v="OPERATIONAL"/>
    <m/>
    <s v="Non-Compliant"/>
    <m/>
    <s v="NO"/>
    <m/>
    <m/>
    <m/>
    <m/>
    <m/>
    <m/>
  </r>
  <r>
    <x v="1"/>
    <s v="Bagac"/>
    <s v="Quinawan"/>
    <s v="MBA"/>
    <s v="3rd"/>
    <n v="14.481149"/>
    <n v="120.390354"/>
    <s v="14.481149,120.390354"/>
    <s v="EMB FUNDED BRGY MRF"/>
    <n v="1"/>
    <n v="2018"/>
    <n v="427500"/>
    <s v="11.November"/>
    <s v="Laurence Radasa"/>
    <m/>
    <s v="Christle D. David"/>
    <s v="R3-2025-036661"/>
    <d v="2025-10-28T00:00:00"/>
    <d v="2025-11-03T00:00:00"/>
    <m/>
    <d v="2025-11-03T00:00:00"/>
    <d v="2025-11-03T00:00:00"/>
    <n v="4"/>
    <s v=""/>
    <n v="1"/>
    <n v="1"/>
    <s v="Received by Planning"/>
    <n v="1"/>
    <s v="Weighing Scale"/>
    <s v="Biodegradable, Recyclable, Residual"/>
    <n v="18"/>
    <n v="691.83"/>
    <n v="2.6017952387147131E-2"/>
    <s v="OPERATIONAL"/>
    <m/>
    <s v="Compliant"/>
    <m/>
    <s v="NO"/>
    <m/>
    <m/>
    <m/>
    <m/>
    <m/>
    <m/>
  </r>
  <r>
    <x v="1"/>
    <s v="Bagac"/>
    <s v="San Antonio"/>
    <s v="MBA"/>
    <s v="3rd"/>
    <n v="14.628316999999999"/>
    <n v="120.439263"/>
    <s v="14.628317,120.439263"/>
    <s v="EMB FUNDED BRGY MRF"/>
    <n v="1"/>
    <n v="2018"/>
    <n v="427500"/>
    <s v="9.September"/>
    <s v="Laurence Radasa"/>
    <m/>
    <s v="Christle D. David"/>
    <s v="R3-2025-030071"/>
    <d v="2025-09-02T00:00:00"/>
    <d v="2025-09-08T00:00:00"/>
    <m/>
    <d v="2025-09-09T00:00:00"/>
    <d v="2025-09-09T00:00:00"/>
    <n v="4"/>
    <s v=""/>
    <n v="1"/>
    <n v="1"/>
    <s v="Received by Planning"/>
    <n v="1"/>
    <s v="Biowaste Shredder"/>
    <s v="Biodegradable, Recyclables, Residual"/>
    <n v="129"/>
    <n v="179.45"/>
    <n v="0.71886319308999724"/>
    <s v="OPERATIONAL"/>
    <m/>
    <m/>
    <m/>
    <m/>
    <m/>
    <m/>
    <m/>
    <m/>
    <m/>
    <m/>
  </r>
  <r>
    <x v="1"/>
    <s v="Samal"/>
    <s v="San Juan"/>
    <s v="MBA"/>
    <s v="1st"/>
    <n v="14.772728000000001"/>
    <n v="120.517353"/>
    <s v="14.772728,120.517353"/>
    <s v="EMB FUNDED MRF"/>
    <n v="2"/>
    <s v="2016 &amp; 2021"/>
    <s v="449444&amp; 179444.44"/>
    <s v="2.February"/>
    <s v="John-lester Signio"/>
    <m/>
    <s v="Christle D. David"/>
    <s v="R3-2025-004158"/>
    <d v="2025-02-04T00:00:00"/>
    <d v="2025-02-06T00:00:00"/>
    <m/>
    <d v="2025-02-09T00:00:00"/>
    <d v="2025-02-09T00:00:00"/>
    <n v="2"/>
    <s v=""/>
    <n v="1"/>
    <n v="1"/>
    <s v="Received by Planning"/>
    <n v="14"/>
    <s v="Weighing Scale, Conveyor, Bottle Crusher, Bricks Mixer Machine, Biowaste Shredder, Plastic Shredder, Glass Shredder/Pulverizer, Rotary Composter, Bricks maker/molder, Charcoal briquetting machine/ Carbonizer"/>
    <s v="Biodegradable, Recyclables, Residual"/>
    <n v="255.19"/>
    <n v="12065.46"/>
    <n v="2.1150457587195186E-2"/>
    <s v="OPERATIONAL"/>
    <m/>
    <s v="Compliant"/>
    <m/>
    <m/>
    <m/>
    <m/>
    <m/>
    <m/>
    <m/>
    <m/>
  </r>
  <r>
    <x v="2"/>
    <s v="Bagac"/>
    <s v="Atilano"/>
    <s v="MBA"/>
    <s v="3rd"/>
    <n v="14.610300000000001"/>
    <n v="120.4074"/>
    <s v="14.6103,120.4074"/>
    <s v="EMB FUNDED MRF"/>
    <n v="1"/>
    <n v="2016"/>
    <n v="270000"/>
    <s v="5.May"/>
    <s v="Laurence Radasa"/>
    <m/>
    <s v="Christle D. David"/>
    <s v="R3-2025-016719"/>
    <d v="2025-05-13T00:00:00"/>
    <d v="2025-05-19T00:00:00"/>
    <d v="2025-05-19T00:00:00"/>
    <d v="2025-05-19T00:00:00"/>
    <d v="2025-05-19T00:00:00"/>
    <n v="4"/>
    <n v="1"/>
    <n v="1"/>
    <n v="1"/>
    <s v="Received by Planning"/>
    <n v="14"/>
    <s v="Bio Shredder"/>
    <s v="Bio, Rcyclable,Residual"/>
    <n v="390"/>
    <n v="18507.32"/>
    <n v="2.1072743109213005E-2"/>
    <s v="OPERATIONAL"/>
    <m/>
    <m/>
    <m/>
    <m/>
    <m/>
    <m/>
    <m/>
    <m/>
    <m/>
    <m/>
  </r>
  <r>
    <x v="2"/>
    <s v="Dinalupihan"/>
    <s v="Pagalanggang "/>
    <s v="MBA"/>
    <s v="3rd"/>
    <n v="14.915296"/>
    <n v="120.45313299999999"/>
    <s v="14.915296,120.453133"/>
    <s v="EMB FUNDED MRF"/>
    <n v="1"/>
    <n v="2015"/>
    <n v="500000"/>
    <s v="2.February"/>
    <s v="John-lester Signio"/>
    <m/>
    <s v="Christle D. David"/>
    <s v="R3-2025-006070_x000a_R3-2025-030867"/>
    <d v="2025-02-19T00:00:00"/>
    <d v="2025-02-19T00:00:00"/>
    <d v="2025-02-19T00:00:00"/>
    <d v="2025-02-19T00:00:00"/>
    <d v="2025-02-19T00:00:00"/>
    <n v="1"/>
    <n v="1"/>
    <n v="1"/>
    <n v="1"/>
    <s v="Received by Planning"/>
    <n v="46"/>
    <s v="Bottle Crusher, Bricks Mixer Machine, Biowaste Shredder, Plastic Shredder, Glss Shredder/Pulverizer, Rotary Composter, Windrows for Composting, Bricks maker/molder, "/>
    <s v="Biodegradable, Recyclables, Residual"/>
    <n v="484.08"/>
    <n v="37964.800000000003"/>
    <n v="1.2750758597437625E-2"/>
    <s v="OPERATIONAL"/>
    <m/>
    <s v="Compliant"/>
    <m/>
    <d v="2025-10-06T00:00:00"/>
    <m/>
    <m/>
    <m/>
    <m/>
    <m/>
    <m/>
  </r>
  <r>
    <x v="1"/>
    <s v="Mariveles"/>
    <s v="Baseco"/>
    <s v="MBA"/>
    <s v="3rd"/>
    <n v="14.436956"/>
    <n v="120.524747"/>
    <s v="14.436956,120.524747"/>
    <s v="EMB FUNDED BRGY MRF"/>
    <n v="1"/>
    <n v="2018"/>
    <n v="427500"/>
    <s v="10.October"/>
    <s v="Laurence Radasa"/>
    <m/>
    <s v="Christle D. David"/>
    <s v="R3-2025-034287"/>
    <d v="2025-10-10T00:00:00"/>
    <d v="2025-10-10T00:00:00"/>
    <m/>
    <d v="2025-10-13T00:00:00"/>
    <d v="2025-10-14T00:00:00"/>
    <n v="1"/>
    <s v=""/>
    <n v="1"/>
    <n v="1"/>
    <s v="Received by Planning"/>
    <n v="1"/>
    <s v="Biowaste Shredder"/>
    <s v="Biodegradable, Recyclable, Residual"/>
    <n v="225"/>
    <n v="1792.88"/>
    <n v="0.12549640801392173"/>
    <s v="OPERATIONAL"/>
    <m/>
    <s v="Compliant"/>
    <m/>
    <m/>
    <m/>
    <m/>
    <m/>
    <m/>
    <m/>
    <m/>
  </r>
  <r>
    <x v="1"/>
    <s v="Mariveles"/>
    <s v="Malaya"/>
    <s v="MBA"/>
    <s v="3rd"/>
    <n v="14.453206"/>
    <n v="120.494342"/>
    <s v="14.453206,120.494342"/>
    <s v="EMB FUNDED BRGY MRF"/>
    <n v="1"/>
    <n v="2018"/>
    <n v="427500"/>
    <s v="9.September"/>
    <s v="Laurence Radasa"/>
    <m/>
    <s v="Christle D. David"/>
    <s v="R3-2025-030922"/>
    <d v="2025-09-09T00:00:00"/>
    <d v="2025-09-15T00:00:00"/>
    <m/>
    <d v="2025-09-15T00:00:00"/>
    <d v="2025-09-17T00:00:00"/>
    <n v="4"/>
    <s v=""/>
    <n v="1"/>
    <n v="2"/>
    <s v="Received by Planning"/>
    <n v="1"/>
    <s v="Biowaste Shredder"/>
    <s v="Biodegradable, Recyclable, Residual"/>
    <n v="45"/>
    <n v="824.81"/>
    <n v="5.4558019422654917E-2"/>
    <s v="OPERATIONAL"/>
    <m/>
    <s v="Compliant"/>
    <m/>
    <m/>
    <m/>
    <m/>
    <m/>
    <m/>
    <m/>
    <m/>
  </r>
  <r>
    <x v="3"/>
    <s v="Angat"/>
    <s v="Binagbag"/>
    <s v="MBA"/>
    <s v="6th"/>
    <n v="14.9374"/>
    <n v="120.974"/>
    <s v="14.9374,120.974"/>
    <s v="LGU FUNDED MRF"/>
    <m/>
    <s v="N/A"/>
    <s v="N/A"/>
    <s v="11.November"/>
    <s v="Ronaldo P. Roque, Jr."/>
    <s v="Maria Cecilia Pascual"/>
    <s v="Diozelle A. Lazatin"/>
    <s v="R3-2025-037533"/>
    <d v="2025-11-07T00:00:00"/>
    <d v="2025-11-10T00:00:00"/>
    <d v="2025-11-18T00:00:00"/>
    <d v="2025-11-19T00:00:00"/>
    <d v="2025-11-19T00:00:00"/>
    <n v="1"/>
    <n v="6"/>
    <n v="1"/>
    <n v="1"/>
    <s v="Received by Planning"/>
    <n v="16"/>
    <m/>
    <s v="Mixed Waste"/>
    <m/>
    <m/>
    <e v="#DIV/0!"/>
    <s v="OPERATIONAL"/>
    <m/>
    <m/>
    <m/>
    <m/>
    <m/>
    <m/>
    <m/>
    <m/>
    <m/>
    <m/>
  </r>
  <r>
    <x v="3"/>
    <s v="Balagtas"/>
    <s v="Borol 1st"/>
    <s v="MBA"/>
    <s v="5th"/>
    <n v="14.8193"/>
    <n v="120.90179999999999"/>
    <s v="14.8193,120.9018"/>
    <s v="EMB FUNDED MRF"/>
    <n v="1"/>
    <n v="2019"/>
    <n v="502714.29"/>
    <s v="4.April"/>
    <s v="Jasmin Marie N. Siapco"/>
    <m/>
    <s v="Diozelle A. Lazatin"/>
    <s v="R3-2025-011680"/>
    <d v="2025-04-04T00:00:00"/>
    <d v="2025-04-07T00:00:00"/>
    <d v="2025-04-07T00:00:00"/>
    <d v="2025-04-10T00:00:00"/>
    <d v="2025-04-11T00:00:00"/>
    <n v="1"/>
    <n v="1"/>
    <n v="3"/>
    <n v="1"/>
    <s v="Received by Planning"/>
    <m/>
    <m/>
    <m/>
    <m/>
    <m/>
    <e v="#DIV/0!"/>
    <s v="NON-OPERATIONAL"/>
    <s v="The MRF is demolished and converted to a new building/ fire station of LGU Balagtas."/>
    <m/>
    <m/>
    <m/>
    <m/>
    <m/>
    <m/>
    <m/>
    <m/>
    <m/>
  </r>
  <r>
    <x v="4"/>
    <s v="Masinloc"/>
    <s v="Bani"/>
    <s v="OUTSIDE MBA"/>
    <s v="2nd"/>
    <n v="15.582189"/>
    <n v="119.934836"/>
    <s v="15.582189,119.934836"/>
    <s v="EMB FUNDED BRGY MRF"/>
    <n v="1"/>
    <n v="2018"/>
    <n v="427500"/>
    <s v="6.June"/>
    <s v="Ryan Ace R. Angel"/>
    <s v="Ryan Christian R. Nunag"/>
    <s v="Jun D. Guillermo"/>
    <s v="R3-2025-019785"/>
    <d v="2025-06-11T00:00:00"/>
    <d v="2025-06-16T00:00:00"/>
    <d v="2025-06-17T00:00:00"/>
    <d v="2025-06-17T00:00:00"/>
    <d v="2025-06-17T00:00:00"/>
    <n v="3"/>
    <n v="1"/>
    <n v="1"/>
    <n v="1"/>
    <s v="Received by Planning"/>
    <n v="1"/>
    <s v="None"/>
    <s v="Bio, Recyclables, Residual"/>
    <s v="No Data"/>
    <s v="No Data"/>
    <e v="#VALUE!"/>
    <s v="OPERATIONAL"/>
    <m/>
    <s v="Non-Compliant"/>
    <m/>
    <m/>
    <m/>
    <m/>
    <m/>
    <m/>
    <m/>
    <m/>
  </r>
  <r>
    <x v="4"/>
    <s v="Masinloc"/>
    <s v="North Poblacion"/>
    <s v="OUTSIDE MBA"/>
    <s v="2nd"/>
    <n v="15.548492"/>
    <n v="119.946567"/>
    <s v="15.548492,119.946567"/>
    <s v="EMB FUNDED BRGY MRF"/>
    <n v="1"/>
    <n v="2018"/>
    <n v="427500"/>
    <s v="5.May"/>
    <s v="Ryan Ace R. Angel"/>
    <s v="Ryan Christian R. Nunag"/>
    <s v="Jun D. Guillermo"/>
    <s v="R3-2025-016546"/>
    <d v="2025-05-14T00:00:00"/>
    <d v="2025-05-19T00:00:00"/>
    <d v="2025-05-19T00:00:00"/>
    <d v="2025-05-19T00:00:00"/>
    <d v="2025-05-20T00:00:00"/>
    <n v="3"/>
    <n v="1"/>
    <n v="1"/>
    <n v="1"/>
    <s v="Received by Planning"/>
    <n v="0"/>
    <s v="N/A"/>
    <s v="N/A"/>
    <s v="N/A"/>
    <s v="N/A"/>
    <e v="#VALUE!"/>
    <s v="NON-OPERATIONAL"/>
    <s v="Due to land ownership problem, the land owner closed the facility and the Barangayhas no access to the MRF."/>
    <m/>
    <m/>
    <m/>
    <m/>
    <m/>
    <m/>
    <m/>
    <m/>
    <m/>
  </r>
  <r>
    <x v="4"/>
    <s v="Masinloc"/>
    <s v="San Lorenzo"/>
    <s v="OUTSIDE MBA"/>
    <s v="2nd"/>
    <n v="15.5817066"/>
    <n v="119.94762160000001"/>
    <s v="15.5817066,119.9476216"/>
    <s v="EMB FUNDED BRGY MRF"/>
    <n v="1"/>
    <n v="2018"/>
    <n v="427500"/>
    <s v="7.July"/>
    <s v="Ryan Ace R. Angel"/>
    <s v="Ryan Christian R. Nunag"/>
    <s v="Jun D. Guillermo"/>
    <s v="R3-2025-022311"/>
    <d v="2025-07-02T00:00:00"/>
    <d v="2025-07-07T00:00:00"/>
    <d v="2025-07-09T00:00:00"/>
    <d v="2025-07-14T00:00:00"/>
    <d v="2025-07-16T00:00:00"/>
    <n v="3"/>
    <n v="2"/>
    <n v="3"/>
    <n v="2"/>
    <s v="Received by Planning"/>
    <n v="0"/>
    <s v="None"/>
    <s v="None"/>
    <s v="No Data"/>
    <s v="No Data"/>
    <e v="#VALUE!"/>
    <s v="NON-OPERATIONAL"/>
    <s v="_x0009_The EMB Funded MRF is not operational and currently used as storage room for Equipment in the Barangay."/>
    <m/>
    <m/>
    <s v="NO"/>
    <m/>
    <m/>
    <m/>
    <m/>
    <m/>
    <m/>
  </r>
  <r>
    <x v="4"/>
    <s v="Masinloc"/>
    <s v="South Poblacion"/>
    <s v="OUTSIDE MBA"/>
    <s v="2nd"/>
    <n v="15.539332999999999"/>
    <n v="119.947636"/>
    <s v="15.539333,119.947636"/>
    <s v="EMB FUNDED BRGY MRF"/>
    <n v="1"/>
    <n v="2018"/>
    <n v="427500"/>
    <s v="5.May"/>
    <s v="Ryan Ace R. Angel"/>
    <s v="Ryan Christian R. Nunag"/>
    <s v="Jun D. Guillermo"/>
    <s v="R3-2025-016541"/>
    <d v="2025-05-14T00:00:00"/>
    <d v="2025-05-19T00:00:00"/>
    <d v="2025-05-19T00:00:00"/>
    <d v="2025-05-19T00:00:00"/>
    <d v="2025-05-20T00:00:00"/>
    <n v="3"/>
    <n v="1"/>
    <n v="1"/>
    <n v="1"/>
    <s v="Received by Planning"/>
    <n v="0"/>
    <s v="N/A"/>
    <s v="N/A"/>
    <s v="N/A"/>
    <s v="N/A"/>
    <e v="#VALUE!"/>
    <s v="NON-OPERATIONAL"/>
    <s v="Due to land ownership problem, the land owner closed the facility and the Barangayhas no access to the MRF."/>
    <m/>
    <m/>
    <m/>
    <m/>
    <m/>
    <s v=" "/>
    <m/>
    <m/>
    <m/>
  </r>
  <r>
    <x v="4"/>
    <s v="Masinloc"/>
    <s v="Sta. Rita"/>
    <s v="OUTSIDE MBA"/>
    <s v="2nd"/>
    <n v="15.536987999999999"/>
    <n v="119.947481"/>
    <s v="15.536988,119.947481"/>
    <s v="EMB FUNDED BRGY MRF"/>
    <n v="1"/>
    <n v="2018"/>
    <n v="427500"/>
    <s v="5.May"/>
    <s v="Ryan Ace R. Angel"/>
    <s v="Ryan Christian R. Nunag"/>
    <s v="Jun D. Guillermo"/>
    <s v="R3-2025-016547"/>
    <d v="2025-05-14T00:00:00"/>
    <d v="2025-05-19T00:00:00"/>
    <d v="2025-05-19T00:00:00"/>
    <d v="2025-05-19T00:00:00"/>
    <d v="2025-05-20T00:00:00"/>
    <n v="3"/>
    <n v="1"/>
    <n v="1"/>
    <n v="1"/>
    <s v="Received by Planning"/>
    <n v="0"/>
    <s v="N/A"/>
    <s v="N/A"/>
    <s v="N/A"/>
    <s v="N/A"/>
    <e v="#VALUE!"/>
    <s v="NON-OPERATIONAL"/>
    <s v="•_x0009_The barangay MRF is currently used as temporary site for livelihood development projects of the municipality"/>
    <s v="Non-Compliant"/>
    <m/>
    <s v="NO"/>
    <m/>
    <m/>
    <m/>
    <m/>
    <m/>
    <m/>
  </r>
  <r>
    <x v="4"/>
    <s v="Masinloc"/>
    <s v="Taltal"/>
    <s v="OUTSIDE MBA"/>
    <s v="2nd"/>
    <n v="15.5774153"/>
    <n v="119.9287502"/>
    <s v="15.5774153,119.9287502"/>
    <s v="EMB FUNDED BRGY MRF"/>
    <n v="1"/>
    <n v="2018"/>
    <n v="427500"/>
    <s v="6.June"/>
    <s v="Ryan Ace R. Angel"/>
    <s v="Ryan Christian R. Nunag"/>
    <s v="Jun D. Guillermo"/>
    <s v="R3-2025-019784"/>
    <d v="2025-06-11T00:00:00"/>
    <d v="2025-06-16T00:00:00"/>
    <d v="2025-06-17T00:00:00"/>
    <d v="2025-06-17T00:00:00"/>
    <d v="2025-06-17T00:00:00"/>
    <n v="3"/>
    <n v="1"/>
    <n v="1"/>
    <n v="1"/>
    <s v="Received by Planning"/>
    <n v="0"/>
    <s v="None"/>
    <s v="None"/>
    <s v="None"/>
    <s v="None"/>
    <e v="#VALUE!"/>
    <s v="NON-OPERATIONAL"/>
    <s v="The MRF is currently used as storage room for Equipment in the Barangay."/>
    <m/>
    <m/>
    <m/>
    <m/>
    <m/>
    <m/>
    <m/>
    <m/>
    <m/>
  </r>
  <r>
    <x v="4"/>
    <s v="Masinloc"/>
    <s v="Tapuac"/>
    <s v="OUTSIDE MBA"/>
    <s v="2nd"/>
    <n v="15.539705"/>
    <n v="119.961949"/>
    <s v="15.539705,119.961949"/>
    <s v="EMB FUNDED BRGY MRF"/>
    <n v="1"/>
    <n v="2018"/>
    <n v="427500"/>
    <s v="10.October"/>
    <s v="Ryan Ace R. Angel"/>
    <s v="Ryan Christian R. Nunag"/>
    <s v="Jun D. Guillermo"/>
    <s v="R3-2025-033416_x0009_"/>
    <d v="2025-10-01T00:00:00"/>
    <d v="2025-10-06T00:00:00"/>
    <d v="2025-10-10T00:00:00"/>
    <d v="2025-10-10T00:00:00"/>
    <d v="2025-10-16T00:00:00"/>
    <n v="3"/>
    <n v="4"/>
    <n v="1"/>
    <n v="4"/>
    <s v="Received by Planning"/>
    <s v="N/A"/>
    <s v="None"/>
    <s v="N/A"/>
    <s v="N/A"/>
    <s v="N/A"/>
    <e v="#VALUE!"/>
    <s v="NON-OPERATIONAL"/>
    <s v="•_x0009_The barangay MRF is currently used as temporary site for livelihood development projects of the municipality"/>
    <m/>
    <m/>
    <m/>
    <m/>
    <m/>
    <m/>
    <m/>
    <m/>
    <m/>
  </r>
  <r>
    <x v="0"/>
    <s v="Baler"/>
    <s v="Pingit"/>
    <s v="OUTSIDE MBA"/>
    <s v="Lone"/>
    <n v="15.735856"/>
    <n v="121.56294699999999"/>
    <s v="15.735856,121.562947"/>
    <s v="EMB FUNDED MRF"/>
    <n v="1"/>
    <n v="2016"/>
    <n v="270000"/>
    <s v="4.April"/>
    <s v="Zaila Mae R. Leander"/>
    <m/>
    <s v="Ryan Christian R. Nunag"/>
    <s v="R3-2025-012390"/>
    <d v="2025-04-08T00:00:00"/>
    <d v="2025-04-11T00:00:00"/>
    <d v="2025-04-11T00:00:00"/>
    <d v="2025-04-14T00:00:00"/>
    <d v="2025-04-14T00:00:00"/>
    <n v="3"/>
    <n v="1"/>
    <n v="1"/>
    <n v="1"/>
    <s v="Received by Planning"/>
    <n v="7"/>
    <s v="Weighing scale,Conveyor,Rotary Mixer,Biowaste shredder,Plastic shredder,Glass shredder/ pulverizer,Rotary composter_x000a_"/>
    <s v="Biodegradable, Recyclables, Residual"/>
    <n v="5308"/>
    <n v="6597.78"/>
    <n v="0.80451303317176381"/>
    <s v="OPERATIONAL"/>
    <m/>
    <s v="Non-Compliant"/>
    <m/>
    <m/>
    <m/>
    <m/>
    <m/>
    <m/>
    <m/>
    <m/>
  </r>
  <r>
    <x v="0"/>
    <s v="Casiguran"/>
    <s v="Calantas"/>
    <s v="OUTSIDE MBA"/>
    <s v="Lone"/>
    <n v="16.288091000000001"/>
    <n v="122.122282"/>
    <s v="16.288091,122.122282"/>
    <s v="EMB FUNDED MRF"/>
    <n v="1"/>
    <n v="2019"/>
    <n v="502714.29"/>
    <s v="6.June"/>
    <s v="Queenyvel Laguisma"/>
    <m/>
    <s v="Ryan Christian R. Nunag"/>
    <s v="R3-2025-020331_x0009_"/>
    <d v="2025-06-03T00:00:00"/>
    <d v="2025-06-19T00:00:00"/>
    <m/>
    <d v="2025-06-19T00:00:00"/>
    <d v="2025-06-19T00:00:00"/>
    <n v="12"/>
    <s v=""/>
    <n v="1"/>
    <n v="1"/>
    <s v="Received by Planning"/>
    <n v="24"/>
    <s v="Weighing scale_x000a_Bottle Crusher_x000a_Rotary Mixer_x000a_ Biowaste shredder _x000a_Plastic shredder_x000a_Rotary composter_x000a_"/>
    <s v="No Data"/>
    <s v="No Data"/>
    <s v="No Data"/>
    <e v="#VALUE!"/>
    <s v="OPERATIONAL"/>
    <s v="The LGU has records of waste but not available during monitoring."/>
    <s v="Compliant"/>
    <m/>
    <m/>
    <m/>
    <m/>
    <m/>
    <m/>
    <m/>
    <m/>
  </r>
  <r>
    <x v="0"/>
    <s v="Dinalungan"/>
    <s v="Dibaraybay "/>
    <s v="OUTSIDE MBA"/>
    <s v="Lone"/>
    <n v="16.144445000000001"/>
    <n v="121.94247799999999"/>
    <s v="16.144445,121.942478"/>
    <s v="EMB FUNDED MRF"/>
    <n v="1"/>
    <n v="2019"/>
    <n v="502714.29"/>
    <s v="7.July"/>
    <s v="Queenyvel Laguisma"/>
    <m/>
    <s v="Ryan Christian R. Nunag"/>
    <s v="R3-2025-022138"/>
    <d v="2025-07-01T00:00:00"/>
    <d v="2025-07-04T00:00:00"/>
    <m/>
    <d v="2025-07-07T00:00:00"/>
    <d v="2025-07-09T00:00:00"/>
    <n v="3"/>
    <s v=""/>
    <n v="1"/>
    <n v="2"/>
    <s v="Received by Planning"/>
    <n v="9"/>
    <s v="Weighing scale_x000a_Glass shredder/ pulverizer_x000a_Bricks maker/molder"/>
    <s v="Biodegradable,Recyclable, Residual"/>
    <n v="44.3"/>
    <n v="220"/>
    <n v="0.20136363636363636"/>
    <s v="OPERATIONAL"/>
    <m/>
    <m/>
    <m/>
    <m/>
    <m/>
    <m/>
    <m/>
    <m/>
    <m/>
    <m/>
  </r>
  <r>
    <x v="0"/>
    <s v="Dipaculao"/>
    <s v="Toytoyan"/>
    <s v="OUTSIDE MBA"/>
    <s v="Lone"/>
    <n v="15.876108"/>
    <n v="121.525147"/>
    <s v="15.876108,121.525147"/>
    <s v="EMB FUNDED MRF"/>
    <n v="2"/>
    <s v="2016 &amp; 2021"/>
    <s v="270000 &amp; 179444.44"/>
    <s v="9.September"/>
    <s v="Zaila Mae R. Leander"/>
    <m/>
    <s v="Ryan Christian R. Nunag"/>
    <s v="R3-2025-030541"/>
    <d v="2025-09-11T00:00:00"/>
    <d v="2025-09-16T00:00:00"/>
    <m/>
    <d v="2025-09-16T00:00:00"/>
    <d v="2025-09-17T00:00:00"/>
    <n v="3"/>
    <s v=""/>
    <n v="1"/>
    <n v="1"/>
    <s v="Received by Planning"/>
    <n v="18"/>
    <s v="Weighing Scale"/>
    <s v="Biodegradable, Recyclables, Residual"/>
    <n v="2407.39"/>
    <n v="4176"/>
    <n v="0.57648227969348653"/>
    <s v="OPERATIONAL"/>
    <m/>
    <m/>
    <m/>
    <m/>
    <m/>
    <m/>
    <m/>
    <m/>
    <m/>
    <m/>
  </r>
  <r>
    <x v="0"/>
    <s v="Maria Aurora"/>
    <s v="Bannawag"/>
    <s v="OUTSIDE MBA"/>
    <s v="Lone"/>
    <n v="15.814859999999999"/>
    <n v="121.48000999999999"/>
    <s v="15.81486,121.48001"/>
    <s v="EMB FUNDED MRF"/>
    <n v="1"/>
    <n v="2020"/>
    <n v="190000"/>
    <s v="2.February"/>
    <s v="Nikko Jay M. Valenzuela"/>
    <m/>
    <s v="Ryan Christian R. Nunag"/>
    <s v=" R3-2025-005863"/>
    <d v="2025-02-13T00:00:00"/>
    <d v="2025-02-18T00:00:00"/>
    <m/>
    <d v="2025-02-19T00:00:00"/>
    <d v="2025-02-19T00:00:00"/>
    <n v="3"/>
    <s v=""/>
    <n v="1"/>
    <n v="1"/>
    <s v="Received by Planning"/>
    <n v="40"/>
    <s v="Biowaste Shredder / Plastic and Glass Shredder/ Rotary Composter/ Windrows for composting/Bricks Molder"/>
    <s v="Biodegradable, Recyclables, Residual"/>
    <n v="137.01"/>
    <n v="2020.49"/>
    <n v="6.7810283644066535E-2"/>
    <s v="OPERATIONAL"/>
    <m/>
    <s v="Compliant"/>
    <m/>
    <m/>
    <m/>
    <m/>
    <m/>
    <m/>
    <m/>
    <m/>
  </r>
  <r>
    <x v="0"/>
    <s v="Maria Aurora"/>
    <s v="San Joaquin"/>
    <s v="OUTSIDE MBA"/>
    <s v="Lone"/>
    <n v="15.807801"/>
    <n v="121.458669"/>
    <s v="15.807801,121.458669"/>
    <s v="EMB FUNDED MRF"/>
    <n v="1"/>
    <s v="2015//2020"/>
    <s v="500000/190,000"/>
    <s v="2.February"/>
    <s v="Nikko Jay M. Valenzuela"/>
    <m/>
    <s v="Ryan Christian R. Nunag"/>
    <s v="R3-2025-004694"/>
    <d v="2025-02-06T00:00:00"/>
    <d v="2025-02-10T00:00:00"/>
    <m/>
    <d v="2025-02-11T00:00:00"/>
    <d v="2025-02-11T00:00:00"/>
    <n v="2"/>
    <s v=""/>
    <n v="1"/>
    <n v="1"/>
    <s v="Received by Planning"/>
    <n v="0"/>
    <s v="None"/>
    <s v="N/A"/>
    <s v="N/A"/>
    <s v="N/A"/>
    <s v="N/A"/>
    <s v="NON-OPERATIONAL"/>
    <s v="•_x0009_The MRF was no longer operational along with the rehabilitated Sanitary landfill._x000a_•_x0009_LGU-Maria Aurora is already operating new MRF and SLF located at Brgy. Bannawag, Maria Aurora_x000a_"/>
    <m/>
    <m/>
    <m/>
    <m/>
    <m/>
    <m/>
    <m/>
    <m/>
    <m/>
  </r>
  <r>
    <x v="0"/>
    <s v="San Luis"/>
    <s v="L. Pimentel"/>
    <s v="OUTSIDE MBA"/>
    <s v="Lone"/>
    <n v="15.696968999999999"/>
    <n v="121.514396"/>
    <s v="15.696969,121.514396"/>
    <s v="EMB FUNDED MRF"/>
    <n v="1"/>
    <n v="2018"/>
    <n v="475000"/>
    <s v="9.September"/>
    <s v="Zaila Mae R. Leander"/>
    <m/>
    <s v="Ryan Christian R. Nunag"/>
    <s v="R3-2025-029949"/>
    <d v="2025-09-02T00:00:00"/>
    <d v="2025-09-07T00:00:00"/>
    <m/>
    <d v="2025-09-08T00:00:00"/>
    <d v="2025-09-08T00:00:00"/>
    <n v="3"/>
    <s v=""/>
    <n v="1"/>
    <n v="1"/>
    <s v="Received by Planning"/>
    <n v="11"/>
    <s v="None"/>
    <s v="Biodegradable, Recyclables, Residual"/>
    <s v="No Data"/>
    <s v="No Data"/>
    <e v="#VALUE!"/>
    <s v="OPERATIONAL"/>
    <s v="No records of waste"/>
    <m/>
    <m/>
    <m/>
    <m/>
    <m/>
    <m/>
    <m/>
    <m/>
    <m/>
  </r>
  <r>
    <x v="3"/>
    <s v="Balagtas"/>
    <s v="Dalig"/>
    <s v="MBA"/>
    <s v="1st"/>
    <n v="14.8475"/>
    <n v="120.919"/>
    <s v="14.8475, 120.919"/>
    <s v="LGU FUNDED MRF"/>
    <m/>
    <s v="N/A"/>
    <s v="N/A"/>
    <s v="7.July"/>
    <s v="Jasmin Marie N. Siapco"/>
    <m/>
    <s v="Diozelle A. Lazatin"/>
    <s v="R3-2025-023558"/>
    <d v="2025-07-08T00:00:00"/>
    <d v="2025-07-15T00:00:00"/>
    <m/>
    <d v="2025-07-17T00:00:00"/>
    <d v="2025-07-17T00:00:00"/>
    <n v="5"/>
    <s v=""/>
    <n v="2"/>
    <n v="1"/>
    <s v="Received by Planning"/>
    <m/>
    <s v="Bioshredder, Rotary Composter"/>
    <s v="N/A"/>
    <m/>
    <m/>
    <m/>
    <s v="NON-OPERATIONAL"/>
    <s v="As per MENRO Rae Anne Reyes, the MRF is still for improvement and ongoing installation of power supply. "/>
    <s v="To immediately operate the MRF with designated logbook for record keeping."/>
    <m/>
    <s v="NO"/>
    <m/>
    <m/>
    <m/>
    <m/>
    <m/>
    <m/>
  </r>
  <r>
    <x v="3"/>
    <s v="Balagtas"/>
    <s v="Santol"/>
    <s v="MBA"/>
    <s v="5th"/>
    <n v="14.862786"/>
    <n v="120.91716"/>
    <s v="14.862786,120.91716"/>
    <s v="EMB FUNDED MRF"/>
    <n v="1"/>
    <n v="2017"/>
    <n v="460000"/>
    <s v="4.April"/>
    <s v="Jasmin Marie N. Siapco"/>
    <m/>
    <s v="Diozelle A. Lazatin"/>
    <s v="R3-2025-012442"/>
    <d v="2025-04-11T00:00:00"/>
    <d v="2025-04-11T00:00:00"/>
    <d v="2025-04-11T00:00:00"/>
    <d v="2025-04-14T00:00:00"/>
    <d v="2025-04-14T00:00:00"/>
    <n v="1"/>
    <n v="1"/>
    <n v="1"/>
    <n v="1"/>
    <s v="Received by Planning"/>
    <n v="1"/>
    <s v="Biowaste Shedder"/>
    <m/>
    <m/>
    <m/>
    <e v="#DIV/0!"/>
    <s v="NON-OPERATIONAL"/>
    <m/>
    <m/>
    <m/>
    <m/>
    <m/>
    <m/>
    <m/>
    <m/>
    <m/>
    <m/>
  </r>
  <r>
    <x v="3"/>
    <s v="Baliwag"/>
    <s v="Tarcan "/>
    <s v="MBA"/>
    <s v="2nd"/>
    <n v="14.9405"/>
    <n v="120.86799999999999"/>
    <s v="14.9405,120.868"/>
    <s v="LGU FUNDED MRF"/>
    <m/>
    <s v="N/A"/>
    <s v="N/A"/>
    <s v="7.July"/>
    <s v="Ronaldo P. Roque, Jr."/>
    <m/>
    <s v="Diozelle A. Lazatin"/>
    <s v=" R3-2025-024480"/>
    <d v="2025-07-01T00:00:00"/>
    <d v="2025-07-21T00:00:00"/>
    <m/>
    <d v="2025-07-28T00:00:00"/>
    <d v="2025-07-29T00:00:00"/>
    <n v="14"/>
    <s v=""/>
    <n v="5"/>
    <n v="1"/>
    <s v="Received by Planning"/>
    <n v="27"/>
    <s v="Bioshredder, Conveyor, Bricks Mixer, Rotary Mixer, Plastic Shredder, Rotary COmposter"/>
    <s v="Biodegradable, Recyclable, Residual "/>
    <m/>
    <n v="53804"/>
    <n v="0"/>
    <s v="OPERATIONAL"/>
    <s v="Partially operational"/>
    <m/>
    <m/>
    <m/>
    <m/>
    <m/>
    <m/>
    <m/>
    <m/>
    <m/>
  </r>
  <r>
    <x v="3"/>
    <s v="Bocaue"/>
    <s v="Batia"/>
    <s v="MBA"/>
    <s v="5th"/>
    <n v="14.807480999999999"/>
    <n v="120.94629399999999"/>
    <s v="14.807481,120.946294"/>
    <s v="EMB FUNDED MRF"/>
    <n v="2"/>
    <s v="2016 &amp; 2017"/>
    <s v="270000 &amp; 460000"/>
    <s v="7.July"/>
    <s v="James Wilson T. Pena"/>
    <m/>
    <s v="Diozelle A. Lazatin"/>
    <s v="R3-2025-023886 "/>
    <d v="2025-07-09T00:00:00"/>
    <d v="2025-07-17T00:00:00"/>
    <m/>
    <d v="2025-07-17T00:00:00"/>
    <d v="2025-07-18T00:00:00"/>
    <n v="6"/>
    <s v=""/>
    <n v="1"/>
    <n v="1"/>
    <s v="Received by Planning"/>
    <m/>
    <m/>
    <m/>
    <m/>
    <m/>
    <e v="#DIV/0!"/>
    <s v="NON-OPERATIONAL"/>
    <s v="As per MENRO Gomez, the MRF has no power supply and lack of man power from the barangay to fully operate the facility"/>
    <m/>
    <m/>
    <m/>
    <m/>
    <m/>
    <m/>
    <m/>
    <m/>
    <m/>
  </r>
  <r>
    <x v="3"/>
    <s v="Bulakan"/>
    <s v="Matungao"/>
    <s v="MBA"/>
    <s v="5th"/>
    <n v="14.8146"/>
    <n v="120.8814"/>
    <s v="14.8146,120.8814"/>
    <s v="LGU FUNDED MRF"/>
    <m/>
    <s v="N/A"/>
    <s v="N/A"/>
    <s v="10.October"/>
    <s v="Jasmin Marie N. Siapco"/>
    <s v="Maria Cecilia Pascual"/>
    <s v="Diozelle A. Lazatin"/>
    <s v="R3-2025-036122"/>
    <d v="2025-10-24T00:00:00"/>
    <d v="2025-10-27T00:00:00"/>
    <d v="2025-10-27T00:00:00"/>
    <d v="2025-11-18T00:00:00"/>
    <d v="2025-11-18T00:00:00"/>
    <n v="1"/>
    <n v="1"/>
    <n v="16"/>
    <n v="1"/>
    <s v="Received by Planning"/>
    <n v="14"/>
    <s v="None"/>
    <s v="Biodegradable, Recyclable, Residual "/>
    <n v="340"/>
    <n v="17000"/>
    <n v="0.02"/>
    <s v="OPERATIONAL"/>
    <s v="\"/>
    <m/>
    <m/>
    <m/>
    <m/>
    <m/>
    <m/>
    <m/>
    <m/>
    <m/>
  </r>
  <r>
    <x v="3"/>
    <s v="Bustos"/>
    <s v="Catacte"/>
    <s v="MBA"/>
    <s v="2nd"/>
    <n v="14.929217"/>
    <n v="120.942353"/>
    <s v="14.929217,120.942353"/>
    <s v="EMB FUNDED MRF"/>
    <n v="1"/>
    <n v="2019"/>
    <n v="502714"/>
    <s v="4.April"/>
    <s v="Jasmin Marie N. Siapco"/>
    <m/>
    <s v="Diozelle A. Lazatin"/>
    <s v="R3-2025-011417"/>
    <d v="2025-04-02T00:00:00"/>
    <d v="2025-04-05T00:00:00"/>
    <d v="2025-04-05T00:00:00"/>
    <d v="2025-04-10T00:00:00"/>
    <d v="2025-04-11T00:00:00"/>
    <n v="2"/>
    <n v="1"/>
    <n v="3"/>
    <n v="1"/>
    <s v="Received by Planning"/>
    <n v="14"/>
    <s v="Biowaste Shredder, Composter, Plastic Shedder"/>
    <s v="Bio, Recyclables, Residual"/>
    <s v="N/A"/>
    <s v="N/A"/>
    <e v="#VALUE!"/>
    <s v="OPERATIONAL"/>
    <m/>
    <m/>
    <m/>
    <s v="R3-2025-036055"/>
    <m/>
    <m/>
    <m/>
    <m/>
    <m/>
    <m/>
  </r>
  <r>
    <x v="3"/>
    <s v="Calumpit"/>
    <s v=" Calizon"/>
    <s v="MBA"/>
    <s v="1st"/>
    <n v="14.909181999999999"/>
    <n v="120.753781"/>
    <s v="14.909182,120.753781"/>
    <s v="EMB FUNDED MRF"/>
    <n v="1"/>
    <n v="2013"/>
    <n v="500000"/>
    <s v="2.February"/>
    <s v="Ronaldo P. Roque, Jr."/>
    <s v="Rod Ross S. De Jesus"/>
    <s v="Diozelle A. Lazatin"/>
    <s v="R3-2025-004360"/>
    <d v="2025-02-05T00:00:00"/>
    <d v="2025-02-05T00:00:00"/>
    <d v="2025-02-10T00:00:00"/>
    <d v="2025-02-11T00:00:00"/>
    <d v="2025-02-13T00:00:00"/>
    <n v="1"/>
    <n v="3"/>
    <n v="1"/>
    <n v="2"/>
    <s v="Received by Planning"/>
    <n v="10"/>
    <s v="Rotary Mixer, Wheel Loader, Biowaste Shedder, Rotary Composter and Vermicomposting beds/bins"/>
    <s v="Biodegrable"/>
    <m/>
    <m/>
    <e v="#DIV/0!"/>
    <s v="OPERATIONAL"/>
    <m/>
    <s v="Compliant"/>
    <m/>
    <m/>
    <m/>
    <m/>
    <m/>
    <m/>
    <m/>
    <m/>
  </r>
  <r>
    <x v="3"/>
    <s v="CSJDM"/>
    <s v="Minuyan III"/>
    <s v="MBA"/>
    <s v="Lone"/>
    <n v="14.8477"/>
    <n v="121.0722"/>
    <s v="14.8477,121.0722"/>
    <s v="EMB FUNDED MRF"/>
    <n v="2"/>
    <s v="2018 &amp; 2018"/>
    <s v="285000 &amp; 285000"/>
    <s v="8.August"/>
    <s v="James Wilson T. Pena"/>
    <m/>
    <s v="Diozelle A. Lazatin"/>
    <s v="R3-2025-027456"/>
    <d v="2025-08-12T00:00:00"/>
    <d v="2025-08-16T00:00:00"/>
    <m/>
    <d v="2025-08-18T00:00:00"/>
    <d v="2025-08-19T00:00:00"/>
    <n v="3"/>
    <s v=""/>
    <n v="1"/>
    <n v="1"/>
    <s v="Returned to focal person"/>
    <m/>
    <m/>
    <m/>
    <s v="No data"/>
    <m/>
    <e v="#VALUE!"/>
    <s v="NON-OPERATIONAL"/>
    <s v="Non operational "/>
    <m/>
    <m/>
    <m/>
    <m/>
    <m/>
    <m/>
    <m/>
    <m/>
    <m/>
  </r>
  <r>
    <x v="3"/>
    <s v="CSJDM"/>
    <s v="Minuyan Proper"/>
    <s v="MBA"/>
    <s v="Lone"/>
    <n v="14.8477"/>
    <n v="121.0722"/>
    <s v="14.8477,121.0722"/>
    <s v="EMB FUNDED MRF"/>
    <n v="1"/>
    <n v="2016"/>
    <n v="270000"/>
    <s v="8.August"/>
    <s v="James Wilson T. Pena"/>
    <m/>
    <s v="Diozelle A. Lazatin"/>
    <s v="R3-2025-027458"/>
    <d v="2025-08-12T00:00:00"/>
    <d v="2025-08-16T00:00:00"/>
    <d v="2025-08-18T00:00:00"/>
    <d v="2025-08-19T00:00:00"/>
    <d v="2025-08-19T00:00:00"/>
    <n v="3"/>
    <n v="1"/>
    <n v="1"/>
    <n v="1"/>
    <s v="Received by Planning"/>
    <n v="59"/>
    <s v="Weighing scale_x000a_☒Biowaste Granulating Machine_x000a_☒Bottle Crusher_x000a_☒Plastic Granulating Machine_x000a_Rotary Mixer _x000a_Biowaste shredder _x000a_☒ Plastic shredder_x000a_☒ Glass shredder/ pulverizer_x000a_☒ Rotary composter_x000a_Bricks maker/molder_x000a_Vermicomposting bed/bins"/>
    <s v="Biodegrable, Recyclable and Residual"/>
    <n v="17500"/>
    <n v="450000"/>
    <n v="3.888888888888889E-2"/>
    <s v="OPERATIONAL"/>
    <m/>
    <m/>
    <m/>
    <m/>
    <m/>
    <m/>
    <m/>
    <m/>
    <m/>
    <m/>
  </r>
  <r>
    <x v="3"/>
    <s v="CSJDM"/>
    <s v="Muzon"/>
    <s v="MBA"/>
    <s v="Lone"/>
    <n v="14.820902999999999"/>
    <n v="121.025722"/>
    <s v="14.820903,121.025722"/>
    <s v="EMB FUNDED BRGY MRF"/>
    <n v="1"/>
    <n v="2017"/>
    <n v="460000"/>
    <s v="9.September"/>
    <s v="James Wilson T. Pena"/>
    <s v="Maria Cecilia Pascual"/>
    <s v="Diozelle A. Lazatin"/>
    <s v="R3-2025-030544"/>
    <d v="2025-09-09T00:00:00"/>
    <d v="2025-09-11T00:00:00"/>
    <d v="2025-09-16T00:00:00"/>
    <d v="2025-09-16T00:00:00"/>
    <d v="2025-09-18T00:00:00"/>
    <n v="2"/>
    <n v="3"/>
    <n v="1"/>
    <n v="2"/>
    <s v="Received by Planning"/>
    <n v="1"/>
    <s v="Conveyor, Weighing scale"/>
    <s v="Biodegradable, Recyclable, Residual, Special"/>
    <n v="2110"/>
    <n v="8456"/>
    <n v="0.24952696310312206"/>
    <s v="OPERATIONAL"/>
    <m/>
    <m/>
    <m/>
    <m/>
    <m/>
    <m/>
    <m/>
    <m/>
    <m/>
    <m/>
  </r>
  <r>
    <x v="3"/>
    <s v="CSJDM"/>
    <s v="Tungkong Mangga"/>
    <s v="MBA"/>
    <s v="Lone"/>
    <n v="14.803364200000001"/>
    <n v="121.0704497"/>
    <s v="14.8033642,121.0704497"/>
    <s v="EMB FUNDED BRGY MRF"/>
    <n v="1"/>
    <n v="2017"/>
    <n v="460000"/>
    <s v="9.September"/>
    <s v="James Wilson T. Pena"/>
    <s v="Maria Cecilia Pascual"/>
    <s v="Diozelle A. Lazatin"/>
    <s v="R3-2025-030543"/>
    <d v="2025-09-09T00:00:00"/>
    <d v="2025-09-11T00:00:00"/>
    <d v="2025-09-16T00:00:00"/>
    <d v="2025-09-16T00:00:00"/>
    <d v="2025-09-18T00:00:00"/>
    <n v="2"/>
    <n v="3"/>
    <n v="1"/>
    <n v="2"/>
    <s v="Received by Planning"/>
    <n v="1"/>
    <s v="Weighing Scale"/>
    <s v="Biodegradable, Recyclable, Residual"/>
    <m/>
    <n v="0.13089999999999999"/>
    <n v="0"/>
    <s v="OPERATIONAL"/>
    <m/>
    <m/>
    <m/>
    <m/>
    <m/>
    <m/>
    <m/>
    <m/>
    <m/>
    <m/>
  </r>
  <r>
    <x v="3"/>
    <s v="Doña Remedios Trinidad"/>
    <s v="Camachile"/>
    <s v="MBA"/>
    <s v="3rd"/>
    <n v="14.9831"/>
    <n v="121.06"/>
    <s v="14.9831,121.06"/>
    <s v="LGU FUNDED MRF"/>
    <m/>
    <s v="N/A"/>
    <s v="N/A"/>
    <s v="9.September"/>
    <s v="Ronaldo P. Roque, Jr."/>
    <s v="Maria Cecilia Pascual"/>
    <s v="Diozelle A. Lazatin"/>
    <s v="R3-2025-031546"/>
    <d v="2025-09-17T00:00:00"/>
    <d v="2025-09-17T00:00:00"/>
    <d v="2025-09-18T00:00:00"/>
    <d v="2025-09-25T00:00:00"/>
    <d v="2025-09-29T00:00:00"/>
    <n v="1"/>
    <n v="1"/>
    <n v="5"/>
    <n v="2"/>
    <s v="Received by Planning"/>
    <n v="4"/>
    <s v="Rotary Mixer_x000a_Biowaste shredder _x000a_Rotary composter_x000a_Windrows for composting"/>
    <s v="Residual waste"/>
    <n v="730"/>
    <n v="2500"/>
    <n v="0.29199999999999998"/>
    <s v="OPERATIONAL"/>
    <m/>
    <m/>
    <m/>
    <m/>
    <m/>
    <m/>
    <m/>
    <m/>
    <m/>
    <m/>
  </r>
  <r>
    <x v="3"/>
    <s v="Guiguinto"/>
    <s v="Poblacion"/>
    <s v="MBA"/>
    <s v="5th"/>
    <n v="14.824199999999999"/>
    <n v="120.88"/>
    <s v="14.8242,120.88"/>
    <s v="LGU FUNDED MRF"/>
    <m/>
    <s v="N/A"/>
    <s v="N/A"/>
    <s v="2.February"/>
    <s v="Jasmin Marie N. Siapco"/>
    <s v="Rod Ross S. De Jesus"/>
    <s v="Diozelle A. Lazatin"/>
    <s v="R3-2025-005800"/>
    <d v="2025-02-14T00:00:00"/>
    <d v="2025-02-17T00:00:00"/>
    <d v="2025-02-18T00:00:00"/>
    <d v="2025-02-18T00:00:00"/>
    <d v="2025-02-18T00:00:00"/>
    <n v="1"/>
    <n v="1"/>
    <n v="1"/>
    <n v="1"/>
    <s v="Received by Planning"/>
    <n v="14"/>
    <s v="Rotary Mixer, Wheel Loader, Biowaste Shedder, Plastic Shedder, Glas Shedder, Windrows for composting, Bricks maker"/>
    <s v="Biodegradable, Recyclables, Residual"/>
    <n v="5400"/>
    <n v="18000"/>
    <n v="0.3"/>
    <s v="OPERATIONAL"/>
    <m/>
    <m/>
    <m/>
    <m/>
    <m/>
    <m/>
    <m/>
    <m/>
    <m/>
    <m/>
  </r>
  <r>
    <x v="3"/>
    <s v="Guiguinto"/>
    <s v="Tuktukan"/>
    <s v="MBA"/>
    <s v="5th"/>
    <n v="14.742096999999999"/>
    <n v="120.912244"/>
    <s v="14.742097,120.912244"/>
    <s v="EMB FUNDED MRF"/>
    <n v="2"/>
    <s v="2014 &amp; 2021"/>
    <s v="250000 &amp; 179444.44"/>
    <s v="2.February"/>
    <s v="Jasmin Marie N. Siapco"/>
    <s v="Rod Ross S. De Jesus"/>
    <s v="Diozelle A. Lazatin"/>
    <s v="R3-2025-004436"/>
    <d v="2025-02-07T00:00:00"/>
    <d v="2025-02-09T00:00:00"/>
    <d v="2025-02-10T00:00:00"/>
    <d v="2025-02-11T00:00:00"/>
    <d v="2025-02-13T00:00:00"/>
    <n v="1"/>
    <n v="1"/>
    <n v="1"/>
    <n v="2"/>
    <s v="Received by Planning"/>
    <n v="1"/>
    <s v="Biowaste Shedder"/>
    <s v="Biodegrable, Recyclable and Residual"/>
    <n v="1630"/>
    <n v="5000"/>
    <n v="0.32600000000000001"/>
    <s v="OPERATIONAL"/>
    <m/>
    <s v="Compliant"/>
    <m/>
    <m/>
    <m/>
    <m/>
    <m/>
    <m/>
    <m/>
    <m/>
  </r>
  <r>
    <x v="3"/>
    <s v="Hagonoy"/>
    <s v="Abulalas"/>
    <s v="MBA"/>
    <s v="1st"/>
    <n v="14.850300000000001"/>
    <n v="120.765"/>
    <s v="14.8503,120.765"/>
    <s v="LGU FUNDED MRF"/>
    <m/>
    <s v="N/A"/>
    <s v="N/A"/>
    <s v="3.March"/>
    <s v="Ronaldo P. Roque, Jr."/>
    <m/>
    <s v="Diozelle A. Lazatin"/>
    <s v="R3-2025-008018"/>
    <d v="2025-03-06T00:00:00"/>
    <d v="2025-03-10T00:00:00"/>
    <d v="2025-03-11T00:00:00"/>
    <d v="2025-03-18T00:00:00"/>
    <d v="2025-03-19T00:00:00"/>
    <n v="2"/>
    <n v="1"/>
    <n v="5"/>
    <n v="1"/>
    <s v="Received by Planning"/>
    <n v="6"/>
    <s v="Biowaste shedder, Plastic Shedder, Rotary Composter"/>
    <s v="Residual waste"/>
    <n v="60000"/>
    <m/>
    <e v="#DIV/0!"/>
    <s v="OPERATIONAL"/>
    <m/>
    <m/>
    <m/>
    <m/>
    <m/>
    <m/>
    <m/>
    <m/>
    <m/>
    <m/>
  </r>
  <r>
    <x v="3"/>
    <s v="Malolos"/>
    <s v="Mambog"/>
    <s v="MBA"/>
    <s v="1st"/>
    <n v="14.8081"/>
    <n v="120.84439999999999"/>
    <s v="14.8081,120.8444"/>
    <s v="LGU FUNDED MRF"/>
    <m/>
    <s v="N/A"/>
    <s v="N/A"/>
    <s v="10.October"/>
    <s v="Ronaldo P. Roque, Jr."/>
    <s v="Maria Cecilia Pascual"/>
    <s v="Diozelle A. Lazatin"/>
    <s v="R3-2025-033404"/>
    <d v="2025-10-01T00:00:00"/>
    <d v="2025-10-06T00:00:00"/>
    <d v="2025-10-14T00:00:00"/>
    <d v="2025-10-19T00:00:00"/>
    <d v="2025-10-20T00:00:00"/>
    <n v="3"/>
    <n v="6"/>
    <n v="3"/>
    <n v="1"/>
    <s v="Received by Planning"/>
    <n v="51"/>
    <m/>
    <s v="Bio, Recyclable, Residual"/>
    <n v="51132"/>
    <n v="69938"/>
    <n v="0.73110469272784462"/>
    <s v="OPERATIONAL"/>
    <m/>
    <s v="Compliant"/>
    <m/>
    <s v="R3-2025-030054"/>
    <m/>
    <m/>
    <m/>
    <m/>
    <m/>
    <m/>
  </r>
  <r>
    <x v="3"/>
    <s v="Marilao"/>
    <s v="Lambakin"/>
    <s v="MBA"/>
    <s v="4th"/>
    <n v="14.770871"/>
    <n v="120.975582"/>
    <s v="14.770871,120.975582"/>
    <s v="EMB FUNDED BRGY MRF"/>
    <n v="1"/>
    <n v="2017"/>
    <n v="460000"/>
    <s v="5.May"/>
    <s v="James Wilson T. Pena"/>
    <m/>
    <s v="Diozelle A. Lazatin"/>
    <s v="R3-2025-016537"/>
    <d v="2025-05-15T00:00:00"/>
    <d v="2025-05-19T00:00:00"/>
    <d v="2025-05-19T00:00:00"/>
    <d v="2025-05-20T00:00:00"/>
    <d v="2025-05-20T00:00:00"/>
    <n v="2"/>
    <n v="1"/>
    <n v="1"/>
    <n v="1"/>
    <s v="Received by Planning"/>
    <n v="0"/>
    <s v="None"/>
    <s v="N/A"/>
    <s v="N/A"/>
    <s v="N/A"/>
    <e v="#VALUE!"/>
    <s v="NON-OPERATIONAL"/>
    <s v="Converted into a daycare center."/>
    <s v="Non-Compliant"/>
    <m/>
    <s v="NO"/>
    <m/>
    <m/>
    <m/>
    <m/>
    <m/>
    <m/>
  </r>
  <r>
    <x v="3"/>
    <s v="Marilao"/>
    <s v="Loma de gato"/>
    <s v="MBA"/>
    <s v="4th"/>
    <n v="14.777778"/>
    <n v="121.021111"/>
    <s v="14.777778,121.021111"/>
    <s v="EMB FUNDED BRGY MRF"/>
    <n v="1"/>
    <n v="2017"/>
    <n v="460000"/>
    <s v="7.July"/>
    <s v="James Wilson T. Pena"/>
    <m/>
    <s v="Diozelle A. Lazatin"/>
    <s v=" R3-2025-024108"/>
    <d v="2025-07-16T00:00:00"/>
    <d v="2025-07-18T00:00:00"/>
    <d v="2025-07-21T00:00:00"/>
    <d v="2025-07-21T00:00:00"/>
    <d v="2025-07-21T00:00:00"/>
    <n v="2"/>
    <n v="1"/>
    <n v="1"/>
    <n v="1"/>
    <s v="Received by Planning"/>
    <m/>
    <m/>
    <s v="Biodegradable, Recyclable, Metal, Special, Residual"/>
    <s v="N/A"/>
    <s v="N/A"/>
    <e v="#VALUE!"/>
    <s v="NON-OPERATIONAL"/>
    <s v="MRS"/>
    <m/>
    <m/>
    <m/>
    <m/>
    <m/>
    <m/>
    <m/>
    <m/>
    <m/>
  </r>
  <r>
    <x v="3"/>
    <s v="Marilao"/>
    <s v="Prenza"/>
    <s v="MBA"/>
    <s v="4th"/>
    <n v="14.790699999999999"/>
    <n v="120.98480000000001"/>
    <s v="14.7907,120.9848"/>
    <s v="LGU FUNDED MRF"/>
    <m/>
    <s v="N/A"/>
    <s v="N/A"/>
    <s v="5.May"/>
    <s v="James Wilson T. Pena"/>
    <m/>
    <s v="Diozelle A. Lazatin"/>
    <s v="R3-2025-017073"/>
    <d v="2025-05-16T00:00:00"/>
    <d v="2025-05-20T00:00:00"/>
    <d v="2025-05-20T00:00:00"/>
    <m/>
    <d v="2025-05-21T00:00:00"/>
    <n v="2"/>
    <n v="1"/>
    <s v=""/>
    <s v=""/>
    <s v="Received by Planning"/>
    <n v="16"/>
    <s v="Weighing scale, Heavy-duty weighing scale, Conveyor, Biowaste Granulating Machine, Bottle Crusher, Plastic Granulating Machine, Biowaste shredder, Rotary composter"/>
    <s v="Bio, Rcyclable,Residual"/>
    <n v="18075"/>
    <n v="90210"/>
    <n v="0.20036581310276022"/>
    <s v="OPERATIONAL"/>
    <m/>
    <s v="Compliant"/>
    <m/>
    <m/>
    <m/>
    <m/>
    <m/>
    <m/>
    <m/>
    <m/>
  </r>
  <r>
    <x v="3"/>
    <s v="Meycauyan"/>
    <s v="Caingin"/>
    <s v="MBA"/>
    <s v="4th"/>
    <n v="14.725394"/>
    <n v="120.96915199999999"/>
    <s v="14.725394,120.969152"/>
    <s v="EMB FUNDED BRGY MRF"/>
    <n v="1"/>
    <n v="2017"/>
    <n v="460000"/>
    <s v="11.November"/>
    <s v="James Wilson T. Pena"/>
    <s v="Maria Cecilia Pascual"/>
    <s v="Diozelle A. Lazatin"/>
    <s v="R3-2025-037447"/>
    <d v="2025-11-07T00:00:00"/>
    <d v="2025-11-10T00:00:00"/>
    <d v="2025-11-18T00:00:00"/>
    <d v="2025-11-19T00:00:00"/>
    <d v="2025-11-19T00:00:00"/>
    <n v="1"/>
    <n v="6"/>
    <n v="1"/>
    <n v="1"/>
    <s v="Returned to focal person"/>
    <n v="1"/>
    <s v="None"/>
    <s v="Mixed Waste"/>
    <m/>
    <m/>
    <m/>
    <s v="OPERATIONAL"/>
    <s v="MRF"/>
    <s v="Non-Compliant"/>
    <m/>
    <s v="NO"/>
    <m/>
    <m/>
    <m/>
    <m/>
    <m/>
    <m/>
  </r>
  <r>
    <x v="3"/>
    <s v="Meycauyan"/>
    <s v="Pajo"/>
    <s v="MBA"/>
    <s v="4th"/>
    <n v="14.7743"/>
    <n v="121.0086"/>
    <s v="14.7743,121.0086"/>
    <s v="LGU FUNDED MRF"/>
    <m/>
    <s v="N/A"/>
    <s v="N/A"/>
    <s v="5.May"/>
    <s v="James Wilson T. Pena"/>
    <m/>
    <s v="Diozelle A. Lazatin"/>
    <s v="R3-2025-018061"/>
    <d v="2025-05-15T00:00:00"/>
    <d v="2025-05-19T00:00:00"/>
    <m/>
    <d v="2025-05-20T00:00:00"/>
    <d v="2025-05-20T00:00:00"/>
    <n v="2"/>
    <s v=""/>
    <n v="1"/>
    <n v="1"/>
    <s v="Received by Planning"/>
    <n v="26"/>
    <s v="N/A"/>
    <s v="Bio, Rcyclable,Residual"/>
    <n v="6730"/>
    <n v="65900"/>
    <n v="0.10212443095599393"/>
    <s v="OPERATIONAL"/>
    <m/>
    <m/>
    <m/>
    <m/>
    <m/>
    <m/>
    <m/>
    <m/>
    <m/>
    <m/>
  </r>
  <r>
    <x v="3"/>
    <s v="Meycauyan"/>
    <s v="Saluysoy"/>
    <s v="MBA"/>
    <s v="4th"/>
    <n v="14.744464000000001"/>
    <n v="120.95504029999999"/>
    <s v="14.744464,120.9550403"/>
    <s v="EMB FUNDED BRGY MRF"/>
    <n v="1"/>
    <n v="2017"/>
    <n v="460000"/>
    <s v="5.May"/>
    <s v="James Wilson T. Pena"/>
    <m/>
    <s v="Diozelle A. Lazatin"/>
    <s v="R3-2025-016540"/>
    <d v="2025-05-15T00:00:00"/>
    <d v="2025-05-19T00:00:00"/>
    <d v="2025-05-19T00:00:00"/>
    <d v="2025-05-20T00:00:00"/>
    <d v="2025-05-20T00:00:00"/>
    <n v="2"/>
    <n v="1"/>
    <n v="1"/>
    <n v="1"/>
    <s v="Received by Planning"/>
    <n v="1"/>
    <s v="None"/>
    <s v="Bio, Rcyclable,Residual"/>
    <n v="140"/>
    <n v="3196.96"/>
    <n v="4.3791602021920825E-2"/>
    <s v="OPERATIONAL"/>
    <m/>
    <m/>
    <m/>
    <m/>
    <m/>
    <m/>
    <m/>
    <m/>
    <m/>
    <m/>
  </r>
  <r>
    <x v="3"/>
    <s v="Norzagaray"/>
    <s v="Bitungol"/>
    <s v="MBA"/>
    <s v="6th"/>
    <n v="14.876657"/>
    <n v="121.051275"/>
    <s v="14.876657,121.051275"/>
    <s v="EMB FUNDED BRGY MRF"/>
    <n v="1"/>
    <n v="2017"/>
    <n v="460000"/>
    <s v="10.October"/>
    <s v="James Wilson T. Pena"/>
    <s v="Maria Cecilia Pascual"/>
    <s v="Diozelle A. Lazatin"/>
    <s v="R3-2025-035134"/>
    <d v="2025-10-15T00:00:00"/>
    <d v="2025-10-16T00:00:00"/>
    <d v="2025-10-17T00:00:00"/>
    <d v="2025-10-17T00:00:00"/>
    <d v="2025-10-20T00:00:00"/>
    <n v="1"/>
    <n v="1"/>
    <n v="1"/>
    <n v="1"/>
    <s v="Received by Planning"/>
    <n v="1"/>
    <s v="None"/>
    <m/>
    <s v="no data"/>
    <m/>
    <e v="#VALUE!"/>
    <s v="OPERATIONAL"/>
    <m/>
    <m/>
    <m/>
    <m/>
    <m/>
    <m/>
    <m/>
    <m/>
    <m/>
    <m/>
  </r>
  <r>
    <x v="3"/>
    <s v="Norzagaray"/>
    <s v="Matictic"/>
    <s v="MBA"/>
    <s v="6th"/>
    <n v="14.742096999999999"/>
    <n v="120.912244"/>
    <s v="14.742097,120.912244"/>
    <s v="EMB FUNDED MRF"/>
    <n v="1"/>
    <n v="2018"/>
    <n v="285000"/>
    <s v="12.December"/>
    <s v="James Wilson T. Pena"/>
    <m/>
    <s v="Diozelle A. Lazatin"/>
    <s v="R3-2025-041845"/>
    <d v="2025-10-15T00:00:00"/>
    <d v="2025-12-22T00:00:00"/>
    <m/>
    <d v="2025-12-23T00:00:00"/>
    <d v="2025-12-23T00:00:00"/>
    <n v="48"/>
    <s v=""/>
    <n v="1"/>
    <n v="1"/>
    <s v="Returned to focal / same report with IIS no. R3-2025-027460"/>
    <n v="13"/>
    <m/>
    <s v="Mixed Waste"/>
    <m/>
    <m/>
    <e v="#DIV/0!"/>
    <s v="OPERATIONAL"/>
    <m/>
    <m/>
    <m/>
    <m/>
    <m/>
    <m/>
    <m/>
    <m/>
    <m/>
    <m/>
  </r>
  <r>
    <x v="5"/>
    <s v="Cuyapo"/>
    <s v="Sabit"/>
    <s v="OUTSIDE MBA"/>
    <s v="1st"/>
    <n v="15.8117"/>
    <n v="120.67749999999999"/>
    <s v="15.8117,120.6775"/>
    <s v="EMB FUNDED MRF"/>
    <n v="1"/>
    <n v="2019"/>
    <n v="500000"/>
    <s v="5.May"/>
    <s v="Aser A. Inocencio, Jr."/>
    <s v="Jan Emerson C. Gonzales"/>
    <s v="Zosimo P. Suyat"/>
    <s v="R3-2025-016077"/>
    <d v="2025-05-09T00:00:00"/>
    <d v="2025-05-14T00:00:00"/>
    <d v="2025-05-19T00:00:00"/>
    <d v="2025-05-19T00:00:00"/>
    <d v="2025-05-19T00:00:00"/>
    <n v="3"/>
    <n v="3"/>
    <n v="1"/>
    <n v="1"/>
    <s v="Received by Planning"/>
    <n v="51"/>
    <s v="Plastic Granulating Machine, Bricks Mixer, Bricks Molder,  Glass Shredder, "/>
    <s v="Bio, Rcyclable,Residual"/>
    <n v="735.6"/>
    <n v="38116.959999999999"/>
    <n v="1.9298495997582179E-2"/>
    <s v="OPERATIONAL"/>
    <m/>
    <s v="Compliant"/>
    <m/>
    <m/>
    <m/>
    <m/>
    <m/>
    <m/>
    <m/>
    <m/>
  </r>
  <r>
    <x v="3"/>
    <s v="Norzagaray"/>
    <s v="Matictic"/>
    <s v="MBA"/>
    <s v="6th"/>
    <n v="14.915800000000001"/>
    <n v="121.08799999999999"/>
    <s v="14.9158,121.088"/>
    <s v="LGU FUNDED MRF"/>
    <m/>
    <s v="N/A"/>
    <s v="N/A"/>
    <s v="8.August"/>
    <s v="James Wilson T. Pena"/>
    <m/>
    <s v="Diozelle A. Lazatin"/>
    <s v="R3-2025-027460"/>
    <d v="2025-08-14T00:00:00"/>
    <d v="2025-08-16T00:00:00"/>
    <m/>
    <d v="2025-09-04T00:00:00"/>
    <d v="2025-09-09T00:00:00"/>
    <n v="1"/>
    <s v=""/>
    <n v="13"/>
    <n v="3"/>
    <s v="Received by Planning"/>
    <n v="13"/>
    <s v="Weighing scale, Biowaste shredder, Rotary composter"/>
    <s v="Bio, Recyclables, Residual"/>
    <n v="4806"/>
    <n v="68038"/>
    <n v="7.0636996972280194E-2"/>
    <s v="OPERATIONAL"/>
    <m/>
    <m/>
    <m/>
    <m/>
    <m/>
    <m/>
    <m/>
    <m/>
    <m/>
    <m/>
  </r>
  <r>
    <x v="3"/>
    <s v="Obando"/>
    <s v="Binuangan"/>
    <s v="MBA"/>
    <s v="4th"/>
    <n v="14.717283999999999"/>
    <n v="120.90571199999999"/>
    <s v="14.717284,120.905712"/>
    <s v="EMB FUNDED BRGY MRF"/>
    <n v="1"/>
    <n v="2017"/>
    <n v="460000"/>
    <s v="9.September"/>
    <s v="James Wilson T. Pena"/>
    <s v="Maria Cecilia Pascual"/>
    <s v="Diozelle A. Lazatin"/>
    <s v=" R3-2025-031545 "/>
    <d v="2025-09-16T00:00:00"/>
    <d v="2025-09-17T00:00:00"/>
    <d v="2025-09-24T00:00:00"/>
    <d v="2025-09-29T00:00:00"/>
    <d v="2025-09-29T00:00:00"/>
    <n v="1"/>
    <n v="5"/>
    <n v="3"/>
    <n v="1"/>
    <s v="Received by Planning"/>
    <n v="1"/>
    <m/>
    <s v="Bidegradable, Recyclable, Residual"/>
    <n v="100.9"/>
    <n v="335"/>
    <n v="0.30119402985074628"/>
    <s v="OPERATIONAL"/>
    <m/>
    <m/>
    <m/>
    <m/>
    <m/>
    <m/>
    <m/>
    <m/>
    <m/>
    <m/>
  </r>
  <r>
    <x v="3"/>
    <s v="Obando"/>
    <s v="Binuangan"/>
    <s v="MBA"/>
    <s v="4th"/>
    <n v="14.904674999999999"/>
    <n v="120.971828"/>
    <s v="14.904675,120.971828"/>
    <s v="EMB FUNDED MRF"/>
    <n v="2"/>
    <s v="2016 &amp; 2020"/>
    <s v="230000 &amp; 190000"/>
    <s v="3.March"/>
    <s v="James Wilson T. Pena"/>
    <s v="Rod Ross S. De Jesus"/>
    <s v="Diozelle A. Lazatin"/>
    <s v="R3-2025-008879"/>
    <d v="2025-03-07T00:00:00"/>
    <d v="2025-03-16T00:00:00"/>
    <d v="2025-03-17T00:00:00"/>
    <d v="2025-03-17T00:00:00"/>
    <d v="2025-03-19T00:00:00"/>
    <n v="5"/>
    <n v="1"/>
    <n v="1"/>
    <n v="2"/>
    <s v="Received by Planning"/>
    <n v="1"/>
    <m/>
    <s v="Bidegradable, Recyclable, Residual"/>
    <n v="100.9"/>
    <n v="335"/>
    <n v="0.30119402985074628"/>
    <s v="OPERATIONAL"/>
    <m/>
    <m/>
    <m/>
    <m/>
    <m/>
    <m/>
    <m/>
    <m/>
    <m/>
    <m/>
  </r>
  <r>
    <x v="3"/>
    <s v="Obando"/>
    <s v="Panghulo"/>
    <s v="MBA"/>
    <s v="4th"/>
    <n v="14.717024"/>
    <n v="120.931417"/>
    <s v="14.717024,120.931417"/>
    <s v="EMB FUNDED BRGY MRF"/>
    <n v="1"/>
    <n v="2017"/>
    <n v="460000"/>
    <s v="3.March"/>
    <s v="James Wilson T. Pena"/>
    <m/>
    <s v="Diozelle A. Lazatin"/>
    <s v="R3-2025-009298"/>
    <d v="2025-03-18T00:00:00"/>
    <d v="2025-03-18T00:00:00"/>
    <d v="2025-03-18T00:00:00"/>
    <d v="2025-03-19T00:00:00"/>
    <d v="2025-03-19T00:00:00"/>
    <n v="1"/>
    <n v="1"/>
    <n v="1"/>
    <n v="1"/>
    <s v="Received by Planning"/>
    <n v="1"/>
    <s v="No Equipment"/>
    <s v="Bidegradable, Recyclable, Residual"/>
    <n v="185"/>
    <n v="300"/>
    <n v="0.6166666666666667"/>
    <s v="OPERATIONAL"/>
    <s v="s"/>
    <s v="Compliant"/>
    <m/>
    <m/>
    <m/>
    <m/>
    <m/>
    <m/>
    <m/>
    <m/>
  </r>
  <r>
    <x v="3"/>
    <s v="Obando"/>
    <s v="Tawiran"/>
    <s v="MBA"/>
    <s v="4th"/>
    <n v="14.904674999999999"/>
    <n v="120.971828"/>
    <s v="14.904675,120.971828"/>
    <s v="EMB FUNDED MRF"/>
    <n v="1"/>
    <n v="2018"/>
    <n v="285000"/>
    <s v="3.March"/>
    <s v="James Wilson T. Pena"/>
    <s v="Rod Ross S. De Jesus"/>
    <s v="Diozelle A. Lazatin"/>
    <s v="R3-2025-008869"/>
    <d v="2025-03-07T00:00:00"/>
    <d v="2025-03-17T00:00:00"/>
    <d v="2025-03-17T00:00:00"/>
    <d v="2025-03-17T00:00:00"/>
    <d v="2025-03-18T00:00:00"/>
    <n v="6"/>
    <n v="1"/>
    <n v="1"/>
    <n v="1"/>
    <s v="Received by Planning"/>
    <n v="11"/>
    <s v="Weighing Scale, Biowaste Shedder, Rotary Composter"/>
    <s v="Bidegradable, Recyclable, Residual"/>
    <n v="1199.56"/>
    <n v="9409"/>
    <n v="0.12749070039324051"/>
    <s v="OPERATIONAL"/>
    <m/>
    <m/>
    <m/>
    <m/>
    <m/>
    <m/>
    <m/>
    <m/>
    <m/>
    <m/>
  </r>
  <r>
    <x v="3"/>
    <s v="Pandi"/>
    <s v="Cacarong Matanda"/>
    <s v="MBA"/>
    <s v="5th"/>
    <n v="14.867974999999999"/>
    <n v="120.88548299999999"/>
    <s v="14.867975,120.885483"/>
    <s v="EMB FUNDED BRGY MRF"/>
    <n v="1"/>
    <n v="2017"/>
    <n v="460000"/>
    <s v="10.October"/>
    <s v="Ronaldo P. Roque, Jr."/>
    <s v="Maria Cecilia Pascual"/>
    <s v="Diozelle A. Lazatin"/>
    <s v="R3-2025-034400"/>
    <d v="2025-10-09T00:00:00"/>
    <d v="2025-10-12T00:00:00"/>
    <d v="2025-10-15T00:00:00"/>
    <d v="2025-10-15T00:00:00"/>
    <d v="2025-10-20T00:00:00"/>
    <n v="1"/>
    <n v="2"/>
    <n v="1"/>
    <n v="3"/>
    <s v="Received by Planning"/>
    <m/>
    <m/>
    <m/>
    <m/>
    <m/>
    <e v="#DIV/0!"/>
    <s v="NON-OPERATIONAL"/>
    <s v="●_x0009_The Barangay-funded MRF was found to be non-operational and is currently being utilized by the barangay as a storage area for various equipment._x000a_●_x0009_According to the MENRO, the barangay ceased using the existing MRF facility due to its proximity to residential houses and accessibility issues. The facility is located within a relocation site that has become increasingly dense with residential structures, resulting in narrow roads that restrict vehicle access. Previously, the barangay utilized the site for storing collected recyclables transported using kolong-kolong; however, this practice has been discontinued. MENRO further stated that the barangay is planning to transfer the MRF to a more suitable location._x000a_"/>
    <m/>
    <m/>
    <m/>
    <m/>
    <m/>
    <m/>
    <m/>
    <m/>
    <m/>
  </r>
  <r>
    <x v="3"/>
    <s v="Pandi"/>
    <s v="Cacarong Matanda"/>
    <s v="MBA"/>
    <s v="5th"/>
    <n v="14.904645"/>
    <n v="120.971863"/>
    <s v="14.904645,120.971863"/>
    <s v="EMB FUNDED MRF"/>
    <n v="1"/>
    <n v="2020"/>
    <n v="190000"/>
    <s v="10.October"/>
    <s v="Ronaldo P. Roque, Jr."/>
    <s v="Maria Cecilia Pascual"/>
    <s v="Diozelle A. Lazatin"/>
    <s v="R3-2025-038923"/>
    <d v="2025-10-09T00:00:00"/>
    <d v="2025-11-20T00:00:00"/>
    <d v="2025-11-20T00:00:00"/>
    <d v="2025-11-20T00:00:00"/>
    <d v="2025-11-20T00:00:00"/>
    <n v="30"/>
    <n v="1"/>
    <n v="1"/>
    <n v="1"/>
    <s v="Returned to focal person"/>
    <m/>
    <m/>
    <m/>
    <m/>
    <m/>
    <e v="#DIV/0!"/>
    <s v="NON-OPERATIONAL"/>
    <m/>
    <m/>
    <m/>
    <s v="NO"/>
    <m/>
    <m/>
    <m/>
    <m/>
    <m/>
    <m/>
  </r>
  <r>
    <x v="5"/>
    <s v="Nampicuan"/>
    <s v="North Poblacion"/>
    <s v="OUTSIDE MBA"/>
    <s v="1st"/>
    <n v="15.735196999999999"/>
    <n v="120.63252799999999"/>
    <s v="15.735197,120.632528"/>
    <s v="EMB FUNDED MRF"/>
    <n v="1"/>
    <n v="2019"/>
    <n v="502714.29"/>
    <s v="2.February"/>
    <s v="Aser A. Inocencio, Jr."/>
    <s v="Jaypee S. Ordoñez"/>
    <s v="Zosimo P. Suyat"/>
    <s v="R3-2025-005768"/>
    <d v="2025-02-11T00:00:00"/>
    <d v="2025-02-17T00:00:00"/>
    <d v="2025-02-18T00:00:00"/>
    <d v="2025-02-18T00:00:00"/>
    <d v="2025-02-18T00:00:00"/>
    <n v="4"/>
    <n v="1"/>
    <n v="1"/>
    <n v="1"/>
    <s v="Received by Planning"/>
    <n v="0"/>
    <n v="0"/>
    <m/>
    <m/>
    <m/>
    <e v="#DIV/0!"/>
    <s v="UNDER CONSTRUCTION"/>
    <m/>
    <m/>
    <m/>
    <m/>
    <m/>
    <m/>
    <m/>
    <m/>
    <m/>
    <m/>
  </r>
  <r>
    <x v="3"/>
    <s v="Pandi"/>
    <s v="Mapulang Lupa"/>
    <s v="MBA"/>
    <s v="5th"/>
    <n v="14.826808"/>
    <n v="120.76367500000001"/>
    <s v="14.826808,120.763675"/>
    <s v="EMB FUNDED MRF"/>
    <n v="1"/>
    <n v="2016"/>
    <n v="270000"/>
    <s v="6.June"/>
    <s v="Ronaldo P. Roque, Jr."/>
    <m/>
    <s v="Diozelle A. Lazatin"/>
    <s v="R3-2025-020201"/>
    <d v="2025-06-17T00:00:00"/>
    <d v="2025-06-18T00:00:00"/>
    <m/>
    <d v="2025-06-19T00:00:00"/>
    <d v="2025-06-19T00:00:00"/>
    <n v="1"/>
    <s v=""/>
    <n v="1"/>
    <n v="1"/>
    <s v="Received by Planning"/>
    <n v="1"/>
    <m/>
    <s v="Biodegradable, Recyclable, Residual"/>
    <n v="3030"/>
    <n v="4023"/>
    <n v="0.75316927665920952"/>
    <s v="OPERATIONAL"/>
    <m/>
    <s v="Compliant"/>
    <m/>
    <m/>
    <m/>
    <m/>
    <m/>
    <m/>
    <m/>
    <m/>
  </r>
  <r>
    <x v="3"/>
    <s v="Pandi"/>
    <s v="Siling Bata"/>
    <s v="MBA"/>
    <s v="5th"/>
    <n v="14.891749000000001"/>
    <n v="120.977345"/>
    <s v="14.891749,120.977345"/>
    <s v="EMB FUNDED BRGY MRF"/>
    <n v="1"/>
    <n v="2017"/>
    <n v="460000"/>
    <s v="9.September"/>
    <s v="Ronaldo P. Roque, Jr."/>
    <m/>
    <s v="Diozelle A. Lazatin"/>
    <s v="R3-2025-030122"/>
    <d v="2025-09-04T00:00:00"/>
    <d v="2025-09-10T00:00:00"/>
    <m/>
    <d v="2025-09-11T00:00:00"/>
    <d v="2025-09-17T00:00:00"/>
    <n v="4"/>
    <s v=""/>
    <n v="1"/>
    <n v="4"/>
    <s v="Received by Planning"/>
    <n v="1"/>
    <m/>
    <m/>
    <n v="211"/>
    <n v="7332"/>
    <n v="2.8777959629023457E-2"/>
    <s v="OPERATIONAL"/>
    <m/>
    <s v="Compliant"/>
    <m/>
    <m/>
    <m/>
    <m/>
    <m/>
    <m/>
    <m/>
    <m/>
  </r>
  <r>
    <x v="3"/>
    <s v="Paombong"/>
    <s v="San Isidro II"/>
    <s v="MBA"/>
    <s v="1st"/>
    <n v="14.826669000000001"/>
    <n v="120.763717"/>
    <s v="14.826669,120.763717"/>
    <s v="EMB FUNDED MRF"/>
    <n v="2"/>
    <s v="2016 / 2020"/>
    <s v="270000 /  190000"/>
    <s v="2.February"/>
    <s v="Ronaldo P. Roque, Jr."/>
    <s v="Rod Ross S. De Jesus"/>
    <s v="Diozelle A. Lazatin"/>
    <s v=" R3-2025-005440"/>
    <d v="2025-02-11T00:00:00"/>
    <d v="2025-02-11T00:00:00"/>
    <d v="2025-02-17T00:00:00"/>
    <d v="2025-02-17T00:00:00"/>
    <d v="2025-02-18T00:00:00"/>
    <n v="1"/>
    <n v="4"/>
    <n v="1"/>
    <n v="1"/>
    <s v="Received by Planning"/>
    <n v="14"/>
    <s v="Biowaste Shredder and Composter"/>
    <s v="Plastic_x000a_Household Healthcare waste_x000a_Residual with potential "/>
    <n v="2256"/>
    <s v="18,000/day"/>
    <n v="0.12529999999999999"/>
    <s v="OPERATIONAL"/>
    <m/>
    <s v="Compliant"/>
    <m/>
    <m/>
    <m/>
    <m/>
    <m/>
    <m/>
    <m/>
    <m/>
  </r>
  <r>
    <x v="3"/>
    <s v="Plaridel"/>
    <s v="Bulihan"/>
    <s v="MBA"/>
    <s v="2nd"/>
    <n v="14.856638999999999"/>
    <n v="121.050831"/>
    <s v="14.856639,121.050831"/>
    <s v="EMB FUNDED MRF"/>
    <n v="2"/>
    <s v="2014 / 2020"/>
    <s v="500000 / 190000"/>
    <s v="6.June"/>
    <s v="Jasmin Marie N. Siapco"/>
    <m/>
    <s v="Diozelle A. Lazatin"/>
    <s v="R3-2025-020032"/>
    <d v="2025-06-17T00:00:00"/>
    <d v="2025-06-17T00:00:00"/>
    <m/>
    <d v="2025-06-19T00:00:00"/>
    <d v="2025-06-19T00:00:00"/>
    <n v="1"/>
    <s v=""/>
    <n v="2"/>
    <n v="1"/>
    <s v="Received by Planning"/>
    <n v="17"/>
    <s v="Bioshredder, Bio-Composter"/>
    <s v="Biodegradable, Recyclable, Residual"/>
    <n v="5725"/>
    <n v="53000"/>
    <n v="0.10801886792452831"/>
    <s v="OPERATIONAL"/>
    <m/>
    <s v="Compliant"/>
    <m/>
    <m/>
    <m/>
    <m/>
    <m/>
    <m/>
    <m/>
    <m/>
  </r>
  <r>
    <x v="3"/>
    <s v="Pulilan"/>
    <s v="Longos "/>
    <s v="MBA"/>
    <s v="1st"/>
    <n v="14.899800000000001"/>
    <n v="120.866"/>
    <s v="14.8998,120.866"/>
    <s v="LGU FUNDED MRF"/>
    <m/>
    <s v="N/A"/>
    <s v="N/A"/>
    <s v="6.June"/>
    <s v="Jasmin Marie N. Siapco"/>
    <m/>
    <s v="Diozelle A. Lazatin"/>
    <s v="R3-2025-020379"/>
    <d v="2025-06-18T00:00:00"/>
    <d v="2025-06-19T00:00:00"/>
    <m/>
    <d v="2025-06-19T00:00:00"/>
    <d v="2025-06-19T00:00:00"/>
    <n v="1"/>
    <s v=""/>
    <n v="1"/>
    <n v="1"/>
    <s v="Received by Planning"/>
    <n v="19"/>
    <s v="Shredder"/>
    <s v="Bio, Recyclables, Residual"/>
    <n v="5490"/>
    <n v="30500"/>
    <n v="0.18"/>
    <s v="OPERATIONAL"/>
    <m/>
    <s v="Non Compliant"/>
    <s v="The subject area is considered as an open dumpsite given that the solid waste dumped directly on the ground and there is no proper storage for solid waste. "/>
    <s v="For issuance for Show Cause Order"/>
    <m/>
    <m/>
    <m/>
    <m/>
    <m/>
    <m/>
  </r>
  <r>
    <x v="3"/>
    <s v="San Ildefonso"/>
    <s v="Basuit (Pala Pala)"/>
    <s v="MBA"/>
    <s v="3rd"/>
    <n v="15.0479"/>
    <n v="120.9543"/>
    <s v="15.0479,120.9543"/>
    <s v="EMB FUNDED MRF"/>
    <n v="1"/>
    <n v="2019"/>
    <n v="502714.29"/>
    <s v="7.July"/>
    <s v="Ronaldo P. Roque, Jr."/>
    <m/>
    <s v="Diozelle A. Lazatin"/>
    <s v="R3-2025-023561 "/>
    <d v="2025-07-09T00:00:00"/>
    <d v="2025-07-16T00:00:00"/>
    <m/>
    <d v="2025-07-17T00:00:00"/>
    <d v="2025-07-17T00:00:00"/>
    <n v="5"/>
    <s v=""/>
    <n v="1"/>
    <n v="1"/>
    <s v="Received by Planning"/>
    <m/>
    <s v="Bioshredder, Bio-Composter"/>
    <s v="Biodegradable, Recyclable, Residual"/>
    <m/>
    <m/>
    <e v="#DIV/0!"/>
    <s v="OPERATIONAL"/>
    <m/>
    <m/>
    <m/>
    <m/>
    <m/>
    <m/>
    <m/>
    <m/>
    <m/>
    <m/>
  </r>
  <r>
    <x v="3"/>
    <s v="San Miguel"/>
    <s v="Biak Na Bato"/>
    <s v="MBA"/>
    <s v="3rd"/>
    <n v="15.135514000000001"/>
    <n v="121.059628"/>
    <s v="15.135514,121.059628"/>
    <s v="EMB FUNDED MRF"/>
    <n v="1"/>
    <n v="2019"/>
    <n v="530000"/>
    <s v="8.August"/>
    <s v="Ronaldo P. Roque, Jr."/>
    <m/>
    <s v="Diozelle A. Lazatin"/>
    <s v="R3-2025-027545"/>
    <d v="2025-08-05T00:00:00"/>
    <d v="2025-08-16T00:00:00"/>
    <m/>
    <d v="2025-08-18T00:00:00"/>
    <d v="2025-08-19T00:00:00"/>
    <n v="8"/>
    <s v=""/>
    <n v="1"/>
    <n v="1"/>
    <s v="Received by Planning"/>
    <n v="11"/>
    <m/>
    <s v="Recyclable, Plastic, Residual with potential for recycling"/>
    <n v="5534"/>
    <n v="10465"/>
    <n v="0.52881032011466789"/>
    <s v="OPERATIONAL"/>
    <m/>
    <m/>
    <m/>
    <m/>
    <m/>
    <m/>
    <m/>
    <m/>
    <m/>
    <m/>
  </r>
  <r>
    <x v="3"/>
    <s v="San Rafael"/>
    <s v="Coral na bato"/>
    <s v="MBA"/>
    <s v="3rd"/>
    <n v="14.980499999999999"/>
    <n v="120.974"/>
    <s v="14.9805,120.974"/>
    <s v="LGU FUNDED MRF"/>
    <m/>
    <s v="N/A"/>
    <s v="N/A"/>
    <s v="8.August"/>
    <s v="Ronaldo P. Roque, Jr."/>
    <m/>
    <s v="Diozelle A. Lazatin"/>
    <s v="R3-2025-027682"/>
    <d v="2025-08-13T00:00:00"/>
    <d v="2025-08-18T00:00:00"/>
    <m/>
    <d v="2025-08-19T00:00:00"/>
    <d v="2025-08-19T00:00:00"/>
    <n v="3"/>
    <s v=""/>
    <n v="1"/>
    <n v="1"/>
    <s v="Received by Planning"/>
    <n v="34"/>
    <s v="Bio shredder, Composter, Plastic Shredder"/>
    <s v="Biodegradable"/>
    <s v="No data"/>
    <n v="51651"/>
    <e v="#VALUE!"/>
    <s v="OPERATIONAL"/>
    <m/>
    <m/>
    <m/>
    <m/>
    <m/>
    <m/>
    <m/>
    <m/>
    <m/>
    <m/>
  </r>
  <r>
    <x v="3"/>
    <s v="Sta. Maria"/>
    <s v="Magasawang Sapa"/>
    <s v="MBA"/>
    <s v="6th"/>
    <n v="14.870646000000001"/>
    <n v="120.97304200000001"/>
    <s v="14.870646,120.973042"/>
    <s v="EMB FUNDED MRF"/>
    <n v="1"/>
    <n v="2012"/>
    <n v="500000"/>
    <s v="11.November"/>
    <s v="James Wilson T. Pena"/>
    <s v="Maria Cecilia Pascual"/>
    <s v="Diozelle A. Lazatin"/>
    <s v="R3-2025-037497"/>
    <d v="2025-11-06T00:00:00"/>
    <d v="2025-11-10T00:00:00"/>
    <d v="2025-11-18T00:00:00"/>
    <d v="2025-11-19T00:00:00"/>
    <d v="2025-11-19T00:00:00"/>
    <n v="2"/>
    <n v="6"/>
    <n v="1"/>
    <n v="1"/>
    <s v="Received by Planning"/>
    <n v="24"/>
    <m/>
    <s v="Mixed Waste"/>
    <m/>
    <m/>
    <e v="#DIV/0!"/>
    <s v="NON-OPERATIONAL"/>
    <s v="issued CDO"/>
    <m/>
    <m/>
    <m/>
    <m/>
    <m/>
    <m/>
    <m/>
    <m/>
    <m/>
  </r>
  <r>
    <x v="3"/>
    <s v="Sta. Maria"/>
    <s v="Parada"/>
    <s v="MBA"/>
    <s v="6th"/>
    <n v="14.807207999999999"/>
    <n v="120.987347"/>
    <s v="14.807208,120.987347"/>
    <s v="EMB FUNDED BRGY MRF"/>
    <n v="1"/>
    <n v="2017"/>
    <n v="460000"/>
    <s v="11.November"/>
    <s v="James Wilson T. Pena"/>
    <s v="Maria Cecilia Pascual"/>
    <s v="Diozelle A. Lazatin"/>
    <s v="R3-2025-037445"/>
    <d v="2025-11-06T00:00:00"/>
    <d v="2025-11-10T00:00:00"/>
    <d v="2025-11-18T00:00:00"/>
    <d v="2025-11-19T00:00:00"/>
    <d v="2025-11-19T00:00:00"/>
    <n v="2"/>
    <n v="6"/>
    <n v="1"/>
    <n v="1"/>
    <s v="Received by Planning"/>
    <n v="1"/>
    <m/>
    <s v="Mixed Waste"/>
    <m/>
    <m/>
    <e v="#DIV/0!"/>
    <s v="OPERATIONAL"/>
    <s v="MRF"/>
    <m/>
    <m/>
    <m/>
    <m/>
    <m/>
    <m/>
    <m/>
    <m/>
    <m/>
  </r>
  <r>
    <x v="3"/>
    <s v="Sta. Maria"/>
    <s v="San Vicente"/>
    <s v="MBA"/>
    <s v="6th"/>
    <n v="14.805337"/>
    <n v="121.00643599999999"/>
    <s v="14.805337,121.006436"/>
    <s v="EMB FUNDED BRGY MRF"/>
    <n v="1"/>
    <n v="2017"/>
    <n v="460000"/>
    <s v="11.November"/>
    <s v="James Wilson T. Pena"/>
    <s v="Maria Cecilia Pascual"/>
    <s v="Diozelle A. Lazatin"/>
    <s v="R3-2025-037446"/>
    <d v="2025-11-06T00:00:00"/>
    <d v="2025-11-10T00:00:00"/>
    <d v="2025-11-18T00:00:00"/>
    <d v="2025-11-19T00:00:00"/>
    <d v="2025-11-19T00:00:00"/>
    <n v="2"/>
    <n v="6"/>
    <n v="1"/>
    <n v="1"/>
    <s v="Returned to focal person"/>
    <n v="1"/>
    <s v="None"/>
    <s v="Mixed Waste"/>
    <m/>
    <m/>
    <e v="#DIV/0!"/>
    <s v="NON-OPERATIONAL"/>
    <m/>
    <m/>
    <s v="Planned for relocation"/>
    <m/>
    <m/>
    <m/>
    <m/>
    <m/>
    <m/>
    <m/>
  </r>
  <r>
    <x v="5"/>
    <s v="Aliaga"/>
    <s v="Santiago"/>
    <s v="MBA"/>
    <s v="1st"/>
    <n v="15.4795"/>
    <n v="120.819"/>
    <s v="15.4795,120.819"/>
    <s v="LGU FUNDED MRF"/>
    <m/>
    <s v="N/A"/>
    <s v="N/A"/>
    <s v="9.September"/>
    <s v="Gem C. Vicencio"/>
    <s v="Jaypee S. Ordoñez"/>
    <s v="Zosimo P. Suyat"/>
    <s v="R3-2025-025517"/>
    <d v="2025-07-31T00:00:00"/>
    <d v="2025-08-01T00:00:00"/>
    <d v="2025-08-08T00:00:00"/>
    <d v="2025-08-08T00:00:00"/>
    <d v="2025-08-13T00:00:00"/>
    <n v="1"/>
    <n v="5"/>
    <n v="1"/>
    <n v="3"/>
    <s v="Received by Planning"/>
    <m/>
    <m/>
    <m/>
    <m/>
    <m/>
    <e v="#DIV/0!"/>
    <s v="OPERATIONAL"/>
    <m/>
    <s v="Non-Compliant"/>
    <m/>
    <s v="yes"/>
    <m/>
    <m/>
    <m/>
    <m/>
    <m/>
    <m/>
  </r>
  <r>
    <x v="5"/>
    <s v="Bongabon"/>
    <s v="Pesa"/>
    <s v="MBA"/>
    <s v="3rd"/>
    <n v="15.6434"/>
    <n v="121.188"/>
    <s v="15.6434,121.188"/>
    <s v="LGU FUNDED MRF"/>
    <m/>
    <s v="N/A"/>
    <s v="N/A"/>
    <s v="3.March"/>
    <s v="Jan Emerson C. Gonzales"/>
    <s v="Jaypee S. Ordoñez"/>
    <s v="Zosimo P. Suyat"/>
    <s v="R3-2025-008172"/>
    <d v="2025-03-07T00:00:00"/>
    <d v="2025-03-10T00:00:00"/>
    <d v="2025-03-10T00:00:00"/>
    <d v="2025-03-13T00:00:00"/>
    <d v="2025-03-14T00:00:00"/>
    <n v="1"/>
    <n v="1"/>
    <n v="3"/>
    <n v="1"/>
    <s v="Received by Planning"/>
    <n v="28"/>
    <s v="Conveyor, Bricks Mixer Machine, Biowaste Shredder, Plastic Shredder, Rotary Composter, Bricks Maker/Molder"/>
    <s v="Bidegradable, Recyclable, Residual"/>
    <n v="1528"/>
    <n v="46265.553"/>
    <n v="3.3026731572839946E-2"/>
    <s v="OPERATIONAL"/>
    <s v="N/A"/>
    <s v="Compliant"/>
    <s v="N/A"/>
    <s v="N/A"/>
    <s v="N/A"/>
    <s v="N/A"/>
    <s v="N/A"/>
    <s v="N/A"/>
    <s v="N/A"/>
    <s v="N/A"/>
  </r>
  <r>
    <x v="5"/>
    <s v="Cabanatuan City"/>
    <s v="Pagas"/>
    <s v="MBA"/>
    <s v="3rd"/>
    <n v="15.505076000000001"/>
    <n v="120.949955"/>
    <s v="15.505076,120.949955"/>
    <s v="EMB FUNDED MRF"/>
    <n v="1"/>
    <n v="2018"/>
    <n v="475000"/>
    <s v="4.April"/>
    <s v="Christian Jem L. Buluran"/>
    <s v="Jan Emerson C. Gonzales"/>
    <s v="Zosimo P. Suyat"/>
    <s v="R3-2025-012757"/>
    <d v="2025-04-08T00:00:00"/>
    <d v="2025-04-14T00:00:00"/>
    <d v="2025-04-15T00:00:00"/>
    <d v="2025-04-15T00:00:00"/>
    <d v="2025-04-15T00:00:00"/>
    <n v="4"/>
    <n v="1"/>
    <n v="1"/>
    <n v="1"/>
    <s v="Received by Planning"/>
    <n v="1"/>
    <s v="Bio Composter"/>
    <s v="Bidegradable, Recyclable"/>
    <n v="16.57"/>
    <n v="1182.57"/>
    <n v="1.4011855534978903E-2"/>
    <s v="OPERATIONAL"/>
    <m/>
    <m/>
    <m/>
    <m/>
    <m/>
    <m/>
    <m/>
    <m/>
    <m/>
    <m/>
  </r>
  <r>
    <x v="5"/>
    <s v="Cabanatuan City"/>
    <s v="San Isidro"/>
    <s v="MBA"/>
    <s v="3rd"/>
    <n v="15.489699999999999"/>
    <n v="120.994"/>
    <s v="15.4897,120.994"/>
    <s v="LGU FUNDED MRF"/>
    <m/>
    <s v="N/A"/>
    <s v="N/A"/>
    <s v="4.April"/>
    <s v="Christian Jem L. Buluran"/>
    <s v="Jan Emerson C. Gonzales"/>
    <s v="Zosimo P. Suyat"/>
    <s v="R3-2025-011650"/>
    <d v="2025-04-04T00:00:00"/>
    <d v="2025-04-08T00:00:00"/>
    <d v="2025-04-10T00:00:00"/>
    <d v="2025-04-10T00:00:00"/>
    <d v="2025-04-11T00:00:00"/>
    <n v="2"/>
    <n v="2"/>
    <n v="1"/>
    <n v="1"/>
    <s v="Received by Planning"/>
    <m/>
    <s v="Bio composter adn Bio Shredder"/>
    <s v="Biodegradabl and Recyclable"/>
    <n v="1872"/>
    <n v="2066"/>
    <n v="0.90609874152952563"/>
    <s v="OPERATIONAL"/>
    <m/>
    <m/>
    <m/>
    <m/>
    <m/>
    <m/>
    <m/>
    <m/>
    <m/>
    <m/>
  </r>
  <r>
    <x v="5"/>
    <s v="Cabiao"/>
    <s v="Concepcion"/>
    <s v="MBA"/>
    <s v="4th"/>
    <n v="15.812099999999999"/>
    <n v="120.836"/>
    <s v="15.8121,120.836"/>
    <s v="LGU FUNDED MRF"/>
    <m/>
    <s v="N/A"/>
    <s v="N/A"/>
    <s v="7.July"/>
    <s v="Christine Ann V. Ramos"/>
    <s v="Jan Emerson C. Gonzales"/>
    <s v="Zosimo P. Suyat"/>
    <s v="R3-2025-022212"/>
    <d v="2025-07-01T00:00:00"/>
    <d v="2025-07-14T00:00:00"/>
    <d v="2025-07-15T00:00:00"/>
    <d v="2025-07-17T00:00:00"/>
    <d v="2025-07-17T00:00:00"/>
    <n v="9"/>
    <n v="1"/>
    <n v="2"/>
    <n v="1"/>
    <s v="Received by Planning"/>
    <n v="23"/>
    <s v="Bio Sjredder. Bio Composter"/>
    <s v="Recylanle, Residual"/>
    <s v="no data"/>
    <n v="69212.789999999994"/>
    <n v="2.7047024112161932E-2"/>
    <s v="OPERATIONAL"/>
    <m/>
    <m/>
    <m/>
    <m/>
    <m/>
    <m/>
    <m/>
    <m/>
    <m/>
    <m/>
  </r>
  <r>
    <x v="5"/>
    <s v="Carangalan"/>
    <s v="TL Padilla"/>
    <s v="MBA"/>
    <s v="2nd"/>
    <n v="15.956899999999999"/>
    <n v="121.078"/>
    <s v="15.9569,121.078"/>
    <s v="LGU FUNDED MRF"/>
    <m/>
    <s v="N/A"/>
    <s v="N/A"/>
    <s v="10.October"/>
    <s v="Aser A. Inocencio, Jr."/>
    <s v="Jaypee S. Ordoñez"/>
    <s v="Zosimo P. Suyat"/>
    <s v="R3-2025-035174"/>
    <d v="2025-10-14T00:00:00"/>
    <d v="2025-10-16T00:00:00"/>
    <d v="2025-10-17T00:00:00"/>
    <d v="2025-10-17T00:00:00"/>
    <d v="2025-10-20T00:00:00"/>
    <n v="2"/>
    <n v="1"/>
    <n v="1"/>
    <n v="1"/>
    <s v="Received by Planning"/>
    <n v="17"/>
    <m/>
    <s v="Paper, Plastics, Glass, Biodegradable"/>
    <n v="127.5"/>
    <n v="436.67"/>
    <n v="0.29198250395035152"/>
    <s v="OPERATIONAL"/>
    <m/>
    <m/>
    <m/>
    <m/>
    <m/>
    <m/>
    <m/>
    <m/>
    <m/>
    <m/>
  </r>
  <r>
    <x v="5"/>
    <s v="Gabaldon"/>
    <s v="Concepcion"/>
    <s v="MBA"/>
    <s v="3rd"/>
    <n v="15.470800000000001"/>
    <n v="121.34350000000001"/>
    <s v="15.4708,121.3435"/>
    <s v="LGU FUNDED MRF"/>
    <m/>
    <s v="N/A"/>
    <s v="N/A"/>
    <s v="7.July"/>
    <s v="Christian Jem L. Buluran"/>
    <s v="Jan Emerson C. Gonzales"/>
    <s v="Zosimo P. Suyat"/>
    <m/>
    <d v="2025-07-10T00:00:00"/>
    <d v="2025-07-18T00:00:00"/>
    <d v="2025-07-18T00:00:00"/>
    <d v="2025-07-21T00:00:00"/>
    <d v="2025-07-21T00:00:00"/>
    <n v="6"/>
    <n v="1"/>
    <n v="1"/>
    <n v="1"/>
    <m/>
    <n v="17"/>
    <s v="hollow blocks Making Equipment, Glass Pulvirizer, Plastic Shredder, Bio Composter, Bio Shredder"/>
    <s v="Biodegradable, Recyclable, Residual with Potential"/>
    <n v="2536.2939999999999"/>
    <n v="13712.165999999999"/>
    <n v="0.18496669308116603"/>
    <s v="OPERATIONAL"/>
    <s v="Only Barangay Pantoc, Gabaldon has an Initiated MRF for monitoring. To be check on cleansing of Accomplishment"/>
    <m/>
    <m/>
    <m/>
    <m/>
    <m/>
    <m/>
    <m/>
    <m/>
    <m/>
  </r>
  <r>
    <x v="5"/>
    <s v="Gabaldon"/>
    <s v="Pantoc"/>
    <s v="MBA"/>
    <s v="3rd"/>
    <n v="15.4709"/>
    <n v="121.3436"/>
    <s v="15.4709,121.3436"/>
    <s v="EMB FUNDED MRF"/>
    <n v="1"/>
    <n v="2019"/>
    <n v="500000"/>
    <s v="10.October"/>
    <s v="Christian Jem L. Buluran"/>
    <s v="Jaypee S. Ordoñez"/>
    <s v="Zosimo P. Suyat"/>
    <s v="R3-2025-024204"/>
    <d v="2025-07-10T00:00:00"/>
    <d v="2025-07-18T00:00:00"/>
    <d v="2025-07-18T00:00:00"/>
    <d v="2025-07-21T00:00:00"/>
    <d v="2025-07-21T00:00:00"/>
    <n v="6"/>
    <n v="1"/>
    <n v="1"/>
    <n v="1"/>
    <s v="Received by Planning"/>
    <n v="17"/>
    <s v="hollow blocks Making Equipment, Glass Pulvirizer, Plastic Shredder, Bio Composter, Bio Shredder"/>
    <s v="Biodegradable, Recyclable, Residual with Potential"/>
    <n v="2536.2939999999999"/>
    <n v="13712.165999999999"/>
    <n v="0.18496669308116603"/>
    <s v="OPERATIONAL"/>
    <m/>
    <m/>
    <m/>
    <m/>
    <m/>
    <m/>
    <m/>
    <m/>
    <m/>
    <m/>
  </r>
  <r>
    <x v="6"/>
    <s v="San Jose"/>
    <s v="Lawacamulag"/>
    <s v="OUTSIDE MBA"/>
    <s v="2nd"/>
    <n v="15.500833999999999"/>
    <n v="120.467815"/>
    <s v="15.500834,120.467815"/>
    <s v="EMB FUNDED MRF"/>
    <n v="1"/>
    <n v="2016"/>
    <n v="270000"/>
    <s v="3.March"/>
    <s v="Gretzhen M. Apolonio"/>
    <s v="Ryan Christian R. Nunag"/>
    <s v="Rod Ross S. De Jesus"/>
    <s v="R3-2025-009048"/>
    <d v="2025-03-07T00:00:00"/>
    <d v="2025-03-17T00:00:00"/>
    <d v="2025-03-17T00:00:00"/>
    <d v="2025-03-18T00:00:00"/>
    <d v="2025-03-18T00:00:00"/>
    <n v="6"/>
    <n v="1"/>
    <n v="1"/>
    <n v="1"/>
    <s v="Received by Planning"/>
    <n v="0"/>
    <s v="No Data"/>
    <s v="No Data"/>
    <s v="No Data"/>
    <s v="No Data"/>
    <e v="#VALUE!"/>
    <s v="NON-OPERATIONAL"/>
    <s v="MRF was converted as the parking lot for ambulance vehicles and patient’s service."/>
    <m/>
    <m/>
    <m/>
    <m/>
    <m/>
    <m/>
    <m/>
    <m/>
    <m/>
  </r>
  <r>
    <x v="5"/>
    <s v="Gapan City"/>
    <s v="Pambuan"/>
    <s v="MBA"/>
    <s v="4th"/>
    <n v="15.34"/>
    <n v="120.968"/>
    <s v="15.34,120.968"/>
    <s v="LGU FUNDED MRF"/>
    <m/>
    <s v="N/A"/>
    <s v="N/A"/>
    <s v="9.September"/>
    <s v="Christine Ann V. Ramos"/>
    <s v="Jaypee S. Ordoñez"/>
    <s v="Zosimo P. Suyat"/>
    <s v="R3-2025-031582"/>
    <d v="2025-09-12T00:00:00"/>
    <d v="2025-09-18T00:00:00"/>
    <d v="2025-09-18T00:00:00"/>
    <d v="2025-09-18T00:00:00"/>
    <d v="2025-09-18T00:00:00"/>
    <n v="4"/>
    <n v="1"/>
    <n v="1"/>
    <n v="1"/>
    <s v="Received by Planning"/>
    <n v="23"/>
    <s v="None"/>
    <s v="Recyclables, Residual"/>
    <s v="N/A"/>
    <s v="N/A"/>
    <m/>
    <s v="OPERATIONAL"/>
    <m/>
    <m/>
    <m/>
    <m/>
    <m/>
    <m/>
    <m/>
    <m/>
    <m/>
    <m/>
  </r>
  <r>
    <x v="5"/>
    <s v="General Natividad"/>
    <s v="Balaring"/>
    <s v="MBA"/>
    <s v="3rd"/>
    <n v="15.606325999999999"/>
    <n v="121.110789"/>
    <s v="15.606326,121.110789"/>
    <s v="EMB FUNDED MRF"/>
    <n v="1"/>
    <n v="2019"/>
    <n v="530642.86"/>
    <s v="7.July"/>
    <s v="Hosannah R. Sabio"/>
    <s v="Jaypee S. Ordoñez"/>
    <s v="Zosimo P. Suyat"/>
    <s v="R3-2025-023501_x000a_R3-2025-032850"/>
    <d v="2025-07-11T00:00:00"/>
    <d v="2025-07-14T00:00:00"/>
    <d v="2025-07-16T00:00:00"/>
    <d v="2025-07-17T00:00:00"/>
    <d v="2025-07-17T00:00:00"/>
    <n v="1"/>
    <n v="2"/>
    <n v="1"/>
    <n v="1"/>
    <s v="Received by Planning"/>
    <n v="19"/>
    <s v="Bio composter, Bio Shredder, plastic densifier"/>
    <s v="Recyclable, Residual"/>
    <s v="-"/>
    <n v="11077.75"/>
    <e v="#VALUE!"/>
    <s v="OPERATIONAL"/>
    <m/>
    <s v="Compliant"/>
    <m/>
    <m/>
    <m/>
    <m/>
    <m/>
    <m/>
    <m/>
    <m/>
  </r>
  <r>
    <x v="4"/>
    <s v="Botolan"/>
    <s v="Panan"/>
    <s v="OUTSIDE MBA"/>
    <s v="2nd"/>
    <n v="15.224679"/>
    <n v="120.02360899999999"/>
    <s v="15.224679,120.023609"/>
    <s v="EMB FUNDED MRF"/>
    <n v="1"/>
    <n v="2016"/>
    <n v="270000"/>
    <s v="4.April"/>
    <s v="Larizze Anne Santos"/>
    <s v="Ryan Christian R. Nunag"/>
    <s v="Jun D. Guillermo"/>
    <s v="R3-2025-011714"/>
    <d v="2025-04-03T00:00:00"/>
    <d v="2025-04-07T00:00:00"/>
    <d v="2025-04-07T00:00:00"/>
    <d v="2025-04-08T00:00:00"/>
    <d v="2025-04-08T00:00:00"/>
    <n v="2"/>
    <n v="1"/>
    <n v="1"/>
    <n v="1"/>
    <s v="Received by Planning"/>
    <n v="0"/>
    <s v="None"/>
    <s v="N/A"/>
    <s v="N/A"/>
    <s v="N/A"/>
    <e v="#VALUE!"/>
    <s v="NON-OPERATIONAL"/>
    <s v="Due to land ownership problem, the land owner closed the facility and the LGU has no access to the MRF."/>
    <m/>
    <m/>
    <m/>
    <m/>
    <m/>
    <m/>
    <m/>
    <m/>
    <m/>
  </r>
  <r>
    <x v="4"/>
    <s v="Castillejos"/>
    <s v="Nagbayan"/>
    <s v="OUTSIDE MBA"/>
    <s v="1st"/>
    <n v="14.925186"/>
    <n v="120.148443"/>
    <s v="14.925186,120.148443"/>
    <s v="EMB FUNDED MRF"/>
    <n v="1"/>
    <n v="2019"/>
    <n v="502714.29"/>
    <s v="1.January"/>
    <s v="Larizze Anne Santos"/>
    <s v="Ryan Christian R. Nunag"/>
    <s v="Jun D. Guillermo"/>
    <s v="R3-2025-001961"/>
    <d v="2025-01-17T00:00:00"/>
    <d v="2025-01-22T00:00:00"/>
    <d v="2025-01-23T00:00:00"/>
    <d v="2025-01-23T00:00:00"/>
    <d v="2025-01-23T00:00:00"/>
    <n v="3"/>
    <n v="1"/>
    <n v="1"/>
    <n v="1"/>
    <s v="Received by Planning"/>
    <n v="0"/>
    <s v="N/A"/>
    <s v="N/A"/>
    <s v="N/A"/>
    <s v="N/A"/>
    <e v="#VALUE!"/>
    <s v="NON-OPERATIONAL"/>
    <s v="No power supply and currenty used as storage of equipment."/>
    <s v="FFM"/>
    <m/>
    <s v="yes"/>
    <m/>
    <m/>
    <m/>
    <m/>
    <m/>
    <m/>
  </r>
  <r>
    <x v="4"/>
    <s v="Palauig"/>
    <s v="Salaza"/>
    <s v="OUTSIDE MBA"/>
    <s v="2nd"/>
    <n v="15.444043000000001"/>
    <n v="120.016738"/>
    <s v="15.444043,120.016738"/>
    <s v="EMB FUNDED MRF"/>
    <n v="1"/>
    <n v="2019"/>
    <n v="502714.29"/>
    <s v="8.August"/>
    <s v="Ryan Ace R. Angel"/>
    <s v="Ryan Christian R. Nunag"/>
    <s v="Jun D. Guillermo"/>
    <s v="R3-2025-025654"/>
    <d v="2025-07-29T00:00:00"/>
    <d v="2025-08-04T00:00:00"/>
    <d v="2025-08-07T00:00:00"/>
    <d v="2025-08-13T00:00:00"/>
    <d v="2025-08-13T00:00:00"/>
    <n v="4"/>
    <n v="3"/>
    <n v="4"/>
    <n v="1"/>
    <s v="Received by Planning"/>
    <n v="0"/>
    <s v="None"/>
    <s v="None"/>
    <s v="N/A"/>
    <s v="N/A"/>
    <e v="#VALUE!"/>
    <s v="NON-OPERATIONAL"/>
    <m/>
    <s v="Non-Compliant"/>
    <m/>
    <s v="With advise letter (August 27, 2025)"/>
    <m/>
    <m/>
    <m/>
    <m/>
    <m/>
    <m/>
  </r>
  <r>
    <x v="4"/>
    <s v="San Felipe"/>
    <s v="Apostol"/>
    <s v="OUTSIDE MBA"/>
    <s v="2nd"/>
    <n v="15.042164"/>
    <n v="120.0729913"/>
    <s v="15.042164,120.0729913"/>
    <s v="EMB FUNDED MRF"/>
    <n v="1"/>
    <n v="2016"/>
    <n v="270000"/>
    <s v="2.February"/>
    <s v="Larizze Anne Santos"/>
    <s v="Ryan Christian R. Nunag"/>
    <s v="Jun D. Guillermo"/>
    <s v="R3-2025-005746"/>
    <d v="2025-02-12T00:00:00"/>
    <d v="2025-02-17T00:00:00"/>
    <d v="2025-02-17T00:00:00"/>
    <d v="2025-02-17T00:00:00"/>
    <d v="2025-02-17T00:00:00"/>
    <n v="3"/>
    <n v="1"/>
    <n v="1"/>
    <n v="1"/>
    <s v="Received by Planning"/>
    <n v="11"/>
    <s v="None"/>
    <s v="Mixed"/>
    <s v="n/a"/>
    <s v="n/a"/>
    <e v="#VALUE!"/>
    <s v="NON-OPERATIONAL"/>
    <s v="No Power Supply and newly constructed"/>
    <s v="Non-Compliant"/>
    <s v="•_x0009_To conduct a technical conference inviting all concerns to discuss the issue and elicit a formal commitment from the LGU of San Felipe Zambales to improve their MRF and to implement the proper guidelines on Material Recovery Facility (MRF) as stated in Section 32 Establishment of LGU Materials Recovery Facility, and Section 1 (a) and (b) “Operations of a Materials Recovery Facility” under Rule XI “Materials Recovery Facilities and Composting” of IRR (DAO 2001-34) of RA 9003"/>
    <s v="yes"/>
    <m/>
    <m/>
    <m/>
    <m/>
    <m/>
    <m/>
  </r>
  <r>
    <x v="4"/>
    <s v="San Narciso"/>
    <s v="San Pascual"/>
    <s v="OUTSIDE MBA"/>
    <s v="2nd"/>
    <n v="15.016275"/>
    <n v="120.087317"/>
    <s v="15.016275,120.087317"/>
    <s v="EMB FUNDED MRF"/>
    <n v="2"/>
    <s v="2019 &amp; 2021"/>
    <s v="682158.73 / 179444.44"/>
    <s v="2.February"/>
    <s v="Larizze Anne Santos"/>
    <s v="Ryan Christian R. Nunag"/>
    <s v="Jun D. Guillermo"/>
    <s v="R3-2025-005890"/>
    <d v="2025-02-04T00:00:00"/>
    <d v="2025-02-18T00:00:00"/>
    <d v="2025-02-19T00:00:00"/>
    <d v="2025-02-19T00:00:00"/>
    <d v="2025-02-19T00:00:00"/>
    <n v="10"/>
    <n v="1"/>
    <n v="1"/>
    <n v="1"/>
    <s v="Received by Planning"/>
    <n v="16"/>
    <s v="Biowaste and Plastic Shredder / Bio Composter"/>
    <s v="Biodegradable waste,Recyclables,Residual Wastes"/>
    <s v="n/a"/>
    <s v="n/a"/>
    <e v="#VALUE!"/>
    <s v="OPERATIONAL"/>
    <m/>
    <s v="Non-Compliant"/>
    <s v="No Records"/>
    <s v="NO"/>
    <m/>
    <m/>
    <m/>
    <m/>
    <m/>
    <m/>
  </r>
  <r>
    <x v="4"/>
    <s v="Sta. Cruz"/>
    <s v="Sabang"/>
    <s v="OUTSIDE MBA"/>
    <s v="2nd"/>
    <n v="15.733717"/>
    <n v="119.889397"/>
    <s v="15.733717,119.889397"/>
    <s v="EMB FUNDED MRF"/>
    <n v="1"/>
    <n v="2019"/>
    <n v="502714.29"/>
    <s v="10.October"/>
    <s v="Ryan Ace R. Angel"/>
    <s v="Ryan Christian R. Nunag"/>
    <s v="Jun D. Guillermo"/>
    <s v="R3-2025-033421"/>
    <d v="2025-10-03T00:00:00"/>
    <d v="2025-10-06T00:00:00"/>
    <d v="2025-10-13T00:00:00"/>
    <d v="2025-10-13T00:00:00"/>
    <d v="2025-10-14T00:00:00"/>
    <n v="1"/>
    <n v="5"/>
    <n v="1"/>
    <n v="1"/>
    <s v="Received by Planning"/>
    <s v="N/A"/>
    <s v="N/A"/>
    <s v="N/A"/>
    <s v="N/A"/>
    <s v="N/A"/>
    <e v="#VALUE!"/>
    <m/>
    <s v="Returned funds"/>
    <m/>
    <m/>
    <m/>
    <m/>
    <m/>
    <m/>
    <m/>
    <m/>
    <m/>
  </r>
  <r>
    <x v="0"/>
    <s v="Dilasag"/>
    <s v="Maligaya"/>
    <s v="OUTSIDE MBA"/>
    <s v="Lone"/>
    <n v="16.391200000000001"/>
    <n v="122.211"/>
    <s v="16.3912,122.211"/>
    <s v="LGU FUNDED MRF"/>
    <m/>
    <s v="N/A"/>
    <s v="N/A"/>
    <s v="11.November"/>
    <s v="Queenyvel Laguisma"/>
    <m/>
    <s v="Ryan Christian R. Nunag"/>
    <s v="R3-2025-038744"/>
    <d v="2025-11-18T00:00:00"/>
    <d v="2025-11-19T00:00:00"/>
    <m/>
    <d v="2025-11-19T00:00:00"/>
    <d v="2025-11-19T00:00:00"/>
    <n v="1"/>
    <s v=""/>
    <n v="1"/>
    <n v="1"/>
    <s v="Received by Planning"/>
    <n v="11"/>
    <s v="Biowaste shredder ,Rotary composter"/>
    <s v="Biodegradable, Recyclable, Residual with Potential"/>
    <n v="65.180000000000007"/>
    <n v="265"/>
    <n v="0.24596226415094341"/>
    <s v="OPERATIONAL"/>
    <m/>
    <m/>
    <m/>
    <d v="2025-11-20T00:00:00"/>
    <m/>
    <m/>
    <m/>
    <m/>
    <m/>
    <m/>
  </r>
  <r>
    <x v="0"/>
    <s v="Dingalan"/>
    <s v="Caragsacan"/>
    <s v="OUTSIDE MBA"/>
    <s v="Lone"/>
    <n v="15.3817"/>
    <n v="121.381"/>
    <s v="15.3817,121.381"/>
    <s v="LGU FUNDED MRF"/>
    <m/>
    <s v="N/A"/>
    <s v="N/A"/>
    <s v="8.August"/>
    <s v="Nikko Jay M. Valenzuela"/>
    <m/>
    <s v="Ryan Christian R. Nunag"/>
    <s v="R3-2025-026810"/>
    <d v="2025-08-06T00:00:00"/>
    <d v="2025-08-11T00:00:00"/>
    <m/>
    <d v="2025-08-13T00:00:00"/>
    <d v="2025-08-13T00:00:00"/>
    <n v="3"/>
    <s v=""/>
    <n v="2"/>
    <n v="1"/>
    <s v="Received by Planning"/>
    <n v="11"/>
    <s v="☒Cartoon Pressing Machine_x000a_☒Bricks Mixer Machine_x000a_☒ Biowaste shredder _x000a_☒ Rotary composter_x000a_☒ Bricks maker/molder_x000a_☒ Low maintenance diesel-powered machine"/>
    <s v="Biodegradable waste,Recyclables,Special Waste,Residual Wastes"/>
    <n v="48.84"/>
    <n v="881"/>
    <n v="5.5437003405221341E-2"/>
    <s v="OPERATIONAL"/>
    <m/>
    <m/>
    <m/>
    <m/>
    <m/>
    <m/>
    <m/>
    <m/>
    <m/>
    <m/>
  </r>
  <r>
    <x v="5"/>
    <s v="General Tinio"/>
    <s v="San Pedro"/>
    <s v="MBA"/>
    <s v="3rd"/>
    <n v="15.388953000000001"/>
    <n v="121.061851"/>
    <s v="15.388953,121.061851"/>
    <s v="EMB FUNDED MRF"/>
    <n v="1"/>
    <n v="2016"/>
    <n v="370000"/>
    <s v="4.April"/>
    <s v="Christian Jem L. Buluran"/>
    <s v="Jan Emerson C. Gonzales"/>
    <s v="Zosimo P. Suyat"/>
    <s v="R3-2025-013203"/>
    <d v="2025-04-11T00:00:00"/>
    <d v="2025-04-20T00:00:00"/>
    <d v="2025-04-21T00:00:00"/>
    <d v="2025-04-21T00:00:00"/>
    <d v="2025-04-22T00:00:00"/>
    <n v="5"/>
    <n v="1"/>
    <n v="1"/>
    <n v="1"/>
    <s v="Received by Planning"/>
    <n v="13"/>
    <s v="Bio composter, Bio Shredder, plastic densifier"/>
    <s v="Bio, Recyclables, Residual"/>
    <n v="184"/>
    <n v="3645"/>
    <n v="5.0480109739368999E-2"/>
    <s v="OPERATIONAL"/>
    <m/>
    <m/>
    <m/>
    <m/>
    <m/>
    <m/>
    <m/>
    <m/>
    <m/>
    <m/>
  </r>
  <r>
    <x v="5"/>
    <s v="Guimba"/>
    <s v="Lennec"/>
    <s v="MBA"/>
    <s v="1st"/>
    <n v="15.6252"/>
    <n v="120.751"/>
    <s v="15.6252,120.751"/>
    <s v="LGU FUNDED MRF"/>
    <m/>
    <s v="N/A"/>
    <s v="N/A"/>
    <s v="8.August"/>
    <s v="Aser A. Inocencio, Jr."/>
    <s v="Jan Emerson C. Gonzales"/>
    <s v="Zosimo P. Suyat"/>
    <s v="R3-2025-027123"/>
    <d v="2025-08-08T00:00:00"/>
    <d v="2025-08-14T00:00:00"/>
    <d v="2025-08-14T00:00:00"/>
    <d v="2025-08-18T00:00:00"/>
    <d v="2025-08-18T00:00:00"/>
    <n v="4"/>
    <n v="1"/>
    <n v="2"/>
    <n v="1"/>
    <s v="Received by Planning"/>
    <n v="0"/>
    <s v="Bio Composter, Bio Shredder"/>
    <s v="n/a"/>
    <s v="no records"/>
    <s v="no records"/>
    <e v="#VALUE!"/>
    <s v="NON-OPERATIONAL"/>
    <s v="•_x0009_The LGU Guimba is advised to operationalize its Materials Recovery Facility (MRF) in accordance with Section 32 of Republic Act No. 9003, also known as the Ecological Solid Waste Management Act of 2000 and its Rule XI, Section 1 of its Implementing Rules and Regulations."/>
    <s v="The LGU Guimba is advised to operationalize its Materials Recovery Facility (MRF) in accordance with Section 32 of Republic Act No. 9003, also known as the Ecological Solid Waste Management Act of 2000 and its Rule XI, Section 1 of its Implementing Rules and Regulations."/>
    <m/>
    <d v="2025-08-27T00:00:00"/>
    <m/>
    <m/>
    <m/>
    <m/>
    <m/>
    <m/>
  </r>
  <r>
    <x v="5"/>
    <s v="Jaen"/>
    <s v="Niyugan"/>
    <s v="MBA"/>
    <s v="4th"/>
    <n v="15.335853999999999"/>
    <n v="120.892661"/>
    <s v="15.335854,120.892661"/>
    <s v="EMB FUNDED MRF"/>
    <n v="1"/>
    <n v="2019"/>
    <n v="502714.29"/>
    <s v="9.September"/>
    <s v="Christine Ann V. Ramos"/>
    <s v="Jaypee S. Ordoñez"/>
    <s v="Zosimo P. Suyat"/>
    <s v="R3-2025-031579"/>
    <d v="2025-09-04T00:00:00"/>
    <d v="2025-09-18T00:00:00"/>
    <d v="2025-09-18T00:00:00"/>
    <d v="2025-09-18T00:00:00"/>
    <d v="2025-09-18T00:00:00"/>
    <n v="10"/>
    <n v="1"/>
    <n v="1"/>
    <n v="1"/>
    <s v="Received by Planning"/>
    <n v="27"/>
    <m/>
    <s v="Bio, Recyclables, Residual"/>
    <m/>
    <s v="73,184 kg"/>
    <e v="#VALUE!"/>
    <s v="OPERATIONAL"/>
    <m/>
    <m/>
    <m/>
    <m/>
    <m/>
    <m/>
    <m/>
    <m/>
    <m/>
    <m/>
  </r>
  <r>
    <x v="5"/>
    <s v="Laur"/>
    <s v="Sagana"/>
    <s v="MBA"/>
    <s v="3rd"/>
    <n v="15.539400000000001"/>
    <n v="121.1551"/>
    <s v="15.5394,121.1551"/>
    <s v="LGU FUNDED MRF"/>
    <m/>
    <s v="N/A"/>
    <s v="N/A"/>
    <s v="4.April"/>
    <s v="Christian Jem L. Buluran"/>
    <s v="Jan Emerson C. Gonzales"/>
    <s v="Zosimo P. Suyat"/>
    <s v="R3-2025-011647"/>
    <d v="2025-04-03T00:00:00"/>
    <d v="2025-04-07T00:00:00"/>
    <d v="2025-04-08T00:00:00"/>
    <d v="2025-04-10T00:00:00"/>
    <d v="2025-04-10T00:00:00"/>
    <n v="2"/>
    <n v="1"/>
    <n v="2"/>
    <n v="1"/>
    <s v="Received by Planning"/>
    <n v="17"/>
    <n v="0"/>
    <s v="Bio, Recyclables, Residual"/>
    <n v="729.97"/>
    <n v="1508"/>
    <n v="0.48406498673740056"/>
    <s v="OPERATIONAL"/>
    <m/>
    <m/>
    <m/>
    <m/>
    <m/>
    <m/>
    <m/>
    <m/>
    <m/>
    <m/>
  </r>
  <r>
    <x v="5"/>
    <s v="Licab"/>
    <s v="Villa Rosa"/>
    <s v="MBA"/>
    <s v="1st"/>
    <n v="15.547317"/>
    <n v="120.753197"/>
    <s v="15.547317,120.753197"/>
    <s v="EMB FUNDED MRF"/>
    <n v="1"/>
    <n v="2016"/>
    <n v="270000"/>
    <s v="8.August"/>
    <s v="Gem C. Vicencio"/>
    <s v="Jaypee S. Ordoñez"/>
    <s v="Zosimo P. Suyat"/>
    <s v="R3-2025-026217"/>
    <d v="2025-08-07T00:00:00"/>
    <d v="2025-08-07T00:00:00"/>
    <d v="2025-08-19T00:00:00"/>
    <d v="2025-08-19T00:00:00"/>
    <d v="2025-08-19T00:00:00"/>
    <n v="1"/>
    <n v="8"/>
    <n v="1"/>
    <n v="1"/>
    <s v="Received by Planning"/>
    <n v="11"/>
    <s v="Bioshredder, Bio-Composter"/>
    <s v="Recylcable, Residual Waste"/>
    <m/>
    <n v="7436"/>
    <n v="0"/>
    <s v="OPERATIONAL"/>
    <m/>
    <s v="Non-Compliant"/>
    <m/>
    <s v="With advise letter (for release)"/>
    <m/>
    <m/>
    <m/>
    <m/>
    <m/>
    <m/>
  </r>
  <r>
    <x v="5"/>
    <s v="Llanera"/>
    <s v="San Felipe"/>
    <s v="MBA"/>
    <s v="2nd"/>
    <n v="15.704369"/>
    <n v="121.047766"/>
    <s v="15.704369,121.047766"/>
    <s v="EMB FUNDED MRF"/>
    <n v="3"/>
    <s v="2014 &amp; 2019 &amp; 2020"/>
    <s v="250000 &amp; 502714.29 &amp; 190000"/>
    <s v="6.June"/>
    <s v="Hosannah R. Sabio"/>
    <s v="Jaypee S. Ordoñez"/>
    <s v="Zosimo P. Suyat"/>
    <s v="R3-2025-017707"/>
    <d v="2025-05-21T00:00:00"/>
    <d v="2025-05-25T00:00:00"/>
    <d v="2025-06-03T00:00:00"/>
    <d v="2025-06-04T00:00:00"/>
    <d v="2025-06-05T00:00:00"/>
    <n v="2"/>
    <n v="6"/>
    <n v="1"/>
    <n v="1"/>
    <s v="Received by Planning"/>
    <n v="22"/>
    <s v="Bioshredder, Bio-Composter"/>
    <s v="Recylcable, Residual Waste"/>
    <n v="865.71"/>
    <n v="20428.63"/>
    <n v="4.2377291086088495E-2"/>
    <s v="OPERATIONAL"/>
    <m/>
    <s v="Compliant"/>
    <m/>
    <m/>
    <m/>
    <m/>
    <m/>
    <m/>
    <m/>
    <m/>
  </r>
  <r>
    <x v="5"/>
    <s v="Lupao"/>
    <s v="Namulandayan"/>
    <s v="MBA"/>
    <s v="2nd"/>
    <n v="15.900700000000001"/>
    <n v="120.914"/>
    <s v="15.9007,120.914"/>
    <s v="LGU FUNDED MRF"/>
    <m/>
    <s v="N/A"/>
    <s v="N/A"/>
    <s v="11.November"/>
    <s v="Aser A. Inocencio, Jr."/>
    <s v="Jaypee S. Ordoñez"/>
    <s v="Zosimo P. Suyat"/>
    <s v="R3-2025-037803"/>
    <d v="2025-11-11T00:00:00"/>
    <d v="2025-11-11T00:00:00"/>
    <d v="2025-11-19T00:00:00"/>
    <d v="2025-11-19T00:00:00"/>
    <d v="2025-11-20T00:00:00"/>
    <n v="1"/>
    <n v="6"/>
    <n v="1"/>
    <n v="1"/>
    <s v="Received by Planning"/>
    <m/>
    <m/>
    <m/>
    <m/>
    <m/>
    <e v="#DIV/0!"/>
    <s v="NON-OPERATIONAL"/>
    <m/>
    <m/>
    <m/>
    <m/>
    <m/>
    <m/>
    <m/>
    <m/>
    <m/>
    <m/>
  </r>
  <r>
    <x v="5"/>
    <s v="Lupao"/>
    <s v="San Antonio"/>
    <s v="MBA"/>
    <s v="2nd"/>
    <n v="15.872605999999999"/>
    <n v="120.896519"/>
    <s v="15.872606,120.896519"/>
    <s v="EMB FUNDED MRF"/>
    <n v="1"/>
    <n v="2019"/>
    <n v="502714.29"/>
    <s v="11.November"/>
    <s v="Aser A. Inocencio, Jr."/>
    <s v="Jaypee S. Ordoñez"/>
    <s v="Zosimo P. Suyat"/>
    <s v="R3-2025-037802"/>
    <d v="2025-11-11T00:00:00"/>
    <d v="2025-11-11T00:00:00"/>
    <d v="2025-11-19T00:00:00"/>
    <d v="2025-11-19T00:00:00"/>
    <d v="2025-11-19T00:00:00"/>
    <n v="1"/>
    <n v="6"/>
    <n v="1"/>
    <n v="1"/>
    <s v="Received by Planning"/>
    <m/>
    <m/>
    <m/>
    <n v="22.01"/>
    <n v="268"/>
    <n v="8.2126865671641791E-2"/>
    <s v="OPERATIONAL"/>
    <m/>
    <m/>
    <m/>
    <m/>
    <m/>
    <m/>
    <m/>
    <m/>
    <m/>
    <m/>
  </r>
  <r>
    <x v="5"/>
    <s v="Palayan City"/>
    <s v="Singalat"/>
    <s v="MBA"/>
    <s v="3rd"/>
    <n v="15.5624"/>
    <n v="121.098"/>
    <s v="15.5624,121.098"/>
    <s v="LGU FUNDED MRF"/>
    <m/>
    <s v="N/A"/>
    <s v="N/A"/>
    <s v="4.April"/>
    <s v="Hosannah R. Sabio"/>
    <s v="Jaypee S. Ordoñez"/>
    <s v="Zosimo P. Suyat"/>
    <s v="R3-2025-012163"/>
    <d v="2025-03-28T00:00:00"/>
    <d v="2025-04-10T00:00:00"/>
    <d v="2025-04-14T00:00:00"/>
    <d v="2025-04-14T00:00:00"/>
    <d v="2025-04-15T00:00:00"/>
    <n v="9"/>
    <n v="2"/>
    <n v="1"/>
    <n v="1"/>
    <s v="Received by Planning"/>
    <n v="0"/>
    <s v="Conveyor, Bricks Mixer Machine, Biowaste Shredder, Plastic Shredder, Rotary Composter, Bricks Maker/Molder"/>
    <s v="Bio, Recyclables, Residual"/>
    <n v="8552.35"/>
    <n v="10891.92"/>
    <n v="0.78520132354993433"/>
    <s v="OPERATIONAL"/>
    <m/>
    <m/>
    <m/>
    <m/>
    <m/>
    <m/>
    <m/>
    <m/>
    <m/>
    <m/>
  </r>
  <r>
    <x v="5"/>
    <s v="Pantabangan"/>
    <s v="Poblacion East"/>
    <s v="MBA"/>
    <s v="2nd"/>
    <n v="15.807872"/>
    <n v="121.141914"/>
    <s v="15.807872,121.141914"/>
    <s v="EMB FUNDED MRF"/>
    <n v="2"/>
    <s v="2019 &amp; 2021"/>
    <s v="520,714.29 &amp; 179,444.44"/>
    <s v="6.June"/>
    <s v="Hosannah R. Sabio"/>
    <s v="Jaypee S. Ordoñez"/>
    <s v="Zosimo P. Suyat"/>
    <s v="R3-2025-019900"/>
    <d v="2025-05-30T00:00:00"/>
    <d v="2025-06-16T00:00:00"/>
    <d v="2025-06-17T00:00:00"/>
    <d v="2025-06-17T00:00:00"/>
    <d v="2025-06-17T00:00:00"/>
    <n v="11"/>
    <n v="1"/>
    <n v="1"/>
    <n v="1"/>
    <s v="Received by Planning"/>
    <n v="14"/>
    <s v="Bio composter adn Bio Shredder, Biogas Digester, "/>
    <s v="Bio, Recyclables, Residual with Potential and Spacial Waste"/>
    <n v="7522.42"/>
    <n v="8258.3799999999992"/>
    <n v="0.91088324828840528"/>
    <s v="OPERATIONAL"/>
    <m/>
    <s v="Compliant"/>
    <m/>
    <m/>
    <m/>
    <m/>
    <m/>
    <m/>
    <m/>
    <m/>
  </r>
  <r>
    <x v="5"/>
    <s v="Penaranda"/>
    <s v="Callos"/>
    <s v="MBA"/>
    <s v="4th"/>
    <n v="15.3224"/>
    <n v="121.075"/>
    <s v="15.3224,121.075"/>
    <s v="LGU FUNDED MRF"/>
    <m/>
    <s v="N/A"/>
    <s v="N/A"/>
    <s v="4.April"/>
    <s v="Christine Ann V. Ramos"/>
    <s v="Jan Emerson C. Gonzales"/>
    <s v="Zosimo P. Suyat"/>
    <s v="R3-2025-012454"/>
    <d v="2025-04-10T00:00:00"/>
    <d v="2025-04-12T00:00:00"/>
    <d v="2025-04-15T00:00:00"/>
    <d v="2025-04-15T00:00:00"/>
    <d v="2025-04-21T00:00:00"/>
    <n v="1"/>
    <n v="1"/>
    <n v="1"/>
    <n v="4"/>
    <s v="Received by Planning"/>
    <n v="10"/>
    <s v="Plastic Shredder, "/>
    <s v="Bio, Recyclables, Residual"/>
    <n v="2433"/>
    <n v="12359.34"/>
    <n v="0.19685517187811"/>
    <s v="OPERATIONAL"/>
    <m/>
    <s v="Compliant"/>
    <m/>
    <m/>
    <m/>
    <m/>
    <m/>
    <m/>
    <m/>
    <m/>
  </r>
  <r>
    <x v="5"/>
    <s v="Quezon"/>
    <s v="Dos"/>
    <s v="MBA"/>
    <s v="1st"/>
    <n v="15.54444"/>
    <n v="120.80889000000001"/>
    <s v="15.54444,120.80889"/>
    <s v="LGU FUNDED MRF"/>
    <m/>
    <s v="N/A"/>
    <s v="N/A"/>
    <s v="8.August"/>
    <s v="Gem C. Vicencio"/>
    <s v="Jaypee S. Ordoñez"/>
    <s v="Zosimo P. Suyat"/>
    <s v="R3-2025-025515"/>
    <d v="2025-07-17T00:00:00"/>
    <d v="2025-08-01T00:00:00"/>
    <d v="2025-08-07T00:00:00"/>
    <d v="2025-08-07T00:00:00"/>
    <d v="2025-08-13T00:00:00"/>
    <n v="11"/>
    <n v="4"/>
    <n v="1"/>
    <n v="4"/>
    <s v="Received by Planning"/>
    <m/>
    <m/>
    <m/>
    <m/>
    <m/>
    <e v="#DIV/0!"/>
    <s v="OPERATIONAL"/>
    <m/>
    <s v="Non-Compliant"/>
    <m/>
    <s v="R3-2025-035080"/>
    <m/>
    <m/>
    <m/>
    <m/>
    <m/>
    <m/>
  </r>
  <r>
    <x v="5"/>
    <s v="Rizal"/>
    <s v="San Gregorio"/>
    <s v="MBA"/>
    <s v="2nd"/>
    <n v="15.709612"/>
    <n v="121.124466"/>
    <s v="15.709612,121.124466"/>
    <s v="EMB FUNDED MRF"/>
    <n v="2"/>
    <s v="2019 &amp; 2021"/>
    <s v="502,714.29.00 &amp; 179.444.44"/>
    <s v="11.November"/>
    <s v="Hosannah R. Sabio"/>
    <s v="Jaypee S. Ordoñez"/>
    <s v="Zosimo P. Suyat"/>
    <s v="R3-2025-037438"/>
    <d v="2025-11-06T00:00:00"/>
    <d v="2025-11-09T00:00:00"/>
    <d v="2025-11-19T00:00:00"/>
    <d v="2025-11-19T00:00:00"/>
    <d v="2025-11-19T00:00:00"/>
    <n v="1"/>
    <n v="7"/>
    <n v="1"/>
    <n v="1"/>
    <s v="Received by Planning"/>
    <n v="26"/>
    <m/>
    <m/>
    <m/>
    <m/>
    <m/>
    <s v="OPERATIONAL"/>
    <m/>
    <m/>
    <m/>
    <m/>
    <m/>
    <m/>
    <m/>
    <m/>
    <m/>
    <m/>
  </r>
  <r>
    <x v="5"/>
    <s v="San Antonio"/>
    <s v="Sta Cruz"/>
    <s v="MBA"/>
    <s v="4th"/>
    <n v="15.309699999999999"/>
    <n v="120.845"/>
    <s v="15.3097,120.845"/>
    <s v="LGU FUNDED MRF"/>
    <m/>
    <s v="N/A"/>
    <s v="N/A"/>
    <s v="11.November"/>
    <s v="Christine Ann V. Ramos"/>
    <s v="Jaypee S. Ordoñez"/>
    <s v="Zosimo P. Suyat"/>
    <s v="R3-2025-038517"/>
    <d v="2025-11-05T00:00:00"/>
    <d v="2025-11-17T00:00:00"/>
    <d v="2025-11-19T00:00:00"/>
    <d v="2025-11-19T00:00:00"/>
    <d v="2025-11-20T00:00:00"/>
    <n v="8"/>
    <n v="2"/>
    <n v="1"/>
    <n v="1"/>
    <s v="Received by Planning"/>
    <n v="16"/>
    <m/>
    <m/>
    <m/>
    <m/>
    <e v="#DIV/0!"/>
    <s v="OPERATIONAL"/>
    <m/>
    <m/>
    <m/>
    <m/>
    <m/>
    <m/>
    <m/>
    <m/>
    <m/>
    <m/>
  </r>
  <r>
    <x v="5"/>
    <s v="San Isidro"/>
    <s v="Tabon"/>
    <s v="MBA"/>
    <s v="4th"/>
    <n v="15.293813"/>
    <n v="120.906358"/>
    <s v="15.293813,120.906358"/>
    <s v="EMB FUNDED MRF"/>
    <n v="1"/>
    <n v="2019"/>
    <n v="502714.29"/>
    <s v="2.February"/>
    <s v="Christine Ann V. Ramos"/>
    <s v="Jaypee S. Ordoñez"/>
    <s v="Zosimo P. Suyat"/>
    <s v="R3-2025-004174"/>
    <d v="2025-02-05T00:00:00"/>
    <d v="2025-02-07T00:00:00"/>
    <d v="2025-02-13T00:00:00"/>
    <d v="2025-02-13T00:00:00"/>
    <d v="2025-02-14T00:00:00"/>
    <n v="2"/>
    <n v="4"/>
    <n v="1"/>
    <n v="1"/>
    <s v="Received by Planning"/>
    <n v="9"/>
    <s v="None"/>
    <s v="Bio, Recyclables, Residual with Potential and Spacial Waste"/>
    <n v="28149"/>
    <n v="17612.439999999999"/>
    <n v="0.62560000000000004"/>
    <s v="OPERATIONAL"/>
    <s v="The LGU was planning to construct a Transfer Station near the MRF"/>
    <s v="Fast Track Hauling of waste and secure fence within the facility"/>
    <m/>
    <d v="2025-02-13T00:00:00"/>
    <m/>
    <m/>
    <m/>
    <m/>
    <m/>
    <m/>
  </r>
  <r>
    <x v="5"/>
    <s v="San Jose City"/>
    <s v="Sto Tomas"/>
    <s v="MBA"/>
    <s v="2nd"/>
    <n v="15.76037"/>
    <n v="120.95538999999999"/>
    <s v="15.76037,120.95539"/>
    <s v="EMB FUNDED MRF"/>
    <n v="2"/>
    <s v="2018 &amp; 2021"/>
    <s v="475000 &amp;179,444.44"/>
    <s v="10.October"/>
    <s v="Hosannah R. Sabio"/>
    <s v="Jaypee S. Ordoñez"/>
    <s v="Zosimo P. Suyat"/>
    <s v="R3-2025-035208"/>
    <d v="2025-10-15T00:00:00"/>
    <d v="2025-10-17T00:00:00"/>
    <d v="2025-10-17T00:00:00"/>
    <d v="2025-10-17T00:00:00"/>
    <d v="2025-10-17T00:00:00"/>
    <n v="2"/>
    <n v="1"/>
    <n v="1"/>
    <n v="1"/>
    <s v="Received by Planning"/>
    <n v="38"/>
    <m/>
    <s v="Biodegradable, Recyclable, Residual with Potential"/>
    <n v="10106.4"/>
    <n v="11115.2"/>
    <n v="0.90924139916510716"/>
    <s v="OPERATIONAL"/>
    <m/>
    <m/>
    <m/>
    <m/>
    <m/>
    <m/>
    <m/>
    <m/>
    <m/>
    <m/>
  </r>
  <r>
    <x v="5"/>
    <s v="San Leonardo"/>
    <s v="Tagumpay"/>
    <s v="MBA"/>
    <s v="4th"/>
    <n v="15.3964"/>
    <n v="120.9709"/>
    <s v="15.3964,120.9709"/>
    <s v="LGU FUNDED MRF"/>
    <m/>
    <s v="N/A"/>
    <s v="N/A"/>
    <s v="3.March"/>
    <s v="Jan Emerson C. Gonzales"/>
    <s v="Jaypee S. Ordoñez"/>
    <s v="Zosimo P. Suyat"/>
    <s v="R3-2025-009216"/>
    <d v="2025-03-14T00:00:00"/>
    <d v="2025-03-18T00:00:00"/>
    <d v="2025-03-18T00:00:00"/>
    <d v="2025-04-16T00:00:00"/>
    <d v="2025-04-28T00:00:00"/>
    <n v="2"/>
    <n v="1"/>
    <n v="21"/>
    <n v="8"/>
    <s v="Received by Planning"/>
    <n v="15"/>
    <s v="None"/>
    <s v="Bio, Recyclables, Residual with Potential and Spacial Waste"/>
    <n v="2348.6999999999998"/>
    <n v="34344.959999999999"/>
    <n v="6.8385579718246867E-2"/>
    <s v="OPERATIONAL"/>
    <m/>
    <s v="Compliant"/>
    <m/>
    <m/>
    <m/>
    <m/>
    <m/>
    <m/>
    <m/>
    <m/>
  </r>
  <r>
    <x v="5"/>
    <s v="Science City of Munoz"/>
    <s v="Franza"/>
    <s v="MBA"/>
    <s v="3rd"/>
    <n v="15.76"/>
    <n v="120.89700000000001"/>
    <s v="15.76,120.897"/>
    <s v="LGU FUNDED MRF"/>
    <m/>
    <s v="N/A"/>
    <s v="N/A"/>
    <s v="10.October"/>
    <s v="Aser A. Inocencio, Jr."/>
    <s v="Jaypee S. Ordoñez"/>
    <s v="Zosimo P. Suyat"/>
    <s v="R3-2025-035175"/>
    <d v="2025-10-15T00:00:00"/>
    <d v="2025-10-16T00:00:00"/>
    <d v="2025-10-17T00:00:00"/>
    <d v="2025-10-17T00:00:00"/>
    <d v="2025-10-20T00:00:00"/>
    <n v="1"/>
    <n v="1"/>
    <n v="1"/>
    <n v="1"/>
    <s v="Received by Planning"/>
    <n v="37"/>
    <m/>
    <s v="Paper, Plastics, Metal, Glass, Biodegradable"/>
    <n v="835"/>
    <n v="2570"/>
    <n v="0.32490272373540857"/>
    <s v="OPERATIONAL"/>
    <m/>
    <m/>
    <m/>
    <m/>
    <m/>
    <m/>
    <m/>
    <m/>
    <m/>
    <m/>
  </r>
  <r>
    <x v="5"/>
    <s v="Sta Rosa"/>
    <s v="Soledad"/>
    <s v="MBA"/>
    <s v="2nd"/>
    <n v="15.395300000000001"/>
    <n v="120.973"/>
    <s v="15.3953,120.973"/>
    <s v="LGU FUNDED MRF"/>
    <m/>
    <s v="N/A"/>
    <s v="N/A"/>
    <s v="3.March"/>
    <s v="Jan Emerson C. Gonzales"/>
    <s v="Jaypee S. Ordoñez"/>
    <s v="Zosimo P. Suyat"/>
    <s v="R3-2025-009274"/>
    <d v="2025-03-14T00:00:00"/>
    <d v="2025-03-18T00:00:00"/>
    <d v="2025-03-19T00:00:00"/>
    <d v="2025-03-19T00:00:00"/>
    <d v="2025-03-19T00:00:00"/>
    <n v="2"/>
    <n v="1"/>
    <n v="1"/>
    <n v="1"/>
    <s v="Received by Planning"/>
    <n v="33"/>
    <s v="Bio Shredder and Bio Composter"/>
    <s v="Bio, Recyclables, Residual with Potential and Spacial Waste"/>
    <n v="1623"/>
    <n v="19836.52"/>
    <n v="8.1818786763000764E-2"/>
    <s v="OPERATIONAL"/>
    <m/>
    <s v="Compliant"/>
    <m/>
    <m/>
    <m/>
    <m/>
    <m/>
    <m/>
    <m/>
    <m/>
  </r>
  <r>
    <x v="5"/>
    <s v="Sta. Rosa"/>
    <s v="Rahal Norte"/>
    <s v="MBA"/>
    <s v="2nd"/>
    <n v="15.4377"/>
    <n v="120.883"/>
    <s v="15.4377,120.883"/>
    <s v="EMB FUNDED MRF"/>
    <n v="1"/>
    <n v="2019"/>
    <n v="502714.29"/>
    <s v="3.March"/>
    <s v="Jan Emerson C. Gonzales"/>
    <s v="Jaypee S. Ordoñez"/>
    <s v="Zosimo P. Suyat"/>
    <s v="R3-2025-009232"/>
    <d v="2025-03-14T00:00:00"/>
    <d v="2025-03-18T00:00:00"/>
    <d v="2025-03-18T00:00:00"/>
    <d v="2025-03-18T00:00:00"/>
    <d v="2025-03-19T00:00:00"/>
    <n v="2"/>
    <n v="1"/>
    <n v="1"/>
    <n v="1"/>
    <s v="Received by Planning"/>
    <n v="1"/>
    <s v="None"/>
    <s v="Bio, Recyclables, Residual with Potential and Spacial Waste"/>
    <n v="0"/>
    <n v="396.55200000000002"/>
    <n v="0"/>
    <s v="OPERATIONAL"/>
    <m/>
    <m/>
    <m/>
    <m/>
    <m/>
    <m/>
    <m/>
    <m/>
    <m/>
    <m/>
  </r>
  <r>
    <x v="5"/>
    <s v="Sto. Domingo"/>
    <s v="San Pascual"/>
    <s v="MBA"/>
    <s v="1st"/>
    <n v="15.589"/>
    <n v="120.869"/>
    <s v="15.589,120.869"/>
    <s v="LGU FUNDED MRF"/>
    <m/>
    <s v="N/A"/>
    <s v="N/A"/>
    <s v="6.June"/>
    <s v="Gem C. Vicencio"/>
    <s v="Jaypee S. Ordoñez"/>
    <s v="Zosimo P. Suyat"/>
    <s v="R3-2025-018152"/>
    <d v="2025-05-28T00:00:00"/>
    <d v="2025-06-01T00:00:00"/>
    <d v="2025-06-03T00:00:00"/>
    <d v="2025-06-04T00:00:00"/>
    <d v="2025-06-05T00:00:00"/>
    <n v="2"/>
    <n v="1"/>
    <n v="1"/>
    <n v="1"/>
    <s v="Received by Planning"/>
    <n v="24"/>
    <s v="Bio composter and Bio Shredder"/>
    <s v="Bidegradable, Recyclable, Residual"/>
    <n v="6430"/>
    <n v="23092.78"/>
    <n v="0.27844200654923318"/>
    <s v="OPERATIONAL"/>
    <m/>
    <m/>
    <m/>
    <m/>
    <m/>
    <m/>
    <m/>
    <m/>
    <m/>
    <m/>
  </r>
  <r>
    <x v="5"/>
    <s v="Talavera"/>
    <s v="Bagong Silang"/>
    <s v="MBA"/>
    <s v="1st"/>
    <n v="15.6419"/>
    <n v="120.905"/>
    <s v="15.6419,120.905"/>
    <s v="LGU FUNDED MRF"/>
    <m/>
    <s v="N/A"/>
    <s v="N/A"/>
    <s v="6.June"/>
    <s v="Gem C. Vicencio"/>
    <s v="Jaypee S. Ordoñez"/>
    <s v="Zosimo P. Suyat"/>
    <s v="R3-2025-019465"/>
    <d v="2025-06-10T00:00:00"/>
    <d v="2025-06-12T00:00:00"/>
    <d v="2025-06-16T00:00:00"/>
    <d v="2025-06-16T00:00:00"/>
    <d v="2025-06-17T00:00:00"/>
    <n v="2"/>
    <n v="2"/>
    <n v="1"/>
    <n v="1"/>
    <s v="Received by Planning"/>
    <n v="53"/>
    <s v="Bio composter and Bio Shredder,_x000a_vermicompost pit, bricks maker,_x000a_plastic chair molder equipment (LGU Owned)"/>
    <s v="Bio, Recyclables, Residual"/>
    <n v="9824.5"/>
    <n v="36657.629999999997"/>
    <n v="0.26800696062456847"/>
    <s v="OPERATIONAL"/>
    <m/>
    <s v="Compliant"/>
    <m/>
    <m/>
    <m/>
    <m/>
    <m/>
    <m/>
    <m/>
    <m/>
  </r>
  <r>
    <x v="5"/>
    <s v="Talugtug"/>
    <s v="Buted"/>
    <s v="MBA"/>
    <s v="2nd"/>
    <n v="15.786199999999999"/>
    <n v="120.81100000000001"/>
    <s v="15.7862,120.811"/>
    <s v="LGU FUNDED MRF"/>
    <m/>
    <s v="N/A"/>
    <s v="N/A"/>
    <s v="11.November"/>
    <s v="Aser A. Inocencio, Jr."/>
    <s v="Jaypee S. Ordoñez"/>
    <s v="Zosimo P. Suyat"/>
    <s v="R3-2025-036960"/>
    <d v="2025-10-29T00:00:00"/>
    <d v="2025-11-04T00:00:00"/>
    <d v="2025-11-19T00:00:00"/>
    <d v="2025-11-19T00:00:00"/>
    <d v="2025-11-20T00:00:00"/>
    <n v="4"/>
    <n v="11"/>
    <n v="1"/>
    <n v="1"/>
    <s v="Received by Planning"/>
    <m/>
    <m/>
    <m/>
    <m/>
    <m/>
    <e v="#DIV/0!"/>
    <s v="NON-OPERATIONAL"/>
    <m/>
    <m/>
    <m/>
    <m/>
    <m/>
    <m/>
    <m/>
    <m/>
    <m/>
    <m/>
  </r>
  <r>
    <x v="5"/>
    <s v="Zaragosa"/>
    <s v="Concepcion"/>
    <s v="MBA"/>
    <s v="1st"/>
    <n v="15.4315"/>
    <n v="120.803"/>
    <s v="15.4315,120.803"/>
    <s v="LGU FUNDED MRF"/>
    <m/>
    <s v="N/A"/>
    <s v="N/A"/>
    <s v="9.September"/>
    <s v="Gem C. Vicencio"/>
    <s v="Jaypee S. Ordoñez"/>
    <s v="Zosimo P. Suyat"/>
    <s v="R3-2025-031304"/>
    <d v="2025-09-02T00:00:00"/>
    <d v="2025-09-16T00:00:00"/>
    <d v="2025-09-18T00:00:00"/>
    <d v="2025-09-18T00:00:00"/>
    <d v="2025-09-22T00:00:00"/>
    <n v="10"/>
    <n v="2"/>
    <n v="1"/>
    <n v="2"/>
    <s v="Received by Planning"/>
    <n v="19"/>
    <s v="Biowaste Shedder, Composter, Cartoon Processing Machine, Wheel Loader"/>
    <s v="Biodegrable, Recycle, Residual"/>
    <s v="N/A"/>
    <s v="N/A"/>
    <e v="#VALUE!"/>
    <s v="OPERATIONAL"/>
    <m/>
    <m/>
    <m/>
    <m/>
    <m/>
    <m/>
    <m/>
    <m/>
    <m/>
    <m/>
  </r>
  <r>
    <x v="5"/>
    <s v="Cuyapo"/>
    <s v="Sabit"/>
    <s v="OUTSIDE MBA"/>
    <s v="1st"/>
    <n v="15.811753400000001"/>
    <n v="120.6774928"/>
    <s v="15.8117534,120.6774928"/>
    <s v="LGU FUNDED MRF"/>
    <m/>
    <s v="N/A"/>
    <s v="N/A"/>
    <s v="5.May"/>
    <s v="Aser A. Inocencio, Jr."/>
    <s v="Jaypee S. Ordoñez"/>
    <s v="Zosimo P. Suyat"/>
    <s v="R3-2025-016079"/>
    <d v="2025-05-09T00:00:00"/>
    <d v="2025-05-14T00:00:00"/>
    <d v="2025-05-16T00:00:00"/>
    <d v="2025-05-16T00:00:00"/>
    <d v="2025-05-16T00:00:00"/>
    <n v="3"/>
    <n v="2"/>
    <n v="1"/>
    <n v="1"/>
    <s v="Received by Planning"/>
    <n v="51"/>
    <s v="Bio Shredder"/>
    <s v="Bio, Rcyclable,Residual"/>
    <n v="325"/>
    <n v="28383.52"/>
    <n v="1.1450306374966883E-2"/>
    <s v="OPERATIONAL"/>
    <m/>
    <s v="Compliant"/>
    <m/>
    <m/>
    <m/>
    <m/>
    <m/>
    <m/>
    <m/>
    <m/>
  </r>
  <r>
    <x v="7"/>
    <s v="Apalit"/>
    <s v="Sulipan"/>
    <s v="MBA"/>
    <s v="4th"/>
    <n v="14.928388999999999"/>
    <n v="120.763319"/>
    <s v="14.928389,120.763319"/>
    <s v="EMB FUNDED MRF"/>
    <n v="1"/>
    <n v="2019"/>
    <n v="530642.86"/>
    <s v="2.February"/>
    <s v="Glaiza S. Gaza"/>
    <s v="Maria Cecilia Pascual"/>
    <s v="Yves Yshmael M. Balagtas"/>
    <s v="R3-2025-004425"/>
    <d v="2025-02-06T00:00:00"/>
    <d v="2025-02-09T00:00:00"/>
    <d v="2025-02-11T00:00:00"/>
    <d v="2025-02-11T00:00:00"/>
    <d v="2025-02-13T00:00:00"/>
    <n v="1"/>
    <n v="1"/>
    <n v="1"/>
    <n v="2"/>
    <s v="Received by Planning"/>
    <n v="12"/>
    <s v="Wheel Loader, Biowaste Shredder, Rotary composer"/>
    <s v="Biodegrable, Recycle, Residual"/>
    <s v="N/A"/>
    <n v="28033.915000000001"/>
    <e v="#VALUE!"/>
    <s v="OPERATIONAL"/>
    <m/>
    <m/>
    <m/>
    <m/>
    <m/>
    <m/>
    <m/>
    <m/>
    <m/>
    <m/>
  </r>
  <r>
    <x v="7"/>
    <s v="Apalit"/>
    <s v="Sulipan"/>
    <s v="MBA"/>
    <s v="4th"/>
    <n v="14.9285"/>
    <n v="120.7634"/>
    <s v="14.9285,120.7634"/>
    <s v="LGU FUNDED MRF"/>
    <n v="1"/>
    <n v="2019"/>
    <n v="530642.86"/>
    <s v="2.February"/>
    <s v="Glaiza S. Gaza"/>
    <s v="Maria Cecilia Pascual"/>
    <s v="Yves Yshmael M. Balagtas"/>
    <s v="R3-2025-004424"/>
    <d v="2025-02-06T00:00:00"/>
    <d v="2025-02-09T00:00:00"/>
    <d v="2025-02-11T00:00:00"/>
    <d v="2025-02-11T00:00:00"/>
    <d v="2025-02-13T00:00:00"/>
    <n v="1"/>
    <n v="1"/>
    <n v="1"/>
    <n v="2"/>
    <s v="Received by Planning"/>
    <n v="12"/>
    <s v="Wheel Loader, Biowaste Shredder, Rotary composer"/>
    <s v="Biodegrable, Recycle, Residual"/>
    <s v="N/A"/>
    <s v="N/A"/>
    <e v="#VALUE!"/>
    <s v="OPERATIONAL"/>
    <m/>
    <m/>
    <m/>
    <m/>
    <m/>
    <m/>
    <m/>
    <m/>
    <m/>
    <m/>
  </r>
  <r>
    <x v="7"/>
    <s v="Arayat"/>
    <s v="Tabuan (Sto. Nino Tabuan)"/>
    <s v="MBA"/>
    <s v="3rd"/>
    <n v="15.189531000000001"/>
    <n v="120.79133899999999"/>
    <s v="15.189531,120.791339"/>
    <s v="EMB FUNDED MRF"/>
    <n v="1"/>
    <n v="2019"/>
    <n v="502714.29"/>
    <s v="1.January"/>
    <s v="Roger T. Encarnacion II"/>
    <s v="Maria Cecilia Pascual"/>
    <s v="Yves Yshmael M. Balagtas"/>
    <s v="R3-2025-001606"/>
    <d v="2025-01-16T00:00:00"/>
    <d v="2025-01-20T00:00:00"/>
    <m/>
    <d v="2025-01-24T00:00:00"/>
    <d v="2025-01-24T00:00:00"/>
    <n v="2"/>
    <s v=""/>
    <n v="4"/>
    <n v="1"/>
    <s v="Received by Planning"/>
    <n v="30"/>
    <s v="Biowaste Shedder, Composter, Cartoon Processing Machine, Wheel Loader"/>
    <s v="All types of waste"/>
    <n v="956.83"/>
    <m/>
    <e v="#DIV/0!"/>
    <s v="OPERATIONAL"/>
    <m/>
    <m/>
    <m/>
    <m/>
    <m/>
    <m/>
    <m/>
    <m/>
    <m/>
    <m/>
  </r>
  <r>
    <x v="7"/>
    <s v="Bacolor"/>
    <s v="Talba"/>
    <s v="MBA"/>
    <s v="3rd"/>
    <n v="14.993171"/>
    <n v="120.671435"/>
    <s v="14.993171,120.671435"/>
    <s v="LGU FUNDED MRF"/>
    <m/>
    <s v="N/A"/>
    <s v="N/A"/>
    <s v="3.March"/>
    <s v="Ivy M. Castro"/>
    <m/>
    <s v="Yves Yshmael M. Balagtas"/>
    <s v="R3-2025-008775"/>
    <d v="2025-03-04T00:00:00"/>
    <d v="2025-03-16T00:00:00"/>
    <d v="2025-03-16T00:00:00"/>
    <d v="2025-03-17T00:00:00"/>
    <d v="2025-03-18T00:00:00"/>
    <n v="8"/>
    <n v="1"/>
    <n v="1"/>
    <n v="1"/>
    <s v="Received by Planning"/>
    <n v="21"/>
    <s v="Biowaste shedder, , Rotary Composter"/>
    <s v="Bidegradable, Recyclable, Residual"/>
    <n v="236"/>
    <n v="5000"/>
    <n v="4.7199999999999999E-2"/>
    <s v="OPERATIONAL"/>
    <m/>
    <m/>
    <m/>
    <m/>
    <m/>
    <m/>
    <m/>
    <m/>
    <m/>
    <m/>
  </r>
  <r>
    <x v="7"/>
    <s v="Candaba"/>
    <s v="Pansilao"/>
    <s v="MBA"/>
    <s v="4th"/>
    <n v="15.1265"/>
    <n v="120.80200000000001"/>
    <s v="15.1265,120.802"/>
    <s v="LGU FUNDED MRF"/>
    <m/>
    <s v="N/A"/>
    <s v="N/A"/>
    <s v="11.November"/>
    <s v="Roger T. Encarnacion II"/>
    <m/>
    <s v="Yves Yshmael M. Balagtas"/>
    <s v="R3-2025-037415"/>
    <d v="2025-11-07T00:00:00"/>
    <d v="2025-11-09T00:00:00"/>
    <m/>
    <d v="2025-11-17T00:00:00"/>
    <d v="2025-11-18T00:00:00"/>
    <n v="1"/>
    <s v=""/>
    <n v="5"/>
    <n v="1"/>
    <s v="Received by Planning"/>
    <n v="33"/>
    <s v="Bio-shredder, Bio-COmposter"/>
    <s v="Biodegradable, Recyclable, Residual"/>
    <n v="15000"/>
    <n v="35248.559999999998"/>
    <n v="0.42554929903519467"/>
    <s v="OPERATIONAL"/>
    <m/>
    <m/>
    <m/>
    <m/>
    <m/>
    <m/>
    <m/>
    <m/>
    <m/>
    <m/>
  </r>
  <r>
    <x v="5"/>
    <s v="Nampicuan"/>
    <s v="North Poblacion"/>
    <s v="OUTSIDE MBA"/>
    <s v="1st"/>
    <n v="15.735300000000001"/>
    <n v="120.633"/>
    <s v="15.7353,120.633"/>
    <s v="LGU FUNDED MRF"/>
    <n v="1"/>
    <s v="N/A"/>
    <s v="N/A"/>
    <s v="2.February"/>
    <s v="Aser A. Inocencio, Jr."/>
    <s v="Jaypee S. Ordoñez"/>
    <s v="Zosimo P. Suyat"/>
    <s v="R3-2025-005769"/>
    <d v="2025-02-11T00:00:00"/>
    <d v="2025-02-17T00:00:00"/>
    <d v="2025-02-18T00:00:00"/>
    <d v="2025-02-18T00:00:00"/>
    <d v="2025-02-18T00:00:00"/>
    <n v="4"/>
    <n v="1"/>
    <n v="1"/>
    <n v="1"/>
    <s v="Received by Planning"/>
    <m/>
    <s v="None"/>
    <s v="N/A"/>
    <s v="N/A"/>
    <s v="N/A"/>
    <e v="#VALUE!"/>
    <s v="NON-OPERATIONAL"/>
    <s v="The MRF will not be utilized as EMB funded MRF is planned for utilization"/>
    <s v="N/A"/>
    <m/>
    <m/>
    <m/>
    <m/>
    <m/>
    <m/>
    <m/>
    <m/>
  </r>
  <r>
    <x v="7"/>
    <s v="CSFP"/>
    <s v="Del Rosario"/>
    <s v="MBA"/>
    <s v="3rd"/>
    <n v="15.067883330000001"/>
    <n v="120.64"/>
    <s v="15.06788333,120.64"/>
    <s v="EMB FUNDED MRF"/>
    <n v="1"/>
    <s v="2012 (2016)"/>
    <n v="500000"/>
    <s v="1.January"/>
    <s v="Elyza A. Evilla"/>
    <s v="Maria Cecilia Pascual"/>
    <s v="Yves Yshmael M. Balagtas"/>
    <s v="R3-2025-001634"/>
    <d v="2025-01-15T00:00:00"/>
    <d v="2025-01-20T00:00:00"/>
    <m/>
    <d v="2025-01-24T00:00:00"/>
    <d v="2025-01-24T00:00:00"/>
    <n v="3"/>
    <s v=""/>
    <n v="4"/>
    <n v="1"/>
    <s v="Received by Planning"/>
    <n v="1"/>
    <s v="No equipment within the facility"/>
    <s v="Biodegrable and Recyclable"/>
    <n v="264"/>
    <m/>
    <e v="#DIV/0!"/>
    <s v="OPERATIONAL"/>
    <m/>
    <m/>
    <m/>
    <m/>
    <m/>
    <m/>
    <m/>
    <m/>
    <m/>
    <m/>
  </r>
  <r>
    <x v="7"/>
    <s v="CSFP"/>
    <s v="Lara"/>
    <s v="MBA"/>
    <s v="3rd"/>
    <n v="15.082090000000001"/>
    <n v="120.61205"/>
    <s v="15.08209,120.61205"/>
    <s v="LGU FUNDED MRF"/>
    <m/>
    <s v="N/A"/>
    <s v="N/A"/>
    <s v="1.January"/>
    <s v="Elyza A. Evilla"/>
    <s v="Maria Cecilia Pascual"/>
    <s v="Yves Yshmael M. Balagtas"/>
    <s v="R3-2025-001633"/>
    <d v="2025-01-15T00:00:00"/>
    <d v="2025-01-20T00:00:00"/>
    <m/>
    <d v="2025-01-20T00:00:00"/>
    <d v="2025-01-24T00:00:00"/>
    <n v="3"/>
    <s v=""/>
    <n v="1"/>
    <n v="4"/>
    <s v="Received by Planning"/>
    <n v="18"/>
    <s v="Wheel Loader, Plastic Shredder, Glass Shredder, Plastic Densifier, Plastic Chair Factory "/>
    <s v="Residual and Biodegrable"/>
    <m/>
    <m/>
    <e v="#DIV/0!"/>
    <s v="OPERATIONAL"/>
    <m/>
    <m/>
    <m/>
    <m/>
    <m/>
    <m/>
    <m/>
    <m/>
    <m/>
    <m/>
  </r>
  <r>
    <x v="7"/>
    <s v="Floridablanca"/>
    <s v="Carmencita"/>
    <s v="MBA"/>
    <s v="2nd"/>
    <n v="14.95154"/>
    <n v="120.47152"/>
    <s v="14.95154,120.47152"/>
    <s v="EMB FUNDED MRF"/>
    <n v="2"/>
    <s v="2019 &amp; 2021"/>
    <s v="530642.86 &amp; 179444.44"/>
    <s v="4.April"/>
    <s v="Elyza A. Evilla"/>
    <m/>
    <s v="Yves Yshmael M. Balagtas"/>
    <s v=" R3-2025-013112"/>
    <d v="2025-04-15T00:00:00"/>
    <d v="2025-04-16T00:00:00"/>
    <d v="2025-04-16T00:00:00"/>
    <d v="2025-04-21T00:00:00"/>
    <d v="2025-04-22T00:00:00"/>
    <n v="1"/>
    <n v="1"/>
    <n v="3"/>
    <n v="1"/>
    <s v="Received by Planning"/>
    <n v="1"/>
    <s v="None"/>
    <s v="Biodegradabl and Recyclable"/>
    <n v="178"/>
    <n v="250"/>
    <n v="0.71199999999999997"/>
    <s v="OPERATIONAL"/>
    <m/>
    <s v="Compliant"/>
    <m/>
    <m/>
    <m/>
    <m/>
    <m/>
    <m/>
    <m/>
    <m/>
  </r>
  <r>
    <x v="7"/>
    <s v="Floridablanca"/>
    <s v="Pabanlag"/>
    <s v="MBA"/>
    <s v="2nd"/>
    <n v="14.960470000000001"/>
    <n v="120.46104"/>
    <s v="14.96047,120.46104"/>
    <s v="LGU FUNDED MRF"/>
    <m/>
    <s v="N/A"/>
    <s v="N/A"/>
    <s v="4.April"/>
    <s v="Elyza A. Evilla"/>
    <m/>
    <s v="Yves Yshmael M. Balagtas"/>
    <s v="R3-2025-013111"/>
    <d v="2025-04-15T00:00:00"/>
    <d v="2025-04-16T00:00:00"/>
    <d v="2025-04-16T00:00:00"/>
    <d v="2025-04-21T00:00:00"/>
    <d v="2025-04-22T00:00:00"/>
    <n v="1"/>
    <n v="1"/>
    <n v="3"/>
    <n v="1"/>
    <s v="Received by Planning"/>
    <n v="30"/>
    <s v="Coveyor, Bio Shredder, Bio Composter, Briquetting Machine, Glass Shredder"/>
    <s v="Biodegradabl and Recyclable"/>
    <n v="10490"/>
    <n v="52454"/>
    <n v="0.1999847485415793"/>
    <s v="OPERATIONAL"/>
    <m/>
    <m/>
    <m/>
    <m/>
    <m/>
    <m/>
    <m/>
    <m/>
    <m/>
    <m/>
  </r>
  <r>
    <x v="7"/>
    <s v="Guagua"/>
    <s v="San Rafael"/>
    <s v="MBA"/>
    <s v="2nd"/>
    <n v="14.95635"/>
    <n v="120.64061100000001"/>
    <s v="14.95635,120.640611"/>
    <s v="EMB FUNDED MRF"/>
    <n v="1"/>
    <n v="2014"/>
    <n v="250000"/>
    <s v="3.March"/>
    <s v="Ivy M. Castro"/>
    <m/>
    <s v="Yves Yshmael M. Balagtas"/>
    <s v="R3-2025-008774"/>
    <d v="2025-03-13T00:00:00"/>
    <d v="2025-03-16T00:00:00"/>
    <d v="2025-03-17T00:00:00"/>
    <d v="2025-03-17T00:00:00"/>
    <d v="2025-03-18T00:00:00"/>
    <n v="1"/>
    <n v="1"/>
    <n v="1"/>
    <n v="1"/>
    <s v="Received by Planning"/>
    <n v="31"/>
    <s v="Biowaste shedder, , Rotary Composter"/>
    <s v="Bidegradable, Recyclable, Residual"/>
    <n v="10225.209999999999"/>
    <n v="30958.98"/>
    <n v="0.33028252222779947"/>
    <s v="OPERATIONAL"/>
    <m/>
    <m/>
    <m/>
    <m/>
    <m/>
    <m/>
    <m/>
    <m/>
    <m/>
    <m/>
  </r>
  <r>
    <x v="7"/>
    <s v="Lubao"/>
    <s v="Sta. Catalima"/>
    <s v="MBA"/>
    <s v="2nd"/>
    <n v="14.902004"/>
    <n v="120.60343399999999"/>
    <s v="14.902004,120.603434"/>
    <s v="EMB FUNDED MRF"/>
    <n v="1"/>
    <n v="2019"/>
    <n v="502714.29"/>
    <s v="7.July"/>
    <s v="Ivy M. Castro"/>
    <s v="Jan Emerson C. Gonzales"/>
    <s v="Yves Yshmael M. Balagtas"/>
    <s v="R3-2025-023118"/>
    <d v="2025-07-09T00:00:00"/>
    <d v="2025-07-12T00:00:00"/>
    <d v="2025-07-16T00:00:00"/>
    <d v="2025-07-16T00:00:00"/>
    <d v="2025-07-17T00:00:00"/>
    <n v="2"/>
    <n v="2"/>
    <n v="1"/>
    <n v="1"/>
    <s v="Received by Planning"/>
    <n v="44"/>
    <s v="No equipments"/>
    <s v="Biodegradable, Recyclables, Residual"/>
    <n v="7480"/>
    <n v="69991.149999999994"/>
    <n v="0.1068706543613014"/>
    <s v="OPERATIONAL"/>
    <m/>
    <m/>
    <m/>
    <m/>
    <m/>
    <m/>
    <m/>
    <m/>
    <m/>
    <m/>
  </r>
  <r>
    <x v="7"/>
    <s v="Mabalacat City"/>
    <s v="Sapang Balen"/>
    <s v="MBA"/>
    <s v="1st"/>
    <n v="15.259975000000001"/>
    <n v="120.596369"/>
    <s v="15.259975,120.596369"/>
    <s v="EMB FUNDED MRF"/>
    <n v="1"/>
    <n v="2013"/>
    <n v="500000"/>
    <s v="5.May"/>
    <s v="Roger T. Encarnacion II"/>
    <m/>
    <s v="Yves Yshmael M. Balagtas"/>
    <s v="R3-2025-016979"/>
    <d v="2025-05-16T00:00:00"/>
    <d v="2025-05-20T00:00:00"/>
    <d v="2025-05-20T00:00:00"/>
    <d v="2025-05-20T00:00:00"/>
    <d v="2025-05-20T00:00:00"/>
    <n v="2"/>
    <n v="1"/>
    <n v="1"/>
    <n v="1"/>
    <s v="Received by Planning"/>
    <n v="27"/>
    <s v="Biowaste shredder, Rotary composter"/>
    <s v="Residual"/>
    <n v="101140"/>
    <n v="116527.45"/>
    <n v="0.86794999804767037"/>
    <s v="OPERATIONAL"/>
    <m/>
    <s v="Compliant"/>
    <m/>
    <m/>
    <m/>
    <m/>
    <m/>
    <m/>
    <m/>
    <m/>
  </r>
  <r>
    <x v="7"/>
    <s v="Macabebe"/>
    <s v="San Vicente"/>
    <s v="MBA"/>
    <s v="4th"/>
    <n v="14.894500000000001"/>
    <n v="120.72499999999999"/>
    <s v="14.8945,120.725"/>
    <s v="LGU FUNDED MRF"/>
    <m/>
    <s v="N/A"/>
    <s v="N/A"/>
    <s v="11.November"/>
    <s v="Glaiza S. Gaza"/>
    <m/>
    <s v="Yves Yshmael M. Balagtas"/>
    <s v="R3-2025-037398"/>
    <d v="2025-11-07T00:00:00"/>
    <d v="2025-11-08T00:00:00"/>
    <m/>
    <d v="2025-11-17T00:00:00"/>
    <d v="2025-11-18T00:00:00"/>
    <n v="1"/>
    <s v=""/>
    <n v="5"/>
    <n v="1"/>
    <s v="Received by Planning"/>
    <n v="25"/>
    <s v="Wheel Loader"/>
    <s v="Biodegradable, Recyclable, Residual"/>
    <n v="15215.5"/>
    <n v="22194.883999999998"/>
    <e v="#REF!"/>
    <s v="OPERATIONAL"/>
    <m/>
    <m/>
    <m/>
    <m/>
    <m/>
    <m/>
    <m/>
    <m/>
    <m/>
    <m/>
  </r>
  <r>
    <x v="7"/>
    <s v="Magalang"/>
    <s v="Sto. Rosario"/>
    <s v="MBA"/>
    <s v="1st"/>
    <n v="15.2567"/>
    <n v="120.63500000000001"/>
    <s v="15.2567,120.635"/>
    <s v="LGU FUNDED MRF"/>
    <m/>
    <s v="N/A"/>
    <s v="N/A"/>
    <s v="5.May"/>
    <s v="Roger T. Encarnacion II"/>
    <m/>
    <s v="Yves Yshmael M. Balagtas"/>
    <s v="R3-2025-016738"/>
    <d v="2025-05-16T00:00:00"/>
    <d v="2025-05-19T00:00:00"/>
    <d v="2025-05-19T00:00:00"/>
    <d v="2025-05-19T00:00:00"/>
    <d v="2025-05-20T00:00:00"/>
    <n v="1"/>
    <n v="1"/>
    <n v="1"/>
    <n v="1"/>
    <s v="Received by Planning"/>
    <n v="25"/>
    <s v=" Rotary Composter, Bio Shredder, "/>
    <s v="Recyclable"/>
    <n v="2700"/>
    <n v="12500"/>
    <n v="0.216"/>
    <s v="OPERATIONAL"/>
    <m/>
    <s v="Non-Compliant"/>
    <m/>
    <m/>
    <s v="NO"/>
    <m/>
    <m/>
    <m/>
    <m/>
    <m/>
  </r>
  <r>
    <x v="7"/>
    <s v="Masantol"/>
    <s v="Bebe anac"/>
    <s v="MBA"/>
    <s v="4th"/>
    <n v="14.8825"/>
    <n v="120.711"/>
    <s v="14.8825,120.711"/>
    <s v="LGU FUNDED MRF"/>
    <m/>
    <s v="N/A"/>
    <s v="N/A"/>
    <s v="6.June"/>
    <s v="Glaiza S. Gaza"/>
    <s v="Jan Emerson C. Gonzales"/>
    <s v="Yves Yshmael M. Balagtas"/>
    <s v="R3-2025-019739"/>
    <d v="2025-06-10T00:00:00"/>
    <d v="2025-06-16T00:00:00"/>
    <d v="2025-06-18T00:00:00"/>
    <d v="2025-06-18T00:00:00"/>
    <d v="2025-06-18T00:00:00"/>
    <n v="4"/>
    <n v="2"/>
    <n v="1"/>
    <n v="1"/>
    <s v="Received by Planning"/>
    <n v="26"/>
    <s v="Shredder"/>
    <s v="Bio, Recyclables, Residual"/>
    <s v="no data"/>
    <s v="30 386.76"/>
    <e v="#VALUE!"/>
    <s v="OPERATIONAL"/>
    <m/>
    <s v="Non-Compliant"/>
    <m/>
    <m/>
    <m/>
    <m/>
    <m/>
    <m/>
    <m/>
    <m/>
  </r>
  <r>
    <x v="7"/>
    <s v="Mexico"/>
    <s v="Suclaban"/>
    <s v="MBA"/>
    <s v="3rd"/>
    <n v="15.1351"/>
    <n v="120.65"/>
    <s v="15.1351,120.65"/>
    <s v="LGU FUNDED MRF"/>
    <m/>
    <s v="N/A"/>
    <s v="N/A"/>
    <s v="1.January"/>
    <s v="Roger T. Encarnacion II"/>
    <s v="Maria Cecilia Pascual"/>
    <s v="Yves Yshmael M. Balagtas"/>
    <s v="R3-2025-001604"/>
    <d v="2025-01-10T00:00:00"/>
    <d v="2025-01-20T00:00:00"/>
    <d v="2025-01-21T00:00:00"/>
    <d v="2025-01-23T00:00:00"/>
    <d v="2025-01-24T00:00:00"/>
    <n v="6"/>
    <n v="1"/>
    <n v="2"/>
    <n v="1"/>
    <s v="Received by Planning"/>
    <n v="43"/>
    <s v="Rotary Composter, Biowaste shedder and Conveyor"/>
    <s v="All types of waste"/>
    <n v="846.36"/>
    <s v="No Data"/>
    <e v="#VALUE!"/>
    <s v="OPERATIONAL"/>
    <m/>
    <s v="Non-Compliant"/>
    <s v="approximately 1,500 square meters and a height of 3 meters of mixed waste were covering the area, with some of the wastes are in direct contact with the soil."/>
    <s v="yes"/>
    <s v="On Process"/>
    <m/>
    <s v="Section 32 Establishment of LGU Materials Recovery Facility, and Section 1 (a) and (b) “Operations of a Materials Recovery Facility” under Rule XI “Materials Recovery Facilities and Composting” of IRR (DAO 2001-34) of RA 9003."/>
    <m/>
    <m/>
    <m/>
  </r>
  <r>
    <x v="7"/>
    <s v="Minalin"/>
    <s v="Sta. Catalina"/>
    <s v="MBA"/>
    <s v="4th"/>
    <n v="14.9635"/>
    <n v="120.663"/>
    <s v="14.9635,120.663"/>
    <s v="LGU FUNDED MRF"/>
    <m/>
    <s v="N/A"/>
    <s v="N/A"/>
    <s v="8.August"/>
    <s v="Glaiza S. Gaza"/>
    <s v="Jan Emerson C. Gonzales"/>
    <s v="Yves Yshmael M. Balagtas"/>
    <s v="R3-2025-027036"/>
    <d v="2025-08-12T00:00:00"/>
    <d v="2025-08-13T00:00:00"/>
    <m/>
    <d v="2025-08-18T00:00:00"/>
    <d v="2025-08-18T00:00:00"/>
    <n v="1"/>
    <s v=""/>
    <n v="3"/>
    <n v="1"/>
    <s v="Received by Planning"/>
    <n v="15"/>
    <s v="Bio Composter, Bio Shredder"/>
    <s v="Recyclable, Biodegradable, Residual with potential"/>
    <n v="25014"/>
    <n v="25020.871999999999"/>
    <n v="0.99972534930037615"/>
    <s v="OPERATIONAL"/>
    <m/>
    <m/>
    <m/>
    <m/>
    <m/>
    <m/>
    <m/>
    <m/>
    <m/>
    <m/>
  </r>
  <r>
    <x v="7"/>
    <s v="Porac"/>
    <s v="San Jose Mitla"/>
    <s v="MBA"/>
    <s v="2nd"/>
    <n v="15.067969"/>
    <n v="120.571611"/>
    <s v="15.067969,120.571611"/>
    <s v="LGU FUNDED MRF"/>
    <m/>
    <s v="N/A"/>
    <s v="N/A"/>
    <s v="4.April"/>
    <s v="Elyza A. Evilla"/>
    <s v="Maria Cecilia Pascual"/>
    <s v="Yves Yshmael M. Balagtas"/>
    <s v="R3-2025-012408"/>
    <d v="2025-04-11T00:00:00"/>
    <d v="2025-04-11T00:00:00"/>
    <d v="2025-04-11T00:00:00"/>
    <d v="2025-04-21T00:00:00"/>
    <d v="2025-04-22T00:00:00"/>
    <n v="1"/>
    <n v="1"/>
    <n v="6"/>
    <n v="1"/>
    <s v="Received by Planning"/>
    <n v="29"/>
    <s v="Wheel Loader, Plastic Shedder, Rotary Composter,"/>
    <s v="Bio, Recyclables, Residual"/>
    <n v="57057.3"/>
    <n v="92895.66"/>
    <n v="0.61420845710122518"/>
    <s v="OPERATIONAL"/>
    <m/>
    <m/>
    <m/>
    <m/>
    <m/>
    <m/>
    <m/>
    <m/>
    <m/>
    <m/>
  </r>
  <r>
    <x v="7"/>
    <s v="San Luis"/>
    <s v="So. Tomas"/>
    <s v="MBA"/>
    <s v="4th"/>
    <n v="15.046900000000001"/>
    <n v="120.785"/>
    <s v="15.0469,120.785"/>
    <s v="LGU FUNDED MRF"/>
    <m/>
    <s v="N/A"/>
    <s v="N/A"/>
    <s v="9.September"/>
    <s v="Glaiza S. Gaza"/>
    <s v="Jan Emerson C. Gonzales"/>
    <s v="Yves Yshmael M. Balagtas"/>
    <s v="R3-2025-031102"/>
    <d v="2025-09-09T00:00:00"/>
    <d v="2025-09-17T00:00:00"/>
    <d v="2025-09-17T00:00:00"/>
    <d v="2025-09-17T00:00:00"/>
    <d v="2025-09-18T00:00:00"/>
    <n v="6"/>
    <n v="1"/>
    <n v="1"/>
    <n v="1"/>
    <s v="Received by Planning"/>
    <n v="17"/>
    <s v="Wheel Loader"/>
    <s v="Bidegradable, Recyclable, Residual"/>
    <s v="No records"/>
    <s v="N.A"/>
    <e v="#VALUE!"/>
    <s v="OPERATIONAL"/>
    <s v="For issuance of Show Cause Order"/>
    <s v="Non-Compliant"/>
    <m/>
    <m/>
    <m/>
    <m/>
    <m/>
    <m/>
    <m/>
    <m/>
  </r>
  <r>
    <x v="7"/>
    <s v="San Simon"/>
    <s v="Santa Monica"/>
    <s v="MBA"/>
    <s v=" 4th"/>
    <n v="14.992000000000001"/>
    <n v="120.7593"/>
    <s v="14.992,120.7593"/>
    <s v="LGU FUNDED MRF"/>
    <m/>
    <m/>
    <m/>
    <s v="7.July"/>
    <s v="Glaiza S. Gaza"/>
    <s v="Jan Emerson C. Gonzales"/>
    <s v="Yves Yshmael M. Balagtas"/>
    <s v="R3-2025-024198"/>
    <d v="2025-07-17T00:00:00"/>
    <d v="2025-07-18T00:00:00"/>
    <d v="2025-07-18T00:00:00"/>
    <d v="2025-07-18T00:00:00"/>
    <d v="2025-07-18T00:00:00"/>
    <n v="1"/>
    <n v="1"/>
    <n v="1"/>
    <n v="1"/>
    <s v="Received by Planning"/>
    <n v="14"/>
    <s v="Wheel Loader"/>
    <s v="Biodegradable, Recyclable, Residual"/>
    <s v="No records"/>
    <s v="29 482.596"/>
    <m/>
    <s v="OPERATIONAL"/>
    <m/>
    <s v="Non-Compliant"/>
    <m/>
    <s v="NO"/>
    <m/>
    <m/>
    <m/>
    <m/>
    <m/>
    <m/>
  </r>
  <r>
    <x v="7"/>
    <s v="Sasmuan"/>
    <s v="Dalan Baba"/>
    <s v="MBA"/>
    <s v="4th"/>
    <n v="14.936719"/>
    <n v="120.617447"/>
    <s v="14.936719,120.617447"/>
    <s v="EMB FUNDED MRF"/>
    <n v="1"/>
    <n v="2019"/>
    <n v="502714.29"/>
    <s v="3.March"/>
    <s v="Ivy M. Castro"/>
    <m/>
    <s v="Yves Yshmael M. Balagtas"/>
    <s v="R3-2025-008773"/>
    <d v="2025-03-14T00:00:00"/>
    <d v="2025-03-16T00:00:00"/>
    <d v="2025-03-16T00:00:00"/>
    <d v="2025-03-17T00:00:00"/>
    <d v="2025-03-18T00:00:00"/>
    <n v="1"/>
    <n v="1"/>
    <n v="1"/>
    <n v="1"/>
    <s v="Received by Planning"/>
    <n v="2"/>
    <s v="Biowaste shedder, , Rotary Composter"/>
    <s v="Residual waste"/>
    <n v="7592.5"/>
    <n v="9909.8799999999992"/>
    <n v="0.76615458512111156"/>
    <s v="OPERATIONAL"/>
    <m/>
    <m/>
    <m/>
    <m/>
    <m/>
    <m/>
    <m/>
    <m/>
    <m/>
    <m/>
  </r>
  <r>
    <x v="7"/>
    <s v="Sta Rita"/>
    <s v="Dila dila"/>
    <s v="MBA"/>
    <s v="2nd"/>
    <n v="15.021699999999999"/>
    <n v="120.568"/>
    <s v="15.0217,120.568"/>
    <s v="LGU FUNDED MRF"/>
    <m/>
    <s v="N/A"/>
    <s v="N/A"/>
    <s v="10.October"/>
    <s v="Ivy Castro"/>
    <s v="Jan Emerson C. Gonzales"/>
    <s v="Yves Yshmael M. Balagtas"/>
    <s v="R3-2025-033271"/>
    <d v="2025-09-30T00:00:00"/>
    <d v="2025-10-02T00:00:00"/>
    <d v="2025-10-04T00:00:00"/>
    <d v="2025-10-14T00:00:00"/>
    <d v="2025-10-20T00:00:00"/>
    <n v="2"/>
    <n v="1"/>
    <n v="6"/>
    <n v="4"/>
    <s v="Received by Planning"/>
    <n v="10"/>
    <s v="Bio Shredder"/>
    <s v="Recyclable, Biodegrdable, Residual"/>
    <s v="no data"/>
    <n v="15389.2"/>
    <e v="#VALUE!"/>
    <s v="OPERATIONAL"/>
    <s v="For technical conferece, SIR and letter routed through IIS no. R3-2025-030765"/>
    <s v="Non-Compliant"/>
    <m/>
    <s v="yes"/>
    <m/>
    <m/>
    <m/>
    <m/>
    <m/>
    <m/>
  </r>
  <r>
    <x v="7"/>
    <s v="Sta. Ana"/>
    <s v="San Nicolas"/>
    <s v="MBA"/>
    <s v="3rd"/>
    <n v="15.100197"/>
    <n v="120.777006"/>
    <s v="15.100197,120.777006"/>
    <s v="EMB FUNDED MRF"/>
    <n v="1"/>
    <n v="2019"/>
    <n v="530642.86"/>
    <s v="8.August"/>
    <s v="Roger T. Encarnacion II"/>
    <s v="Jan Emerson C. Gonzales"/>
    <s v="Yves Yshmael M. Balagtas"/>
    <s v="R3-2025-027139"/>
    <d v="2025-08-08T00:00:00"/>
    <d v="2025-08-14T00:00:00"/>
    <d v="2025-08-15T00:00:00"/>
    <d v="2025-08-18T00:00:00"/>
    <d v="2025-08-19T00:00:00"/>
    <n v="4"/>
    <n v="1"/>
    <n v="1"/>
    <n v="1"/>
    <s v="Received by Planning"/>
    <n v="43"/>
    <s v="Bio Composter, Bio Shredder"/>
    <s v="Recyclable, Biodegradable, Residual with potential"/>
    <n v="5905"/>
    <n v="21784.1"/>
    <n v="0.27106926611611221"/>
    <s v="OPERATIONAL"/>
    <m/>
    <m/>
    <m/>
    <m/>
    <m/>
    <m/>
    <m/>
    <m/>
    <m/>
    <m/>
  </r>
  <r>
    <x v="7"/>
    <s v="Sto. Tomas"/>
    <s v="San Vicente"/>
    <s v="MBA"/>
    <s v="4th"/>
    <n v="15.003997"/>
    <n v="120.697078"/>
    <s v="15.003997,120.697078"/>
    <s v="EMB FUNDED MRF"/>
    <n v="1"/>
    <n v="2017"/>
    <n v="270000"/>
    <s v="1.January"/>
    <s v="Elyza A. Evilla"/>
    <s v="Maria Cecilia Pascual"/>
    <s v="Yves Yshmael M. Balagtas"/>
    <s v="R3-2025-001637"/>
    <d v="2025-01-16T00:00:00"/>
    <d v="2025-01-20T00:00:00"/>
    <m/>
    <d v="2025-01-24T00:00:00"/>
    <d v="2025-01-24T00:00:00"/>
    <n v="2"/>
    <s v=""/>
    <n v="4"/>
    <n v="1"/>
    <s v="Received by Planning"/>
    <n v="7"/>
    <s v="Wheel loader, composter and plastic shedder"/>
    <s v="Biodegrable and Residual"/>
    <n v="6196.55"/>
    <n v="9658.52"/>
    <n v="0.6415630966234992"/>
    <s v="OPERATIONAL"/>
    <m/>
    <s v="FFM"/>
    <m/>
    <m/>
    <m/>
    <m/>
    <m/>
    <m/>
    <m/>
    <m/>
  </r>
  <r>
    <x v="6"/>
    <s v="Bamban"/>
    <s v="San Nicolas"/>
    <s v="MBA"/>
    <s v="3rd"/>
    <n v="15.272779999999999"/>
    <n v="120.56189999999999"/>
    <s v="15.27278,120.5619"/>
    <s v="EMB FUNDED MRF"/>
    <n v="1"/>
    <n v="2019"/>
    <n v="530642.86"/>
    <s v="4.April"/>
    <s v="Gretzhen M. Apolonio"/>
    <s v="Ryan Christian R. Nunag"/>
    <s v="Rod Ross S. De Jesus"/>
    <s v="R3-2025-012811"/>
    <d v="2025-04-10T00:00:00"/>
    <d v="2025-04-14T00:00:00"/>
    <d v="2025-04-14T00:00:00"/>
    <d v="2025-04-15T00:00:00"/>
    <d v="2025-04-15T00:00:00"/>
    <n v="2"/>
    <n v="1"/>
    <n v="1"/>
    <n v="1"/>
    <s v="Received by Planning"/>
    <n v="2"/>
    <s v="None"/>
    <s v="Bio, Recyclables, Residual"/>
    <n v="755"/>
    <m/>
    <e v="#DIV/0!"/>
    <s v="OPERATIONAL"/>
    <m/>
    <m/>
    <m/>
    <m/>
    <m/>
    <m/>
    <m/>
    <m/>
    <m/>
    <m/>
  </r>
  <r>
    <x v="6"/>
    <s v="Capas"/>
    <s v="Cutcut 1st"/>
    <s v="MBA"/>
    <s v="3rd"/>
    <n v="15.32042229"/>
    <n v="120.5892983"/>
    <s v="15.32042229,120.5892983"/>
    <s v="EMB FUNDED MRF"/>
    <n v="1"/>
    <n v="2019"/>
    <n v="502714.29"/>
    <s v="2.February"/>
    <s v="Gretzhen M. Apolonio"/>
    <s v="Ryan Christian R. Nunag"/>
    <s v="Rod Ross S. De Jesus"/>
    <s v="R3-2025-004766"/>
    <d v="2025-02-06T00:00:00"/>
    <d v="2025-02-10T00:00:00"/>
    <d v="2025-02-11T00:00:00"/>
    <d v="2025-02-12T00:00:00"/>
    <d v="2025-02-13T00:00:00"/>
    <n v="2"/>
    <n v="1"/>
    <n v="1"/>
    <n v="1"/>
    <s v="Received by Planning"/>
    <n v="5"/>
    <s v="Rotary Mixer, Biowaste Shedder, Rotary Composter and Eco Briks maker"/>
    <s v="Biodegradable, Recyclables, Residual"/>
    <n v="3180"/>
    <n v="6013"/>
    <n v="0.52885414934308994"/>
    <s v="OPERATIONAL"/>
    <m/>
    <m/>
    <m/>
    <m/>
    <m/>
    <m/>
    <m/>
    <m/>
    <m/>
    <m/>
  </r>
  <r>
    <x v="6"/>
    <s v="Concepcion"/>
    <s v="Sta Rita"/>
    <s v="MBA"/>
    <s v="3rd"/>
    <n v="15.3026"/>
    <n v="120.652"/>
    <s v="15.3026,120.652"/>
    <s v="LGU FUNDED MRF"/>
    <m/>
    <s v="N/A"/>
    <s v="N/A"/>
    <s v="3.March"/>
    <s v="Gretzhen M. Apolonio"/>
    <m/>
    <s v="Ryan Christian R. Nunag"/>
    <s v="R3-2025-008105"/>
    <d v="2025-03-04T00:00:00"/>
    <d v="2025-03-10T00:00:00"/>
    <d v="2025-03-10T00:00:00"/>
    <d v="2025-03-10T00:00:00"/>
    <d v="2025-03-12T00:00:00"/>
    <n v="4"/>
    <n v="1"/>
    <n v="1"/>
    <n v="2"/>
    <s v="Received by Planning"/>
    <n v="45"/>
    <s v="Composer, Shedder"/>
    <s v="Biodegradable, Recyclables, Residual"/>
    <m/>
    <m/>
    <e v="#DIV/0!"/>
    <s v="OPERATIONAL"/>
    <m/>
    <s v="FFM"/>
    <m/>
    <m/>
    <m/>
    <m/>
    <m/>
    <m/>
    <m/>
    <m/>
  </r>
  <r>
    <x v="6"/>
    <s v="Concepcion"/>
    <s v="Sta. Rita"/>
    <s v="MBA"/>
    <s v="3rd"/>
    <n v="15.302671999999999"/>
    <n v="120.652235"/>
    <s v="15.302672,120.652235"/>
    <s v="EMB FUNDED MRF"/>
    <n v="1"/>
    <n v="2019"/>
    <n v="502714.29"/>
    <s v="11.November"/>
    <s v="Gretzhen M. Apolonio"/>
    <s v="Sherwin John Y. Loquellano"/>
    <s v="Jan Emerson C. Gonzales"/>
    <s v="R3-2025-037108"/>
    <d v="2025-11-05T00:00:00"/>
    <d v="2025-11-05T00:00:00"/>
    <d v="2025-11-05T00:00:00"/>
    <d v="2025-11-05T00:00:00"/>
    <d v="2025-11-17T00:00:00"/>
    <n v="1"/>
    <n v="1"/>
    <n v="1"/>
    <n v="8"/>
    <s v="Received by Planning"/>
    <n v="45"/>
    <s v="Conveyor, Bio-Shredder, Bio-Composter, "/>
    <s v="Biodegradable, Recyclable, Residual"/>
    <s v="no records"/>
    <n v="89631.13"/>
    <e v="#VALUE!"/>
    <s v="OPERATIONAL"/>
    <s v="Returned Funds"/>
    <m/>
    <m/>
    <m/>
    <m/>
    <m/>
    <m/>
    <m/>
    <m/>
    <m/>
  </r>
  <r>
    <x v="6"/>
    <s v="Lapaz"/>
    <s v="Sierra"/>
    <s v="MBA"/>
    <s v="3rd"/>
    <n v="15.42272"/>
    <n v="120.708189"/>
    <s v="15.42272,120.708189"/>
    <s v="EMB FUNDED MRF"/>
    <n v="1"/>
    <n v="2019"/>
    <n v="502714.29"/>
    <s v="9.September"/>
    <s v="Gretzhen M. Apolonio"/>
    <m/>
    <s v="Rod Ross S. De Jesus"/>
    <s v="R3-2025-030930"/>
    <d v="2025-09-10T00:00:00"/>
    <d v="2025-09-15T00:00:00"/>
    <m/>
    <d v="2025-09-17T00:00:00"/>
    <d v="2025-09-19T00:00:00"/>
    <n v="3"/>
    <s v=""/>
    <n v="2"/>
    <n v="2"/>
    <s v="Received by Planning"/>
    <n v="18"/>
    <s v="Weighing scale, Biowaste Granulating Machine, Bottle Crusher, Plastic Granulating Machine, Bricks Mixer Machine, Rotary Mixer, Biowaste shredder, Plastic shredder, Rotary composter, Bricks maker/molder"/>
    <s v="Bidegradable, Recyclable, Residual"/>
    <n v="432"/>
    <n v="80.97"/>
    <n v="5.335309373842164"/>
    <s v="OPERATIONAL"/>
    <m/>
    <m/>
    <m/>
    <m/>
    <m/>
    <m/>
    <m/>
    <m/>
    <m/>
    <m/>
  </r>
  <r>
    <x v="6"/>
    <s v="Tarlac City"/>
    <s v="Tibag"/>
    <s v="MBA"/>
    <s v="2nd"/>
    <n v="15.487158000000001"/>
    <n v="120.571386"/>
    <s v="15.487158,120.571386"/>
    <s v="EMB FUNDED MRF"/>
    <n v="1"/>
    <n v="2019"/>
    <n v="502714.29"/>
    <s v="8.August"/>
    <s v="Joshua A. Capones"/>
    <m/>
    <s v="Rod Ross S. De Jesus"/>
    <s v="R3-2025-026781"/>
    <d v="2025-08-08T00:00:00"/>
    <d v="2025-08-11T00:00:00"/>
    <m/>
    <d v="2025-08-13T00:00:00"/>
    <d v="2025-08-13T00:00:00"/>
    <n v="1"/>
    <s v=""/>
    <n v="2"/>
    <n v="1"/>
    <s v="Received by Planning"/>
    <m/>
    <m/>
    <m/>
    <m/>
    <m/>
    <e v="#DIV/0!"/>
    <s v="NON-OPERATIONAL"/>
    <s v="The MRF is not operational; according to staff, its operation is still undefined, but the LGU plans to resume its operation soon. In the meantime, waste is temporarily being collected and brought to an alternative disposal site, while the LGU finalizes operational guidelines for the facility"/>
    <m/>
    <m/>
    <m/>
    <m/>
    <m/>
    <m/>
    <m/>
    <m/>
    <m/>
  </r>
  <r>
    <x v="6"/>
    <s v="Anao"/>
    <s v="San Jose South"/>
    <s v="OUTSIDE MBA"/>
    <s v="1st"/>
    <n v="15.706099999999999"/>
    <n v="120.629"/>
    <s v="15.7061,120.629"/>
    <s v="LGU FUNDED MRF"/>
    <m/>
    <s v="N/A"/>
    <s v="N/A"/>
    <s v="7.July"/>
    <s v="Jasper Kieht B. Pili"/>
    <m/>
    <m/>
    <s v="R3-2025-024269_x000a_R3-2025-030015"/>
    <d v="2025-07-18T00:00:00"/>
    <d v="2025-07-18T00:00:00"/>
    <m/>
    <d v="2025-07-18T00:00:00"/>
    <d v="2025-07-18T00:00:00"/>
    <n v="1"/>
    <s v=""/>
    <n v="1"/>
    <n v="1"/>
    <s v="Received by Planning"/>
    <n v="18"/>
    <s v="Rotary Mixer, Biowaste Shedder, Vermicompisting Bed"/>
    <s v="Biodegradable, Recyclable, Residual with Potential"/>
    <s v="No records"/>
    <m/>
    <e v="#VALUE!"/>
    <s v="OPERATIONAL"/>
    <m/>
    <m/>
    <m/>
    <m/>
    <m/>
    <m/>
    <m/>
    <m/>
    <m/>
    <m/>
  </r>
  <r>
    <x v="6"/>
    <s v="Camiling"/>
    <s v="Bacsay"/>
    <s v="OUTSIDE MBA"/>
    <s v="1st"/>
    <n v="15.629300000000001"/>
    <n v="120.35299999999999"/>
    <s v="15.6293,120.353"/>
    <s v="LGU FUNDED MRF"/>
    <m/>
    <s v="N/A"/>
    <s v="N/A"/>
    <s v="2.February"/>
    <s v="Jasper Kieht B. Pili"/>
    <m/>
    <s v="Ryan Christian R. Nunag"/>
    <s v="R3-2025-005922"/>
    <d v="2025-02-18T00:00:00"/>
    <d v="2025-02-18T00:00:00"/>
    <d v="2025-02-18T00:00:00"/>
    <d v="2025-02-18T00:00:00"/>
    <d v="2025-02-19T00:00:00"/>
    <n v="1"/>
    <n v="1"/>
    <n v="1"/>
    <n v="1"/>
    <s v="Received by Planning"/>
    <m/>
    <s v="`"/>
    <s v="Biodegradble, Recyclable"/>
    <s v="N/A"/>
    <s v="N/A"/>
    <e v="#VALUE!"/>
    <s v="OPERATIONAL"/>
    <m/>
    <m/>
    <m/>
    <m/>
    <m/>
    <m/>
    <m/>
    <m/>
    <m/>
    <m/>
  </r>
  <r>
    <x v="6"/>
    <s v="Victoria"/>
    <s v="Bantog"/>
    <s v="MBA"/>
    <s v="2nd"/>
    <n v="15.619199999999999"/>
    <n v="120.6841"/>
    <s v="15.6192,120.6841"/>
    <s v="EMB FUNDED MRF"/>
    <n v="2"/>
    <s v="2019 &amp; 2021"/>
    <s v="502714.29 &amp; 179444.44"/>
    <s v="10.October"/>
    <s v="Joshua A. Capones"/>
    <m/>
    <s v="Jan Emerson C. Gonzales"/>
    <s v="R3-2025-034347"/>
    <d v="2025-10-10T00:00:00"/>
    <d v="2025-10-12T00:00:00"/>
    <m/>
    <d v="2025-10-14T00:00:00"/>
    <d v="2025-10-14T00:00:00"/>
    <n v="1"/>
    <s v=""/>
    <n v="1"/>
    <n v="1"/>
    <s v="Received by Planning"/>
    <n v="26"/>
    <s v="Weigh scale, Converyor, Brix Mixer, Rotary Mixer, Bio waste shreder, Bio Composter, Charcoal Briquetting"/>
    <s v="Biodegradable, recyclable, residual"/>
    <s v="No records"/>
    <s v="No records"/>
    <e v="#VALUE!"/>
    <s v="OPERATIONAL"/>
    <m/>
    <m/>
    <m/>
    <m/>
    <m/>
    <m/>
    <m/>
    <m/>
    <m/>
    <m/>
  </r>
  <r>
    <x v="6"/>
    <s v="Gerona"/>
    <s v="Tagumbao"/>
    <s v="OUTSIDE MBA"/>
    <s v="2nd"/>
    <n v="15.5982"/>
    <n v="120.556"/>
    <s v="15.5982,120.556"/>
    <s v="LGU FUNDED MRF"/>
    <m/>
    <s v="N/A"/>
    <s v="N/A"/>
    <s v="5.May"/>
    <s v="Joshua A. Capones"/>
    <m/>
    <m/>
    <s v="R3-2025-016673"/>
    <d v="2025-05-16T00:00:00"/>
    <d v="2025-05-19T00:00:00"/>
    <d v="2025-05-19T00:00:00"/>
    <d v="2025-05-19T00:00:00"/>
    <d v="2025-05-20T00:00:00"/>
    <n v="1"/>
    <n v="1"/>
    <n v="1"/>
    <n v="1"/>
    <s v="Received by Planning"/>
    <n v="44"/>
    <s v="Weighing scale, Biowaste Granulating Machine, Rotary Mixer, Biowaste shredder , Rotary composter"/>
    <s v="Biodegradable"/>
    <s v="N/A"/>
    <s v="N/A"/>
    <e v="#VALUE!"/>
    <s v="OPERATIONAL"/>
    <s v="•_x0009_The Materials Recovery Facility (MRF) processes only biodegradable waste. Residual waste is temporarily stored at the transfer station before being hauled and disposed of at the MAA Integrated Waste Management Corporation’s sanitary landfill."/>
    <s v="Non-Compliant"/>
    <m/>
    <m/>
    <m/>
    <m/>
    <m/>
    <m/>
    <m/>
    <m/>
  </r>
  <r>
    <x v="6"/>
    <s v="Mayantoc"/>
    <s v="Poblacion Norte"/>
    <s v="OUTSIDE MBA"/>
    <s v="1st"/>
    <n v="15.6258"/>
    <n v="120.378"/>
    <s v="15.6258,120.378"/>
    <s v="LGU FUNDED MRF"/>
    <m/>
    <s v="N/A"/>
    <s v="N/A"/>
    <s v="2.February"/>
    <s v="Jasper Kieht B. Pili"/>
    <m/>
    <s v="Ryan Christian R. Nunag"/>
    <s v="R3-2025-005917"/>
    <d v="2025-02-18T00:00:00"/>
    <d v="2025-02-18T00:00:00"/>
    <m/>
    <d v="2025-02-18T00:00:00"/>
    <d v="2025-02-18T00:00:00"/>
    <n v="1"/>
    <s v=""/>
    <n v="1"/>
    <n v="1"/>
    <s v="Received by Planning"/>
    <m/>
    <s v=" Biowaste Shedder, Rotary Composter and Eco Briks maker"/>
    <s v="Recyclable"/>
    <s v="N/A"/>
    <s v="N/A"/>
    <e v="#VALUE!"/>
    <s v="OPERATIONAL"/>
    <m/>
    <m/>
    <m/>
    <m/>
    <m/>
    <m/>
    <m/>
    <m/>
    <m/>
    <m/>
  </r>
  <r>
    <x v="6"/>
    <s v="Moncada"/>
    <s v="Burgos"/>
    <s v="OUTSIDE MBA"/>
    <s v="1st"/>
    <n v="15.7326"/>
    <n v="120.584"/>
    <s v="15.7326,120.584"/>
    <s v="LGU FUNDED MRF"/>
    <m/>
    <s v="N/A"/>
    <s v="N/A"/>
    <s v="9.September"/>
    <s v="Joshua A. Capones"/>
    <m/>
    <s v="Rod Ross S. De Jesus"/>
    <s v="R3-2025-031608"/>
    <d v="2025-09-17T00:00:00"/>
    <d v="2025-09-18T00:00:00"/>
    <m/>
    <d v="2025-09-18T00:00:00"/>
    <d v="2025-09-18T00:00:00"/>
    <n v="1"/>
    <s v=""/>
    <n v="1"/>
    <n v="1"/>
    <s v="Received by Planning"/>
    <n v="37"/>
    <s v="Weighing scale, Heavy-duty weighing scale, Bottle Crusher, Biowaste shredder, Glass shredder/ pulverizer, Rotary composter, Bricks maker/molder"/>
    <s v="Biodegradable waste,Recyclables,Special Waste,Residual Wastes"/>
    <n v="653.53"/>
    <n v="703.34"/>
    <n v="0.92918076605908939"/>
    <s v="OPERATIONAL"/>
    <m/>
    <s v="Compliant"/>
    <m/>
    <m/>
    <m/>
    <m/>
    <m/>
    <m/>
    <m/>
    <m/>
  </r>
  <r>
    <x v="6"/>
    <s v="Paniqui"/>
    <s v="Dapdap"/>
    <s v="OUTSIDE MBA"/>
    <s v="1st"/>
    <n v="15.6434"/>
    <n v="120.56100000000001"/>
    <s v="15.6434,120.561"/>
    <s v="LGU FUNDED MRF"/>
    <m/>
    <s v="N/A"/>
    <s v="N/A"/>
    <s v="6.June"/>
    <s v="Joshua A. Capones"/>
    <m/>
    <m/>
    <s v="R3-2025-020272"/>
    <d v="2025-06-17T00:00:00"/>
    <d v="2025-06-18T00:00:00"/>
    <m/>
    <d v="2025-06-19T00:00:00"/>
    <d v="2025-06-19T00:00:00"/>
    <n v="1"/>
    <s v=""/>
    <n v="1"/>
    <n v="1"/>
    <s v="Received by Planning"/>
    <n v="35"/>
    <s v="Rotary Mixer, Biowaste Shedder, Rotary Composter"/>
    <s v="N/A"/>
    <s v="N/A"/>
    <m/>
    <e v="#VALUE!"/>
    <s v="UNDER CONSTRUCTION"/>
    <s v="The canopy of the Materials Recovery Facility (MRF) is currently under construction to improve the facility's infrastructure."/>
    <m/>
    <m/>
    <m/>
    <m/>
    <m/>
    <m/>
    <m/>
    <m/>
    <m/>
  </r>
  <r>
    <x v="6"/>
    <s v="Pura"/>
    <s v="Matindeg"/>
    <s v="OUTSIDE MBA"/>
    <s v="1st"/>
    <n v="15.616"/>
    <n v="120.652"/>
    <s v="15.616,120.652"/>
    <s v="LGU FUNDED MRF"/>
    <m/>
    <s v="N/A"/>
    <s v="N/A"/>
    <s v="10.October"/>
    <s v="Joshua A. Capones"/>
    <m/>
    <s v="Jan Emerson C. Gonzales"/>
    <s v="R3-2025-034348"/>
    <d v="2025-10-10T00:00:00"/>
    <d v="2025-10-12T00:00:00"/>
    <m/>
    <d v="2025-10-14T00:00:00"/>
    <d v="2025-10-14T00:00:00"/>
    <n v="1"/>
    <s v=""/>
    <n v="1"/>
    <n v="1"/>
    <s v="Received by Planning"/>
    <n v="16"/>
    <s v="Weigh scale,  Bio Shredder, Bio Composter, Vermicomposting"/>
    <s v="Biodegradable"/>
    <n v="10.34"/>
    <n v="1006"/>
    <n v="1.0278330019880716E-2"/>
    <s v="OPERATIONAL"/>
    <m/>
    <m/>
    <m/>
    <m/>
    <m/>
    <m/>
    <m/>
    <m/>
    <m/>
    <m/>
  </r>
  <r>
    <x v="6"/>
    <s v="Ramos"/>
    <s v="Pance"/>
    <s v="OUTSIDE MBA"/>
    <s v="1st"/>
    <n v="15.686446"/>
    <n v="120.630807"/>
    <s v="15.686446,120.630807"/>
    <s v="LGU FUNDED MRF"/>
    <m/>
    <s v="N/A"/>
    <s v="N/A"/>
    <s v="4.April"/>
    <s v="Jasper Kieht B. Pili"/>
    <s v="Ryan Christian R. Nunag"/>
    <s v="Rod Ross S. De Jesus"/>
    <s v="R3-2025-011545"/>
    <d v="2025-04-03T00:00:00"/>
    <d v="2025-04-07T00:00:00"/>
    <d v="2025-04-07T00:00:00"/>
    <d v="2025-04-07T00:00:00"/>
    <d v="2025-04-10T00:00:00"/>
    <n v="2"/>
    <n v="1"/>
    <n v="1"/>
    <n v="3"/>
    <s v="Received by Planning"/>
    <n v="9"/>
    <s v="Bottle Crusher, Rotary Mixer, Biowaste shredder, Rotary composter"/>
    <m/>
    <m/>
    <m/>
    <e v="#DIV/0!"/>
    <s v="OPERATIONAL"/>
    <m/>
    <m/>
    <m/>
    <m/>
    <m/>
    <m/>
    <m/>
    <m/>
    <m/>
    <m/>
  </r>
  <r>
    <x v="6"/>
    <s v="San Clemente"/>
    <s v="Nagsabaran"/>
    <s v="OUTSIDE MBA"/>
    <s v="1st"/>
    <n v="15.6845"/>
    <n v="120.361"/>
    <s v="15.6845,120.361"/>
    <s v="LGU FUNDED MRF"/>
    <m/>
    <s v="N/A"/>
    <s v="N/A"/>
    <s v="9.September"/>
    <s v="Jasper Kieht B. Pili"/>
    <m/>
    <s v="Jan Emerson C. Gonzales"/>
    <s v="R3-2025-030077"/>
    <d v="2025-09-03T00:00:00"/>
    <d v="2025-09-18T00:00:00"/>
    <d v="2025-09-25T00:00:00"/>
    <d v="2025-10-10T00:00:00"/>
    <d v="2025-10-10T00:00:00"/>
    <n v="11"/>
    <n v="5"/>
    <n v="11"/>
    <n v="1"/>
    <s v="Received by Planning"/>
    <n v="12"/>
    <s v="Bio Shredder, Bio Composter, Vermi composting"/>
    <s v="Biodegradable. Recyclable, Residual with Potential"/>
    <n v="0"/>
    <n v="6500"/>
    <n v="0"/>
    <s v="OPERATIONAL"/>
    <m/>
    <m/>
    <m/>
    <m/>
    <m/>
    <m/>
    <m/>
    <m/>
    <m/>
    <m/>
  </r>
  <r>
    <x v="6"/>
    <s v="San Manuel"/>
    <s v="Lanat"/>
    <s v="OUTSIDE MBA"/>
    <m/>
    <n v="15.78931"/>
    <n v="120.60471"/>
    <s v="15.78931,120.60471 "/>
    <s v="LGU FUNDED MRF"/>
    <m/>
    <m/>
    <m/>
    <s v="8.August"/>
    <s v="Jasper Kieht B. Pili"/>
    <m/>
    <s v="Rod Ross S. De Jesus"/>
    <s v="R3-2025-027896"/>
    <d v="2025-08-07T00:00:00"/>
    <d v="2025-08-18T00:00:00"/>
    <m/>
    <d v="2025-08-18T00:00:00"/>
    <d v="2025-08-19T00:00:00"/>
    <n v="7"/>
    <s v=""/>
    <n v="1"/>
    <n v="1"/>
    <s v="Received by Planning"/>
    <m/>
    <m/>
    <m/>
    <m/>
    <m/>
    <m/>
    <s v="NON-OPERATIONAL"/>
    <s v="The Materials Recovery Facility is currently not operational and is scheduled for relocation as per MENRO."/>
    <m/>
    <m/>
    <m/>
    <m/>
    <m/>
    <m/>
    <m/>
    <m/>
    <m/>
  </r>
  <r>
    <x v="6"/>
    <s v="Sta Ignacia"/>
    <s v="Poblacion sur"/>
    <s v="OUTSIDE MBA"/>
    <s v="1st"/>
    <n v="15.606"/>
    <n v="120.437"/>
    <s v="15.606,120.437"/>
    <s v="LGU FUNDED MRF"/>
    <m/>
    <s v="N/A"/>
    <s v="N/A"/>
    <s v="11.November"/>
    <s v="Joshua A. Capones"/>
    <s v="Sherwin John Y. Loquellano"/>
    <s v="Jan Emerson C. Gonzales"/>
    <s v="R3-2025-036557"/>
    <d v="2025-10-30T00:00:00"/>
    <d v="2025-10-31T00:00:00"/>
    <d v="2025-11-03T00:00:00"/>
    <d v="2025-11-03T00:00:00"/>
    <d v="2025-11-03T00:00:00"/>
    <n v="1"/>
    <n v="1"/>
    <n v="1"/>
    <n v="1"/>
    <s v="Received by Planning"/>
    <n v="24"/>
    <s v="Bio-shredder, Bio-composter, Vermi composting"/>
    <s v="Biodegradable, Recyclable, Residual"/>
    <n v="28412.7"/>
    <n v="34570"/>
    <n v="0.82188892102979461"/>
    <s v="OPERATIONAL"/>
    <m/>
    <m/>
    <m/>
    <m/>
    <m/>
    <m/>
    <m/>
    <m/>
    <m/>
    <m/>
  </r>
  <r>
    <x v="6"/>
    <s v="Victoria"/>
    <s v="Palacpalac"/>
    <s v="MBA"/>
    <m/>
    <m/>
    <m/>
    <s v="15.527747,120.706851"/>
    <s v="LGU FUNDED MRF"/>
    <m/>
    <m/>
    <m/>
    <s v="7.July"/>
    <s v="Gretzhen M. Apolonio"/>
    <m/>
    <s v="Rod Ross S. De Jesus"/>
    <s v="R3-2025-024306"/>
    <d v="2025-07-18T00:00:00"/>
    <d v="2025-07-18T00:00:00"/>
    <m/>
    <d v="2025-07-21T00:00:00"/>
    <d v="2025-07-21T00:00:00"/>
    <n v="1"/>
    <s v=""/>
    <n v="1"/>
    <n v="1"/>
    <s v="Received by Planning"/>
    <n v="26"/>
    <s v="Heavy duty - Weighing Scale, Conveyor, Bricks Mixer Machine, Rotary Mixer, Biowaste Shedder, Rotary Composter, Plastic Molder"/>
    <s v="Biodegradable, Recyclable, Residual with Potential"/>
    <m/>
    <m/>
    <m/>
    <s v="OPERATIONAL"/>
    <m/>
    <m/>
    <m/>
    <m/>
    <m/>
    <m/>
    <m/>
    <m/>
    <m/>
    <m/>
  </r>
  <r>
    <x v="4"/>
    <s v="Botolan"/>
    <s v="Carael"/>
    <s v="OUTSIDE MBA"/>
    <s v="2nd"/>
    <m/>
    <m/>
    <m/>
    <s v="LGU FUNDED MRF"/>
    <m/>
    <m/>
    <m/>
    <m/>
    <m/>
    <m/>
    <m/>
    <m/>
    <m/>
    <m/>
    <m/>
    <m/>
    <m/>
    <m/>
    <m/>
    <m/>
    <m/>
    <m/>
    <m/>
    <m/>
    <m/>
    <m/>
    <m/>
    <e v="#REF!"/>
    <m/>
    <m/>
    <m/>
    <m/>
    <m/>
    <m/>
    <m/>
    <m/>
    <m/>
    <m/>
    <m/>
  </r>
  <r>
    <x v="4"/>
    <s v="Cabangan"/>
    <s v="San Juan"/>
    <s v="OUTSIDE MBA"/>
    <s v="2nd"/>
    <n v="15.160399999999999"/>
    <n v="120.075"/>
    <s v="15.1604,120.075"/>
    <s v="LGU FUNDED MRF"/>
    <m/>
    <s v="N/A"/>
    <s v="N/A"/>
    <s v="7.July"/>
    <s v="Larizze Anne Santos"/>
    <s v="Ryan Christian R. Nunag"/>
    <s v="Jun D. Guillermo"/>
    <s v="R3-2025-023489"/>
    <d v="2025-07-11T00:00:00"/>
    <d v="2025-07-14T00:00:00"/>
    <d v="2025-07-16T00:00:00"/>
    <d v="2025-07-16T00:00:00"/>
    <d v="2025-07-17T00:00:00"/>
    <n v="1"/>
    <n v="2"/>
    <n v="2"/>
    <n v="1"/>
    <s v="Received by Planning"/>
    <n v="22"/>
    <s v="Bio Sjredder. Bio Composter"/>
    <s v="Residual Waste"/>
    <s v="No Data"/>
    <s v="No Data"/>
    <e v="#VALUE!"/>
    <s v="OPERATIONAL"/>
    <m/>
    <s v="Non-Compliant"/>
    <s v="•_x0009_There are 4 bins of Green Rescue Environmental Solutions sited in the area. The bins are placed in an open area without proper cover."/>
    <s v="yes"/>
    <m/>
    <m/>
    <m/>
    <m/>
    <m/>
    <m/>
  </r>
  <r>
    <x v="4"/>
    <s v="Candelaria"/>
    <s v="Pinagrealan"/>
    <s v="OUTSIDE MBA"/>
    <s v="2nd"/>
    <n v="15.598236"/>
    <n v="119.974841"/>
    <s v="15.598236,119.974841"/>
    <s v="LGU FUNDED MRF"/>
    <m/>
    <s v="N/A"/>
    <s v="N/A"/>
    <s v="6.June"/>
    <s v="Ryan Ace R. Angel"/>
    <s v="Ryan Christian R. Nunag"/>
    <s v="Jun D. Guillermo"/>
    <s v="R3-2025-019816"/>
    <d v="2025-06-13T00:00:00"/>
    <d v="2025-06-16T00:00:00"/>
    <d v="2025-06-17T00:00:00"/>
    <d v="2025-06-18T00:00:00"/>
    <d v="2025-06-18T00:00:00"/>
    <n v="1"/>
    <n v="1"/>
    <n v="2"/>
    <n v="1"/>
    <s v="Received by Planning"/>
    <n v="16"/>
    <s v="Biowaste shredder_x000a_Plastic shredder_x000a_Rotary composter"/>
    <s v="Bio, Recyclables, Residual"/>
    <s v="No Data"/>
    <s v="No Data"/>
    <e v="#VALUE!"/>
    <s v="OPERATIONAL"/>
    <m/>
    <m/>
    <m/>
    <m/>
    <m/>
    <m/>
    <m/>
    <m/>
    <m/>
    <m/>
  </r>
  <r>
    <x v="4"/>
    <s v="Castillejos"/>
    <s v="Nagbayan"/>
    <s v="OUTSIDE MBA"/>
    <s v="1st"/>
    <n v="14.925181"/>
    <n v="120.14849599999999"/>
    <s v="14.925181,120.148496"/>
    <s v="LGU FUNDED MRF"/>
    <m/>
    <s v="N/A"/>
    <s v="N/A"/>
    <s v="6.June"/>
    <m/>
    <s v="Ryan Christian R. Nunag"/>
    <s v="Jun D. Guillermo"/>
    <s v="R3-2025-017870"/>
    <d v="2025-05-27T00:00:00"/>
    <d v="2025-05-28T00:00:00"/>
    <d v="2025-05-28T00:00:00"/>
    <d v="2025-05-28T00:00:00"/>
    <d v="2025-05-30T00:00:00"/>
    <n v="1"/>
    <n v="1"/>
    <n v="1"/>
    <n v="2"/>
    <s v="Received by Planning"/>
    <n v="14"/>
    <s v="Bioshredder, Plastic Shredder"/>
    <s v="Mixed, Recylcable, Residual Waste"/>
    <s v="No Data"/>
    <s v="No Data"/>
    <e v="#VALUE!"/>
    <s v="OPERATIONAL"/>
    <m/>
    <s v="Non-Compliant"/>
    <m/>
    <s v="yes"/>
    <m/>
    <m/>
    <m/>
    <m/>
    <m/>
    <m/>
  </r>
  <r>
    <x v="4"/>
    <s v="Iba"/>
    <s v="Amungan"/>
    <s v="OUTSIDE MBA"/>
    <s v="2nd"/>
    <n v="15.3963"/>
    <n v="120.02500000000001"/>
    <s v="15.3963,120.025"/>
    <s v="LGU FUNDED MRF"/>
    <m/>
    <s v="N/A"/>
    <s v="N/A"/>
    <s v="4.April"/>
    <s v="Larizze Anne Santos"/>
    <s v="Ryan Christian R. Nunag"/>
    <s v="Jun D. Guillermo"/>
    <s v="R3-2025-011717"/>
    <d v="2025-04-02T00:00:00"/>
    <d v="2025-04-07T00:00:00"/>
    <d v="2025-04-08T00:00:00"/>
    <d v="2025-04-08T00:00:00"/>
    <d v="2025-04-08T00:00:00"/>
    <n v="3"/>
    <n v="1"/>
    <n v="1"/>
    <n v="1"/>
    <s v="Received by Planning"/>
    <n v="14"/>
    <s v="Conveyor ☐ Biowaste shredder  _x000a_☐ Plastic shredder _x000a_Rotary composter "/>
    <s v="Biodegradable waste,Recyclables,Residual Wastes"/>
    <n v="2465"/>
    <n v="8400"/>
    <n v="0.29345238095238096"/>
    <s v="OPERATIONAL"/>
    <m/>
    <m/>
    <m/>
    <m/>
    <m/>
    <m/>
    <m/>
    <m/>
    <m/>
    <m/>
  </r>
  <r>
    <x v="4"/>
    <s v="Masinloc"/>
    <s v="Baloganon"/>
    <s v="OUTSIDE MBA"/>
    <s v="2nd"/>
    <n v="15.582169"/>
    <n v="119.989266"/>
    <s v="15.582169,119.989266"/>
    <s v="LGU FUNDED MRF"/>
    <m/>
    <s v="N/A"/>
    <s v="N/A"/>
    <s v="9.September"/>
    <s v="Ryan Ace R. Angel"/>
    <s v="Ryan Christian R. Nunag"/>
    <s v="Jun D. Guillermo"/>
    <s v="R3-2025-031096"/>
    <d v="2025-09-12T00:00:00"/>
    <d v="2025-09-15T00:00:00"/>
    <d v="2025-09-17T00:00:00"/>
    <d v="2025-09-17T00:00:00"/>
    <d v="2025-09-17T00:00:00"/>
    <n v="1"/>
    <n v="2"/>
    <n v="2"/>
    <n v="1"/>
    <s v="Received by Planning"/>
    <n v="13"/>
    <s v="Weighing scale_x000a_Conveyor_x000a_Bottle Crusher_x000a_Biowaste shredder_x000a_Plastic shredder_x000a_ Glass shredder/ pulverizer_x000a_Rotary composter_x000a_Windrows for composting_x000a__x000a_"/>
    <s v="Biodegradable waste,Recyclables,Special Waste,Residual Wastes"/>
    <n v="1567.6112000000001"/>
    <n v="2060.6111999999998"/>
    <n v="0.76075059671615886"/>
    <s v="OPERATIONAL"/>
    <m/>
    <m/>
    <m/>
    <m/>
    <m/>
    <m/>
    <m/>
    <m/>
    <m/>
    <m/>
  </r>
  <r>
    <x v="4"/>
    <s v="Olongapo City"/>
    <s v="New Cabalan"/>
    <s v="OUTSIDE MBA"/>
    <s v="1st"/>
    <n v="14.8462"/>
    <n v="120.32899999999999"/>
    <s v="14.8462,120.329"/>
    <s v="LGU FUNDED MRF"/>
    <m/>
    <s v="N/A"/>
    <s v="N/A"/>
    <s v="5.May"/>
    <m/>
    <s v="Ryan Christian R. Nunag"/>
    <s v="Jun D. Guillermo"/>
    <s v="R3-2025-017012"/>
    <d v="2025-05-16T00:00:00"/>
    <d v="2025-05-16T00:00:00"/>
    <d v="2025-05-20T00:00:00"/>
    <d v="2025-05-20T00:00:00"/>
    <d v="2025-05-20T00:00:00"/>
    <n v="1"/>
    <n v="2"/>
    <n v="2"/>
    <n v="1"/>
    <s v="Received by Planning"/>
    <n v="17"/>
    <s v="Weighing scale, Biowaste Granulating Machine, Rotary Mixer, Biowaste shredder , Rotary composter"/>
    <s v="Bio, Rcyclable,Residual"/>
    <s v="No Data"/>
    <s v="No Data"/>
    <e v="#VALUE!"/>
    <s v="OPERATIONAL"/>
    <s v="No updated records for waste diversion"/>
    <s v="Compliant"/>
    <m/>
    <m/>
    <m/>
    <m/>
    <m/>
    <m/>
    <m/>
    <m/>
  </r>
  <r>
    <x v="4"/>
    <s v="San Antonio"/>
    <s v="Pundaquit"/>
    <s v="OUTSIDE MBA"/>
    <s v="2nd"/>
    <n v="14.9305"/>
    <n v="120.075"/>
    <s v="14.9305,120.075"/>
    <s v="LGU FUNDED MRF"/>
    <m/>
    <s v="N/A"/>
    <s v="N/A"/>
    <s v="3.March"/>
    <s v="Larizze Anne Santos"/>
    <s v="Ryan Christian R. Nunag"/>
    <s v="Jun D. Guillermo"/>
    <s v="R3-2025-008286_x0009_"/>
    <d v="2025-03-07T00:00:00"/>
    <d v="2025-03-10T00:00:00"/>
    <d v="2025-03-12T00:00:00"/>
    <d v="2025-03-13T00:00:00"/>
    <d v="2025-03-13T00:00:00"/>
    <n v="1"/>
    <n v="2"/>
    <n v="3"/>
    <n v="1"/>
    <s v="Received by Planning"/>
    <n v="14"/>
    <s v="Biowaste shredder /Conveyor/Bottle Crusher/Bricks Mixer Machine/Rotary Mixer/Plastic shredder/Glass shredder/ pulverizer/Rotary composter"/>
    <s v="Mixed Waste,Biodegradable waste,Recyclables,Residual Wastes"/>
    <s v="No Data"/>
    <s v="No Data"/>
    <e v="#VALUE!"/>
    <s v="OPERATIONAL"/>
    <m/>
    <s v="Non-Compliant"/>
    <s v="•_x0009_The collected residuals are temporary dumped directly on the gorund at the side of the MRF and hauled by their partner hauler every day (figure 3)_x000a_•_x0009_According to the MENRO, they used the side of the MRF for temporary sorting area of collected solid waste._x000a_•_x0009_No records of waste collected in the MRF. _x000a_"/>
    <s v="yes"/>
    <m/>
    <m/>
    <m/>
    <m/>
    <m/>
    <m/>
  </r>
  <r>
    <x v="4"/>
    <s v="San Marcelino"/>
    <s v="Linasin"/>
    <s v="OUTSIDE MBA"/>
    <s v="1st"/>
    <n v="14.9695"/>
    <n v="120.133"/>
    <s v="14.9695,120.133"/>
    <s v="LGU FUNDED MRF"/>
    <m/>
    <s v="N/A"/>
    <s v="N/A"/>
    <s v="2.February"/>
    <s v="Larizze Anne Santos"/>
    <s v="Ryan Christian R. Nunag"/>
    <s v="Jun D. Guillermo"/>
    <s v="R3-2025-003489"/>
    <d v="2025-01-28T00:00:00"/>
    <d v="2025-02-03T00:00:00"/>
    <d v="2025-02-05T00:00:00"/>
    <d v="2025-02-06T00:00:00"/>
    <d v="2025-02-07T00:00:00"/>
    <n v="4"/>
    <n v="2"/>
    <n v="3"/>
    <n v="1"/>
    <s v="Received by Planning"/>
    <n v="18"/>
    <s v="Weighing scale,Cartoon Pressing Machine,Biowaste shredder, Plastic shredder,Rotary composter,Bricks maker/molder,Plastic densifier"/>
    <s v="Biodegradable waste,Recyclables,Residual Wastes"/>
    <n v="104.6"/>
    <n v="1383.6"/>
    <n v="7.5599884359641517E-2"/>
    <s v="OPERATIONAL"/>
    <m/>
    <s v="Compliant"/>
    <s v="•_x0009_Upon entering the premises of the facility, a pungent smell was perceived._x000a_One (1) container bin, which was already fully loaded with garbage, was observed in the MRF._x000a_•_x0009_Accumulation of mixed wastes beyond the allowed capacity of the Municipal Materials Recovery Facility with an estimated of around 1537 cubic meters, was observed to have been stored inside the facility without any form of management system. The accumulated mixed waste is approximately 179 square meters with height of approximately 2.5 meters_x000a_•_x0009_It appeared that no segregation was observed; thus, mixed waste was present inside and outside the facility_x000a_•_x0009_ EMB-funded equipment that is composter was observed located beside the MRF._x000a_•_x0009_An adjacent dumpsite composed of mixed wastes covering approximately 79 square meters and a height of approximately 1.5 meters was observed_x000a_•_x0009_The solid waste was left exposed, potentially causing environmental and health hazards, and increased leachate generation during rainfall._x000a_•_x0009_The solid waste present in the dumpsite is in direct contact with the soil surface, which may cause soil and groundwater contamination_x000a_"/>
    <m/>
    <m/>
    <m/>
    <m/>
    <m/>
    <m/>
    <m/>
  </r>
  <r>
    <x v="4"/>
    <s v="Sta Cruz"/>
    <s v="Sabang"/>
    <s v="OUTSIDE MBA"/>
    <s v="2nd"/>
    <n v="15.733717"/>
    <n v="119.889397"/>
    <s v="15.733717,119.889397"/>
    <s v="LGU FUNDED MRF"/>
    <m/>
    <m/>
    <m/>
    <s v="9.September"/>
    <s v="Ryan Ace R. Angel"/>
    <s v="Ryan Christian R. Nunag"/>
    <s v="Jun D. Guillermo"/>
    <s v="R3-2025-030902"/>
    <d v="2025-09-12T00:00:00"/>
    <d v="2025-09-15T00:00:00"/>
    <d v="2025-09-16T00:00:00"/>
    <d v="2025-09-17T00:00:00"/>
    <d v="2025-09-17T00:00:00"/>
    <n v="1"/>
    <n v="1"/>
    <n v="2"/>
    <n v="1"/>
    <s v="Received by Planning"/>
    <n v="24"/>
    <s v="Weighing scale,Biowaste shredder, Rotary composter,Vermicomposting bed/bins"/>
    <s v="Mixed waste ,Biodegradable waste,Recyclables,Special Waste,Residual Wastes"/>
    <n v="1581.54"/>
    <n v="12387"/>
    <n v="0.12767740372971664"/>
    <s v="OPERATIONAL"/>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180842-6F01-4B90-9384-537A9FE94CD1}" name="PivotTable1" cacheId="1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G29" firstHeaderRow="1" firstDataRow="2" firstDataCol="1" rowPageCount="1" colPageCount="1"/>
  <pivotFields count="27">
    <pivotField axis="axisPage" compact="0" outline="0" showAll="0">
      <items count="9">
        <item h="1" x="0"/>
        <item h="1" x="1"/>
        <item h="1" x="2"/>
        <item x="3"/>
        <item h="1" x="4"/>
        <item h="1" x="5"/>
        <item h="1" x="6"/>
        <item h="1" x="7"/>
        <item t="default"/>
      </items>
    </pivotField>
    <pivotField axis="axisRow" compact="0" outline="0" showAll="0">
      <items count="131">
        <item x="8"/>
        <item x="45"/>
        <item x="98"/>
        <item x="21"/>
        <item x="77"/>
        <item x="78"/>
        <item x="79"/>
        <item x="80"/>
        <item x="9"/>
        <item x="22"/>
        <item x="0"/>
        <item x="23"/>
        <item x="99"/>
        <item x="24"/>
        <item x="46"/>
        <item x="116"/>
        <item x="25"/>
        <item x="26"/>
        <item x="47"/>
        <item x="117"/>
        <item x="48"/>
        <item x="27"/>
        <item x="100"/>
        <item x="81"/>
        <item x="118"/>
        <item x="101"/>
        <item x="49"/>
        <item x="1"/>
        <item x="119"/>
        <item x="11"/>
        <item x="10"/>
        <item x="50"/>
        <item x="28"/>
        <item x="29"/>
        <item x="51"/>
        <item x="82"/>
        <item x="30"/>
        <item x="102"/>
        <item x="52"/>
        <item x="2"/>
        <item x="3"/>
        <item x="13"/>
        <item x="4"/>
        <item x="5"/>
        <item x="31"/>
        <item x="83"/>
        <item x="53"/>
        <item x="54"/>
        <item x="55"/>
        <item x="103"/>
        <item x="84"/>
        <item x="32"/>
        <item x="56"/>
        <item x="33"/>
        <item x="14"/>
        <item x="120"/>
        <item x="57"/>
        <item x="104"/>
        <item x="58"/>
        <item x="59"/>
        <item x="15"/>
        <item x="60"/>
        <item x="85"/>
        <item x="61"/>
        <item x="86"/>
        <item x="87"/>
        <item x="88"/>
        <item x="6"/>
        <item x="34"/>
        <item x="16"/>
        <item x="89"/>
        <item x="121"/>
        <item x="105"/>
        <item x="90"/>
        <item x="91"/>
        <item x="106"/>
        <item x="17"/>
        <item x="62"/>
        <item x="35"/>
        <item x="36"/>
        <item x="122"/>
        <item x="18"/>
        <item x="12"/>
        <item x="123"/>
        <item x="37"/>
        <item x="107"/>
        <item x="63"/>
        <item x="38"/>
        <item x="64"/>
        <item x="19"/>
        <item x="39"/>
        <item x="92"/>
        <item x="40"/>
        <item x="108"/>
        <item x="65"/>
        <item x="109"/>
        <item x="66"/>
        <item x="20"/>
        <item x="67"/>
        <item x="110"/>
        <item x="124"/>
        <item x="41"/>
        <item x="68"/>
        <item x="111"/>
        <item x="69"/>
        <item x="70"/>
        <item x="7"/>
        <item x="112"/>
        <item x="125"/>
        <item x="42"/>
        <item x="126"/>
        <item x="43"/>
        <item x="93"/>
        <item x="71"/>
        <item x="72"/>
        <item x="94"/>
        <item x="95"/>
        <item x="73"/>
        <item x="96"/>
        <item x="127"/>
        <item x="113"/>
        <item x="44"/>
        <item x="97"/>
        <item x="128"/>
        <item x="74"/>
        <item x="75"/>
        <item x="114"/>
        <item x="115"/>
        <item x="76"/>
        <item x="129"/>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dataField="1" compact="0" outline="0" showAll="0">
      <items count="16">
        <item h="1" x="2"/>
        <item h="1" x="3"/>
        <item h="1" x="1"/>
        <item h="1" x="4"/>
        <item h="1" x="6"/>
        <item h="1" x="10"/>
        <item x="8"/>
        <item x="9"/>
        <item x="7"/>
        <item x="5"/>
        <item x="11"/>
        <item h="1" x="14"/>
        <item h="1" x="12"/>
        <item h="1" x="13"/>
        <item h="1"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25">
    <i>
      <x v="1"/>
    </i>
    <i>
      <x v="14"/>
    </i>
    <i>
      <x v="18"/>
    </i>
    <i>
      <x v="20"/>
    </i>
    <i>
      <x v="26"/>
    </i>
    <i>
      <x v="31"/>
    </i>
    <i>
      <x v="34"/>
    </i>
    <i>
      <x v="38"/>
    </i>
    <i>
      <x v="52"/>
    </i>
    <i>
      <x v="56"/>
    </i>
    <i>
      <x v="58"/>
    </i>
    <i>
      <x v="59"/>
    </i>
    <i>
      <x v="61"/>
    </i>
    <i>
      <x v="63"/>
    </i>
    <i>
      <x v="88"/>
    </i>
    <i>
      <x v="94"/>
    </i>
    <i>
      <x v="96"/>
    </i>
    <i>
      <x v="98"/>
    </i>
    <i>
      <x v="104"/>
    </i>
    <i>
      <x v="105"/>
    </i>
    <i>
      <x v="113"/>
    </i>
    <i>
      <x v="114"/>
    </i>
    <i>
      <x v="117"/>
    </i>
    <i>
      <x v="124"/>
    </i>
    <i t="grand">
      <x/>
    </i>
  </rowItems>
  <colFields count="1">
    <field x="9"/>
  </colFields>
  <colItems count="6">
    <i>
      <x v="6"/>
    </i>
    <i>
      <x v="7"/>
    </i>
    <i>
      <x v="8"/>
    </i>
    <i>
      <x v="9"/>
    </i>
    <i>
      <x v="10"/>
    </i>
    <i t="grand">
      <x/>
    </i>
  </colItems>
  <pageFields count="1">
    <pageField fld="0" item="3" hier="-1"/>
  </pageFields>
  <dataFields count="1">
    <dataField name="Count of Accomplishment for the month of"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55B401-F5A3-423E-B1BD-F2DCE47E2AC9}" name="PivotTable1" cacheId="1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2" firstHeaderRow="1" firstDataRow="1" firstDataCol="1"/>
  <pivotFields count="44">
    <pivotField axis="axisRow" compact="0" outline="0" showAll="0">
      <items count="9">
        <item x="0"/>
        <item x="1"/>
        <item x="2"/>
        <item x="3"/>
        <item x="5"/>
        <item x="7"/>
        <item x="6"/>
        <item x="4"/>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0"/>
  </rowFields>
  <rowItems count="9">
    <i>
      <x/>
    </i>
    <i>
      <x v="1"/>
    </i>
    <i>
      <x v="2"/>
    </i>
    <i>
      <x v="3"/>
    </i>
    <i>
      <x v="4"/>
    </i>
    <i>
      <x v="5"/>
    </i>
    <i>
      <x v="6"/>
    </i>
    <i>
      <x v="7"/>
    </i>
    <i t="grand">
      <x/>
    </i>
  </rowItems>
  <colItems count="1">
    <i/>
  </colItems>
  <dataFields count="1">
    <dataField name="Count of Manila Bay Area (MBA)"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7A285-3E9E-451A-9709-44396F07AAC3}">
  <sheetPr codeName="Sheet1"/>
  <dimension ref="A1:L26"/>
  <sheetViews>
    <sheetView workbookViewId="0">
      <selection activeCell="P12" sqref="P12"/>
    </sheetView>
  </sheetViews>
  <sheetFormatPr defaultRowHeight="15"/>
  <cols>
    <col min="2" max="2" width="17.28515625" customWidth="1"/>
    <col min="3" max="3" width="22.42578125" bestFit="1" customWidth="1"/>
    <col min="4" max="4" width="11.5703125" bestFit="1" customWidth="1"/>
    <col min="5" max="5" width="10.28515625" customWidth="1"/>
    <col min="6" max="6" width="10.85546875" customWidth="1"/>
    <col min="7" max="7" width="8.28515625" customWidth="1"/>
    <col min="8" max="8" width="7.5703125" customWidth="1"/>
    <col min="9" max="9" width="14.42578125" customWidth="1"/>
    <col min="11" max="11" width="12.140625" customWidth="1"/>
    <col min="12" max="12" width="30.28515625" customWidth="1"/>
  </cols>
  <sheetData>
    <row r="1" spans="1:12">
      <c r="A1" s="56" t="s">
        <v>0</v>
      </c>
      <c r="B1" s="28" t="s">
        <v>1</v>
      </c>
      <c r="C1" s="28" t="s">
        <v>2</v>
      </c>
      <c r="D1" s="58" t="s">
        <v>3</v>
      </c>
      <c r="E1" s="58" t="s">
        <v>4</v>
      </c>
      <c r="F1" s="58" t="s">
        <v>5</v>
      </c>
      <c r="G1" s="58" t="s">
        <v>6</v>
      </c>
      <c r="H1" s="58" t="s">
        <v>7</v>
      </c>
      <c r="I1" s="59" t="s">
        <v>8</v>
      </c>
      <c r="J1" s="59" t="s">
        <v>9</v>
      </c>
      <c r="K1" s="59" t="s">
        <v>10</v>
      </c>
      <c r="L1" s="59" t="s">
        <v>11</v>
      </c>
    </row>
    <row r="2" spans="1:12">
      <c r="A2" s="56">
        <v>1</v>
      </c>
      <c r="B2" s="28" t="s">
        <v>12</v>
      </c>
      <c r="C2" s="28" t="s">
        <v>13</v>
      </c>
      <c r="D2" s="56">
        <v>4</v>
      </c>
      <c r="E2" s="56">
        <v>12</v>
      </c>
      <c r="F2" s="56">
        <v>3</v>
      </c>
      <c r="G2" s="56">
        <v>1</v>
      </c>
      <c r="H2" s="56">
        <v>1</v>
      </c>
      <c r="I2" s="56"/>
      <c r="J2" s="56">
        <v>2</v>
      </c>
      <c r="K2" s="56"/>
      <c r="L2" s="56">
        <v>1</v>
      </c>
    </row>
    <row r="3" spans="1:12">
      <c r="A3" s="56">
        <v>2</v>
      </c>
      <c r="B3" s="28" t="s">
        <v>12</v>
      </c>
      <c r="C3" s="28" t="s">
        <v>14</v>
      </c>
      <c r="D3" s="56">
        <v>2</v>
      </c>
      <c r="E3" s="56">
        <v>4</v>
      </c>
      <c r="F3" s="56">
        <v>2</v>
      </c>
      <c r="G3" s="56"/>
      <c r="H3" s="56">
        <v>2</v>
      </c>
      <c r="I3" s="56"/>
      <c r="J3" s="56"/>
      <c r="K3" s="56"/>
      <c r="L3" s="56">
        <v>1</v>
      </c>
    </row>
    <row r="4" spans="1:12">
      <c r="A4" s="56">
        <v>3</v>
      </c>
      <c r="B4" s="28" t="s">
        <v>12</v>
      </c>
      <c r="C4" s="28" t="s">
        <v>15</v>
      </c>
      <c r="D4" s="56">
        <v>3</v>
      </c>
      <c r="E4" s="56">
        <v>3</v>
      </c>
      <c r="F4" s="56">
        <v>3</v>
      </c>
      <c r="G4" s="56"/>
      <c r="H4" s="56"/>
      <c r="I4" s="56"/>
      <c r="J4" s="56">
        <v>3</v>
      </c>
      <c r="K4" s="56"/>
      <c r="L4" s="56">
        <v>1</v>
      </c>
    </row>
    <row r="5" spans="1:12">
      <c r="A5" s="56">
        <v>4</v>
      </c>
      <c r="B5" s="28" t="s">
        <v>16</v>
      </c>
      <c r="C5" s="28" t="s">
        <v>17</v>
      </c>
      <c r="D5" s="56">
        <v>6</v>
      </c>
      <c r="E5" s="56">
        <v>10</v>
      </c>
      <c r="F5" s="56">
        <v>6</v>
      </c>
      <c r="G5" s="56">
        <v>2</v>
      </c>
      <c r="H5" s="56">
        <v>3</v>
      </c>
      <c r="I5" s="56"/>
      <c r="J5" s="56"/>
      <c r="K5" s="56"/>
      <c r="L5" s="56">
        <v>1</v>
      </c>
    </row>
    <row r="6" spans="1:12">
      <c r="A6" s="56">
        <v>5</v>
      </c>
      <c r="B6" s="28" t="s">
        <v>16</v>
      </c>
      <c r="C6" s="28" t="s">
        <v>18</v>
      </c>
      <c r="D6" s="56">
        <v>4</v>
      </c>
      <c r="E6" s="56">
        <v>4</v>
      </c>
      <c r="F6" s="56">
        <v>4</v>
      </c>
      <c r="G6" s="56">
        <v>3</v>
      </c>
      <c r="H6" s="56"/>
      <c r="I6" s="56"/>
      <c r="J6" s="56"/>
      <c r="K6" s="56"/>
      <c r="L6" s="56">
        <v>1</v>
      </c>
    </row>
    <row r="7" spans="1:12">
      <c r="A7" s="56">
        <v>6</v>
      </c>
      <c r="B7" s="28" t="s">
        <v>16</v>
      </c>
      <c r="C7" s="28" t="s">
        <v>19</v>
      </c>
      <c r="D7" s="56">
        <v>3</v>
      </c>
      <c r="E7" s="56">
        <v>12</v>
      </c>
      <c r="F7" s="56">
        <v>3</v>
      </c>
      <c r="G7" s="56">
        <v>2</v>
      </c>
      <c r="H7" s="56"/>
      <c r="I7" s="56">
        <v>1</v>
      </c>
      <c r="J7" s="56">
        <v>2</v>
      </c>
      <c r="K7" s="56"/>
      <c r="L7" s="56"/>
    </row>
    <row r="8" spans="1:12">
      <c r="A8" s="56">
        <v>7</v>
      </c>
      <c r="B8" s="28" t="s">
        <v>20</v>
      </c>
      <c r="C8" s="28" t="s">
        <v>21</v>
      </c>
      <c r="D8" s="56">
        <v>5</v>
      </c>
      <c r="E8" s="56">
        <v>7</v>
      </c>
      <c r="F8" s="56">
        <v>6</v>
      </c>
      <c r="G8" s="56"/>
      <c r="H8" s="56"/>
      <c r="I8" s="56">
        <v>3</v>
      </c>
      <c r="J8" s="56"/>
      <c r="K8" s="56">
        <v>21</v>
      </c>
      <c r="L8" s="56"/>
    </row>
    <row r="9" spans="1:12">
      <c r="A9" s="56">
        <v>8</v>
      </c>
      <c r="B9" s="28" t="s">
        <v>20</v>
      </c>
      <c r="C9" s="28" t="s">
        <v>22</v>
      </c>
      <c r="D9" s="56">
        <v>5</v>
      </c>
      <c r="E9" s="56">
        <v>5</v>
      </c>
      <c r="F9" s="56">
        <v>5</v>
      </c>
      <c r="G9" s="56">
        <v>2</v>
      </c>
      <c r="H9" s="56"/>
      <c r="I9" s="56">
        <v>2</v>
      </c>
      <c r="J9" s="56"/>
      <c r="K9" s="56">
        <v>8</v>
      </c>
      <c r="L9" s="56"/>
    </row>
    <row r="10" spans="1:12">
      <c r="A10" s="56">
        <v>9</v>
      </c>
      <c r="B10" s="28" t="s">
        <v>20</v>
      </c>
      <c r="C10" s="55" t="s">
        <v>23</v>
      </c>
      <c r="D10" s="56"/>
      <c r="E10" s="56"/>
      <c r="F10" s="56"/>
      <c r="G10" s="56"/>
      <c r="H10" s="56"/>
      <c r="I10" s="56"/>
      <c r="J10" s="56"/>
      <c r="K10" s="56"/>
      <c r="L10" s="56"/>
    </row>
    <row r="11" spans="1:12">
      <c r="A11" s="56">
        <v>10</v>
      </c>
      <c r="B11" s="28" t="s">
        <v>20</v>
      </c>
      <c r="C11" s="28" t="s">
        <v>24</v>
      </c>
      <c r="D11" s="56">
        <v>6</v>
      </c>
      <c r="E11" s="56">
        <v>8</v>
      </c>
      <c r="F11" s="56">
        <v>6</v>
      </c>
      <c r="G11" s="56">
        <v>2</v>
      </c>
      <c r="H11" s="56"/>
      <c r="I11" s="56"/>
      <c r="J11" s="56"/>
      <c r="K11" s="56">
        <v>7</v>
      </c>
      <c r="L11" s="56">
        <v>2</v>
      </c>
    </row>
    <row r="12" spans="1:12">
      <c r="A12" s="56">
        <v>11</v>
      </c>
      <c r="B12" s="28" t="s">
        <v>25</v>
      </c>
      <c r="C12" s="28" t="s">
        <v>26</v>
      </c>
      <c r="D12" s="56">
        <v>6</v>
      </c>
      <c r="E12" s="56">
        <v>6</v>
      </c>
      <c r="F12" s="56">
        <v>7</v>
      </c>
      <c r="G12" s="56">
        <v>4</v>
      </c>
      <c r="H12" s="56"/>
      <c r="I12" s="56">
        <v>6</v>
      </c>
      <c r="J12" s="56"/>
      <c r="K12" s="56"/>
      <c r="L12" s="56">
        <v>2</v>
      </c>
    </row>
    <row r="13" spans="1:12">
      <c r="A13" s="56">
        <v>12</v>
      </c>
      <c r="B13" s="28" t="s">
        <v>25</v>
      </c>
      <c r="C13" s="28" t="s">
        <v>27</v>
      </c>
      <c r="D13" s="56">
        <v>6</v>
      </c>
      <c r="E13" s="56">
        <v>6</v>
      </c>
      <c r="F13" s="56">
        <v>6</v>
      </c>
      <c r="G13" s="56">
        <v>5</v>
      </c>
      <c r="H13" s="56"/>
      <c r="I13" s="56">
        <v>6</v>
      </c>
      <c r="J13" s="56"/>
      <c r="K13" s="56"/>
      <c r="L13" s="56"/>
    </row>
    <row r="14" spans="1:12">
      <c r="A14" s="56">
        <v>13</v>
      </c>
      <c r="B14" s="28" t="s">
        <v>25</v>
      </c>
      <c r="C14" s="28" t="s">
        <v>28</v>
      </c>
      <c r="D14" s="56">
        <v>7</v>
      </c>
      <c r="E14" s="56">
        <v>9</v>
      </c>
      <c r="F14" s="56">
        <v>7</v>
      </c>
      <c r="G14" s="56"/>
      <c r="H14" s="56">
        <v>2</v>
      </c>
      <c r="I14" s="56">
        <v>4</v>
      </c>
      <c r="J14" s="56">
        <v>1</v>
      </c>
      <c r="K14" s="56"/>
      <c r="L14" s="56"/>
    </row>
    <row r="15" spans="1:12">
      <c r="A15" s="56">
        <v>14</v>
      </c>
      <c r="B15" s="28" t="s">
        <v>25</v>
      </c>
      <c r="C15" s="28" t="s">
        <v>29</v>
      </c>
      <c r="D15" s="56">
        <v>7</v>
      </c>
      <c r="E15" s="56">
        <v>10</v>
      </c>
      <c r="F15" s="56">
        <v>8</v>
      </c>
      <c r="G15" s="56">
        <v>1</v>
      </c>
      <c r="H15" s="56">
        <v>1</v>
      </c>
      <c r="I15" s="56">
        <v>3</v>
      </c>
      <c r="J15" s="56">
        <v>3</v>
      </c>
      <c r="K15" s="56"/>
      <c r="L15" s="56">
        <v>1</v>
      </c>
    </row>
    <row r="16" spans="1:12">
      <c r="A16" s="56">
        <v>15</v>
      </c>
      <c r="B16" s="28" t="s">
        <v>25</v>
      </c>
      <c r="C16" s="28" t="s">
        <v>30</v>
      </c>
      <c r="D16" s="56">
        <v>6</v>
      </c>
      <c r="E16" s="56">
        <v>7</v>
      </c>
      <c r="F16" s="56">
        <v>7</v>
      </c>
      <c r="G16" s="56">
        <v>4</v>
      </c>
      <c r="H16" s="56"/>
      <c r="I16" s="56">
        <v>6</v>
      </c>
      <c r="J16" s="56"/>
      <c r="K16" s="56">
        <v>11</v>
      </c>
      <c r="L16" s="56">
        <v>1</v>
      </c>
    </row>
    <row r="17" spans="1:12">
      <c r="A17" s="56">
        <v>16</v>
      </c>
      <c r="B17" s="28" t="s">
        <v>31</v>
      </c>
      <c r="C17" s="28" t="s">
        <v>32</v>
      </c>
      <c r="D17" s="56">
        <v>6</v>
      </c>
      <c r="E17" s="56">
        <v>7</v>
      </c>
      <c r="F17" s="56">
        <v>6</v>
      </c>
      <c r="G17" s="56">
        <v>6</v>
      </c>
      <c r="H17" s="56"/>
      <c r="I17" s="56"/>
      <c r="J17" s="56"/>
      <c r="K17" s="56">
        <v>8</v>
      </c>
      <c r="L17" s="56"/>
    </row>
    <row r="18" spans="1:12">
      <c r="A18" s="56">
        <v>17</v>
      </c>
      <c r="B18" s="28" t="s">
        <v>31</v>
      </c>
      <c r="C18" s="28" t="s">
        <v>33</v>
      </c>
      <c r="D18" s="56">
        <v>5</v>
      </c>
      <c r="E18" s="56">
        <v>6</v>
      </c>
      <c r="F18" s="56">
        <v>5</v>
      </c>
      <c r="G18" s="56"/>
      <c r="H18" s="56">
        <v>3</v>
      </c>
      <c r="I18" s="56">
        <v>2</v>
      </c>
      <c r="J18" s="56"/>
      <c r="K18" s="56">
        <v>31</v>
      </c>
      <c r="L18" s="56">
        <v>4</v>
      </c>
    </row>
    <row r="19" spans="1:12">
      <c r="A19" s="56">
        <v>18</v>
      </c>
      <c r="B19" s="28" t="s">
        <v>31</v>
      </c>
      <c r="C19" s="28" t="s">
        <v>34</v>
      </c>
      <c r="D19" s="56">
        <v>5</v>
      </c>
      <c r="E19" s="56">
        <v>6</v>
      </c>
      <c r="F19" s="56">
        <v>5</v>
      </c>
      <c r="G19" s="56">
        <v>4</v>
      </c>
      <c r="H19" s="56"/>
      <c r="I19" s="56">
        <v>2</v>
      </c>
      <c r="J19" s="56"/>
      <c r="K19" s="56">
        <v>14</v>
      </c>
      <c r="L19" s="56"/>
    </row>
    <row r="20" spans="1:12">
      <c r="A20" s="56">
        <v>19</v>
      </c>
      <c r="B20" s="28" t="s">
        <v>31</v>
      </c>
      <c r="C20" s="28" t="s">
        <v>35</v>
      </c>
      <c r="D20" s="56">
        <v>5</v>
      </c>
      <c r="E20" s="56">
        <v>4</v>
      </c>
      <c r="F20" s="56">
        <v>5</v>
      </c>
      <c r="G20" s="56">
        <v>2</v>
      </c>
      <c r="H20" s="56"/>
      <c r="I20" s="56">
        <v>2</v>
      </c>
      <c r="J20" s="56"/>
      <c r="K20" s="56">
        <v>13</v>
      </c>
      <c r="L20" s="56"/>
    </row>
    <row r="21" spans="1:12">
      <c r="A21" s="56">
        <v>20</v>
      </c>
      <c r="B21" s="28" t="s">
        <v>36</v>
      </c>
      <c r="C21" s="28" t="s">
        <v>37</v>
      </c>
      <c r="D21" s="56">
        <v>7</v>
      </c>
      <c r="E21" s="56">
        <v>6</v>
      </c>
      <c r="F21" s="56">
        <v>6</v>
      </c>
      <c r="G21" s="56">
        <v>1</v>
      </c>
      <c r="H21" s="56"/>
      <c r="I21" s="56">
        <v>1</v>
      </c>
      <c r="J21" s="56"/>
      <c r="K21" s="56"/>
      <c r="L21" s="56">
        <v>2</v>
      </c>
    </row>
    <row r="22" spans="1:12">
      <c r="A22" s="56">
        <v>21</v>
      </c>
      <c r="B22" s="28" t="s">
        <v>36</v>
      </c>
      <c r="C22" s="28" t="s">
        <v>38</v>
      </c>
      <c r="D22" s="56">
        <v>6</v>
      </c>
      <c r="E22" s="56">
        <v>5</v>
      </c>
      <c r="F22" s="56">
        <v>6</v>
      </c>
      <c r="G22" s="56">
        <v>1</v>
      </c>
      <c r="H22" s="56"/>
      <c r="I22" s="56"/>
      <c r="J22" s="56"/>
      <c r="K22" s="56"/>
      <c r="L22" s="56"/>
    </row>
    <row r="23" spans="1:12">
      <c r="A23" s="56">
        <v>22</v>
      </c>
      <c r="B23" s="28" t="s">
        <v>36</v>
      </c>
      <c r="C23" s="28" t="s">
        <v>39</v>
      </c>
      <c r="D23" s="56">
        <v>6</v>
      </c>
      <c r="E23" s="56">
        <v>7</v>
      </c>
      <c r="F23" s="56">
        <v>7</v>
      </c>
      <c r="G23" s="56"/>
      <c r="H23" s="56">
        <v>1</v>
      </c>
      <c r="I23" s="56"/>
      <c r="J23" s="56"/>
      <c r="K23" s="56"/>
      <c r="L23" s="56"/>
    </row>
    <row r="24" spans="1:12">
      <c r="A24" s="56">
        <v>23</v>
      </c>
      <c r="B24" s="28" t="s">
        <v>40</v>
      </c>
      <c r="C24" s="28" t="s">
        <v>41</v>
      </c>
      <c r="D24" s="56">
        <v>5</v>
      </c>
      <c r="E24" s="56">
        <v>5</v>
      </c>
      <c r="F24" s="56">
        <v>5</v>
      </c>
      <c r="G24" s="56">
        <v>2</v>
      </c>
      <c r="H24" s="56">
        <v>1</v>
      </c>
      <c r="I24" s="56">
        <v>2</v>
      </c>
      <c r="J24" s="56">
        <v>2</v>
      </c>
      <c r="K24" s="56"/>
      <c r="L24" s="56">
        <v>2</v>
      </c>
    </row>
    <row r="25" spans="1:12">
      <c r="A25" s="56">
        <v>24</v>
      </c>
      <c r="B25" s="28" t="s">
        <v>40</v>
      </c>
      <c r="C25" s="55" t="s">
        <v>23</v>
      </c>
      <c r="D25" s="56"/>
      <c r="E25" s="56"/>
      <c r="F25" s="56"/>
      <c r="G25" s="56"/>
      <c r="H25" s="56"/>
      <c r="I25" s="56"/>
      <c r="J25" s="56"/>
      <c r="K25" s="56"/>
      <c r="L25" s="56"/>
    </row>
    <row r="26" spans="1:12">
      <c r="A26" s="56">
        <v>25</v>
      </c>
      <c r="B26" s="28" t="s">
        <v>40</v>
      </c>
      <c r="C26" s="28" t="s">
        <v>42</v>
      </c>
      <c r="D26" s="56">
        <v>3</v>
      </c>
      <c r="E26" s="56">
        <v>12</v>
      </c>
      <c r="F26" s="56">
        <v>3</v>
      </c>
      <c r="G26" s="56">
        <v>1</v>
      </c>
      <c r="H26" s="56">
        <v>2</v>
      </c>
      <c r="I26" s="56"/>
      <c r="J26" s="56"/>
      <c r="K26" s="56"/>
      <c r="L26" s="5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CF16E-C2B5-45CB-BE7A-34C3DD4270D9}">
  <sheetPr codeName="Sheet2"/>
  <dimension ref="A1:AE24"/>
  <sheetViews>
    <sheetView workbookViewId="0">
      <selection activeCell="B38" sqref="B38"/>
    </sheetView>
  </sheetViews>
  <sheetFormatPr defaultRowHeight="15"/>
  <cols>
    <col min="1" max="1" width="26.42578125" customWidth="1"/>
    <col min="2" max="2" width="27.85546875" customWidth="1"/>
    <col min="3" max="3" width="16.42578125" customWidth="1"/>
    <col min="8" max="8" width="22.42578125" bestFit="1" customWidth="1"/>
    <col min="11" max="11" width="23.28515625" bestFit="1" customWidth="1"/>
    <col min="13" max="13" width="28.42578125" customWidth="1"/>
    <col min="14" max="14" width="18.7109375" customWidth="1"/>
    <col min="17" max="17" width="23.85546875" customWidth="1"/>
    <col min="20" max="20" width="26.28515625" customWidth="1"/>
    <col min="23" max="23" width="30" bestFit="1" customWidth="1"/>
    <col min="24" max="24" width="14.140625" customWidth="1"/>
    <col min="30" max="30" width="30" bestFit="1" customWidth="1"/>
  </cols>
  <sheetData>
    <row r="1" spans="1:31">
      <c r="A1" t="s">
        <v>43</v>
      </c>
      <c r="C1" s="23" t="s">
        <v>7</v>
      </c>
      <c r="H1" s="21" t="s">
        <v>4</v>
      </c>
      <c r="K1" s="21" t="s">
        <v>44</v>
      </c>
      <c r="M1" s="792" t="s">
        <v>6</v>
      </c>
      <c r="N1" s="792"/>
      <c r="Q1" s="21" t="s">
        <v>45</v>
      </c>
      <c r="T1" s="21" t="s">
        <v>46</v>
      </c>
      <c r="W1" s="792" t="s">
        <v>47</v>
      </c>
      <c r="X1" s="792"/>
      <c r="Y1" s="792"/>
      <c r="Z1" s="792"/>
      <c r="AD1" s="792" t="s">
        <v>9</v>
      </c>
      <c r="AE1" s="792"/>
    </row>
    <row r="2" spans="1:31">
      <c r="A2" t="s">
        <v>48</v>
      </c>
      <c r="B2" t="s">
        <v>49</v>
      </c>
      <c r="H2" t="s">
        <v>50</v>
      </c>
      <c r="K2" t="s">
        <v>50</v>
      </c>
      <c r="M2" t="s">
        <v>51</v>
      </c>
      <c r="N2" t="s">
        <v>52</v>
      </c>
      <c r="Q2" t="s">
        <v>50</v>
      </c>
      <c r="T2" t="s">
        <v>50</v>
      </c>
      <c r="W2" t="s">
        <v>50</v>
      </c>
      <c r="X2" t="s">
        <v>53</v>
      </c>
      <c r="Y2" t="s">
        <v>54</v>
      </c>
      <c r="AD2" t="s">
        <v>50</v>
      </c>
      <c r="AE2" t="s">
        <v>53</v>
      </c>
    </row>
    <row r="3" spans="1:31">
      <c r="A3" t="s">
        <v>55</v>
      </c>
      <c r="B3" t="s">
        <v>56</v>
      </c>
      <c r="H3" t="s">
        <v>57</v>
      </c>
      <c r="K3" t="s">
        <v>57</v>
      </c>
      <c r="M3" t="s">
        <v>58</v>
      </c>
      <c r="N3" t="s">
        <v>59</v>
      </c>
      <c r="Q3" t="s">
        <v>57</v>
      </c>
      <c r="T3" t="s">
        <v>57</v>
      </c>
      <c r="W3" t="s">
        <v>57</v>
      </c>
      <c r="X3" t="s">
        <v>60</v>
      </c>
      <c r="Y3" t="s">
        <v>61</v>
      </c>
      <c r="AD3" t="s">
        <v>57</v>
      </c>
      <c r="AE3" t="s">
        <v>60</v>
      </c>
    </row>
    <row r="4" spans="1:31">
      <c r="H4" t="s">
        <v>62</v>
      </c>
      <c r="K4" t="s">
        <v>63</v>
      </c>
      <c r="M4" t="s">
        <v>64</v>
      </c>
      <c r="Q4" t="s">
        <v>63</v>
      </c>
      <c r="W4" t="s">
        <v>62</v>
      </c>
      <c r="AD4" t="s">
        <v>62</v>
      </c>
    </row>
    <row r="5" spans="1:31">
      <c r="B5" t="s">
        <v>49</v>
      </c>
      <c r="H5" t="s">
        <v>65</v>
      </c>
      <c r="K5" t="s">
        <v>66</v>
      </c>
      <c r="M5" t="s">
        <v>65</v>
      </c>
      <c r="Q5" t="s">
        <v>67</v>
      </c>
      <c r="W5" t="s">
        <v>65</v>
      </c>
      <c r="AD5" t="s">
        <v>65</v>
      </c>
    </row>
    <row r="6" spans="1:31">
      <c r="B6" t="s">
        <v>56</v>
      </c>
    </row>
    <row r="7" spans="1:31">
      <c r="A7" t="s">
        <v>68</v>
      </c>
      <c r="B7" t="s">
        <v>69</v>
      </c>
    </row>
    <row r="8" spans="1:31">
      <c r="A8" t="s">
        <v>70</v>
      </c>
    </row>
    <row r="9" spans="1:31">
      <c r="A9" t="s">
        <v>71</v>
      </c>
    </row>
    <row r="10" spans="1:31">
      <c r="A10" t="s">
        <v>72</v>
      </c>
      <c r="AA10" s="1"/>
      <c r="AB10" s="1"/>
      <c r="AC10" s="1"/>
    </row>
    <row r="11" spans="1:31">
      <c r="AA11" s="1"/>
      <c r="AB11" s="1"/>
      <c r="AC11" s="1"/>
    </row>
    <row r="12" spans="1:31">
      <c r="AA12" s="1"/>
      <c r="AB12" s="1"/>
      <c r="AC12" s="1"/>
    </row>
    <row r="13" spans="1:31">
      <c r="A13" t="s">
        <v>73</v>
      </c>
    </row>
    <row r="14" spans="1:31">
      <c r="A14" t="s">
        <v>74</v>
      </c>
    </row>
    <row r="15" spans="1:31">
      <c r="A15" t="s">
        <v>75</v>
      </c>
    </row>
    <row r="16" spans="1:31">
      <c r="A16" t="s">
        <v>76</v>
      </c>
    </row>
    <row r="17" spans="1:1">
      <c r="A17" t="s">
        <v>77</v>
      </c>
    </row>
    <row r="18" spans="1:1">
      <c r="A18" t="s">
        <v>78</v>
      </c>
    </row>
    <row r="19" spans="1:1">
      <c r="A19" t="s">
        <v>79</v>
      </c>
    </row>
    <row r="20" spans="1:1">
      <c r="A20" t="s">
        <v>80</v>
      </c>
    </row>
    <row r="21" spans="1:1">
      <c r="A21" t="s">
        <v>81</v>
      </c>
    </row>
    <row r="22" spans="1:1">
      <c r="A22" t="s">
        <v>82</v>
      </c>
    </row>
    <row r="23" spans="1:1">
      <c r="A23" t="s">
        <v>83</v>
      </c>
    </row>
    <row r="24" spans="1:1">
      <c r="A24" t="s">
        <v>84</v>
      </c>
    </row>
  </sheetData>
  <mergeCells count="3">
    <mergeCell ref="M1:N1"/>
    <mergeCell ref="W1:Z1"/>
    <mergeCell ref="AD1:A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A408C-E671-4381-B890-63637E72EEE1}">
  <dimension ref="A1:G29"/>
  <sheetViews>
    <sheetView workbookViewId="0"/>
  </sheetViews>
  <sheetFormatPr defaultRowHeight="15"/>
  <cols>
    <col min="1" max="1" width="40.42578125" bestFit="1" customWidth="1"/>
    <col min="2" max="2" width="35.140625" customWidth="1"/>
    <col min="3" max="3" width="7.28515625" bestFit="1" customWidth="1"/>
    <col min="4" max="4" width="11" bestFit="1" customWidth="1"/>
    <col min="5" max="5" width="8.42578125" bestFit="1" customWidth="1"/>
    <col min="6" max="6" width="10.5703125" bestFit="1" customWidth="1"/>
    <col min="7" max="7" width="11.7109375" bestFit="1" customWidth="1"/>
    <col min="8" max="8" width="4.5703125" bestFit="1" customWidth="1"/>
    <col min="9" max="9" width="7.28515625" bestFit="1" customWidth="1"/>
    <col min="10" max="10" width="11" bestFit="1" customWidth="1"/>
    <col min="11" max="11" width="8.42578125" bestFit="1" customWidth="1"/>
    <col min="12" max="12" width="10.5703125" bestFit="1" customWidth="1"/>
    <col min="13" max="13" width="8.85546875" bestFit="1" customWidth="1"/>
    <col min="14" max="14" width="7.42578125" bestFit="1" customWidth="1"/>
    <col min="15" max="15" width="11.7109375" bestFit="1" customWidth="1"/>
  </cols>
  <sheetData>
    <row r="1" spans="1:7">
      <c r="A1" s="752" t="s">
        <v>85</v>
      </c>
      <c r="B1" t="s">
        <v>2286</v>
      </c>
    </row>
    <row r="3" spans="1:7">
      <c r="A3" s="752" t="s">
        <v>3123</v>
      </c>
      <c r="B3" s="752" t="s">
        <v>3124</v>
      </c>
    </row>
    <row r="4" spans="1:7">
      <c r="A4" s="752" t="s">
        <v>86</v>
      </c>
      <c r="B4" t="s">
        <v>3125</v>
      </c>
      <c r="C4" t="s">
        <v>3126</v>
      </c>
      <c r="D4" t="s">
        <v>3127</v>
      </c>
      <c r="E4" t="s">
        <v>3128</v>
      </c>
      <c r="F4" t="s">
        <v>3129</v>
      </c>
      <c r="G4" t="s">
        <v>781</v>
      </c>
    </row>
    <row r="5" spans="1:7">
      <c r="A5" t="s">
        <v>1169</v>
      </c>
      <c r="C5">
        <v>2</v>
      </c>
      <c r="D5">
        <v>2</v>
      </c>
      <c r="E5">
        <v>3</v>
      </c>
      <c r="G5">
        <v>7</v>
      </c>
    </row>
    <row r="6" spans="1:7">
      <c r="A6" t="s">
        <v>1173</v>
      </c>
      <c r="D6">
        <v>2</v>
      </c>
      <c r="G6">
        <v>2</v>
      </c>
    </row>
    <row r="7" spans="1:7">
      <c r="A7" t="s">
        <v>1176</v>
      </c>
      <c r="C7">
        <v>4</v>
      </c>
      <c r="D7">
        <v>2</v>
      </c>
      <c r="E7">
        <v>3</v>
      </c>
      <c r="F7">
        <v>3</v>
      </c>
      <c r="G7">
        <v>12</v>
      </c>
    </row>
    <row r="8" spans="1:7">
      <c r="A8" t="s">
        <v>1184</v>
      </c>
      <c r="C8">
        <v>1</v>
      </c>
      <c r="D8">
        <v>2</v>
      </c>
      <c r="E8">
        <v>1</v>
      </c>
      <c r="G8">
        <v>4</v>
      </c>
    </row>
    <row r="9" spans="1:7">
      <c r="A9" t="s">
        <v>2579</v>
      </c>
      <c r="E9">
        <v>3</v>
      </c>
      <c r="G9">
        <v>3</v>
      </c>
    </row>
    <row r="10" spans="1:7">
      <c r="A10" t="s">
        <v>3130</v>
      </c>
      <c r="D10">
        <v>4</v>
      </c>
      <c r="F10">
        <v>2</v>
      </c>
      <c r="G10">
        <v>6</v>
      </c>
    </row>
    <row r="11" spans="1:7">
      <c r="A11" t="s">
        <v>3131</v>
      </c>
      <c r="C11">
        <v>5</v>
      </c>
      <c r="E11">
        <v>3</v>
      </c>
      <c r="G11">
        <v>8</v>
      </c>
    </row>
    <row r="12" spans="1:7">
      <c r="A12" t="s">
        <v>1096</v>
      </c>
      <c r="E12">
        <v>3</v>
      </c>
      <c r="G12">
        <v>3</v>
      </c>
    </row>
    <row r="13" spans="1:7">
      <c r="A13" t="s">
        <v>1255</v>
      </c>
      <c r="C13">
        <v>4</v>
      </c>
      <c r="D13">
        <v>1</v>
      </c>
      <c r="G13">
        <v>5</v>
      </c>
    </row>
    <row r="14" spans="1:7">
      <c r="A14" t="s">
        <v>1262</v>
      </c>
      <c r="B14">
        <v>1</v>
      </c>
      <c r="C14">
        <v>2</v>
      </c>
      <c r="D14">
        <v>1</v>
      </c>
      <c r="E14">
        <v>4</v>
      </c>
      <c r="G14">
        <v>8</v>
      </c>
    </row>
    <row r="15" spans="1:7">
      <c r="A15" t="s">
        <v>1266</v>
      </c>
      <c r="D15">
        <v>1</v>
      </c>
      <c r="G15">
        <v>1</v>
      </c>
    </row>
    <row r="16" spans="1:7">
      <c r="A16" t="s">
        <v>1269</v>
      </c>
      <c r="C16">
        <v>1</v>
      </c>
      <c r="G16">
        <v>1</v>
      </c>
    </row>
    <row r="17" spans="1:7">
      <c r="A17" t="s">
        <v>1274</v>
      </c>
      <c r="C17">
        <v>1</v>
      </c>
      <c r="D17">
        <v>1</v>
      </c>
      <c r="E17">
        <v>3</v>
      </c>
      <c r="G17">
        <v>5</v>
      </c>
    </row>
    <row r="18" spans="1:7">
      <c r="A18" t="s">
        <v>1278</v>
      </c>
      <c r="B18">
        <v>1</v>
      </c>
      <c r="D18">
        <v>2</v>
      </c>
      <c r="G18">
        <v>3</v>
      </c>
    </row>
    <row r="19" spans="1:7">
      <c r="A19" t="s">
        <v>1291</v>
      </c>
      <c r="E19">
        <v>3</v>
      </c>
      <c r="G19">
        <v>3</v>
      </c>
    </row>
    <row r="20" spans="1:7">
      <c r="A20" t="s">
        <v>1295</v>
      </c>
      <c r="B20">
        <v>1</v>
      </c>
      <c r="D20">
        <v>1</v>
      </c>
      <c r="E20">
        <v>2</v>
      </c>
      <c r="F20">
        <v>3</v>
      </c>
      <c r="G20">
        <v>7</v>
      </c>
    </row>
    <row r="21" spans="1:7">
      <c r="A21" t="s">
        <v>1299</v>
      </c>
      <c r="D21">
        <v>5</v>
      </c>
      <c r="G21">
        <v>5</v>
      </c>
    </row>
    <row r="22" spans="1:7">
      <c r="A22" t="s">
        <v>914</v>
      </c>
      <c r="C22">
        <v>3</v>
      </c>
      <c r="F22">
        <v>3</v>
      </c>
      <c r="G22">
        <v>6</v>
      </c>
    </row>
    <row r="23" spans="1:7">
      <c r="A23" t="s">
        <v>1309</v>
      </c>
      <c r="C23">
        <v>3</v>
      </c>
      <c r="D23">
        <v>2</v>
      </c>
      <c r="F23">
        <v>2</v>
      </c>
      <c r="G23">
        <v>7</v>
      </c>
    </row>
    <row r="24" spans="1:7">
      <c r="A24" t="s">
        <v>1314</v>
      </c>
      <c r="E24">
        <v>1</v>
      </c>
      <c r="G24">
        <v>1</v>
      </c>
    </row>
    <row r="25" spans="1:7">
      <c r="A25" t="s">
        <v>3132</v>
      </c>
      <c r="B25">
        <v>1</v>
      </c>
      <c r="C25">
        <v>2</v>
      </c>
      <c r="D25">
        <v>3</v>
      </c>
      <c r="E25">
        <v>1</v>
      </c>
      <c r="G25">
        <v>7</v>
      </c>
    </row>
    <row r="26" spans="1:7">
      <c r="A26" t="s">
        <v>3133</v>
      </c>
      <c r="B26">
        <v>3</v>
      </c>
      <c r="G26">
        <v>3</v>
      </c>
    </row>
    <row r="27" spans="1:7">
      <c r="A27" t="s">
        <v>1317</v>
      </c>
      <c r="B27">
        <v>6</v>
      </c>
      <c r="C27">
        <v>1</v>
      </c>
      <c r="G27">
        <v>7</v>
      </c>
    </row>
    <row r="28" spans="1:7">
      <c r="A28" t="s">
        <v>1331</v>
      </c>
      <c r="B28">
        <v>1</v>
      </c>
      <c r="C28">
        <v>2</v>
      </c>
      <c r="E28">
        <v>1</v>
      </c>
      <c r="G28">
        <v>4</v>
      </c>
    </row>
    <row r="29" spans="1:7">
      <c r="A29" t="s">
        <v>781</v>
      </c>
      <c r="B29">
        <v>14</v>
      </c>
      <c r="C29">
        <v>31</v>
      </c>
      <c r="D29">
        <v>29</v>
      </c>
      <c r="E29">
        <v>31</v>
      </c>
      <c r="F29">
        <v>13</v>
      </c>
      <c r="G29">
        <v>118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722A6-B846-4B9A-84F6-E67A93E9E61E}">
  <dimension ref="A3:B12"/>
  <sheetViews>
    <sheetView workbookViewId="0">
      <selection activeCell="A3" sqref="A3"/>
    </sheetView>
  </sheetViews>
  <sheetFormatPr defaultRowHeight="15"/>
  <cols>
    <col min="1" max="1" width="12" bestFit="1" customWidth="1"/>
    <col min="2" max="2" width="30.85546875" bestFit="1" customWidth="1"/>
  </cols>
  <sheetData>
    <row r="3" spans="1:2">
      <c r="A3" s="752" t="s">
        <v>85</v>
      </c>
      <c r="B3" t="s">
        <v>772</v>
      </c>
    </row>
    <row r="4" spans="1:2">
      <c r="A4" t="s">
        <v>773</v>
      </c>
      <c r="B4">
        <v>19</v>
      </c>
    </row>
    <row r="5" spans="1:2">
      <c r="A5" t="s">
        <v>774</v>
      </c>
      <c r="B5">
        <v>22</v>
      </c>
    </row>
    <row r="6" spans="1:2">
      <c r="A6" t="s">
        <v>775</v>
      </c>
      <c r="B6">
        <v>4</v>
      </c>
    </row>
    <row r="7" spans="1:2">
      <c r="A7" t="s">
        <v>776</v>
      </c>
      <c r="B7">
        <v>44</v>
      </c>
    </row>
    <row r="8" spans="1:2">
      <c r="A8" t="s">
        <v>777</v>
      </c>
      <c r="B8">
        <v>38</v>
      </c>
    </row>
    <row r="9" spans="1:2">
      <c r="A9" t="s">
        <v>778</v>
      </c>
      <c r="B9">
        <v>24</v>
      </c>
    </row>
    <row r="10" spans="1:2">
      <c r="A10" t="s">
        <v>779</v>
      </c>
      <c r="B10">
        <v>20</v>
      </c>
    </row>
    <row r="11" spans="1:2">
      <c r="A11" t="s">
        <v>780</v>
      </c>
      <c r="B11">
        <v>23</v>
      </c>
    </row>
    <row r="12" spans="1:2">
      <c r="A12" t="s">
        <v>781</v>
      </c>
      <c r="B12">
        <v>194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F4299-87D7-4CB5-8DA5-F608F9E97611}">
  <sheetPr codeName="Sheet3">
    <tabColor rgb="FF92D050"/>
  </sheetPr>
  <dimension ref="A1:BQ135"/>
  <sheetViews>
    <sheetView tabSelected="1" workbookViewId="0">
      <pane xSplit="2" ySplit="1" topLeftCell="C2" activePane="bottomRight" state="frozen"/>
      <selection pane="topRight"/>
      <selection pane="bottomLeft"/>
      <selection pane="bottomRight" activeCell="E11" sqref="E11"/>
    </sheetView>
  </sheetViews>
  <sheetFormatPr defaultColWidth="12.5703125" defaultRowHeight="15"/>
  <cols>
    <col min="1" max="1" width="19.140625" style="78" customWidth="1"/>
    <col min="2" max="2" width="27.5703125" style="81" bestFit="1" customWidth="1"/>
    <col min="3" max="3" width="25.5703125" style="81" customWidth="1"/>
    <col min="4" max="4" width="27.5703125" style="78" customWidth="1"/>
    <col min="5" max="5" width="19" style="78" customWidth="1"/>
    <col min="6" max="7" width="15" style="78" customWidth="1"/>
    <col min="8" max="8" width="25.42578125" style="78" customWidth="1"/>
    <col min="9" max="9" width="22.5703125" style="78" customWidth="1"/>
    <col min="10" max="10" width="42.28515625" style="81" bestFit="1" customWidth="1"/>
    <col min="11" max="11" width="20.5703125" style="78" customWidth="1"/>
    <col min="12" max="12" width="12.42578125" style="78" customWidth="1"/>
    <col min="13" max="14" width="14.5703125" style="78" customWidth="1"/>
    <col min="15" max="15" width="15.140625" style="78" bestFit="1" customWidth="1"/>
    <col min="16" max="18" width="27" style="78" customWidth="1"/>
    <col min="19" max="19" width="21.5703125" style="78" bestFit="1" customWidth="1"/>
    <col min="20" max="20" width="18.7109375" style="78" customWidth="1"/>
    <col min="21" max="21" width="17.42578125" style="78" customWidth="1"/>
    <col min="22" max="22" width="18.42578125" style="78" customWidth="1"/>
    <col min="23" max="23" width="21.28515625" style="78" customWidth="1"/>
    <col min="24" max="24" width="24.7109375" style="78" customWidth="1"/>
    <col min="25" max="25" width="15.28515625" style="78" bestFit="1" customWidth="1"/>
    <col min="26" max="26" width="18.28515625" style="78" customWidth="1"/>
    <col min="27" max="27" width="19" style="78" customWidth="1"/>
    <col min="28" max="28" width="18.42578125" style="78" customWidth="1"/>
    <col min="29" max="29" width="21.42578125" style="81" customWidth="1"/>
    <col min="30" max="32" width="21.5703125" style="78" customWidth="1"/>
    <col min="33" max="33" width="41.85546875" style="81" customWidth="1"/>
    <col min="34" max="34" width="27.28515625" style="78" customWidth="1"/>
    <col min="35" max="38" width="11.28515625" style="78" customWidth="1"/>
    <col min="39" max="39" width="13.42578125" style="78" customWidth="1"/>
    <col min="40" max="40" width="12.42578125" style="78" customWidth="1"/>
    <col min="41" max="41" width="25.7109375" style="78" customWidth="1"/>
    <col min="42" max="42" width="36.28515625" style="78" bestFit="1" customWidth="1"/>
    <col min="43" max="43" width="12.5703125" style="78" customWidth="1"/>
    <col min="44" max="54" width="12.5703125" style="66" customWidth="1"/>
    <col min="55" max="55" width="9.85546875" style="66" bestFit="1" customWidth="1"/>
    <col min="56" max="57" width="12.5703125" style="66" hidden="1" customWidth="1"/>
    <col min="58" max="58" width="3.28515625" style="66" bestFit="1" customWidth="1"/>
    <col min="59" max="59" width="12.5703125" style="66" hidden="1" customWidth="1"/>
    <col min="60" max="60" width="3.28515625" style="66" bestFit="1" customWidth="1"/>
    <col min="61" max="61" width="12.5703125" style="66" hidden="1" customWidth="1"/>
    <col min="62" max="62" width="3.28515625" style="66" bestFit="1" customWidth="1"/>
    <col min="63" max="63" width="12.5703125" style="66" hidden="1" customWidth="1"/>
    <col min="64" max="64" width="3.28515625" style="66" bestFit="1" customWidth="1"/>
    <col min="65" max="65" width="12.5703125" style="66" hidden="1" customWidth="1"/>
    <col min="66" max="66" width="3.28515625" style="66" bestFit="1" customWidth="1"/>
    <col min="67" max="67" width="12.5703125" style="66" hidden="1" customWidth="1"/>
    <col min="68" max="68" width="12.5703125" style="66" customWidth="1"/>
    <col min="69" max="69" width="13.7109375" style="66" customWidth="1"/>
    <col min="70" max="70" width="12.5703125" style="66" customWidth="1"/>
    <col min="71" max="71" width="12.5703125" style="66" bestFit="1" customWidth="1"/>
    <col min="72" max="16384" width="12.5703125" style="66"/>
  </cols>
  <sheetData>
    <row r="1" spans="1:69" s="69" customFormat="1" ht="38.25" customHeight="1">
      <c r="A1" s="37" t="s">
        <v>85</v>
      </c>
      <c r="B1" s="37" t="s">
        <v>86</v>
      </c>
      <c r="C1" s="37" t="s">
        <v>87</v>
      </c>
      <c r="D1" s="37" t="s">
        <v>88</v>
      </c>
      <c r="E1" s="37" t="s">
        <v>89</v>
      </c>
      <c r="F1" s="37" t="s">
        <v>90</v>
      </c>
      <c r="G1" s="37" t="s">
        <v>91</v>
      </c>
      <c r="H1" s="37" t="s">
        <v>92</v>
      </c>
      <c r="I1" s="37" t="s">
        <v>93</v>
      </c>
      <c r="J1" s="37" t="s">
        <v>94</v>
      </c>
      <c r="K1" s="37" t="s">
        <v>95</v>
      </c>
      <c r="L1" s="37" t="s">
        <v>96</v>
      </c>
      <c r="M1" s="37" t="s">
        <v>97</v>
      </c>
      <c r="N1" s="37" t="s">
        <v>98</v>
      </c>
      <c r="O1" s="38" t="s">
        <v>99</v>
      </c>
      <c r="P1" s="38" t="s">
        <v>100</v>
      </c>
      <c r="Q1" s="38" t="s">
        <v>101</v>
      </c>
      <c r="R1" s="38" t="s">
        <v>102</v>
      </c>
      <c r="S1" s="38" t="s">
        <v>103</v>
      </c>
      <c r="T1" s="38" t="s">
        <v>104</v>
      </c>
      <c r="U1" s="38" t="s">
        <v>105</v>
      </c>
      <c r="V1" s="38" t="s">
        <v>106</v>
      </c>
      <c r="W1" s="38" t="s">
        <v>107</v>
      </c>
      <c r="X1" s="38" t="s">
        <v>108</v>
      </c>
      <c r="Y1" s="38" t="s">
        <v>109</v>
      </c>
      <c r="Z1" s="38" t="s">
        <v>110</v>
      </c>
      <c r="AA1" s="38" t="s">
        <v>111</v>
      </c>
      <c r="AB1" s="38" t="s">
        <v>112</v>
      </c>
      <c r="AC1" s="38" t="s">
        <v>113</v>
      </c>
      <c r="AD1" s="37" t="s">
        <v>114</v>
      </c>
      <c r="AE1" s="37" t="s">
        <v>115</v>
      </c>
      <c r="AF1" s="37" t="s">
        <v>116</v>
      </c>
      <c r="AG1" s="37" t="s">
        <v>117</v>
      </c>
      <c r="AH1" s="3" t="s">
        <v>118</v>
      </c>
      <c r="AI1" s="3" t="s">
        <v>119</v>
      </c>
      <c r="AJ1" s="3" t="s">
        <v>120</v>
      </c>
      <c r="AK1" s="3" t="s">
        <v>121</v>
      </c>
      <c r="AL1" s="3" t="s">
        <v>122</v>
      </c>
      <c r="AM1" s="3" t="s">
        <v>123</v>
      </c>
      <c r="AN1" s="3" t="s">
        <v>124</v>
      </c>
      <c r="AO1" s="3" t="s">
        <v>125</v>
      </c>
      <c r="AP1" s="3" t="s">
        <v>126</v>
      </c>
      <c r="AQ1" s="3" t="s">
        <v>127</v>
      </c>
      <c r="AR1" s="39" t="s">
        <v>115</v>
      </c>
      <c r="AS1" s="39" t="s">
        <v>128</v>
      </c>
      <c r="AT1" s="39" t="s">
        <v>129</v>
      </c>
      <c r="AU1" s="40" t="s">
        <v>130</v>
      </c>
      <c r="AV1" s="39" t="s">
        <v>131</v>
      </c>
      <c r="AW1" s="40" t="s">
        <v>132</v>
      </c>
      <c r="AX1" s="39" t="s">
        <v>133</v>
      </c>
      <c r="AY1" s="40" t="s">
        <v>134</v>
      </c>
      <c r="AZ1" s="39" t="s">
        <v>135</v>
      </c>
      <c r="BA1" s="40" t="s">
        <v>136</v>
      </c>
      <c r="BB1" s="39" t="s">
        <v>137</v>
      </c>
      <c r="BC1" s="40" t="s">
        <v>138</v>
      </c>
      <c r="BD1" s="41" t="s">
        <v>115</v>
      </c>
      <c r="BE1" s="41" t="s">
        <v>128</v>
      </c>
      <c r="BF1" s="41" t="s">
        <v>129</v>
      </c>
      <c r="BG1" s="42" t="s">
        <v>130</v>
      </c>
      <c r="BH1" s="41" t="s">
        <v>131</v>
      </c>
      <c r="BI1" s="42" t="s">
        <v>132</v>
      </c>
      <c r="BJ1" s="41" t="s">
        <v>133</v>
      </c>
      <c r="BK1" s="42" t="s">
        <v>134</v>
      </c>
      <c r="BL1" s="41" t="s">
        <v>135</v>
      </c>
      <c r="BM1" s="42" t="s">
        <v>136</v>
      </c>
      <c r="BN1" s="41" t="s">
        <v>137</v>
      </c>
      <c r="BO1" s="42" t="s">
        <v>138</v>
      </c>
      <c r="BP1" s="67" t="s">
        <v>139</v>
      </c>
      <c r="BQ1" s="68" t="s">
        <v>140</v>
      </c>
    </row>
    <row r="2" spans="1:69">
      <c r="A2" s="75" t="s">
        <v>31</v>
      </c>
      <c r="B2" s="80" t="s">
        <v>141</v>
      </c>
      <c r="C2" s="80" t="s">
        <v>142</v>
      </c>
      <c r="D2" s="75" t="s">
        <v>143</v>
      </c>
      <c r="E2" s="75" t="s">
        <v>144</v>
      </c>
      <c r="F2" s="11">
        <v>14.996600000000001</v>
      </c>
      <c r="G2" s="11">
        <v>120.65170000000001</v>
      </c>
      <c r="H2" s="4" t="str">
        <f t="shared" ref="H2:H33" si="0">CONCATENATE(F2,",",G2)</f>
        <v>14.9966,120.6517</v>
      </c>
      <c r="I2" s="4" t="s">
        <v>48</v>
      </c>
      <c r="J2" s="4" t="s">
        <v>145</v>
      </c>
      <c r="K2" s="11" t="s">
        <v>146</v>
      </c>
      <c r="L2" s="11">
        <v>2022</v>
      </c>
      <c r="M2" s="11">
        <v>2031</v>
      </c>
      <c r="N2" s="11"/>
      <c r="O2" s="11" t="s">
        <v>73</v>
      </c>
      <c r="P2" s="11" t="s">
        <v>35</v>
      </c>
      <c r="Q2" s="71" t="s">
        <v>147</v>
      </c>
      <c r="R2" s="76" t="s">
        <v>148</v>
      </c>
      <c r="S2" s="363" t="s">
        <v>149</v>
      </c>
      <c r="T2" s="34">
        <v>45673</v>
      </c>
      <c r="U2" s="34">
        <v>45677</v>
      </c>
      <c r="V2" s="34"/>
      <c r="W2" s="10">
        <v>45681</v>
      </c>
      <c r="X2" s="10">
        <v>45681</v>
      </c>
      <c r="Y2" s="45">
        <f t="shared" ref="Y2:Z8" si="1">IF(
    OR(ISBLANK(T2), ISBLANK(U2)),
    "",
    MAX(1, IF(
        NETWORKDAYS(T2, U2) &lt;= 0,
        1,
        NETWORKDAYS(T2, U2) - IF(T2 = U2, 0, 1)
    ))
)</f>
        <v>2</v>
      </c>
      <c r="Z2" s="45" t="str">
        <f t="shared" si="1"/>
        <v/>
      </c>
      <c r="AA2" s="45">
        <f>IF(
  OR(IF(V2&lt;&gt;"", V2, U2)="", W2=""),
  "",
  MAX(1,
    IF(
      NETWORKDAYS(IF(V2&lt;&gt;"", V2, U2), W2) &lt;= 0,
      1,
      NETWORKDAYS(IF(V2&lt;&gt;"", V2, U2), W2) - IF(IF(V2&lt;&gt;"", V2, U2)=W2, 0, 1)
    )
  )
)</f>
        <v>4</v>
      </c>
      <c r="AB2" s="45">
        <f t="shared" ref="AB2:AB8" si="2">IF(
    OR(ISBLANK(W2), ISBLANK(X2)),
    "",
    MAX(1, IF(
        NETWORKDAYS(W2, X2) &lt;= 0,
        1,
        NETWORKDAYS(W2, X2) - IF(W2 = X2, 0, 1)
    ))
)</f>
        <v>1</v>
      </c>
      <c r="AC2" s="7" t="s">
        <v>150</v>
      </c>
      <c r="AD2" s="11">
        <v>236</v>
      </c>
      <c r="AE2" s="82">
        <v>18436.48</v>
      </c>
      <c r="AF2" s="11"/>
      <c r="AG2" s="7"/>
      <c r="AH2" s="44" t="s">
        <v>151</v>
      </c>
      <c r="AI2" s="11" t="s">
        <v>49</v>
      </c>
      <c r="AJ2" s="11" t="s">
        <v>49</v>
      </c>
      <c r="AK2" s="11" t="s">
        <v>49</v>
      </c>
      <c r="AL2" s="11" t="s">
        <v>49</v>
      </c>
      <c r="AM2" s="11" t="s">
        <v>49</v>
      </c>
      <c r="AN2" s="11" t="s">
        <v>49</v>
      </c>
      <c r="AO2" s="34"/>
      <c r="AP2" s="11"/>
      <c r="AQ2" s="11"/>
      <c r="AR2" s="8">
        <v>25115.75</v>
      </c>
      <c r="AS2" s="6"/>
      <c r="AT2" s="8">
        <v>9280.27</v>
      </c>
      <c r="AU2" s="6"/>
      <c r="AV2" s="8">
        <v>8469.0300000000007</v>
      </c>
      <c r="AW2" s="6"/>
      <c r="AX2" s="8">
        <v>1444.16</v>
      </c>
      <c r="AY2" s="6"/>
      <c r="AZ2" s="8">
        <v>2732.59</v>
      </c>
      <c r="BA2" s="6"/>
      <c r="BB2" s="8">
        <v>3189.7</v>
      </c>
      <c r="BC2" s="6"/>
      <c r="BD2" s="41">
        <f t="shared" ref="BD2:BD33" si="3">SUM(BF2,BH2,BJ2,BL2,BN2)</f>
        <v>0</v>
      </c>
      <c r="BE2" s="6"/>
      <c r="BF2" s="6"/>
      <c r="BG2" s="6"/>
      <c r="BH2" s="6"/>
      <c r="BI2" s="6"/>
      <c r="BJ2" s="6"/>
      <c r="BK2" s="6"/>
      <c r="BL2" s="6"/>
      <c r="BM2" s="6"/>
      <c r="BN2" s="6"/>
      <c r="BO2" s="6"/>
      <c r="BP2" s="64" t="e">
        <f t="shared" ref="BP2:BP33" si="4">SUM(BF2,BH2,BJ2)/BD2*100</f>
        <v>#DIV/0!</v>
      </c>
      <c r="BQ2" s="65" t="e">
        <f t="shared" ref="BQ2:BQ33" si="5">SUM(BL2,BN2)/BD2*100</f>
        <v>#DIV/0!</v>
      </c>
    </row>
    <row r="3" spans="1:69" ht="30">
      <c r="A3" s="75" t="s">
        <v>31</v>
      </c>
      <c r="B3" s="80" t="s">
        <v>152</v>
      </c>
      <c r="C3" s="80" t="s">
        <v>153</v>
      </c>
      <c r="D3" s="75" t="s">
        <v>143</v>
      </c>
      <c r="E3" s="75" t="s">
        <v>144</v>
      </c>
      <c r="F3" s="11">
        <v>15.027900000000001</v>
      </c>
      <c r="G3" s="11">
        <v>120.69370000000001</v>
      </c>
      <c r="H3" s="4" t="str">
        <f t="shared" si="0"/>
        <v>15.0279,120.6937</v>
      </c>
      <c r="I3" s="4" t="s">
        <v>48</v>
      </c>
      <c r="J3" s="4" t="s">
        <v>154</v>
      </c>
      <c r="K3" s="11" t="s">
        <v>155</v>
      </c>
      <c r="L3" s="11">
        <v>2015</v>
      </c>
      <c r="M3" s="11">
        <v>2024</v>
      </c>
      <c r="N3" s="11" t="s">
        <v>98</v>
      </c>
      <c r="O3" s="11" t="s">
        <v>73</v>
      </c>
      <c r="P3" s="11" t="s">
        <v>33</v>
      </c>
      <c r="Q3" s="71" t="s">
        <v>147</v>
      </c>
      <c r="R3" s="76" t="s">
        <v>148</v>
      </c>
      <c r="S3" s="363" t="s">
        <v>156</v>
      </c>
      <c r="T3" s="34">
        <v>45678</v>
      </c>
      <c r="U3" s="34">
        <v>45680</v>
      </c>
      <c r="V3" s="34"/>
      <c r="W3" s="34">
        <v>45681</v>
      </c>
      <c r="X3" s="10">
        <v>45681</v>
      </c>
      <c r="Y3" s="45">
        <f t="shared" si="1"/>
        <v>2</v>
      </c>
      <c r="Z3" s="45" t="str">
        <f t="shared" si="1"/>
        <v/>
      </c>
      <c r="AA3" s="45">
        <f>IF(
  OR(IF(V3&lt;&gt;"", V3, U3)="", W3=""),
  "",
  MAX(1,
    IF(
      NETWORKDAYS(IF(V3&lt;&gt;"", V3, U3), W3) &lt;= 0,
      1,
      NETWORKDAYS(IF(V3&lt;&gt;"", V3, U3), W3) - IF(IF(V3&lt;&gt;"", V3, U3)=W3, 0, 1)
    )
  )
)</f>
        <v>1</v>
      </c>
      <c r="AB3" s="45">
        <f t="shared" si="2"/>
        <v>1</v>
      </c>
      <c r="AC3" s="7" t="s">
        <v>150</v>
      </c>
      <c r="AD3" s="11">
        <v>0.72</v>
      </c>
      <c r="AE3" s="82">
        <v>214860.78</v>
      </c>
      <c r="AF3" s="11"/>
      <c r="AG3" s="7"/>
      <c r="AH3" s="44" t="s">
        <v>151</v>
      </c>
      <c r="AI3" s="11" t="s">
        <v>49</v>
      </c>
      <c r="AJ3" s="11" t="s">
        <v>49</v>
      </c>
      <c r="AK3" s="11" t="s">
        <v>49</v>
      </c>
      <c r="AL3" s="11" t="s">
        <v>49</v>
      </c>
      <c r="AM3" s="11" t="s">
        <v>49</v>
      </c>
      <c r="AN3" s="11" t="s">
        <v>49</v>
      </c>
      <c r="AO3" s="34"/>
      <c r="AP3" s="11"/>
      <c r="AQ3" s="11"/>
      <c r="AR3" s="8">
        <v>327929.32</v>
      </c>
      <c r="AS3" s="6"/>
      <c r="AT3" s="8">
        <v>196331.28</v>
      </c>
      <c r="AU3" s="6"/>
      <c r="AV3" s="8">
        <v>64208.56</v>
      </c>
      <c r="AW3" s="6"/>
      <c r="AX3" s="8">
        <v>27546.06</v>
      </c>
      <c r="AY3" s="6"/>
      <c r="AZ3" s="8">
        <v>32497.8</v>
      </c>
      <c r="BA3" s="6"/>
      <c r="BB3" s="8">
        <v>7345.62</v>
      </c>
      <c r="BC3" s="6"/>
      <c r="BD3" s="41">
        <f t="shared" si="3"/>
        <v>0</v>
      </c>
      <c r="BE3" s="6"/>
      <c r="BF3" s="6"/>
      <c r="BG3" s="6"/>
      <c r="BH3" s="6"/>
      <c r="BI3" s="6"/>
      <c r="BJ3" s="6"/>
      <c r="BK3" s="6"/>
      <c r="BL3" s="6"/>
      <c r="BM3" s="6"/>
      <c r="BN3" s="6"/>
      <c r="BO3" s="6"/>
      <c r="BP3" s="64" t="e">
        <f t="shared" si="4"/>
        <v>#DIV/0!</v>
      </c>
      <c r="BQ3" s="65" t="e">
        <f t="shared" si="5"/>
        <v>#DIV/0!</v>
      </c>
    </row>
    <row r="4" spans="1:69" ht="30">
      <c r="A4" s="75" t="s">
        <v>40</v>
      </c>
      <c r="B4" s="80" t="s">
        <v>157</v>
      </c>
      <c r="C4" s="80" t="s">
        <v>158</v>
      </c>
      <c r="D4" s="75" t="s">
        <v>159</v>
      </c>
      <c r="E4" s="75" t="s">
        <v>160</v>
      </c>
      <c r="F4" s="11">
        <v>14.842411</v>
      </c>
      <c r="G4" s="11">
        <v>120.28764700000001</v>
      </c>
      <c r="H4" s="4" t="str">
        <f t="shared" si="0"/>
        <v>14.842411,120.287647</v>
      </c>
      <c r="I4" s="4" t="s">
        <v>48</v>
      </c>
      <c r="J4" s="7" t="s">
        <v>161</v>
      </c>
      <c r="K4" s="11" t="s">
        <v>162</v>
      </c>
      <c r="L4" s="11">
        <v>2023</v>
      </c>
      <c r="M4" s="11">
        <v>2032</v>
      </c>
      <c r="N4" s="11"/>
      <c r="O4" s="9" t="s">
        <v>73</v>
      </c>
      <c r="P4" s="11" t="s">
        <v>41</v>
      </c>
      <c r="Q4" s="71" t="s">
        <v>163</v>
      </c>
      <c r="R4" s="71" t="s">
        <v>164</v>
      </c>
      <c r="S4" s="363" t="s">
        <v>165</v>
      </c>
      <c r="T4" s="34">
        <v>45673</v>
      </c>
      <c r="U4" s="34">
        <v>45679</v>
      </c>
      <c r="V4" s="34">
        <v>45679</v>
      </c>
      <c r="W4" s="10">
        <v>45680</v>
      </c>
      <c r="X4" s="10">
        <v>45680</v>
      </c>
      <c r="Y4" s="45">
        <f t="shared" si="1"/>
        <v>4</v>
      </c>
      <c r="Z4" s="45">
        <f t="shared" si="1"/>
        <v>1</v>
      </c>
      <c r="AA4" s="45">
        <f>IF(
    OR(ISBLANK(U4), ISBLANK(W4)),
    "",
    MAX(1, IF(
        NETWORKDAYS(U4, W4) &lt;= 0,
        1,
        NETWORKDAYS(U4, W4) - IF(U4 = W4, 0, 1)
    ))
)</f>
        <v>1</v>
      </c>
      <c r="AB4" s="45">
        <f t="shared" si="2"/>
        <v>1</v>
      </c>
      <c r="AC4" s="7" t="s">
        <v>150</v>
      </c>
      <c r="AD4" s="11">
        <v>0.89300000000000002</v>
      </c>
      <c r="AE4" s="82">
        <v>252160.875</v>
      </c>
      <c r="AF4" s="83">
        <v>0.76839999999999997</v>
      </c>
      <c r="AG4" s="318" t="s">
        <v>166</v>
      </c>
      <c r="AH4" s="44" t="s">
        <v>151</v>
      </c>
      <c r="AI4" s="11" t="s">
        <v>49</v>
      </c>
      <c r="AJ4" s="11" t="s">
        <v>49</v>
      </c>
      <c r="AK4" s="11" t="s">
        <v>49</v>
      </c>
      <c r="AL4" s="11" t="s">
        <v>49</v>
      </c>
      <c r="AM4" s="11"/>
      <c r="AN4" s="11" t="s">
        <v>49</v>
      </c>
      <c r="AO4" s="34"/>
      <c r="AP4" s="11"/>
      <c r="AQ4" s="11"/>
      <c r="AR4" s="8">
        <v>303429.12</v>
      </c>
      <c r="AS4" s="6"/>
      <c r="AT4" s="8">
        <v>123738.39</v>
      </c>
      <c r="AU4" s="6"/>
      <c r="AV4" s="8">
        <v>94548.51</v>
      </c>
      <c r="AW4" s="6"/>
      <c r="AX4" s="8">
        <v>14868.03</v>
      </c>
      <c r="AY4" s="6"/>
      <c r="AZ4" s="8">
        <v>60685.82</v>
      </c>
      <c r="BA4" s="6"/>
      <c r="BB4" s="8">
        <v>9588.36</v>
      </c>
      <c r="BC4" s="6"/>
      <c r="BD4" s="41">
        <f t="shared" si="3"/>
        <v>0</v>
      </c>
      <c r="BE4" s="6"/>
      <c r="BF4" s="6"/>
      <c r="BG4" s="6"/>
      <c r="BH4" s="6"/>
      <c r="BI4" s="6"/>
      <c r="BJ4" s="6"/>
      <c r="BK4" s="6"/>
      <c r="BL4" s="6"/>
      <c r="BM4" s="6"/>
      <c r="BN4" s="6"/>
      <c r="BO4" s="6"/>
      <c r="BP4" s="64" t="e">
        <f t="shared" si="4"/>
        <v>#DIV/0!</v>
      </c>
      <c r="BQ4" s="65" t="e">
        <f t="shared" si="5"/>
        <v>#DIV/0!</v>
      </c>
    </row>
    <row r="5" spans="1:69" ht="45">
      <c r="A5" s="74" t="s">
        <v>12</v>
      </c>
      <c r="B5" s="79" t="s">
        <v>167</v>
      </c>
      <c r="C5" s="348" t="s">
        <v>168</v>
      </c>
      <c r="D5" s="75" t="s">
        <v>159</v>
      </c>
      <c r="E5" s="4"/>
      <c r="F5" s="4">
        <v>15.755877999999999</v>
      </c>
      <c r="G5" s="4">
        <v>121.55053700000001</v>
      </c>
      <c r="H5" s="4" t="str">
        <f t="shared" si="0"/>
        <v>15.755878,121.550537</v>
      </c>
      <c r="I5" s="4" t="s">
        <v>55</v>
      </c>
      <c r="J5" s="4" t="s">
        <v>169</v>
      </c>
      <c r="K5" s="4" t="s">
        <v>170</v>
      </c>
      <c r="L5" s="4">
        <v>2019</v>
      </c>
      <c r="M5" s="4" t="s">
        <v>171</v>
      </c>
      <c r="N5" s="4"/>
      <c r="O5" s="4" t="s">
        <v>82</v>
      </c>
      <c r="P5" s="4" t="s">
        <v>172</v>
      </c>
      <c r="Q5" s="70"/>
      <c r="R5" s="71" t="s">
        <v>163</v>
      </c>
      <c r="S5" s="16" t="s">
        <v>173</v>
      </c>
      <c r="T5" s="33">
        <v>45930</v>
      </c>
      <c r="U5" s="33">
        <v>45932</v>
      </c>
      <c r="V5" s="33"/>
      <c r="W5" s="33">
        <v>45938</v>
      </c>
      <c r="X5" s="34">
        <v>45940</v>
      </c>
      <c r="Y5" s="45">
        <f t="shared" si="1"/>
        <v>2</v>
      </c>
      <c r="Z5" s="45" t="str">
        <f t="shared" si="1"/>
        <v/>
      </c>
      <c r="AA5" s="45">
        <f t="shared" ref="AA5:AA15" si="6">IF(
  OR(IF(V5&lt;&gt;"", V5, U5)="", W5=""),
  "",
  MAX(1,
    IF(
      NETWORKDAYS(IF(V5&lt;&gt;"", V5, U5), W5) &lt;= 0,
      1,
      NETWORKDAYS(IF(V5&lt;&gt;"", V5, U5), W5) - IF(IF(V5&lt;&gt;"", V5, U5)=W5, 0, 1)
    )
  )
)</f>
        <v>4</v>
      </c>
      <c r="AB5" s="45">
        <f t="shared" si="2"/>
        <v>2</v>
      </c>
      <c r="AC5" s="7" t="s">
        <v>150</v>
      </c>
      <c r="AD5" s="11">
        <v>0.36</v>
      </c>
      <c r="AE5" s="82">
        <v>37538.47</v>
      </c>
      <c r="AF5" s="11">
        <v>86.22</v>
      </c>
      <c r="AG5" s="7" t="s">
        <v>174</v>
      </c>
      <c r="AH5" s="44" t="s">
        <v>151</v>
      </c>
      <c r="AI5" s="13" t="s">
        <v>49</v>
      </c>
      <c r="AJ5" s="13" t="s">
        <v>49</v>
      </c>
      <c r="AK5" s="13" t="s">
        <v>49</v>
      </c>
      <c r="AL5" s="7"/>
      <c r="AM5" s="13" t="s">
        <v>49</v>
      </c>
      <c r="AN5" s="13" t="s">
        <v>49</v>
      </c>
      <c r="AO5" s="33"/>
      <c r="AP5" s="4"/>
      <c r="AQ5" s="11"/>
      <c r="AR5" s="8">
        <v>37538.47</v>
      </c>
      <c r="AS5" s="6"/>
      <c r="AT5" s="8">
        <v>13920.56</v>
      </c>
      <c r="AU5" s="6"/>
      <c r="AV5" s="8">
        <v>7540.04</v>
      </c>
      <c r="AW5" s="6"/>
      <c r="AX5" s="6"/>
      <c r="AY5" s="6"/>
      <c r="AZ5" s="8">
        <v>7540.04</v>
      </c>
      <c r="BA5" s="6"/>
      <c r="BB5" s="8">
        <v>1920.8</v>
      </c>
      <c r="BC5" s="6"/>
      <c r="BD5" s="41">
        <f t="shared" si="3"/>
        <v>0</v>
      </c>
      <c r="BE5" s="6"/>
      <c r="BF5" s="6"/>
      <c r="BG5" s="6"/>
      <c r="BH5" s="6"/>
      <c r="BI5" s="6"/>
      <c r="BJ5" s="6"/>
      <c r="BK5" s="6"/>
      <c r="BL5" s="6"/>
      <c r="BM5" s="6"/>
      <c r="BN5" s="6"/>
      <c r="BO5" s="6"/>
      <c r="BP5" s="64" t="e">
        <f t="shared" si="4"/>
        <v>#DIV/0!</v>
      </c>
      <c r="BQ5" s="65" t="e">
        <f t="shared" si="5"/>
        <v>#DIV/0!</v>
      </c>
    </row>
    <row r="6" spans="1:69">
      <c r="A6" s="75" t="s">
        <v>16</v>
      </c>
      <c r="B6" s="80" t="s">
        <v>175</v>
      </c>
      <c r="C6" s="80" t="s">
        <v>176</v>
      </c>
      <c r="D6" s="75" t="s">
        <v>143</v>
      </c>
      <c r="E6" s="75" t="s">
        <v>160</v>
      </c>
      <c r="F6" s="4">
        <v>14.802092999999999</v>
      </c>
      <c r="G6" s="4">
        <v>120.536636</v>
      </c>
      <c r="H6" s="4" t="str">
        <f t="shared" si="0"/>
        <v>14.802093,120.536636</v>
      </c>
      <c r="I6" s="4" t="s">
        <v>48</v>
      </c>
      <c r="J6" s="4" t="s">
        <v>177</v>
      </c>
      <c r="K6" s="4" t="s">
        <v>178</v>
      </c>
      <c r="L6" s="4">
        <v>2018</v>
      </c>
      <c r="M6" s="4">
        <v>2028</v>
      </c>
      <c r="N6" s="4"/>
      <c r="O6" s="4" t="s">
        <v>82</v>
      </c>
      <c r="P6" s="9" t="s">
        <v>179</v>
      </c>
      <c r="Q6" s="70"/>
      <c r="R6" s="71" t="s">
        <v>180</v>
      </c>
      <c r="S6" s="4" t="s">
        <v>181</v>
      </c>
      <c r="T6" s="33">
        <v>45939</v>
      </c>
      <c r="U6" s="33">
        <v>45940</v>
      </c>
      <c r="V6" s="33"/>
      <c r="W6" s="33">
        <v>45943</v>
      </c>
      <c r="X6" s="34">
        <v>45945</v>
      </c>
      <c r="Y6" s="45">
        <f t="shared" si="1"/>
        <v>1</v>
      </c>
      <c r="Z6" s="45" t="str">
        <f t="shared" si="1"/>
        <v/>
      </c>
      <c r="AA6" s="45">
        <f t="shared" si="6"/>
        <v>1</v>
      </c>
      <c r="AB6" s="45">
        <f t="shared" si="2"/>
        <v>2</v>
      </c>
      <c r="AC6" s="7" t="s">
        <v>150</v>
      </c>
      <c r="AD6" s="11">
        <v>0.76500000000000001</v>
      </c>
      <c r="AE6" s="82">
        <v>52223.13</v>
      </c>
      <c r="AF6" s="83">
        <v>0.77</v>
      </c>
      <c r="AG6" s="7" t="s">
        <v>182</v>
      </c>
      <c r="AH6" s="44" t="str">
        <f>IF(AND(AI6 = "YES", AJ6 = "YES", AK6 = "YES", AL6 = "YES", AN6 = "YES"), "Compliant", "Not Compliant")</f>
        <v>Compliant</v>
      </c>
      <c r="AI6" s="11" t="s">
        <v>49</v>
      </c>
      <c r="AJ6" s="11" t="s">
        <v>49</v>
      </c>
      <c r="AK6" s="11" t="s">
        <v>49</v>
      </c>
      <c r="AL6" s="11" t="s">
        <v>49</v>
      </c>
      <c r="AM6" s="11" t="s">
        <v>49</v>
      </c>
      <c r="AN6" s="11" t="s">
        <v>49</v>
      </c>
      <c r="AO6" s="33"/>
      <c r="AP6" s="4"/>
      <c r="AQ6" s="11"/>
      <c r="AR6" s="8">
        <v>20513.150000000001</v>
      </c>
      <c r="AS6" s="6"/>
      <c r="AT6" s="8">
        <v>8342.7000000000007</v>
      </c>
      <c r="AU6" s="6"/>
      <c r="AV6" s="8">
        <v>5222.6499999999996</v>
      </c>
      <c r="AW6" s="6"/>
      <c r="AX6" s="8">
        <v>4244.17</v>
      </c>
      <c r="AY6" s="6"/>
      <c r="AZ6" s="8">
        <v>1238.99</v>
      </c>
      <c r="BA6" s="6"/>
      <c r="BB6" s="8">
        <v>1464.64</v>
      </c>
      <c r="BC6" s="6"/>
      <c r="BD6" s="41">
        <f t="shared" si="3"/>
        <v>0</v>
      </c>
      <c r="BE6" s="6"/>
      <c r="BF6" s="6"/>
      <c r="BG6" s="6"/>
      <c r="BH6" s="6"/>
      <c r="BI6" s="6"/>
      <c r="BJ6" s="6"/>
      <c r="BK6" s="6"/>
      <c r="BL6" s="6"/>
      <c r="BM6" s="6"/>
      <c r="BN6" s="6"/>
      <c r="BO6" s="6"/>
      <c r="BP6" s="64" t="e">
        <f t="shared" si="4"/>
        <v>#DIV/0!</v>
      </c>
      <c r="BQ6" s="65" t="e">
        <f t="shared" si="5"/>
        <v>#DIV/0!</v>
      </c>
    </row>
    <row r="7" spans="1:69">
      <c r="A7" s="75" t="s">
        <v>16</v>
      </c>
      <c r="B7" s="80" t="s">
        <v>183</v>
      </c>
      <c r="C7" s="80" t="s">
        <v>184</v>
      </c>
      <c r="D7" s="75" t="s">
        <v>143</v>
      </c>
      <c r="E7" s="75" t="s">
        <v>185</v>
      </c>
      <c r="F7" s="9">
        <v>14.621155</v>
      </c>
      <c r="G7" s="9">
        <v>120.576472</v>
      </c>
      <c r="H7" s="4" t="str">
        <f t="shared" si="0"/>
        <v>14.621155,120.576472</v>
      </c>
      <c r="I7" s="4" t="s">
        <v>48</v>
      </c>
      <c r="J7" s="4" t="s">
        <v>186</v>
      </c>
      <c r="K7" s="9" t="s">
        <v>187</v>
      </c>
      <c r="L7" s="9">
        <v>2017</v>
      </c>
      <c r="M7" s="9">
        <v>2025</v>
      </c>
      <c r="N7" s="11" t="s">
        <v>98</v>
      </c>
      <c r="O7" s="4" t="s">
        <v>82</v>
      </c>
      <c r="P7" s="9" t="s">
        <v>188</v>
      </c>
      <c r="Q7" s="71"/>
      <c r="R7" s="71" t="s">
        <v>180</v>
      </c>
      <c r="S7" s="11" t="s">
        <v>189</v>
      </c>
      <c r="T7" s="34">
        <v>45940</v>
      </c>
      <c r="U7" s="34">
        <v>45942</v>
      </c>
      <c r="V7" s="35"/>
      <c r="W7" s="34">
        <v>45943</v>
      </c>
      <c r="X7" s="34">
        <v>45944</v>
      </c>
      <c r="Y7" s="45">
        <f t="shared" si="1"/>
        <v>1</v>
      </c>
      <c r="Z7" s="45" t="str">
        <f t="shared" si="1"/>
        <v/>
      </c>
      <c r="AA7" s="45">
        <f t="shared" si="6"/>
        <v>1</v>
      </c>
      <c r="AB7" s="45">
        <f t="shared" si="2"/>
        <v>1</v>
      </c>
      <c r="AC7" s="7" t="s">
        <v>150</v>
      </c>
      <c r="AD7" s="11">
        <v>0.59299999999999997</v>
      </c>
      <c r="AE7" s="82">
        <v>33610</v>
      </c>
      <c r="AF7" s="11">
        <v>77.569999999999993</v>
      </c>
      <c r="AG7" s="7" t="s">
        <v>190</v>
      </c>
      <c r="AH7" s="44" t="str">
        <f>IF(AND(AI7 = "YES", AJ7 = "YES", AK7 = "YES", AL7 = "YES", AN7 = "YES"), "Compliant", "Not Compliant")</f>
        <v>Not Compliant</v>
      </c>
      <c r="AI7" s="7"/>
      <c r="AJ7" s="7"/>
      <c r="AK7" s="7"/>
      <c r="AL7" s="7"/>
      <c r="AM7" s="7"/>
      <c r="AN7" s="7"/>
      <c r="AO7" s="35"/>
      <c r="AP7" s="4"/>
      <c r="AQ7" s="11"/>
      <c r="AR7" s="8">
        <v>18803.439999999999</v>
      </c>
      <c r="AS7" s="6"/>
      <c r="AT7" s="8">
        <v>7647.36</v>
      </c>
      <c r="AU7" s="6"/>
      <c r="AV7" s="8">
        <v>3634.71</v>
      </c>
      <c r="AW7" s="6"/>
      <c r="AX7" s="8">
        <v>5043.08</v>
      </c>
      <c r="AY7" s="6"/>
      <c r="AZ7" s="8">
        <v>1135.73</v>
      </c>
      <c r="BA7" s="6"/>
      <c r="BB7" s="8">
        <v>1342.57</v>
      </c>
      <c r="BC7" s="6"/>
      <c r="BD7" s="41">
        <f t="shared" si="3"/>
        <v>0</v>
      </c>
      <c r="BE7" s="6"/>
      <c r="BF7" s="6"/>
      <c r="BG7" s="6"/>
      <c r="BH7" s="6"/>
      <c r="BI7" s="6"/>
      <c r="BJ7" s="6"/>
      <c r="BK7" s="6"/>
      <c r="BL7" s="6"/>
      <c r="BM7" s="6"/>
      <c r="BN7" s="6"/>
      <c r="BO7" s="6"/>
      <c r="BP7" s="64" t="e">
        <f t="shared" si="4"/>
        <v>#DIV/0!</v>
      </c>
      <c r="BQ7" s="65" t="e">
        <f t="shared" si="5"/>
        <v>#DIV/0!</v>
      </c>
    </row>
    <row r="8" spans="1:69" ht="45">
      <c r="A8" s="74" t="s">
        <v>16</v>
      </c>
      <c r="B8" s="79" t="s">
        <v>191</v>
      </c>
      <c r="C8" s="79" t="s">
        <v>192</v>
      </c>
      <c r="D8" s="75" t="s">
        <v>159</v>
      </c>
      <c r="E8" s="9"/>
      <c r="F8" s="9">
        <v>14.676</v>
      </c>
      <c r="G8" s="9">
        <v>120.5295</v>
      </c>
      <c r="H8" s="4" t="str">
        <f t="shared" si="0"/>
        <v>14.676,120.5295</v>
      </c>
      <c r="I8" s="9" t="s">
        <v>55</v>
      </c>
      <c r="J8" s="4" t="s">
        <v>193</v>
      </c>
      <c r="K8" s="9" t="s">
        <v>194</v>
      </c>
      <c r="L8" s="9">
        <v>2021</v>
      </c>
      <c r="M8" s="9">
        <v>2030</v>
      </c>
      <c r="N8" s="9"/>
      <c r="O8" s="4" t="s">
        <v>82</v>
      </c>
      <c r="P8" s="9"/>
      <c r="Q8" s="71"/>
      <c r="R8" s="71" t="s">
        <v>180</v>
      </c>
      <c r="S8" s="11" t="s">
        <v>195</v>
      </c>
      <c r="T8" s="35">
        <v>45947</v>
      </c>
      <c r="U8" s="35">
        <v>45950</v>
      </c>
      <c r="V8" s="35"/>
      <c r="W8" s="35">
        <v>45950</v>
      </c>
      <c r="X8" s="34">
        <v>45950</v>
      </c>
      <c r="Y8" s="45">
        <f t="shared" si="1"/>
        <v>1</v>
      </c>
      <c r="Z8" s="45" t="str">
        <f t="shared" si="1"/>
        <v/>
      </c>
      <c r="AA8" s="45">
        <f t="shared" si="6"/>
        <v>1</v>
      </c>
      <c r="AB8" s="45">
        <f t="shared" si="2"/>
        <v>1</v>
      </c>
      <c r="AC8" s="7" t="s">
        <v>150</v>
      </c>
      <c r="AD8" s="11">
        <v>0.39400000000000002</v>
      </c>
      <c r="AE8" s="11">
        <v>367171.2</v>
      </c>
      <c r="AF8" s="11">
        <v>75.849999999999994</v>
      </c>
      <c r="AG8" s="7" t="s">
        <v>196</v>
      </c>
      <c r="AH8" s="44" t="str">
        <f>IF(AND(AI8 = "YES", AJ8 = "YES", AK8 = "YES", AL8 = "YES", AN8 = "YES"), "Compliant", "Not Compliant")</f>
        <v>Compliant</v>
      </c>
      <c r="AI8" s="7" t="s">
        <v>49</v>
      </c>
      <c r="AJ8" s="7" t="s">
        <v>49</v>
      </c>
      <c r="AK8" s="7" t="s">
        <v>49</v>
      </c>
      <c r="AL8" s="7" t="s">
        <v>49</v>
      </c>
      <c r="AM8" s="7"/>
      <c r="AN8" s="7" t="s">
        <v>49</v>
      </c>
      <c r="AO8" s="35"/>
      <c r="AP8" s="4"/>
      <c r="AQ8" s="11"/>
      <c r="AR8" s="6"/>
      <c r="AS8" s="6"/>
      <c r="AT8" s="6"/>
      <c r="AU8" s="6"/>
      <c r="AV8" s="6"/>
      <c r="AW8" s="6"/>
      <c r="AX8" s="6"/>
      <c r="AY8" s="6"/>
      <c r="AZ8" s="6"/>
      <c r="BA8" s="6"/>
      <c r="BB8" s="6"/>
      <c r="BC8" s="6"/>
      <c r="BD8" s="41">
        <f t="shared" si="3"/>
        <v>0</v>
      </c>
      <c r="BE8" s="6"/>
      <c r="BF8" s="6"/>
      <c r="BG8" s="6"/>
      <c r="BH8" s="6"/>
      <c r="BI8" s="6"/>
      <c r="BJ8" s="6"/>
      <c r="BK8" s="6"/>
      <c r="BL8" s="6"/>
      <c r="BM8" s="6"/>
      <c r="BN8" s="6"/>
      <c r="BO8" s="6"/>
      <c r="BP8" s="64" t="e">
        <f t="shared" si="4"/>
        <v>#DIV/0!</v>
      </c>
      <c r="BQ8" s="65" t="e">
        <f t="shared" si="5"/>
        <v>#DIV/0!</v>
      </c>
    </row>
    <row r="9" spans="1:69" ht="30">
      <c r="A9" s="75" t="s">
        <v>20</v>
      </c>
      <c r="B9" s="80" t="s">
        <v>197</v>
      </c>
      <c r="C9" s="80" t="s">
        <v>198</v>
      </c>
      <c r="D9" s="75" t="s">
        <v>143</v>
      </c>
      <c r="E9" s="75" t="s">
        <v>144</v>
      </c>
      <c r="F9" s="4">
        <v>15.077943729999999</v>
      </c>
      <c r="G9" s="4">
        <v>120.9428805</v>
      </c>
      <c r="H9" s="4" t="str">
        <f t="shared" si="0"/>
        <v>15.07794373,120.9428805</v>
      </c>
      <c r="I9" s="4" t="s">
        <v>48</v>
      </c>
      <c r="J9" s="4">
        <v>1245</v>
      </c>
      <c r="K9" s="4" t="s">
        <v>199</v>
      </c>
      <c r="L9" s="4">
        <v>2019</v>
      </c>
      <c r="M9" s="4">
        <v>2027</v>
      </c>
      <c r="N9" s="4"/>
      <c r="O9" s="4" t="s">
        <v>82</v>
      </c>
      <c r="P9" s="9" t="s">
        <v>200</v>
      </c>
      <c r="Q9" s="71" t="s">
        <v>147</v>
      </c>
      <c r="R9" s="71" t="s">
        <v>201</v>
      </c>
      <c r="S9" s="16" t="s">
        <v>202</v>
      </c>
      <c r="T9" s="33">
        <v>45944</v>
      </c>
      <c r="U9" s="33">
        <v>45945</v>
      </c>
      <c r="V9" s="33">
        <v>45946</v>
      </c>
      <c r="W9" s="33">
        <v>45946</v>
      </c>
      <c r="X9" s="34">
        <v>45950</v>
      </c>
      <c r="Y9" s="45">
        <v>1</v>
      </c>
      <c r="Z9" s="45">
        <f t="shared" ref="Z9:Z40" si="7">IF(
    OR(ISBLANK(U9), ISBLANK(V9)),
    "",
    MAX(1, IF(
        NETWORKDAYS(U9, V9) &lt;= 0,
        1,
        NETWORKDAYS(U9, V9) - IF(U9 = V9, 0, 1)
    ))
)</f>
        <v>1</v>
      </c>
      <c r="AA9" s="45">
        <f t="shared" si="6"/>
        <v>1</v>
      </c>
      <c r="AB9" s="45">
        <v>2</v>
      </c>
      <c r="AC9" s="7" t="s">
        <v>150</v>
      </c>
      <c r="AD9" s="11">
        <v>0.38200000000000001</v>
      </c>
      <c r="AE9" s="11" t="s">
        <v>203</v>
      </c>
      <c r="AF9" s="11">
        <v>65</v>
      </c>
      <c r="AG9" s="7" t="s">
        <v>204</v>
      </c>
      <c r="AH9" s="44" t="s">
        <v>151</v>
      </c>
      <c r="AI9" s="7" t="s">
        <v>49</v>
      </c>
      <c r="AJ9" s="7" t="s">
        <v>49</v>
      </c>
      <c r="AK9" s="7" t="s">
        <v>49</v>
      </c>
      <c r="AL9" s="7" t="s">
        <v>49</v>
      </c>
      <c r="AM9" s="7" t="s">
        <v>49</v>
      </c>
      <c r="AN9" s="7" t="s">
        <v>49</v>
      </c>
      <c r="AO9" s="33"/>
      <c r="AP9" s="4"/>
      <c r="AQ9" s="11"/>
      <c r="AR9" s="8">
        <v>54413.03</v>
      </c>
      <c r="AS9" s="6"/>
      <c r="AT9" s="8">
        <v>21025.200000000001</v>
      </c>
      <c r="AU9" s="6"/>
      <c r="AV9" s="8">
        <v>14381.36</v>
      </c>
      <c r="AW9" s="6"/>
      <c r="AX9" s="8">
        <v>13369.28</v>
      </c>
      <c r="AY9" s="6"/>
      <c r="AZ9" s="8">
        <v>1708.57</v>
      </c>
      <c r="BA9" s="6"/>
      <c r="BB9" s="8">
        <v>3928.62</v>
      </c>
      <c r="BC9" s="6"/>
      <c r="BD9" s="41">
        <f t="shared" si="3"/>
        <v>0</v>
      </c>
      <c r="BE9" s="6"/>
      <c r="BF9" s="6"/>
      <c r="BG9" s="6"/>
      <c r="BH9" s="6"/>
      <c r="BI9" s="6"/>
      <c r="BJ9" s="6"/>
      <c r="BK9" s="6"/>
      <c r="BL9" s="6"/>
      <c r="BM9" s="6"/>
      <c r="BN9" s="6"/>
      <c r="BO9" s="6"/>
      <c r="BP9" s="64" t="e">
        <f t="shared" si="4"/>
        <v>#DIV/0!</v>
      </c>
      <c r="BQ9" s="65" t="e">
        <f t="shared" si="5"/>
        <v>#DIV/0!</v>
      </c>
    </row>
    <row r="10" spans="1:69" ht="30">
      <c r="A10" s="75" t="s">
        <v>20</v>
      </c>
      <c r="B10" s="80" t="s">
        <v>205</v>
      </c>
      <c r="C10" s="80" t="s">
        <v>206</v>
      </c>
      <c r="D10" s="75" t="s">
        <v>143</v>
      </c>
      <c r="E10" s="75" t="s">
        <v>144</v>
      </c>
      <c r="F10" s="9">
        <v>14.982975</v>
      </c>
      <c r="G10" s="9">
        <v>120.927646</v>
      </c>
      <c r="H10" s="4" t="str">
        <f t="shared" si="0"/>
        <v>14.982975,120.927646</v>
      </c>
      <c r="I10" s="4" t="s">
        <v>48</v>
      </c>
      <c r="J10" s="4" t="s">
        <v>207</v>
      </c>
      <c r="K10" s="9" t="s">
        <v>155</v>
      </c>
      <c r="L10" s="9">
        <v>2015</v>
      </c>
      <c r="M10" s="9">
        <v>2024</v>
      </c>
      <c r="N10" s="11" t="s">
        <v>98</v>
      </c>
      <c r="O10" s="4" t="s">
        <v>82</v>
      </c>
      <c r="P10" s="9" t="s">
        <v>200</v>
      </c>
      <c r="Q10" s="71" t="s">
        <v>147</v>
      </c>
      <c r="R10" s="71" t="s">
        <v>201</v>
      </c>
      <c r="S10" s="11" t="s">
        <v>208</v>
      </c>
      <c r="T10" s="34">
        <v>45938</v>
      </c>
      <c r="U10" s="34">
        <v>45939</v>
      </c>
      <c r="V10" s="34">
        <v>45945</v>
      </c>
      <c r="W10" s="34">
        <v>45945</v>
      </c>
      <c r="X10" s="34">
        <v>45950</v>
      </c>
      <c r="Y10" s="45">
        <v>1</v>
      </c>
      <c r="Z10" s="45">
        <f t="shared" si="7"/>
        <v>4</v>
      </c>
      <c r="AA10" s="45">
        <f t="shared" si="6"/>
        <v>1</v>
      </c>
      <c r="AB10" s="45">
        <f t="shared" ref="AB10:AB41" si="8">IF(
    OR(ISBLANK(W10), ISBLANK(X10)),
    "",
    MAX(1, IF(
        NETWORKDAYS(W10, X10) &lt;= 0,
        1,
        NETWORKDAYS(W10, X10) - IF(W10 = X10, 0, 1)
    ))
)</f>
        <v>3</v>
      </c>
      <c r="AC10" s="7" t="s">
        <v>150</v>
      </c>
      <c r="AD10" s="103"/>
      <c r="AE10" s="317"/>
      <c r="AF10" s="103"/>
      <c r="AG10" s="316"/>
      <c r="AH10" s="44" t="s">
        <v>151</v>
      </c>
      <c r="AI10" s="7" t="s">
        <v>49</v>
      </c>
      <c r="AJ10" s="7" t="s">
        <v>49</v>
      </c>
      <c r="AK10" s="7" t="s">
        <v>49</v>
      </c>
      <c r="AL10" s="7" t="s">
        <v>49</v>
      </c>
      <c r="AM10" s="7" t="s">
        <v>49</v>
      </c>
      <c r="AN10" s="7" t="s">
        <v>49</v>
      </c>
      <c r="AO10" s="34"/>
      <c r="AP10" s="4"/>
      <c r="AQ10" s="11"/>
      <c r="AR10" s="8">
        <v>61135.47</v>
      </c>
      <c r="AS10" s="6"/>
      <c r="AT10" s="8">
        <v>38857.71</v>
      </c>
      <c r="AU10" s="6"/>
      <c r="AV10" s="8">
        <v>11145</v>
      </c>
      <c r="AW10" s="6"/>
      <c r="AX10" s="8">
        <v>6969.44</v>
      </c>
      <c r="AY10" s="6"/>
      <c r="AZ10" s="8">
        <v>3631.45</v>
      </c>
      <c r="BA10" s="6"/>
      <c r="BB10" s="6">
        <v>531.88</v>
      </c>
      <c r="BC10" s="6"/>
      <c r="BD10" s="41">
        <f t="shared" si="3"/>
        <v>0</v>
      </c>
      <c r="BE10" s="6"/>
      <c r="BF10" s="6"/>
      <c r="BG10" s="6"/>
      <c r="BH10" s="6"/>
      <c r="BI10" s="6"/>
      <c r="BJ10" s="6"/>
      <c r="BK10" s="6"/>
      <c r="BL10" s="6"/>
      <c r="BM10" s="6"/>
      <c r="BN10" s="6"/>
      <c r="BO10" s="6"/>
      <c r="BP10" s="64" t="e">
        <f t="shared" si="4"/>
        <v>#DIV/0!</v>
      </c>
      <c r="BQ10" s="65" t="e">
        <f t="shared" si="5"/>
        <v>#DIV/0!</v>
      </c>
    </row>
    <row r="11" spans="1:69" ht="30">
      <c r="A11" s="75" t="s">
        <v>25</v>
      </c>
      <c r="B11" s="80" t="s">
        <v>209</v>
      </c>
      <c r="C11" s="80" t="s">
        <v>210</v>
      </c>
      <c r="D11" s="75" t="s">
        <v>143</v>
      </c>
      <c r="E11" s="75" t="s">
        <v>185</v>
      </c>
      <c r="F11" s="9">
        <v>15.960407999999999</v>
      </c>
      <c r="G11" s="9">
        <v>121.06311700000001</v>
      </c>
      <c r="H11" s="4" t="str">
        <f t="shared" si="0"/>
        <v>15.960408,121.063117</v>
      </c>
      <c r="I11" s="4" t="s">
        <v>48</v>
      </c>
      <c r="J11" s="4">
        <v>1329</v>
      </c>
      <c r="K11" s="9" t="s">
        <v>199</v>
      </c>
      <c r="L11" s="9">
        <v>2019</v>
      </c>
      <c r="M11" s="9">
        <v>2027</v>
      </c>
      <c r="N11" s="9"/>
      <c r="O11" s="4" t="s">
        <v>82</v>
      </c>
      <c r="P11" s="9" t="s">
        <v>29</v>
      </c>
      <c r="Q11" s="71" t="s">
        <v>211</v>
      </c>
      <c r="R11" s="71" t="s">
        <v>212</v>
      </c>
      <c r="S11" s="13" t="s">
        <v>213</v>
      </c>
      <c r="T11" s="35">
        <v>45944</v>
      </c>
      <c r="U11" s="35">
        <v>45946</v>
      </c>
      <c r="V11" s="35">
        <v>45947</v>
      </c>
      <c r="W11" s="35">
        <v>45947</v>
      </c>
      <c r="X11" s="34">
        <v>45947</v>
      </c>
      <c r="Y11" s="45">
        <f t="shared" ref="Y11:Y42" si="9">IF(
    OR(ISBLANK(T11), ISBLANK(U11)),
    "",
    MAX(1, IF(
        NETWORKDAYS(T11, U11) &lt;= 0,
        1,
        NETWORKDAYS(T11, U11) - IF(T11 = U11, 0, 1)
    ))
)</f>
        <v>2</v>
      </c>
      <c r="Z11" s="45">
        <f t="shared" si="7"/>
        <v>1</v>
      </c>
      <c r="AA11" s="45">
        <f t="shared" si="6"/>
        <v>1</v>
      </c>
      <c r="AB11" s="45">
        <f t="shared" si="8"/>
        <v>1</v>
      </c>
      <c r="AC11" s="7" t="s">
        <v>150</v>
      </c>
      <c r="AD11" s="11">
        <v>0.25</v>
      </c>
      <c r="AE11" s="82">
        <v>10605</v>
      </c>
      <c r="AF11" s="11">
        <v>88</v>
      </c>
      <c r="AG11" s="7" t="s">
        <v>214</v>
      </c>
      <c r="AH11" s="44" t="str">
        <f t="shared" ref="AH11:AH16" si="10">IF(AND(AI11 = "YES", AJ11 = "YES", AK11 = "YES", AL11 = "YES", AN11 = "YES"), "Compliant", "Not Compliant")</f>
        <v>Not Compliant</v>
      </c>
      <c r="AI11" s="7" t="s">
        <v>49</v>
      </c>
      <c r="AJ11" s="7" t="s">
        <v>49</v>
      </c>
      <c r="AK11" s="7" t="s">
        <v>49</v>
      </c>
      <c r="AL11" s="7"/>
      <c r="AM11" s="7" t="s">
        <v>49</v>
      </c>
      <c r="AN11" s="7" t="s">
        <v>49</v>
      </c>
      <c r="AO11" s="35"/>
      <c r="AP11" s="4"/>
      <c r="AQ11" s="11"/>
      <c r="AR11" s="8">
        <v>12429.33</v>
      </c>
      <c r="AS11" s="6"/>
      <c r="AT11" s="8">
        <v>7073.53</v>
      </c>
      <c r="AU11" s="6"/>
      <c r="AV11" s="8">
        <v>3222.93</v>
      </c>
      <c r="AW11" s="6"/>
      <c r="AX11" s="6">
        <v>646.33000000000004</v>
      </c>
      <c r="AY11" s="6"/>
      <c r="AZ11" s="8">
        <v>1378.41</v>
      </c>
      <c r="BA11" s="6"/>
      <c r="BB11" s="6">
        <v>108.14</v>
      </c>
      <c r="BC11" s="6"/>
      <c r="BD11" s="41">
        <f t="shared" si="3"/>
        <v>0</v>
      </c>
      <c r="BE11" s="6"/>
      <c r="BF11" s="6"/>
      <c r="BG11" s="6"/>
      <c r="BH11" s="6"/>
      <c r="BI11" s="6"/>
      <c r="BJ11" s="6"/>
      <c r="BK11" s="6"/>
      <c r="BL11" s="6"/>
      <c r="BM11" s="6"/>
      <c r="BN11" s="6"/>
      <c r="BO11" s="6"/>
      <c r="BP11" s="64" t="e">
        <f t="shared" si="4"/>
        <v>#DIV/0!</v>
      </c>
      <c r="BQ11" s="65" t="e">
        <f t="shared" si="5"/>
        <v>#DIV/0!</v>
      </c>
    </row>
    <row r="12" spans="1:69" ht="30">
      <c r="A12" s="75" t="s">
        <v>25</v>
      </c>
      <c r="B12" s="80" t="s">
        <v>215</v>
      </c>
      <c r="C12" s="80" t="s">
        <v>216</v>
      </c>
      <c r="D12" s="75" t="s">
        <v>143</v>
      </c>
      <c r="E12" s="75" t="s">
        <v>185</v>
      </c>
      <c r="F12" s="11">
        <v>15.713327</v>
      </c>
      <c r="G12" s="11">
        <v>120.90396800000001</v>
      </c>
      <c r="H12" s="4" t="str">
        <f t="shared" si="0"/>
        <v>15.713327,120.903968</v>
      </c>
      <c r="I12" s="4" t="s">
        <v>48</v>
      </c>
      <c r="J12" s="4" t="s">
        <v>217</v>
      </c>
      <c r="K12" s="11" t="s">
        <v>218</v>
      </c>
      <c r="L12" s="11">
        <v>2018</v>
      </c>
      <c r="M12" s="11">
        <v>2027</v>
      </c>
      <c r="N12" s="11"/>
      <c r="O12" s="4" t="s">
        <v>82</v>
      </c>
      <c r="P12" s="9" t="s">
        <v>29</v>
      </c>
      <c r="Q12" s="71" t="s">
        <v>211</v>
      </c>
      <c r="R12" s="71" t="s">
        <v>212</v>
      </c>
      <c r="S12" s="11" t="s">
        <v>219</v>
      </c>
      <c r="T12" s="34">
        <v>45945</v>
      </c>
      <c r="U12" s="34">
        <v>45946</v>
      </c>
      <c r="V12" s="34">
        <v>45947</v>
      </c>
      <c r="W12" s="34">
        <v>45947</v>
      </c>
      <c r="X12" s="34">
        <v>45947</v>
      </c>
      <c r="Y12" s="45">
        <f t="shared" si="9"/>
        <v>1</v>
      </c>
      <c r="Z12" s="45">
        <f t="shared" si="7"/>
        <v>1</v>
      </c>
      <c r="AA12" s="45">
        <f t="shared" si="6"/>
        <v>1</v>
      </c>
      <c r="AB12" s="45">
        <f t="shared" si="8"/>
        <v>1</v>
      </c>
      <c r="AC12" s="7" t="s">
        <v>150</v>
      </c>
      <c r="AD12" s="11">
        <v>0.376</v>
      </c>
      <c r="AE12" s="82">
        <v>31699.81</v>
      </c>
      <c r="AF12" s="11">
        <v>89</v>
      </c>
      <c r="AG12" s="7" t="s">
        <v>220</v>
      </c>
      <c r="AH12" s="44" t="str">
        <f t="shared" si="10"/>
        <v>Compliant</v>
      </c>
      <c r="AI12" s="11" t="s">
        <v>49</v>
      </c>
      <c r="AJ12" s="11" t="s">
        <v>49</v>
      </c>
      <c r="AK12" s="11" t="s">
        <v>49</v>
      </c>
      <c r="AL12" s="11" t="s">
        <v>49</v>
      </c>
      <c r="AM12" s="11" t="s">
        <v>49</v>
      </c>
      <c r="AN12" s="11" t="s">
        <v>49</v>
      </c>
      <c r="AO12" s="34"/>
      <c r="AP12" s="11"/>
      <c r="AQ12" s="11"/>
      <c r="AR12" s="8">
        <v>37520.29</v>
      </c>
      <c r="AS12" s="6"/>
      <c r="AT12" s="8">
        <v>22095.7</v>
      </c>
      <c r="AU12" s="6"/>
      <c r="AV12" s="8">
        <v>6794.92</v>
      </c>
      <c r="AW12" s="6"/>
      <c r="AX12" s="8">
        <v>4584.9799999999996</v>
      </c>
      <c r="AY12" s="6"/>
      <c r="AZ12" s="8">
        <v>3902.11</v>
      </c>
      <c r="BA12" s="6"/>
      <c r="BB12" s="6">
        <v>142.58000000000001</v>
      </c>
      <c r="BC12" s="6"/>
      <c r="BD12" s="41">
        <f t="shared" si="3"/>
        <v>0</v>
      </c>
      <c r="BE12" s="6"/>
      <c r="BF12" s="6"/>
      <c r="BG12" s="6"/>
      <c r="BH12" s="6"/>
      <c r="BI12" s="6"/>
      <c r="BJ12" s="6"/>
      <c r="BK12" s="6"/>
      <c r="BL12" s="6"/>
      <c r="BM12" s="6"/>
      <c r="BN12" s="6"/>
      <c r="BO12" s="6"/>
      <c r="BP12" s="64" t="e">
        <f t="shared" si="4"/>
        <v>#DIV/0!</v>
      </c>
      <c r="BQ12" s="65" t="e">
        <f t="shared" si="5"/>
        <v>#DIV/0!</v>
      </c>
    </row>
    <row r="13" spans="1:69" ht="30">
      <c r="A13" s="75" t="s">
        <v>25</v>
      </c>
      <c r="B13" s="80" t="s">
        <v>221</v>
      </c>
      <c r="C13" s="80" t="s">
        <v>222</v>
      </c>
      <c r="D13" s="75" t="s">
        <v>143</v>
      </c>
      <c r="E13" s="75" t="s">
        <v>160</v>
      </c>
      <c r="F13" s="11">
        <v>15.596054000000001</v>
      </c>
      <c r="G13" s="11">
        <v>120.877399</v>
      </c>
      <c r="H13" s="4" t="str">
        <f t="shared" si="0"/>
        <v>15.596054,120.877399</v>
      </c>
      <c r="I13" s="4" t="s">
        <v>48</v>
      </c>
      <c r="J13" s="4" t="s">
        <v>223</v>
      </c>
      <c r="K13" s="11" t="s">
        <v>199</v>
      </c>
      <c r="L13" s="11">
        <v>2020</v>
      </c>
      <c r="M13" s="11">
        <v>2027</v>
      </c>
      <c r="N13" s="11"/>
      <c r="O13" s="4" t="s">
        <v>82</v>
      </c>
      <c r="P13" s="11" t="s">
        <v>224</v>
      </c>
      <c r="Q13" s="71" t="s">
        <v>211</v>
      </c>
      <c r="R13" s="71" t="s">
        <v>212</v>
      </c>
      <c r="S13" s="11" t="s">
        <v>225</v>
      </c>
      <c r="T13" s="34">
        <v>45945</v>
      </c>
      <c r="U13" s="34">
        <v>45946</v>
      </c>
      <c r="V13" s="34">
        <v>45947</v>
      </c>
      <c r="W13" s="34">
        <v>45947</v>
      </c>
      <c r="X13" s="34">
        <v>45947</v>
      </c>
      <c r="Y13" s="45">
        <f t="shared" si="9"/>
        <v>1</v>
      </c>
      <c r="Z13" s="45">
        <f t="shared" si="7"/>
        <v>1</v>
      </c>
      <c r="AA13" s="45">
        <f t="shared" si="6"/>
        <v>1</v>
      </c>
      <c r="AB13" s="45">
        <f t="shared" si="8"/>
        <v>1</v>
      </c>
      <c r="AC13" s="7" t="s">
        <v>150</v>
      </c>
      <c r="AD13" s="11">
        <v>0.378</v>
      </c>
      <c r="AE13" s="82">
        <v>23092.78</v>
      </c>
      <c r="AF13" s="11">
        <v>81</v>
      </c>
      <c r="AG13" s="7" t="s">
        <v>220</v>
      </c>
      <c r="AH13" s="44" t="str">
        <f t="shared" si="10"/>
        <v>Compliant</v>
      </c>
      <c r="AI13" s="11" t="s">
        <v>49</v>
      </c>
      <c r="AJ13" s="11" t="s">
        <v>49</v>
      </c>
      <c r="AK13" s="11" t="s">
        <v>49</v>
      </c>
      <c r="AL13" s="11" t="s">
        <v>49</v>
      </c>
      <c r="AM13" s="11" t="s">
        <v>49</v>
      </c>
      <c r="AN13" s="11" t="s">
        <v>49</v>
      </c>
      <c r="AO13" s="34"/>
      <c r="AP13" s="11"/>
      <c r="AQ13" s="11"/>
      <c r="AR13" s="8">
        <v>24761.15</v>
      </c>
      <c r="AS13" s="6"/>
      <c r="AT13" s="8">
        <v>13509.68</v>
      </c>
      <c r="AU13" s="6"/>
      <c r="AV13" s="8">
        <v>4033.59</v>
      </c>
      <c r="AW13" s="6"/>
      <c r="AX13" s="8">
        <v>2545.4499999999998</v>
      </c>
      <c r="AY13" s="6"/>
      <c r="AZ13" s="8">
        <v>4286.16</v>
      </c>
      <c r="BA13" s="6"/>
      <c r="BB13" s="6">
        <v>386.27</v>
      </c>
      <c r="BC13" s="6"/>
      <c r="BD13" s="41">
        <f t="shared" si="3"/>
        <v>0</v>
      </c>
      <c r="BE13" s="6"/>
      <c r="BF13" s="6"/>
      <c r="BG13" s="6"/>
      <c r="BH13" s="6"/>
      <c r="BI13" s="6"/>
      <c r="BJ13" s="6"/>
      <c r="BK13" s="6"/>
      <c r="BL13" s="6"/>
      <c r="BM13" s="6"/>
      <c r="BN13" s="6"/>
      <c r="BO13" s="6"/>
      <c r="BP13" s="64" t="e">
        <f t="shared" si="4"/>
        <v>#DIV/0!</v>
      </c>
      <c r="BQ13" s="65" t="e">
        <f t="shared" si="5"/>
        <v>#DIV/0!</v>
      </c>
    </row>
    <row r="14" spans="1:69" ht="30">
      <c r="A14" s="75" t="s">
        <v>25</v>
      </c>
      <c r="B14" s="80" t="s">
        <v>226</v>
      </c>
      <c r="C14" s="80" t="s">
        <v>227</v>
      </c>
      <c r="D14" s="75" t="s">
        <v>143</v>
      </c>
      <c r="E14" s="75" t="s">
        <v>160</v>
      </c>
      <c r="F14" s="11">
        <v>15.584241</v>
      </c>
      <c r="G14" s="11">
        <v>120.918404</v>
      </c>
      <c r="H14" s="4" t="str">
        <f t="shared" si="0"/>
        <v>15.584241,120.918404</v>
      </c>
      <c r="I14" s="4" t="s">
        <v>48</v>
      </c>
      <c r="J14" s="4" t="s">
        <v>228</v>
      </c>
      <c r="K14" s="11" t="s">
        <v>229</v>
      </c>
      <c r="L14" s="11">
        <v>2018</v>
      </c>
      <c r="M14" s="11">
        <v>2026</v>
      </c>
      <c r="N14" s="11"/>
      <c r="O14" s="4" t="s">
        <v>82</v>
      </c>
      <c r="P14" s="11" t="s">
        <v>224</v>
      </c>
      <c r="Q14" s="71" t="s">
        <v>211</v>
      </c>
      <c r="R14" s="71" t="s">
        <v>212</v>
      </c>
      <c r="S14" s="11" t="s">
        <v>230</v>
      </c>
      <c r="T14" s="34">
        <v>45944</v>
      </c>
      <c r="U14" s="34">
        <v>45946</v>
      </c>
      <c r="V14" s="34">
        <v>45947</v>
      </c>
      <c r="W14" s="34">
        <v>45947</v>
      </c>
      <c r="X14" s="34">
        <v>45947</v>
      </c>
      <c r="Y14" s="45">
        <f t="shared" si="9"/>
        <v>2</v>
      </c>
      <c r="Z14" s="45">
        <f t="shared" si="7"/>
        <v>1</v>
      </c>
      <c r="AA14" s="45">
        <f t="shared" si="6"/>
        <v>1</v>
      </c>
      <c r="AB14" s="45">
        <f t="shared" si="8"/>
        <v>1</v>
      </c>
      <c r="AC14" s="7" t="s">
        <v>150</v>
      </c>
      <c r="AD14" s="11">
        <v>0.27700000000000002</v>
      </c>
      <c r="AE14" s="82">
        <v>36657.629999999997</v>
      </c>
      <c r="AF14" s="11">
        <v>93</v>
      </c>
      <c r="AG14" s="7" t="s">
        <v>220</v>
      </c>
      <c r="AH14" s="44" t="str">
        <f t="shared" si="10"/>
        <v>Compliant</v>
      </c>
      <c r="AI14" s="11" t="s">
        <v>49</v>
      </c>
      <c r="AJ14" s="11" t="s">
        <v>49</v>
      </c>
      <c r="AK14" s="11" t="s">
        <v>49</v>
      </c>
      <c r="AL14" s="11" t="s">
        <v>49</v>
      </c>
      <c r="AM14" s="11" t="s">
        <v>49</v>
      </c>
      <c r="AN14" s="11" t="s">
        <v>49</v>
      </c>
      <c r="AO14" s="34"/>
      <c r="AP14" s="11"/>
      <c r="AQ14" s="11"/>
      <c r="AR14" s="8">
        <v>41301.85</v>
      </c>
      <c r="AS14" s="6"/>
      <c r="AT14" s="8">
        <v>25520.41</v>
      </c>
      <c r="AU14" s="6"/>
      <c r="AV14" s="8">
        <v>9598.5499999999993</v>
      </c>
      <c r="AW14" s="6"/>
      <c r="AX14" s="8">
        <v>3312.41</v>
      </c>
      <c r="AY14" s="6"/>
      <c r="AZ14" s="8">
        <v>2643.32</v>
      </c>
      <c r="BA14" s="6"/>
      <c r="BB14" s="6">
        <v>227.16</v>
      </c>
      <c r="BC14" s="6"/>
      <c r="BD14" s="41">
        <f t="shared" si="3"/>
        <v>0</v>
      </c>
      <c r="BE14" s="6"/>
      <c r="BF14" s="6"/>
      <c r="BG14" s="6"/>
      <c r="BH14" s="6"/>
      <c r="BI14" s="6"/>
      <c r="BJ14" s="6"/>
      <c r="BK14" s="6"/>
      <c r="BL14" s="6"/>
      <c r="BM14" s="6"/>
      <c r="BN14" s="6"/>
      <c r="BO14" s="6"/>
      <c r="BP14" s="64" t="e">
        <f t="shared" si="4"/>
        <v>#DIV/0!</v>
      </c>
      <c r="BQ14" s="65" t="e">
        <f t="shared" si="5"/>
        <v>#DIV/0!</v>
      </c>
    </row>
    <row r="15" spans="1:69" ht="30">
      <c r="A15" s="75" t="s">
        <v>31</v>
      </c>
      <c r="B15" s="80" t="s">
        <v>231</v>
      </c>
      <c r="C15" s="80" t="s">
        <v>232</v>
      </c>
      <c r="D15" s="75" t="s">
        <v>143</v>
      </c>
      <c r="E15" s="9" t="s">
        <v>233</v>
      </c>
      <c r="F15" s="11">
        <v>14.9848</v>
      </c>
      <c r="G15" s="11">
        <v>120.7514</v>
      </c>
      <c r="H15" s="4" t="str">
        <f t="shared" si="0"/>
        <v>14.9848,120.7514</v>
      </c>
      <c r="I15" s="4" t="s">
        <v>48</v>
      </c>
      <c r="J15" s="4" t="s">
        <v>234</v>
      </c>
      <c r="K15" s="11" t="s">
        <v>178</v>
      </c>
      <c r="L15" s="11">
        <v>2019</v>
      </c>
      <c r="M15" s="11">
        <v>2028</v>
      </c>
      <c r="N15" s="11"/>
      <c r="O15" s="4" t="s">
        <v>82</v>
      </c>
      <c r="P15" s="11" t="s">
        <v>34</v>
      </c>
      <c r="Q15" s="71"/>
      <c r="R15" s="76" t="s">
        <v>148</v>
      </c>
      <c r="S15" s="11" t="s">
        <v>235</v>
      </c>
      <c r="T15" s="34">
        <v>45944</v>
      </c>
      <c r="U15" s="34">
        <v>45945</v>
      </c>
      <c r="V15" s="34"/>
      <c r="W15" s="34">
        <v>45946</v>
      </c>
      <c r="X15" s="10">
        <v>45950</v>
      </c>
      <c r="Y15" s="45">
        <f t="shared" si="9"/>
        <v>1</v>
      </c>
      <c r="Z15" s="45" t="str">
        <f t="shared" si="7"/>
        <v/>
      </c>
      <c r="AA15" s="45">
        <f t="shared" si="6"/>
        <v>1</v>
      </c>
      <c r="AB15" s="45">
        <f t="shared" si="8"/>
        <v>2</v>
      </c>
      <c r="AC15" s="7" t="s">
        <v>150</v>
      </c>
      <c r="AD15" s="11">
        <v>0.498</v>
      </c>
      <c r="AE15" s="11">
        <v>29472.63</v>
      </c>
      <c r="AF15" s="11">
        <v>45.65</v>
      </c>
      <c r="AG15" s="7" t="s">
        <v>236</v>
      </c>
      <c r="AH15" s="44" t="str">
        <f t="shared" si="10"/>
        <v>Not Compliant</v>
      </c>
      <c r="AI15" s="11" t="s">
        <v>49</v>
      </c>
      <c r="AJ15" s="11" t="s">
        <v>56</v>
      </c>
      <c r="AK15" s="11" t="s">
        <v>49</v>
      </c>
      <c r="AL15" s="11" t="s">
        <v>49</v>
      </c>
      <c r="AM15" s="11" t="s">
        <v>49</v>
      </c>
      <c r="AN15" s="11" t="s">
        <v>49</v>
      </c>
      <c r="AO15" s="34"/>
      <c r="AP15" s="11"/>
      <c r="AQ15" s="11"/>
      <c r="AR15" s="8">
        <v>38991.910000000003</v>
      </c>
      <c r="AS15" s="6"/>
      <c r="AT15" s="8">
        <v>12516.4</v>
      </c>
      <c r="AU15" s="6"/>
      <c r="AV15" s="8">
        <v>6020.35</v>
      </c>
      <c r="AW15" s="6"/>
      <c r="AX15" s="8">
        <v>10543.41</v>
      </c>
      <c r="AY15" s="6"/>
      <c r="AZ15" s="8">
        <v>2706.04</v>
      </c>
      <c r="BA15" s="6"/>
      <c r="BB15" s="8">
        <v>7205.7</v>
      </c>
      <c r="BC15" s="6"/>
      <c r="BD15" s="41">
        <f t="shared" si="3"/>
        <v>0</v>
      </c>
      <c r="BE15" s="6"/>
      <c r="BF15" s="6"/>
      <c r="BG15" s="6"/>
      <c r="BH15" s="6"/>
      <c r="BI15" s="6"/>
      <c r="BJ15" s="6"/>
      <c r="BK15" s="6"/>
      <c r="BL15" s="6"/>
      <c r="BM15" s="6"/>
      <c r="BN15" s="6"/>
      <c r="BO15" s="6"/>
      <c r="BP15" s="64" t="e">
        <f t="shared" si="4"/>
        <v>#DIV/0!</v>
      </c>
      <c r="BQ15" s="65" t="e">
        <f t="shared" si="5"/>
        <v>#DIV/0!</v>
      </c>
    </row>
    <row r="16" spans="1:69">
      <c r="A16" s="75" t="s">
        <v>36</v>
      </c>
      <c r="B16" s="80" t="s">
        <v>237</v>
      </c>
      <c r="C16" s="80" t="s">
        <v>238</v>
      </c>
      <c r="D16" s="75" t="s">
        <v>159</v>
      </c>
      <c r="E16" s="9" t="s">
        <v>160</v>
      </c>
      <c r="F16" s="11">
        <v>15.6188757</v>
      </c>
      <c r="G16" s="11">
        <v>120.3781159</v>
      </c>
      <c r="H16" s="4" t="str">
        <f t="shared" si="0"/>
        <v>15.6188757,120.3781159</v>
      </c>
      <c r="I16" s="4" t="s">
        <v>48</v>
      </c>
      <c r="J16" s="4" t="s">
        <v>239</v>
      </c>
      <c r="K16" s="11" t="s">
        <v>199</v>
      </c>
      <c r="L16" s="11">
        <v>2019</v>
      </c>
      <c r="M16" s="11">
        <v>2027</v>
      </c>
      <c r="N16" s="11"/>
      <c r="O16" s="4" t="s">
        <v>82</v>
      </c>
      <c r="P16" s="11" t="s">
        <v>38</v>
      </c>
      <c r="Q16" s="71"/>
      <c r="R16" s="71" t="s">
        <v>28</v>
      </c>
      <c r="S16" s="11" t="s">
        <v>240</v>
      </c>
      <c r="T16" s="34">
        <v>45946</v>
      </c>
      <c r="U16" s="34">
        <v>45946</v>
      </c>
      <c r="V16" s="34"/>
      <c r="W16" s="34">
        <v>45946</v>
      </c>
      <c r="X16" s="34">
        <v>45947</v>
      </c>
      <c r="Y16" s="45">
        <f t="shared" si="9"/>
        <v>1</v>
      </c>
      <c r="Z16" s="45" t="str">
        <f t="shared" si="7"/>
        <v/>
      </c>
      <c r="AA16" s="45">
        <f>IF(
    OR(ISBLANK(U16), ISBLANK(W16)),
    "",
    MAX(1, IF(
        NETWORKDAYS(U16, W16) &lt;= 0,
        1,
        NETWORKDAYS(U16, W16) - IF(U16 = W16, 0, 1)
    ))
)</f>
        <v>1</v>
      </c>
      <c r="AB16" s="45">
        <f t="shared" si="8"/>
        <v>1</v>
      </c>
      <c r="AC16" s="7" t="s">
        <v>150</v>
      </c>
      <c r="AD16" s="11">
        <v>0.28000000000000003</v>
      </c>
      <c r="AE16" s="766">
        <v>9933.56</v>
      </c>
      <c r="AF16" s="11">
        <v>3.27</v>
      </c>
      <c r="AG16" s="7" t="s">
        <v>241</v>
      </c>
      <c r="AH16" s="44" t="str">
        <f t="shared" si="10"/>
        <v>Not Compliant</v>
      </c>
      <c r="AI16" s="11" t="s">
        <v>49</v>
      </c>
      <c r="AJ16" s="11" t="s">
        <v>49</v>
      </c>
      <c r="AK16" s="11" t="s">
        <v>56</v>
      </c>
      <c r="AL16" s="11" t="s">
        <v>56</v>
      </c>
      <c r="AM16" s="11" t="s">
        <v>56</v>
      </c>
      <c r="AN16" s="11" t="s">
        <v>49</v>
      </c>
      <c r="AO16" s="34"/>
      <c r="AP16" s="11"/>
      <c r="AQ16" s="11"/>
      <c r="AR16" s="8">
        <v>9311.35</v>
      </c>
      <c r="AS16" s="6"/>
      <c r="AT16" s="8">
        <v>6343.83</v>
      </c>
      <c r="AU16" s="6"/>
      <c r="AV16" s="8">
        <v>1469.33</v>
      </c>
      <c r="AW16" s="6"/>
      <c r="AX16" s="6">
        <v>744.91</v>
      </c>
      <c r="AY16" s="6"/>
      <c r="AZ16" s="6">
        <v>593.13</v>
      </c>
      <c r="BA16" s="6"/>
      <c r="BB16" s="6">
        <v>160.16</v>
      </c>
      <c r="BC16" s="6"/>
      <c r="BD16" s="41">
        <f t="shared" si="3"/>
        <v>0</v>
      </c>
      <c r="BE16" s="6"/>
      <c r="BF16" s="6"/>
      <c r="BG16" s="6"/>
      <c r="BH16" s="6"/>
      <c r="BI16" s="6"/>
      <c r="BJ16" s="6"/>
      <c r="BK16" s="6"/>
      <c r="BL16" s="6"/>
      <c r="BM16" s="6"/>
      <c r="BN16" s="6"/>
      <c r="BO16" s="6"/>
      <c r="BP16" s="64" t="e">
        <f t="shared" si="4"/>
        <v>#DIV/0!</v>
      </c>
      <c r="BQ16" s="65" t="e">
        <f t="shared" si="5"/>
        <v>#DIV/0!</v>
      </c>
    </row>
    <row r="17" spans="1:69" ht="30">
      <c r="A17" s="75" t="s">
        <v>40</v>
      </c>
      <c r="B17" s="80" t="s">
        <v>242</v>
      </c>
      <c r="C17" s="80" t="s">
        <v>243</v>
      </c>
      <c r="D17" s="75" t="s">
        <v>159</v>
      </c>
      <c r="E17" s="75" t="s">
        <v>185</v>
      </c>
      <c r="F17" s="11">
        <v>15.626389</v>
      </c>
      <c r="G17" s="11">
        <v>119.931389</v>
      </c>
      <c r="H17" s="4" t="str">
        <f t="shared" si="0"/>
        <v>15.626389,119.931389</v>
      </c>
      <c r="I17" s="4" t="s">
        <v>48</v>
      </c>
      <c r="J17" s="7" t="s">
        <v>244</v>
      </c>
      <c r="K17" s="11" t="s">
        <v>245</v>
      </c>
      <c r="L17" s="11">
        <v>2021</v>
      </c>
      <c r="M17" s="11">
        <v>2029</v>
      </c>
      <c r="N17" s="11"/>
      <c r="O17" s="4" t="s">
        <v>82</v>
      </c>
      <c r="P17" s="11" t="s">
        <v>42</v>
      </c>
      <c r="Q17" s="71" t="s">
        <v>163</v>
      </c>
      <c r="R17" s="71" t="s">
        <v>164</v>
      </c>
      <c r="S17" s="11" t="s">
        <v>246</v>
      </c>
      <c r="T17" s="34">
        <v>45932</v>
      </c>
      <c r="U17" s="34">
        <v>45936</v>
      </c>
      <c r="V17" s="34">
        <v>45936</v>
      </c>
      <c r="W17" s="34">
        <v>45936</v>
      </c>
      <c r="X17" s="34">
        <v>45940</v>
      </c>
      <c r="Y17" s="45">
        <f t="shared" si="9"/>
        <v>2</v>
      </c>
      <c r="Z17" s="45">
        <f t="shared" si="7"/>
        <v>1</v>
      </c>
      <c r="AA17" s="45">
        <f>IF(
    OR(ISBLANK(U17), ISBLANK(W17)),
    "",
    MAX(1, IF(
        NETWORKDAYS(U17, W17) &lt;= 0,
        1,
        NETWORKDAYS(U17, W17) - IF(U17 = W17, 0, 1)
    ))
)</f>
        <v>1</v>
      </c>
      <c r="AB17" s="45">
        <f t="shared" si="8"/>
        <v>4</v>
      </c>
      <c r="AC17" s="7" t="s">
        <v>150</v>
      </c>
      <c r="AD17" s="11"/>
      <c r="AE17" s="11"/>
      <c r="AF17" s="11"/>
      <c r="AG17" s="7"/>
      <c r="AH17" s="44" t="s">
        <v>151</v>
      </c>
      <c r="AI17" s="11"/>
      <c r="AJ17" s="11"/>
      <c r="AK17" s="11"/>
      <c r="AL17" s="11"/>
      <c r="AM17" s="11"/>
      <c r="AN17" s="11"/>
      <c r="AO17" s="34"/>
      <c r="AP17" s="11"/>
      <c r="AQ17" s="11"/>
      <c r="AR17" s="8">
        <v>13091.82</v>
      </c>
      <c r="AS17" s="6"/>
      <c r="AT17" s="8">
        <v>3686.66</v>
      </c>
      <c r="AU17" s="6"/>
      <c r="AV17" s="8">
        <v>4443.37</v>
      </c>
      <c r="AW17" s="6"/>
      <c r="AX17" s="6">
        <v>864.06</v>
      </c>
      <c r="AY17" s="6"/>
      <c r="AZ17" s="8">
        <v>4019.19</v>
      </c>
      <c r="BA17" s="6"/>
      <c r="BB17" s="6">
        <v>78.55</v>
      </c>
      <c r="BC17" s="6"/>
      <c r="BD17" s="41">
        <f t="shared" si="3"/>
        <v>0</v>
      </c>
      <c r="BE17" s="6"/>
      <c r="BF17" s="6"/>
      <c r="BG17" s="6"/>
      <c r="BH17" s="6"/>
      <c r="BI17" s="6"/>
      <c r="BJ17" s="6"/>
      <c r="BK17" s="6"/>
      <c r="BL17" s="6"/>
      <c r="BM17" s="6"/>
      <c r="BN17" s="6"/>
      <c r="BO17" s="6"/>
      <c r="BP17" s="64" t="e">
        <f t="shared" si="4"/>
        <v>#DIV/0!</v>
      </c>
      <c r="BQ17" s="65" t="e">
        <f t="shared" si="5"/>
        <v>#DIV/0!</v>
      </c>
    </row>
    <row r="18" spans="1:69">
      <c r="A18" s="75" t="s">
        <v>12</v>
      </c>
      <c r="B18" s="80" t="s">
        <v>247</v>
      </c>
      <c r="C18" s="80" t="s">
        <v>248</v>
      </c>
      <c r="D18" s="75" t="s">
        <v>159</v>
      </c>
      <c r="E18" s="75" t="s">
        <v>249</v>
      </c>
      <c r="F18" s="4">
        <v>16.392731000000001</v>
      </c>
      <c r="G18" s="4">
        <v>122.211731</v>
      </c>
      <c r="H18" s="4" t="str">
        <f t="shared" si="0"/>
        <v>16.392731,122.211731</v>
      </c>
      <c r="I18" s="4" t="s">
        <v>48</v>
      </c>
      <c r="J18" s="4" t="s">
        <v>250</v>
      </c>
      <c r="K18" s="4" t="s">
        <v>199</v>
      </c>
      <c r="L18" s="4">
        <v>2018</v>
      </c>
      <c r="M18" s="4">
        <v>2027</v>
      </c>
      <c r="N18" s="4"/>
      <c r="O18" s="4" t="s">
        <v>83</v>
      </c>
      <c r="P18" s="4" t="s">
        <v>251</v>
      </c>
      <c r="Q18" s="70"/>
      <c r="R18" s="71" t="s">
        <v>163</v>
      </c>
      <c r="S18" s="7" t="s">
        <v>252</v>
      </c>
      <c r="T18" s="33">
        <v>45967</v>
      </c>
      <c r="U18" s="33">
        <v>45968</v>
      </c>
      <c r="V18" s="33"/>
      <c r="W18" s="33">
        <v>45972</v>
      </c>
      <c r="X18" s="33">
        <v>45975</v>
      </c>
      <c r="Y18" s="45">
        <f t="shared" si="9"/>
        <v>1</v>
      </c>
      <c r="Z18" s="45" t="str">
        <f t="shared" si="7"/>
        <v/>
      </c>
      <c r="AA18" s="45">
        <f t="shared" ref="AA18:AA28" si="11">IF(
  OR(IF(V18&lt;&gt;"", V18, U18)="", W18=""),
  "",
  MAX(1,
    IF(
      NETWORKDAYS(IF(V18&lt;&gt;"", V18, U18), W18) &lt;= 0,
      1,
      NETWORKDAYS(IF(V18&lt;&gt;"", V18, U18), W18) - IF(IF(V18&lt;&gt;"", V18, U18)=W18, 0, 1)
    )
  )
)</f>
        <v>2</v>
      </c>
      <c r="AB18" s="45">
        <f t="shared" si="8"/>
        <v>3</v>
      </c>
      <c r="AC18" s="7" t="s">
        <v>150</v>
      </c>
      <c r="AD18" s="11">
        <v>0.3</v>
      </c>
      <c r="AE18" s="11" t="s">
        <v>253</v>
      </c>
      <c r="AF18" s="83">
        <v>0.93740000000000001</v>
      </c>
      <c r="AG18" s="7" t="s">
        <v>182</v>
      </c>
      <c r="AH18" s="44" t="str">
        <f t="shared" ref="AH18:AH29" si="12">IF(AND(AI18 = "YES", AJ18 = "YES", AK18 = "YES", AL18 = "YES", AN18 = "YES"), "Compliant", "Not Compliant")</f>
        <v>Compliant</v>
      </c>
      <c r="AI18" s="7" t="s">
        <v>49</v>
      </c>
      <c r="AJ18" s="7" t="s">
        <v>49</v>
      </c>
      <c r="AK18" s="7" t="s">
        <v>49</v>
      </c>
      <c r="AL18" s="7" t="s">
        <v>49</v>
      </c>
      <c r="AM18" s="7" t="s">
        <v>49</v>
      </c>
      <c r="AN18" s="7" t="s">
        <v>49</v>
      </c>
      <c r="AO18" s="33"/>
      <c r="AP18" s="4"/>
      <c r="AQ18" s="4"/>
      <c r="AR18" s="8">
        <v>6013.19</v>
      </c>
      <c r="AS18" s="6"/>
      <c r="AT18" s="8">
        <v>4195.41</v>
      </c>
      <c r="AU18" s="6"/>
      <c r="AV18" s="8">
        <v>1334.33</v>
      </c>
      <c r="AW18" s="6"/>
      <c r="AX18" s="6">
        <v>107.03</v>
      </c>
      <c r="AY18" s="6"/>
      <c r="AZ18" s="6">
        <v>234.51</v>
      </c>
      <c r="BA18" s="6"/>
      <c r="BB18" s="6">
        <v>141.91</v>
      </c>
      <c r="BC18" s="6"/>
      <c r="BD18" s="41">
        <f t="shared" si="3"/>
        <v>0</v>
      </c>
      <c r="BE18" s="6"/>
      <c r="BF18" s="6"/>
      <c r="BG18" s="6"/>
      <c r="BH18" s="6"/>
      <c r="BI18" s="6"/>
      <c r="BJ18" s="6"/>
      <c r="BK18" s="6"/>
      <c r="BL18" s="6"/>
      <c r="BM18" s="6"/>
      <c r="BN18" s="6"/>
      <c r="BO18" s="6"/>
      <c r="BP18" s="64" t="e">
        <f t="shared" si="4"/>
        <v>#DIV/0!</v>
      </c>
      <c r="BQ18" s="65" t="e">
        <f t="shared" si="5"/>
        <v>#DIV/0!</v>
      </c>
    </row>
    <row r="19" spans="1:69">
      <c r="A19" s="75" t="s">
        <v>12</v>
      </c>
      <c r="B19" s="80" t="s">
        <v>254</v>
      </c>
      <c r="C19" s="80" t="s">
        <v>255</v>
      </c>
      <c r="D19" s="75" t="s">
        <v>159</v>
      </c>
      <c r="E19" s="75" t="s">
        <v>249</v>
      </c>
      <c r="F19" s="9">
        <v>15.388964</v>
      </c>
      <c r="G19" s="9">
        <v>121.39117</v>
      </c>
      <c r="H19" s="4" t="str">
        <f t="shared" si="0"/>
        <v>15.388964,121.39117</v>
      </c>
      <c r="I19" s="4" t="s">
        <v>48</v>
      </c>
      <c r="J19" s="4" t="s">
        <v>256</v>
      </c>
      <c r="K19" s="9" t="s">
        <v>199</v>
      </c>
      <c r="L19" s="9">
        <v>2019</v>
      </c>
      <c r="M19" s="9">
        <v>2027</v>
      </c>
      <c r="N19" s="9"/>
      <c r="O19" s="4" t="s">
        <v>83</v>
      </c>
      <c r="P19" s="9" t="s">
        <v>14</v>
      </c>
      <c r="Q19" s="71"/>
      <c r="R19" s="71" t="s">
        <v>163</v>
      </c>
      <c r="S19" s="11" t="s">
        <v>257</v>
      </c>
      <c r="T19" s="34">
        <v>45960</v>
      </c>
      <c r="U19" s="34">
        <v>45972</v>
      </c>
      <c r="V19" s="33"/>
      <c r="W19" s="34">
        <v>45972</v>
      </c>
      <c r="X19" s="34">
        <v>45975</v>
      </c>
      <c r="Y19" s="45">
        <f t="shared" si="9"/>
        <v>8</v>
      </c>
      <c r="Z19" s="45" t="str">
        <f t="shared" si="7"/>
        <v/>
      </c>
      <c r="AA19" s="45">
        <f t="shared" si="11"/>
        <v>1</v>
      </c>
      <c r="AB19" s="45">
        <f t="shared" si="8"/>
        <v>3</v>
      </c>
      <c r="AC19" s="7" t="s">
        <v>150</v>
      </c>
      <c r="AD19" s="11">
        <v>0.36</v>
      </c>
      <c r="AE19" s="11" t="s">
        <v>258</v>
      </c>
      <c r="AF19" s="11">
        <v>92.12</v>
      </c>
      <c r="AG19" s="7" t="s">
        <v>259</v>
      </c>
      <c r="AH19" s="44" t="str">
        <f t="shared" si="12"/>
        <v>Compliant</v>
      </c>
      <c r="AI19" s="11" t="s">
        <v>49</v>
      </c>
      <c r="AJ19" s="11" t="s">
        <v>49</v>
      </c>
      <c r="AK19" s="11" t="s">
        <v>49</v>
      </c>
      <c r="AL19" s="11" t="s">
        <v>49</v>
      </c>
      <c r="AM19" s="11" t="s">
        <v>49</v>
      </c>
      <c r="AN19" s="11" t="s">
        <v>49</v>
      </c>
      <c r="AO19" s="34"/>
      <c r="AP19" s="4"/>
      <c r="AQ19" s="4"/>
      <c r="AR19" s="8">
        <v>15928.22</v>
      </c>
      <c r="AS19" s="6"/>
      <c r="AT19" s="8">
        <v>10257.77</v>
      </c>
      <c r="AU19" s="6"/>
      <c r="AV19" s="8">
        <v>2564.44</v>
      </c>
      <c r="AW19" s="6"/>
      <c r="AX19" s="8">
        <v>1850.86</v>
      </c>
      <c r="AY19" s="6"/>
      <c r="AZ19" s="8">
        <v>1035.33</v>
      </c>
      <c r="BA19" s="6"/>
      <c r="BB19" s="6">
        <v>219.81</v>
      </c>
      <c r="BC19" s="6"/>
      <c r="BD19" s="41">
        <f t="shared" si="3"/>
        <v>0</v>
      </c>
      <c r="BE19" s="6"/>
      <c r="BF19" s="6"/>
      <c r="BG19" s="6"/>
      <c r="BH19" s="6"/>
      <c r="BI19" s="6"/>
      <c r="BJ19" s="6"/>
      <c r="BK19" s="6"/>
      <c r="BL19" s="6"/>
      <c r="BM19" s="6"/>
      <c r="BN19" s="6"/>
      <c r="BO19" s="6"/>
      <c r="BP19" s="64" t="e">
        <f t="shared" si="4"/>
        <v>#DIV/0!</v>
      </c>
      <c r="BQ19" s="65" t="e">
        <f t="shared" si="5"/>
        <v>#DIV/0!</v>
      </c>
    </row>
    <row r="20" spans="1:69" ht="30">
      <c r="A20" s="75" t="s">
        <v>20</v>
      </c>
      <c r="B20" s="80" t="s">
        <v>260</v>
      </c>
      <c r="C20" s="80" t="s">
        <v>261</v>
      </c>
      <c r="D20" s="75" t="s">
        <v>143</v>
      </c>
      <c r="E20" s="75" t="s">
        <v>144</v>
      </c>
      <c r="F20" s="9">
        <v>15.140473999999999</v>
      </c>
      <c r="G20" s="9">
        <v>120.977422</v>
      </c>
      <c r="H20" s="4" t="str">
        <f t="shared" si="0"/>
        <v>15.140474,120.977422</v>
      </c>
      <c r="I20" s="4" t="s">
        <v>48</v>
      </c>
      <c r="J20" s="4" t="s">
        <v>262</v>
      </c>
      <c r="K20" s="9" t="s">
        <v>187</v>
      </c>
      <c r="L20" s="9">
        <v>2015</v>
      </c>
      <c r="M20" s="9">
        <v>2025</v>
      </c>
      <c r="N20" s="11" t="s">
        <v>98</v>
      </c>
      <c r="O20" s="4" t="s">
        <v>83</v>
      </c>
      <c r="P20" s="9" t="s">
        <v>200</v>
      </c>
      <c r="Q20" s="71" t="s">
        <v>147</v>
      </c>
      <c r="R20" s="71" t="s">
        <v>201</v>
      </c>
      <c r="S20" s="757" t="s">
        <v>263</v>
      </c>
      <c r="T20" s="35">
        <v>45965</v>
      </c>
      <c r="U20" s="35">
        <v>45969</v>
      </c>
      <c r="V20" s="35">
        <v>45979</v>
      </c>
      <c r="W20" s="35">
        <v>45980</v>
      </c>
      <c r="X20" s="34">
        <v>45980</v>
      </c>
      <c r="Y20" s="45">
        <f t="shared" si="9"/>
        <v>3</v>
      </c>
      <c r="Z20" s="45">
        <f t="shared" si="7"/>
        <v>6</v>
      </c>
      <c r="AA20" s="45">
        <f t="shared" si="11"/>
        <v>1</v>
      </c>
      <c r="AB20" s="45">
        <f t="shared" si="8"/>
        <v>1</v>
      </c>
      <c r="AC20" s="7" t="s">
        <v>150</v>
      </c>
      <c r="AD20" s="11">
        <v>0.33939999999999998</v>
      </c>
      <c r="AE20" s="82">
        <v>71811.45</v>
      </c>
      <c r="AF20" s="11">
        <v>95.16</v>
      </c>
      <c r="AG20" s="7"/>
      <c r="AH20" s="44" t="str">
        <f t="shared" si="12"/>
        <v>Not Compliant</v>
      </c>
      <c r="AI20" s="7"/>
      <c r="AJ20" s="7"/>
      <c r="AK20" s="7"/>
      <c r="AL20" s="7"/>
      <c r="AM20" s="7"/>
      <c r="AN20" s="7"/>
      <c r="AO20" s="35"/>
      <c r="AP20" s="4"/>
      <c r="AQ20" s="11"/>
      <c r="AR20" s="8">
        <v>67480.78</v>
      </c>
      <c r="AS20" s="6"/>
      <c r="AT20" s="8">
        <v>44017.71</v>
      </c>
      <c r="AU20" s="6"/>
      <c r="AV20" s="8">
        <v>13232.98</v>
      </c>
      <c r="AW20" s="6"/>
      <c r="AX20" s="8">
        <v>6964.02</v>
      </c>
      <c r="AY20" s="6"/>
      <c r="AZ20" s="8">
        <v>3023.14</v>
      </c>
      <c r="BA20" s="6"/>
      <c r="BB20" s="6">
        <v>242.93</v>
      </c>
      <c r="BC20" s="6"/>
      <c r="BD20" s="41">
        <f t="shared" si="3"/>
        <v>0</v>
      </c>
      <c r="BE20" s="6"/>
      <c r="BF20" s="6"/>
      <c r="BG20" s="6"/>
      <c r="BH20" s="6"/>
      <c r="BI20" s="6"/>
      <c r="BJ20" s="6"/>
      <c r="BK20" s="6"/>
      <c r="BL20" s="6"/>
      <c r="BM20" s="6"/>
      <c r="BN20" s="6"/>
      <c r="BO20" s="6"/>
      <c r="BP20" s="64" t="e">
        <f t="shared" si="4"/>
        <v>#DIV/0!</v>
      </c>
      <c r="BQ20" s="65" t="e">
        <f t="shared" si="5"/>
        <v>#DIV/0!</v>
      </c>
    </row>
    <row r="21" spans="1:69" ht="30">
      <c r="A21" s="75" t="s">
        <v>25</v>
      </c>
      <c r="B21" s="80" t="s">
        <v>264</v>
      </c>
      <c r="C21" s="80" t="s">
        <v>265</v>
      </c>
      <c r="D21" s="75" t="s">
        <v>143</v>
      </c>
      <c r="E21" s="75" t="s">
        <v>144</v>
      </c>
      <c r="F21" s="4">
        <v>15.470777999999999</v>
      </c>
      <c r="G21" s="4">
        <v>120.952099</v>
      </c>
      <c r="H21" s="4" t="str">
        <f t="shared" si="0"/>
        <v>15.470778,120.952099</v>
      </c>
      <c r="I21" s="4" t="s">
        <v>48</v>
      </c>
      <c r="J21" s="4" t="s">
        <v>266</v>
      </c>
      <c r="K21" s="4" t="s">
        <v>245</v>
      </c>
      <c r="L21" s="4">
        <v>2022</v>
      </c>
      <c r="M21" s="4">
        <v>2029</v>
      </c>
      <c r="N21" s="4"/>
      <c r="O21" s="4" t="s">
        <v>83</v>
      </c>
      <c r="P21" s="9" t="s">
        <v>267</v>
      </c>
      <c r="Q21" s="71" t="s">
        <v>211</v>
      </c>
      <c r="R21" s="71" t="s">
        <v>212</v>
      </c>
      <c r="S21" s="16" t="s">
        <v>268</v>
      </c>
      <c r="T21" s="33">
        <v>45968</v>
      </c>
      <c r="U21" s="33">
        <v>45972</v>
      </c>
      <c r="V21" s="33">
        <v>45980</v>
      </c>
      <c r="W21" s="33">
        <v>45980</v>
      </c>
      <c r="X21" s="33">
        <v>45980</v>
      </c>
      <c r="Y21" s="45">
        <f t="shared" si="9"/>
        <v>2</v>
      </c>
      <c r="Z21" s="45">
        <f t="shared" si="7"/>
        <v>6</v>
      </c>
      <c r="AA21" s="45">
        <f t="shared" si="11"/>
        <v>1</v>
      </c>
      <c r="AB21" s="45">
        <f t="shared" si="8"/>
        <v>1</v>
      </c>
      <c r="AC21" s="7" t="s">
        <v>150</v>
      </c>
      <c r="AD21" s="11">
        <v>0.36299999999999999</v>
      </c>
      <c r="AE21" s="11"/>
      <c r="AF21" s="11"/>
      <c r="AG21" s="7" t="s">
        <v>269</v>
      </c>
      <c r="AH21" s="44" t="str">
        <f t="shared" si="12"/>
        <v>Compliant</v>
      </c>
      <c r="AI21" s="11" t="s">
        <v>49</v>
      </c>
      <c r="AJ21" s="11" t="s">
        <v>49</v>
      </c>
      <c r="AK21" s="11" t="s">
        <v>49</v>
      </c>
      <c r="AL21" s="11" t="s">
        <v>49</v>
      </c>
      <c r="AM21" s="11" t="s">
        <v>49</v>
      </c>
      <c r="AN21" s="11" t="s">
        <v>49</v>
      </c>
      <c r="AO21" s="33"/>
      <c r="AP21" s="4"/>
      <c r="AQ21" s="11"/>
      <c r="AR21" s="8">
        <v>140635.62</v>
      </c>
      <c r="AS21" s="6"/>
      <c r="AT21" s="8">
        <v>74705.64</v>
      </c>
      <c r="AU21" s="6"/>
      <c r="AV21" s="8">
        <v>34104.14</v>
      </c>
      <c r="AW21" s="6"/>
      <c r="AX21" s="8">
        <v>10111.700000000001</v>
      </c>
      <c r="AY21" s="6"/>
      <c r="AZ21" s="8">
        <v>21348.49</v>
      </c>
      <c r="BA21" s="6"/>
      <c r="BB21" s="6">
        <v>365.65</v>
      </c>
      <c r="BC21" s="6"/>
      <c r="BD21" s="41">
        <f t="shared" si="3"/>
        <v>0</v>
      </c>
      <c r="BE21" s="6"/>
      <c r="BF21" s="6"/>
      <c r="BG21" s="6"/>
      <c r="BH21" s="6"/>
      <c r="BI21" s="6"/>
      <c r="BJ21" s="6"/>
      <c r="BK21" s="6"/>
      <c r="BL21" s="6"/>
      <c r="BM21" s="6"/>
      <c r="BN21" s="6"/>
      <c r="BO21" s="6"/>
      <c r="BP21" s="64" t="e">
        <f t="shared" si="4"/>
        <v>#DIV/0!</v>
      </c>
      <c r="BQ21" s="65" t="e">
        <f t="shared" si="5"/>
        <v>#DIV/0!</v>
      </c>
    </row>
    <row r="22" spans="1:69">
      <c r="A22" s="75" t="s">
        <v>25</v>
      </c>
      <c r="B22" s="80" t="s">
        <v>270</v>
      </c>
      <c r="C22" s="80" t="s">
        <v>271</v>
      </c>
      <c r="D22" s="75" t="s">
        <v>143</v>
      </c>
      <c r="E22" s="75" t="s">
        <v>185</v>
      </c>
      <c r="F22" s="11">
        <v>15.877262</v>
      </c>
      <c r="G22" s="11">
        <v>120.898901</v>
      </c>
      <c r="H22" s="4" t="str">
        <f t="shared" si="0"/>
        <v>15.877262,120.898901</v>
      </c>
      <c r="I22" s="4" t="s">
        <v>48</v>
      </c>
      <c r="J22" s="4" t="s">
        <v>272</v>
      </c>
      <c r="K22" s="11" t="s">
        <v>229</v>
      </c>
      <c r="L22" s="11">
        <v>2018</v>
      </c>
      <c r="M22" s="11">
        <v>2026</v>
      </c>
      <c r="N22" s="11"/>
      <c r="O22" s="4" t="s">
        <v>83</v>
      </c>
      <c r="P22" s="9" t="s">
        <v>29</v>
      </c>
      <c r="Q22" s="71" t="s">
        <v>211</v>
      </c>
      <c r="R22" s="71" t="s">
        <v>212</v>
      </c>
      <c r="S22" s="11" t="s">
        <v>273</v>
      </c>
      <c r="T22" s="34">
        <v>45972</v>
      </c>
      <c r="U22" s="34">
        <v>45972</v>
      </c>
      <c r="V22" s="34">
        <v>45980</v>
      </c>
      <c r="W22" s="34">
        <v>45980</v>
      </c>
      <c r="X22" s="532">
        <v>45980</v>
      </c>
      <c r="Y22" s="45">
        <f t="shared" si="9"/>
        <v>1</v>
      </c>
      <c r="Z22" s="45">
        <f t="shared" si="7"/>
        <v>6</v>
      </c>
      <c r="AA22" s="45">
        <f t="shared" si="11"/>
        <v>1</v>
      </c>
      <c r="AB22" s="45">
        <f t="shared" si="8"/>
        <v>1</v>
      </c>
      <c r="AC22" s="7" t="s">
        <v>150</v>
      </c>
      <c r="AD22" s="11">
        <v>0.60699999999999998</v>
      </c>
      <c r="AE22" s="82">
        <v>31609.919999999998</v>
      </c>
      <c r="AF22" s="11">
        <v>92.47</v>
      </c>
      <c r="AG22" s="7" t="s">
        <v>220</v>
      </c>
      <c r="AH22" s="44" t="str">
        <f t="shared" si="12"/>
        <v>Compliant</v>
      </c>
      <c r="AI22" s="11" t="s">
        <v>49</v>
      </c>
      <c r="AJ22" s="11" t="s">
        <v>49</v>
      </c>
      <c r="AK22" s="11" t="s">
        <v>49</v>
      </c>
      <c r="AL22" s="11" t="s">
        <v>49</v>
      </c>
      <c r="AM22" s="11" t="s">
        <v>49</v>
      </c>
      <c r="AN22" s="11" t="s">
        <v>49</v>
      </c>
      <c r="AO22" s="34"/>
      <c r="AP22" s="11"/>
      <c r="AQ22" s="11"/>
      <c r="AR22" s="8">
        <v>31609.919999999998</v>
      </c>
      <c r="AS22" s="6"/>
      <c r="AT22" s="8">
        <v>19591.830000000002</v>
      </c>
      <c r="AU22" s="6"/>
      <c r="AV22" s="8">
        <v>5680.3</v>
      </c>
      <c r="AW22" s="6"/>
      <c r="AX22" s="8">
        <v>3957.56</v>
      </c>
      <c r="AY22" s="6"/>
      <c r="AZ22" s="8">
        <v>1760.67</v>
      </c>
      <c r="BA22" s="6"/>
      <c r="BB22" s="6">
        <v>619.54999999999995</v>
      </c>
      <c r="BC22" s="6"/>
      <c r="BD22" s="41">
        <f t="shared" si="3"/>
        <v>0</v>
      </c>
      <c r="BE22" s="6"/>
      <c r="BF22" s="6"/>
      <c r="BG22" s="6"/>
      <c r="BH22" s="6"/>
      <c r="BI22" s="6"/>
      <c r="BJ22" s="6"/>
      <c r="BK22" s="6"/>
      <c r="BL22" s="6"/>
      <c r="BM22" s="6"/>
      <c r="BN22" s="6"/>
      <c r="BO22" s="6"/>
      <c r="BP22" s="64" t="e">
        <f t="shared" si="4"/>
        <v>#DIV/0!</v>
      </c>
      <c r="BQ22" s="65" t="e">
        <f t="shared" si="5"/>
        <v>#DIV/0!</v>
      </c>
    </row>
    <row r="23" spans="1:69">
      <c r="A23" s="75" t="s">
        <v>25</v>
      </c>
      <c r="B23" s="80" t="s">
        <v>274</v>
      </c>
      <c r="C23" s="80" t="s">
        <v>275</v>
      </c>
      <c r="D23" s="75" t="s">
        <v>143</v>
      </c>
      <c r="E23" s="75" t="s">
        <v>185</v>
      </c>
      <c r="F23" s="11">
        <v>15.707877</v>
      </c>
      <c r="G23" s="11">
        <v>121.101882</v>
      </c>
      <c r="H23" s="4" t="str">
        <f t="shared" si="0"/>
        <v>15.707877,121.101882</v>
      </c>
      <c r="I23" s="4" t="s">
        <v>48</v>
      </c>
      <c r="J23" s="4" t="s">
        <v>276</v>
      </c>
      <c r="K23" s="11" t="s">
        <v>199</v>
      </c>
      <c r="L23" s="11">
        <v>2019</v>
      </c>
      <c r="M23" s="11">
        <v>2027</v>
      </c>
      <c r="N23" s="11"/>
      <c r="O23" s="4" t="s">
        <v>83</v>
      </c>
      <c r="P23" s="11" t="s">
        <v>26</v>
      </c>
      <c r="Q23" s="71" t="s">
        <v>211</v>
      </c>
      <c r="R23" s="71" t="s">
        <v>212</v>
      </c>
      <c r="S23" s="11" t="s">
        <v>277</v>
      </c>
      <c r="T23" s="34">
        <v>45972</v>
      </c>
      <c r="U23" s="34">
        <v>45980</v>
      </c>
      <c r="V23" s="34">
        <v>45980</v>
      </c>
      <c r="W23" s="34">
        <v>45980</v>
      </c>
      <c r="X23" s="34">
        <v>45980</v>
      </c>
      <c r="Y23" s="45">
        <f t="shared" si="9"/>
        <v>6</v>
      </c>
      <c r="Z23" s="45">
        <f t="shared" si="7"/>
        <v>1</v>
      </c>
      <c r="AA23" s="45">
        <f t="shared" si="11"/>
        <v>1</v>
      </c>
      <c r="AB23" s="45">
        <f t="shared" si="8"/>
        <v>1</v>
      </c>
      <c r="AC23" s="7" t="s">
        <v>150</v>
      </c>
      <c r="AD23" s="11">
        <v>0.46100000000000002</v>
      </c>
      <c r="AE23" s="11"/>
      <c r="AF23" s="11"/>
      <c r="AG23" s="7"/>
      <c r="AH23" s="44" t="str">
        <f t="shared" si="12"/>
        <v>Not Compliant</v>
      </c>
      <c r="AI23" s="11"/>
      <c r="AJ23" s="11"/>
      <c r="AK23" s="11"/>
      <c r="AL23" s="11"/>
      <c r="AM23" s="11"/>
      <c r="AN23" s="11"/>
      <c r="AO23" s="34"/>
      <c r="AP23" s="11"/>
      <c r="AQ23" s="11"/>
      <c r="AR23" s="8">
        <v>38680.410000000003</v>
      </c>
      <c r="AS23" s="6"/>
      <c r="AT23" s="8">
        <v>23595.05</v>
      </c>
      <c r="AU23" s="6"/>
      <c r="AV23" s="8">
        <v>6567.93</v>
      </c>
      <c r="AW23" s="6"/>
      <c r="AX23" s="8">
        <v>3465.76</v>
      </c>
      <c r="AY23" s="6"/>
      <c r="AZ23" s="8">
        <v>4591.3599999999997</v>
      </c>
      <c r="BA23" s="6"/>
      <c r="BB23" s="6">
        <v>460.3</v>
      </c>
      <c r="BC23" s="6"/>
      <c r="BD23" s="41">
        <f t="shared" si="3"/>
        <v>0</v>
      </c>
      <c r="BE23" s="6"/>
      <c r="BF23" s="6"/>
      <c r="BG23" s="6"/>
      <c r="BH23" s="6"/>
      <c r="BI23" s="6"/>
      <c r="BJ23" s="6"/>
      <c r="BK23" s="6"/>
      <c r="BL23" s="6"/>
      <c r="BM23" s="6"/>
      <c r="BN23" s="6"/>
      <c r="BO23" s="6"/>
      <c r="BP23" s="64" t="e">
        <f t="shared" si="4"/>
        <v>#DIV/0!</v>
      </c>
      <c r="BQ23" s="65" t="e">
        <f t="shared" si="5"/>
        <v>#DIV/0!</v>
      </c>
    </row>
    <row r="24" spans="1:69" ht="30">
      <c r="A24" s="75" t="s">
        <v>25</v>
      </c>
      <c r="B24" s="80" t="s">
        <v>278</v>
      </c>
      <c r="C24" s="80" t="s">
        <v>279</v>
      </c>
      <c r="D24" s="75" t="s">
        <v>143</v>
      </c>
      <c r="E24" s="75" t="s">
        <v>233</v>
      </c>
      <c r="F24" s="11">
        <v>15.306808999999999</v>
      </c>
      <c r="G24" s="11">
        <v>120.856712</v>
      </c>
      <c r="H24" s="4" t="str">
        <f t="shared" si="0"/>
        <v>15.306809,120.856712</v>
      </c>
      <c r="I24" s="4" t="s">
        <v>48</v>
      </c>
      <c r="J24" s="4" t="s">
        <v>280</v>
      </c>
      <c r="K24" s="11" t="s">
        <v>245</v>
      </c>
      <c r="L24" s="11">
        <v>2021</v>
      </c>
      <c r="M24" s="11">
        <v>2029</v>
      </c>
      <c r="N24" s="11"/>
      <c r="O24" s="4" t="s">
        <v>83</v>
      </c>
      <c r="P24" s="11" t="s">
        <v>30</v>
      </c>
      <c r="Q24" s="71" t="s">
        <v>211</v>
      </c>
      <c r="R24" s="71" t="s">
        <v>212</v>
      </c>
      <c r="S24" s="11" t="s">
        <v>281</v>
      </c>
      <c r="T24" s="34">
        <v>45959</v>
      </c>
      <c r="U24" s="34">
        <v>45963</v>
      </c>
      <c r="V24" s="34">
        <v>45966</v>
      </c>
      <c r="W24" s="34">
        <v>45968</v>
      </c>
      <c r="X24" s="10">
        <v>45978</v>
      </c>
      <c r="Y24" s="45">
        <f t="shared" si="9"/>
        <v>2</v>
      </c>
      <c r="Z24" s="45">
        <f t="shared" si="7"/>
        <v>2</v>
      </c>
      <c r="AA24" s="45">
        <f t="shared" si="11"/>
        <v>2</v>
      </c>
      <c r="AB24" s="45">
        <f t="shared" si="8"/>
        <v>6</v>
      </c>
      <c r="AC24" s="7" t="s">
        <v>150</v>
      </c>
      <c r="AD24" s="706">
        <v>0.63</v>
      </c>
      <c r="AE24" s="707">
        <v>59542.48</v>
      </c>
      <c r="AF24" s="11">
        <v>84.18</v>
      </c>
      <c r="AG24" s="7" t="s">
        <v>282</v>
      </c>
      <c r="AH24" s="44" t="str">
        <f t="shared" si="12"/>
        <v>Compliant</v>
      </c>
      <c r="AI24" s="11" t="s">
        <v>49</v>
      </c>
      <c r="AJ24" s="11" t="s">
        <v>49</v>
      </c>
      <c r="AK24" s="11" t="s">
        <v>49</v>
      </c>
      <c r="AL24" s="11" t="s">
        <v>49</v>
      </c>
      <c r="AM24" s="11" t="s">
        <v>49</v>
      </c>
      <c r="AN24" s="11" t="s">
        <v>49</v>
      </c>
      <c r="AO24" s="34"/>
      <c r="AP24" s="11"/>
      <c r="AQ24" s="11"/>
      <c r="AR24" s="8">
        <v>59542.48</v>
      </c>
      <c r="AS24" s="6"/>
      <c r="AT24" s="8">
        <v>33689.14</v>
      </c>
      <c r="AU24" s="6"/>
      <c r="AV24" s="8">
        <v>13426.83</v>
      </c>
      <c r="AW24" s="6"/>
      <c r="AX24" s="8">
        <v>3006.9</v>
      </c>
      <c r="AY24" s="6"/>
      <c r="AZ24" s="8">
        <v>9276.7199999999993</v>
      </c>
      <c r="BA24" s="6"/>
      <c r="BB24" s="6">
        <v>142.9</v>
      </c>
      <c r="BC24" s="6"/>
      <c r="BD24" s="41">
        <f t="shared" si="3"/>
        <v>0</v>
      </c>
      <c r="BE24" s="6"/>
      <c r="BF24" s="6"/>
      <c r="BG24" s="6"/>
      <c r="BH24" s="6"/>
      <c r="BI24" s="6"/>
      <c r="BJ24" s="6"/>
      <c r="BK24" s="6"/>
      <c r="BL24" s="6"/>
      <c r="BM24" s="6"/>
      <c r="BN24" s="6"/>
      <c r="BO24" s="6"/>
      <c r="BP24" s="64" t="e">
        <f t="shared" si="4"/>
        <v>#DIV/0!</v>
      </c>
      <c r="BQ24" s="65" t="e">
        <f t="shared" si="5"/>
        <v>#DIV/0!</v>
      </c>
    </row>
    <row r="25" spans="1:69" ht="30">
      <c r="A25" s="75" t="s">
        <v>25</v>
      </c>
      <c r="B25" s="80" t="s">
        <v>283</v>
      </c>
      <c r="C25" s="80" t="s">
        <v>284</v>
      </c>
      <c r="D25" s="75" t="s">
        <v>143</v>
      </c>
      <c r="E25" s="75" t="s">
        <v>185</v>
      </c>
      <c r="F25" s="11">
        <v>15.777162000000001</v>
      </c>
      <c r="G25" s="11">
        <v>120.807756</v>
      </c>
      <c r="H25" s="4" t="str">
        <f t="shared" si="0"/>
        <v>15.777162,120.807756</v>
      </c>
      <c r="I25" s="4" t="s">
        <v>48</v>
      </c>
      <c r="J25" s="4" t="s">
        <v>285</v>
      </c>
      <c r="K25" s="11" t="s">
        <v>199</v>
      </c>
      <c r="L25" s="11">
        <v>2018</v>
      </c>
      <c r="M25" s="11">
        <v>2027</v>
      </c>
      <c r="N25" s="11"/>
      <c r="O25" s="4" t="s">
        <v>83</v>
      </c>
      <c r="P25" s="9" t="s">
        <v>29</v>
      </c>
      <c r="Q25" s="71" t="s">
        <v>211</v>
      </c>
      <c r="R25" s="71" t="s">
        <v>212</v>
      </c>
      <c r="S25" s="11" t="s">
        <v>286</v>
      </c>
      <c r="T25" s="34">
        <v>45959</v>
      </c>
      <c r="U25" s="34">
        <v>45965</v>
      </c>
      <c r="V25" s="34">
        <v>45972</v>
      </c>
      <c r="W25" s="34">
        <v>45972</v>
      </c>
      <c r="X25" s="10">
        <v>45978</v>
      </c>
      <c r="Y25" s="45">
        <f t="shared" si="9"/>
        <v>4</v>
      </c>
      <c r="Z25" s="45">
        <f t="shared" si="7"/>
        <v>5</v>
      </c>
      <c r="AA25" s="45">
        <f t="shared" si="11"/>
        <v>1</v>
      </c>
      <c r="AB25" s="45">
        <f t="shared" si="8"/>
        <v>4</v>
      </c>
      <c r="AC25" s="7" t="s">
        <v>150</v>
      </c>
      <c r="AD25" s="11">
        <v>0.20499999999999999</v>
      </c>
      <c r="AE25" s="82">
        <v>5828.8</v>
      </c>
      <c r="AF25" s="11"/>
      <c r="AG25" s="7" t="s">
        <v>287</v>
      </c>
      <c r="AH25" s="44" t="str">
        <f t="shared" si="12"/>
        <v>Not Compliant</v>
      </c>
      <c r="AI25" s="11" t="s">
        <v>56</v>
      </c>
      <c r="AJ25" s="11" t="s">
        <v>49</v>
      </c>
      <c r="AK25" s="11" t="s">
        <v>56</v>
      </c>
      <c r="AL25" s="11" t="s">
        <v>56</v>
      </c>
      <c r="AM25" s="11" t="s">
        <v>56</v>
      </c>
      <c r="AN25" s="11" t="s">
        <v>49</v>
      </c>
      <c r="AO25" s="34" t="s">
        <v>56</v>
      </c>
      <c r="AP25" s="11"/>
      <c r="AQ25" s="11"/>
      <c r="AR25" s="8">
        <v>5828.8</v>
      </c>
      <c r="AS25" s="6"/>
      <c r="AT25" s="8">
        <v>3262.38</v>
      </c>
      <c r="AU25" s="6"/>
      <c r="AV25" s="6">
        <v>908.71</v>
      </c>
      <c r="AW25" s="6"/>
      <c r="AX25" s="6">
        <v>259.38</v>
      </c>
      <c r="AY25" s="6"/>
      <c r="AZ25" s="8">
        <v>1362.77</v>
      </c>
      <c r="BA25" s="6"/>
      <c r="BB25" s="6">
        <v>35.56</v>
      </c>
      <c r="BC25" s="6"/>
      <c r="BD25" s="41">
        <f t="shared" si="3"/>
        <v>0</v>
      </c>
      <c r="BE25" s="6"/>
      <c r="BF25" s="6"/>
      <c r="BG25" s="6"/>
      <c r="BH25" s="6"/>
      <c r="BI25" s="6"/>
      <c r="BJ25" s="6"/>
      <c r="BK25" s="6"/>
      <c r="BL25" s="6"/>
      <c r="BM25" s="6"/>
      <c r="BN25" s="6"/>
      <c r="BO25" s="6"/>
      <c r="BP25" s="64" t="e">
        <f t="shared" si="4"/>
        <v>#DIV/0!</v>
      </c>
      <c r="BQ25" s="65" t="e">
        <f t="shared" si="5"/>
        <v>#DIV/0!</v>
      </c>
    </row>
    <row r="26" spans="1:69" ht="15.75">
      <c r="A26" s="75" t="s">
        <v>31</v>
      </c>
      <c r="B26" s="80" t="s">
        <v>288</v>
      </c>
      <c r="C26" s="80" t="s">
        <v>289</v>
      </c>
      <c r="D26" s="75" t="s">
        <v>143</v>
      </c>
      <c r="E26" s="11" t="s">
        <v>160</v>
      </c>
      <c r="F26" s="11">
        <v>15.1653</v>
      </c>
      <c r="G26" s="11">
        <v>120.6084</v>
      </c>
      <c r="H26" s="4" t="str">
        <f t="shared" si="0"/>
        <v>15.1653,120.6084</v>
      </c>
      <c r="I26" s="4" t="s">
        <v>48</v>
      </c>
      <c r="J26" s="4" t="s">
        <v>290</v>
      </c>
      <c r="K26" s="11" t="s">
        <v>155</v>
      </c>
      <c r="L26" s="11">
        <v>2015</v>
      </c>
      <c r="M26" s="11">
        <v>2024</v>
      </c>
      <c r="N26" s="11" t="s">
        <v>98</v>
      </c>
      <c r="O26" s="4" t="s">
        <v>83</v>
      </c>
      <c r="P26" s="11" t="s">
        <v>33</v>
      </c>
      <c r="Q26" s="71"/>
      <c r="R26" s="76" t="s">
        <v>148</v>
      </c>
      <c r="S26" s="11" t="s">
        <v>291</v>
      </c>
      <c r="T26" s="34">
        <v>45972</v>
      </c>
      <c r="U26" s="34">
        <v>45972</v>
      </c>
      <c r="V26" s="34"/>
      <c r="W26" s="34">
        <v>45978</v>
      </c>
      <c r="X26" s="10">
        <v>45979</v>
      </c>
      <c r="Y26" s="45">
        <f t="shared" si="9"/>
        <v>1</v>
      </c>
      <c r="Z26" s="45" t="str">
        <f t="shared" si="7"/>
        <v/>
      </c>
      <c r="AA26" s="45">
        <f t="shared" si="11"/>
        <v>4</v>
      </c>
      <c r="AB26" s="45">
        <f t="shared" si="8"/>
        <v>1</v>
      </c>
      <c r="AC26" s="7" t="s">
        <v>150</v>
      </c>
      <c r="AD26" s="11">
        <v>0.5</v>
      </c>
      <c r="AE26" s="765">
        <v>79314</v>
      </c>
      <c r="AF26" s="11">
        <v>0.6</v>
      </c>
      <c r="AG26" s="7" t="s">
        <v>292</v>
      </c>
      <c r="AH26" s="44" t="str">
        <f t="shared" si="12"/>
        <v>Not Compliant</v>
      </c>
      <c r="AI26" s="11" t="s">
        <v>49</v>
      </c>
      <c r="AJ26" s="11" t="s">
        <v>49</v>
      </c>
      <c r="AK26" s="11" t="s">
        <v>49</v>
      </c>
      <c r="AL26" s="11" t="s">
        <v>56</v>
      </c>
      <c r="AM26" s="11" t="s">
        <v>49</v>
      </c>
      <c r="AN26" s="11" t="s">
        <v>49</v>
      </c>
      <c r="AO26" s="34"/>
      <c r="AP26" s="11"/>
      <c r="AQ26" s="11"/>
      <c r="AR26" s="8">
        <v>293415.48</v>
      </c>
      <c r="AS26" s="6"/>
      <c r="AT26" s="8">
        <v>153925.76000000001</v>
      </c>
      <c r="AU26" s="6"/>
      <c r="AV26" s="8">
        <v>56071.7</v>
      </c>
      <c r="AW26" s="6"/>
      <c r="AX26" s="8">
        <v>37967.96</v>
      </c>
      <c r="AY26" s="6"/>
      <c r="AZ26" s="8">
        <v>43865.61</v>
      </c>
      <c r="BA26" s="6"/>
      <c r="BB26" s="8">
        <v>1584.44</v>
      </c>
      <c r="BC26" s="6"/>
      <c r="BD26" s="41">
        <f t="shared" si="3"/>
        <v>0</v>
      </c>
      <c r="BE26" s="6"/>
      <c r="BF26" s="6"/>
      <c r="BG26" s="6"/>
      <c r="BH26" s="6"/>
      <c r="BI26" s="6"/>
      <c r="BJ26" s="6"/>
      <c r="BK26" s="6"/>
      <c r="BL26" s="6"/>
      <c r="BM26" s="6"/>
      <c r="BN26" s="6"/>
      <c r="BO26" s="6"/>
      <c r="BP26" s="64" t="e">
        <f t="shared" si="4"/>
        <v>#DIV/0!</v>
      </c>
      <c r="BQ26" s="65" t="e">
        <f t="shared" si="5"/>
        <v>#DIV/0!</v>
      </c>
    </row>
    <row r="27" spans="1:69">
      <c r="A27" s="75" t="s">
        <v>31</v>
      </c>
      <c r="B27" s="80" t="s">
        <v>293</v>
      </c>
      <c r="C27" s="80" t="s">
        <v>294</v>
      </c>
      <c r="D27" s="75" t="s">
        <v>143</v>
      </c>
      <c r="E27" s="75" t="s">
        <v>144</v>
      </c>
      <c r="F27" s="11">
        <v>15.154166999999999</v>
      </c>
      <c r="G27" s="11">
        <v>120.771598</v>
      </c>
      <c r="H27" s="4" t="str">
        <f t="shared" si="0"/>
        <v>15.154167,120.771598</v>
      </c>
      <c r="I27" s="4" t="s">
        <v>48</v>
      </c>
      <c r="J27" s="4" t="s">
        <v>295</v>
      </c>
      <c r="K27" s="11" t="s">
        <v>296</v>
      </c>
      <c r="L27" s="11">
        <v>2019</v>
      </c>
      <c r="M27" s="11">
        <v>2028</v>
      </c>
      <c r="N27" s="11"/>
      <c r="O27" s="4" t="s">
        <v>83</v>
      </c>
      <c r="P27" s="11" t="s">
        <v>32</v>
      </c>
      <c r="Q27" s="71"/>
      <c r="R27" s="76" t="s">
        <v>148</v>
      </c>
      <c r="S27" s="78" t="s">
        <v>297</v>
      </c>
      <c r="T27" s="34">
        <v>45967</v>
      </c>
      <c r="U27" s="34">
        <v>45970</v>
      </c>
      <c r="V27" s="34"/>
      <c r="W27" s="34">
        <v>45978</v>
      </c>
      <c r="X27" s="10">
        <v>45979</v>
      </c>
      <c r="Y27" s="45">
        <f t="shared" si="9"/>
        <v>1</v>
      </c>
      <c r="Z27" s="45" t="str">
        <f t="shared" si="7"/>
        <v/>
      </c>
      <c r="AA27" s="45">
        <f t="shared" si="11"/>
        <v>5</v>
      </c>
      <c r="AB27" s="45">
        <f t="shared" si="8"/>
        <v>1</v>
      </c>
      <c r="AC27" s="7" t="s">
        <v>150</v>
      </c>
      <c r="AD27" s="11">
        <v>0.151</v>
      </c>
      <c r="AE27" s="82">
        <v>22221.68</v>
      </c>
      <c r="AF27" s="11" t="s">
        <v>298</v>
      </c>
      <c r="AG27" s="7" t="s">
        <v>182</v>
      </c>
      <c r="AH27" s="44" t="str">
        <f t="shared" si="12"/>
        <v>Not Compliant</v>
      </c>
      <c r="AI27" s="11" t="s">
        <v>49</v>
      </c>
      <c r="AJ27" s="11" t="s">
        <v>49</v>
      </c>
      <c r="AK27" s="11" t="s">
        <v>49</v>
      </c>
      <c r="AL27" s="11" t="s">
        <v>56</v>
      </c>
      <c r="AM27" s="11" t="s">
        <v>49</v>
      </c>
      <c r="AN27" s="11" t="s">
        <v>49</v>
      </c>
      <c r="AO27" s="34"/>
      <c r="AP27" s="11"/>
      <c r="AQ27" s="11"/>
      <c r="AR27" s="8">
        <v>7030.51</v>
      </c>
      <c r="AS27" s="6"/>
      <c r="AT27" s="8">
        <v>3489.95</v>
      </c>
      <c r="AU27" s="6"/>
      <c r="AV27" s="8">
        <v>2057.83</v>
      </c>
      <c r="AW27" s="6"/>
      <c r="AX27" s="6">
        <v>338.17</v>
      </c>
      <c r="AY27" s="6"/>
      <c r="AZ27" s="8">
        <v>1096.76</v>
      </c>
      <c r="BA27" s="6"/>
      <c r="BB27" s="6">
        <v>47.81</v>
      </c>
      <c r="BC27" s="6"/>
      <c r="BD27" s="41">
        <f t="shared" si="3"/>
        <v>0</v>
      </c>
      <c r="BE27" s="6"/>
      <c r="BF27" s="6"/>
      <c r="BG27" s="6"/>
      <c r="BH27" s="6"/>
      <c r="BI27" s="6"/>
      <c r="BJ27" s="6"/>
      <c r="BK27" s="6"/>
      <c r="BL27" s="6"/>
      <c r="BM27" s="6"/>
      <c r="BN27" s="6"/>
      <c r="BO27" s="6"/>
      <c r="BP27" s="64" t="e">
        <f t="shared" si="4"/>
        <v>#DIV/0!</v>
      </c>
      <c r="BQ27" s="65" t="e">
        <f t="shared" si="5"/>
        <v>#DIV/0!</v>
      </c>
    </row>
    <row r="28" spans="1:69">
      <c r="A28" s="75" t="s">
        <v>36</v>
      </c>
      <c r="B28" s="80" t="s">
        <v>299</v>
      </c>
      <c r="C28" s="80" t="s">
        <v>300</v>
      </c>
      <c r="D28" s="75" t="s">
        <v>143</v>
      </c>
      <c r="E28" s="9" t="s">
        <v>144</v>
      </c>
      <c r="F28" s="11">
        <v>15.289574</v>
      </c>
      <c r="G28" s="11">
        <v>120.570662</v>
      </c>
      <c r="H28" s="4" t="str">
        <f t="shared" si="0"/>
        <v>15.289574,120.570662</v>
      </c>
      <c r="I28" s="4" t="s">
        <v>48</v>
      </c>
      <c r="J28" s="4">
        <v>1248</v>
      </c>
      <c r="K28" s="11" t="s">
        <v>301</v>
      </c>
      <c r="L28" s="11">
        <v>2019</v>
      </c>
      <c r="M28" s="11">
        <v>2027</v>
      </c>
      <c r="N28" s="11"/>
      <c r="O28" s="4" t="s">
        <v>83</v>
      </c>
      <c r="P28" s="11" t="s">
        <v>39</v>
      </c>
      <c r="Q28" s="71" t="s">
        <v>302</v>
      </c>
      <c r="R28" s="71" t="s">
        <v>28</v>
      </c>
      <c r="S28" s="705" t="s">
        <v>303</v>
      </c>
      <c r="T28" s="34">
        <v>45965</v>
      </c>
      <c r="U28" s="34">
        <v>45968</v>
      </c>
      <c r="V28" s="34">
        <v>45978</v>
      </c>
      <c r="W28" s="34">
        <v>45978</v>
      </c>
      <c r="X28" s="10">
        <v>45978</v>
      </c>
      <c r="Y28" s="45">
        <f t="shared" si="9"/>
        <v>3</v>
      </c>
      <c r="Z28" s="45">
        <f t="shared" si="7"/>
        <v>6</v>
      </c>
      <c r="AA28" s="45">
        <f t="shared" si="11"/>
        <v>1</v>
      </c>
      <c r="AB28" s="45">
        <f t="shared" si="8"/>
        <v>1</v>
      </c>
      <c r="AC28" s="7" t="s">
        <v>150</v>
      </c>
      <c r="AD28" s="762">
        <v>0.36799999999999999</v>
      </c>
      <c r="AE28" s="769">
        <v>26685.52</v>
      </c>
      <c r="AF28" s="83">
        <v>0.68520000000000003</v>
      </c>
      <c r="AG28" s="7" t="s">
        <v>304</v>
      </c>
      <c r="AH28" s="44" t="str">
        <f t="shared" si="12"/>
        <v>Compliant</v>
      </c>
      <c r="AI28" s="11" t="s">
        <v>49</v>
      </c>
      <c r="AJ28" s="11" t="s">
        <v>49</v>
      </c>
      <c r="AK28" s="11" t="s">
        <v>49</v>
      </c>
      <c r="AL28" s="11" t="s">
        <v>49</v>
      </c>
      <c r="AM28" s="11" t="s">
        <v>56</v>
      </c>
      <c r="AN28" s="11" t="s">
        <v>49</v>
      </c>
      <c r="AO28" s="34"/>
      <c r="AP28" s="11"/>
      <c r="AQ28" s="11"/>
      <c r="AR28" s="8">
        <v>36507.93</v>
      </c>
      <c r="AS28" s="6"/>
      <c r="AT28" s="8">
        <v>13697.78</v>
      </c>
      <c r="AU28" s="6"/>
      <c r="AV28" s="8">
        <v>11321.11</v>
      </c>
      <c r="AW28" s="6"/>
      <c r="AX28" s="8">
        <v>7243.17</v>
      </c>
      <c r="AY28" s="6"/>
      <c r="AZ28" s="8">
        <v>3720.16</v>
      </c>
      <c r="BA28" s="6"/>
      <c r="BB28" s="6">
        <v>525.71</v>
      </c>
      <c r="BC28" s="6"/>
      <c r="BD28" s="41">
        <f t="shared" si="3"/>
        <v>0</v>
      </c>
      <c r="BE28" s="6"/>
      <c r="BF28" s="6"/>
      <c r="BG28" s="6"/>
      <c r="BH28" s="6"/>
      <c r="BI28" s="6"/>
      <c r="BJ28" s="6"/>
      <c r="BK28" s="6"/>
      <c r="BL28" s="6"/>
      <c r="BM28" s="6"/>
      <c r="BN28" s="6"/>
      <c r="BO28" s="6"/>
      <c r="BP28" s="64" t="e">
        <f t="shared" si="4"/>
        <v>#DIV/0!</v>
      </c>
      <c r="BQ28" s="65" t="e">
        <f t="shared" si="5"/>
        <v>#DIV/0!</v>
      </c>
    </row>
    <row r="29" spans="1:69" ht="45">
      <c r="A29" s="75" t="s">
        <v>36</v>
      </c>
      <c r="B29" s="80" t="s">
        <v>305</v>
      </c>
      <c r="C29" s="80" t="s">
        <v>306</v>
      </c>
      <c r="D29" s="75" t="s">
        <v>159</v>
      </c>
      <c r="E29" s="9" t="s">
        <v>160</v>
      </c>
      <c r="F29" s="11">
        <v>15.616387</v>
      </c>
      <c r="G29" s="11">
        <v>120.434693</v>
      </c>
      <c r="H29" s="4" t="str">
        <f t="shared" si="0"/>
        <v>15.616387,120.434693</v>
      </c>
      <c r="I29" s="4" t="s">
        <v>48</v>
      </c>
      <c r="J29" s="7" t="s">
        <v>307</v>
      </c>
      <c r="K29" s="11" t="s">
        <v>218</v>
      </c>
      <c r="L29" s="11">
        <v>2019</v>
      </c>
      <c r="M29" s="11">
        <v>2027</v>
      </c>
      <c r="N29" s="11"/>
      <c r="O29" s="4" t="s">
        <v>83</v>
      </c>
      <c r="P29" s="11" t="s">
        <v>37</v>
      </c>
      <c r="Q29" s="71" t="s">
        <v>302</v>
      </c>
      <c r="R29" s="71" t="s">
        <v>28</v>
      </c>
      <c r="S29" s="11" t="s">
        <v>308</v>
      </c>
      <c r="T29" s="34">
        <v>45965</v>
      </c>
      <c r="U29" s="34">
        <v>45965</v>
      </c>
      <c r="V29" s="34">
        <v>45967</v>
      </c>
      <c r="W29" s="34">
        <v>45967</v>
      </c>
      <c r="X29" s="10">
        <v>45978</v>
      </c>
      <c r="Y29" s="45">
        <f t="shared" si="9"/>
        <v>1</v>
      </c>
      <c r="Z29" s="45">
        <f t="shared" si="7"/>
        <v>2</v>
      </c>
      <c r="AA29" s="45">
        <f>IF(
    OR(ISBLANK(U29), ISBLANK(W29)),
    "",
    MAX(1, IF(
        NETWORKDAYS(U29, W29) &lt;= 0,
        1,
        NETWORKDAYS(U29, W29) - IF(U29 = W29, 0, 1)
    ))
)</f>
        <v>2</v>
      </c>
      <c r="AB29" s="45">
        <f t="shared" si="8"/>
        <v>7</v>
      </c>
      <c r="AC29" s="7" t="s">
        <v>150</v>
      </c>
      <c r="AD29" s="11">
        <v>0.18</v>
      </c>
      <c r="AE29" s="82">
        <v>4576.1099999999997</v>
      </c>
      <c r="AF29" s="11"/>
      <c r="AG29" s="7" t="s">
        <v>309</v>
      </c>
      <c r="AH29" s="44" t="str">
        <f t="shared" si="12"/>
        <v>Compliant</v>
      </c>
      <c r="AI29" s="11" t="s">
        <v>49</v>
      </c>
      <c r="AJ29" s="11" t="s">
        <v>49</v>
      </c>
      <c r="AK29" s="11" t="s">
        <v>49</v>
      </c>
      <c r="AL29" s="11" t="s">
        <v>49</v>
      </c>
      <c r="AM29" s="11" t="s">
        <v>49</v>
      </c>
      <c r="AN29" s="11" t="s">
        <v>49</v>
      </c>
      <c r="AO29" s="34" t="s">
        <v>56</v>
      </c>
      <c r="AP29" s="11"/>
      <c r="AQ29" s="11"/>
      <c r="AR29" s="8">
        <v>10998.93</v>
      </c>
      <c r="AS29" s="6"/>
      <c r="AT29" s="8">
        <v>4069.6</v>
      </c>
      <c r="AU29" s="6"/>
      <c r="AV29" s="8">
        <v>3629.65</v>
      </c>
      <c r="AW29" s="6"/>
      <c r="AX29" s="8">
        <v>1429.86</v>
      </c>
      <c r="AY29" s="6"/>
      <c r="AZ29" s="8">
        <v>1099.8900000000001</v>
      </c>
      <c r="BA29" s="6"/>
      <c r="BB29" s="6">
        <v>769.93</v>
      </c>
      <c r="BC29" s="6"/>
      <c r="BD29" s="41">
        <f t="shared" si="3"/>
        <v>0</v>
      </c>
      <c r="BE29" s="6"/>
      <c r="BF29" s="6"/>
      <c r="BG29" s="6"/>
      <c r="BH29" s="6"/>
      <c r="BI29" s="6"/>
      <c r="BJ29" s="6"/>
      <c r="BK29" s="6"/>
      <c r="BL29" s="6"/>
      <c r="BM29" s="6"/>
      <c r="BN29" s="6"/>
      <c r="BO29" s="6"/>
      <c r="BP29" s="64" t="e">
        <f t="shared" si="4"/>
        <v>#DIV/0!</v>
      </c>
      <c r="BQ29" s="65" t="e">
        <f t="shared" si="5"/>
        <v>#DIV/0!</v>
      </c>
    </row>
    <row r="30" spans="1:69" ht="60">
      <c r="A30" s="75" t="s">
        <v>12</v>
      </c>
      <c r="B30" s="80" t="s">
        <v>310</v>
      </c>
      <c r="C30" s="80" t="s">
        <v>311</v>
      </c>
      <c r="D30" s="75" t="s">
        <v>159</v>
      </c>
      <c r="E30" s="75" t="s">
        <v>249</v>
      </c>
      <c r="F30" s="9">
        <v>15.798717</v>
      </c>
      <c r="G30" s="9">
        <v>121.47355</v>
      </c>
      <c r="H30" s="4" t="str">
        <f t="shared" si="0"/>
        <v>15.798717,121.47355</v>
      </c>
      <c r="I30" s="4" t="s">
        <v>48</v>
      </c>
      <c r="J30" s="4" t="s">
        <v>312</v>
      </c>
      <c r="K30" s="9" t="s">
        <v>155</v>
      </c>
      <c r="L30" s="9">
        <v>2025</v>
      </c>
      <c r="M30" s="9">
        <v>2034</v>
      </c>
      <c r="N30" s="11" t="s">
        <v>313</v>
      </c>
      <c r="O30" s="9" t="s">
        <v>74</v>
      </c>
      <c r="P30" s="9" t="s">
        <v>14</v>
      </c>
      <c r="Q30" s="71"/>
      <c r="R30" s="71" t="s">
        <v>163</v>
      </c>
      <c r="S30" s="363" t="s">
        <v>314</v>
      </c>
      <c r="T30" s="34">
        <v>45692</v>
      </c>
      <c r="U30" s="34">
        <v>45694</v>
      </c>
      <c r="V30" s="34"/>
      <c r="W30" s="34">
        <v>45695</v>
      </c>
      <c r="X30" s="34">
        <v>45695</v>
      </c>
      <c r="Y30" s="45">
        <f t="shared" si="9"/>
        <v>2</v>
      </c>
      <c r="Z30" s="45" t="str">
        <f t="shared" si="7"/>
        <v/>
      </c>
      <c r="AA30" s="45">
        <f t="shared" ref="AA30:AA37" si="13">IF(
  OR(IF(V30&lt;&gt;"", V30, U30)="", W30=""),
  "",
  MAX(1,
    IF(
      NETWORKDAYS(IF(V30&lt;&gt;"", V30, U30), W30) &lt;= 0,
      1,
      NETWORKDAYS(IF(V30&lt;&gt;"", V30, U30), W30) - IF(IF(V30&lt;&gt;"", V30, U30)=W30, 0, 1)
    )
  )
)</f>
        <v>1</v>
      </c>
      <c r="AB30" s="45">
        <f t="shared" si="8"/>
        <v>1</v>
      </c>
      <c r="AC30" s="7" t="s">
        <v>150</v>
      </c>
      <c r="AD30" s="11">
        <v>0.24</v>
      </c>
      <c r="AE30" s="368">
        <v>1825.36</v>
      </c>
      <c r="AF30" s="11">
        <v>5.24</v>
      </c>
      <c r="AG30" s="7" t="s">
        <v>259</v>
      </c>
      <c r="AH30" s="44" t="s">
        <v>151</v>
      </c>
      <c r="AI30" s="13" t="s">
        <v>49</v>
      </c>
      <c r="AJ30" s="13" t="s">
        <v>49</v>
      </c>
      <c r="AK30" s="13" t="s">
        <v>49</v>
      </c>
      <c r="AL30" s="13" t="s">
        <v>49</v>
      </c>
      <c r="AM30" s="13" t="s">
        <v>69</v>
      </c>
      <c r="AN30" s="13" t="s">
        <v>49</v>
      </c>
      <c r="AO30" s="35"/>
      <c r="AP30" s="4"/>
      <c r="AQ30" s="7" t="s">
        <v>315</v>
      </c>
      <c r="AR30" s="8">
        <v>12056.78</v>
      </c>
      <c r="AS30" s="6"/>
      <c r="AT30" s="8">
        <v>6789.17</v>
      </c>
      <c r="AU30" s="6"/>
      <c r="AV30" s="8">
        <v>1844.69</v>
      </c>
      <c r="AW30" s="6"/>
      <c r="AX30" s="8">
        <v>2629.58</v>
      </c>
      <c r="AY30" s="6"/>
      <c r="AZ30" s="6">
        <v>778.87</v>
      </c>
      <c r="BA30" s="6"/>
      <c r="BB30" s="6">
        <v>14.47</v>
      </c>
      <c r="BC30" s="6"/>
      <c r="BD30" s="41">
        <f t="shared" si="3"/>
        <v>0</v>
      </c>
      <c r="BE30" s="6"/>
      <c r="BF30" s="6"/>
      <c r="BG30" s="6"/>
      <c r="BH30" s="6"/>
      <c r="BI30" s="6"/>
      <c r="BJ30" s="6"/>
      <c r="BK30" s="6"/>
      <c r="BL30" s="6"/>
      <c r="BM30" s="6"/>
      <c r="BN30" s="6"/>
      <c r="BO30" s="6"/>
      <c r="BP30" s="64" t="e">
        <f t="shared" si="4"/>
        <v>#DIV/0!</v>
      </c>
      <c r="BQ30" s="65" t="e">
        <f t="shared" si="5"/>
        <v>#DIV/0!</v>
      </c>
    </row>
    <row r="31" spans="1:69" ht="30">
      <c r="A31" s="75" t="s">
        <v>16</v>
      </c>
      <c r="B31" s="80" t="s">
        <v>316</v>
      </c>
      <c r="C31" s="80" t="s">
        <v>317</v>
      </c>
      <c r="D31" s="75" t="s">
        <v>143</v>
      </c>
      <c r="E31" s="75" t="s">
        <v>144</v>
      </c>
      <c r="F31" s="9">
        <v>14.866933</v>
      </c>
      <c r="G31" s="9">
        <v>120.46110299999999</v>
      </c>
      <c r="H31" s="4" t="str">
        <f t="shared" si="0"/>
        <v>14.866933,120.461103</v>
      </c>
      <c r="I31" s="4" t="s">
        <v>48</v>
      </c>
      <c r="J31" s="4" t="s">
        <v>318</v>
      </c>
      <c r="K31" s="9" t="s">
        <v>187</v>
      </c>
      <c r="L31" s="9">
        <v>2015</v>
      </c>
      <c r="M31" s="9">
        <v>2025</v>
      </c>
      <c r="N31" s="11" t="s">
        <v>98</v>
      </c>
      <c r="O31" s="4" t="s">
        <v>74</v>
      </c>
      <c r="P31" s="9" t="s">
        <v>179</v>
      </c>
      <c r="Q31" s="71"/>
      <c r="R31" s="71" t="s">
        <v>180</v>
      </c>
      <c r="S31" s="363" t="s">
        <v>319</v>
      </c>
      <c r="T31" s="34">
        <v>45699</v>
      </c>
      <c r="U31" s="34">
        <v>45700</v>
      </c>
      <c r="V31" s="34"/>
      <c r="W31" s="35">
        <v>45701</v>
      </c>
      <c r="X31" s="34">
        <v>45701</v>
      </c>
      <c r="Y31" s="45">
        <f t="shared" si="9"/>
        <v>1</v>
      </c>
      <c r="Z31" s="45" t="str">
        <f t="shared" si="7"/>
        <v/>
      </c>
      <c r="AA31" s="45">
        <f t="shared" si="13"/>
        <v>1</v>
      </c>
      <c r="AB31" s="45">
        <f t="shared" si="8"/>
        <v>1</v>
      </c>
      <c r="AC31" s="7" t="s">
        <v>150</v>
      </c>
      <c r="AD31" s="11">
        <v>0.32100000000000001</v>
      </c>
      <c r="AE31" s="82">
        <v>38095.24</v>
      </c>
      <c r="AF31" s="121">
        <v>90</v>
      </c>
      <c r="AG31" s="7" t="s">
        <v>182</v>
      </c>
      <c r="AH31" s="44" t="s">
        <v>151</v>
      </c>
      <c r="AI31" s="13" t="s">
        <v>49</v>
      </c>
      <c r="AJ31" s="13" t="s">
        <v>49</v>
      </c>
      <c r="AK31" s="13" t="s">
        <v>49</v>
      </c>
      <c r="AL31" s="13" t="s">
        <v>49</v>
      </c>
      <c r="AM31" s="13" t="s">
        <v>49</v>
      </c>
      <c r="AN31" s="13" t="s">
        <v>49</v>
      </c>
      <c r="AO31" s="33"/>
      <c r="AP31" s="9"/>
      <c r="AQ31" s="11"/>
      <c r="AR31" s="8">
        <v>29103.01</v>
      </c>
      <c r="AS31" s="6"/>
      <c r="AT31" s="8">
        <v>12805.33</v>
      </c>
      <c r="AU31" s="6"/>
      <c r="AV31" s="8">
        <v>11641.21</v>
      </c>
      <c r="AW31" s="6"/>
      <c r="AX31" s="8">
        <v>1746.18</v>
      </c>
      <c r="AY31" s="6"/>
      <c r="AZ31" s="8">
        <v>1746.18</v>
      </c>
      <c r="BA31" s="6"/>
      <c r="BB31" s="8">
        <v>1164.1199999999999</v>
      </c>
      <c r="BC31" s="6"/>
      <c r="BD31" s="41">
        <f t="shared" si="3"/>
        <v>0</v>
      </c>
      <c r="BE31" s="6"/>
      <c r="BF31" s="6"/>
      <c r="BG31" s="6"/>
      <c r="BH31" s="6"/>
      <c r="BI31" s="6"/>
      <c r="BJ31" s="6"/>
      <c r="BK31" s="6"/>
      <c r="BL31" s="6"/>
      <c r="BM31" s="6"/>
      <c r="BN31" s="6"/>
      <c r="BO31" s="6"/>
      <c r="BP31" s="64" t="e">
        <f t="shared" si="4"/>
        <v>#DIV/0!</v>
      </c>
      <c r="BQ31" s="65" t="e">
        <f t="shared" si="5"/>
        <v>#DIV/0!</v>
      </c>
    </row>
    <row r="32" spans="1:69">
      <c r="A32" s="75" t="s">
        <v>16</v>
      </c>
      <c r="B32" s="80" t="s">
        <v>320</v>
      </c>
      <c r="C32" s="80" t="s">
        <v>321</v>
      </c>
      <c r="D32" s="75" t="s">
        <v>143</v>
      </c>
      <c r="E32" s="75" t="s">
        <v>160</v>
      </c>
      <c r="F32" s="4">
        <v>14.830648999999999</v>
      </c>
      <c r="G32" s="4">
        <v>120.50856899999999</v>
      </c>
      <c r="H32" s="4" t="str">
        <f t="shared" si="0"/>
        <v>14.830649,120.508569</v>
      </c>
      <c r="I32" s="4" t="s">
        <v>48</v>
      </c>
      <c r="J32" s="4" t="s">
        <v>322</v>
      </c>
      <c r="K32" s="4" t="s">
        <v>199</v>
      </c>
      <c r="L32" s="4">
        <v>2018</v>
      </c>
      <c r="M32" s="4">
        <v>2027</v>
      </c>
      <c r="N32" s="4"/>
      <c r="O32" s="4" t="s">
        <v>74</v>
      </c>
      <c r="P32" s="9" t="s">
        <v>179</v>
      </c>
      <c r="Q32" s="70"/>
      <c r="R32" s="71" t="s">
        <v>180</v>
      </c>
      <c r="S32" s="364" t="s">
        <v>323</v>
      </c>
      <c r="T32" s="33">
        <v>45701</v>
      </c>
      <c r="U32" s="33">
        <v>45704</v>
      </c>
      <c r="V32" s="33"/>
      <c r="W32" s="33">
        <v>45705</v>
      </c>
      <c r="X32" s="34">
        <v>45705</v>
      </c>
      <c r="Y32" s="45">
        <f t="shared" si="9"/>
        <v>1</v>
      </c>
      <c r="Z32" s="45" t="str">
        <f t="shared" si="7"/>
        <v/>
      </c>
      <c r="AA32" s="45">
        <f t="shared" si="13"/>
        <v>1</v>
      </c>
      <c r="AB32" s="45">
        <f t="shared" si="8"/>
        <v>1</v>
      </c>
      <c r="AC32" s="7" t="s">
        <v>150</v>
      </c>
      <c r="AD32" s="122">
        <v>0.47</v>
      </c>
      <c r="AE32" s="82">
        <v>34698.22</v>
      </c>
      <c r="AF32" s="11">
        <v>85.4</v>
      </c>
      <c r="AG32" s="7" t="s">
        <v>324</v>
      </c>
      <c r="AH32" s="44" t="s">
        <v>151</v>
      </c>
      <c r="AI32" s="7" t="s">
        <v>49</v>
      </c>
      <c r="AJ32" s="7" t="s">
        <v>49</v>
      </c>
      <c r="AK32" s="7" t="s">
        <v>49</v>
      </c>
      <c r="AL32" s="7" t="s">
        <v>49</v>
      </c>
      <c r="AM32" s="7" t="s">
        <v>49</v>
      </c>
      <c r="AN32" s="7" t="s">
        <v>49</v>
      </c>
      <c r="AO32" s="33"/>
      <c r="AP32" s="4"/>
      <c r="AQ32" s="11"/>
      <c r="AR32" s="8">
        <v>50359.71</v>
      </c>
      <c r="AS32" s="6"/>
      <c r="AT32" s="8">
        <v>24555.4</v>
      </c>
      <c r="AU32" s="6"/>
      <c r="AV32" s="8">
        <v>14171.22</v>
      </c>
      <c r="AW32" s="6"/>
      <c r="AX32" s="8">
        <v>4280.58</v>
      </c>
      <c r="AY32" s="6"/>
      <c r="AZ32" s="8">
        <v>6712.95</v>
      </c>
      <c r="BA32" s="6"/>
      <c r="BB32" s="6">
        <v>639.57000000000005</v>
      </c>
      <c r="BC32" s="6"/>
      <c r="BD32" s="41">
        <f t="shared" si="3"/>
        <v>0</v>
      </c>
      <c r="BE32" s="6"/>
      <c r="BF32" s="6"/>
      <c r="BG32" s="6"/>
      <c r="BH32" s="6"/>
      <c r="BI32" s="6"/>
      <c r="BJ32" s="6"/>
      <c r="BK32" s="6"/>
      <c r="BL32" s="6"/>
      <c r="BM32" s="6"/>
      <c r="BN32" s="6"/>
      <c r="BO32" s="6"/>
      <c r="BP32" s="64" t="e">
        <f t="shared" si="4"/>
        <v>#DIV/0!</v>
      </c>
      <c r="BQ32" s="65" t="e">
        <f t="shared" si="5"/>
        <v>#DIV/0!</v>
      </c>
    </row>
    <row r="33" spans="1:69">
      <c r="A33" s="75" t="s">
        <v>20</v>
      </c>
      <c r="B33" s="80" t="s">
        <v>325</v>
      </c>
      <c r="C33" s="80" t="s">
        <v>326</v>
      </c>
      <c r="D33" s="75" t="s">
        <v>143</v>
      </c>
      <c r="E33" s="75" t="s">
        <v>160</v>
      </c>
      <c r="F33" s="9">
        <v>14.913959999999999</v>
      </c>
      <c r="G33" s="9">
        <v>120.764777</v>
      </c>
      <c r="H33" s="4" t="str">
        <f t="shared" si="0"/>
        <v>14.91396,120.764777</v>
      </c>
      <c r="I33" s="4" t="s">
        <v>48</v>
      </c>
      <c r="J33" s="4" t="s">
        <v>327</v>
      </c>
      <c r="K33" s="9" t="s">
        <v>178</v>
      </c>
      <c r="L33" s="9">
        <v>2018</v>
      </c>
      <c r="M33" s="9">
        <v>2028</v>
      </c>
      <c r="N33" s="9"/>
      <c r="O33" s="4" t="s">
        <v>74</v>
      </c>
      <c r="P33" s="9" t="s">
        <v>200</v>
      </c>
      <c r="Q33" s="71" t="s">
        <v>328</v>
      </c>
      <c r="R33" s="71" t="s">
        <v>201</v>
      </c>
      <c r="S33" s="363" t="s">
        <v>329</v>
      </c>
      <c r="T33" s="35">
        <v>45702</v>
      </c>
      <c r="U33" s="35">
        <v>45704</v>
      </c>
      <c r="V33" s="35">
        <v>45705</v>
      </c>
      <c r="W33" s="35">
        <v>45705</v>
      </c>
      <c r="X33" s="34">
        <v>45706</v>
      </c>
      <c r="Y33" s="45">
        <f t="shared" si="9"/>
        <v>1</v>
      </c>
      <c r="Z33" s="45">
        <f t="shared" si="7"/>
        <v>1</v>
      </c>
      <c r="AA33" s="45">
        <f t="shared" si="13"/>
        <v>1</v>
      </c>
      <c r="AB33" s="45">
        <f t="shared" si="8"/>
        <v>1</v>
      </c>
      <c r="AC33" s="7" t="s">
        <v>150</v>
      </c>
      <c r="AD33" s="78">
        <v>0.36799999999999999</v>
      </c>
      <c r="AE33" s="368">
        <v>43597.328000000001</v>
      </c>
      <c r="AF33" s="11"/>
      <c r="AG33" s="81" t="s">
        <v>330</v>
      </c>
      <c r="AH33" s="44" t="s">
        <v>151</v>
      </c>
      <c r="AI33" s="7" t="s">
        <v>49</v>
      </c>
      <c r="AJ33" s="7" t="s">
        <v>56</v>
      </c>
      <c r="AK33" s="7" t="s">
        <v>49</v>
      </c>
      <c r="AL33" s="7" t="s">
        <v>49</v>
      </c>
      <c r="AM33" s="7"/>
      <c r="AN33" s="7" t="s">
        <v>49</v>
      </c>
      <c r="AO33" s="35"/>
      <c r="AP33" s="4"/>
      <c r="AQ33" s="11"/>
      <c r="AR33" s="8">
        <v>51602.34</v>
      </c>
      <c r="AS33" s="6"/>
      <c r="AT33" s="8">
        <v>23566.79</v>
      </c>
      <c r="AU33" s="6"/>
      <c r="AV33" s="8">
        <v>12694.18</v>
      </c>
      <c r="AW33" s="6"/>
      <c r="AX33" s="8">
        <v>11280.27</v>
      </c>
      <c r="AY33" s="6"/>
      <c r="AZ33" s="8">
        <v>2827.81</v>
      </c>
      <c r="BA33" s="6"/>
      <c r="BB33" s="8">
        <v>1233.3</v>
      </c>
      <c r="BC33" s="6"/>
      <c r="BD33" s="41">
        <f t="shared" si="3"/>
        <v>0</v>
      </c>
      <c r="BE33" s="6"/>
      <c r="BF33" s="6"/>
      <c r="BG33" s="6"/>
      <c r="BH33" s="6"/>
      <c r="BI33" s="6"/>
      <c r="BJ33" s="6"/>
      <c r="BK33" s="6"/>
      <c r="BL33" s="6"/>
      <c r="BM33" s="6"/>
      <c r="BN33" s="6"/>
      <c r="BO33" s="6"/>
      <c r="BP33" s="64" t="e">
        <f t="shared" si="4"/>
        <v>#DIV/0!</v>
      </c>
      <c r="BQ33" s="65" t="e">
        <f t="shared" si="5"/>
        <v>#DIV/0!</v>
      </c>
    </row>
    <row r="34" spans="1:69">
      <c r="A34" s="75" t="s">
        <v>20</v>
      </c>
      <c r="B34" s="80" t="s">
        <v>331</v>
      </c>
      <c r="C34" s="80" t="s">
        <v>332</v>
      </c>
      <c r="D34" s="75" t="s">
        <v>143</v>
      </c>
      <c r="E34" s="75" t="s">
        <v>160</v>
      </c>
      <c r="F34" s="9">
        <v>14.843702</v>
      </c>
      <c r="G34" s="9">
        <v>120.811145</v>
      </c>
      <c r="H34" s="4" t="str">
        <f t="shared" ref="H34:H65" si="14">CONCATENATE(F34,",",G34)</f>
        <v>14.843702,120.811145</v>
      </c>
      <c r="I34" s="4" t="s">
        <v>48</v>
      </c>
      <c r="J34" s="4" t="s">
        <v>333</v>
      </c>
      <c r="K34" s="9" t="s">
        <v>334</v>
      </c>
      <c r="L34" s="9">
        <v>2019</v>
      </c>
      <c r="M34" s="9">
        <v>2028</v>
      </c>
      <c r="N34" s="9"/>
      <c r="O34" s="4" t="s">
        <v>74</v>
      </c>
      <c r="P34" s="9" t="s">
        <v>200</v>
      </c>
      <c r="Q34" s="71" t="s">
        <v>328</v>
      </c>
      <c r="R34" s="71" t="s">
        <v>201</v>
      </c>
      <c r="S34" s="363" t="s">
        <v>335</v>
      </c>
      <c r="T34" s="34">
        <v>45692</v>
      </c>
      <c r="U34" s="34">
        <v>45694</v>
      </c>
      <c r="V34" s="34">
        <v>45694</v>
      </c>
      <c r="W34" s="34">
        <v>45698</v>
      </c>
      <c r="X34" s="34">
        <v>45701</v>
      </c>
      <c r="Y34" s="45">
        <f t="shared" si="9"/>
        <v>2</v>
      </c>
      <c r="Z34" s="45">
        <f t="shared" si="7"/>
        <v>1</v>
      </c>
      <c r="AA34" s="45">
        <f t="shared" si="13"/>
        <v>2</v>
      </c>
      <c r="AB34" s="45">
        <f t="shared" si="8"/>
        <v>3</v>
      </c>
      <c r="AC34" s="7" t="s">
        <v>150</v>
      </c>
      <c r="AD34" s="11">
        <v>0.23799999999999999</v>
      </c>
      <c r="AE34" s="78">
        <v>69116.39</v>
      </c>
      <c r="AF34" s="11">
        <v>100</v>
      </c>
      <c r="AG34" s="7" t="s">
        <v>330</v>
      </c>
      <c r="AH34" s="44" t="s">
        <v>151</v>
      </c>
      <c r="AI34" s="7" t="s">
        <v>49</v>
      </c>
      <c r="AJ34" s="7" t="s">
        <v>49</v>
      </c>
      <c r="AK34" s="7" t="s">
        <v>49</v>
      </c>
      <c r="AL34" s="7" t="s">
        <v>49</v>
      </c>
      <c r="AM34" s="7" t="s">
        <v>49</v>
      </c>
      <c r="AN34" s="7" t="s">
        <v>49</v>
      </c>
      <c r="AO34" s="34"/>
      <c r="AP34" s="4"/>
      <c r="AQ34" s="11"/>
      <c r="AR34" s="8">
        <v>66654.05</v>
      </c>
      <c r="AS34" s="6"/>
      <c r="AT34" s="8">
        <v>37939.49</v>
      </c>
      <c r="AU34" s="6"/>
      <c r="AV34" s="8">
        <v>14490.59</v>
      </c>
      <c r="AW34" s="6"/>
      <c r="AX34" s="8">
        <v>8685.02</v>
      </c>
      <c r="AY34" s="6"/>
      <c r="AZ34" s="8">
        <v>3412.69</v>
      </c>
      <c r="BA34" s="6"/>
      <c r="BB34" s="8">
        <v>2126.2600000000002</v>
      </c>
      <c r="BC34" s="6"/>
      <c r="BD34" s="41">
        <f t="shared" ref="BD34:BD65" si="15">SUM(BF34,BH34,BJ34,BL34,BN34)</f>
        <v>0</v>
      </c>
      <c r="BE34" s="6"/>
      <c r="BF34" s="6"/>
      <c r="BG34" s="6"/>
      <c r="BH34" s="6"/>
      <c r="BI34" s="6"/>
      <c r="BJ34" s="6"/>
      <c r="BK34" s="6"/>
      <c r="BL34" s="6"/>
      <c r="BM34" s="6"/>
      <c r="BN34" s="6"/>
      <c r="BO34" s="6"/>
      <c r="BP34" s="64" t="e">
        <f t="shared" ref="BP34:BP65" si="16">SUM(BF34,BH34,BJ34)/BD34*100</f>
        <v>#DIV/0!</v>
      </c>
      <c r="BQ34" s="65" t="e">
        <f t="shared" ref="BQ34:BQ65" si="17">SUM(BL34,BN34)/BD34*100</f>
        <v>#DIV/0!</v>
      </c>
    </row>
    <row r="35" spans="1:69">
      <c r="A35" s="75" t="s">
        <v>25</v>
      </c>
      <c r="B35" s="80" t="s">
        <v>336</v>
      </c>
      <c r="C35" s="80" t="s">
        <v>337</v>
      </c>
      <c r="D35" s="75" t="s">
        <v>143</v>
      </c>
      <c r="E35" s="75" t="s">
        <v>233</v>
      </c>
      <c r="F35" s="9">
        <v>15.252382000000001</v>
      </c>
      <c r="G35" s="9">
        <v>120.860145</v>
      </c>
      <c r="H35" s="4" t="str">
        <f t="shared" si="14"/>
        <v>15.252382,120.860145</v>
      </c>
      <c r="I35" s="4" t="s">
        <v>48</v>
      </c>
      <c r="J35" s="4" t="s">
        <v>338</v>
      </c>
      <c r="K35" s="9" t="s">
        <v>199</v>
      </c>
      <c r="L35" s="9">
        <v>2019</v>
      </c>
      <c r="M35" s="9">
        <v>2027</v>
      </c>
      <c r="N35" s="9"/>
      <c r="O35" s="4" t="s">
        <v>74</v>
      </c>
      <c r="P35" s="9" t="s">
        <v>30</v>
      </c>
      <c r="Q35" s="71" t="s">
        <v>211</v>
      </c>
      <c r="R35" s="71" t="s">
        <v>212</v>
      </c>
      <c r="S35" s="441" t="s">
        <v>339</v>
      </c>
      <c r="T35" s="34">
        <v>45692</v>
      </c>
      <c r="U35" s="34">
        <v>45693</v>
      </c>
      <c r="V35" s="34">
        <v>45694</v>
      </c>
      <c r="W35" s="34">
        <v>45698</v>
      </c>
      <c r="X35" s="5">
        <v>45705</v>
      </c>
      <c r="Y35" s="45">
        <f t="shared" si="9"/>
        <v>1</v>
      </c>
      <c r="Z35" s="45">
        <f t="shared" si="7"/>
        <v>1</v>
      </c>
      <c r="AA35" s="45">
        <f t="shared" si="13"/>
        <v>2</v>
      </c>
      <c r="AB35" s="45">
        <f t="shared" si="8"/>
        <v>5</v>
      </c>
      <c r="AC35" s="7" t="s">
        <v>150</v>
      </c>
      <c r="AD35" s="11">
        <v>0.72299999999999998</v>
      </c>
      <c r="AE35" s="317">
        <v>45349.47</v>
      </c>
      <c r="AF35" s="11"/>
      <c r="AG35" s="316"/>
      <c r="AH35" s="44" t="s">
        <v>151</v>
      </c>
      <c r="AI35" s="7" t="s">
        <v>49</v>
      </c>
      <c r="AJ35" s="7" t="s">
        <v>49</v>
      </c>
      <c r="AK35" s="7" t="s">
        <v>49</v>
      </c>
      <c r="AL35" s="7" t="s">
        <v>49</v>
      </c>
      <c r="AM35" s="7" t="s">
        <v>49</v>
      </c>
      <c r="AN35" s="7" t="s">
        <v>49</v>
      </c>
      <c r="AO35" s="34"/>
      <c r="AP35" s="4"/>
      <c r="AQ35" s="11"/>
      <c r="AR35" s="8">
        <v>65905.11</v>
      </c>
      <c r="AS35" s="6"/>
      <c r="AT35" s="8">
        <v>34000.449999999997</v>
      </c>
      <c r="AU35" s="6"/>
      <c r="AV35" s="8">
        <v>8119.51</v>
      </c>
      <c r="AW35" s="6"/>
      <c r="AX35" s="8">
        <v>10564.59</v>
      </c>
      <c r="AY35" s="6"/>
      <c r="AZ35" s="8">
        <v>12805.36</v>
      </c>
      <c r="BA35" s="6"/>
      <c r="BB35" s="6">
        <v>415.2</v>
      </c>
      <c r="BC35" s="6"/>
      <c r="BD35" s="41">
        <f t="shared" si="15"/>
        <v>0</v>
      </c>
      <c r="BE35" s="6"/>
      <c r="BF35" s="6"/>
      <c r="BG35" s="6"/>
      <c r="BH35" s="6"/>
      <c r="BI35" s="6"/>
      <c r="BJ35" s="6"/>
      <c r="BK35" s="6"/>
      <c r="BL35" s="6"/>
      <c r="BM35" s="6"/>
      <c r="BN35" s="6"/>
      <c r="BO35" s="6"/>
      <c r="BP35" s="64" t="e">
        <f t="shared" si="16"/>
        <v>#DIV/0!</v>
      </c>
      <c r="BQ35" s="65" t="e">
        <f t="shared" si="17"/>
        <v>#DIV/0!</v>
      </c>
    </row>
    <row r="36" spans="1:69">
      <c r="A36" s="75" t="s">
        <v>25</v>
      </c>
      <c r="B36" s="80" t="s">
        <v>340</v>
      </c>
      <c r="C36" s="80" t="s">
        <v>341</v>
      </c>
      <c r="D36" s="75" t="s">
        <v>143</v>
      </c>
      <c r="E36" s="75" t="s">
        <v>233</v>
      </c>
      <c r="F36" s="4">
        <v>15.293716</v>
      </c>
      <c r="G36" s="4">
        <v>120.948601</v>
      </c>
      <c r="H36" s="4" t="str">
        <f t="shared" si="14"/>
        <v>15.293716,120.948601</v>
      </c>
      <c r="I36" s="4" t="s">
        <v>48</v>
      </c>
      <c r="J36" s="4" t="s">
        <v>342</v>
      </c>
      <c r="K36" s="4" t="s">
        <v>229</v>
      </c>
      <c r="L36" s="4">
        <v>2018</v>
      </c>
      <c r="M36" s="4">
        <v>2026</v>
      </c>
      <c r="N36" s="4"/>
      <c r="O36" s="4" t="s">
        <v>74</v>
      </c>
      <c r="P36" s="4" t="s">
        <v>30</v>
      </c>
      <c r="Q36" s="71" t="s">
        <v>211</v>
      </c>
      <c r="R36" s="71" t="s">
        <v>212</v>
      </c>
      <c r="S36" s="364" t="s">
        <v>343</v>
      </c>
      <c r="T36" s="33">
        <v>45693</v>
      </c>
      <c r="U36" s="33">
        <v>45695</v>
      </c>
      <c r="V36" s="33">
        <v>45695</v>
      </c>
      <c r="W36" s="33">
        <v>45698</v>
      </c>
      <c r="X36" s="5">
        <v>45701</v>
      </c>
      <c r="Y36" s="45">
        <f t="shared" si="9"/>
        <v>2</v>
      </c>
      <c r="Z36" s="45">
        <f t="shared" si="7"/>
        <v>1</v>
      </c>
      <c r="AA36" s="45">
        <f t="shared" si="13"/>
        <v>1</v>
      </c>
      <c r="AB36" s="45">
        <f t="shared" si="8"/>
        <v>3</v>
      </c>
      <c r="AC36" s="7" t="s">
        <v>150</v>
      </c>
      <c r="AD36" s="84">
        <v>0.376</v>
      </c>
      <c r="AE36" s="754">
        <v>50252.07</v>
      </c>
      <c r="AF36" s="84">
        <v>92.68</v>
      </c>
      <c r="AG36" s="360" t="s">
        <v>182</v>
      </c>
      <c r="AH36" s="44" t="str">
        <f>IF(AND(AI36 = "YES", AJ36 = "YES", AK36 = "YES", AL36 = "YES", AN36 = "YES"), "Compliant", "Not Compliant")</f>
        <v>Not Compliant</v>
      </c>
      <c r="AI36" s="7" t="s">
        <v>49</v>
      </c>
      <c r="AJ36" s="7" t="s">
        <v>49</v>
      </c>
      <c r="AK36" s="7" t="s">
        <v>49</v>
      </c>
      <c r="AL36" s="7" t="s">
        <v>49</v>
      </c>
      <c r="AM36" s="7" t="s">
        <v>56</v>
      </c>
      <c r="AN36" s="7" t="s">
        <v>56</v>
      </c>
      <c r="AO36" s="34" t="s">
        <v>56</v>
      </c>
      <c r="AP36" s="4"/>
      <c r="AQ36" s="11"/>
      <c r="AR36" s="8">
        <v>50704.34</v>
      </c>
      <c r="AS36" s="6"/>
      <c r="AT36" s="8">
        <v>24510.48</v>
      </c>
      <c r="AU36" s="6"/>
      <c r="AV36" s="8">
        <v>15753.84</v>
      </c>
      <c r="AW36" s="6"/>
      <c r="AX36" s="8">
        <v>6728.47</v>
      </c>
      <c r="AY36" s="6"/>
      <c r="AZ36" s="8">
        <v>3427.61</v>
      </c>
      <c r="BA36" s="6"/>
      <c r="BB36" s="6">
        <v>283.94</v>
      </c>
      <c r="BC36" s="6"/>
      <c r="BD36" s="41">
        <f t="shared" si="15"/>
        <v>0</v>
      </c>
      <c r="BE36" s="6"/>
      <c r="BF36" s="6"/>
      <c r="BG36" s="6"/>
      <c r="BH36" s="6"/>
      <c r="BI36" s="6"/>
      <c r="BJ36" s="6"/>
      <c r="BK36" s="6"/>
      <c r="BL36" s="6"/>
      <c r="BM36" s="6"/>
      <c r="BN36" s="6"/>
      <c r="BO36" s="6"/>
      <c r="BP36" s="64" t="e">
        <f t="shared" si="16"/>
        <v>#DIV/0!</v>
      </c>
      <c r="BQ36" s="65" t="e">
        <f t="shared" si="17"/>
        <v>#DIV/0!</v>
      </c>
    </row>
    <row r="37" spans="1:69" ht="30">
      <c r="A37" s="75" t="s">
        <v>25</v>
      </c>
      <c r="B37" s="80" t="s">
        <v>344</v>
      </c>
      <c r="C37" s="80" t="s">
        <v>345</v>
      </c>
      <c r="D37" s="75" t="s">
        <v>143</v>
      </c>
      <c r="E37" s="75" t="s">
        <v>233</v>
      </c>
      <c r="F37" s="11">
        <v>15.309493</v>
      </c>
      <c r="G37" s="11">
        <v>120.90685499999999</v>
      </c>
      <c r="H37" s="4" t="str">
        <f t="shared" si="14"/>
        <v>15.309493,120.906855</v>
      </c>
      <c r="I37" s="4" t="s">
        <v>48</v>
      </c>
      <c r="J37" s="4" t="s">
        <v>346</v>
      </c>
      <c r="K37" s="11" t="s">
        <v>245</v>
      </c>
      <c r="L37" s="11">
        <v>2021</v>
      </c>
      <c r="M37" s="11">
        <v>2029</v>
      </c>
      <c r="N37" s="11"/>
      <c r="O37" s="4" t="s">
        <v>74</v>
      </c>
      <c r="P37" s="11" t="s">
        <v>30</v>
      </c>
      <c r="Q37" s="71" t="s">
        <v>211</v>
      </c>
      <c r="R37" s="71" t="s">
        <v>212</v>
      </c>
      <c r="S37" s="363" t="s">
        <v>347</v>
      </c>
      <c r="T37" s="33">
        <v>45693</v>
      </c>
      <c r="U37" s="34">
        <v>45697</v>
      </c>
      <c r="V37" s="33">
        <v>45698</v>
      </c>
      <c r="W37" s="33">
        <v>45698</v>
      </c>
      <c r="X37" s="5">
        <v>45701</v>
      </c>
      <c r="Y37" s="45">
        <f t="shared" si="9"/>
        <v>2</v>
      </c>
      <c r="Z37" s="45">
        <f t="shared" si="7"/>
        <v>1</v>
      </c>
      <c r="AA37" s="45">
        <f t="shared" si="13"/>
        <v>1</v>
      </c>
      <c r="AB37" s="644">
        <f t="shared" si="8"/>
        <v>3</v>
      </c>
      <c r="AC37" s="7" t="s">
        <v>150</v>
      </c>
      <c r="AD37" s="11">
        <v>0.30599999999999999</v>
      </c>
      <c r="AE37" s="117">
        <v>18196.55</v>
      </c>
      <c r="AF37" s="11"/>
      <c r="AG37" s="7" t="s">
        <v>348</v>
      </c>
      <c r="AH37" s="645" t="s">
        <v>151</v>
      </c>
      <c r="AI37" s="11" t="s">
        <v>49</v>
      </c>
      <c r="AJ37" s="11" t="s">
        <v>49</v>
      </c>
      <c r="AK37" s="11" t="s">
        <v>49</v>
      </c>
      <c r="AL37" s="11" t="s">
        <v>49</v>
      </c>
      <c r="AM37" s="11" t="s">
        <v>49</v>
      </c>
      <c r="AN37" s="11" t="s">
        <v>49</v>
      </c>
      <c r="AO37" s="34"/>
      <c r="AP37" s="11"/>
      <c r="AQ37" s="11"/>
      <c r="AR37" s="8">
        <v>18378.52</v>
      </c>
      <c r="AS37" s="6"/>
      <c r="AT37" s="8">
        <v>9501.69</v>
      </c>
      <c r="AU37" s="6"/>
      <c r="AV37" s="8">
        <v>4543.17</v>
      </c>
      <c r="AW37" s="6"/>
      <c r="AX37" s="8">
        <v>1723.9</v>
      </c>
      <c r="AY37" s="6"/>
      <c r="AZ37" s="8">
        <v>2017.96</v>
      </c>
      <c r="BA37" s="6"/>
      <c r="BB37" s="6">
        <v>591.79</v>
      </c>
      <c r="BC37" s="6"/>
      <c r="BD37" s="41">
        <f t="shared" si="15"/>
        <v>0</v>
      </c>
      <c r="BE37" s="6"/>
      <c r="BF37" s="6"/>
      <c r="BG37" s="6"/>
      <c r="BH37" s="6"/>
      <c r="BI37" s="6"/>
      <c r="BJ37" s="6"/>
      <c r="BK37" s="6"/>
      <c r="BL37" s="6"/>
      <c r="BM37" s="6"/>
      <c r="BN37" s="6"/>
      <c r="BO37" s="6"/>
      <c r="BP37" s="64" t="e">
        <f t="shared" si="16"/>
        <v>#DIV/0!</v>
      </c>
      <c r="BQ37" s="65" t="e">
        <f t="shared" si="17"/>
        <v>#DIV/0!</v>
      </c>
    </row>
    <row r="38" spans="1:69" ht="30">
      <c r="A38" s="75" t="s">
        <v>25</v>
      </c>
      <c r="B38" s="80" t="s">
        <v>349</v>
      </c>
      <c r="C38" s="80" t="s">
        <v>350</v>
      </c>
      <c r="D38" s="75" t="s">
        <v>159</v>
      </c>
      <c r="E38" s="75" t="s">
        <v>160</v>
      </c>
      <c r="F38" s="11">
        <v>15.733889</v>
      </c>
      <c r="G38" s="11">
        <v>120.635278</v>
      </c>
      <c r="H38" s="4" t="str">
        <f t="shared" si="14"/>
        <v>15.733889,120.635278</v>
      </c>
      <c r="I38" s="4" t="s">
        <v>48</v>
      </c>
      <c r="J38" s="4" t="s">
        <v>351</v>
      </c>
      <c r="K38" s="11" t="s">
        <v>218</v>
      </c>
      <c r="L38" s="11">
        <v>2020</v>
      </c>
      <c r="M38" s="11">
        <v>2027</v>
      </c>
      <c r="N38" s="11"/>
      <c r="O38" s="9" t="s">
        <v>74</v>
      </c>
      <c r="P38" s="9" t="s">
        <v>29</v>
      </c>
      <c r="Q38" s="71" t="s">
        <v>211</v>
      </c>
      <c r="R38" s="71" t="s">
        <v>212</v>
      </c>
      <c r="S38" s="363" t="s">
        <v>352</v>
      </c>
      <c r="T38" s="34">
        <v>45699</v>
      </c>
      <c r="U38" s="34">
        <v>45705</v>
      </c>
      <c r="V38" s="34">
        <v>45706</v>
      </c>
      <c r="W38" s="34">
        <v>45706</v>
      </c>
      <c r="X38" s="12">
        <v>45706</v>
      </c>
      <c r="Y38" s="45">
        <f t="shared" si="9"/>
        <v>4</v>
      </c>
      <c r="Z38" s="45">
        <f t="shared" si="7"/>
        <v>1</v>
      </c>
      <c r="AA38" s="45">
        <f>IF(
    OR(ISBLANK(U38), ISBLANK(W38)),
    "",
    MAX(1, IF(
        NETWORKDAYS(U38, W38) &lt;= 0,
        1,
        NETWORKDAYS(U38, W38) - IF(U38 = W38, 0, 1)
    ))
)</f>
        <v>1</v>
      </c>
      <c r="AB38" s="644">
        <f t="shared" si="8"/>
        <v>1</v>
      </c>
      <c r="AC38" s="7" t="s">
        <v>150</v>
      </c>
      <c r="AD38" s="11">
        <v>0.39800000000000002</v>
      </c>
      <c r="AE38" s="82">
        <v>6299.03</v>
      </c>
      <c r="AF38" s="11"/>
      <c r="AG38" s="7" t="s">
        <v>287</v>
      </c>
      <c r="AH38" s="645" t="str">
        <f>IF(AND(AI38 = "YES", AJ38 = "YES", AK38 = "YES", AL38 = "YES", AN38 = "YES"), "Compliant", "Not Compliant")</f>
        <v>Not Compliant</v>
      </c>
      <c r="AI38" s="11" t="s">
        <v>56</v>
      </c>
      <c r="AJ38" s="11" t="s">
        <v>49</v>
      </c>
      <c r="AK38" s="11" t="s">
        <v>56</v>
      </c>
      <c r="AL38" s="11" t="s">
        <v>49</v>
      </c>
      <c r="AM38" s="11" t="s">
        <v>56</v>
      </c>
      <c r="AN38" s="11" t="s">
        <v>49</v>
      </c>
      <c r="AO38" s="34" t="s">
        <v>56</v>
      </c>
      <c r="AP38" s="11"/>
      <c r="AQ38" s="11"/>
      <c r="AR38" s="8">
        <v>6362.02</v>
      </c>
      <c r="AS38" s="6"/>
      <c r="AT38" s="8">
        <v>2442.38</v>
      </c>
      <c r="AU38" s="6"/>
      <c r="AV38" s="8">
        <v>2742.67</v>
      </c>
      <c r="AW38" s="6"/>
      <c r="AX38" s="6">
        <v>650.84</v>
      </c>
      <c r="AY38" s="6"/>
      <c r="AZ38" s="6">
        <v>437.07</v>
      </c>
      <c r="BA38" s="6"/>
      <c r="BB38" s="6">
        <v>89.07</v>
      </c>
      <c r="BC38" s="6"/>
      <c r="BD38" s="41">
        <f t="shared" si="15"/>
        <v>0</v>
      </c>
      <c r="BE38" s="6"/>
      <c r="BF38" s="6"/>
      <c r="BG38" s="6"/>
      <c r="BH38" s="6"/>
      <c r="BI38" s="6"/>
      <c r="BJ38" s="6"/>
      <c r="BK38" s="6"/>
      <c r="BL38" s="6"/>
      <c r="BM38" s="6"/>
      <c r="BN38" s="6"/>
      <c r="BO38" s="6"/>
      <c r="BP38" s="64" t="e">
        <f t="shared" si="16"/>
        <v>#DIV/0!</v>
      </c>
      <c r="BQ38" s="65" t="e">
        <f t="shared" si="17"/>
        <v>#DIV/0!</v>
      </c>
    </row>
    <row r="39" spans="1:69">
      <c r="A39" s="75" t="s">
        <v>31</v>
      </c>
      <c r="B39" s="80" t="s">
        <v>353</v>
      </c>
      <c r="C39" s="80" t="s">
        <v>354</v>
      </c>
      <c r="D39" s="75" t="s">
        <v>143</v>
      </c>
      <c r="E39" s="9" t="s">
        <v>233</v>
      </c>
      <c r="F39" s="11">
        <v>14.9704</v>
      </c>
      <c r="G39" s="11">
        <v>120.6861</v>
      </c>
      <c r="H39" s="4" t="str">
        <f t="shared" si="14"/>
        <v>14.9704,120.6861</v>
      </c>
      <c r="I39" s="4" t="s">
        <v>48</v>
      </c>
      <c r="J39" s="4" t="s">
        <v>355</v>
      </c>
      <c r="K39" s="11" t="s">
        <v>155</v>
      </c>
      <c r="L39" s="11">
        <v>2016</v>
      </c>
      <c r="M39" s="11">
        <v>2024</v>
      </c>
      <c r="N39" s="11" t="s">
        <v>98</v>
      </c>
      <c r="O39" s="4" t="s">
        <v>74</v>
      </c>
      <c r="P39" s="11" t="s">
        <v>34</v>
      </c>
      <c r="Q39" s="71" t="s">
        <v>147</v>
      </c>
      <c r="R39" s="76" t="s">
        <v>148</v>
      </c>
      <c r="S39" s="758" t="s">
        <v>356</v>
      </c>
      <c r="T39" s="34">
        <v>45699</v>
      </c>
      <c r="U39" s="34">
        <v>45701</v>
      </c>
      <c r="V39" s="34">
        <v>45701</v>
      </c>
      <c r="W39" s="34">
        <v>45705</v>
      </c>
      <c r="X39" s="34">
        <v>45705</v>
      </c>
      <c r="Y39" s="45">
        <f t="shared" si="9"/>
        <v>2</v>
      </c>
      <c r="Z39" s="45">
        <f t="shared" si="7"/>
        <v>1</v>
      </c>
      <c r="AA39" s="45">
        <f>IF(
  OR(IF(V39&lt;&gt;"", V39, U39)="", W39=""),
  "",
  MAX(1,
    IF(
      NETWORKDAYS(IF(V39&lt;&gt;"", V39, U39), W39) &lt;= 0,
      1,
      NETWORKDAYS(IF(V39&lt;&gt;"", V39, U39), W39) - IF(IF(V39&lt;&gt;"", V39, U39)=W39, 0, 1)
    )
  )
)</f>
        <v>2</v>
      </c>
      <c r="AB39" s="644">
        <f t="shared" si="8"/>
        <v>1</v>
      </c>
      <c r="AC39" s="7" t="s">
        <v>150</v>
      </c>
      <c r="AD39" s="11">
        <v>0.39100000000000001</v>
      </c>
      <c r="AE39" s="117">
        <v>14116</v>
      </c>
      <c r="AF39" s="11">
        <v>72.040000000000006</v>
      </c>
      <c r="AG39" s="7" t="s">
        <v>182</v>
      </c>
      <c r="AH39" s="645" t="s">
        <v>151</v>
      </c>
      <c r="AI39" s="11" t="s">
        <v>49</v>
      </c>
      <c r="AJ39" s="11" t="s">
        <v>49</v>
      </c>
      <c r="AK39" s="11" t="s">
        <v>49</v>
      </c>
      <c r="AL39" s="11" t="s">
        <v>49</v>
      </c>
      <c r="AM39" s="11" t="s">
        <v>49</v>
      </c>
      <c r="AN39" s="11" t="s">
        <v>49</v>
      </c>
      <c r="AO39" s="34"/>
      <c r="AP39" s="11"/>
      <c r="AQ39" s="11"/>
      <c r="AR39" s="8">
        <v>19491.8</v>
      </c>
      <c r="AS39" s="6"/>
      <c r="AT39" s="8">
        <v>9966.16</v>
      </c>
      <c r="AU39" s="6"/>
      <c r="AV39" s="8">
        <v>3939.29</v>
      </c>
      <c r="AW39" s="6"/>
      <c r="AX39" s="8">
        <v>2387.75</v>
      </c>
      <c r="AY39" s="6"/>
      <c r="AZ39" s="8">
        <v>2820.46</v>
      </c>
      <c r="BA39" s="6"/>
      <c r="BB39" s="6">
        <v>378.14</v>
      </c>
      <c r="BC39" s="6"/>
      <c r="BD39" s="41">
        <f t="shared" si="15"/>
        <v>0</v>
      </c>
      <c r="BE39" s="6"/>
      <c r="BF39" s="6"/>
      <c r="BG39" s="6"/>
      <c r="BH39" s="6"/>
      <c r="BI39" s="6"/>
      <c r="BJ39" s="6"/>
      <c r="BK39" s="6"/>
      <c r="BL39" s="6"/>
      <c r="BM39" s="6"/>
      <c r="BN39" s="6"/>
      <c r="BO39" s="6"/>
      <c r="BP39" s="64" t="e">
        <f t="shared" si="16"/>
        <v>#DIV/0!</v>
      </c>
      <c r="BQ39" s="65" t="e">
        <f t="shared" si="17"/>
        <v>#DIV/0!</v>
      </c>
    </row>
    <row r="40" spans="1:69" ht="30">
      <c r="A40" s="75" t="s">
        <v>31</v>
      </c>
      <c r="B40" s="80" t="s">
        <v>357</v>
      </c>
      <c r="C40" s="80" t="s">
        <v>358</v>
      </c>
      <c r="D40" s="75" t="s">
        <v>143</v>
      </c>
      <c r="E40" s="9" t="s">
        <v>233</v>
      </c>
      <c r="F40" s="11">
        <v>14.996703999999999</v>
      </c>
      <c r="G40" s="11">
        <v>120.70418100000001</v>
      </c>
      <c r="H40" s="4" t="str">
        <f t="shared" si="14"/>
        <v>14.996704,120.704181</v>
      </c>
      <c r="I40" s="4" t="s">
        <v>48</v>
      </c>
      <c r="J40" s="4">
        <v>1243</v>
      </c>
      <c r="K40" s="11" t="s">
        <v>199</v>
      </c>
      <c r="L40" s="11">
        <v>2019</v>
      </c>
      <c r="M40" s="11">
        <v>2027</v>
      </c>
      <c r="N40" s="11"/>
      <c r="O40" s="4" t="s">
        <v>74</v>
      </c>
      <c r="P40" s="11" t="s">
        <v>33</v>
      </c>
      <c r="Q40" s="71" t="s">
        <v>147</v>
      </c>
      <c r="R40" s="76" t="s">
        <v>148</v>
      </c>
      <c r="S40" s="363" t="s">
        <v>359</v>
      </c>
      <c r="T40" s="34">
        <v>45695</v>
      </c>
      <c r="U40" s="34">
        <v>45697</v>
      </c>
      <c r="V40" s="34">
        <v>45699</v>
      </c>
      <c r="W40" s="34">
        <v>45699</v>
      </c>
      <c r="X40" s="10">
        <v>45701</v>
      </c>
      <c r="Y40" s="45">
        <f t="shared" si="9"/>
        <v>1</v>
      </c>
      <c r="Z40" s="45">
        <f t="shared" si="7"/>
        <v>1</v>
      </c>
      <c r="AA40" s="45">
        <f>IF(
  OR(IF(V40&lt;&gt;"", V40, U40)="", W40=""),
  "",
  MAX(1,
    IF(
      NETWORKDAYS(IF(V40&lt;&gt;"", V40, U40), W40) &lt;= 0,
      1,
      NETWORKDAYS(IF(V40&lt;&gt;"", V40, U40), W40) - IF(IF(V40&lt;&gt;"", V40, U40)=W40, 0, 1)
    )
  )
)</f>
        <v>1</v>
      </c>
      <c r="AB40" s="644">
        <f t="shared" si="8"/>
        <v>2</v>
      </c>
      <c r="AC40" s="7" t="s">
        <v>150</v>
      </c>
      <c r="AD40" s="11">
        <v>0.23200000000000001</v>
      </c>
      <c r="AE40" s="11" t="s">
        <v>360</v>
      </c>
      <c r="AF40" s="11">
        <v>100</v>
      </c>
      <c r="AG40" s="7" t="s">
        <v>361</v>
      </c>
      <c r="AH40" s="645" t="str">
        <f>IF(AND(AI40 = "YES", AJ40 = "YES", AK40 = "YES", AL40 = "YES", AN40 = "YES"), "Compliant", "Not Compliant")</f>
        <v>Not Compliant</v>
      </c>
      <c r="AI40" s="11" t="s">
        <v>56</v>
      </c>
      <c r="AJ40" s="11" t="s">
        <v>56</v>
      </c>
      <c r="AK40" s="11" t="s">
        <v>56</v>
      </c>
      <c r="AL40" s="11" t="s">
        <v>49</v>
      </c>
      <c r="AM40" s="11" t="s">
        <v>56</v>
      </c>
      <c r="AN40" s="11" t="s">
        <v>49</v>
      </c>
      <c r="AO40" s="34" t="s">
        <v>56</v>
      </c>
      <c r="AP40" s="11"/>
      <c r="AQ40" s="11"/>
      <c r="AR40" s="8">
        <v>11089.45</v>
      </c>
      <c r="AS40" s="6"/>
      <c r="AT40" s="8">
        <v>2937.59</v>
      </c>
      <c r="AU40" s="6"/>
      <c r="AV40" s="8">
        <v>3911.25</v>
      </c>
      <c r="AW40" s="6"/>
      <c r="AX40" s="8">
        <v>1286.3800000000001</v>
      </c>
      <c r="AY40" s="6"/>
      <c r="AZ40" s="8">
        <v>2214.56</v>
      </c>
      <c r="BA40" s="6"/>
      <c r="BB40" s="6">
        <v>739.67</v>
      </c>
      <c r="BC40" s="6"/>
      <c r="BD40" s="41">
        <f t="shared" si="15"/>
        <v>0</v>
      </c>
      <c r="BE40" s="6"/>
      <c r="BF40" s="6"/>
      <c r="BG40" s="6"/>
      <c r="BH40" s="6"/>
      <c r="BI40" s="6"/>
      <c r="BJ40" s="6"/>
      <c r="BK40" s="6"/>
      <c r="BL40" s="6"/>
      <c r="BM40" s="6"/>
      <c r="BN40" s="6"/>
      <c r="BO40" s="6"/>
      <c r="BP40" s="64" t="e">
        <f t="shared" si="16"/>
        <v>#DIV/0!</v>
      </c>
      <c r="BQ40" s="65" t="e">
        <f t="shared" si="17"/>
        <v>#DIV/0!</v>
      </c>
    </row>
    <row r="41" spans="1:69" ht="30">
      <c r="A41" s="75" t="s">
        <v>36</v>
      </c>
      <c r="B41" s="80" t="s">
        <v>362</v>
      </c>
      <c r="C41" s="80" t="s">
        <v>363</v>
      </c>
      <c r="D41" s="75" t="s">
        <v>159</v>
      </c>
      <c r="E41" s="9" t="s">
        <v>160</v>
      </c>
      <c r="F41" s="11">
        <v>15.6863285</v>
      </c>
      <c r="G41" s="11">
        <v>120.4146513</v>
      </c>
      <c r="H41" s="4" t="str">
        <f t="shared" si="14"/>
        <v>15.6863285,120.4146513</v>
      </c>
      <c r="I41" s="4" t="s">
        <v>48</v>
      </c>
      <c r="J41" s="4" t="s">
        <v>364</v>
      </c>
      <c r="K41" s="11" t="s">
        <v>218</v>
      </c>
      <c r="L41" s="11">
        <v>2018</v>
      </c>
      <c r="M41" s="11">
        <v>2027</v>
      </c>
      <c r="N41" s="11"/>
      <c r="O41" s="9" t="s">
        <v>74</v>
      </c>
      <c r="P41" s="11" t="s">
        <v>38</v>
      </c>
      <c r="Q41" s="71" t="s">
        <v>163</v>
      </c>
      <c r="R41" s="71" t="s">
        <v>328</v>
      </c>
      <c r="S41" s="366" t="s">
        <v>365</v>
      </c>
      <c r="T41" s="34">
        <v>45706</v>
      </c>
      <c r="U41" s="34">
        <v>45706</v>
      </c>
      <c r="V41" s="34">
        <v>45707</v>
      </c>
      <c r="W41" s="34">
        <v>45707</v>
      </c>
      <c r="X41" s="10">
        <v>45707</v>
      </c>
      <c r="Y41" s="45">
        <f t="shared" si="9"/>
        <v>1</v>
      </c>
      <c r="Z41" s="45">
        <f t="shared" ref="Z41:Z69" si="18">IF(
    OR(ISBLANK(U41), ISBLANK(V41)),
    "",
    MAX(1, IF(
        NETWORKDAYS(U41, V41) &lt;= 0,
        1,
        NETWORKDAYS(U41, V41) - IF(U41 = V41, 0, 1)
    ))
)</f>
        <v>1</v>
      </c>
      <c r="AA41" s="45">
        <f>IF(
  OR(IF(V41&lt;&gt;"", V41, U41)="", W41=""),
  "",
  MAX(1,
    IF(
      NETWORKDAYS(IF(V41&lt;&gt;"", V41, U41), W41) &lt;= 0,
      1,
      NETWORKDAYS(IF(V41&lt;&gt;"", V41, U41), W41) - IF(IF(V41&lt;&gt;"", V41, U41)=W41, 0, 1)
    )
  )
)</f>
        <v>1</v>
      </c>
      <c r="AB41" s="644">
        <f t="shared" si="8"/>
        <v>1</v>
      </c>
      <c r="AC41" s="7" t="s">
        <v>150</v>
      </c>
      <c r="AD41" s="11">
        <v>0.45</v>
      </c>
      <c r="AE41" s="82">
        <v>14257.31</v>
      </c>
      <c r="AF41" s="11">
        <v>100</v>
      </c>
      <c r="AG41" s="7" t="s">
        <v>366</v>
      </c>
      <c r="AH41" s="645" t="s">
        <v>367</v>
      </c>
      <c r="AI41" s="7" t="s">
        <v>49</v>
      </c>
      <c r="AJ41" s="7" t="s">
        <v>56</v>
      </c>
      <c r="AK41" s="7" t="s">
        <v>49</v>
      </c>
      <c r="AL41" s="7" t="s">
        <v>49</v>
      </c>
      <c r="AM41" s="11" t="s">
        <v>69</v>
      </c>
      <c r="AN41" s="7" t="s">
        <v>49</v>
      </c>
      <c r="AO41" s="34" t="s">
        <v>56</v>
      </c>
      <c r="AP41" s="11"/>
      <c r="AQ41" s="11"/>
      <c r="AR41" s="8">
        <v>43404.52</v>
      </c>
      <c r="AS41" s="6"/>
      <c r="AT41" s="8">
        <v>19540.72</v>
      </c>
      <c r="AU41" s="6"/>
      <c r="AV41" s="8">
        <v>8854.52</v>
      </c>
      <c r="AW41" s="6"/>
      <c r="AX41" s="8">
        <v>6862.26</v>
      </c>
      <c r="AY41" s="6"/>
      <c r="AZ41" s="8">
        <v>6892.64</v>
      </c>
      <c r="BA41" s="6"/>
      <c r="BB41" s="8">
        <v>1254.3900000000001</v>
      </c>
      <c r="BC41" s="6"/>
      <c r="BD41" s="41">
        <f t="shared" si="15"/>
        <v>0</v>
      </c>
      <c r="BE41" s="6"/>
      <c r="BF41" s="6"/>
      <c r="BG41" s="6"/>
      <c r="BH41" s="6"/>
      <c r="BI41" s="6"/>
      <c r="BJ41" s="6"/>
      <c r="BK41" s="6"/>
      <c r="BL41" s="6"/>
      <c r="BM41" s="6"/>
      <c r="BN41" s="6"/>
      <c r="BO41" s="6"/>
      <c r="BP41" s="64" t="e">
        <f t="shared" si="16"/>
        <v>#DIV/0!</v>
      </c>
      <c r="BQ41" s="65" t="e">
        <f t="shared" si="17"/>
        <v>#DIV/0!</v>
      </c>
    </row>
    <row r="42" spans="1:69" ht="45">
      <c r="A42" s="75" t="s">
        <v>36</v>
      </c>
      <c r="B42" s="80" t="s">
        <v>368</v>
      </c>
      <c r="C42" s="80" t="s">
        <v>369</v>
      </c>
      <c r="D42" s="75" t="s">
        <v>143</v>
      </c>
      <c r="E42" s="9" t="s">
        <v>144</v>
      </c>
      <c r="F42" s="11">
        <v>15.346304999999999</v>
      </c>
      <c r="G42" s="11">
        <v>120.59293700000001</v>
      </c>
      <c r="H42" s="4" t="str">
        <f t="shared" si="14"/>
        <v>15.346305,120.592937</v>
      </c>
      <c r="I42" s="4" t="s">
        <v>48</v>
      </c>
      <c r="J42" s="4" t="s">
        <v>370</v>
      </c>
      <c r="K42" s="11" t="s">
        <v>218</v>
      </c>
      <c r="L42" s="11">
        <v>2019</v>
      </c>
      <c r="M42" s="11">
        <v>2027</v>
      </c>
      <c r="N42" s="11"/>
      <c r="O42" s="4" t="s">
        <v>74</v>
      </c>
      <c r="P42" s="11"/>
      <c r="Q42" s="71" t="s">
        <v>163</v>
      </c>
      <c r="R42" s="77" t="s">
        <v>328</v>
      </c>
      <c r="S42" s="363" t="s">
        <v>371</v>
      </c>
      <c r="T42" s="384">
        <v>45694</v>
      </c>
      <c r="U42" s="384">
        <v>45698</v>
      </c>
      <c r="V42" s="384"/>
      <c r="W42" s="384">
        <v>45700</v>
      </c>
      <c r="X42" s="10">
        <v>45701</v>
      </c>
      <c r="Y42" s="45">
        <f t="shared" si="9"/>
        <v>2</v>
      </c>
      <c r="Z42" s="45" t="str">
        <f t="shared" si="18"/>
        <v/>
      </c>
      <c r="AA42" s="45">
        <f>IF(
  OR(IF(V42&lt;&gt;"", V42, U42)="", W42=""),
  "",
  MAX(1,
    IF(
      NETWORKDAYS(IF(V42&lt;&gt;"", V42, U42), W42) &lt;= 0,
      1,
      NETWORKDAYS(IF(V42&lt;&gt;"", V42, U42), W42) - IF(IF(V42&lt;&gt;"", V42, U42)=W42, 0, 1)
    )
  )
)</f>
        <v>2</v>
      </c>
      <c r="AB42" s="644">
        <f t="shared" ref="AB42:AB73" si="19">IF(
    OR(ISBLANK(W42), ISBLANK(X42)),
    "",
    MAX(1, IF(
        NETWORKDAYS(W42, X42) &lt;= 0,
        1,
        NETWORKDAYS(W42, X42) - IF(W42 = X42, 0, 1)
    ))
)</f>
        <v>1</v>
      </c>
      <c r="AC42" s="7" t="s">
        <v>150</v>
      </c>
      <c r="AD42" s="11">
        <v>0.44</v>
      </c>
      <c r="AE42" s="82">
        <v>68974.13</v>
      </c>
      <c r="AF42" s="11">
        <v>100</v>
      </c>
      <c r="AG42" s="7" t="s">
        <v>372</v>
      </c>
      <c r="AH42" s="645" t="s">
        <v>151</v>
      </c>
      <c r="AI42" s="7" t="s">
        <v>49</v>
      </c>
      <c r="AJ42" s="7" t="s">
        <v>49</v>
      </c>
      <c r="AK42" s="7" t="s">
        <v>49</v>
      </c>
      <c r="AL42" s="7" t="s">
        <v>49</v>
      </c>
      <c r="AM42" s="11" t="s">
        <v>56</v>
      </c>
      <c r="AN42" s="7" t="s">
        <v>49</v>
      </c>
      <c r="AO42" s="34"/>
      <c r="AP42" s="11"/>
      <c r="AQ42" s="11"/>
      <c r="AR42" s="8">
        <v>85357.58</v>
      </c>
      <c r="AS42" s="6"/>
      <c r="AT42" s="8">
        <v>42789.760000000002</v>
      </c>
      <c r="AU42" s="6"/>
      <c r="AV42" s="8">
        <v>15125.36</v>
      </c>
      <c r="AW42" s="6"/>
      <c r="AX42" s="8">
        <v>16653.259999999998</v>
      </c>
      <c r="AY42" s="6"/>
      <c r="AZ42" s="8">
        <v>9867.34</v>
      </c>
      <c r="BA42" s="6"/>
      <c r="BB42" s="6">
        <v>921.86</v>
      </c>
      <c r="BC42" s="6"/>
      <c r="BD42" s="41">
        <f t="shared" si="15"/>
        <v>0</v>
      </c>
      <c r="BE42" s="6"/>
      <c r="BF42" s="6"/>
      <c r="BG42" s="6"/>
      <c r="BH42" s="6"/>
      <c r="BI42" s="6"/>
      <c r="BJ42" s="6"/>
      <c r="BK42" s="6"/>
      <c r="BL42" s="6"/>
      <c r="BM42" s="6"/>
      <c r="BN42" s="6"/>
      <c r="BO42" s="6"/>
      <c r="BP42" s="64" t="e">
        <f t="shared" si="16"/>
        <v>#DIV/0!</v>
      </c>
      <c r="BQ42" s="65" t="e">
        <f t="shared" si="17"/>
        <v>#DIV/0!</v>
      </c>
    </row>
    <row r="43" spans="1:69" ht="30">
      <c r="A43" s="75" t="s">
        <v>40</v>
      </c>
      <c r="B43" s="80" t="s">
        <v>373</v>
      </c>
      <c r="C43" s="80" t="s">
        <v>374</v>
      </c>
      <c r="D43" s="75" t="s">
        <v>159</v>
      </c>
      <c r="E43" s="75" t="s">
        <v>160</v>
      </c>
      <c r="F43" s="11">
        <v>14.974092000000001</v>
      </c>
      <c r="G43" s="11">
        <v>120.155547</v>
      </c>
      <c r="H43" s="4" t="str">
        <f t="shared" si="14"/>
        <v>14.974092,120.155547</v>
      </c>
      <c r="I43" s="4" t="s">
        <v>48</v>
      </c>
      <c r="J43" s="7">
        <v>1253</v>
      </c>
      <c r="K43" s="11" t="s">
        <v>199</v>
      </c>
      <c r="L43" s="11">
        <v>2019</v>
      </c>
      <c r="M43" s="11">
        <v>2027</v>
      </c>
      <c r="N43" s="11"/>
      <c r="O43" s="9" t="s">
        <v>74</v>
      </c>
      <c r="P43" s="11" t="s">
        <v>41</v>
      </c>
      <c r="Q43" s="71" t="s">
        <v>163</v>
      </c>
      <c r="R43" s="77" t="s">
        <v>164</v>
      </c>
      <c r="S43" s="363" t="s">
        <v>375</v>
      </c>
      <c r="T43" s="384">
        <v>45693</v>
      </c>
      <c r="U43" s="34">
        <v>45698</v>
      </c>
      <c r="V43" s="34">
        <v>45699</v>
      </c>
      <c r="W43" s="34">
        <v>45701</v>
      </c>
      <c r="X43" s="34">
        <v>45702</v>
      </c>
      <c r="Y43" s="45">
        <f t="shared" ref="Y43:Y69" si="20">IF(
    OR(ISBLANK(T43), ISBLANK(U43)),
    "",
    MAX(1, IF(
        NETWORKDAYS(T43, U43) &lt;= 0,
        1,
        NETWORKDAYS(T43, U43) - IF(T43 = U43, 0, 1)
    ))
)</f>
        <v>3</v>
      </c>
      <c r="Z43" s="45">
        <f t="shared" si="18"/>
        <v>1</v>
      </c>
      <c r="AA43" s="45">
        <f>IF(
    OR(ISBLANK(U43), ISBLANK(W43)),
    "",
    MAX(1, IF(
        NETWORKDAYS(U43, W43) &lt;= 0,
        1,
        NETWORKDAYS(U43, W43) - IF(U43 = W43, 0, 1)
    ))
)</f>
        <v>3</v>
      </c>
      <c r="AB43" s="644">
        <f t="shared" si="19"/>
        <v>1</v>
      </c>
      <c r="AC43" s="7" t="s">
        <v>150</v>
      </c>
      <c r="AD43" s="11">
        <v>0.23599999999999999</v>
      </c>
      <c r="AE43" s="11">
        <v>9352.68</v>
      </c>
      <c r="AF43" s="11">
        <v>5246.85</v>
      </c>
      <c r="AG43" s="7" t="s">
        <v>376</v>
      </c>
      <c r="AH43" s="645" t="s">
        <v>151</v>
      </c>
      <c r="AI43" s="11" t="s">
        <v>49</v>
      </c>
      <c r="AJ43" s="11" t="s">
        <v>49</v>
      </c>
      <c r="AK43" s="11" t="s">
        <v>49</v>
      </c>
      <c r="AL43" s="11" t="s">
        <v>49</v>
      </c>
      <c r="AM43" s="11" t="s">
        <v>49</v>
      </c>
      <c r="AN43" s="11" t="s">
        <v>49</v>
      </c>
      <c r="AO43" s="34"/>
      <c r="AP43" s="11"/>
      <c r="AQ43" s="11"/>
      <c r="AR43" s="8">
        <v>11174.51</v>
      </c>
      <c r="AS43" s="6"/>
      <c r="AT43" s="8">
        <v>2417.0500000000002</v>
      </c>
      <c r="AU43" s="6"/>
      <c r="AV43" s="8">
        <v>3851.85</v>
      </c>
      <c r="AW43" s="6"/>
      <c r="AX43" s="8">
        <v>3499.86</v>
      </c>
      <c r="AY43" s="6"/>
      <c r="AZ43" s="8">
        <v>1063.81</v>
      </c>
      <c r="BA43" s="6"/>
      <c r="BB43" s="6">
        <v>341.94</v>
      </c>
      <c r="BC43" s="6"/>
      <c r="BD43" s="41">
        <f t="shared" si="15"/>
        <v>0</v>
      </c>
      <c r="BE43" s="6"/>
      <c r="BF43" s="6"/>
      <c r="BG43" s="6"/>
      <c r="BH43" s="6"/>
      <c r="BI43" s="6"/>
      <c r="BJ43" s="6"/>
      <c r="BK43" s="6"/>
      <c r="BL43" s="6"/>
      <c r="BM43" s="6"/>
      <c r="BN43" s="6"/>
      <c r="BO43" s="6"/>
      <c r="BP43" s="64" t="e">
        <f t="shared" si="16"/>
        <v>#DIV/0!</v>
      </c>
      <c r="BQ43" s="65" t="e">
        <f t="shared" si="17"/>
        <v>#DIV/0!</v>
      </c>
    </row>
    <row r="44" spans="1:69" ht="30">
      <c r="A44" s="75" t="s">
        <v>16</v>
      </c>
      <c r="B44" s="80" t="s">
        <v>377</v>
      </c>
      <c r="C44" s="80" t="s">
        <v>378</v>
      </c>
      <c r="D44" s="75" t="s">
        <v>143</v>
      </c>
      <c r="E44" s="75" t="s">
        <v>185</v>
      </c>
      <c r="F44" s="9">
        <v>14.679914</v>
      </c>
      <c r="G44" s="9">
        <v>120.54069800000001</v>
      </c>
      <c r="H44" s="4" t="str">
        <f t="shared" si="14"/>
        <v>14.679914,120.540698</v>
      </c>
      <c r="I44" s="4" t="s">
        <v>48</v>
      </c>
      <c r="J44" s="4" t="s">
        <v>379</v>
      </c>
      <c r="K44" s="9" t="s">
        <v>380</v>
      </c>
      <c r="L44" s="9">
        <v>2016</v>
      </c>
      <c r="M44" s="9">
        <v>2025</v>
      </c>
      <c r="N44" s="11" t="s">
        <v>98</v>
      </c>
      <c r="O44" s="9" t="s">
        <v>75</v>
      </c>
      <c r="P44" s="9" t="s">
        <v>188</v>
      </c>
      <c r="Q44" s="71"/>
      <c r="R44" s="77" t="s">
        <v>180</v>
      </c>
      <c r="S44" s="363" t="s">
        <v>381</v>
      </c>
      <c r="T44" s="384">
        <v>45716</v>
      </c>
      <c r="U44" s="34">
        <v>45718</v>
      </c>
      <c r="V44" s="34"/>
      <c r="W44" s="34">
        <v>45719</v>
      </c>
      <c r="X44" s="34">
        <v>45719</v>
      </c>
      <c r="Y44" s="45">
        <f t="shared" si="20"/>
        <v>1</v>
      </c>
      <c r="Z44" s="45" t="str">
        <f t="shared" si="18"/>
        <v/>
      </c>
      <c r="AA44" s="45">
        <f t="shared" ref="AA44:AA54" si="21">IF(
  OR(IF(V44&lt;&gt;"", V44, U44)="", W44=""),
  "",
  MAX(1,
    IF(
      NETWORKDAYS(IF(V44&lt;&gt;"", V44, U44), W44) &lt;= 0,
      1,
      NETWORKDAYS(IF(V44&lt;&gt;"", V44, U44), W44) - IF(IF(V44&lt;&gt;"", V44, U44)=W44, 0, 1)
    )
  )
)</f>
        <v>1</v>
      </c>
      <c r="AB44" s="644">
        <f t="shared" si="19"/>
        <v>1</v>
      </c>
      <c r="AC44" s="7" t="s">
        <v>150</v>
      </c>
      <c r="AD44" s="11">
        <v>0.23499999999999999</v>
      </c>
      <c r="AE44" s="82">
        <v>24547.38</v>
      </c>
      <c r="AF44" s="11">
        <v>48.48</v>
      </c>
      <c r="AG44" s="7" t="s">
        <v>196</v>
      </c>
      <c r="AH44" s="645" t="s">
        <v>151</v>
      </c>
      <c r="AI44" s="11" t="s">
        <v>49</v>
      </c>
      <c r="AJ44" s="11" t="s">
        <v>49</v>
      </c>
      <c r="AK44" s="11" t="s">
        <v>49</v>
      </c>
      <c r="AL44" s="11" t="s">
        <v>49</v>
      </c>
      <c r="AM44" s="11" t="s">
        <v>56</v>
      </c>
      <c r="AN44" s="11" t="s">
        <v>49</v>
      </c>
      <c r="AO44" s="11"/>
      <c r="AP44" s="4"/>
      <c r="AQ44" s="11"/>
      <c r="AR44" s="8">
        <v>70203.72</v>
      </c>
      <c r="AS44" s="6"/>
      <c r="AT44" s="8">
        <v>35277.370000000003</v>
      </c>
      <c r="AU44" s="6"/>
      <c r="AV44" s="8">
        <v>14974.45</v>
      </c>
      <c r="AW44" s="6"/>
      <c r="AX44" s="8">
        <v>10811.37</v>
      </c>
      <c r="AY44" s="6"/>
      <c r="AZ44" s="8">
        <v>8684.2000000000007</v>
      </c>
      <c r="BA44" s="6"/>
      <c r="BB44" s="6">
        <v>456.32</v>
      </c>
      <c r="BC44" s="6"/>
      <c r="BD44" s="41">
        <f t="shared" si="15"/>
        <v>0</v>
      </c>
      <c r="BE44" s="6"/>
      <c r="BF44" s="6"/>
      <c r="BG44" s="6"/>
      <c r="BH44" s="6"/>
      <c r="BI44" s="6"/>
      <c r="BJ44" s="6"/>
      <c r="BK44" s="6"/>
      <c r="BL44" s="6"/>
      <c r="BM44" s="6"/>
      <c r="BN44" s="6"/>
      <c r="BO44" s="6"/>
      <c r="BP44" s="64" t="e">
        <f t="shared" si="16"/>
        <v>#DIV/0!</v>
      </c>
      <c r="BQ44" s="65" t="e">
        <f t="shared" si="17"/>
        <v>#DIV/0!</v>
      </c>
    </row>
    <row r="45" spans="1:69">
      <c r="A45" s="75" t="s">
        <v>16</v>
      </c>
      <c r="B45" s="80" t="s">
        <v>382</v>
      </c>
      <c r="C45" s="80" t="s">
        <v>383</v>
      </c>
      <c r="D45" s="75" t="s">
        <v>143</v>
      </c>
      <c r="E45" s="75" t="s">
        <v>185</v>
      </c>
      <c r="F45" s="9">
        <v>14.668509999999999</v>
      </c>
      <c r="G45" s="9">
        <v>120.552837</v>
      </c>
      <c r="H45" s="4" t="str">
        <f t="shared" si="14"/>
        <v>14.66851,120.552837</v>
      </c>
      <c r="I45" s="4" t="s">
        <v>48</v>
      </c>
      <c r="J45" s="4" t="s">
        <v>384</v>
      </c>
      <c r="K45" s="9" t="s">
        <v>155</v>
      </c>
      <c r="L45" s="9">
        <v>2015</v>
      </c>
      <c r="M45" s="9">
        <v>2024</v>
      </c>
      <c r="N45" s="11" t="s">
        <v>98</v>
      </c>
      <c r="O45" s="9" t="s">
        <v>75</v>
      </c>
      <c r="P45" s="9" t="s">
        <v>188</v>
      </c>
      <c r="Q45" s="71"/>
      <c r="R45" s="71" t="s">
        <v>180</v>
      </c>
      <c r="S45" s="661" t="s">
        <v>385</v>
      </c>
      <c r="T45" s="34">
        <v>45729</v>
      </c>
      <c r="U45" s="34">
        <v>45733</v>
      </c>
      <c r="V45" s="34"/>
      <c r="W45" s="34">
        <v>45733</v>
      </c>
      <c r="X45" s="34">
        <v>45733</v>
      </c>
      <c r="Y45" s="45">
        <f t="shared" si="20"/>
        <v>2</v>
      </c>
      <c r="Z45" s="45" t="str">
        <f t="shared" si="18"/>
        <v/>
      </c>
      <c r="AA45" s="45">
        <f t="shared" si="21"/>
        <v>1</v>
      </c>
      <c r="AB45" s="644">
        <f t="shared" si="19"/>
        <v>1</v>
      </c>
      <c r="AC45" s="7" t="s">
        <v>150</v>
      </c>
      <c r="AD45" s="11">
        <v>0.51</v>
      </c>
      <c r="AE45" s="82">
        <v>23600.1</v>
      </c>
      <c r="AF45" s="83">
        <v>0.55000000000000004</v>
      </c>
      <c r="AG45" s="7" t="s">
        <v>196</v>
      </c>
      <c r="AH45" s="645" t="s">
        <v>151</v>
      </c>
      <c r="AI45" s="11" t="s">
        <v>49</v>
      </c>
      <c r="AJ45" s="11" t="s">
        <v>49</v>
      </c>
      <c r="AK45" s="11" t="s">
        <v>49</v>
      </c>
      <c r="AL45" s="11" t="s">
        <v>49</v>
      </c>
      <c r="AM45" s="13" t="s">
        <v>69</v>
      </c>
      <c r="AN45" s="11" t="s">
        <v>49</v>
      </c>
      <c r="AO45" s="35"/>
      <c r="AP45" s="4"/>
      <c r="AQ45" s="11"/>
      <c r="AR45" s="773">
        <v>21587.83</v>
      </c>
      <c r="AS45" s="6"/>
      <c r="AT45" s="773">
        <v>8229.2800000000007</v>
      </c>
      <c r="AU45" s="6"/>
      <c r="AV45" s="773">
        <v>7156.36</v>
      </c>
      <c r="AW45" s="6"/>
      <c r="AX45" s="8">
        <v>3078.42</v>
      </c>
      <c r="AY45" s="6"/>
      <c r="AZ45" s="8">
        <v>3033.09</v>
      </c>
      <c r="BA45" s="6"/>
      <c r="BB45" s="66">
        <v>90.67</v>
      </c>
      <c r="BC45" s="6"/>
      <c r="BD45" s="41">
        <f t="shared" si="15"/>
        <v>0</v>
      </c>
      <c r="BE45" s="6"/>
      <c r="BF45" s="6"/>
      <c r="BG45" s="6"/>
      <c r="BH45" s="6"/>
      <c r="BI45" s="6"/>
      <c r="BJ45" s="6"/>
      <c r="BK45" s="6"/>
      <c r="BL45" s="6"/>
      <c r="BM45" s="6"/>
      <c r="BN45" s="6"/>
      <c r="BO45" s="6"/>
      <c r="BP45" s="64" t="e">
        <f t="shared" si="16"/>
        <v>#DIV/0!</v>
      </c>
      <c r="BQ45" s="65" t="e">
        <f t="shared" si="17"/>
        <v>#DIV/0!</v>
      </c>
    </row>
    <row r="46" spans="1:69">
      <c r="A46" s="75" t="s">
        <v>20</v>
      </c>
      <c r="B46" s="80" t="s">
        <v>386</v>
      </c>
      <c r="C46" s="80" t="s">
        <v>387</v>
      </c>
      <c r="D46" s="75" t="s">
        <v>143</v>
      </c>
      <c r="E46" s="75" t="s">
        <v>160</v>
      </c>
      <c r="F46" s="9">
        <v>14.794464120000001</v>
      </c>
      <c r="G46" s="9">
        <v>120.8789154</v>
      </c>
      <c r="H46" s="4" t="str">
        <f t="shared" si="14"/>
        <v>14.79446412,120.8789154</v>
      </c>
      <c r="I46" s="4" t="s">
        <v>48</v>
      </c>
      <c r="J46" s="4">
        <v>1180</v>
      </c>
      <c r="K46" s="9" t="s">
        <v>199</v>
      </c>
      <c r="L46" s="9">
        <v>2018</v>
      </c>
      <c r="M46" s="9">
        <v>2027</v>
      </c>
      <c r="N46" s="9"/>
      <c r="O46" s="9" t="s">
        <v>75</v>
      </c>
      <c r="P46" s="9" t="s">
        <v>388</v>
      </c>
      <c r="Q46" s="71" t="s">
        <v>328</v>
      </c>
      <c r="R46" s="71" t="s">
        <v>201</v>
      </c>
      <c r="S46" s="363" t="s">
        <v>389</v>
      </c>
      <c r="T46" s="34">
        <v>45729</v>
      </c>
      <c r="U46" s="34">
        <v>45732</v>
      </c>
      <c r="V46" s="34">
        <v>45735</v>
      </c>
      <c r="W46" s="34">
        <v>45735</v>
      </c>
      <c r="X46" s="34">
        <v>45735</v>
      </c>
      <c r="Y46" s="45">
        <f t="shared" si="20"/>
        <v>1</v>
      </c>
      <c r="Z46" s="45">
        <f t="shared" si="18"/>
        <v>2</v>
      </c>
      <c r="AA46" s="45">
        <f t="shared" si="21"/>
        <v>1</v>
      </c>
      <c r="AB46" s="644">
        <f t="shared" si="19"/>
        <v>1</v>
      </c>
      <c r="AC46" s="7" t="s">
        <v>150</v>
      </c>
      <c r="AD46" s="11">
        <v>0.127</v>
      </c>
      <c r="AE46" s="11">
        <v>213800</v>
      </c>
      <c r="AF46" s="11">
        <v>100</v>
      </c>
      <c r="AG46" s="7" t="s">
        <v>390</v>
      </c>
      <c r="AH46" s="645" t="s">
        <v>151</v>
      </c>
      <c r="AI46" s="11" t="s">
        <v>49</v>
      </c>
      <c r="AJ46" s="11" t="s">
        <v>49</v>
      </c>
      <c r="AK46" s="11" t="s">
        <v>49</v>
      </c>
      <c r="AL46" s="11" t="s">
        <v>49</v>
      </c>
      <c r="AM46" s="11" t="s">
        <v>56</v>
      </c>
      <c r="AN46" s="11" t="s">
        <v>49</v>
      </c>
      <c r="AO46" s="34"/>
      <c r="AP46" s="4"/>
      <c r="AQ46" s="11"/>
      <c r="AR46" s="8">
        <v>11623.48</v>
      </c>
      <c r="AS46" s="6"/>
      <c r="AT46" s="8">
        <v>3647.45</v>
      </c>
      <c r="AU46" s="6"/>
      <c r="AV46" s="8">
        <v>1982.96</v>
      </c>
      <c r="AW46" s="6"/>
      <c r="AX46" s="8">
        <v>3133.69</v>
      </c>
      <c r="AY46" s="6"/>
      <c r="AZ46" s="8">
        <v>2850.08</v>
      </c>
      <c r="BA46" s="6"/>
      <c r="BB46" s="6">
        <v>9.3000000000000007</v>
      </c>
      <c r="BC46" s="6"/>
      <c r="BD46" s="41">
        <f t="shared" si="15"/>
        <v>0</v>
      </c>
      <c r="BE46" s="6"/>
      <c r="BF46" s="6"/>
      <c r="BG46" s="6"/>
      <c r="BH46" s="6"/>
      <c r="BI46" s="6"/>
      <c r="BJ46" s="6"/>
      <c r="BK46" s="6"/>
      <c r="BL46" s="6"/>
      <c r="BM46" s="6"/>
      <c r="BN46" s="6"/>
      <c r="BO46" s="6"/>
      <c r="BP46" s="64" t="e">
        <f t="shared" si="16"/>
        <v>#DIV/0!</v>
      </c>
      <c r="BQ46" s="65" t="e">
        <f t="shared" si="17"/>
        <v>#DIV/0!</v>
      </c>
    </row>
    <row r="47" spans="1:69">
      <c r="A47" s="75" t="s">
        <v>20</v>
      </c>
      <c r="B47" s="80" t="s">
        <v>391</v>
      </c>
      <c r="C47" s="80" t="s">
        <v>392</v>
      </c>
      <c r="D47" s="75" t="s">
        <v>143</v>
      </c>
      <c r="E47" s="75" t="s">
        <v>160</v>
      </c>
      <c r="F47" s="9">
        <v>14.836099000000001</v>
      </c>
      <c r="G47" s="9">
        <v>120.734098</v>
      </c>
      <c r="H47" s="4" t="str">
        <f t="shared" si="14"/>
        <v>14.836099,120.734098</v>
      </c>
      <c r="I47" s="4" t="s">
        <v>48</v>
      </c>
      <c r="J47" s="4" t="s">
        <v>393</v>
      </c>
      <c r="K47" s="9" t="s">
        <v>380</v>
      </c>
      <c r="L47" s="9">
        <v>2018</v>
      </c>
      <c r="M47" s="9">
        <v>2025</v>
      </c>
      <c r="N47" s="11" t="s">
        <v>98</v>
      </c>
      <c r="O47" s="9" t="s">
        <v>75</v>
      </c>
      <c r="P47" s="9" t="s">
        <v>200</v>
      </c>
      <c r="Q47" s="71" t="s">
        <v>328</v>
      </c>
      <c r="R47" s="71" t="s">
        <v>201</v>
      </c>
      <c r="S47" s="363" t="s">
        <v>394</v>
      </c>
      <c r="T47" s="34">
        <v>45722</v>
      </c>
      <c r="U47" s="34">
        <v>45724</v>
      </c>
      <c r="V47" s="34">
        <v>45727</v>
      </c>
      <c r="W47" s="34">
        <v>45727</v>
      </c>
      <c r="X47" s="34">
        <v>45730</v>
      </c>
      <c r="Y47" s="45">
        <f t="shared" si="20"/>
        <v>1</v>
      </c>
      <c r="Z47" s="45">
        <f t="shared" si="18"/>
        <v>1</v>
      </c>
      <c r="AA47" s="45">
        <f t="shared" si="21"/>
        <v>1</v>
      </c>
      <c r="AB47" s="644">
        <f t="shared" si="19"/>
        <v>3</v>
      </c>
      <c r="AC47" s="7" t="s">
        <v>150</v>
      </c>
      <c r="AD47" s="11">
        <v>0.42399999999999999</v>
      </c>
      <c r="AE47" s="764">
        <v>45657.37</v>
      </c>
      <c r="AF47" s="11">
        <v>100</v>
      </c>
      <c r="AG47" s="7" t="s">
        <v>390</v>
      </c>
      <c r="AH47" s="645" t="s">
        <v>151</v>
      </c>
      <c r="AI47" s="7" t="s">
        <v>49</v>
      </c>
      <c r="AJ47" s="7" t="s">
        <v>49</v>
      </c>
      <c r="AK47" s="7" t="s">
        <v>49</v>
      </c>
      <c r="AL47" s="7" t="s">
        <v>49</v>
      </c>
      <c r="AM47" s="7" t="s">
        <v>49</v>
      </c>
      <c r="AN47" s="7" t="s">
        <v>49</v>
      </c>
      <c r="AO47" s="35"/>
      <c r="AP47" s="4"/>
      <c r="AQ47" s="11"/>
      <c r="AR47" s="8">
        <v>19692.759999999998</v>
      </c>
      <c r="AS47" s="6"/>
      <c r="AT47" s="8">
        <v>8940.51</v>
      </c>
      <c r="AU47" s="6"/>
      <c r="AV47" s="8">
        <v>4844.42</v>
      </c>
      <c r="AW47" s="6"/>
      <c r="AX47" s="8">
        <v>2745.17</v>
      </c>
      <c r="AY47" s="6"/>
      <c r="AZ47" s="8">
        <v>2607.3200000000002</v>
      </c>
      <c r="BA47" s="6"/>
      <c r="BB47" s="6">
        <v>555.34</v>
      </c>
      <c r="BC47" s="6"/>
      <c r="BD47" s="41">
        <f t="shared" si="15"/>
        <v>0</v>
      </c>
      <c r="BE47" s="6"/>
      <c r="BF47" s="6"/>
      <c r="BG47" s="6"/>
      <c r="BH47" s="6"/>
      <c r="BI47" s="6"/>
      <c r="BJ47" s="6"/>
      <c r="BK47" s="6"/>
      <c r="BL47" s="6"/>
      <c r="BM47" s="6"/>
      <c r="BN47" s="6"/>
      <c r="BO47" s="6"/>
      <c r="BP47" s="64" t="e">
        <f t="shared" si="16"/>
        <v>#DIV/0!</v>
      </c>
      <c r="BQ47" s="65" t="e">
        <f t="shared" si="17"/>
        <v>#DIV/0!</v>
      </c>
    </row>
    <row r="48" spans="1:69">
      <c r="A48" s="75" t="s">
        <v>20</v>
      </c>
      <c r="B48" s="80" t="s">
        <v>395</v>
      </c>
      <c r="C48" s="80" t="s">
        <v>396</v>
      </c>
      <c r="D48" s="75" t="s">
        <v>143</v>
      </c>
      <c r="E48" s="75" t="s">
        <v>160</v>
      </c>
      <c r="F48" s="9">
        <v>14.83651081</v>
      </c>
      <c r="G48" s="9">
        <v>120.7877692</v>
      </c>
      <c r="H48" s="4" t="str">
        <f t="shared" si="14"/>
        <v>14.83651081,120.7877692</v>
      </c>
      <c r="I48" s="4" t="s">
        <v>48</v>
      </c>
      <c r="J48" s="4" t="s">
        <v>397</v>
      </c>
      <c r="K48" s="9" t="s">
        <v>229</v>
      </c>
      <c r="L48" s="9">
        <v>2019</v>
      </c>
      <c r="M48" s="9">
        <v>2026</v>
      </c>
      <c r="N48" s="9"/>
      <c r="O48" s="9" t="s">
        <v>75</v>
      </c>
      <c r="P48" s="9" t="s">
        <v>200</v>
      </c>
      <c r="Q48" s="71" t="s">
        <v>328</v>
      </c>
      <c r="R48" s="71" t="s">
        <v>201</v>
      </c>
      <c r="S48" s="363" t="s">
        <v>398</v>
      </c>
      <c r="T48" s="34">
        <v>45727</v>
      </c>
      <c r="U48" s="34">
        <v>45733</v>
      </c>
      <c r="V48" s="34">
        <v>45733</v>
      </c>
      <c r="W48" s="34">
        <v>45733</v>
      </c>
      <c r="X48" s="34">
        <v>45735</v>
      </c>
      <c r="Y48" s="45">
        <f t="shared" si="20"/>
        <v>4</v>
      </c>
      <c r="Z48" s="45">
        <f t="shared" si="18"/>
        <v>1</v>
      </c>
      <c r="AA48" s="45">
        <f t="shared" si="21"/>
        <v>1</v>
      </c>
      <c r="AB48" s="644">
        <f t="shared" si="19"/>
        <v>2</v>
      </c>
      <c r="AC48" s="7" t="s">
        <v>150</v>
      </c>
      <c r="AD48" s="11">
        <v>0.45</v>
      </c>
      <c r="AE48" s="82">
        <v>25564.46</v>
      </c>
      <c r="AF48" s="11">
        <v>100</v>
      </c>
      <c r="AG48" s="7" t="s">
        <v>330</v>
      </c>
      <c r="AH48" s="645" t="s">
        <v>151</v>
      </c>
      <c r="AI48" s="7" t="s">
        <v>49</v>
      </c>
      <c r="AJ48" s="7" t="s">
        <v>49</v>
      </c>
      <c r="AK48" s="7" t="s">
        <v>49</v>
      </c>
      <c r="AL48" s="7" t="s">
        <v>49</v>
      </c>
      <c r="AM48" s="7" t="s">
        <v>49</v>
      </c>
      <c r="AN48" s="7" t="s">
        <v>49</v>
      </c>
      <c r="AO48" s="35"/>
      <c r="AP48" s="4"/>
      <c r="AQ48" s="11"/>
      <c r="AR48" s="8">
        <v>27960.720000000001</v>
      </c>
      <c r="AS48" s="6"/>
      <c r="AT48" s="8">
        <v>9478.68</v>
      </c>
      <c r="AU48" s="6"/>
      <c r="AV48" s="8">
        <v>11603.7</v>
      </c>
      <c r="AW48" s="6"/>
      <c r="AX48" s="8">
        <v>2485.71</v>
      </c>
      <c r="AY48" s="6"/>
      <c r="AZ48" s="8">
        <v>3769.11</v>
      </c>
      <c r="BA48" s="6"/>
      <c r="BB48" s="6">
        <v>623.52</v>
      </c>
      <c r="BC48" s="6"/>
      <c r="BD48" s="41">
        <f t="shared" si="15"/>
        <v>0</v>
      </c>
      <c r="BE48" s="6"/>
      <c r="BF48" s="6"/>
      <c r="BG48" s="6"/>
      <c r="BH48" s="6"/>
      <c r="BI48" s="6"/>
      <c r="BJ48" s="6"/>
      <c r="BK48" s="6"/>
      <c r="BL48" s="6"/>
      <c r="BM48" s="6"/>
      <c r="BN48" s="6"/>
      <c r="BO48" s="6"/>
      <c r="BP48" s="64" t="e">
        <f t="shared" si="16"/>
        <v>#DIV/0!</v>
      </c>
      <c r="BQ48" s="65" t="e">
        <f t="shared" si="17"/>
        <v>#DIV/0!</v>
      </c>
    </row>
    <row r="49" spans="1:69" ht="30">
      <c r="A49" s="75" t="s">
        <v>25</v>
      </c>
      <c r="B49" s="80" t="s">
        <v>399</v>
      </c>
      <c r="C49" s="80" t="s">
        <v>400</v>
      </c>
      <c r="D49" s="75" t="s">
        <v>143</v>
      </c>
      <c r="E49" s="75" t="s">
        <v>233</v>
      </c>
      <c r="F49" s="11">
        <v>15.362292999999999</v>
      </c>
      <c r="G49" s="11">
        <v>120.94050799999999</v>
      </c>
      <c r="H49" s="4" t="str">
        <f t="shared" si="14"/>
        <v>15.362293,120.940508</v>
      </c>
      <c r="I49" s="4" t="s">
        <v>48</v>
      </c>
      <c r="J49" s="4" t="s">
        <v>401</v>
      </c>
      <c r="K49" s="11" t="s">
        <v>229</v>
      </c>
      <c r="L49" s="11">
        <v>2018</v>
      </c>
      <c r="M49" s="11">
        <v>2026</v>
      </c>
      <c r="N49" s="11"/>
      <c r="O49" s="9" t="s">
        <v>75</v>
      </c>
      <c r="P49" s="9" t="s">
        <v>28</v>
      </c>
      <c r="Q49" s="71" t="s">
        <v>211</v>
      </c>
      <c r="R49" s="71" t="s">
        <v>212</v>
      </c>
      <c r="S49" s="441" t="s">
        <v>402</v>
      </c>
      <c r="T49" s="34">
        <v>45730</v>
      </c>
      <c r="U49" s="34">
        <v>45734</v>
      </c>
      <c r="V49" s="34">
        <v>45734</v>
      </c>
      <c r="W49" s="34">
        <v>45734</v>
      </c>
      <c r="X49" s="34">
        <v>45735</v>
      </c>
      <c r="Y49" s="45">
        <f t="shared" si="20"/>
        <v>2</v>
      </c>
      <c r="Z49" s="45">
        <f t="shared" si="18"/>
        <v>1</v>
      </c>
      <c r="AA49" s="45">
        <f t="shared" si="21"/>
        <v>1</v>
      </c>
      <c r="AB49" s="644">
        <f t="shared" si="19"/>
        <v>1</v>
      </c>
      <c r="AC49" s="7" t="s">
        <v>150</v>
      </c>
      <c r="AD49" s="11">
        <v>0.48</v>
      </c>
      <c r="AE49" s="11" t="s">
        <v>403</v>
      </c>
      <c r="AF49" s="11">
        <v>86.98</v>
      </c>
      <c r="AG49" s="7" t="s">
        <v>404</v>
      </c>
      <c r="AH49" s="645" t="s">
        <v>151</v>
      </c>
      <c r="AI49" s="7" t="s">
        <v>49</v>
      </c>
      <c r="AJ49" s="7" t="s">
        <v>49</v>
      </c>
      <c r="AK49" s="7" t="s">
        <v>49</v>
      </c>
      <c r="AL49" s="7" t="s">
        <v>49</v>
      </c>
      <c r="AM49" s="11" t="s">
        <v>49</v>
      </c>
      <c r="AN49" s="11" t="s">
        <v>49</v>
      </c>
      <c r="AO49" s="34"/>
      <c r="AP49" s="11"/>
      <c r="AQ49" s="11"/>
      <c r="AR49" s="8">
        <v>36339.06</v>
      </c>
      <c r="AS49" s="6"/>
      <c r="AT49" s="8">
        <v>15066.18</v>
      </c>
      <c r="AU49" s="6"/>
      <c r="AV49" s="8">
        <v>16454.330000000002</v>
      </c>
      <c r="AW49" s="6"/>
      <c r="AX49" s="6">
        <v>846.7</v>
      </c>
      <c r="AY49" s="6"/>
      <c r="AZ49" s="8">
        <v>3292.32</v>
      </c>
      <c r="BA49" s="6"/>
      <c r="BB49" s="6">
        <v>679.54</v>
      </c>
      <c r="BC49" s="6"/>
      <c r="BD49" s="41">
        <f t="shared" si="15"/>
        <v>0</v>
      </c>
      <c r="BE49" s="6"/>
      <c r="BF49" s="6"/>
      <c r="BG49" s="6"/>
      <c r="BH49" s="6"/>
      <c r="BI49" s="6"/>
      <c r="BJ49" s="6"/>
      <c r="BK49" s="6"/>
      <c r="BL49" s="6"/>
      <c r="BM49" s="6"/>
      <c r="BN49" s="6"/>
      <c r="BO49" s="6"/>
      <c r="BP49" s="64" t="e">
        <f t="shared" si="16"/>
        <v>#DIV/0!</v>
      </c>
      <c r="BQ49" s="65" t="e">
        <f t="shared" si="17"/>
        <v>#DIV/0!</v>
      </c>
    </row>
    <row r="50" spans="1:69" ht="30">
      <c r="A50" s="75" t="s">
        <v>25</v>
      </c>
      <c r="B50" s="80" t="s">
        <v>405</v>
      </c>
      <c r="C50" s="80" t="s">
        <v>406</v>
      </c>
      <c r="D50" s="75" t="s">
        <v>143</v>
      </c>
      <c r="E50" s="75" t="s">
        <v>144</v>
      </c>
      <c r="F50" s="11">
        <v>15.424258999999999</v>
      </c>
      <c r="G50" s="11">
        <v>120.939475</v>
      </c>
      <c r="H50" s="4" t="str">
        <f t="shared" si="14"/>
        <v>15.424259,120.939475</v>
      </c>
      <c r="I50" s="4" t="s">
        <v>48</v>
      </c>
      <c r="J50" s="4" t="s">
        <v>407</v>
      </c>
      <c r="K50" s="11" t="s">
        <v>229</v>
      </c>
      <c r="L50" s="11">
        <v>2020</v>
      </c>
      <c r="M50" s="11">
        <v>2026</v>
      </c>
      <c r="N50" s="11"/>
      <c r="O50" s="9" t="s">
        <v>75</v>
      </c>
      <c r="P50" s="9" t="s">
        <v>28</v>
      </c>
      <c r="Q50" s="71" t="s">
        <v>211</v>
      </c>
      <c r="R50" s="71" t="s">
        <v>212</v>
      </c>
      <c r="S50" s="363" t="s">
        <v>408</v>
      </c>
      <c r="T50" s="34">
        <v>45730</v>
      </c>
      <c r="U50" s="34">
        <v>45734</v>
      </c>
      <c r="V50" s="34">
        <v>45735</v>
      </c>
      <c r="W50" s="34">
        <v>45735</v>
      </c>
      <c r="X50" s="34">
        <v>45735</v>
      </c>
      <c r="Y50" s="45">
        <f t="shared" si="20"/>
        <v>2</v>
      </c>
      <c r="Z50" s="45">
        <f t="shared" si="18"/>
        <v>1</v>
      </c>
      <c r="AA50" s="45">
        <f t="shared" si="21"/>
        <v>1</v>
      </c>
      <c r="AB50" s="644">
        <f t="shared" si="19"/>
        <v>1</v>
      </c>
      <c r="AC50" s="7" t="s">
        <v>150</v>
      </c>
      <c r="AD50" s="11">
        <v>0.248</v>
      </c>
      <c r="AE50" s="82">
        <v>19836.560000000001</v>
      </c>
      <c r="AF50" s="11">
        <v>76.87</v>
      </c>
      <c r="AG50" s="7" t="s">
        <v>409</v>
      </c>
      <c r="AH50" s="645" t="str">
        <f>IF(AND(AI50 = "YES", AJ50 = "YES", AK50 = "YES", AL50 = "YES", AN50 = "YES"), "Compliant", "Not Compliant")</f>
        <v>Compliant</v>
      </c>
      <c r="AI50" s="103" t="s">
        <v>49</v>
      </c>
      <c r="AJ50" s="103" t="s">
        <v>49</v>
      </c>
      <c r="AK50" s="103" t="s">
        <v>49</v>
      </c>
      <c r="AL50" s="103" t="s">
        <v>49</v>
      </c>
      <c r="AM50" s="103" t="s">
        <v>49</v>
      </c>
      <c r="AN50" s="103" t="s">
        <v>49</v>
      </c>
      <c r="AO50" s="34" t="s">
        <v>56</v>
      </c>
      <c r="AP50" s="11"/>
      <c r="AQ50" s="11"/>
      <c r="AR50" s="8">
        <v>20929.87</v>
      </c>
      <c r="AS50" s="6"/>
      <c r="AT50" s="8">
        <v>12503.5</v>
      </c>
      <c r="AU50" s="6"/>
      <c r="AV50" s="8">
        <v>3066.23</v>
      </c>
      <c r="AW50" s="6"/>
      <c r="AX50" s="8">
        <v>1810.43</v>
      </c>
      <c r="AY50" s="6"/>
      <c r="AZ50" s="8">
        <v>3478.54</v>
      </c>
      <c r="BA50" s="6"/>
      <c r="BB50" s="6">
        <v>71.16</v>
      </c>
      <c r="BC50" s="6"/>
      <c r="BD50" s="41">
        <f t="shared" si="15"/>
        <v>0</v>
      </c>
      <c r="BE50" s="6"/>
      <c r="BF50" s="6"/>
      <c r="BG50" s="6"/>
      <c r="BH50" s="6"/>
      <c r="BI50" s="6"/>
      <c r="BJ50" s="6"/>
      <c r="BK50" s="6"/>
      <c r="BL50" s="6"/>
      <c r="BM50" s="6"/>
      <c r="BN50" s="6"/>
      <c r="BO50" s="6"/>
      <c r="BP50" s="64" t="e">
        <f t="shared" si="16"/>
        <v>#DIV/0!</v>
      </c>
      <c r="BQ50" s="65" t="e">
        <f t="shared" si="17"/>
        <v>#DIV/0!</v>
      </c>
    </row>
    <row r="51" spans="1:69" ht="30">
      <c r="A51" s="75" t="s">
        <v>25</v>
      </c>
      <c r="B51" s="80" t="s">
        <v>410</v>
      </c>
      <c r="C51" s="80" t="s">
        <v>411</v>
      </c>
      <c r="D51" s="75" t="s">
        <v>143</v>
      </c>
      <c r="E51" s="75" t="s">
        <v>144</v>
      </c>
      <c r="F51" s="9">
        <v>15.627503000000001</v>
      </c>
      <c r="G51" s="9">
        <v>121.145207</v>
      </c>
      <c r="H51" s="4" t="str">
        <f t="shared" si="14"/>
        <v>15.627503,121.145207</v>
      </c>
      <c r="I51" s="4" t="s">
        <v>48</v>
      </c>
      <c r="J51" s="4" t="s">
        <v>412</v>
      </c>
      <c r="K51" s="9" t="s">
        <v>229</v>
      </c>
      <c r="L51" s="9">
        <v>2018</v>
      </c>
      <c r="M51" s="9">
        <v>2026</v>
      </c>
      <c r="N51" s="9"/>
      <c r="O51" s="9" t="s">
        <v>75</v>
      </c>
      <c r="P51" s="9" t="s">
        <v>28</v>
      </c>
      <c r="Q51" s="71" t="s">
        <v>211</v>
      </c>
      <c r="R51" s="71" t="s">
        <v>212</v>
      </c>
      <c r="S51" s="363" t="s">
        <v>413</v>
      </c>
      <c r="T51" s="34">
        <v>45723</v>
      </c>
      <c r="U51" s="34">
        <v>45726</v>
      </c>
      <c r="V51" s="34">
        <v>45729</v>
      </c>
      <c r="W51" s="34">
        <v>45734</v>
      </c>
      <c r="X51" s="34">
        <v>45735</v>
      </c>
      <c r="Y51" s="45">
        <f t="shared" si="20"/>
        <v>1</v>
      </c>
      <c r="Z51" s="45">
        <f t="shared" si="18"/>
        <v>3</v>
      </c>
      <c r="AA51" s="45">
        <f t="shared" si="21"/>
        <v>3</v>
      </c>
      <c r="AB51" s="644">
        <f t="shared" si="19"/>
        <v>1</v>
      </c>
      <c r="AC51" s="7" t="s">
        <v>150</v>
      </c>
      <c r="AD51" s="11">
        <v>0.72699999999999998</v>
      </c>
      <c r="AE51" s="708">
        <v>53609.71</v>
      </c>
      <c r="AF51" s="11">
        <v>87.99</v>
      </c>
      <c r="AG51" s="7" t="s">
        <v>414</v>
      </c>
      <c r="AH51" s="645" t="s">
        <v>151</v>
      </c>
      <c r="AI51" s="11" t="s">
        <v>49</v>
      </c>
      <c r="AJ51" s="11" t="s">
        <v>49</v>
      </c>
      <c r="AK51" s="11" t="s">
        <v>49</v>
      </c>
      <c r="AL51" s="11" t="s">
        <v>49</v>
      </c>
      <c r="AM51" s="11" t="s">
        <v>49</v>
      </c>
      <c r="AN51" s="11" t="s">
        <v>49</v>
      </c>
      <c r="AO51" s="34"/>
      <c r="AP51" s="4"/>
      <c r="AQ51" s="11"/>
      <c r="AR51" s="8">
        <v>52622.28</v>
      </c>
      <c r="AS51" s="6"/>
      <c r="AT51" s="8">
        <v>24900.86</v>
      </c>
      <c r="AU51" s="6"/>
      <c r="AV51" s="8">
        <v>16865.439999999999</v>
      </c>
      <c r="AW51" s="6"/>
      <c r="AX51" s="8">
        <v>5493.77</v>
      </c>
      <c r="AY51" s="6"/>
      <c r="AZ51" s="8">
        <v>3920.36</v>
      </c>
      <c r="BA51" s="6"/>
      <c r="BB51" s="8">
        <v>1441.85</v>
      </c>
      <c r="BC51" s="6"/>
      <c r="BD51" s="41">
        <f t="shared" si="15"/>
        <v>0</v>
      </c>
      <c r="BE51" s="6"/>
      <c r="BF51" s="6"/>
      <c r="BG51" s="6"/>
      <c r="BH51" s="6"/>
      <c r="BI51" s="6"/>
      <c r="BJ51" s="6"/>
      <c r="BK51" s="6"/>
      <c r="BL51" s="6"/>
      <c r="BM51" s="6"/>
      <c r="BN51" s="6"/>
      <c r="BO51" s="6"/>
      <c r="BP51" s="64" t="e">
        <f t="shared" si="16"/>
        <v>#DIV/0!</v>
      </c>
      <c r="BQ51" s="65" t="e">
        <f t="shared" si="17"/>
        <v>#DIV/0!</v>
      </c>
    </row>
    <row r="52" spans="1:69">
      <c r="A52" s="75" t="s">
        <v>31</v>
      </c>
      <c r="B52" s="80" t="s">
        <v>415</v>
      </c>
      <c r="C52" s="80" t="s">
        <v>416</v>
      </c>
      <c r="D52" s="75" t="s">
        <v>143</v>
      </c>
      <c r="E52" s="75" t="s">
        <v>185</v>
      </c>
      <c r="F52" s="11">
        <v>14.965206999999999</v>
      </c>
      <c r="G52" s="11">
        <v>120.63333799999999</v>
      </c>
      <c r="H52" s="4" t="str">
        <f t="shared" si="14"/>
        <v>14.965207,120.633338</v>
      </c>
      <c r="I52" s="4" t="s">
        <v>48</v>
      </c>
      <c r="J52" s="4">
        <v>158</v>
      </c>
      <c r="K52" s="11" t="s">
        <v>155</v>
      </c>
      <c r="L52" s="11">
        <v>2015</v>
      </c>
      <c r="M52" s="11">
        <v>2024</v>
      </c>
      <c r="N52" s="11" t="s">
        <v>98</v>
      </c>
      <c r="O52" s="9" t="s">
        <v>75</v>
      </c>
      <c r="P52" s="11" t="s">
        <v>35</v>
      </c>
      <c r="Q52" s="76"/>
      <c r="R52" s="76" t="s">
        <v>148</v>
      </c>
      <c r="S52" s="363" t="s">
        <v>417</v>
      </c>
      <c r="T52" s="34">
        <v>45729</v>
      </c>
      <c r="U52" s="34">
        <v>45732</v>
      </c>
      <c r="V52" s="34"/>
      <c r="W52" s="34">
        <v>45733</v>
      </c>
      <c r="X52" s="34">
        <v>45734</v>
      </c>
      <c r="Y52" s="45">
        <f t="shared" si="20"/>
        <v>1</v>
      </c>
      <c r="Z52" s="45" t="str">
        <f t="shared" si="18"/>
        <v/>
      </c>
      <c r="AA52" s="45">
        <f t="shared" si="21"/>
        <v>1</v>
      </c>
      <c r="AB52" s="45">
        <f t="shared" si="19"/>
        <v>1</v>
      </c>
      <c r="AC52" s="135" t="s">
        <v>150</v>
      </c>
      <c r="AD52" s="85"/>
      <c r="AE52" s="704"/>
      <c r="AF52" s="85"/>
      <c r="AG52" s="135"/>
      <c r="AH52" s="44" t="str">
        <f>IF(AND(AI52 = "YES", AJ52 = "YES", AK52 = "YES", AL52 = "YES", AN52 = "YES"), "Compliant", "Not Compliant")</f>
        <v>Not Compliant</v>
      </c>
      <c r="AI52" s="103"/>
      <c r="AJ52" s="103"/>
      <c r="AK52" s="103"/>
      <c r="AL52" s="103"/>
      <c r="AM52" s="103"/>
      <c r="AN52" s="103"/>
      <c r="AO52" s="34" t="s">
        <v>56</v>
      </c>
      <c r="AP52" s="11"/>
      <c r="AQ52" s="11"/>
      <c r="AR52" s="8">
        <v>54610.77</v>
      </c>
      <c r="AS52" s="6"/>
      <c r="AT52" s="8">
        <v>26671.9</v>
      </c>
      <c r="AU52" s="6"/>
      <c r="AV52" s="8">
        <v>15471.23</v>
      </c>
      <c r="AW52" s="6"/>
      <c r="AX52" s="8">
        <v>2042.44</v>
      </c>
      <c r="AY52" s="6"/>
      <c r="AZ52" s="8">
        <v>10097.530000000001</v>
      </c>
      <c r="BA52" s="6"/>
      <c r="BB52" s="6">
        <v>327.66000000000003</v>
      </c>
      <c r="BC52" s="6"/>
      <c r="BD52" s="41">
        <f t="shared" si="15"/>
        <v>0</v>
      </c>
      <c r="BE52" s="6"/>
      <c r="BF52" s="6"/>
      <c r="BG52" s="6"/>
      <c r="BH52" s="6"/>
      <c r="BI52" s="6"/>
      <c r="BJ52" s="6"/>
      <c r="BK52" s="6"/>
      <c r="BL52" s="6"/>
      <c r="BM52" s="6"/>
      <c r="BN52" s="6"/>
      <c r="BO52" s="6"/>
      <c r="BP52" s="64" t="e">
        <f t="shared" si="16"/>
        <v>#DIV/0!</v>
      </c>
      <c r="BQ52" s="65" t="e">
        <f t="shared" si="17"/>
        <v>#DIV/0!</v>
      </c>
    </row>
    <row r="53" spans="1:69">
      <c r="A53" s="75" t="s">
        <v>31</v>
      </c>
      <c r="B53" s="80" t="s">
        <v>418</v>
      </c>
      <c r="C53" s="80" t="s">
        <v>419</v>
      </c>
      <c r="D53" s="75" t="s">
        <v>143</v>
      </c>
      <c r="E53" s="9" t="s">
        <v>185</v>
      </c>
      <c r="F53" s="11">
        <v>14.936299999999999</v>
      </c>
      <c r="G53" s="11">
        <v>120.6223</v>
      </c>
      <c r="H53" s="4" t="str">
        <f t="shared" si="14"/>
        <v>14.9363,120.6223</v>
      </c>
      <c r="I53" s="4" t="s">
        <v>48</v>
      </c>
      <c r="J53" s="4" t="s">
        <v>420</v>
      </c>
      <c r="K53" s="11" t="s">
        <v>178</v>
      </c>
      <c r="L53" s="11">
        <v>2019</v>
      </c>
      <c r="M53" s="11">
        <v>2028</v>
      </c>
      <c r="N53" s="11"/>
      <c r="O53" s="9" t="s">
        <v>75</v>
      </c>
      <c r="P53" s="11" t="s">
        <v>35</v>
      </c>
      <c r="Q53" s="76"/>
      <c r="R53" s="76" t="s">
        <v>148</v>
      </c>
      <c r="S53" s="363" t="s">
        <v>421</v>
      </c>
      <c r="T53" s="34">
        <v>45730</v>
      </c>
      <c r="U53" s="34">
        <v>45732</v>
      </c>
      <c r="V53" s="34"/>
      <c r="W53" s="34">
        <v>45733</v>
      </c>
      <c r="X53" s="34">
        <v>45734</v>
      </c>
      <c r="Y53" s="45">
        <f t="shared" si="20"/>
        <v>1</v>
      </c>
      <c r="Z53" s="45" t="str">
        <f t="shared" si="18"/>
        <v/>
      </c>
      <c r="AA53" s="45">
        <f t="shared" si="21"/>
        <v>1</v>
      </c>
      <c r="AB53" s="45">
        <f t="shared" si="19"/>
        <v>1</v>
      </c>
      <c r="AC53" s="7" t="s">
        <v>150</v>
      </c>
      <c r="AD53" s="11"/>
      <c r="AE53" s="11"/>
      <c r="AF53" s="11"/>
      <c r="AG53" s="7"/>
      <c r="AH53" s="44" t="s">
        <v>151</v>
      </c>
      <c r="AI53" s="103"/>
      <c r="AJ53" s="103"/>
      <c r="AK53" s="103"/>
      <c r="AL53" s="103"/>
      <c r="AM53" s="103"/>
      <c r="AN53" s="103"/>
      <c r="AO53" s="34"/>
      <c r="AP53" s="11"/>
      <c r="AQ53" s="11"/>
      <c r="AR53" s="8">
        <v>11020.67</v>
      </c>
      <c r="AS53" s="6"/>
      <c r="AT53" s="8">
        <v>6051.45</v>
      </c>
      <c r="AU53" s="6"/>
      <c r="AV53" s="8">
        <v>2298.91</v>
      </c>
      <c r="AW53" s="6"/>
      <c r="AX53" s="8">
        <v>1351.13</v>
      </c>
      <c r="AY53" s="6"/>
      <c r="AZ53" s="8">
        <v>1167.0899999999999</v>
      </c>
      <c r="BA53" s="6"/>
      <c r="BB53" s="6">
        <v>152.09</v>
      </c>
      <c r="BC53" s="6"/>
      <c r="BD53" s="41">
        <f t="shared" si="15"/>
        <v>0</v>
      </c>
      <c r="BE53" s="6"/>
      <c r="BF53" s="6"/>
      <c r="BG53" s="6"/>
      <c r="BH53" s="6"/>
      <c r="BI53" s="6"/>
      <c r="BJ53" s="6"/>
      <c r="BK53" s="6"/>
      <c r="BL53" s="6"/>
      <c r="BM53" s="6"/>
      <c r="BN53" s="6"/>
      <c r="BO53" s="6"/>
      <c r="BP53" s="64" t="e">
        <f t="shared" si="16"/>
        <v>#DIV/0!</v>
      </c>
      <c r="BQ53" s="65" t="e">
        <f t="shared" si="17"/>
        <v>#DIV/0!</v>
      </c>
    </row>
    <row r="54" spans="1:69">
      <c r="A54" s="75" t="s">
        <v>36</v>
      </c>
      <c r="B54" s="80" t="s">
        <v>422</v>
      </c>
      <c r="C54" s="80" t="s">
        <v>423</v>
      </c>
      <c r="D54" s="75" t="s">
        <v>143</v>
      </c>
      <c r="E54" s="9" t="s">
        <v>144</v>
      </c>
      <c r="F54" s="11">
        <v>15.323352</v>
      </c>
      <c r="G54" s="11">
        <v>120.655511</v>
      </c>
      <c r="H54" s="4" t="str">
        <f t="shared" si="14"/>
        <v>15.323352,120.655511</v>
      </c>
      <c r="I54" s="4" t="s">
        <v>48</v>
      </c>
      <c r="J54" s="4" t="s">
        <v>424</v>
      </c>
      <c r="K54" s="11" t="s">
        <v>218</v>
      </c>
      <c r="L54" s="11">
        <v>2020</v>
      </c>
      <c r="M54" s="11">
        <v>2027</v>
      </c>
      <c r="N54" s="11"/>
      <c r="O54" s="9" t="s">
        <v>75</v>
      </c>
      <c r="P54" s="11"/>
      <c r="Q54" s="71" t="s">
        <v>163</v>
      </c>
      <c r="R54" s="71" t="s">
        <v>328</v>
      </c>
      <c r="S54" s="363" t="s">
        <v>425</v>
      </c>
      <c r="T54" s="34">
        <v>45720</v>
      </c>
      <c r="U54" s="34">
        <v>45723</v>
      </c>
      <c r="V54" s="34">
        <v>45723</v>
      </c>
      <c r="W54" s="34">
        <v>45726</v>
      </c>
      <c r="X54" s="34">
        <v>45728</v>
      </c>
      <c r="Y54" s="45">
        <f t="shared" si="20"/>
        <v>3</v>
      </c>
      <c r="Z54" s="45">
        <f t="shared" si="18"/>
        <v>1</v>
      </c>
      <c r="AA54" s="45">
        <f t="shared" si="21"/>
        <v>1</v>
      </c>
      <c r="AB54" s="45">
        <f t="shared" si="19"/>
        <v>2</v>
      </c>
      <c r="AC54" s="7" t="s">
        <v>150</v>
      </c>
      <c r="AD54" s="11">
        <v>0.55000000000000004</v>
      </c>
      <c r="AE54" s="82">
        <v>93474.15</v>
      </c>
      <c r="AF54" s="11">
        <v>94.03</v>
      </c>
      <c r="AG54" s="7" t="s">
        <v>426</v>
      </c>
      <c r="AH54" s="44" t="s">
        <v>151</v>
      </c>
      <c r="AI54" s="11" t="s">
        <v>49</v>
      </c>
      <c r="AJ54" s="11" t="s">
        <v>49</v>
      </c>
      <c r="AK54" s="11" t="s">
        <v>49</v>
      </c>
      <c r="AL54" s="11" t="s">
        <v>49</v>
      </c>
      <c r="AM54" s="11" t="s">
        <v>49</v>
      </c>
      <c r="AN54" s="11" t="s">
        <v>49</v>
      </c>
      <c r="AO54" s="34"/>
      <c r="AP54" s="11"/>
      <c r="AQ54" s="11"/>
      <c r="AR54" s="8">
        <v>113944.47</v>
      </c>
      <c r="AS54" s="6"/>
      <c r="AT54" s="8">
        <v>73186.53</v>
      </c>
      <c r="AU54" s="6"/>
      <c r="AV54" s="8">
        <v>24281.57</v>
      </c>
      <c r="AW54" s="6"/>
      <c r="AX54" s="8">
        <v>9673.89</v>
      </c>
      <c r="AY54" s="6"/>
      <c r="AZ54" s="8">
        <v>6745.51</v>
      </c>
      <c r="BA54" s="6"/>
      <c r="BB54" s="6">
        <v>56.97</v>
      </c>
      <c r="BC54" s="6"/>
      <c r="BD54" s="41">
        <f t="shared" si="15"/>
        <v>0</v>
      </c>
      <c r="BE54" s="6"/>
      <c r="BF54" s="6"/>
      <c r="BG54" s="6"/>
      <c r="BH54" s="6"/>
      <c r="BI54" s="6"/>
      <c r="BJ54" s="6"/>
      <c r="BK54" s="6"/>
      <c r="BL54" s="6"/>
      <c r="BM54" s="6"/>
      <c r="BN54" s="6"/>
      <c r="BO54" s="6"/>
      <c r="BP54" s="64" t="e">
        <f t="shared" si="16"/>
        <v>#DIV/0!</v>
      </c>
      <c r="BQ54" s="65" t="e">
        <f t="shared" si="17"/>
        <v>#DIV/0!</v>
      </c>
    </row>
    <row r="55" spans="1:69">
      <c r="A55" s="75" t="s">
        <v>36</v>
      </c>
      <c r="B55" s="80" t="s">
        <v>427</v>
      </c>
      <c r="C55" s="80" t="s">
        <v>428</v>
      </c>
      <c r="D55" s="75" t="s">
        <v>159</v>
      </c>
      <c r="E55" s="9" t="s">
        <v>160</v>
      </c>
      <c r="F55" s="11">
        <v>15.733044599999999</v>
      </c>
      <c r="G55" s="11">
        <v>120.57270250000001</v>
      </c>
      <c r="H55" s="4" t="str">
        <f t="shared" si="14"/>
        <v>15.7330446,120.5727025</v>
      </c>
      <c r="I55" s="4" t="s">
        <v>48</v>
      </c>
      <c r="J55" s="4" t="s">
        <v>429</v>
      </c>
      <c r="K55" s="11" t="s">
        <v>155</v>
      </c>
      <c r="L55" s="11">
        <v>2015</v>
      </c>
      <c r="M55" s="11">
        <v>2024</v>
      </c>
      <c r="N55" s="11" t="s">
        <v>98</v>
      </c>
      <c r="O55" s="11" t="s">
        <v>75</v>
      </c>
      <c r="P55" s="11" t="s">
        <v>37</v>
      </c>
      <c r="Q55" s="71"/>
      <c r="R55" s="71" t="s">
        <v>328</v>
      </c>
      <c r="S55" s="363" t="s">
        <v>430</v>
      </c>
      <c r="T55" s="34">
        <v>45730</v>
      </c>
      <c r="U55" s="34">
        <v>45733</v>
      </c>
      <c r="V55" s="34"/>
      <c r="W55" s="34">
        <v>45734</v>
      </c>
      <c r="X55" s="34">
        <v>45734</v>
      </c>
      <c r="Y55" s="45">
        <f t="shared" si="20"/>
        <v>1</v>
      </c>
      <c r="Z55" s="45" t="str">
        <f t="shared" si="18"/>
        <v/>
      </c>
      <c r="AA55" s="45">
        <f>IF(
    OR(ISBLANK(U55), ISBLANK(W55)),
    "",
    MAX(1, IF(
        NETWORKDAYS(U55, W55) &lt;= 0,
        1,
        NETWORKDAYS(U55, W55) - IF(U55 = W55, 0, 1)
    ))
)</f>
        <v>1</v>
      </c>
      <c r="AB55" s="45">
        <f t="shared" si="19"/>
        <v>1</v>
      </c>
      <c r="AC55" s="7" t="s">
        <v>150</v>
      </c>
      <c r="AD55" s="78">
        <v>0.35</v>
      </c>
      <c r="AE55" s="768" t="s">
        <v>431</v>
      </c>
      <c r="AF55" s="11">
        <v>100</v>
      </c>
      <c r="AG55" s="7" t="s">
        <v>432</v>
      </c>
      <c r="AH55" s="44" t="s">
        <v>151</v>
      </c>
      <c r="AI55" s="11" t="s">
        <v>49</v>
      </c>
      <c r="AJ55" s="11" t="s">
        <v>49</v>
      </c>
      <c r="AK55" s="11" t="s">
        <v>49</v>
      </c>
      <c r="AL55" s="11" t="s">
        <v>49</v>
      </c>
      <c r="AM55" s="11" t="s">
        <v>49</v>
      </c>
      <c r="AN55" s="11" t="s">
        <v>49</v>
      </c>
      <c r="AO55" s="34"/>
      <c r="AP55" s="11"/>
      <c r="AQ55" s="11"/>
      <c r="AR55" s="8">
        <v>26023.67</v>
      </c>
      <c r="AS55" s="6"/>
      <c r="AT55" s="8">
        <v>17258.900000000001</v>
      </c>
      <c r="AU55" s="6"/>
      <c r="AV55" s="8">
        <v>5131.87</v>
      </c>
      <c r="AW55" s="6"/>
      <c r="AX55" s="6">
        <v>861.38</v>
      </c>
      <c r="AY55" s="6"/>
      <c r="AZ55" s="8">
        <v>2022.04</v>
      </c>
      <c r="BA55" s="6"/>
      <c r="BB55" s="6">
        <v>749.48</v>
      </c>
      <c r="BC55" s="6"/>
      <c r="BD55" s="41">
        <f t="shared" si="15"/>
        <v>0</v>
      </c>
      <c r="BE55" s="6"/>
      <c r="BF55" s="6"/>
      <c r="BG55" s="6"/>
      <c r="BH55" s="6"/>
      <c r="BI55" s="6"/>
      <c r="BJ55" s="6"/>
      <c r="BK55" s="6"/>
      <c r="BL55" s="6"/>
      <c r="BM55" s="6"/>
      <c r="BN55" s="6"/>
      <c r="BO55" s="6"/>
      <c r="BP55" s="64" t="e">
        <f t="shared" si="16"/>
        <v>#DIV/0!</v>
      </c>
      <c r="BQ55" s="65" t="e">
        <f t="shared" si="17"/>
        <v>#DIV/0!</v>
      </c>
    </row>
    <row r="56" spans="1:69">
      <c r="A56" s="75" t="s">
        <v>36</v>
      </c>
      <c r="B56" s="80" t="s">
        <v>433</v>
      </c>
      <c r="C56" s="80" t="s">
        <v>434</v>
      </c>
      <c r="D56" s="75" t="s">
        <v>159</v>
      </c>
      <c r="E56" s="9" t="s">
        <v>160</v>
      </c>
      <c r="F56" s="11">
        <v>15.7993705</v>
      </c>
      <c r="G56" s="11">
        <v>120.60731869999999</v>
      </c>
      <c r="H56" s="4" t="str">
        <f t="shared" si="14"/>
        <v>15.7993705,120.6073187</v>
      </c>
      <c r="I56" s="4" t="s">
        <v>48</v>
      </c>
      <c r="J56" s="7" t="s">
        <v>435</v>
      </c>
      <c r="K56" s="11" t="s">
        <v>146</v>
      </c>
      <c r="L56" s="11">
        <v>2023</v>
      </c>
      <c r="M56" s="11">
        <v>2031</v>
      </c>
      <c r="N56" s="11"/>
      <c r="O56" s="11" t="s">
        <v>75</v>
      </c>
      <c r="P56" s="11" t="s">
        <v>38</v>
      </c>
      <c r="Q56" s="71"/>
      <c r="R56" s="71" t="s">
        <v>328</v>
      </c>
      <c r="S56" s="363" t="s">
        <v>436</v>
      </c>
      <c r="T56" s="34">
        <v>45730</v>
      </c>
      <c r="U56" s="34">
        <v>45732</v>
      </c>
      <c r="V56" s="34"/>
      <c r="W56" s="34">
        <v>45735</v>
      </c>
      <c r="X56" s="34">
        <v>45735</v>
      </c>
      <c r="Y56" s="45">
        <f t="shared" si="20"/>
        <v>1</v>
      </c>
      <c r="Z56" s="45" t="str">
        <f t="shared" si="18"/>
        <v/>
      </c>
      <c r="AA56" s="45">
        <f>IF(
    OR(ISBLANK(U56), ISBLANK(W56)),
    "",
    MAX(1, IF(
        NETWORKDAYS(U56, W56) &lt;= 0,
        1,
        NETWORKDAYS(U56, W56) - IF(U56 = W56, 0, 1)
    ))
)</f>
        <v>2</v>
      </c>
      <c r="AB56" s="45">
        <f t="shared" si="19"/>
        <v>1</v>
      </c>
      <c r="AC56" s="7" t="s">
        <v>150</v>
      </c>
      <c r="AD56" s="11">
        <v>0.2</v>
      </c>
      <c r="AE56" s="11" t="s">
        <v>437</v>
      </c>
      <c r="AF56" s="11">
        <v>100</v>
      </c>
      <c r="AG56" s="7" t="s">
        <v>414</v>
      </c>
      <c r="AH56" s="44" t="str">
        <f>IF(AND(AI56 = "YES", AJ56 = "YES", AK56 = "YES", AL56 = "YES", AN56 = "YES"), "Compliant", "Not Compliant")</f>
        <v>Not Compliant</v>
      </c>
      <c r="AI56" s="103" t="s">
        <v>56</v>
      </c>
      <c r="AJ56" s="103" t="s">
        <v>56</v>
      </c>
      <c r="AK56" s="103" t="s">
        <v>56</v>
      </c>
      <c r="AL56" s="103" t="s">
        <v>56</v>
      </c>
      <c r="AM56" s="103" t="s">
        <v>56</v>
      </c>
      <c r="AN56" s="103" t="s">
        <v>49</v>
      </c>
      <c r="AO56" s="34" t="s">
        <v>56</v>
      </c>
      <c r="AP56" s="11"/>
      <c r="AQ56" s="11"/>
      <c r="AR56" s="8">
        <v>6246</v>
      </c>
      <c r="AS56" s="6"/>
      <c r="AT56" s="8">
        <v>4188.57</v>
      </c>
      <c r="AU56" s="6"/>
      <c r="AV56" s="8">
        <v>1029.3399999999999</v>
      </c>
      <c r="AW56" s="6"/>
      <c r="AX56" s="6">
        <v>405.37</v>
      </c>
      <c r="AY56" s="6"/>
      <c r="AZ56" s="6">
        <v>527.79</v>
      </c>
      <c r="BA56" s="6"/>
      <c r="BB56" s="6">
        <v>94.94</v>
      </c>
      <c r="BC56" s="6"/>
      <c r="BD56" s="41">
        <f t="shared" si="15"/>
        <v>0</v>
      </c>
      <c r="BE56" s="6"/>
      <c r="BF56" s="6"/>
      <c r="BG56" s="6"/>
      <c r="BH56" s="6"/>
      <c r="BI56" s="6"/>
      <c r="BJ56" s="6"/>
      <c r="BK56" s="6"/>
      <c r="BL56" s="6"/>
      <c r="BM56" s="6"/>
      <c r="BN56" s="6"/>
      <c r="BO56" s="6"/>
      <c r="BP56" s="64" t="e">
        <f t="shared" si="16"/>
        <v>#DIV/0!</v>
      </c>
      <c r="BQ56" s="65" t="e">
        <f t="shared" si="17"/>
        <v>#DIV/0!</v>
      </c>
    </row>
    <row r="57" spans="1:69" ht="30">
      <c r="A57" s="75" t="s">
        <v>40</v>
      </c>
      <c r="B57" s="80" t="s">
        <v>438</v>
      </c>
      <c r="C57" s="80" t="s">
        <v>439</v>
      </c>
      <c r="D57" s="75" t="s">
        <v>159</v>
      </c>
      <c r="E57" s="75" t="s">
        <v>185</v>
      </c>
      <c r="F57" s="11">
        <v>15.060178000000001</v>
      </c>
      <c r="G57" s="11">
        <v>120.070525</v>
      </c>
      <c r="H57" s="4" t="str">
        <f t="shared" si="14"/>
        <v>15.060178,120.070525</v>
      </c>
      <c r="I57" s="4" t="s">
        <v>48</v>
      </c>
      <c r="J57" s="7" t="s">
        <v>440</v>
      </c>
      <c r="K57" s="11" t="s">
        <v>146</v>
      </c>
      <c r="L57" s="11">
        <v>2023</v>
      </c>
      <c r="M57" s="11">
        <v>2031</v>
      </c>
      <c r="N57" s="11"/>
      <c r="O57" s="11" t="s">
        <v>75</v>
      </c>
      <c r="P57" s="11" t="s">
        <v>41</v>
      </c>
      <c r="Q57" s="71" t="s">
        <v>163</v>
      </c>
      <c r="R57" s="71" t="s">
        <v>164</v>
      </c>
      <c r="S57" s="758" t="s">
        <v>441</v>
      </c>
      <c r="T57" s="34">
        <v>45730</v>
      </c>
      <c r="U57" s="34">
        <v>45734</v>
      </c>
      <c r="V57" s="34">
        <v>45734</v>
      </c>
      <c r="W57" s="34">
        <v>45734</v>
      </c>
      <c r="X57" s="34">
        <v>45734</v>
      </c>
      <c r="Y57" s="45">
        <f t="shared" si="20"/>
        <v>2</v>
      </c>
      <c r="Z57" s="45">
        <f t="shared" si="18"/>
        <v>1</v>
      </c>
      <c r="AA57" s="45">
        <f>IF(
    OR(ISBLANK(U57), ISBLANK(W57)),
    "",
    MAX(1, IF(
        NETWORKDAYS(U57, W57) &lt;= 0,
        1,
        NETWORKDAYS(U57, W57) - IF(U57 = W57, 0, 1)
    ))
)</f>
        <v>1</v>
      </c>
      <c r="AB57" s="45">
        <f t="shared" si="19"/>
        <v>1</v>
      </c>
      <c r="AC57" s="7" t="s">
        <v>150</v>
      </c>
      <c r="AD57" s="11">
        <v>0.23499999999999999</v>
      </c>
      <c r="AE57" s="82">
        <v>5882.76</v>
      </c>
      <c r="AF57" s="11">
        <v>90.32</v>
      </c>
      <c r="AG57" s="7" t="s">
        <v>404</v>
      </c>
      <c r="AH57" s="44" t="s">
        <v>151</v>
      </c>
      <c r="AI57" s="11" t="s">
        <v>49</v>
      </c>
      <c r="AJ57" s="11" t="s">
        <v>49</v>
      </c>
      <c r="AK57" s="11" t="s">
        <v>49</v>
      </c>
      <c r="AL57" s="11" t="s">
        <v>49</v>
      </c>
      <c r="AM57" s="11"/>
      <c r="AN57" s="11" t="s">
        <v>49</v>
      </c>
      <c r="AO57" s="34"/>
      <c r="AP57" s="11"/>
      <c r="AQ57" s="11"/>
      <c r="AR57" s="8">
        <v>7873.04</v>
      </c>
      <c r="AS57" s="6"/>
      <c r="AT57" s="8">
        <v>5510.34</v>
      </c>
      <c r="AU57" s="6"/>
      <c r="AV57" s="8">
        <v>1433.68</v>
      </c>
      <c r="AW57" s="6"/>
      <c r="AX57" s="6">
        <v>167.7</v>
      </c>
      <c r="AY57" s="6"/>
      <c r="AZ57" s="6">
        <v>473.96</v>
      </c>
      <c r="BA57" s="6"/>
      <c r="BB57" s="6">
        <v>287.37</v>
      </c>
      <c r="BC57" s="6"/>
      <c r="BD57" s="41">
        <f t="shared" si="15"/>
        <v>0</v>
      </c>
      <c r="BE57" s="6"/>
      <c r="BF57" s="6"/>
      <c r="BG57" s="6"/>
      <c r="BH57" s="6"/>
      <c r="BI57" s="6"/>
      <c r="BJ57" s="6"/>
      <c r="BK57" s="6"/>
      <c r="BL57" s="6"/>
      <c r="BM57" s="6"/>
      <c r="BN57" s="6"/>
      <c r="BO57" s="6"/>
      <c r="BP57" s="64" t="e">
        <f t="shared" si="16"/>
        <v>#DIV/0!</v>
      </c>
      <c r="BQ57" s="65" t="e">
        <f t="shared" si="17"/>
        <v>#DIV/0!</v>
      </c>
    </row>
    <row r="58" spans="1:69" ht="30">
      <c r="A58" s="75" t="s">
        <v>40</v>
      </c>
      <c r="B58" s="80" t="s">
        <v>442</v>
      </c>
      <c r="C58" s="80" t="s">
        <v>443</v>
      </c>
      <c r="D58" s="75" t="s">
        <v>159</v>
      </c>
      <c r="E58" s="75" t="s">
        <v>185</v>
      </c>
      <c r="F58" s="11">
        <v>15.015553000000001</v>
      </c>
      <c r="G58" s="11">
        <v>120.07905599999999</v>
      </c>
      <c r="H58" s="4" t="str">
        <f t="shared" si="14"/>
        <v>15.015553,120.079056</v>
      </c>
      <c r="I58" s="4" t="s">
        <v>48</v>
      </c>
      <c r="J58" s="7" t="s">
        <v>444</v>
      </c>
      <c r="K58" s="11" t="s">
        <v>199</v>
      </c>
      <c r="L58" s="11">
        <v>2019</v>
      </c>
      <c r="M58" s="11">
        <v>2027</v>
      </c>
      <c r="N58" s="11"/>
      <c r="O58" s="11" t="s">
        <v>75</v>
      </c>
      <c r="P58" s="11" t="s">
        <v>41</v>
      </c>
      <c r="Q58" s="71" t="s">
        <v>163</v>
      </c>
      <c r="R58" s="71" t="s">
        <v>164</v>
      </c>
      <c r="S58" s="363" t="s">
        <v>445</v>
      </c>
      <c r="T58" s="34">
        <v>45730</v>
      </c>
      <c r="U58" s="34">
        <v>45734</v>
      </c>
      <c r="V58" s="34">
        <v>45734</v>
      </c>
      <c r="W58" s="34">
        <v>45734</v>
      </c>
      <c r="X58" s="34">
        <v>45734</v>
      </c>
      <c r="Y58" s="45">
        <f t="shared" si="20"/>
        <v>2</v>
      </c>
      <c r="Z58" s="45">
        <f t="shared" si="18"/>
        <v>1</v>
      </c>
      <c r="AA58" s="45">
        <f>IF(
    OR(ISBLANK(U58), ISBLANK(W58)),
    "",
    MAX(1, IF(
        NETWORKDAYS(U58, W58) &lt;= 0,
        1,
        NETWORKDAYS(U58, W58) - IF(U58 = W58, 0, 1)
    ))
)</f>
        <v>1</v>
      </c>
      <c r="AB58" s="45">
        <f t="shared" si="19"/>
        <v>1</v>
      </c>
      <c r="AC58" s="7" t="s">
        <v>150</v>
      </c>
      <c r="AD58" s="11">
        <v>0.26700000000000002</v>
      </c>
      <c r="AE58" s="82">
        <v>8212.65</v>
      </c>
      <c r="AF58" s="83">
        <v>0.90090000000000003</v>
      </c>
      <c r="AG58" s="7" t="s">
        <v>330</v>
      </c>
      <c r="AH58" s="44" t="s">
        <v>151</v>
      </c>
      <c r="AI58" s="11" t="s">
        <v>49</v>
      </c>
      <c r="AJ58" s="11" t="s">
        <v>49</v>
      </c>
      <c r="AK58" s="11" t="s">
        <v>49</v>
      </c>
      <c r="AL58" s="11" t="s">
        <v>49</v>
      </c>
      <c r="AM58" s="11" t="s">
        <v>49</v>
      </c>
      <c r="AN58" s="11" t="s">
        <v>49</v>
      </c>
      <c r="AO58" s="11"/>
      <c r="AP58" s="11"/>
      <c r="AQ58" s="11"/>
      <c r="AR58" s="8">
        <v>9625.44</v>
      </c>
      <c r="AS58" s="6"/>
      <c r="AT58" s="8">
        <v>6840.8</v>
      </c>
      <c r="AU58" s="6"/>
      <c r="AV58" s="8">
        <v>1595.9</v>
      </c>
      <c r="AW58" s="6"/>
      <c r="AX58" s="6">
        <v>234.86</v>
      </c>
      <c r="AY58" s="6"/>
      <c r="AZ58" s="6">
        <v>642.98</v>
      </c>
      <c r="BA58" s="6"/>
      <c r="BB58" s="6">
        <v>310.89999999999998</v>
      </c>
      <c r="BC58" s="6"/>
      <c r="BD58" s="41">
        <f t="shared" si="15"/>
        <v>0</v>
      </c>
      <c r="BE58" s="6"/>
      <c r="BF58" s="6"/>
      <c r="BG58" s="6"/>
      <c r="BH58" s="6"/>
      <c r="BI58" s="6"/>
      <c r="BJ58" s="6"/>
      <c r="BK58" s="6"/>
      <c r="BL58" s="6"/>
      <c r="BM58" s="6"/>
      <c r="BN58" s="6"/>
      <c r="BO58" s="6"/>
      <c r="BP58" s="64" t="e">
        <f t="shared" si="16"/>
        <v>#DIV/0!</v>
      </c>
      <c r="BQ58" s="65" t="e">
        <f t="shared" si="17"/>
        <v>#DIV/0!</v>
      </c>
    </row>
    <row r="59" spans="1:69">
      <c r="A59" s="75" t="s">
        <v>12</v>
      </c>
      <c r="B59" s="80" t="s">
        <v>446</v>
      </c>
      <c r="C59" s="80" t="s">
        <v>447</v>
      </c>
      <c r="D59" s="75" t="s">
        <v>159</v>
      </c>
      <c r="E59" s="75" t="s">
        <v>249</v>
      </c>
      <c r="F59" s="4">
        <v>15.759064</v>
      </c>
      <c r="G59" s="4">
        <v>121.563075</v>
      </c>
      <c r="H59" s="4" t="str">
        <f t="shared" si="14"/>
        <v>15.759064,121.563075</v>
      </c>
      <c r="I59" s="4" t="s">
        <v>48</v>
      </c>
      <c r="J59" s="4" t="s">
        <v>448</v>
      </c>
      <c r="K59" s="4" t="s">
        <v>199</v>
      </c>
      <c r="L59" s="4">
        <v>2018</v>
      </c>
      <c r="M59" s="4">
        <v>2027</v>
      </c>
      <c r="N59" s="4"/>
      <c r="O59" s="4" t="s">
        <v>76</v>
      </c>
      <c r="P59" s="4" t="s">
        <v>172</v>
      </c>
      <c r="Q59" s="70"/>
      <c r="R59" s="71" t="s">
        <v>163</v>
      </c>
      <c r="S59" s="364" t="s">
        <v>449</v>
      </c>
      <c r="T59" s="33">
        <v>45757</v>
      </c>
      <c r="U59" s="33">
        <v>45758</v>
      </c>
      <c r="V59" s="33"/>
      <c r="W59" s="33">
        <v>45761</v>
      </c>
      <c r="X59" s="34">
        <v>45761</v>
      </c>
      <c r="Y59" s="45">
        <f t="shared" si="20"/>
        <v>1</v>
      </c>
      <c r="Z59" s="45" t="str">
        <f t="shared" si="18"/>
        <v/>
      </c>
      <c r="AA59" s="45">
        <f t="shared" ref="AA59:AA67" si="22">IF(
  OR(IF(V59&lt;&gt;"", V59, U59)="", W59=""),
  "",
  MAX(1,
    IF(
      NETWORKDAYS(IF(V59&lt;&gt;"", V59, U59), W59) &lt;= 0,
      1,
      NETWORKDAYS(IF(V59&lt;&gt;"", V59, U59), W59) - IF(IF(V59&lt;&gt;"", V59, U59)=W59, 0, 1)
    )
  )
)</f>
        <v>1</v>
      </c>
      <c r="AB59" s="45">
        <f t="shared" si="19"/>
        <v>1</v>
      </c>
      <c r="AC59" s="7" t="s">
        <v>150</v>
      </c>
      <c r="AD59" s="11">
        <v>0.42</v>
      </c>
      <c r="AE59" s="82">
        <v>18389.7</v>
      </c>
      <c r="AF59" s="83">
        <v>0.8891</v>
      </c>
      <c r="AG59" s="7" t="s">
        <v>404</v>
      </c>
      <c r="AH59" s="44" t="str">
        <f>IF(AND(AI59 = "YES", AJ59 = "YES", AK59 = "YES", AL59 = "YES", AN59 = "YES"), "Compliant", "Not Compliant")</f>
        <v>Compliant</v>
      </c>
      <c r="AI59" s="7" t="s">
        <v>49</v>
      </c>
      <c r="AJ59" s="7" t="s">
        <v>49</v>
      </c>
      <c r="AK59" s="7" t="s">
        <v>49</v>
      </c>
      <c r="AL59" s="7" t="s">
        <v>49</v>
      </c>
      <c r="AM59" s="7"/>
      <c r="AN59" s="7" t="s">
        <v>49</v>
      </c>
      <c r="AO59" s="33"/>
      <c r="AP59" s="4"/>
      <c r="AQ59" s="4"/>
      <c r="AR59" s="8">
        <v>22416.94</v>
      </c>
      <c r="AS59" s="6"/>
      <c r="AT59" s="8">
        <v>9206.64</v>
      </c>
      <c r="AU59" s="6"/>
      <c r="AV59" s="8">
        <v>6794.58</v>
      </c>
      <c r="AW59" s="6"/>
      <c r="AX59" s="8">
        <v>3929.69</v>
      </c>
      <c r="AY59" s="6"/>
      <c r="AZ59" s="8">
        <v>1818.01</v>
      </c>
      <c r="BA59" s="6"/>
      <c r="BB59" s="6">
        <v>668.02</v>
      </c>
      <c r="BC59" s="6"/>
      <c r="BD59" s="355">
        <f t="shared" si="15"/>
        <v>232</v>
      </c>
      <c r="BE59" s="6"/>
      <c r="BF59" s="6">
        <v>32</v>
      </c>
      <c r="BG59" s="6"/>
      <c r="BH59" s="6">
        <v>56</v>
      </c>
      <c r="BI59" s="6"/>
      <c r="BJ59" s="6">
        <v>76</v>
      </c>
      <c r="BK59" s="6"/>
      <c r="BL59" s="6">
        <v>45</v>
      </c>
      <c r="BM59" s="6"/>
      <c r="BN59" s="6">
        <v>23</v>
      </c>
      <c r="BO59" s="6"/>
      <c r="BP59" s="356">
        <f t="shared" si="16"/>
        <v>70.689655172413794</v>
      </c>
      <c r="BQ59" s="356">
        <f t="shared" si="17"/>
        <v>29.310344827586203</v>
      </c>
    </row>
    <row r="60" spans="1:69">
      <c r="A60" s="75" t="s">
        <v>16</v>
      </c>
      <c r="B60" s="80" t="s">
        <v>450</v>
      </c>
      <c r="C60" s="80" t="s">
        <v>451</v>
      </c>
      <c r="D60" s="75" t="s">
        <v>143</v>
      </c>
      <c r="E60" s="75" t="s">
        <v>160</v>
      </c>
      <c r="F60" s="4">
        <v>14.722282999999999</v>
      </c>
      <c r="G60" s="4">
        <v>120.535442</v>
      </c>
      <c r="H60" s="4" t="str">
        <f t="shared" si="14"/>
        <v>14.722283,120.535442</v>
      </c>
      <c r="I60" s="4" t="s">
        <v>48</v>
      </c>
      <c r="J60" s="4" t="s">
        <v>452</v>
      </c>
      <c r="K60" s="4" t="s">
        <v>453</v>
      </c>
      <c r="L60" s="4">
        <v>2019</v>
      </c>
      <c r="M60" s="4">
        <v>2027</v>
      </c>
      <c r="N60" s="4"/>
      <c r="O60" s="4" t="s">
        <v>76</v>
      </c>
      <c r="P60" s="4" t="s">
        <v>188</v>
      </c>
      <c r="Q60" s="70"/>
      <c r="R60" s="71" t="s">
        <v>180</v>
      </c>
      <c r="S60" s="756" t="s">
        <v>454</v>
      </c>
      <c r="T60" s="33">
        <v>45736</v>
      </c>
      <c r="U60" s="33">
        <v>45740</v>
      </c>
      <c r="V60" s="33"/>
      <c r="W60" s="33">
        <v>45742</v>
      </c>
      <c r="X60" s="34">
        <v>45743</v>
      </c>
      <c r="Y60" s="45">
        <f t="shared" si="20"/>
        <v>2</v>
      </c>
      <c r="Z60" s="45" t="str">
        <f t="shared" si="18"/>
        <v/>
      </c>
      <c r="AA60" s="45">
        <f t="shared" si="22"/>
        <v>2</v>
      </c>
      <c r="AB60" s="45">
        <f t="shared" si="19"/>
        <v>1</v>
      </c>
      <c r="AC60" s="7" t="s">
        <v>150</v>
      </c>
      <c r="AD60" s="11">
        <v>0.23200000000000001</v>
      </c>
      <c r="AE60" s="82">
        <v>11155.55</v>
      </c>
      <c r="AF60" s="11">
        <v>92.01</v>
      </c>
      <c r="AG60" s="7" t="s">
        <v>259</v>
      </c>
      <c r="AH60" s="44" t="s">
        <v>151</v>
      </c>
      <c r="AI60" s="7" t="s">
        <v>49</v>
      </c>
      <c r="AJ60" s="7" t="s">
        <v>49</v>
      </c>
      <c r="AK60" s="7" t="s">
        <v>49</v>
      </c>
      <c r="AL60" s="7" t="s">
        <v>49</v>
      </c>
      <c r="AM60" s="7" t="s">
        <v>49</v>
      </c>
      <c r="AN60" s="7" t="s">
        <v>49</v>
      </c>
      <c r="AO60" s="33"/>
      <c r="AP60" s="4"/>
      <c r="AQ60" s="11"/>
      <c r="AR60" s="8">
        <v>11423.59</v>
      </c>
      <c r="AS60" s="6"/>
      <c r="AT60" s="8">
        <v>5415.93</v>
      </c>
      <c r="AU60" s="6"/>
      <c r="AV60" s="8">
        <v>2722.24</v>
      </c>
      <c r="AW60" s="6"/>
      <c r="AX60" s="8">
        <v>2568.02</v>
      </c>
      <c r="AY60" s="6"/>
      <c r="AZ60" s="6">
        <v>169.07</v>
      </c>
      <c r="BA60" s="6"/>
      <c r="BB60" s="6">
        <v>548.33000000000004</v>
      </c>
      <c r="BC60" s="6"/>
      <c r="BD60" s="41">
        <f t="shared" si="15"/>
        <v>0</v>
      </c>
      <c r="BE60" s="6"/>
      <c r="BF60" s="6"/>
      <c r="BG60" s="6"/>
      <c r="BH60" s="6"/>
      <c r="BI60" s="6"/>
      <c r="BJ60" s="6"/>
      <c r="BK60" s="6"/>
      <c r="BL60" s="6"/>
      <c r="BM60" s="6"/>
      <c r="BN60" s="6"/>
      <c r="BO60" s="6"/>
      <c r="BP60" s="64" t="e">
        <f t="shared" si="16"/>
        <v>#DIV/0!</v>
      </c>
      <c r="BQ60" s="65" t="e">
        <f t="shared" si="17"/>
        <v>#DIV/0!</v>
      </c>
    </row>
    <row r="61" spans="1:69">
      <c r="A61" s="75" t="s">
        <v>16</v>
      </c>
      <c r="B61" s="80" t="s">
        <v>455</v>
      </c>
      <c r="C61" s="80" t="s">
        <v>456</v>
      </c>
      <c r="D61" s="75" t="s">
        <v>143</v>
      </c>
      <c r="E61" s="9" t="s">
        <v>160</v>
      </c>
      <c r="F61" s="9">
        <v>14.768971000000001</v>
      </c>
      <c r="G61" s="9">
        <v>120.542407</v>
      </c>
      <c r="H61" s="4" t="str">
        <f t="shared" si="14"/>
        <v>14.768971,120.542407</v>
      </c>
      <c r="I61" s="4" t="s">
        <v>48</v>
      </c>
      <c r="J61" s="4" t="s">
        <v>457</v>
      </c>
      <c r="K61" s="9" t="s">
        <v>155</v>
      </c>
      <c r="L61" s="9">
        <v>2017</v>
      </c>
      <c r="M61" s="9">
        <v>2024</v>
      </c>
      <c r="N61" s="11" t="s">
        <v>98</v>
      </c>
      <c r="O61" s="4" t="s">
        <v>76</v>
      </c>
      <c r="P61" s="9" t="s">
        <v>179</v>
      </c>
      <c r="Q61" s="71"/>
      <c r="R61" s="71" t="s">
        <v>180</v>
      </c>
      <c r="S61" s="363" t="s">
        <v>458</v>
      </c>
      <c r="T61" s="34">
        <v>45755</v>
      </c>
      <c r="U61" s="34">
        <v>45757</v>
      </c>
      <c r="V61" s="34"/>
      <c r="W61" s="34">
        <v>45758</v>
      </c>
      <c r="X61" s="34">
        <v>45758</v>
      </c>
      <c r="Y61" s="45">
        <f t="shared" si="20"/>
        <v>2</v>
      </c>
      <c r="Z61" s="45" t="str">
        <f t="shared" si="18"/>
        <v/>
      </c>
      <c r="AA61" s="45">
        <f t="shared" si="22"/>
        <v>1</v>
      </c>
      <c r="AB61" s="45">
        <f t="shared" si="19"/>
        <v>1</v>
      </c>
      <c r="AC61" s="7" t="s">
        <v>150</v>
      </c>
      <c r="AD61" s="11"/>
      <c r="AE61" s="11"/>
      <c r="AF61" s="11"/>
      <c r="AG61" s="316"/>
      <c r="AH61" s="44" t="s">
        <v>151</v>
      </c>
      <c r="AI61" s="7"/>
      <c r="AJ61" s="7"/>
      <c r="AK61" s="7"/>
      <c r="AL61" s="7"/>
      <c r="AM61" s="7"/>
      <c r="AN61" s="7"/>
      <c r="AO61" s="34"/>
      <c r="AP61" s="4"/>
      <c r="AQ61" s="11"/>
      <c r="AR61" s="8">
        <v>14858.9</v>
      </c>
      <c r="AS61" s="6"/>
      <c r="AT61" s="8">
        <v>6918.3</v>
      </c>
      <c r="AU61" s="6"/>
      <c r="AV61" s="8">
        <v>2976.24</v>
      </c>
      <c r="AW61" s="6"/>
      <c r="AX61" s="8">
        <v>2316.5</v>
      </c>
      <c r="AY61" s="6"/>
      <c r="AZ61" s="14">
        <v>2511.15</v>
      </c>
      <c r="BA61" s="6"/>
      <c r="BB61" s="15">
        <v>136.69999999999999</v>
      </c>
      <c r="BC61" s="6"/>
      <c r="BD61" s="41">
        <f t="shared" si="15"/>
        <v>0</v>
      </c>
      <c r="BE61" s="6"/>
      <c r="BF61" s="6"/>
      <c r="BG61" s="6"/>
      <c r="BH61" s="6"/>
      <c r="BI61" s="6"/>
      <c r="BJ61" s="6"/>
      <c r="BK61" s="6"/>
      <c r="BL61" s="6"/>
      <c r="BM61" s="6"/>
      <c r="BN61" s="6"/>
      <c r="BO61" s="6"/>
      <c r="BP61" s="64" t="e">
        <f t="shared" si="16"/>
        <v>#DIV/0!</v>
      </c>
      <c r="BQ61" s="65" t="e">
        <f t="shared" si="17"/>
        <v>#DIV/0!</v>
      </c>
    </row>
    <row r="62" spans="1:69" ht="60">
      <c r="A62" s="75" t="s">
        <v>20</v>
      </c>
      <c r="B62" s="80" t="s">
        <v>459</v>
      </c>
      <c r="C62" s="80" t="s">
        <v>460</v>
      </c>
      <c r="D62" s="75" t="s">
        <v>143</v>
      </c>
      <c r="E62" s="75" t="s">
        <v>185</v>
      </c>
      <c r="F62" s="9">
        <v>14.959281000000001</v>
      </c>
      <c r="G62" s="9">
        <v>120.899518</v>
      </c>
      <c r="H62" s="4" t="str">
        <f t="shared" si="14"/>
        <v>14.959281,120.899518</v>
      </c>
      <c r="I62" s="4" t="s">
        <v>48</v>
      </c>
      <c r="J62" s="4" t="s">
        <v>461</v>
      </c>
      <c r="K62" s="9" t="s">
        <v>199</v>
      </c>
      <c r="L62" s="9">
        <v>2018</v>
      </c>
      <c r="M62" s="9">
        <v>2027</v>
      </c>
      <c r="N62" s="9"/>
      <c r="O62" s="4" t="s">
        <v>76</v>
      </c>
      <c r="P62" s="9" t="s">
        <v>200</v>
      </c>
      <c r="Q62" s="71"/>
      <c r="R62" s="71" t="s">
        <v>201</v>
      </c>
      <c r="S62" s="365" t="s">
        <v>462</v>
      </c>
      <c r="T62" s="35">
        <v>45762</v>
      </c>
      <c r="U62" s="35">
        <v>45762</v>
      </c>
      <c r="V62" s="35"/>
      <c r="W62" s="35">
        <v>45763</v>
      </c>
      <c r="X62" s="34">
        <v>45768</v>
      </c>
      <c r="Y62" s="45">
        <f t="shared" si="20"/>
        <v>1</v>
      </c>
      <c r="Z62" s="45" t="str">
        <f t="shared" si="18"/>
        <v/>
      </c>
      <c r="AA62" s="45">
        <f t="shared" si="22"/>
        <v>1</v>
      </c>
      <c r="AB62" s="45">
        <f t="shared" si="19"/>
        <v>3</v>
      </c>
      <c r="AC62" s="7" t="s">
        <v>150</v>
      </c>
      <c r="AD62" s="11">
        <v>0.307</v>
      </c>
      <c r="AE62" s="82">
        <v>53804.82</v>
      </c>
      <c r="AF62" s="11">
        <v>100</v>
      </c>
      <c r="AG62" s="7" t="s">
        <v>463</v>
      </c>
      <c r="AH62" s="44" t="s">
        <v>151</v>
      </c>
      <c r="AI62" s="7" t="s">
        <v>49</v>
      </c>
      <c r="AJ62" s="7" t="s">
        <v>49</v>
      </c>
      <c r="AK62" s="7" t="s">
        <v>49</v>
      </c>
      <c r="AL62" s="7" t="s">
        <v>49</v>
      </c>
      <c r="AM62" s="7" t="s">
        <v>49</v>
      </c>
      <c r="AN62" s="7" t="s">
        <v>49</v>
      </c>
      <c r="AO62" s="35"/>
      <c r="AP62" s="4"/>
      <c r="AQ62" s="7" t="s">
        <v>464</v>
      </c>
      <c r="AR62" s="8">
        <v>65563.259999999995</v>
      </c>
      <c r="AS62" s="6"/>
      <c r="AT62" s="8">
        <v>32178.45</v>
      </c>
      <c r="AU62" s="6"/>
      <c r="AV62" s="8">
        <v>20475.41</v>
      </c>
      <c r="AW62" s="6"/>
      <c r="AX62" s="8">
        <v>7487.32</v>
      </c>
      <c r="AY62" s="6"/>
      <c r="AZ62" s="8">
        <v>5048.37</v>
      </c>
      <c r="BA62" s="6"/>
      <c r="BB62" s="6">
        <v>373.71</v>
      </c>
      <c r="BC62" s="6"/>
      <c r="BD62" s="41">
        <f t="shared" si="15"/>
        <v>0</v>
      </c>
      <c r="BE62" s="6"/>
      <c r="BF62" s="6"/>
      <c r="BG62" s="6"/>
      <c r="BH62" s="6"/>
      <c r="BI62" s="6"/>
      <c r="BJ62" s="6"/>
      <c r="BK62" s="6"/>
      <c r="BL62" s="6"/>
      <c r="BM62" s="6"/>
      <c r="BN62" s="6"/>
      <c r="BO62" s="6"/>
      <c r="BP62" s="64" t="e">
        <f t="shared" si="16"/>
        <v>#DIV/0!</v>
      </c>
      <c r="BQ62" s="65" t="e">
        <f t="shared" si="17"/>
        <v>#DIV/0!</v>
      </c>
    </row>
    <row r="63" spans="1:69" ht="15.75">
      <c r="A63" s="75" t="s">
        <v>20</v>
      </c>
      <c r="B63" s="80" t="s">
        <v>465</v>
      </c>
      <c r="C63" s="80" t="s">
        <v>466</v>
      </c>
      <c r="D63" s="75" t="s">
        <v>143</v>
      </c>
      <c r="E63" s="75" t="s">
        <v>185</v>
      </c>
      <c r="F63" s="9">
        <v>14.95378487</v>
      </c>
      <c r="G63" s="9">
        <v>120.9188855</v>
      </c>
      <c r="H63" s="4" t="str">
        <f t="shared" si="14"/>
        <v>14.95378487,120.9188855</v>
      </c>
      <c r="I63" s="4" t="s">
        <v>48</v>
      </c>
      <c r="J63" s="4" t="s">
        <v>467</v>
      </c>
      <c r="K63" s="9" t="s">
        <v>199</v>
      </c>
      <c r="L63" s="9">
        <v>2019</v>
      </c>
      <c r="M63" s="9">
        <v>2027</v>
      </c>
      <c r="N63" s="9"/>
      <c r="O63" s="4" t="s">
        <v>76</v>
      </c>
      <c r="P63" s="9" t="s">
        <v>200</v>
      </c>
      <c r="Q63" s="71"/>
      <c r="R63" s="71" t="s">
        <v>201</v>
      </c>
      <c r="S63" s="363" t="s">
        <v>468</v>
      </c>
      <c r="T63" s="35">
        <v>45762</v>
      </c>
      <c r="U63" s="35">
        <v>45762</v>
      </c>
      <c r="V63" s="35"/>
      <c r="W63" s="35">
        <v>45763</v>
      </c>
      <c r="X63" s="34">
        <v>45768</v>
      </c>
      <c r="Y63" s="45">
        <f t="shared" si="20"/>
        <v>1</v>
      </c>
      <c r="Z63" s="45" t="str">
        <f t="shared" si="18"/>
        <v/>
      </c>
      <c r="AA63" s="45">
        <f t="shared" si="22"/>
        <v>1</v>
      </c>
      <c r="AB63" s="45">
        <f t="shared" si="19"/>
        <v>3</v>
      </c>
      <c r="AC63" s="7" t="s">
        <v>150</v>
      </c>
      <c r="AD63" s="15">
        <v>9.7000000000000003E-2</v>
      </c>
      <c r="AE63" s="8">
        <v>7836.15</v>
      </c>
      <c r="AF63" s="11">
        <v>100</v>
      </c>
      <c r="AG63" s="770" t="s">
        <v>390</v>
      </c>
      <c r="AH63" s="44" t="s">
        <v>151</v>
      </c>
      <c r="AI63" s="7" t="s">
        <v>49</v>
      </c>
      <c r="AJ63" s="7" t="s">
        <v>49</v>
      </c>
      <c r="AK63" s="7" t="s">
        <v>49</v>
      </c>
      <c r="AL63" s="7" t="s">
        <v>49</v>
      </c>
      <c r="AM63" s="7" t="s">
        <v>56</v>
      </c>
      <c r="AN63" s="7" t="s">
        <v>49</v>
      </c>
      <c r="AO63" s="35"/>
      <c r="AP63" s="4"/>
      <c r="AQ63" s="11"/>
      <c r="AR63" s="8">
        <v>4520.83</v>
      </c>
      <c r="AS63" s="6"/>
      <c r="AT63" s="8">
        <v>1161.8499999999999</v>
      </c>
      <c r="AU63" s="6"/>
      <c r="AV63" s="6">
        <v>924.51</v>
      </c>
      <c r="AW63" s="6"/>
      <c r="AX63" s="8">
        <v>2013.13</v>
      </c>
      <c r="AY63" s="6"/>
      <c r="AZ63" s="6">
        <v>110.31</v>
      </c>
      <c r="BA63" s="6"/>
      <c r="BB63" s="6">
        <v>311.02999999999997</v>
      </c>
      <c r="BC63" s="6"/>
      <c r="BD63" s="41">
        <f t="shared" si="15"/>
        <v>0</v>
      </c>
      <c r="BE63" s="6"/>
      <c r="BF63" s="6"/>
      <c r="BG63" s="6"/>
      <c r="BH63" s="6"/>
      <c r="BI63" s="6"/>
      <c r="BJ63" s="6"/>
      <c r="BK63" s="6"/>
      <c r="BL63" s="6"/>
      <c r="BM63" s="6"/>
      <c r="BN63" s="6"/>
      <c r="BO63" s="6"/>
      <c r="BP63" s="64" t="e">
        <f t="shared" si="16"/>
        <v>#DIV/0!</v>
      </c>
      <c r="BQ63" s="65" t="e">
        <f t="shared" si="17"/>
        <v>#DIV/0!</v>
      </c>
    </row>
    <row r="64" spans="1:69" ht="30">
      <c r="A64" s="75" t="s">
        <v>25</v>
      </c>
      <c r="B64" s="80" t="s">
        <v>469</v>
      </c>
      <c r="C64" s="80" t="s">
        <v>470</v>
      </c>
      <c r="D64" s="75" t="s">
        <v>143</v>
      </c>
      <c r="E64" s="75" t="s">
        <v>233</v>
      </c>
      <c r="F64" s="9">
        <v>15.3499</v>
      </c>
      <c r="G64" s="9">
        <v>121.045834</v>
      </c>
      <c r="H64" s="4" t="str">
        <f t="shared" si="14"/>
        <v>15.3499,121.045834</v>
      </c>
      <c r="I64" s="4" t="s">
        <v>48</v>
      </c>
      <c r="J64" s="4" t="s">
        <v>471</v>
      </c>
      <c r="K64" s="9" t="s">
        <v>301</v>
      </c>
      <c r="L64" s="9">
        <v>2019</v>
      </c>
      <c r="M64" s="9">
        <v>2027</v>
      </c>
      <c r="N64" s="9"/>
      <c r="O64" s="4" t="s">
        <v>76</v>
      </c>
      <c r="P64" s="9" t="s">
        <v>267</v>
      </c>
      <c r="Q64" s="9" t="s">
        <v>28</v>
      </c>
      <c r="R64" s="71" t="s">
        <v>212</v>
      </c>
      <c r="S64" s="363" t="s">
        <v>472</v>
      </c>
      <c r="T64" s="35">
        <v>45758</v>
      </c>
      <c r="U64" s="35">
        <v>45763</v>
      </c>
      <c r="V64" s="35">
        <v>45768</v>
      </c>
      <c r="W64" s="35">
        <v>45768</v>
      </c>
      <c r="X64" s="35">
        <v>45769</v>
      </c>
      <c r="Y64" s="45">
        <f t="shared" si="20"/>
        <v>3</v>
      </c>
      <c r="Z64" s="45">
        <f t="shared" si="18"/>
        <v>3</v>
      </c>
      <c r="AA64" s="45">
        <f t="shared" si="22"/>
        <v>1</v>
      </c>
      <c r="AB64" s="45">
        <f t="shared" si="19"/>
        <v>1</v>
      </c>
      <c r="AC64" s="7" t="s">
        <v>150</v>
      </c>
      <c r="AD64" s="84">
        <v>0.318</v>
      </c>
      <c r="AE64" s="78">
        <v>18763.27</v>
      </c>
      <c r="AF64" s="84">
        <v>0.155</v>
      </c>
      <c r="AG64" s="360" t="s">
        <v>259</v>
      </c>
      <c r="AH64" s="44" t="s">
        <v>151</v>
      </c>
      <c r="AI64" s="7" t="s">
        <v>49</v>
      </c>
      <c r="AJ64" s="7" t="s">
        <v>49</v>
      </c>
      <c r="AK64" s="7" t="s">
        <v>49</v>
      </c>
      <c r="AL64" s="7" t="s">
        <v>49</v>
      </c>
      <c r="AM64" s="7" t="s">
        <v>49</v>
      </c>
      <c r="AN64" s="7" t="s">
        <v>49</v>
      </c>
      <c r="AO64" s="35"/>
      <c r="AP64" s="4"/>
      <c r="AQ64" s="11"/>
      <c r="AR64" s="8">
        <v>19344.14</v>
      </c>
      <c r="AS64" s="6"/>
      <c r="AT64" s="8">
        <v>6383.57</v>
      </c>
      <c r="AU64" s="6"/>
      <c r="AV64" s="8">
        <v>5634.95</v>
      </c>
      <c r="AW64" s="6"/>
      <c r="AX64" s="8">
        <v>2487.66</v>
      </c>
      <c r="AY64" s="6"/>
      <c r="AZ64" s="8">
        <v>2586.31</v>
      </c>
      <c r="BA64" s="6"/>
      <c r="BB64" s="8">
        <v>2251.66</v>
      </c>
      <c r="BC64" s="6"/>
      <c r="BD64" s="41">
        <f t="shared" si="15"/>
        <v>0</v>
      </c>
      <c r="BE64" s="6"/>
      <c r="BF64" s="6"/>
      <c r="BG64" s="6"/>
      <c r="BH64" s="6"/>
      <c r="BI64" s="6"/>
      <c r="BJ64" s="6"/>
      <c r="BK64" s="6"/>
      <c r="BL64" s="6"/>
      <c r="BM64" s="6"/>
      <c r="BN64" s="6"/>
      <c r="BO64" s="6"/>
      <c r="BP64" s="64" t="e">
        <f t="shared" si="16"/>
        <v>#DIV/0!</v>
      </c>
      <c r="BQ64" s="65" t="e">
        <f t="shared" si="17"/>
        <v>#DIV/0!</v>
      </c>
    </row>
    <row r="65" spans="1:69" ht="30">
      <c r="A65" s="75" t="s">
        <v>25</v>
      </c>
      <c r="B65" s="80" t="s">
        <v>473</v>
      </c>
      <c r="C65" s="80" t="s">
        <v>474</v>
      </c>
      <c r="D65" s="75" t="s">
        <v>143</v>
      </c>
      <c r="E65" s="75" t="s">
        <v>233</v>
      </c>
      <c r="F65" s="11">
        <v>15.365180000000001</v>
      </c>
      <c r="G65" s="11">
        <v>121.014179</v>
      </c>
      <c r="H65" s="4" t="str">
        <f t="shared" si="14"/>
        <v>15.36518,121.014179</v>
      </c>
      <c r="I65" s="4" t="s">
        <v>48</v>
      </c>
      <c r="J65" s="4" t="s">
        <v>475</v>
      </c>
      <c r="K65" s="11" t="s">
        <v>199</v>
      </c>
      <c r="L65" s="11">
        <v>2019</v>
      </c>
      <c r="M65" s="11">
        <v>2027</v>
      </c>
      <c r="N65" s="11"/>
      <c r="O65" s="4" t="s">
        <v>76</v>
      </c>
      <c r="P65" s="11" t="s">
        <v>30</v>
      </c>
      <c r="Q65" s="9" t="s">
        <v>28</v>
      </c>
      <c r="R65" s="71" t="s">
        <v>212</v>
      </c>
      <c r="S65" s="363" t="s">
        <v>476</v>
      </c>
      <c r="T65" s="34">
        <v>45757</v>
      </c>
      <c r="U65" s="34">
        <v>45759</v>
      </c>
      <c r="V65" s="34">
        <v>45762</v>
      </c>
      <c r="W65" s="34">
        <v>45762</v>
      </c>
      <c r="X65" s="34">
        <v>45768</v>
      </c>
      <c r="Y65" s="45">
        <f t="shared" si="20"/>
        <v>1</v>
      </c>
      <c r="Z65" s="45">
        <f t="shared" si="18"/>
        <v>1</v>
      </c>
      <c r="AA65" s="45">
        <f t="shared" si="22"/>
        <v>1</v>
      </c>
      <c r="AB65" s="644">
        <f t="shared" si="19"/>
        <v>4</v>
      </c>
      <c r="AC65" s="7" t="s">
        <v>150</v>
      </c>
      <c r="AD65" s="11">
        <v>0.34</v>
      </c>
      <c r="AE65" s="82">
        <v>12359.49</v>
      </c>
      <c r="AF65" s="353">
        <v>0.83</v>
      </c>
      <c r="AG65" s="7" t="s">
        <v>361</v>
      </c>
      <c r="AH65" s="645" t="s">
        <v>367</v>
      </c>
      <c r="AI65" s="11" t="s">
        <v>49</v>
      </c>
      <c r="AJ65" s="11" t="s">
        <v>49</v>
      </c>
      <c r="AK65" s="11" t="s">
        <v>49</v>
      </c>
      <c r="AL65" s="11" t="s">
        <v>49</v>
      </c>
      <c r="AM65" s="11" t="s">
        <v>56</v>
      </c>
      <c r="AN65" s="11" t="s">
        <v>49</v>
      </c>
      <c r="AO65" s="34" t="s">
        <v>56</v>
      </c>
      <c r="AP65" s="11"/>
      <c r="AQ65" s="11"/>
      <c r="AR65" s="8">
        <v>12732.83</v>
      </c>
      <c r="AS65" s="6"/>
      <c r="AT65" s="8">
        <v>7339.2</v>
      </c>
      <c r="AU65" s="6"/>
      <c r="AV65" s="8">
        <v>1880.64</v>
      </c>
      <c r="AW65" s="6"/>
      <c r="AX65" s="8">
        <v>2317.37</v>
      </c>
      <c r="AY65" s="6"/>
      <c r="AZ65" s="8">
        <v>1129.4000000000001</v>
      </c>
      <c r="BA65" s="6"/>
      <c r="BB65" s="6">
        <v>66.209999999999994</v>
      </c>
      <c r="BC65" s="6"/>
      <c r="BD65" s="41">
        <f t="shared" si="15"/>
        <v>0</v>
      </c>
      <c r="BE65" s="6"/>
      <c r="BF65" s="6"/>
      <c r="BG65" s="6"/>
      <c r="BH65" s="6"/>
      <c r="BI65" s="6"/>
      <c r="BJ65" s="6"/>
      <c r="BK65" s="6"/>
      <c r="BL65" s="6"/>
      <c r="BM65" s="6"/>
      <c r="BN65" s="6"/>
      <c r="BO65" s="6"/>
      <c r="BP65" s="64" t="e">
        <f t="shared" si="16"/>
        <v>#DIV/0!</v>
      </c>
      <c r="BQ65" s="65" t="e">
        <f t="shared" si="17"/>
        <v>#DIV/0!</v>
      </c>
    </row>
    <row r="66" spans="1:69" ht="30">
      <c r="A66" s="75" t="s">
        <v>31</v>
      </c>
      <c r="B66" s="80" t="s">
        <v>477</v>
      </c>
      <c r="C66" s="80" t="s">
        <v>478</v>
      </c>
      <c r="D66" s="75" t="s">
        <v>143</v>
      </c>
      <c r="E66" s="75" t="s">
        <v>185</v>
      </c>
      <c r="F66" s="11">
        <v>14.974500000000001</v>
      </c>
      <c r="G66" s="11">
        <v>120.52809999999999</v>
      </c>
      <c r="H66" s="4" t="str">
        <f t="shared" ref="H66:H97" si="23">CONCATENATE(F66,",",G66)</f>
        <v>14.9745,120.5281</v>
      </c>
      <c r="I66" s="4" t="s">
        <v>48</v>
      </c>
      <c r="J66" s="4" t="s">
        <v>479</v>
      </c>
      <c r="K66" s="11" t="s">
        <v>218</v>
      </c>
      <c r="L66" s="11">
        <v>2018</v>
      </c>
      <c r="M66" s="11">
        <v>2027</v>
      </c>
      <c r="N66" s="11"/>
      <c r="O66" s="4" t="s">
        <v>76</v>
      </c>
      <c r="P66" s="11" t="s">
        <v>33</v>
      </c>
      <c r="Q66" s="76"/>
      <c r="R66" s="76" t="s">
        <v>148</v>
      </c>
      <c r="S66" s="363" t="s">
        <v>480</v>
      </c>
      <c r="T66" s="34">
        <v>45762</v>
      </c>
      <c r="U66" s="34">
        <v>45763</v>
      </c>
      <c r="V66" s="34"/>
      <c r="W66" s="34">
        <v>45768</v>
      </c>
      <c r="X66" s="34">
        <v>45768</v>
      </c>
      <c r="Y66" s="45">
        <f t="shared" si="20"/>
        <v>1</v>
      </c>
      <c r="Z66" s="45" t="str">
        <f t="shared" si="18"/>
        <v/>
      </c>
      <c r="AA66" s="45">
        <f t="shared" si="22"/>
        <v>3</v>
      </c>
      <c r="AB66" s="644">
        <f t="shared" si="19"/>
        <v>1</v>
      </c>
      <c r="AC66" s="7" t="s">
        <v>150</v>
      </c>
      <c r="AD66" s="11">
        <v>0.38700000000000001</v>
      </c>
      <c r="AE66" s="11">
        <v>56310.822</v>
      </c>
      <c r="AF66" s="353">
        <v>0.63</v>
      </c>
      <c r="AG66" s="7" t="s">
        <v>361</v>
      </c>
      <c r="AH66" s="645" t="s">
        <v>151</v>
      </c>
      <c r="AI66" s="11" t="s">
        <v>49</v>
      </c>
      <c r="AJ66" s="11" t="s">
        <v>49</v>
      </c>
      <c r="AK66" s="11" t="s">
        <v>49</v>
      </c>
      <c r="AL66" s="11" t="s">
        <v>49</v>
      </c>
      <c r="AM66" s="11" t="s">
        <v>49</v>
      </c>
      <c r="AN66" s="11" t="s">
        <v>49</v>
      </c>
      <c r="AO66" s="34"/>
      <c r="AP66" s="11"/>
      <c r="AQ66" s="11"/>
      <c r="AR66" s="8">
        <v>61478.31</v>
      </c>
      <c r="AS66" s="6"/>
      <c r="AT66" s="8">
        <v>21886.28</v>
      </c>
      <c r="AU66" s="6"/>
      <c r="AV66" s="8">
        <v>14631.84</v>
      </c>
      <c r="AW66" s="6"/>
      <c r="AX66" s="8">
        <v>14742.5</v>
      </c>
      <c r="AY66" s="6"/>
      <c r="AZ66" s="8">
        <v>8994.2800000000007</v>
      </c>
      <c r="BA66" s="6"/>
      <c r="BB66" s="8">
        <v>1223.42</v>
      </c>
      <c r="BC66" s="6"/>
      <c r="BD66" s="41">
        <f t="shared" ref="BD66:BD97" si="24">SUM(BF66,BH66,BJ66,BL66,BN66)</f>
        <v>0</v>
      </c>
      <c r="BE66" s="6"/>
      <c r="BF66" s="6"/>
      <c r="BG66" s="6"/>
      <c r="BH66" s="6"/>
      <c r="BI66" s="6"/>
      <c r="BJ66" s="6"/>
      <c r="BK66" s="6"/>
      <c r="BL66" s="6"/>
      <c r="BM66" s="6"/>
      <c r="BN66" s="6"/>
      <c r="BO66" s="6"/>
      <c r="BP66" s="64" t="e">
        <f t="shared" ref="BP66:BP97" si="25">SUM(BF66,BH66,BJ66)/BD66*100</f>
        <v>#DIV/0!</v>
      </c>
      <c r="BQ66" s="65" t="e">
        <f t="shared" ref="BQ66:BQ97" si="26">SUM(BL66,BN66)/BD66*100</f>
        <v>#DIV/0!</v>
      </c>
    </row>
    <row r="67" spans="1:69">
      <c r="A67" s="75" t="s">
        <v>31</v>
      </c>
      <c r="B67" s="80" t="s">
        <v>481</v>
      </c>
      <c r="C67" s="80" t="s">
        <v>482</v>
      </c>
      <c r="D67" s="75" t="s">
        <v>143</v>
      </c>
      <c r="E67" s="9" t="s">
        <v>185</v>
      </c>
      <c r="F67" s="11">
        <v>15.0732</v>
      </c>
      <c r="G67" s="11">
        <v>120.5406</v>
      </c>
      <c r="H67" s="4" t="str">
        <f t="shared" si="23"/>
        <v>15.0732,120.5406</v>
      </c>
      <c r="I67" s="4" t="s">
        <v>48</v>
      </c>
      <c r="J67" s="4" t="s">
        <v>483</v>
      </c>
      <c r="K67" s="11" t="s">
        <v>218</v>
      </c>
      <c r="L67" s="11">
        <v>2018</v>
      </c>
      <c r="M67" s="11">
        <v>2027</v>
      </c>
      <c r="N67" s="11"/>
      <c r="O67" s="4" t="s">
        <v>76</v>
      </c>
      <c r="P67" s="11" t="s">
        <v>33</v>
      </c>
      <c r="Q67" s="76"/>
      <c r="R67" s="76" t="s">
        <v>148</v>
      </c>
      <c r="S67" s="363" t="s">
        <v>484</v>
      </c>
      <c r="T67" s="34">
        <v>45758</v>
      </c>
      <c r="U67" s="34">
        <v>45758</v>
      </c>
      <c r="V67" s="34"/>
      <c r="W67" s="34">
        <v>45768</v>
      </c>
      <c r="X67" s="34">
        <v>45768</v>
      </c>
      <c r="Y67" s="45">
        <f t="shared" si="20"/>
        <v>1</v>
      </c>
      <c r="Z67" s="45" t="str">
        <f t="shared" si="18"/>
        <v/>
      </c>
      <c r="AA67" s="45">
        <f t="shared" si="22"/>
        <v>6</v>
      </c>
      <c r="AB67" s="644">
        <f t="shared" si="19"/>
        <v>1</v>
      </c>
      <c r="AC67" s="7" t="s">
        <v>150</v>
      </c>
      <c r="AD67" s="11">
        <v>0.66</v>
      </c>
      <c r="AE67" s="11">
        <v>92895.66</v>
      </c>
      <c r="AF67" s="11">
        <v>100</v>
      </c>
      <c r="AG67" s="7" t="s">
        <v>292</v>
      </c>
      <c r="AH67" s="645" t="str">
        <f>IF(AND(AI67 = "YES", AJ67 = "YES", AK67 = "YES", AL67 = "YES", AN67 = "YES"), "Compliant", "Not Compliant")</f>
        <v>Not Compliant</v>
      </c>
      <c r="AI67" s="11" t="s">
        <v>56</v>
      </c>
      <c r="AJ67" s="11" t="s">
        <v>56</v>
      </c>
      <c r="AK67" s="11" t="s">
        <v>56</v>
      </c>
      <c r="AL67" s="11" t="s">
        <v>49</v>
      </c>
      <c r="AM67" s="11" t="s">
        <v>69</v>
      </c>
      <c r="AN67" s="11" t="s">
        <v>49</v>
      </c>
      <c r="AO67" s="34" t="s">
        <v>56</v>
      </c>
      <c r="AP67" s="11"/>
      <c r="AQ67" s="11"/>
      <c r="AR67" s="8">
        <v>118734.13</v>
      </c>
      <c r="AS67" s="6"/>
      <c r="AT67" s="8">
        <v>59462.05</v>
      </c>
      <c r="AU67" s="6"/>
      <c r="AV67" s="8">
        <v>16622.78</v>
      </c>
      <c r="AW67" s="6"/>
      <c r="AX67" s="8">
        <v>15803.51</v>
      </c>
      <c r="AY67" s="6"/>
      <c r="AZ67" s="8">
        <v>26406.47</v>
      </c>
      <c r="BA67" s="6"/>
      <c r="BB67" s="6">
        <v>439.32</v>
      </c>
      <c r="BC67" s="6"/>
      <c r="BD67" s="41">
        <f t="shared" si="24"/>
        <v>0</v>
      </c>
      <c r="BE67" s="6"/>
      <c r="BF67" s="6"/>
      <c r="BG67" s="6"/>
      <c r="BH67" s="6"/>
      <c r="BI67" s="6"/>
      <c r="BJ67" s="6"/>
      <c r="BK67" s="6"/>
      <c r="BL67" s="6"/>
      <c r="BM67" s="6"/>
      <c r="BN67" s="6"/>
      <c r="BO67" s="6"/>
      <c r="BP67" s="64" t="e">
        <f t="shared" si="25"/>
        <v>#DIV/0!</v>
      </c>
      <c r="BQ67" s="65" t="e">
        <f t="shared" si="26"/>
        <v>#DIV/0!</v>
      </c>
    </row>
    <row r="68" spans="1:69">
      <c r="A68" s="75" t="s">
        <v>36</v>
      </c>
      <c r="B68" s="80" t="s">
        <v>485</v>
      </c>
      <c r="C68" s="80" t="s">
        <v>486</v>
      </c>
      <c r="D68" s="75" t="s">
        <v>159</v>
      </c>
      <c r="E68" s="9" t="s">
        <v>160</v>
      </c>
      <c r="F68" s="11">
        <v>15.665793000000001</v>
      </c>
      <c r="G68" s="11">
        <v>120.6392786</v>
      </c>
      <c r="H68" s="4" t="str">
        <f t="shared" si="23"/>
        <v>15.665793,120.6392786</v>
      </c>
      <c r="I68" s="4" t="s">
        <v>48</v>
      </c>
      <c r="J68" s="7" t="s">
        <v>487</v>
      </c>
      <c r="K68" s="11" t="s">
        <v>245</v>
      </c>
      <c r="L68" s="11">
        <v>2021</v>
      </c>
      <c r="M68" s="11">
        <v>2029</v>
      </c>
      <c r="N68" s="11"/>
      <c r="O68" s="4" t="s">
        <v>76</v>
      </c>
      <c r="P68" s="11" t="s">
        <v>38</v>
      </c>
      <c r="Q68" s="71"/>
      <c r="R68" s="71" t="s">
        <v>328</v>
      </c>
      <c r="S68" s="363" t="s">
        <v>488</v>
      </c>
      <c r="T68" s="34">
        <v>45750</v>
      </c>
      <c r="U68" s="34">
        <v>45753</v>
      </c>
      <c r="V68" s="34"/>
      <c r="W68" s="34">
        <v>45754</v>
      </c>
      <c r="X68" s="10">
        <v>45757</v>
      </c>
      <c r="Y68" s="45">
        <f t="shared" si="20"/>
        <v>1</v>
      </c>
      <c r="Z68" s="45" t="str">
        <f t="shared" si="18"/>
        <v/>
      </c>
      <c r="AA68" s="45">
        <f>IF(
    OR(ISBLANK(U68), ISBLANK(W68)),
    "",
    MAX(1, IF(
        NETWORKDAYS(U68, W68) &lt;= 0,
        1,
        NETWORKDAYS(U68, W68) - IF(U68 = W68, 0, 1)
    ))
)</f>
        <v>1</v>
      </c>
      <c r="AB68" s="644">
        <f t="shared" si="19"/>
        <v>3</v>
      </c>
      <c r="AC68" s="7" t="s">
        <v>150</v>
      </c>
      <c r="AD68" s="11">
        <v>0.23</v>
      </c>
      <c r="AE68" s="82">
        <v>5164.88</v>
      </c>
      <c r="AF68" s="353">
        <v>1</v>
      </c>
      <c r="AG68" s="7" t="s">
        <v>489</v>
      </c>
      <c r="AH68" s="645" t="s">
        <v>151</v>
      </c>
      <c r="AI68" s="11" t="s">
        <v>49</v>
      </c>
      <c r="AJ68" s="11" t="s">
        <v>49</v>
      </c>
      <c r="AK68" s="11" t="s">
        <v>49</v>
      </c>
      <c r="AL68" s="11" t="s">
        <v>49</v>
      </c>
      <c r="AM68" s="11"/>
      <c r="AN68" s="11" t="s">
        <v>49</v>
      </c>
      <c r="AO68" s="34"/>
      <c r="AP68" s="11"/>
      <c r="AQ68" s="11"/>
      <c r="AR68" s="8">
        <v>6047.06</v>
      </c>
      <c r="AS68" s="6"/>
      <c r="AT68" s="8">
        <v>1911.48</v>
      </c>
      <c r="AU68" s="6"/>
      <c r="AV68" s="8">
        <v>1700.43</v>
      </c>
      <c r="AW68" s="6"/>
      <c r="AX68" s="8">
        <v>1700.43</v>
      </c>
      <c r="AY68" s="6"/>
      <c r="AZ68" s="6">
        <v>143.91999999999999</v>
      </c>
      <c r="BA68" s="6"/>
      <c r="BB68" s="6">
        <v>590.79999999999995</v>
      </c>
      <c r="BC68" s="6"/>
      <c r="BD68" s="41">
        <f t="shared" si="24"/>
        <v>0</v>
      </c>
      <c r="BE68" s="6"/>
      <c r="BF68" s="6"/>
      <c r="BG68" s="6"/>
      <c r="BH68" s="6"/>
      <c r="BI68" s="6"/>
      <c r="BJ68" s="6"/>
      <c r="BK68" s="6"/>
      <c r="BL68" s="6"/>
      <c r="BM68" s="6"/>
      <c r="BN68" s="6"/>
      <c r="BO68" s="6"/>
      <c r="BP68" s="64" t="e">
        <f t="shared" si="25"/>
        <v>#DIV/0!</v>
      </c>
      <c r="BQ68" s="65" t="e">
        <f t="shared" si="26"/>
        <v>#DIV/0!</v>
      </c>
    </row>
    <row r="69" spans="1:69">
      <c r="A69" s="75" t="s">
        <v>40</v>
      </c>
      <c r="B69" s="80" t="s">
        <v>490</v>
      </c>
      <c r="C69" s="80" t="s">
        <v>491</v>
      </c>
      <c r="D69" s="75" t="s">
        <v>159</v>
      </c>
      <c r="E69" s="75" t="s">
        <v>185</v>
      </c>
      <c r="F69" s="11">
        <v>15.327714</v>
      </c>
      <c r="G69" s="11">
        <v>119.976389</v>
      </c>
      <c r="H69" s="4" t="str">
        <f t="shared" si="23"/>
        <v>15.327714,119.976389</v>
      </c>
      <c r="I69" s="4" t="s">
        <v>48</v>
      </c>
      <c r="J69" s="7" t="s">
        <v>492</v>
      </c>
      <c r="K69" s="11" t="s">
        <v>245</v>
      </c>
      <c r="L69" s="11">
        <v>2021</v>
      </c>
      <c r="M69" s="11">
        <v>2029</v>
      </c>
      <c r="N69" s="11"/>
      <c r="O69" s="4" t="s">
        <v>76</v>
      </c>
      <c r="P69" s="11"/>
      <c r="Q69" s="71" t="s">
        <v>163</v>
      </c>
      <c r="R69" s="71" t="s">
        <v>164</v>
      </c>
      <c r="S69" s="363" t="s">
        <v>493</v>
      </c>
      <c r="T69" s="34">
        <v>45737</v>
      </c>
      <c r="U69" s="34">
        <v>45737</v>
      </c>
      <c r="V69" s="34">
        <v>45747</v>
      </c>
      <c r="W69" s="34">
        <v>45747</v>
      </c>
      <c r="X69" s="34">
        <v>45749</v>
      </c>
      <c r="Y69" s="45">
        <f t="shared" si="20"/>
        <v>1</v>
      </c>
      <c r="Z69" s="45">
        <f t="shared" si="18"/>
        <v>6</v>
      </c>
      <c r="AA69" s="45">
        <f>IF(
    OR(ISBLANK(U69), ISBLANK(W69)),
    "",
    MAX(1, IF(
        NETWORKDAYS(U69, W69) &lt;= 0,
        1,
        NETWORKDAYS(U69, W69) - IF(U69 = W69, 0, 1)
    ))
)</f>
        <v>6</v>
      </c>
      <c r="AB69" s="644">
        <f t="shared" si="19"/>
        <v>2</v>
      </c>
      <c r="AC69" s="7" t="s">
        <v>150</v>
      </c>
      <c r="AD69" s="11">
        <v>0.501</v>
      </c>
      <c r="AE69" s="82">
        <v>27846.080000000002</v>
      </c>
      <c r="AF69" s="83">
        <v>0.74980000000000002</v>
      </c>
      <c r="AG69" s="318" t="s">
        <v>166</v>
      </c>
      <c r="AH69" s="645" t="s">
        <v>151</v>
      </c>
      <c r="AI69" s="11" t="s">
        <v>49</v>
      </c>
      <c r="AJ69" s="11" t="s">
        <v>49</v>
      </c>
      <c r="AK69" s="11" t="s">
        <v>49</v>
      </c>
      <c r="AL69" s="11" t="s">
        <v>49</v>
      </c>
      <c r="AM69" s="11"/>
      <c r="AN69" s="11" t="s">
        <v>49</v>
      </c>
      <c r="AO69" s="34"/>
      <c r="AP69" s="11"/>
      <c r="AQ69" s="11"/>
      <c r="AR69" s="8">
        <v>27172.1</v>
      </c>
      <c r="AS69" s="6"/>
      <c r="AT69" s="8">
        <v>12298.09</v>
      </c>
      <c r="AU69" s="6"/>
      <c r="AV69" s="8">
        <v>6018.62</v>
      </c>
      <c r="AW69" s="6"/>
      <c r="AX69" s="8">
        <v>2059.65</v>
      </c>
      <c r="AY69" s="6"/>
      <c r="AZ69" s="8">
        <v>6303.93</v>
      </c>
      <c r="BA69" s="6"/>
      <c r="BB69" s="6">
        <v>491.82</v>
      </c>
      <c r="BC69" s="6"/>
      <c r="BD69" s="41">
        <f t="shared" si="24"/>
        <v>0</v>
      </c>
      <c r="BE69" s="6"/>
      <c r="BF69" s="6"/>
      <c r="BG69" s="6"/>
      <c r="BH69" s="6"/>
      <c r="BI69" s="6"/>
      <c r="BJ69" s="6"/>
      <c r="BK69" s="6"/>
      <c r="BL69" s="6"/>
      <c r="BM69" s="6"/>
      <c r="BN69" s="6"/>
      <c r="BO69" s="6"/>
      <c r="BP69" s="64" t="e">
        <f t="shared" si="25"/>
        <v>#DIV/0!</v>
      </c>
      <c r="BQ69" s="65" t="e">
        <f t="shared" si="26"/>
        <v>#DIV/0!</v>
      </c>
    </row>
    <row r="70" spans="1:69" ht="30">
      <c r="A70" s="75" t="s">
        <v>16</v>
      </c>
      <c r="B70" s="80" t="s">
        <v>494</v>
      </c>
      <c r="C70" s="80" t="s">
        <v>495</v>
      </c>
      <c r="D70" s="75" t="s">
        <v>143</v>
      </c>
      <c r="E70" s="75" t="s">
        <v>144</v>
      </c>
      <c r="F70" s="9">
        <v>14.607148</v>
      </c>
      <c r="G70" s="9">
        <v>120.40199699999999</v>
      </c>
      <c r="H70" s="4" t="str">
        <f t="shared" si="23"/>
        <v>14.607148,120.401997</v>
      </c>
      <c r="I70" s="4" t="s">
        <v>48</v>
      </c>
      <c r="J70" s="4" t="s">
        <v>496</v>
      </c>
      <c r="K70" s="9" t="s">
        <v>155</v>
      </c>
      <c r="L70" s="9">
        <v>2017</v>
      </c>
      <c r="M70" s="9">
        <v>2024</v>
      </c>
      <c r="N70" s="11" t="s">
        <v>98</v>
      </c>
      <c r="O70" s="9" t="s">
        <v>77</v>
      </c>
      <c r="P70" s="9" t="s">
        <v>19</v>
      </c>
      <c r="Q70" s="71"/>
      <c r="R70" s="71" t="s">
        <v>180</v>
      </c>
      <c r="S70" s="374" t="s">
        <v>497</v>
      </c>
      <c r="T70" s="36">
        <v>45790</v>
      </c>
      <c r="U70" s="36">
        <v>45796</v>
      </c>
      <c r="V70" s="34"/>
      <c r="W70" s="36">
        <v>45796</v>
      </c>
      <c r="X70" s="34">
        <v>45797</v>
      </c>
      <c r="Y70" s="45">
        <v>4</v>
      </c>
      <c r="Z70" s="45"/>
      <c r="AA70" s="45">
        <f>IF(
  OR(IF(V70&lt;&gt;"", V70, U70)="", W70=""),
  "",
  MAX(1,
    IF(
      NETWORKDAYS(IF(V70&lt;&gt;"", V70, U70), W70) &lt;= 0,
      1,
      NETWORKDAYS(IF(V70&lt;&gt;"", V70, U70), W70) - IF(IF(V70&lt;&gt;"", V70, U70)=W70, 0, 1)
    )
  )
)</f>
        <v>1</v>
      </c>
      <c r="AB70" s="644">
        <f t="shared" si="19"/>
        <v>1</v>
      </c>
      <c r="AC70" s="7" t="s">
        <v>150</v>
      </c>
      <c r="AD70" s="11">
        <v>0.752</v>
      </c>
      <c r="AE70" s="82">
        <v>26749.09</v>
      </c>
      <c r="AF70" s="121">
        <v>58.24</v>
      </c>
      <c r="AG70" s="7" t="s">
        <v>498</v>
      </c>
      <c r="AH70" s="645" t="str">
        <f>IF(AND(AI70 = "YES", AJ70 = "YES", AK70 = "YES", AL70 = "YES", AN70 = "YES"), "Compliant", "Not Compliant")</f>
        <v>Compliant</v>
      </c>
      <c r="AI70" s="11" t="s">
        <v>49</v>
      </c>
      <c r="AJ70" s="11" t="s">
        <v>49</v>
      </c>
      <c r="AK70" s="11" t="s">
        <v>49</v>
      </c>
      <c r="AL70" s="11" t="s">
        <v>49</v>
      </c>
      <c r="AM70" s="11" t="s">
        <v>49</v>
      </c>
      <c r="AN70" s="11" t="s">
        <v>49</v>
      </c>
      <c r="AO70" s="33"/>
      <c r="AP70" s="4"/>
      <c r="AQ70" s="11"/>
      <c r="AR70" s="8">
        <v>17195.439999999999</v>
      </c>
      <c r="AS70" s="6"/>
      <c r="AT70" s="8">
        <v>9500.48</v>
      </c>
      <c r="AU70" s="6"/>
      <c r="AV70" s="8">
        <v>4553.3500000000004</v>
      </c>
      <c r="AW70" s="6"/>
      <c r="AX70" s="8">
        <v>1621.53</v>
      </c>
      <c r="AY70" s="6"/>
      <c r="AZ70" s="8">
        <v>1501.16</v>
      </c>
      <c r="BA70" s="6"/>
      <c r="BB70" s="6">
        <v>18.91</v>
      </c>
      <c r="BC70" s="6"/>
      <c r="BD70" s="41">
        <f t="shared" si="24"/>
        <v>0</v>
      </c>
      <c r="BE70" s="6"/>
      <c r="BF70" s="6"/>
      <c r="BG70" s="6"/>
      <c r="BH70" s="6"/>
      <c r="BI70" s="6"/>
      <c r="BJ70" s="6"/>
      <c r="BK70" s="6"/>
      <c r="BL70" s="6"/>
      <c r="BM70" s="6"/>
      <c r="BN70" s="6"/>
      <c r="BO70" s="6"/>
      <c r="BP70" s="64" t="e">
        <f t="shared" si="25"/>
        <v>#DIV/0!</v>
      </c>
      <c r="BQ70" s="65" t="e">
        <f t="shared" si="26"/>
        <v>#DIV/0!</v>
      </c>
    </row>
    <row r="71" spans="1:69">
      <c r="A71" s="75" t="s">
        <v>16</v>
      </c>
      <c r="B71" s="80" t="s">
        <v>499</v>
      </c>
      <c r="C71" s="80" t="s">
        <v>500</v>
      </c>
      <c r="D71" s="75" t="s">
        <v>143</v>
      </c>
      <c r="E71" s="75" t="s">
        <v>144</v>
      </c>
      <c r="F71" s="9">
        <v>14.678464</v>
      </c>
      <c r="G71" s="9">
        <v>120.265204</v>
      </c>
      <c r="H71" s="4" t="str">
        <f t="shared" si="23"/>
        <v>14.678464,120.265204</v>
      </c>
      <c r="I71" s="4" t="s">
        <v>48</v>
      </c>
      <c r="J71" s="4" t="s">
        <v>501</v>
      </c>
      <c r="K71" s="9" t="s">
        <v>199</v>
      </c>
      <c r="L71" s="9">
        <v>2018</v>
      </c>
      <c r="M71" s="9">
        <v>2027</v>
      </c>
      <c r="N71" s="9"/>
      <c r="O71" s="9" t="s">
        <v>77</v>
      </c>
      <c r="P71" s="9" t="s">
        <v>19</v>
      </c>
      <c r="Q71" s="71"/>
      <c r="R71" s="71" t="s">
        <v>180</v>
      </c>
      <c r="S71" s="760" t="s">
        <v>502</v>
      </c>
      <c r="T71" s="34">
        <v>45793</v>
      </c>
      <c r="U71" s="36">
        <v>45796</v>
      </c>
      <c r="V71" s="34"/>
      <c r="W71" s="36">
        <v>45796</v>
      </c>
      <c r="X71" s="34">
        <v>45797</v>
      </c>
      <c r="Y71" s="45">
        <f t="shared" ref="Y71:Y102" si="27">IF(
    OR(ISBLANK(T71), ISBLANK(U71)),
    "",
    MAX(1, IF(
        NETWORKDAYS(T71, U71) &lt;= 0,
        1,
        NETWORKDAYS(T71, U71) - IF(T71 = U71, 0, 1)
    ))
)</f>
        <v>1</v>
      </c>
      <c r="Z71" s="45" t="str">
        <f t="shared" ref="Z71:Z102" si="28">IF(
    OR(ISBLANK(U71), ISBLANK(V71)),
    "",
    MAX(1, IF(
        NETWORKDAYS(U71, V71) &lt;= 0,
        1,
        NETWORKDAYS(U71, V71) - IF(U71 = V71, 0, 1)
    ))
)</f>
        <v/>
      </c>
      <c r="AA71" s="45">
        <f>IF(
  OR(IF(V71&lt;&gt;"", V71, U71)="", W71=""),
  "",
  MAX(1,
    IF(
      NETWORKDAYS(IF(V71&lt;&gt;"", V71, U71), W71) &lt;= 0,
      1,
      NETWORKDAYS(IF(V71&lt;&gt;"", V71, U71), W71) - IF(IF(V71&lt;&gt;"", V71, U71)=W71, 0, 1)
    )
  )
)</f>
        <v>1</v>
      </c>
      <c r="AB71" s="644">
        <f t="shared" si="19"/>
        <v>1</v>
      </c>
      <c r="AC71" s="7" t="s">
        <v>150</v>
      </c>
      <c r="AD71" s="11">
        <v>0.35899999999999999</v>
      </c>
      <c r="AE71" s="82">
        <v>12879.79</v>
      </c>
      <c r="AF71" s="121">
        <v>81</v>
      </c>
      <c r="AG71" s="7" t="s">
        <v>503</v>
      </c>
      <c r="AH71" s="645" t="s">
        <v>151</v>
      </c>
      <c r="AI71" s="11" t="s">
        <v>49</v>
      </c>
      <c r="AJ71" s="11" t="s">
        <v>49</v>
      </c>
      <c r="AK71" s="11" t="s">
        <v>49</v>
      </c>
      <c r="AL71" s="7"/>
      <c r="AM71" s="11" t="s">
        <v>49</v>
      </c>
      <c r="AN71" s="11" t="s">
        <v>49</v>
      </c>
      <c r="AO71" s="34"/>
      <c r="AP71" s="4"/>
      <c r="AQ71" s="11"/>
      <c r="AR71" s="8">
        <v>17751.27</v>
      </c>
      <c r="AS71" s="6"/>
      <c r="AT71" s="8">
        <v>9949.59</v>
      </c>
      <c r="AU71" s="6"/>
      <c r="AV71" s="8">
        <v>2476.3000000000002</v>
      </c>
      <c r="AW71" s="6"/>
      <c r="AX71" s="8">
        <v>2119.5</v>
      </c>
      <c r="AY71" s="6"/>
      <c r="AZ71" s="8">
        <v>3149.08</v>
      </c>
      <c r="BA71" s="6"/>
      <c r="BB71" s="6">
        <v>56.8</v>
      </c>
      <c r="BC71" s="6"/>
      <c r="BD71" s="41">
        <f t="shared" si="24"/>
        <v>0</v>
      </c>
      <c r="BE71" s="6"/>
      <c r="BF71" s="6"/>
      <c r="BG71" s="6"/>
      <c r="BH71" s="6"/>
      <c r="BI71" s="6"/>
      <c r="BJ71" s="6"/>
      <c r="BK71" s="6"/>
      <c r="BL71" s="6"/>
      <c r="BM71" s="6"/>
      <c r="BN71" s="6"/>
      <c r="BO71" s="6"/>
      <c r="BP71" s="64" t="e">
        <f t="shared" si="25"/>
        <v>#DIV/0!</v>
      </c>
      <c r="BQ71" s="65" t="e">
        <f t="shared" si="26"/>
        <v>#DIV/0!</v>
      </c>
    </row>
    <row r="72" spans="1:69">
      <c r="A72" s="75" t="s">
        <v>20</v>
      </c>
      <c r="B72" s="80" t="s">
        <v>504</v>
      </c>
      <c r="C72" s="80" t="s">
        <v>505</v>
      </c>
      <c r="D72" s="75" t="s">
        <v>143</v>
      </c>
      <c r="E72" s="75" t="s">
        <v>233</v>
      </c>
      <c r="F72" s="4">
        <v>14.774122</v>
      </c>
      <c r="G72" s="4">
        <v>120.959182</v>
      </c>
      <c r="H72" s="4" t="str">
        <f t="shared" si="23"/>
        <v>14.774122,120.959182</v>
      </c>
      <c r="I72" s="4" t="s">
        <v>48</v>
      </c>
      <c r="J72" s="4" t="s">
        <v>506</v>
      </c>
      <c r="K72" s="4" t="s">
        <v>507</v>
      </c>
      <c r="L72" s="4">
        <v>2020</v>
      </c>
      <c r="M72" s="4">
        <v>2029</v>
      </c>
      <c r="N72" s="4" t="s">
        <v>98</v>
      </c>
      <c r="O72" s="9" t="s">
        <v>77</v>
      </c>
      <c r="P72" s="4" t="s">
        <v>508</v>
      </c>
      <c r="Q72" s="71"/>
      <c r="R72" s="77" t="s">
        <v>201</v>
      </c>
      <c r="S72" s="7" t="s">
        <v>509</v>
      </c>
      <c r="T72" s="359">
        <v>45793</v>
      </c>
      <c r="U72" s="33">
        <v>45796</v>
      </c>
      <c r="V72" s="33"/>
      <c r="W72" s="33">
        <v>45797</v>
      </c>
      <c r="X72" s="34">
        <v>45797</v>
      </c>
      <c r="Y72" s="45">
        <f t="shared" si="27"/>
        <v>1</v>
      </c>
      <c r="Z72" s="45" t="str">
        <f t="shared" si="28"/>
        <v/>
      </c>
      <c r="AA72" s="45">
        <f>IF(
  OR(IF(V72&lt;&gt;"", V72, U72)="", W72=""),
  "",
  MAX(1,
    IF(
      NETWORKDAYS(IF(V72&lt;&gt;"", V72, U72), W72) &lt;= 0,
      1,
      NETWORKDAYS(IF(V72&lt;&gt;"", V72, U72), W72) - IF(IF(V72&lt;&gt;"", V72, U72)=W72, 0, 1)
    )
  )
)</f>
        <v>1</v>
      </c>
      <c r="AB72" s="644">
        <f t="shared" si="19"/>
        <v>1</v>
      </c>
      <c r="AC72" s="7" t="s">
        <v>150</v>
      </c>
      <c r="AD72" s="11">
        <v>0.35570000000000002</v>
      </c>
      <c r="AE72" s="82">
        <v>91843.79</v>
      </c>
      <c r="AF72" s="121">
        <v>77.44</v>
      </c>
      <c r="AG72" s="7" t="s">
        <v>330</v>
      </c>
      <c r="AH72" s="645" t="s">
        <v>151</v>
      </c>
      <c r="AI72" s="7" t="s">
        <v>49</v>
      </c>
      <c r="AJ72" s="7" t="s">
        <v>49</v>
      </c>
      <c r="AK72" s="7" t="s">
        <v>49</v>
      </c>
      <c r="AL72" s="7" t="s">
        <v>49</v>
      </c>
      <c r="AM72" s="7" t="s">
        <v>49</v>
      </c>
      <c r="AN72" s="7" t="s">
        <v>49</v>
      </c>
      <c r="AO72" s="33"/>
      <c r="AP72" s="4"/>
      <c r="AQ72" s="11"/>
      <c r="AR72" s="8">
        <v>119060.33</v>
      </c>
      <c r="AS72" s="6"/>
      <c r="AT72" s="8">
        <v>52112.71</v>
      </c>
      <c r="AU72" s="6"/>
      <c r="AV72" s="8">
        <v>27991.08</v>
      </c>
      <c r="AW72" s="6"/>
      <c r="AX72" s="8">
        <v>26586.17</v>
      </c>
      <c r="AY72" s="6"/>
      <c r="AZ72" s="8">
        <v>12013.19</v>
      </c>
      <c r="BA72" s="6"/>
      <c r="BB72" s="6">
        <v>357.18</v>
      </c>
      <c r="BC72" s="6"/>
      <c r="BD72" s="41">
        <f t="shared" si="24"/>
        <v>0</v>
      </c>
      <c r="BE72" s="6"/>
      <c r="BF72" s="6"/>
      <c r="BG72" s="6"/>
      <c r="BH72" s="6"/>
      <c r="BI72" s="6"/>
      <c r="BJ72" s="6"/>
      <c r="BK72" s="6"/>
      <c r="BL72" s="6"/>
      <c r="BM72" s="6"/>
      <c r="BN72" s="6"/>
      <c r="BO72" s="6"/>
      <c r="BP72" s="64" t="e">
        <f t="shared" si="25"/>
        <v>#DIV/0!</v>
      </c>
      <c r="BQ72" s="65" t="e">
        <f t="shared" si="26"/>
        <v>#DIV/0!</v>
      </c>
    </row>
    <row r="73" spans="1:69" ht="30">
      <c r="A73" s="75" t="s">
        <v>20</v>
      </c>
      <c r="B73" s="80" t="s">
        <v>510</v>
      </c>
      <c r="C73" s="80" t="s">
        <v>511</v>
      </c>
      <c r="D73" s="75" t="s">
        <v>143</v>
      </c>
      <c r="E73" s="75" t="s">
        <v>233</v>
      </c>
      <c r="F73" s="4">
        <v>14.774921000000001</v>
      </c>
      <c r="G73" s="4">
        <v>120.99868499999999</v>
      </c>
      <c r="H73" s="4" t="str">
        <f t="shared" si="23"/>
        <v>14.774921,120.998685</v>
      </c>
      <c r="I73" s="4" t="s">
        <v>48</v>
      </c>
      <c r="J73" s="4" t="s">
        <v>512</v>
      </c>
      <c r="K73" s="4" t="s">
        <v>513</v>
      </c>
      <c r="L73" s="4">
        <v>2019</v>
      </c>
      <c r="M73" s="4">
        <v>2028</v>
      </c>
      <c r="N73" s="4" t="s">
        <v>98</v>
      </c>
      <c r="O73" s="9" t="s">
        <v>77</v>
      </c>
      <c r="P73" s="9" t="s">
        <v>200</v>
      </c>
      <c r="Q73" s="71"/>
      <c r="R73" s="71" t="s">
        <v>201</v>
      </c>
      <c r="S73" s="135" t="s">
        <v>514</v>
      </c>
      <c r="T73" s="33">
        <v>45793</v>
      </c>
      <c r="U73" s="33">
        <v>45796</v>
      </c>
      <c r="V73" s="33"/>
      <c r="W73" s="33">
        <v>45797</v>
      </c>
      <c r="X73" s="34">
        <v>45797</v>
      </c>
      <c r="Y73" s="45">
        <f t="shared" si="27"/>
        <v>1</v>
      </c>
      <c r="Z73" s="45" t="str">
        <f t="shared" si="28"/>
        <v/>
      </c>
      <c r="AA73" s="45">
        <f>IF(
  OR(IF(V73&lt;&gt;"", V73, U73)="", W73=""),
  "",
  MAX(1,
    IF(
      NETWORKDAYS(IF(V73&lt;&gt;"", V73, U73), W73) &lt;= 0,
      1,
      NETWORKDAYS(IF(V73&lt;&gt;"", V73, U73), W73) - IF(IF(V73&lt;&gt;"", V73, U73)=W73, 0, 1)
    )
  )
)</f>
        <v>1</v>
      </c>
      <c r="AB73" s="644">
        <f t="shared" si="19"/>
        <v>1</v>
      </c>
      <c r="AC73" s="7" t="s">
        <v>150</v>
      </c>
      <c r="AD73" s="11">
        <v>0.59899999999999998</v>
      </c>
      <c r="AE73" s="82">
        <v>135178.12700000001</v>
      </c>
      <c r="AF73" s="121">
        <v>70.77</v>
      </c>
      <c r="AG73" s="7" t="s">
        <v>390</v>
      </c>
      <c r="AH73" s="645" t="s">
        <v>151</v>
      </c>
      <c r="AI73" s="7" t="s">
        <v>49</v>
      </c>
      <c r="AJ73" s="7" t="s">
        <v>49</v>
      </c>
      <c r="AK73" s="7" t="s">
        <v>49</v>
      </c>
      <c r="AL73" s="7" t="s">
        <v>49</v>
      </c>
      <c r="AM73" s="7" t="s">
        <v>56</v>
      </c>
      <c r="AN73" s="7" t="s">
        <v>49</v>
      </c>
      <c r="AO73" s="33" t="s">
        <v>56</v>
      </c>
      <c r="AP73" s="4"/>
      <c r="AQ73" s="11"/>
      <c r="AR73" s="8">
        <v>156879.74</v>
      </c>
      <c r="AS73" s="6"/>
      <c r="AT73" s="8">
        <v>54907.91</v>
      </c>
      <c r="AU73" s="6"/>
      <c r="AV73" s="8">
        <v>51817.38</v>
      </c>
      <c r="AW73" s="6"/>
      <c r="AX73" s="8">
        <v>4188.6899999999996</v>
      </c>
      <c r="AY73" s="6"/>
      <c r="AZ73" s="8">
        <v>43549.81</v>
      </c>
      <c r="BA73" s="6"/>
      <c r="BB73" s="8">
        <v>2415.9499999999998</v>
      </c>
      <c r="BC73" s="6"/>
      <c r="BD73" s="41">
        <f t="shared" si="24"/>
        <v>0</v>
      </c>
      <c r="BE73" s="6"/>
      <c r="BF73" s="6"/>
      <c r="BG73" s="6"/>
      <c r="BH73" s="6"/>
      <c r="BI73" s="6"/>
      <c r="BJ73" s="6"/>
      <c r="BK73" s="6"/>
      <c r="BL73" s="6"/>
      <c r="BM73" s="6"/>
      <c r="BN73" s="6"/>
      <c r="BO73" s="6"/>
      <c r="BP73" s="64" t="e">
        <f t="shared" si="25"/>
        <v>#DIV/0!</v>
      </c>
      <c r="BQ73" s="65" t="e">
        <f t="shared" si="26"/>
        <v>#DIV/0!</v>
      </c>
    </row>
    <row r="74" spans="1:69" ht="30">
      <c r="A74" s="75" t="s">
        <v>25</v>
      </c>
      <c r="B74" s="80" t="s">
        <v>515</v>
      </c>
      <c r="C74" s="80" t="s">
        <v>516</v>
      </c>
      <c r="D74" s="75" t="s">
        <v>143</v>
      </c>
      <c r="E74" s="75" t="s">
        <v>144</v>
      </c>
      <c r="F74" s="11">
        <v>15.563497</v>
      </c>
      <c r="G74" s="11">
        <v>121.10041</v>
      </c>
      <c r="H74" s="4" t="str">
        <f t="shared" si="23"/>
        <v>15.563497,121.10041</v>
      </c>
      <c r="I74" s="4" t="s">
        <v>48</v>
      </c>
      <c r="J74" s="4" t="s">
        <v>517</v>
      </c>
      <c r="K74" s="11" t="s">
        <v>199</v>
      </c>
      <c r="L74" s="11">
        <v>2019</v>
      </c>
      <c r="M74" s="11">
        <v>2027</v>
      </c>
      <c r="N74" s="11"/>
      <c r="O74" s="9" t="s">
        <v>77</v>
      </c>
      <c r="P74" s="11" t="s">
        <v>26</v>
      </c>
      <c r="Q74" s="71" t="s">
        <v>211</v>
      </c>
      <c r="R74" s="71" t="s">
        <v>212</v>
      </c>
      <c r="S74" s="374" t="s">
        <v>518</v>
      </c>
      <c r="T74" s="34">
        <v>45790</v>
      </c>
      <c r="U74" s="34">
        <v>45796</v>
      </c>
      <c r="V74" s="34">
        <v>45796</v>
      </c>
      <c r="W74" s="34">
        <v>45796</v>
      </c>
      <c r="X74" s="34">
        <v>45797</v>
      </c>
      <c r="Y74" s="45">
        <f t="shared" si="27"/>
        <v>4</v>
      </c>
      <c r="Z74" s="45">
        <f t="shared" si="28"/>
        <v>1</v>
      </c>
      <c r="AA74" s="45">
        <f>IF(
  OR(IF(V74&lt;&gt;"", V74, U74)="", W74=""),
  "",
  MAX(1,
    IF(
      NETWORKDAYS(IF(V74&lt;&gt;"", V74, U74), W74) &lt;= 0,
      1,
      NETWORKDAYS(IF(V74&lt;&gt;"", V74, U74), W74) - IF(IF(V74&lt;&gt;"", V74, U74)=W74, 0, 1)
    )
  )
)</f>
        <v>1</v>
      </c>
      <c r="AB74" s="644">
        <f t="shared" ref="AB74:AB105" si="29">IF(
    OR(ISBLANK(W74), ISBLANK(X74)),
    "",
    MAX(1, IF(
        NETWORKDAYS(W74, X74) &lt;= 0,
        1,
        NETWORKDAYS(W74, X74) - IF(W74 = X74, 0, 1)
    ))
)</f>
        <v>1</v>
      </c>
      <c r="AC74" s="7" t="s">
        <v>150</v>
      </c>
      <c r="AD74" s="11">
        <v>0.24</v>
      </c>
      <c r="AE74" s="82">
        <v>10661.52</v>
      </c>
      <c r="AF74" s="121">
        <v>67.819999999999993</v>
      </c>
      <c r="AG74" s="7" t="s">
        <v>519</v>
      </c>
      <c r="AH74" s="645" t="str">
        <f t="shared" ref="AH74:AH81" si="30">IF(AND(AI74 = "YES", AJ74 = "YES", AK74 = "YES", AL74 = "YES", AN74 = "YES"), "Compliant", "Not Compliant")</f>
        <v>Compliant</v>
      </c>
      <c r="AI74" s="11" t="s">
        <v>49</v>
      </c>
      <c r="AJ74" s="11" t="s">
        <v>49</v>
      </c>
      <c r="AK74" s="11" t="s">
        <v>49</v>
      </c>
      <c r="AL74" s="11" t="s">
        <v>49</v>
      </c>
      <c r="AM74" s="11" t="s">
        <v>49</v>
      </c>
      <c r="AN74" s="11" t="s">
        <v>49</v>
      </c>
      <c r="AO74" s="34"/>
      <c r="AP74" s="11"/>
      <c r="AQ74" s="11"/>
      <c r="AR74" s="8">
        <v>10153.06</v>
      </c>
      <c r="AS74" s="6"/>
      <c r="AT74" s="8">
        <v>4497.8100000000004</v>
      </c>
      <c r="AU74" s="6"/>
      <c r="AV74" s="8">
        <v>2388</v>
      </c>
      <c r="AW74" s="6"/>
      <c r="AX74" s="8">
        <v>1728.05</v>
      </c>
      <c r="AY74" s="6"/>
      <c r="AZ74" s="8">
        <v>1224.46</v>
      </c>
      <c r="BA74" s="6"/>
      <c r="BB74" s="6">
        <v>314.74</v>
      </c>
      <c r="BC74" s="6"/>
      <c r="BD74" s="41">
        <f t="shared" si="24"/>
        <v>0</v>
      </c>
      <c r="BE74" s="6"/>
      <c r="BF74" s="6"/>
      <c r="BG74" s="6"/>
      <c r="BH74" s="6"/>
      <c r="BI74" s="6"/>
      <c r="BJ74" s="6"/>
      <c r="BK74" s="6"/>
      <c r="BL74" s="6"/>
      <c r="BM74" s="6"/>
      <c r="BN74" s="6"/>
      <c r="BO74" s="6"/>
      <c r="BP74" s="64" t="e">
        <f t="shared" si="25"/>
        <v>#DIV/0!</v>
      </c>
      <c r="BQ74" s="65" t="e">
        <f t="shared" si="26"/>
        <v>#DIV/0!</v>
      </c>
    </row>
    <row r="75" spans="1:69">
      <c r="A75" s="75" t="s">
        <v>25</v>
      </c>
      <c r="B75" s="80" t="s">
        <v>520</v>
      </c>
      <c r="C75" s="80" t="s">
        <v>521</v>
      </c>
      <c r="D75" s="75" t="s">
        <v>159</v>
      </c>
      <c r="E75" s="75" t="s">
        <v>160</v>
      </c>
      <c r="F75" s="4">
        <v>15.778767999999999</v>
      </c>
      <c r="G75" s="4">
        <v>120.66394699999999</v>
      </c>
      <c r="H75" s="4" t="str">
        <f t="shared" si="23"/>
        <v>15.778768,120.663947</v>
      </c>
      <c r="I75" s="4" t="s">
        <v>48</v>
      </c>
      <c r="J75" s="4" t="s">
        <v>522</v>
      </c>
      <c r="K75" s="4" t="s">
        <v>199</v>
      </c>
      <c r="L75" s="4">
        <v>2019</v>
      </c>
      <c r="M75" s="4">
        <v>2027</v>
      </c>
      <c r="N75" s="4"/>
      <c r="O75" s="11" t="s">
        <v>77</v>
      </c>
      <c r="P75" s="9" t="s">
        <v>29</v>
      </c>
      <c r="Q75" s="71" t="s">
        <v>211</v>
      </c>
      <c r="R75" s="71" t="s">
        <v>212</v>
      </c>
      <c r="S75" s="375" t="s">
        <v>523</v>
      </c>
      <c r="T75" s="33">
        <v>45786</v>
      </c>
      <c r="U75" s="33">
        <v>45796</v>
      </c>
      <c r="V75" s="33">
        <v>45796</v>
      </c>
      <c r="W75" s="33">
        <v>45796</v>
      </c>
      <c r="X75" s="33">
        <v>45796</v>
      </c>
      <c r="Y75" s="45">
        <f t="shared" si="27"/>
        <v>6</v>
      </c>
      <c r="Z75" s="45">
        <f t="shared" si="28"/>
        <v>1</v>
      </c>
      <c r="AA75" s="45">
        <f>IF(
    OR(ISBLANK(U75), ISBLANK(W75)),
    "",
    MAX(1, IF(
        NETWORKDAYS(U75, W75) &lt;= 0,
        1,
        NETWORKDAYS(U75, W75) - IF(U75 = W75, 0, 1)
    ))
)</f>
        <v>1</v>
      </c>
      <c r="AB75" s="644">
        <f t="shared" si="29"/>
        <v>1</v>
      </c>
      <c r="AC75" s="7" t="s">
        <v>150</v>
      </c>
      <c r="AD75" s="11">
        <v>0.24</v>
      </c>
      <c r="AE75" s="82">
        <v>47696.28</v>
      </c>
      <c r="AF75" s="121">
        <v>79.55</v>
      </c>
      <c r="AG75" s="7" t="s">
        <v>524</v>
      </c>
      <c r="AH75" s="645" t="str">
        <f t="shared" si="30"/>
        <v>Compliant</v>
      </c>
      <c r="AI75" s="7" t="s">
        <v>49</v>
      </c>
      <c r="AJ75" s="7" t="s">
        <v>49</v>
      </c>
      <c r="AK75" s="7" t="s">
        <v>49</v>
      </c>
      <c r="AL75" s="7" t="s">
        <v>49</v>
      </c>
      <c r="AM75" s="7" t="s">
        <v>49</v>
      </c>
      <c r="AN75" s="7" t="s">
        <v>49</v>
      </c>
      <c r="AO75" s="33"/>
      <c r="AP75" s="4"/>
      <c r="AQ75" s="11"/>
      <c r="AR75" s="8">
        <v>35283.79</v>
      </c>
      <c r="AS75" s="6"/>
      <c r="AT75" s="8">
        <v>18019.43</v>
      </c>
      <c r="AU75" s="6"/>
      <c r="AV75" s="8">
        <v>10048.82</v>
      </c>
      <c r="AW75" s="6"/>
      <c r="AX75" s="8">
        <v>3228.47</v>
      </c>
      <c r="AY75" s="6"/>
      <c r="AZ75" s="8">
        <v>3306.09</v>
      </c>
      <c r="BA75" s="6"/>
      <c r="BB75" s="6">
        <v>680.98</v>
      </c>
      <c r="BC75" s="6"/>
      <c r="BD75" s="41">
        <f t="shared" si="24"/>
        <v>0</v>
      </c>
      <c r="BE75" s="6"/>
      <c r="BF75" s="6"/>
      <c r="BG75" s="6"/>
      <c r="BH75" s="6"/>
      <c r="BI75" s="6"/>
      <c r="BJ75" s="6"/>
      <c r="BK75" s="6"/>
      <c r="BL75" s="6"/>
      <c r="BM75" s="6"/>
      <c r="BN75" s="6"/>
      <c r="BO75" s="6"/>
      <c r="BP75" s="64" t="e">
        <f t="shared" si="25"/>
        <v>#DIV/0!</v>
      </c>
      <c r="BQ75" s="65" t="e">
        <f t="shared" si="26"/>
        <v>#DIV/0!</v>
      </c>
    </row>
    <row r="76" spans="1:69" ht="30">
      <c r="A76" s="75" t="s">
        <v>31</v>
      </c>
      <c r="B76" s="80" t="s">
        <v>525</v>
      </c>
      <c r="C76" s="80" t="s">
        <v>526</v>
      </c>
      <c r="D76" s="75" t="s">
        <v>143</v>
      </c>
      <c r="E76" s="9" t="s">
        <v>160</v>
      </c>
      <c r="F76" s="11">
        <v>15.244213</v>
      </c>
      <c r="G76" s="11">
        <v>120.56471500000001</v>
      </c>
      <c r="H76" s="4" t="str">
        <f t="shared" si="23"/>
        <v>15.244213,120.564715</v>
      </c>
      <c r="I76" s="4" t="s">
        <v>48</v>
      </c>
      <c r="J76" s="4">
        <v>147</v>
      </c>
      <c r="K76" s="11" t="s">
        <v>527</v>
      </c>
      <c r="L76" s="11">
        <v>2015</v>
      </c>
      <c r="M76" s="11">
        <v>2023</v>
      </c>
      <c r="N76" s="11" t="s">
        <v>313</v>
      </c>
      <c r="O76" s="9" t="s">
        <v>77</v>
      </c>
      <c r="P76" s="11" t="s">
        <v>32</v>
      </c>
      <c r="Q76" s="76"/>
      <c r="R76" s="76" t="s">
        <v>148</v>
      </c>
      <c r="S76" s="374" t="s">
        <v>528</v>
      </c>
      <c r="T76" s="34">
        <v>45793</v>
      </c>
      <c r="U76" s="34">
        <v>45797</v>
      </c>
      <c r="V76" s="34"/>
      <c r="W76" s="34">
        <v>45797</v>
      </c>
      <c r="X76" s="10">
        <v>45797</v>
      </c>
      <c r="Y76" s="45">
        <f t="shared" si="27"/>
        <v>2</v>
      </c>
      <c r="Z76" s="45" t="str">
        <f t="shared" si="28"/>
        <v/>
      </c>
      <c r="AA76" s="45">
        <f>IF(
  OR(IF(V76&lt;&gt;"", V76, U76)="", W76=""),
  "",
  MAX(1,
    IF(
      NETWORKDAYS(IF(V76&lt;&gt;"", V76, U76), W76) &lt;= 0,
      1,
      NETWORKDAYS(IF(V76&lt;&gt;"", V76, U76), W76) - IF(IF(V76&lt;&gt;"", V76, U76)=W76, 0, 1)
    )
  )
)</f>
        <v>1</v>
      </c>
      <c r="AB76" s="644">
        <f t="shared" si="29"/>
        <v>1</v>
      </c>
      <c r="AC76" s="7" t="s">
        <v>150</v>
      </c>
      <c r="AD76" s="11"/>
      <c r="AE76" s="82">
        <v>110165</v>
      </c>
      <c r="AF76" s="121">
        <v>0.7772</v>
      </c>
      <c r="AG76" s="7"/>
      <c r="AH76" s="645" t="str">
        <f t="shared" si="30"/>
        <v>Compliant</v>
      </c>
      <c r="AI76" s="7" t="s">
        <v>49</v>
      </c>
      <c r="AJ76" s="7" t="s">
        <v>49</v>
      </c>
      <c r="AK76" s="7" t="s">
        <v>49</v>
      </c>
      <c r="AL76" s="7" t="s">
        <v>49</v>
      </c>
      <c r="AM76" s="7" t="s">
        <v>49</v>
      </c>
      <c r="AN76" s="7" t="s">
        <v>49</v>
      </c>
      <c r="AO76" s="34"/>
      <c r="AP76" s="11"/>
      <c r="AQ76" s="11"/>
      <c r="AR76" s="8">
        <v>134608.01</v>
      </c>
      <c r="AS76" s="6"/>
      <c r="AT76" s="8">
        <v>85651.08</v>
      </c>
      <c r="AU76" s="6"/>
      <c r="AV76" s="8">
        <v>18966.27</v>
      </c>
      <c r="AW76" s="6"/>
      <c r="AX76" s="8">
        <v>15345.31</v>
      </c>
      <c r="AY76" s="6"/>
      <c r="AZ76" s="8">
        <v>14066.54</v>
      </c>
      <c r="BA76" s="6"/>
      <c r="BB76" s="6">
        <v>578.80999999999995</v>
      </c>
      <c r="BC76" s="6"/>
      <c r="BD76" s="41">
        <f t="shared" si="24"/>
        <v>0</v>
      </c>
      <c r="BE76" s="6"/>
      <c r="BF76" s="6"/>
      <c r="BG76" s="6"/>
      <c r="BH76" s="6"/>
      <c r="BI76" s="6"/>
      <c r="BJ76" s="6"/>
      <c r="BK76" s="6"/>
      <c r="BL76" s="6"/>
      <c r="BM76" s="6"/>
      <c r="BN76" s="6"/>
      <c r="BO76" s="6"/>
      <c r="BP76" s="64" t="e">
        <f t="shared" si="25"/>
        <v>#DIV/0!</v>
      </c>
      <c r="BQ76" s="65" t="e">
        <f t="shared" si="26"/>
        <v>#DIV/0!</v>
      </c>
    </row>
    <row r="77" spans="1:69" ht="30">
      <c r="A77" s="75" t="s">
        <v>31</v>
      </c>
      <c r="B77" s="80" t="s">
        <v>529</v>
      </c>
      <c r="C77" s="80" t="s">
        <v>530</v>
      </c>
      <c r="D77" s="75" t="s">
        <v>143</v>
      </c>
      <c r="E77" s="9" t="s">
        <v>160</v>
      </c>
      <c r="F77" s="11">
        <v>15.214281</v>
      </c>
      <c r="G77" s="11">
        <v>120.66215</v>
      </c>
      <c r="H77" s="4" t="str">
        <f t="shared" si="23"/>
        <v>15.214281,120.66215</v>
      </c>
      <c r="I77" s="4" t="s">
        <v>48</v>
      </c>
      <c r="J77" s="4" t="s">
        <v>531</v>
      </c>
      <c r="K77" s="11" t="s">
        <v>229</v>
      </c>
      <c r="L77" s="11">
        <v>2018</v>
      </c>
      <c r="M77" s="11">
        <v>2026</v>
      </c>
      <c r="N77" s="11"/>
      <c r="O77" s="9" t="s">
        <v>77</v>
      </c>
      <c r="P77" s="11" t="s">
        <v>32</v>
      </c>
      <c r="Q77" s="76"/>
      <c r="R77" s="76" t="s">
        <v>148</v>
      </c>
      <c r="S77" s="363" t="s">
        <v>532</v>
      </c>
      <c r="T77" s="34">
        <v>45793</v>
      </c>
      <c r="U77" s="34">
        <v>45796</v>
      </c>
      <c r="V77" s="34"/>
      <c r="W77" s="34">
        <v>45796</v>
      </c>
      <c r="X77" s="34">
        <v>45797</v>
      </c>
      <c r="Y77" s="45">
        <f t="shared" si="27"/>
        <v>1</v>
      </c>
      <c r="Z77" s="45" t="str">
        <f t="shared" si="28"/>
        <v/>
      </c>
      <c r="AA77" s="45">
        <f>IF(
  OR(IF(V77&lt;&gt;"", V77, U77)="", W77=""),
  "",
  MAX(1,
    IF(
      NETWORKDAYS(IF(V77&lt;&gt;"", V77, U77), W77) &lt;= 0,
      1,
      NETWORKDAYS(IF(V77&lt;&gt;"", V77, U77), W77) - IF(IF(V77&lt;&gt;"", V77, U77)=W77, 0, 1)
    )
  )
)</f>
        <v>1</v>
      </c>
      <c r="AB77" s="644">
        <f t="shared" si="29"/>
        <v>1</v>
      </c>
      <c r="AC77" s="7" t="s">
        <v>150</v>
      </c>
      <c r="AD77" s="11">
        <v>0.432</v>
      </c>
      <c r="AE77" s="11">
        <v>47321.74</v>
      </c>
      <c r="AF77" s="121">
        <v>100</v>
      </c>
      <c r="AG77" s="7" t="s">
        <v>533</v>
      </c>
      <c r="AH77" s="645" t="str">
        <f t="shared" si="30"/>
        <v>Compliant</v>
      </c>
      <c r="AI77" s="7" t="s">
        <v>49</v>
      </c>
      <c r="AJ77" s="7" t="s">
        <v>49</v>
      </c>
      <c r="AK77" s="7" t="s">
        <v>49</v>
      </c>
      <c r="AL77" s="7" t="s">
        <v>49</v>
      </c>
      <c r="AM77" s="7" t="s">
        <v>49</v>
      </c>
      <c r="AN77" s="7" t="s">
        <v>49</v>
      </c>
      <c r="AO77" s="34"/>
      <c r="AP77" s="11"/>
      <c r="AQ77" s="11"/>
      <c r="AR77" s="8">
        <v>64759.76</v>
      </c>
      <c r="AS77" s="6"/>
      <c r="AT77" s="8">
        <v>40623.800000000003</v>
      </c>
      <c r="AU77" s="6"/>
      <c r="AV77" s="8">
        <v>12097.12</v>
      </c>
      <c r="AW77" s="6"/>
      <c r="AX77" s="8">
        <v>7842.41</v>
      </c>
      <c r="AY77" s="6"/>
      <c r="AZ77" s="8">
        <v>3756.07</v>
      </c>
      <c r="BA77" s="6"/>
      <c r="BB77" s="6">
        <v>440.37</v>
      </c>
      <c r="BC77" s="6"/>
      <c r="BD77" s="41">
        <f t="shared" si="24"/>
        <v>0</v>
      </c>
      <c r="BE77" s="6"/>
      <c r="BF77" s="6"/>
      <c r="BG77" s="6"/>
      <c r="BH77" s="6"/>
      <c r="BI77" s="6"/>
      <c r="BJ77" s="6"/>
      <c r="BK77" s="6"/>
      <c r="BL77" s="6"/>
      <c r="BM77" s="6"/>
      <c r="BN77" s="6"/>
      <c r="BO77" s="6"/>
      <c r="BP77" s="64" t="e">
        <f t="shared" si="25"/>
        <v>#DIV/0!</v>
      </c>
      <c r="BQ77" s="65" t="e">
        <f t="shared" si="26"/>
        <v>#DIV/0!</v>
      </c>
    </row>
    <row r="78" spans="1:69">
      <c r="A78" s="75" t="s">
        <v>36</v>
      </c>
      <c r="B78" s="80" t="s">
        <v>534</v>
      </c>
      <c r="C78" s="80" t="s">
        <v>535</v>
      </c>
      <c r="D78" s="75" t="s">
        <v>159</v>
      </c>
      <c r="E78" s="9" t="s">
        <v>185</v>
      </c>
      <c r="F78" s="11">
        <v>15.477382</v>
      </c>
      <c r="G78" s="11">
        <v>120.463888</v>
      </c>
      <c r="H78" s="4" t="str">
        <f t="shared" si="23"/>
        <v>15.477382,120.463888</v>
      </c>
      <c r="I78" s="4" t="s">
        <v>48</v>
      </c>
      <c r="J78" s="7" t="s">
        <v>536</v>
      </c>
      <c r="K78" s="11" t="s">
        <v>537</v>
      </c>
      <c r="L78" s="11">
        <v>2019</v>
      </c>
      <c r="M78" s="11">
        <v>2027</v>
      </c>
      <c r="N78" s="11"/>
      <c r="O78" s="11" t="s">
        <v>77</v>
      </c>
      <c r="P78" s="11" t="s">
        <v>39</v>
      </c>
      <c r="Q78" s="71"/>
      <c r="R78" s="71" t="s">
        <v>328</v>
      </c>
      <c r="S78" s="374" t="s">
        <v>538</v>
      </c>
      <c r="T78" s="34">
        <v>45785</v>
      </c>
      <c r="U78" s="34">
        <v>45796</v>
      </c>
      <c r="V78" s="34"/>
      <c r="W78" s="34">
        <v>45796</v>
      </c>
      <c r="X78" s="34">
        <v>45796</v>
      </c>
      <c r="Y78" s="45">
        <f t="shared" si="27"/>
        <v>7</v>
      </c>
      <c r="Z78" s="45" t="str">
        <f t="shared" si="28"/>
        <v/>
      </c>
      <c r="AA78" s="45">
        <f>IF(
    OR(ISBLANK(U78), ISBLANK(W78)),
    "",
    MAX(1, IF(
        NETWORKDAYS(U78, W78) &lt;= 0,
        1,
        NETWORKDAYS(U78, W78) - IF(U78 = W78, 0, 1)
    ))
)</f>
        <v>1</v>
      </c>
      <c r="AB78" s="644">
        <f t="shared" si="29"/>
        <v>1</v>
      </c>
      <c r="AC78" s="7" t="s">
        <v>150</v>
      </c>
      <c r="AD78" s="11">
        <v>0.3</v>
      </c>
      <c r="AE78" s="82">
        <v>11575.2</v>
      </c>
      <c r="AF78" s="121">
        <v>100</v>
      </c>
      <c r="AG78" s="9" t="s">
        <v>539</v>
      </c>
      <c r="AH78" s="645" t="str">
        <f t="shared" si="30"/>
        <v>Compliant</v>
      </c>
      <c r="AI78" s="11" t="s">
        <v>49</v>
      </c>
      <c r="AJ78" s="11" t="s">
        <v>49</v>
      </c>
      <c r="AK78" s="11" t="s">
        <v>49</v>
      </c>
      <c r="AL78" s="11" t="s">
        <v>49</v>
      </c>
      <c r="AM78" s="11" t="s">
        <v>49</v>
      </c>
      <c r="AN78" s="11" t="s">
        <v>49</v>
      </c>
      <c r="AO78" s="34"/>
      <c r="AP78" s="11"/>
      <c r="AQ78" s="11"/>
      <c r="AR78" s="8">
        <v>15969.9</v>
      </c>
      <c r="AS78" s="6"/>
      <c r="AT78" s="8">
        <v>13315.71</v>
      </c>
      <c r="AU78" s="6"/>
      <c r="AV78" s="8">
        <v>1062</v>
      </c>
      <c r="AW78" s="6"/>
      <c r="AX78" s="6">
        <v>715.45</v>
      </c>
      <c r="AY78" s="6"/>
      <c r="AZ78" s="6">
        <v>745.79</v>
      </c>
      <c r="BA78" s="6"/>
      <c r="BB78" s="6">
        <v>130.94999999999999</v>
      </c>
      <c r="BC78" s="6"/>
      <c r="BD78" s="41">
        <f t="shared" si="24"/>
        <v>0</v>
      </c>
      <c r="BE78" s="6"/>
      <c r="BF78" s="6"/>
      <c r="BG78" s="6"/>
      <c r="BH78" s="6"/>
      <c r="BI78" s="6"/>
      <c r="BJ78" s="6"/>
      <c r="BK78" s="6"/>
      <c r="BL78" s="6"/>
      <c r="BM78" s="6"/>
      <c r="BN78" s="6"/>
      <c r="BO78" s="6"/>
      <c r="BP78" s="64" t="e">
        <f t="shared" si="25"/>
        <v>#DIV/0!</v>
      </c>
      <c r="BQ78" s="65" t="e">
        <f t="shared" si="26"/>
        <v>#DIV/0!</v>
      </c>
    </row>
    <row r="79" spans="1:69" ht="30">
      <c r="A79" s="75" t="s">
        <v>40</v>
      </c>
      <c r="B79" s="80" t="s">
        <v>540</v>
      </c>
      <c r="C79" s="80" t="s">
        <v>541</v>
      </c>
      <c r="D79" s="75" t="s">
        <v>159</v>
      </c>
      <c r="E79" s="75" t="s">
        <v>185</v>
      </c>
      <c r="F79" s="11">
        <v>15.762053</v>
      </c>
      <c r="G79" s="11">
        <v>119.909081</v>
      </c>
      <c r="H79" s="4" t="str">
        <f t="shared" si="23"/>
        <v>15.762053,119.909081</v>
      </c>
      <c r="I79" s="4" t="s">
        <v>48</v>
      </c>
      <c r="J79" s="7" t="s">
        <v>542</v>
      </c>
      <c r="K79" s="11" t="s">
        <v>146</v>
      </c>
      <c r="L79" s="11">
        <v>2023</v>
      </c>
      <c r="M79" s="11">
        <v>2031</v>
      </c>
      <c r="N79" s="11"/>
      <c r="O79" s="11" t="s">
        <v>77</v>
      </c>
      <c r="P79" s="11" t="s">
        <v>42</v>
      </c>
      <c r="Q79" s="71" t="s">
        <v>163</v>
      </c>
      <c r="R79" s="71" t="s">
        <v>164</v>
      </c>
      <c r="S79" s="374" t="s">
        <v>543</v>
      </c>
      <c r="T79" s="34">
        <v>45793</v>
      </c>
      <c r="U79" s="34">
        <v>45797</v>
      </c>
      <c r="V79" s="34">
        <v>45797</v>
      </c>
      <c r="W79" s="34">
        <v>45797</v>
      </c>
      <c r="X79" s="34">
        <v>45797</v>
      </c>
      <c r="Y79" s="45">
        <f t="shared" si="27"/>
        <v>2</v>
      </c>
      <c r="Z79" s="45">
        <f t="shared" si="28"/>
        <v>1</v>
      </c>
      <c r="AA79" s="45">
        <f>IF(
    OR(ISBLANK(U79), ISBLANK(W79)),
    "",
    MAX(1, IF(
        NETWORKDAYS(U79, W79) &lt;= 0,
        1,
        NETWORKDAYS(U79, W79) - IF(U79 = W79, 0, 1)
    ))
)</f>
        <v>1</v>
      </c>
      <c r="AB79" s="644">
        <f t="shared" si="29"/>
        <v>1</v>
      </c>
      <c r="AC79" s="7" t="s">
        <v>150</v>
      </c>
      <c r="AD79" s="11">
        <v>0.56100000000000005</v>
      </c>
      <c r="AE79" s="82">
        <v>35813.68</v>
      </c>
      <c r="AF79" s="121">
        <v>89.78</v>
      </c>
      <c r="AG79" s="7" t="s">
        <v>544</v>
      </c>
      <c r="AH79" s="645" t="str">
        <f t="shared" si="30"/>
        <v>Compliant</v>
      </c>
      <c r="AI79" s="11" t="s">
        <v>49</v>
      </c>
      <c r="AJ79" s="11" t="s">
        <v>49</v>
      </c>
      <c r="AK79" s="11" t="s">
        <v>49</v>
      </c>
      <c r="AL79" s="11" t="s">
        <v>49</v>
      </c>
      <c r="AM79" s="11"/>
      <c r="AN79" s="11" t="s">
        <v>49</v>
      </c>
      <c r="AO79" s="34"/>
      <c r="AP79" s="11"/>
      <c r="AQ79" s="11"/>
      <c r="AR79" s="8">
        <v>43230.55</v>
      </c>
      <c r="AS79" s="6"/>
      <c r="AT79" s="8">
        <v>14374.16</v>
      </c>
      <c r="AU79" s="6"/>
      <c r="AV79" s="8">
        <v>17668.330000000002</v>
      </c>
      <c r="AW79" s="6"/>
      <c r="AX79" s="8">
        <v>6769.9</v>
      </c>
      <c r="AY79" s="6"/>
      <c r="AZ79" s="8">
        <v>4011.8</v>
      </c>
      <c r="BA79" s="6"/>
      <c r="BB79" s="6">
        <v>406.37</v>
      </c>
      <c r="BC79" s="6"/>
      <c r="BD79" s="41">
        <f t="shared" si="24"/>
        <v>0</v>
      </c>
      <c r="BE79" s="6"/>
      <c r="BF79" s="6"/>
      <c r="BG79" s="6"/>
      <c r="BH79" s="6"/>
      <c r="BI79" s="6"/>
      <c r="BJ79" s="6"/>
      <c r="BK79" s="6"/>
      <c r="BL79" s="6"/>
      <c r="BM79" s="6"/>
      <c r="BN79" s="6"/>
      <c r="BO79" s="6"/>
      <c r="BP79" s="64" t="e">
        <f t="shared" si="25"/>
        <v>#DIV/0!</v>
      </c>
      <c r="BQ79" s="65" t="e">
        <f t="shared" si="26"/>
        <v>#DIV/0!</v>
      </c>
    </row>
    <row r="80" spans="1:69" ht="15.75">
      <c r="A80" s="75" t="s">
        <v>12</v>
      </c>
      <c r="B80" s="80" t="s">
        <v>545</v>
      </c>
      <c r="C80" s="80" t="s">
        <v>546</v>
      </c>
      <c r="D80" s="75" t="s">
        <v>159</v>
      </c>
      <c r="E80" s="75" t="s">
        <v>249</v>
      </c>
      <c r="F80" s="4">
        <v>16.277169000000001</v>
      </c>
      <c r="G80" s="4">
        <v>122.12313899999999</v>
      </c>
      <c r="H80" s="4" t="str">
        <f t="shared" si="23"/>
        <v>16.277169,122.123139</v>
      </c>
      <c r="I80" s="4" t="s">
        <v>48</v>
      </c>
      <c r="J80" s="4">
        <v>1289</v>
      </c>
      <c r="K80" s="4" t="s">
        <v>199</v>
      </c>
      <c r="L80" s="72">
        <v>2019</v>
      </c>
      <c r="M80" s="4">
        <v>2027</v>
      </c>
      <c r="N80" s="4"/>
      <c r="O80" s="4" t="s">
        <v>78</v>
      </c>
      <c r="P80" s="4" t="s">
        <v>251</v>
      </c>
      <c r="Q80" s="70"/>
      <c r="R80" s="71" t="s">
        <v>163</v>
      </c>
      <c r="S80" s="7" t="s">
        <v>547</v>
      </c>
      <c r="T80" s="33">
        <v>45819</v>
      </c>
      <c r="U80" s="33">
        <v>45827</v>
      </c>
      <c r="V80" s="33"/>
      <c r="W80" s="33">
        <v>45827</v>
      </c>
      <c r="X80" s="34">
        <v>45827</v>
      </c>
      <c r="Y80" s="45">
        <f t="shared" si="27"/>
        <v>6</v>
      </c>
      <c r="Z80" s="45" t="str">
        <f t="shared" si="28"/>
        <v/>
      </c>
      <c r="AA80" s="45">
        <f t="shared" ref="AA80:AA89" si="31">IF(
  OR(IF(V80&lt;&gt;"", V80, U80)="", W80=""),
  "",
  MAX(1,
    IF(
      NETWORKDAYS(IF(V80&lt;&gt;"", V80, U80), W80) &lt;= 0,
      1,
      NETWORKDAYS(IF(V80&lt;&gt;"", V80, U80), W80) - IF(IF(V80&lt;&gt;"", V80, U80)=W80, 0, 1)
    )
  )
)</f>
        <v>1</v>
      </c>
      <c r="AB80" s="644">
        <f t="shared" si="29"/>
        <v>1</v>
      </c>
      <c r="AC80" s="7" t="s">
        <v>150</v>
      </c>
      <c r="AD80" s="11">
        <v>0.26600000000000001</v>
      </c>
      <c r="AE80" s="82">
        <v>7721.7139999999999</v>
      </c>
      <c r="AF80" s="83">
        <v>0.94130000000000003</v>
      </c>
      <c r="AG80" s="7" t="s">
        <v>182</v>
      </c>
      <c r="AH80" s="645" t="str">
        <f t="shared" si="30"/>
        <v>Compliant</v>
      </c>
      <c r="AI80" s="7" t="s">
        <v>49</v>
      </c>
      <c r="AJ80" s="7" t="s">
        <v>49</v>
      </c>
      <c r="AK80" s="7" t="s">
        <v>49</v>
      </c>
      <c r="AL80" s="7" t="s">
        <v>49</v>
      </c>
      <c r="AM80" s="7" t="s">
        <v>69</v>
      </c>
      <c r="AN80" s="7" t="s">
        <v>49</v>
      </c>
      <c r="AO80" s="33"/>
      <c r="AP80" s="4"/>
      <c r="AQ80" s="4"/>
      <c r="AR80" s="8">
        <v>9229.7800000000007</v>
      </c>
      <c r="AS80" s="6"/>
      <c r="AT80" s="8">
        <v>4773.6400000000003</v>
      </c>
      <c r="AU80" s="6"/>
      <c r="AV80" s="8">
        <v>2514.19</v>
      </c>
      <c r="AW80" s="6"/>
      <c r="AX80" s="8">
        <v>1400.16</v>
      </c>
      <c r="AY80" s="6"/>
      <c r="AZ80" s="6">
        <v>467.95</v>
      </c>
      <c r="BA80" s="6"/>
      <c r="BB80" s="6">
        <v>73.84</v>
      </c>
      <c r="BC80" s="6"/>
      <c r="BD80" s="41">
        <f t="shared" si="24"/>
        <v>0</v>
      </c>
      <c r="BE80" s="6"/>
      <c r="BF80" s="6"/>
      <c r="BG80" s="6"/>
      <c r="BH80" s="6"/>
      <c r="BI80" s="6"/>
      <c r="BJ80" s="6"/>
      <c r="BK80" s="6"/>
      <c r="BL80" s="6"/>
      <c r="BM80" s="6"/>
      <c r="BN80" s="6"/>
      <c r="BO80" s="6"/>
      <c r="BP80" s="64" t="e">
        <f t="shared" si="25"/>
        <v>#DIV/0!</v>
      </c>
      <c r="BQ80" s="65" t="e">
        <f t="shared" si="26"/>
        <v>#DIV/0!</v>
      </c>
    </row>
    <row r="81" spans="1:69">
      <c r="A81" s="75" t="s">
        <v>16</v>
      </c>
      <c r="B81" s="80" t="s">
        <v>548</v>
      </c>
      <c r="C81" s="80" t="s">
        <v>549</v>
      </c>
      <c r="D81" s="75" t="s">
        <v>143</v>
      </c>
      <c r="E81" s="75" t="s">
        <v>144</v>
      </c>
      <c r="F81" s="4">
        <v>14.435803999999999</v>
      </c>
      <c r="G81" s="4">
        <v>120.49021399999999</v>
      </c>
      <c r="H81" s="4" t="str">
        <f t="shared" si="23"/>
        <v>14.435804,120.490214</v>
      </c>
      <c r="I81" s="4" t="s">
        <v>48</v>
      </c>
      <c r="J81" s="4" t="s">
        <v>550</v>
      </c>
      <c r="K81" s="4" t="s">
        <v>380</v>
      </c>
      <c r="L81" s="4">
        <v>2016</v>
      </c>
      <c r="M81" s="4">
        <v>2025</v>
      </c>
      <c r="N81" s="11" t="s">
        <v>98</v>
      </c>
      <c r="O81" s="4" t="s">
        <v>78</v>
      </c>
      <c r="P81" s="9" t="s">
        <v>19</v>
      </c>
      <c r="Q81" s="70"/>
      <c r="R81" s="71" t="s">
        <v>180</v>
      </c>
      <c r="S81" s="7" t="s">
        <v>551</v>
      </c>
      <c r="T81" s="33">
        <v>45821</v>
      </c>
      <c r="U81" s="33">
        <v>45824</v>
      </c>
      <c r="V81" s="33"/>
      <c r="W81" s="33">
        <v>45824</v>
      </c>
      <c r="X81" s="34">
        <v>45825</v>
      </c>
      <c r="Y81" s="45">
        <f t="shared" si="27"/>
        <v>1</v>
      </c>
      <c r="Z81" s="45" t="str">
        <f t="shared" si="28"/>
        <v/>
      </c>
      <c r="AA81" s="45">
        <f t="shared" si="31"/>
        <v>1</v>
      </c>
      <c r="AB81" s="644">
        <f t="shared" si="29"/>
        <v>1</v>
      </c>
      <c r="AC81" s="7" t="s">
        <v>150</v>
      </c>
      <c r="AD81" s="11">
        <v>0.20100000000000001</v>
      </c>
      <c r="AE81" s="82">
        <v>37352.959999999999</v>
      </c>
      <c r="AF81" s="83">
        <v>0.91469999999999996</v>
      </c>
      <c r="AG81" s="7" t="s">
        <v>182</v>
      </c>
      <c r="AH81" s="645" t="str">
        <f t="shared" si="30"/>
        <v>Compliant</v>
      </c>
      <c r="AI81" s="7" t="s">
        <v>49</v>
      </c>
      <c r="AJ81" s="7" t="s">
        <v>49</v>
      </c>
      <c r="AK81" s="7" t="s">
        <v>49</v>
      </c>
      <c r="AL81" s="7" t="s">
        <v>49</v>
      </c>
      <c r="AM81" s="7" t="s">
        <v>49</v>
      </c>
      <c r="AN81" s="7" t="s">
        <v>49</v>
      </c>
      <c r="AO81" s="33"/>
      <c r="AP81" s="4"/>
      <c r="AQ81" s="11"/>
      <c r="AR81" s="8">
        <v>41681.19</v>
      </c>
      <c r="AS81" s="6"/>
      <c r="AT81" s="8">
        <v>8982.2999999999993</v>
      </c>
      <c r="AU81" s="6"/>
      <c r="AV81" s="8">
        <v>6260.51</v>
      </c>
      <c r="AW81" s="6"/>
      <c r="AX81" s="8">
        <v>22882.97</v>
      </c>
      <c r="AY81" s="6"/>
      <c r="AZ81" s="8">
        <v>2075.7199999999998</v>
      </c>
      <c r="BA81" s="6"/>
      <c r="BB81" s="8">
        <v>1479.68</v>
      </c>
      <c r="BC81" s="6"/>
      <c r="BD81" s="41">
        <f t="shared" si="24"/>
        <v>0</v>
      </c>
      <c r="BE81" s="6"/>
      <c r="BF81" s="6"/>
      <c r="BG81" s="6"/>
      <c r="BH81" s="6"/>
      <c r="BI81" s="6"/>
      <c r="BJ81" s="6"/>
      <c r="BK81" s="6"/>
      <c r="BL81" s="6"/>
      <c r="BM81" s="6"/>
      <c r="BN81" s="6"/>
      <c r="BO81" s="6"/>
      <c r="BP81" s="64" t="e">
        <f t="shared" si="25"/>
        <v>#DIV/0!</v>
      </c>
      <c r="BQ81" s="65" t="e">
        <f t="shared" si="26"/>
        <v>#DIV/0!</v>
      </c>
    </row>
    <row r="82" spans="1:69">
      <c r="A82" s="75" t="s">
        <v>20</v>
      </c>
      <c r="B82" s="80" t="s">
        <v>552</v>
      </c>
      <c r="C82" s="80" t="s">
        <v>553</v>
      </c>
      <c r="D82" s="75" t="s">
        <v>143</v>
      </c>
      <c r="E82" s="75" t="s">
        <v>554</v>
      </c>
      <c r="F82" s="9">
        <v>14.8274194</v>
      </c>
      <c r="G82" s="9">
        <v>120.87897</v>
      </c>
      <c r="H82" s="4" t="str">
        <f t="shared" si="23"/>
        <v>14.8274194,120.87897</v>
      </c>
      <c r="I82" s="4" t="s">
        <v>48</v>
      </c>
      <c r="J82" s="4" t="s">
        <v>555</v>
      </c>
      <c r="K82" s="9" t="s">
        <v>199</v>
      </c>
      <c r="L82" s="9">
        <v>2018</v>
      </c>
      <c r="M82" s="9">
        <v>2027</v>
      </c>
      <c r="N82" s="9"/>
      <c r="O82" s="4" t="s">
        <v>78</v>
      </c>
      <c r="P82" s="9" t="s">
        <v>388</v>
      </c>
      <c r="Q82" s="71"/>
      <c r="R82" s="71" t="s">
        <v>201</v>
      </c>
      <c r="S82" s="7" t="s">
        <v>556</v>
      </c>
      <c r="T82" s="35">
        <v>45821</v>
      </c>
      <c r="U82" s="35">
        <v>45824</v>
      </c>
      <c r="V82" s="35"/>
      <c r="W82" s="35">
        <v>45827</v>
      </c>
      <c r="X82" s="34">
        <v>45827</v>
      </c>
      <c r="Y82" s="45">
        <f t="shared" si="27"/>
        <v>1</v>
      </c>
      <c r="Z82" s="45" t="str">
        <f t="shared" si="28"/>
        <v/>
      </c>
      <c r="AA82" s="45">
        <f t="shared" si="31"/>
        <v>3</v>
      </c>
      <c r="AB82" s="644">
        <f t="shared" si="29"/>
        <v>1</v>
      </c>
      <c r="AC82" s="7" t="s">
        <v>150</v>
      </c>
      <c r="AD82" s="11">
        <v>0.27700000000000002</v>
      </c>
      <c r="AE82" s="368">
        <v>27524.99</v>
      </c>
      <c r="AF82" s="11"/>
      <c r="AG82" s="7" t="s">
        <v>390</v>
      </c>
      <c r="AH82" s="645" t="s">
        <v>151</v>
      </c>
      <c r="AI82" s="7" t="s">
        <v>49</v>
      </c>
      <c r="AJ82" s="7" t="s">
        <v>49</v>
      </c>
      <c r="AK82" s="7" t="s">
        <v>49</v>
      </c>
      <c r="AL82" s="7" t="s">
        <v>49</v>
      </c>
      <c r="AM82" s="7" t="s">
        <v>56</v>
      </c>
      <c r="AN82" s="7" t="s">
        <v>49</v>
      </c>
      <c r="AO82" s="35"/>
      <c r="AP82" s="4"/>
      <c r="AQ82" s="11"/>
      <c r="AR82" s="8">
        <v>122054.12</v>
      </c>
      <c r="AS82" s="6"/>
      <c r="AT82" s="8">
        <v>52666.35</v>
      </c>
      <c r="AU82" s="6"/>
      <c r="AV82" s="8">
        <v>35346.870000000003</v>
      </c>
      <c r="AW82" s="6"/>
      <c r="AX82" s="8">
        <v>20248.78</v>
      </c>
      <c r="AY82" s="6"/>
      <c r="AZ82" s="8">
        <v>11460.88</v>
      </c>
      <c r="BA82" s="6"/>
      <c r="BB82" s="8">
        <v>2331.23</v>
      </c>
      <c r="BC82" s="6"/>
      <c r="BD82" s="41">
        <f t="shared" si="24"/>
        <v>0</v>
      </c>
      <c r="BE82" s="6"/>
      <c r="BF82" s="6"/>
      <c r="BG82" s="6"/>
      <c r="BH82" s="6"/>
      <c r="BI82" s="6"/>
      <c r="BJ82" s="6"/>
      <c r="BK82" s="6"/>
      <c r="BL82" s="6"/>
      <c r="BM82" s="6"/>
      <c r="BN82" s="6"/>
      <c r="BO82" s="6"/>
      <c r="BP82" s="64" t="e">
        <f t="shared" si="25"/>
        <v>#DIV/0!</v>
      </c>
      <c r="BQ82" s="65" t="e">
        <f t="shared" si="26"/>
        <v>#DIV/0!</v>
      </c>
    </row>
    <row r="83" spans="1:69">
      <c r="A83" s="75" t="s">
        <v>20</v>
      </c>
      <c r="B83" s="80" t="s">
        <v>557</v>
      </c>
      <c r="C83" s="80" t="s">
        <v>558</v>
      </c>
      <c r="D83" s="75" t="s">
        <v>143</v>
      </c>
      <c r="E83" s="75" t="s">
        <v>185</v>
      </c>
      <c r="F83" s="9">
        <v>14.88680651</v>
      </c>
      <c r="G83" s="9">
        <v>120.8598685</v>
      </c>
      <c r="H83" s="4" t="str">
        <f t="shared" si="23"/>
        <v>14.88680651,120.8598685</v>
      </c>
      <c r="I83" s="4" t="s">
        <v>48</v>
      </c>
      <c r="J83" s="4" t="s">
        <v>559</v>
      </c>
      <c r="K83" s="9" t="s">
        <v>155</v>
      </c>
      <c r="L83" s="9">
        <v>2015</v>
      </c>
      <c r="M83" s="9">
        <v>2024</v>
      </c>
      <c r="N83" s="11" t="s">
        <v>98</v>
      </c>
      <c r="O83" s="4" t="s">
        <v>78</v>
      </c>
      <c r="P83" s="9" t="s">
        <v>388</v>
      </c>
      <c r="Q83" s="71"/>
      <c r="R83" s="71" t="s">
        <v>201</v>
      </c>
      <c r="S83" s="13" t="s">
        <v>560</v>
      </c>
      <c r="T83" s="35">
        <v>45825</v>
      </c>
      <c r="U83" s="35">
        <v>45825</v>
      </c>
      <c r="V83" s="35"/>
      <c r="W83" s="35">
        <v>45827</v>
      </c>
      <c r="X83" s="34">
        <v>45827</v>
      </c>
      <c r="Y83" s="45">
        <f t="shared" si="27"/>
        <v>1</v>
      </c>
      <c r="Z83" s="45" t="str">
        <f t="shared" si="28"/>
        <v/>
      </c>
      <c r="AA83" s="45">
        <f t="shared" si="31"/>
        <v>2</v>
      </c>
      <c r="AB83" s="45">
        <f t="shared" si="29"/>
        <v>1</v>
      </c>
      <c r="AC83" s="135" t="s">
        <v>150</v>
      </c>
      <c r="AD83" s="85">
        <v>0.315</v>
      </c>
      <c r="AE83" s="704">
        <v>42534.59</v>
      </c>
      <c r="AF83" s="85"/>
      <c r="AG83" s="7" t="s">
        <v>330</v>
      </c>
      <c r="AH83" s="44" t="s">
        <v>151</v>
      </c>
      <c r="AI83" s="7" t="s">
        <v>49</v>
      </c>
      <c r="AJ83" s="7" t="s">
        <v>49</v>
      </c>
      <c r="AK83" s="7" t="s">
        <v>49</v>
      </c>
      <c r="AL83" s="7" t="s">
        <v>49</v>
      </c>
      <c r="AM83" s="7" t="s">
        <v>56</v>
      </c>
      <c r="AN83" s="7" t="s">
        <v>49</v>
      </c>
      <c r="AO83" s="35"/>
      <c r="AP83" s="4"/>
      <c r="AQ83" s="11"/>
      <c r="AR83" s="8">
        <v>114747.34</v>
      </c>
      <c r="AS83" s="6"/>
      <c r="AT83" s="8">
        <v>61894.71</v>
      </c>
      <c r="AU83" s="6"/>
      <c r="AV83" s="8">
        <v>27275.439999999999</v>
      </c>
      <c r="AW83" s="6"/>
      <c r="AX83" s="8">
        <v>5243.95</v>
      </c>
      <c r="AY83" s="6"/>
      <c r="AZ83" s="8">
        <v>15835.13</v>
      </c>
      <c r="BA83" s="6"/>
      <c r="BB83" s="8">
        <v>4498.1000000000004</v>
      </c>
      <c r="BC83" s="6"/>
      <c r="BD83" s="41">
        <f t="shared" si="24"/>
        <v>0</v>
      </c>
      <c r="BE83" s="6"/>
      <c r="BF83" s="6"/>
      <c r="BG83" s="6"/>
      <c r="BH83" s="6"/>
      <c r="BI83" s="6"/>
      <c r="BJ83" s="6"/>
      <c r="BK83" s="6"/>
      <c r="BL83" s="6"/>
      <c r="BM83" s="6"/>
      <c r="BN83" s="6"/>
      <c r="BO83" s="6"/>
      <c r="BP83" s="64" t="e">
        <f t="shared" si="25"/>
        <v>#DIV/0!</v>
      </c>
      <c r="BQ83" s="65" t="e">
        <f t="shared" si="26"/>
        <v>#DIV/0!</v>
      </c>
    </row>
    <row r="84" spans="1:69">
      <c r="A84" s="75" t="s">
        <v>20</v>
      </c>
      <c r="B84" s="80" t="s">
        <v>561</v>
      </c>
      <c r="C84" s="80" t="s">
        <v>562</v>
      </c>
      <c r="D84" s="75" t="s">
        <v>143</v>
      </c>
      <c r="E84" s="75" t="s">
        <v>160</v>
      </c>
      <c r="F84" s="9">
        <v>14.90110634</v>
      </c>
      <c r="G84" s="9">
        <v>120.84865379999999</v>
      </c>
      <c r="H84" s="4" t="str">
        <f t="shared" si="23"/>
        <v>14.90110634,120.8486538</v>
      </c>
      <c r="I84" s="4" t="s">
        <v>48</v>
      </c>
      <c r="J84" s="4" t="s">
        <v>563</v>
      </c>
      <c r="K84" s="9" t="s">
        <v>199</v>
      </c>
      <c r="L84" s="9">
        <v>2018</v>
      </c>
      <c r="M84" s="9">
        <v>2027</v>
      </c>
      <c r="N84" s="9"/>
      <c r="O84" s="4" t="s">
        <v>78</v>
      </c>
      <c r="P84" s="9" t="s">
        <v>388</v>
      </c>
      <c r="Q84" s="71"/>
      <c r="R84" s="71" t="s">
        <v>201</v>
      </c>
      <c r="S84" s="13" t="s">
        <v>564</v>
      </c>
      <c r="T84" s="35">
        <v>45818</v>
      </c>
      <c r="U84" s="35">
        <v>45823</v>
      </c>
      <c r="V84" s="35"/>
      <c r="W84" s="35">
        <v>45827</v>
      </c>
      <c r="X84" s="34">
        <v>45827</v>
      </c>
      <c r="Y84" s="45">
        <f t="shared" si="27"/>
        <v>3</v>
      </c>
      <c r="Z84" s="45" t="str">
        <f t="shared" si="28"/>
        <v/>
      </c>
      <c r="AA84" s="45">
        <f t="shared" si="31"/>
        <v>3</v>
      </c>
      <c r="AB84" s="45">
        <f t="shared" si="29"/>
        <v>1</v>
      </c>
      <c r="AC84" s="7" t="s">
        <v>150</v>
      </c>
      <c r="AD84" s="11">
        <v>0.67</v>
      </c>
      <c r="AE84" s="82">
        <v>18503.84</v>
      </c>
      <c r="AF84" s="11"/>
      <c r="AG84" s="7" t="s">
        <v>330</v>
      </c>
      <c r="AH84" s="44" t="s">
        <v>151</v>
      </c>
      <c r="AI84" s="7" t="s">
        <v>49</v>
      </c>
      <c r="AJ84" s="7" t="s">
        <v>49</v>
      </c>
      <c r="AK84" s="7" t="s">
        <v>49</v>
      </c>
      <c r="AL84" s="7" t="s">
        <v>49</v>
      </c>
      <c r="AM84" s="7" t="s">
        <v>49</v>
      </c>
      <c r="AN84" s="7" t="s">
        <v>49</v>
      </c>
      <c r="AO84" s="35"/>
      <c r="AP84" s="4"/>
      <c r="AQ84" s="11"/>
      <c r="AR84" s="8">
        <v>22816.31</v>
      </c>
      <c r="AS84" s="6"/>
      <c r="AT84" s="8">
        <v>9957.0400000000009</v>
      </c>
      <c r="AU84" s="6"/>
      <c r="AV84" s="8">
        <v>7721.04</v>
      </c>
      <c r="AW84" s="6"/>
      <c r="AX84" s="8">
        <v>1651.9</v>
      </c>
      <c r="AY84" s="6"/>
      <c r="AZ84" s="8">
        <v>3290.11</v>
      </c>
      <c r="BA84" s="6"/>
      <c r="BB84" s="6">
        <v>196.22</v>
      </c>
      <c r="BC84" s="6"/>
      <c r="BD84" s="41">
        <f t="shared" si="24"/>
        <v>0</v>
      </c>
      <c r="BE84" s="6"/>
      <c r="BF84" s="6"/>
      <c r="BG84" s="6"/>
      <c r="BH84" s="6"/>
      <c r="BI84" s="6"/>
      <c r="BJ84" s="6"/>
      <c r="BK84" s="6"/>
      <c r="BL84" s="6"/>
      <c r="BM84" s="6"/>
      <c r="BN84" s="6"/>
      <c r="BO84" s="6"/>
      <c r="BP84" s="64" t="e">
        <f t="shared" si="25"/>
        <v>#DIV/0!</v>
      </c>
      <c r="BQ84" s="65" t="e">
        <f t="shared" si="26"/>
        <v>#DIV/0!</v>
      </c>
    </row>
    <row r="85" spans="1:69" ht="30">
      <c r="A85" s="75" t="s">
        <v>25</v>
      </c>
      <c r="B85" s="80" t="s">
        <v>565</v>
      </c>
      <c r="C85" s="80" t="s">
        <v>566</v>
      </c>
      <c r="D85" s="75" t="s">
        <v>143</v>
      </c>
      <c r="E85" s="75" t="s">
        <v>185</v>
      </c>
      <c r="F85" s="11">
        <v>15.662212</v>
      </c>
      <c r="G85" s="11">
        <v>121.01904</v>
      </c>
      <c r="H85" s="4" t="str">
        <f t="shared" si="23"/>
        <v>15.662212,121.01904</v>
      </c>
      <c r="I85" s="4" t="s">
        <v>48</v>
      </c>
      <c r="J85" s="4" t="s">
        <v>567</v>
      </c>
      <c r="K85" s="11" t="s">
        <v>229</v>
      </c>
      <c r="L85" s="11">
        <v>2020</v>
      </c>
      <c r="M85" s="11">
        <v>2026</v>
      </c>
      <c r="N85" s="11"/>
      <c r="O85" s="4" t="s">
        <v>78</v>
      </c>
      <c r="P85" s="11" t="s">
        <v>26</v>
      </c>
      <c r="Q85" s="71"/>
      <c r="R85" s="71" t="s">
        <v>212</v>
      </c>
      <c r="S85" s="11" t="s">
        <v>568</v>
      </c>
      <c r="T85" s="34">
        <v>45825</v>
      </c>
      <c r="U85" s="34">
        <v>45826</v>
      </c>
      <c r="V85" s="34"/>
      <c r="W85" s="34">
        <v>45826</v>
      </c>
      <c r="X85" s="34">
        <v>45826</v>
      </c>
      <c r="Y85" s="45">
        <f t="shared" si="27"/>
        <v>1</v>
      </c>
      <c r="Z85" s="45" t="str">
        <f t="shared" si="28"/>
        <v/>
      </c>
      <c r="AA85" s="45">
        <f t="shared" si="31"/>
        <v>1</v>
      </c>
      <c r="AB85" s="45">
        <f t="shared" si="29"/>
        <v>1</v>
      </c>
      <c r="AC85" s="7" t="s">
        <v>150</v>
      </c>
      <c r="AD85" s="11">
        <v>0.47199999999999998</v>
      </c>
      <c r="AE85" s="82">
        <v>10785.54</v>
      </c>
      <c r="AF85" s="11">
        <v>85.91</v>
      </c>
      <c r="AG85" s="7" t="s">
        <v>404</v>
      </c>
      <c r="AH85" s="44" t="str">
        <f t="shared" ref="AH85:AH91" si="32">IF(AND(AI85 = "YES", AJ85 = "YES", AK85 = "YES", AL85 = "YES", AN85 = "YES"), "Compliant", "Not Compliant")</f>
        <v>Compliant</v>
      </c>
      <c r="AI85" s="11" t="s">
        <v>49</v>
      </c>
      <c r="AJ85" s="11" t="s">
        <v>49</v>
      </c>
      <c r="AK85" s="11" t="s">
        <v>49</v>
      </c>
      <c r="AL85" s="11" t="s">
        <v>49</v>
      </c>
      <c r="AM85" s="11" t="s">
        <v>49</v>
      </c>
      <c r="AN85" s="11" t="s">
        <v>49</v>
      </c>
      <c r="AO85" s="34"/>
      <c r="AP85" s="11"/>
      <c r="AQ85" s="11"/>
      <c r="AR85" s="8">
        <v>21398.43</v>
      </c>
      <c r="AS85" s="6"/>
      <c r="AT85" s="8">
        <v>11786.26</v>
      </c>
      <c r="AU85" s="6"/>
      <c r="AV85" s="8">
        <v>3945.87</v>
      </c>
      <c r="AW85" s="6"/>
      <c r="AX85" s="8">
        <v>2651.27</v>
      </c>
      <c r="AY85" s="6"/>
      <c r="AZ85" s="8">
        <v>2914.47</v>
      </c>
      <c r="BA85" s="6"/>
      <c r="BB85" s="6">
        <v>100.57</v>
      </c>
      <c r="BC85" s="6"/>
      <c r="BD85" s="41">
        <f t="shared" si="24"/>
        <v>0</v>
      </c>
      <c r="BE85" s="6"/>
      <c r="BF85" s="6"/>
      <c r="BG85" s="6"/>
      <c r="BH85" s="6"/>
      <c r="BI85" s="6"/>
      <c r="BJ85" s="6"/>
      <c r="BK85" s="6"/>
      <c r="BL85" s="6"/>
      <c r="BM85" s="6"/>
      <c r="BN85" s="6"/>
      <c r="BO85" s="6"/>
      <c r="BP85" s="64" t="e">
        <f t="shared" si="25"/>
        <v>#DIV/0!</v>
      </c>
      <c r="BQ85" s="65" t="e">
        <f t="shared" si="26"/>
        <v>#DIV/0!</v>
      </c>
    </row>
    <row r="86" spans="1:69" ht="30">
      <c r="A86" s="75" t="s">
        <v>25</v>
      </c>
      <c r="B86" s="80" t="s">
        <v>569</v>
      </c>
      <c r="C86" s="80" t="s">
        <v>570</v>
      </c>
      <c r="D86" s="75" t="s">
        <v>143</v>
      </c>
      <c r="E86" s="75" t="s">
        <v>185</v>
      </c>
      <c r="F86" s="11">
        <v>15.808002</v>
      </c>
      <c r="G86" s="11">
        <v>121.143238</v>
      </c>
      <c r="H86" s="4" t="str">
        <f t="shared" si="23"/>
        <v>15.808002,121.143238</v>
      </c>
      <c r="I86" s="4" t="s">
        <v>48</v>
      </c>
      <c r="J86" s="4" t="s">
        <v>571</v>
      </c>
      <c r="K86" s="11" t="s">
        <v>513</v>
      </c>
      <c r="L86" s="11">
        <v>2019</v>
      </c>
      <c r="M86" s="11">
        <v>2028</v>
      </c>
      <c r="N86" s="11"/>
      <c r="O86" s="4" t="s">
        <v>78</v>
      </c>
      <c r="P86" s="11" t="s">
        <v>26</v>
      </c>
      <c r="Q86" s="71" t="s">
        <v>211</v>
      </c>
      <c r="R86" s="71" t="s">
        <v>212</v>
      </c>
      <c r="S86" s="11" t="s">
        <v>572</v>
      </c>
      <c r="T86" s="34">
        <v>45807</v>
      </c>
      <c r="U86" s="34">
        <v>45826</v>
      </c>
      <c r="V86" s="34">
        <v>45826</v>
      </c>
      <c r="W86" s="34">
        <v>45826</v>
      </c>
      <c r="X86" s="34">
        <v>45827</v>
      </c>
      <c r="Y86" s="45">
        <f t="shared" si="27"/>
        <v>13</v>
      </c>
      <c r="Z86" s="45">
        <f t="shared" si="28"/>
        <v>1</v>
      </c>
      <c r="AA86" s="45">
        <f t="shared" si="31"/>
        <v>1</v>
      </c>
      <c r="AB86" s="45">
        <f t="shared" si="29"/>
        <v>1</v>
      </c>
      <c r="AC86" s="7" t="s">
        <v>150</v>
      </c>
      <c r="AD86" s="11">
        <v>0.26</v>
      </c>
      <c r="AE86" s="82">
        <v>8258.3799999999992</v>
      </c>
      <c r="AF86" s="11">
        <v>87.05</v>
      </c>
      <c r="AG86" s="7" t="s">
        <v>573</v>
      </c>
      <c r="AH86" s="44" t="str">
        <f t="shared" si="32"/>
        <v>Compliant</v>
      </c>
      <c r="AI86" s="11" t="s">
        <v>49</v>
      </c>
      <c r="AJ86" s="11" t="s">
        <v>49</v>
      </c>
      <c r="AK86" s="11" t="s">
        <v>49</v>
      </c>
      <c r="AL86" s="11" t="s">
        <v>49</v>
      </c>
      <c r="AM86" s="11" t="s">
        <v>49</v>
      </c>
      <c r="AN86" s="11" t="s">
        <v>49</v>
      </c>
      <c r="AO86" s="34"/>
      <c r="AP86" s="11"/>
      <c r="AQ86" s="11"/>
      <c r="AR86" s="8">
        <v>9304.65</v>
      </c>
      <c r="AS86" s="6"/>
      <c r="AT86" s="8">
        <v>5220.84</v>
      </c>
      <c r="AU86" s="6"/>
      <c r="AV86" s="8">
        <v>2110.29</v>
      </c>
      <c r="AW86" s="6"/>
      <c r="AX86" s="6">
        <v>768.56</v>
      </c>
      <c r="AY86" s="6"/>
      <c r="AZ86" s="8">
        <v>1199.3699999999999</v>
      </c>
      <c r="BA86" s="6"/>
      <c r="BB86" s="6">
        <v>5.58</v>
      </c>
      <c r="BC86" s="6"/>
      <c r="BD86" s="41">
        <f t="shared" si="24"/>
        <v>0</v>
      </c>
      <c r="BE86" s="6"/>
      <c r="BF86" s="6"/>
      <c r="BG86" s="6"/>
      <c r="BH86" s="6"/>
      <c r="BI86" s="6"/>
      <c r="BJ86" s="6"/>
      <c r="BK86" s="6"/>
      <c r="BL86" s="6"/>
      <c r="BM86" s="6"/>
      <c r="BN86" s="6"/>
      <c r="BO86" s="6"/>
      <c r="BP86" s="64" t="e">
        <f t="shared" si="25"/>
        <v>#DIV/0!</v>
      </c>
      <c r="BQ86" s="65" t="e">
        <f t="shared" si="26"/>
        <v>#DIV/0!</v>
      </c>
    </row>
    <row r="87" spans="1:69" ht="30">
      <c r="A87" s="75" t="s">
        <v>25</v>
      </c>
      <c r="B87" s="80" t="s">
        <v>574</v>
      </c>
      <c r="C87" s="80" t="s">
        <v>575</v>
      </c>
      <c r="D87" s="75" t="s">
        <v>143</v>
      </c>
      <c r="E87" s="75" t="s">
        <v>185</v>
      </c>
      <c r="F87" s="11">
        <v>15.792271</v>
      </c>
      <c r="G87" s="11">
        <v>120.98885900000001</v>
      </c>
      <c r="H87" s="4" t="str">
        <f t="shared" si="23"/>
        <v>15.792271,120.988859</v>
      </c>
      <c r="I87" s="4" t="s">
        <v>48</v>
      </c>
      <c r="J87" s="4">
        <v>129</v>
      </c>
      <c r="K87" s="11" t="s">
        <v>527</v>
      </c>
      <c r="L87" s="11">
        <v>2015</v>
      </c>
      <c r="M87" s="11">
        <v>2023</v>
      </c>
      <c r="N87" s="11" t="s">
        <v>98</v>
      </c>
      <c r="O87" s="4" t="s">
        <v>78</v>
      </c>
      <c r="P87" s="11" t="s">
        <v>26</v>
      </c>
      <c r="Q87" s="71" t="s">
        <v>211</v>
      </c>
      <c r="R87" s="71" t="s">
        <v>212</v>
      </c>
      <c r="S87" s="11" t="s">
        <v>576</v>
      </c>
      <c r="T87" s="34">
        <v>45826</v>
      </c>
      <c r="U87" s="34">
        <v>45826</v>
      </c>
      <c r="V87" s="34">
        <v>45826</v>
      </c>
      <c r="W87" s="34">
        <v>45826</v>
      </c>
      <c r="X87" s="34">
        <v>45827</v>
      </c>
      <c r="Y87" s="45">
        <f t="shared" si="27"/>
        <v>1</v>
      </c>
      <c r="Z87" s="45">
        <f t="shared" si="28"/>
        <v>1</v>
      </c>
      <c r="AA87" s="45">
        <f t="shared" si="31"/>
        <v>1</v>
      </c>
      <c r="AB87" s="45">
        <f t="shared" si="29"/>
        <v>1</v>
      </c>
      <c r="AC87" s="7" t="s">
        <v>150</v>
      </c>
      <c r="AD87" s="11">
        <v>0.36699999999999999</v>
      </c>
      <c r="AE87" s="11" t="s">
        <v>577</v>
      </c>
      <c r="AF87" s="11">
        <v>91.3</v>
      </c>
      <c r="AG87" s="7" t="s">
        <v>287</v>
      </c>
      <c r="AH87" s="44" t="str">
        <f t="shared" si="32"/>
        <v>Compliant</v>
      </c>
      <c r="AI87" s="11" t="s">
        <v>49</v>
      </c>
      <c r="AJ87" s="11" t="s">
        <v>49</v>
      </c>
      <c r="AK87" s="11" t="s">
        <v>49</v>
      </c>
      <c r="AL87" s="11" t="s">
        <v>49</v>
      </c>
      <c r="AM87" s="11" t="s">
        <v>49</v>
      </c>
      <c r="AN87" s="11" t="s">
        <v>49</v>
      </c>
      <c r="AO87" s="34"/>
      <c r="AP87" s="11"/>
      <c r="AQ87" s="11"/>
      <c r="AR87" s="8">
        <v>64914.44</v>
      </c>
      <c r="AS87" s="6"/>
      <c r="AT87" s="8">
        <v>37780.199999999997</v>
      </c>
      <c r="AU87" s="6"/>
      <c r="AV87" s="8">
        <v>12658.32</v>
      </c>
      <c r="AW87" s="6"/>
      <c r="AX87" s="8">
        <v>8828.36</v>
      </c>
      <c r="AY87" s="6"/>
      <c r="AZ87" s="8">
        <v>4855.6000000000004</v>
      </c>
      <c r="BA87" s="6"/>
      <c r="BB87" s="6">
        <v>791.96</v>
      </c>
      <c r="BC87" s="6"/>
      <c r="BD87" s="41">
        <f t="shared" si="24"/>
        <v>0</v>
      </c>
      <c r="BE87" s="6"/>
      <c r="BF87" s="6"/>
      <c r="BG87" s="6"/>
      <c r="BH87" s="6"/>
      <c r="BI87" s="6"/>
      <c r="BJ87" s="6"/>
      <c r="BK87" s="6"/>
      <c r="BL87" s="6"/>
      <c r="BM87" s="6"/>
      <c r="BN87" s="6"/>
      <c r="BO87" s="6"/>
      <c r="BP87" s="64" t="e">
        <f t="shared" si="25"/>
        <v>#DIV/0!</v>
      </c>
      <c r="BQ87" s="65" t="e">
        <f t="shared" si="26"/>
        <v>#DIV/0!</v>
      </c>
    </row>
    <row r="88" spans="1:69">
      <c r="A88" s="75" t="s">
        <v>31</v>
      </c>
      <c r="B88" s="80" t="s">
        <v>578</v>
      </c>
      <c r="C88" s="80" t="s">
        <v>579</v>
      </c>
      <c r="D88" s="75" t="s">
        <v>143</v>
      </c>
      <c r="E88" s="75" t="s">
        <v>233</v>
      </c>
      <c r="F88" s="11">
        <v>14.9536</v>
      </c>
      <c r="G88" s="11">
        <v>120.7685</v>
      </c>
      <c r="H88" s="4" t="str">
        <f t="shared" si="23"/>
        <v>14.9536,120.7685</v>
      </c>
      <c r="I88" s="4" t="s">
        <v>48</v>
      </c>
      <c r="J88" s="4">
        <v>1241</v>
      </c>
      <c r="K88" s="11" t="s">
        <v>199</v>
      </c>
      <c r="L88" s="11">
        <v>2019</v>
      </c>
      <c r="M88" s="11">
        <v>2027</v>
      </c>
      <c r="N88" s="11"/>
      <c r="O88" s="4" t="s">
        <v>78</v>
      </c>
      <c r="P88" s="11" t="s">
        <v>34</v>
      </c>
      <c r="Q88" s="76" t="s">
        <v>28</v>
      </c>
      <c r="R88" s="76" t="s">
        <v>148</v>
      </c>
      <c r="S88" s="11" t="s">
        <v>580</v>
      </c>
      <c r="T88" s="34">
        <v>45821</v>
      </c>
      <c r="U88" s="34">
        <v>45824</v>
      </c>
      <c r="V88" s="34">
        <v>45827</v>
      </c>
      <c r="W88" s="34">
        <v>45827</v>
      </c>
      <c r="X88" s="34">
        <v>45827</v>
      </c>
      <c r="Y88" s="45">
        <f t="shared" si="27"/>
        <v>1</v>
      </c>
      <c r="Z88" s="45">
        <f t="shared" si="28"/>
        <v>3</v>
      </c>
      <c r="AA88" s="45">
        <f t="shared" si="31"/>
        <v>1</v>
      </c>
      <c r="AB88" s="45">
        <f t="shared" si="29"/>
        <v>1</v>
      </c>
      <c r="AC88" s="7" t="s">
        <v>150</v>
      </c>
      <c r="AD88" s="11">
        <v>0.20100000000000001</v>
      </c>
      <c r="AE88" s="11">
        <v>23549</v>
      </c>
      <c r="AF88" s="11">
        <v>79.45</v>
      </c>
      <c r="AG88" s="7" t="s">
        <v>404</v>
      </c>
      <c r="AH88" s="44" t="str">
        <f t="shared" si="32"/>
        <v>Not Compliant</v>
      </c>
      <c r="AI88" s="11" t="s">
        <v>56</v>
      </c>
      <c r="AJ88" s="11" t="s">
        <v>56</v>
      </c>
      <c r="AK88" s="11" t="s">
        <v>56</v>
      </c>
      <c r="AL88" s="11" t="s">
        <v>49</v>
      </c>
      <c r="AM88" s="11" t="s">
        <v>49</v>
      </c>
      <c r="AN88" s="11" t="s">
        <v>56</v>
      </c>
      <c r="AO88" s="34" t="s">
        <v>56</v>
      </c>
      <c r="AP88" s="11"/>
      <c r="AQ88" s="11"/>
      <c r="AR88" s="8">
        <v>27600.22</v>
      </c>
      <c r="AS88" s="6"/>
      <c r="AT88" s="8">
        <v>16524.25</v>
      </c>
      <c r="AU88" s="6"/>
      <c r="AV88" s="8">
        <v>5404.12</v>
      </c>
      <c r="AW88" s="6"/>
      <c r="AX88" s="8">
        <v>2318.42</v>
      </c>
      <c r="AY88" s="6"/>
      <c r="AZ88" s="8">
        <v>2735.18</v>
      </c>
      <c r="BA88" s="6"/>
      <c r="BB88" s="6">
        <v>618.24</v>
      </c>
      <c r="BC88" s="6"/>
      <c r="BD88" s="41">
        <f t="shared" si="24"/>
        <v>0</v>
      </c>
      <c r="BE88" s="6"/>
      <c r="BF88" s="6"/>
      <c r="BG88" s="6"/>
      <c r="BH88" s="6"/>
      <c r="BI88" s="6"/>
      <c r="BJ88" s="6"/>
      <c r="BK88" s="6"/>
      <c r="BL88" s="6"/>
      <c r="BM88" s="6"/>
      <c r="BN88" s="6"/>
      <c r="BO88" s="6"/>
      <c r="BP88" s="64" t="e">
        <f t="shared" si="25"/>
        <v>#DIV/0!</v>
      </c>
      <c r="BQ88" s="65" t="e">
        <f t="shared" si="26"/>
        <v>#DIV/0!</v>
      </c>
    </row>
    <row r="89" spans="1:69" ht="30">
      <c r="A89" s="75" t="s">
        <v>31</v>
      </c>
      <c r="B89" s="80" t="s">
        <v>581</v>
      </c>
      <c r="C89" s="80" t="s">
        <v>582</v>
      </c>
      <c r="D89" s="75" t="s">
        <v>143</v>
      </c>
      <c r="E89" s="9" t="s">
        <v>233</v>
      </c>
      <c r="F89" s="11">
        <v>14.8925</v>
      </c>
      <c r="G89" s="11">
        <v>120.70529999999999</v>
      </c>
      <c r="H89" s="4" t="str">
        <f t="shared" si="23"/>
        <v>14.8925,120.7053</v>
      </c>
      <c r="I89" s="4" t="s">
        <v>48</v>
      </c>
      <c r="J89" s="4" t="s">
        <v>583</v>
      </c>
      <c r="K89" s="11" t="s">
        <v>584</v>
      </c>
      <c r="L89" s="11">
        <v>2019</v>
      </c>
      <c r="M89" s="11">
        <v>2024</v>
      </c>
      <c r="N89" s="11" t="s">
        <v>98</v>
      </c>
      <c r="O89" s="4" t="s">
        <v>78</v>
      </c>
      <c r="P89" s="11" t="s">
        <v>34</v>
      </c>
      <c r="Q89" s="76" t="s">
        <v>28</v>
      </c>
      <c r="R89" s="76" t="s">
        <v>148</v>
      </c>
      <c r="S89" s="11" t="s">
        <v>585</v>
      </c>
      <c r="T89" s="34">
        <v>45818</v>
      </c>
      <c r="U89" s="34">
        <v>45824</v>
      </c>
      <c r="V89" s="34">
        <v>45826</v>
      </c>
      <c r="W89" s="34">
        <v>45827</v>
      </c>
      <c r="X89" s="34">
        <v>45827</v>
      </c>
      <c r="Y89" s="45">
        <f t="shared" si="27"/>
        <v>4</v>
      </c>
      <c r="Z89" s="45">
        <f t="shared" si="28"/>
        <v>2</v>
      </c>
      <c r="AA89" s="45">
        <f t="shared" si="31"/>
        <v>1</v>
      </c>
      <c r="AB89" s="45">
        <f t="shared" si="29"/>
        <v>1</v>
      </c>
      <c r="AC89" s="7" t="s">
        <v>150</v>
      </c>
      <c r="AD89" s="11">
        <v>0.52400000000000002</v>
      </c>
      <c r="AE89" s="763">
        <v>30966.67</v>
      </c>
      <c r="AF89" s="11">
        <v>69.05</v>
      </c>
      <c r="AG89" s="7" t="s">
        <v>361</v>
      </c>
      <c r="AH89" s="44" t="str">
        <f t="shared" si="32"/>
        <v>Not Compliant</v>
      </c>
      <c r="AI89" s="11" t="s">
        <v>49</v>
      </c>
      <c r="AJ89" s="11" t="s">
        <v>56</v>
      </c>
      <c r="AK89" s="11" t="s">
        <v>56</v>
      </c>
      <c r="AL89" s="11" t="s">
        <v>49</v>
      </c>
      <c r="AM89" s="11" t="s">
        <v>49</v>
      </c>
      <c r="AN89" s="11" t="s">
        <v>49</v>
      </c>
      <c r="AO89" s="34" t="s">
        <v>56</v>
      </c>
      <c r="AP89" s="11"/>
      <c r="AQ89" s="11"/>
      <c r="AR89" s="8">
        <v>31310.77</v>
      </c>
      <c r="AS89" s="6"/>
      <c r="AT89" s="8">
        <v>10846.05</v>
      </c>
      <c r="AU89" s="6"/>
      <c r="AV89" s="8">
        <v>10774.04</v>
      </c>
      <c r="AW89" s="6"/>
      <c r="AX89" s="8">
        <v>2877.46</v>
      </c>
      <c r="AY89" s="6"/>
      <c r="AZ89" s="8">
        <v>6058.63</v>
      </c>
      <c r="BA89" s="6"/>
      <c r="BB89" s="6">
        <v>754.59</v>
      </c>
      <c r="BC89" s="6"/>
      <c r="BD89" s="41">
        <f t="shared" si="24"/>
        <v>0</v>
      </c>
      <c r="BE89" s="6"/>
      <c r="BF89" s="6"/>
      <c r="BG89" s="6"/>
      <c r="BH89" s="6"/>
      <c r="BI89" s="6"/>
      <c r="BJ89" s="6"/>
      <c r="BK89" s="6"/>
      <c r="BL89" s="6"/>
      <c r="BM89" s="6"/>
      <c r="BN89" s="6"/>
      <c r="BO89" s="6"/>
      <c r="BP89" s="64" t="e">
        <f t="shared" si="25"/>
        <v>#DIV/0!</v>
      </c>
      <c r="BQ89" s="65" t="e">
        <f t="shared" si="26"/>
        <v>#DIV/0!</v>
      </c>
    </row>
    <row r="90" spans="1:69" ht="90">
      <c r="A90" s="74" t="s">
        <v>36</v>
      </c>
      <c r="B90" s="79" t="s">
        <v>586</v>
      </c>
      <c r="C90" s="79" t="s">
        <v>587</v>
      </c>
      <c r="D90" s="75" t="s">
        <v>159</v>
      </c>
      <c r="E90" s="11"/>
      <c r="F90" s="11">
        <v>15.480299</v>
      </c>
      <c r="G90" s="11">
        <v>120.58800599999999</v>
      </c>
      <c r="H90" s="4" t="str">
        <f t="shared" si="23"/>
        <v>15.480299,120.588006</v>
      </c>
      <c r="I90" s="9" t="s">
        <v>55</v>
      </c>
      <c r="J90" s="7" t="s">
        <v>588</v>
      </c>
      <c r="K90" s="11" t="s">
        <v>527</v>
      </c>
      <c r="L90" s="11">
        <v>2016</v>
      </c>
      <c r="M90" s="11">
        <v>2023</v>
      </c>
      <c r="N90" s="11" t="s">
        <v>98</v>
      </c>
      <c r="O90" s="4" t="s">
        <v>78</v>
      </c>
      <c r="P90" s="11" t="s">
        <v>37</v>
      </c>
      <c r="Q90" s="71"/>
      <c r="R90" s="71" t="s">
        <v>328</v>
      </c>
      <c r="S90" s="11" t="s">
        <v>589</v>
      </c>
      <c r="T90" s="34">
        <v>45827</v>
      </c>
      <c r="U90" s="34">
        <v>45827</v>
      </c>
      <c r="V90" s="34"/>
      <c r="W90" s="34">
        <v>45827</v>
      </c>
      <c r="X90" s="34">
        <v>45827</v>
      </c>
      <c r="Y90" s="45">
        <f t="shared" si="27"/>
        <v>1</v>
      </c>
      <c r="Z90" s="45" t="str">
        <f t="shared" si="28"/>
        <v/>
      </c>
      <c r="AA90" s="45">
        <f>IF(
    OR(ISBLANK(U90), ISBLANK(W90)),
    "",
    MAX(1, IF(
        NETWORKDAYS(U90, W90) &lt;= 0,
        1,
        NETWORKDAYS(U90, W90) - IF(U90 = W90, 0, 1)
    ))
)</f>
        <v>1</v>
      </c>
      <c r="AB90" s="45">
        <f t="shared" si="29"/>
        <v>1</v>
      </c>
      <c r="AC90" s="7" t="s">
        <v>150</v>
      </c>
      <c r="AD90" s="11"/>
      <c r="AE90" s="11"/>
      <c r="AF90" s="11"/>
      <c r="AG90" s="72" t="s">
        <v>590</v>
      </c>
      <c r="AH90" s="44" t="str">
        <f t="shared" si="32"/>
        <v>Compliant</v>
      </c>
      <c r="AI90" s="11" t="s">
        <v>49</v>
      </c>
      <c r="AJ90" s="11" t="s">
        <v>49</v>
      </c>
      <c r="AK90" s="11" t="s">
        <v>49</v>
      </c>
      <c r="AL90" s="11" t="s">
        <v>49</v>
      </c>
      <c r="AM90" s="11" t="s">
        <v>69</v>
      </c>
      <c r="AN90" s="11" t="s">
        <v>49</v>
      </c>
      <c r="AO90" s="34"/>
      <c r="AP90" s="11"/>
      <c r="AQ90" s="7" t="s">
        <v>591</v>
      </c>
      <c r="AR90" s="6"/>
      <c r="AS90" s="6"/>
      <c r="AT90" s="6"/>
      <c r="AU90" s="6"/>
      <c r="AV90" s="6"/>
      <c r="AW90" s="6"/>
      <c r="AX90" s="6"/>
      <c r="AY90" s="6"/>
      <c r="AZ90" s="6"/>
      <c r="BA90" s="6"/>
      <c r="BB90" s="6"/>
      <c r="BC90" s="6"/>
      <c r="BD90" s="41">
        <f t="shared" si="24"/>
        <v>0</v>
      </c>
      <c r="BE90" s="6"/>
      <c r="BF90" s="6"/>
      <c r="BG90" s="6"/>
      <c r="BH90" s="6"/>
      <c r="BI90" s="6"/>
      <c r="BJ90" s="6"/>
      <c r="BK90" s="6"/>
      <c r="BL90" s="6"/>
      <c r="BM90" s="6"/>
      <c r="BN90" s="6"/>
      <c r="BO90" s="6"/>
      <c r="BP90" s="64" t="e">
        <f t="shared" si="25"/>
        <v>#DIV/0!</v>
      </c>
      <c r="BQ90" s="65" t="e">
        <f t="shared" si="26"/>
        <v>#DIV/0!</v>
      </c>
    </row>
    <row r="91" spans="1:69" ht="30">
      <c r="A91" s="75" t="s">
        <v>40</v>
      </c>
      <c r="B91" s="80" t="s">
        <v>592</v>
      </c>
      <c r="C91" s="80" t="s">
        <v>593</v>
      </c>
      <c r="D91" s="75" t="s">
        <v>159</v>
      </c>
      <c r="E91" s="75" t="s">
        <v>160</v>
      </c>
      <c r="F91" s="11">
        <v>14.93211</v>
      </c>
      <c r="G91" s="11">
        <v>120.19997600000001</v>
      </c>
      <c r="H91" s="4" t="str">
        <f t="shared" si="23"/>
        <v>14.93211,120.199976</v>
      </c>
      <c r="I91" s="4" t="s">
        <v>48</v>
      </c>
      <c r="J91" s="7" t="s">
        <v>594</v>
      </c>
      <c r="K91" s="11" t="s">
        <v>199</v>
      </c>
      <c r="L91" s="11">
        <v>2020</v>
      </c>
      <c r="M91" s="11">
        <v>2027</v>
      </c>
      <c r="N91" s="11"/>
      <c r="O91" s="4" t="s">
        <v>78</v>
      </c>
      <c r="P91" s="11"/>
      <c r="Q91" s="71" t="s">
        <v>163</v>
      </c>
      <c r="R91" s="71" t="s">
        <v>164</v>
      </c>
      <c r="S91" s="78" t="s">
        <v>595</v>
      </c>
      <c r="T91" s="10">
        <v>45804</v>
      </c>
      <c r="U91" s="10">
        <v>45807</v>
      </c>
      <c r="V91" s="10">
        <v>45807</v>
      </c>
      <c r="W91" s="10">
        <v>45807</v>
      </c>
      <c r="X91" s="10">
        <v>45807</v>
      </c>
      <c r="Y91" s="45">
        <f t="shared" si="27"/>
        <v>3</v>
      </c>
      <c r="Z91" s="45">
        <f t="shared" si="28"/>
        <v>1</v>
      </c>
      <c r="AA91" s="45">
        <f>IF(
    OR(ISBLANK(U91), ISBLANK(W91)),
    "",
    MAX(1, IF(
        NETWORKDAYS(U91, W91) &lt;= 0,
        1,
        NETWORKDAYS(U91, W91) - IF(U91 = W91, 0, 1)
    ))
)</f>
        <v>1</v>
      </c>
      <c r="AB91" s="45">
        <f t="shared" si="29"/>
        <v>1</v>
      </c>
      <c r="AC91" s="7" t="s">
        <v>150</v>
      </c>
      <c r="AD91" s="11">
        <v>0.23400000000000001</v>
      </c>
      <c r="AE91" s="82">
        <v>15886.03</v>
      </c>
      <c r="AF91" s="83">
        <v>0.66039999999999999</v>
      </c>
      <c r="AG91" s="7" t="s">
        <v>596</v>
      </c>
      <c r="AH91" s="44" t="str">
        <f t="shared" si="32"/>
        <v>Compliant</v>
      </c>
      <c r="AI91" s="11" t="s">
        <v>49</v>
      </c>
      <c r="AJ91" s="11" t="s">
        <v>49</v>
      </c>
      <c r="AK91" s="11" t="s">
        <v>49</v>
      </c>
      <c r="AL91" s="11" t="s">
        <v>49</v>
      </c>
      <c r="AM91" s="11" t="s">
        <v>49</v>
      </c>
      <c r="AN91" s="11" t="s">
        <v>49</v>
      </c>
      <c r="AO91" s="34"/>
      <c r="AP91" s="11"/>
      <c r="AQ91" s="11"/>
      <c r="AR91" s="8">
        <v>17375.080000000002</v>
      </c>
      <c r="AS91" s="6"/>
      <c r="AT91" s="8">
        <v>3740.86</v>
      </c>
      <c r="AU91" s="6"/>
      <c r="AV91" s="8">
        <v>5996.14</v>
      </c>
      <c r="AW91" s="6"/>
      <c r="AX91" s="8">
        <v>1737.51</v>
      </c>
      <c r="AY91" s="6"/>
      <c r="AZ91" s="8">
        <v>5368.9</v>
      </c>
      <c r="BA91" s="6"/>
      <c r="BB91" s="6">
        <v>531.67999999999995</v>
      </c>
      <c r="BC91" s="6"/>
      <c r="BD91" s="41">
        <f t="shared" si="24"/>
        <v>0</v>
      </c>
      <c r="BE91" s="6"/>
      <c r="BF91" s="6"/>
      <c r="BG91" s="6"/>
      <c r="BH91" s="6"/>
      <c r="BI91" s="6"/>
      <c r="BJ91" s="6"/>
      <c r="BK91" s="6"/>
      <c r="BL91" s="6"/>
      <c r="BM91" s="6"/>
      <c r="BN91" s="6"/>
      <c r="BO91" s="6"/>
      <c r="BP91" s="64" t="e">
        <f t="shared" si="25"/>
        <v>#DIV/0!</v>
      </c>
      <c r="BQ91" s="65" t="e">
        <f t="shared" si="26"/>
        <v>#DIV/0!</v>
      </c>
    </row>
    <row r="92" spans="1:69">
      <c r="A92" s="75" t="s">
        <v>20</v>
      </c>
      <c r="B92" s="80" t="s">
        <v>597</v>
      </c>
      <c r="C92" s="80" t="s">
        <v>598</v>
      </c>
      <c r="D92" s="75" t="s">
        <v>143</v>
      </c>
      <c r="E92" s="75" t="s">
        <v>599</v>
      </c>
      <c r="F92" s="4">
        <v>14.928065309999999</v>
      </c>
      <c r="G92" s="4">
        <v>121.02828409999999</v>
      </c>
      <c r="H92" s="4" t="str">
        <f t="shared" si="23"/>
        <v>14.92806531,121.0282841</v>
      </c>
      <c r="I92" s="4" t="s">
        <v>48</v>
      </c>
      <c r="J92" s="4" t="s">
        <v>600</v>
      </c>
      <c r="K92" s="4" t="s">
        <v>199</v>
      </c>
      <c r="L92" s="4">
        <v>2018</v>
      </c>
      <c r="M92" s="4">
        <v>2027</v>
      </c>
      <c r="N92" s="4"/>
      <c r="O92" s="4" t="s">
        <v>79</v>
      </c>
      <c r="P92" s="9" t="s">
        <v>200</v>
      </c>
      <c r="Q92" s="71"/>
      <c r="R92" s="71" t="s">
        <v>201</v>
      </c>
      <c r="S92" s="15" t="s">
        <v>601</v>
      </c>
      <c r="T92" s="33">
        <v>45853</v>
      </c>
      <c r="U92" s="33">
        <v>45853</v>
      </c>
      <c r="V92" s="33"/>
      <c r="W92" s="33">
        <v>45855</v>
      </c>
      <c r="X92" s="34">
        <v>45856</v>
      </c>
      <c r="Y92" s="45">
        <f t="shared" si="27"/>
        <v>1</v>
      </c>
      <c r="Z92" s="45" t="str">
        <f t="shared" si="28"/>
        <v/>
      </c>
      <c r="AA92" s="45">
        <f t="shared" ref="AA92:AA100" si="33">IF(
  OR(IF(V92&lt;&gt;"", V92, U92)="", W92=""),
  "",
  MAX(1,
    IF(
      NETWORKDAYS(IF(V92&lt;&gt;"", V92, U92), W92) &lt;= 0,
      1,
      NETWORKDAYS(IF(V92&lt;&gt;"", V92, U92), W92) - IF(IF(V92&lt;&gt;"", V92, U92)=W92, 0, 1)
    )
  )
)</f>
        <v>2</v>
      </c>
      <c r="AB92" s="45">
        <f t="shared" si="29"/>
        <v>1</v>
      </c>
      <c r="AC92" s="7" t="s">
        <v>150</v>
      </c>
      <c r="AD92" s="11">
        <v>0.26800000000000002</v>
      </c>
      <c r="AE92" s="82">
        <v>21646.9</v>
      </c>
      <c r="AF92" s="11"/>
      <c r="AG92" s="7" t="s">
        <v>602</v>
      </c>
      <c r="AH92" s="44" t="s">
        <v>151</v>
      </c>
      <c r="AI92" s="7"/>
      <c r="AJ92" s="7"/>
      <c r="AK92" s="7"/>
      <c r="AL92" s="7"/>
      <c r="AM92" s="7"/>
      <c r="AN92" s="7"/>
      <c r="AO92" s="33"/>
      <c r="AP92" s="4"/>
      <c r="AQ92" s="11"/>
      <c r="AR92" s="8">
        <v>21647.54</v>
      </c>
      <c r="AS92" s="6"/>
      <c r="AT92" s="8">
        <v>10535.86</v>
      </c>
      <c r="AU92" s="6"/>
      <c r="AV92" s="8">
        <v>5266.85</v>
      </c>
      <c r="AW92" s="6"/>
      <c r="AX92" s="8">
        <v>2374.7399999999998</v>
      </c>
      <c r="AY92" s="6"/>
      <c r="AZ92" s="8">
        <v>3195.18</v>
      </c>
      <c r="BA92" s="6"/>
      <c r="BB92" s="6">
        <v>274.92</v>
      </c>
      <c r="BC92" s="6"/>
      <c r="BD92" s="41">
        <f t="shared" si="24"/>
        <v>0</v>
      </c>
      <c r="BE92" s="6"/>
      <c r="BF92" s="6"/>
      <c r="BG92" s="6"/>
      <c r="BH92" s="6"/>
      <c r="BI92" s="6"/>
      <c r="BJ92" s="6"/>
      <c r="BK92" s="6"/>
      <c r="BL92" s="6"/>
      <c r="BM92" s="6"/>
      <c r="BN92" s="6"/>
      <c r="BO92" s="6"/>
      <c r="BP92" s="64" t="e">
        <f t="shared" si="25"/>
        <v>#DIV/0!</v>
      </c>
      <c r="BQ92" s="65" t="e">
        <f t="shared" si="26"/>
        <v>#DIV/0!</v>
      </c>
    </row>
    <row r="93" spans="1:69">
      <c r="A93" s="75" t="s">
        <v>20</v>
      </c>
      <c r="B93" s="80" t="s">
        <v>603</v>
      </c>
      <c r="C93" s="80" t="s">
        <v>604</v>
      </c>
      <c r="D93" s="75" t="s">
        <v>143</v>
      </c>
      <c r="E93" s="75" t="s">
        <v>554</v>
      </c>
      <c r="F93" s="9">
        <v>14.86572366</v>
      </c>
      <c r="G93" s="9">
        <v>120.9581422</v>
      </c>
      <c r="H93" s="4" t="str">
        <f t="shared" si="23"/>
        <v>14.86572366,120.9581422</v>
      </c>
      <c r="I93" s="4" t="s">
        <v>48</v>
      </c>
      <c r="J93" s="4" t="s">
        <v>605</v>
      </c>
      <c r="K93" s="9" t="s">
        <v>606</v>
      </c>
      <c r="L93" s="9">
        <v>2020</v>
      </c>
      <c r="M93" s="9">
        <v>2028</v>
      </c>
      <c r="N93" s="9"/>
      <c r="O93" s="9" t="s">
        <v>79</v>
      </c>
      <c r="P93" s="9" t="s">
        <v>200</v>
      </c>
      <c r="Q93" s="71"/>
      <c r="R93" s="71" t="s">
        <v>201</v>
      </c>
      <c r="S93" s="11" t="s">
        <v>607</v>
      </c>
      <c r="T93" s="35">
        <v>45847</v>
      </c>
      <c r="U93" s="35">
        <v>45849</v>
      </c>
      <c r="V93" s="35"/>
      <c r="W93" s="35">
        <v>45855</v>
      </c>
      <c r="X93" s="34">
        <v>45856</v>
      </c>
      <c r="Y93" s="45">
        <f t="shared" si="27"/>
        <v>2</v>
      </c>
      <c r="Z93" s="45" t="str">
        <f t="shared" si="28"/>
        <v/>
      </c>
      <c r="AA93" s="45">
        <f t="shared" si="33"/>
        <v>4</v>
      </c>
      <c r="AB93" s="45">
        <f t="shared" si="29"/>
        <v>1</v>
      </c>
      <c r="AC93" s="7" t="s">
        <v>150</v>
      </c>
      <c r="AD93" s="11">
        <v>0.62</v>
      </c>
      <c r="AE93" s="78">
        <v>0.62</v>
      </c>
      <c r="AF93" s="11"/>
      <c r="AG93" s="81" t="s">
        <v>330</v>
      </c>
      <c r="AH93" s="44"/>
      <c r="AI93" s="7"/>
      <c r="AJ93" s="7"/>
      <c r="AK93" s="7"/>
      <c r="AL93" s="7"/>
      <c r="AM93" s="7"/>
      <c r="AN93" s="7"/>
      <c r="AO93" s="35"/>
      <c r="AP93" s="4"/>
      <c r="AQ93" s="11"/>
      <c r="AR93" s="8">
        <v>289381.45</v>
      </c>
      <c r="AS93" s="6"/>
      <c r="AT93" s="8">
        <v>158812.54</v>
      </c>
      <c r="AU93" s="6"/>
      <c r="AV93" s="8">
        <v>71477.22</v>
      </c>
      <c r="AW93" s="6"/>
      <c r="AX93" s="8">
        <v>17825.900000000001</v>
      </c>
      <c r="AY93" s="6"/>
      <c r="AZ93" s="8">
        <v>30761.25</v>
      </c>
      <c r="BA93" s="6"/>
      <c r="BB93" s="8">
        <v>10504.55</v>
      </c>
      <c r="BC93" s="6"/>
      <c r="BD93" s="41">
        <f t="shared" si="24"/>
        <v>0</v>
      </c>
      <c r="BE93" s="6"/>
      <c r="BF93" s="6"/>
      <c r="BG93" s="6"/>
      <c r="BH93" s="6"/>
      <c r="BI93" s="6"/>
      <c r="BJ93" s="6"/>
      <c r="BK93" s="6"/>
      <c r="BL93" s="6"/>
      <c r="BM93" s="6"/>
      <c r="BN93" s="6"/>
      <c r="BO93" s="6"/>
      <c r="BP93" s="64" t="e">
        <f t="shared" si="25"/>
        <v>#DIV/0!</v>
      </c>
      <c r="BQ93" s="65" t="e">
        <f t="shared" si="26"/>
        <v>#DIV/0!</v>
      </c>
    </row>
    <row r="94" spans="1:69">
      <c r="A94" s="75" t="s">
        <v>20</v>
      </c>
      <c r="B94" s="80" t="s">
        <v>608</v>
      </c>
      <c r="C94" s="80" t="s">
        <v>609</v>
      </c>
      <c r="D94" s="75" t="s">
        <v>143</v>
      </c>
      <c r="E94" s="75" t="s">
        <v>599</v>
      </c>
      <c r="F94" s="9">
        <v>14.81955522</v>
      </c>
      <c r="G94" s="9">
        <v>120.9601016</v>
      </c>
      <c r="H94" s="4" t="str">
        <f t="shared" si="23"/>
        <v>14.81955522,120.9601016</v>
      </c>
      <c r="I94" s="4" t="s">
        <v>48</v>
      </c>
      <c r="J94" s="4" t="s">
        <v>610</v>
      </c>
      <c r="K94" s="9" t="s">
        <v>155</v>
      </c>
      <c r="L94" s="9">
        <v>2015</v>
      </c>
      <c r="M94" s="9">
        <v>2024</v>
      </c>
      <c r="N94" s="11" t="s">
        <v>98</v>
      </c>
      <c r="O94" s="4" t="s">
        <v>79</v>
      </c>
      <c r="P94" s="4" t="s">
        <v>508</v>
      </c>
      <c r="Q94" s="71"/>
      <c r="R94" s="71" t="s">
        <v>201</v>
      </c>
      <c r="S94" s="13" t="s">
        <v>611</v>
      </c>
      <c r="T94" s="35">
        <v>45846</v>
      </c>
      <c r="U94" s="35">
        <v>45855</v>
      </c>
      <c r="V94" s="35"/>
      <c r="W94" s="35">
        <v>45856</v>
      </c>
      <c r="X94" s="34">
        <v>45856</v>
      </c>
      <c r="Y94" s="45">
        <f t="shared" si="27"/>
        <v>7</v>
      </c>
      <c r="Z94" s="45" t="str">
        <f t="shared" si="28"/>
        <v/>
      </c>
      <c r="AA94" s="45">
        <f t="shared" si="33"/>
        <v>1</v>
      </c>
      <c r="AB94" s="45">
        <f t="shared" si="29"/>
        <v>1</v>
      </c>
      <c r="AC94" s="7" t="s">
        <v>150</v>
      </c>
      <c r="AD94" s="11">
        <v>0.44</v>
      </c>
      <c r="AE94" s="117">
        <v>106491</v>
      </c>
      <c r="AF94" s="11"/>
      <c r="AG94" s="7" t="s">
        <v>612</v>
      </c>
      <c r="AH94" s="44" t="s">
        <v>151</v>
      </c>
      <c r="AI94" s="7" t="s">
        <v>49</v>
      </c>
      <c r="AJ94" s="7" t="s">
        <v>49</v>
      </c>
      <c r="AK94" s="7" t="s">
        <v>613</v>
      </c>
      <c r="AL94" s="7" t="s">
        <v>49</v>
      </c>
      <c r="AM94" s="7" t="s">
        <v>49</v>
      </c>
      <c r="AN94" s="7" t="s">
        <v>49</v>
      </c>
      <c r="AO94" s="35"/>
      <c r="AP94" s="4"/>
      <c r="AQ94" s="11"/>
      <c r="AR94" s="8">
        <v>163237.41</v>
      </c>
      <c r="AS94" s="6"/>
      <c r="AT94" s="8">
        <v>55941.46</v>
      </c>
      <c r="AU94" s="6"/>
      <c r="AV94" s="8">
        <v>46408.39</v>
      </c>
      <c r="AW94" s="6"/>
      <c r="AX94" s="8">
        <v>25856.799999999999</v>
      </c>
      <c r="AY94" s="6"/>
      <c r="AZ94" s="8">
        <v>25840.48</v>
      </c>
      <c r="BA94" s="6"/>
      <c r="BB94" s="8">
        <v>9190.27</v>
      </c>
      <c r="BC94" s="6"/>
      <c r="BD94" s="41">
        <f t="shared" si="24"/>
        <v>0</v>
      </c>
      <c r="BE94" s="6"/>
      <c r="BF94" s="6"/>
      <c r="BG94" s="6"/>
      <c r="BH94" s="6"/>
      <c r="BI94" s="6"/>
      <c r="BJ94" s="6"/>
      <c r="BK94" s="6"/>
      <c r="BL94" s="6"/>
      <c r="BM94" s="6"/>
      <c r="BN94" s="6"/>
      <c r="BO94" s="6"/>
      <c r="BP94" s="64" t="e">
        <f t="shared" si="25"/>
        <v>#DIV/0!</v>
      </c>
      <c r="BQ94" s="65" t="e">
        <f t="shared" si="26"/>
        <v>#DIV/0!</v>
      </c>
    </row>
    <row r="95" spans="1:69" ht="30">
      <c r="A95" s="75" t="s">
        <v>25</v>
      </c>
      <c r="B95" s="80" t="s">
        <v>614</v>
      </c>
      <c r="C95" s="80" t="s">
        <v>615</v>
      </c>
      <c r="D95" s="75" t="s">
        <v>143</v>
      </c>
      <c r="E95" s="75" t="s">
        <v>144</v>
      </c>
      <c r="F95" s="4">
        <v>15.455567</v>
      </c>
      <c r="G95" s="4">
        <v>121.33825</v>
      </c>
      <c r="H95" s="4" t="str">
        <f t="shared" si="23"/>
        <v>15.455567,121.33825</v>
      </c>
      <c r="I95" s="4" t="s">
        <v>48</v>
      </c>
      <c r="J95" s="4" t="s">
        <v>616</v>
      </c>
      <c r="K95" s="4" t="s">
        <v>301</v>
      </c>
      <c r="L95" s="4">
        <v>2019</v>
      </c>
      <c r="M95" s="4">
        <v>2027</v>
      </c>
      <c r="N95" s="4"/>
      <c r="O95" s="4" t="s">
        <v>79</v>
      </c>
      <c r="P95" s="9" t="s">
        <v>267</v>
      </c>
      <c r="Q95" s="71" t="s">
        <v>28</v>
      </c>
      <c r="R95" s="71" t="s">
        <v>212</v>
      </c>
      <c r="S95" s="16" t="s">
        <v>617</v>
      </c>
      <c r="T95" s="33">
        <v>45848</v>
      </c>
      <c r="U95" s="33">
        <v>45856</v>
      </c>
      <c r="V95" s="33">
        <v>45856</v>
      </c>
      <c r="W95" s="33">
        <v>45859</v>
      </c>
      <c r="X95" s="33">
        <v>45859</v>
      </c>
      <c r="Y95" s="45">
        <f t="shared" si="27"/>
        <v>6</v>
      </c>
      <c r="Z95" s="45">
        <f t="shared" si="28"/>
        <v>1</v>
      </c>
      <c r="AA95" s="45">
        <f t="shared" si="33"/>
        <v>1</v>
      </c>
      <c r="AB95" s="45">
        <f t="shared" si="29"/>
        <v>1</v>
      </c>
      <c r="AC95" s="7" t="s">
        <v>150</v>
      </c>
      <c r="AD95" s="668">
        <v>0.35499999999999998</v>
      </c>
      <c r="AE95" s="368">
        <v>16528.240000000002</v>
      </c>
      <c r="AF95" s="11">
        <v>75.650000000000006</v>
      </c>
      <c r="AG95" s="7" t="s">
        <v>269</v>
      </c>
      <c r="AH95" s="44" t="str">
        <f t="shared" ref="AH95:AH102" si="34">IF(AND(AI95 = "YES", AJ95 = "YES", AK95 = "YES", AL95 = "YES", AN95 = "YES"), "Compliant", "Not Compliant")</f>
        <v>Compliant</v>
      </c>
      <c r="AI95" s="7" t="s">
        <v>49</v>
      </c>
      <c r="AJ95" s="7" t="s">
        <v>49</v>
      </c>
      <c r="AK95" s="7" t="s">
        <v>49</v>
      </c>
      <c r="AL95" s="7" t="s">
        <v>49</v>
      </c>
      <c r="AM95" s="7" t="s">
        <v>49</v>
      </c>
      <c r="AN95" s="7" t="s">
        <v>49</v>
      </c>
      <c r="AO95" s="33"/>
      <c r="AP95" s="4"/>
      <c r="AQ95" s="11"/>
      <c r="AR95" s="8">
        <v>16858.8</v>
      </c>
      <c r="AS95" s="6"/>
      <c r="AT95" s="8">
        <v>9334.7199999999993</v>
      </c>
      <c r="AU95" s="6"/>
      <c r="AV95" s="8">
        <v>3418.97</v>
      </c>
      <c r="AW95" s="6"/>
      <c r="AX95" s="8">
        <v>2764.84</v>
      </c>
      <c r="AY95" s="6"/>
      <c r="AZ95" s="8">
        <v>1229.01</v>
      </c>
      <c r="BA95" s="6"/>
      <c r="BB95" s="6">
        <v>111.27</v>
      </c>
      <c r="BC95" s="6"/>
      <c r="BD95" s="41">
        <f t="shared" si="24"/>
        <v>0</v>
      </c>
      <c r="BE95" s="6"/>
      <c r="BF95" s="6"/>
      <c r="BG95" s="6"/>
      <c r="BH95" s="6"/>
      <c r="BI95" s="6"/>
      <c r="BJ95" s="6"/>
      <c r="BK95" s="6"/>
      <c r="BL95" s="6"/>
      <c r="BM95" s="6"/>
      <c r="BN95" s="6"/>
      <c r="BO95" s="6"/>
      <c r="BP95" s="64" t="e">
        <f t="shared" si="25"/>
        <v>#DIV/0!</v>
      </c>
      <c r="BQ95" s="65" t="e">
        <f t="shared" si="26"/>
        <v>#DIV/0!</v>
      </c>
    </row>
    <row r="96" spans="1:69" ht="30">
      <c r="A96" s="75" t="s">
        <v>25</v>
      </c>
      <c r="B96" s="80" t="s">
        <v>618</v>
      </c>
      <c r="C96" s="80" t="s">
        <v>619</v>
      </c>
      <c r="D96" s="75" t="s">
        <v>143</v>
      </c>
      <c r="E96" s="75" t="s">
        <v>144</v>
      </c>
      <c r="F96" s="4">
        <v>15.602760999999999</v>
      </c>
      <c r="G96" s="4">
        <v>121.04995099999999</v>
      </c>
      <c r="H96" s="4" t="str">
        <f t="shared" si="23"/>
        <v>15.602761,121.049951</v>
      </c>
      <c r="I96" s="4" t="s">
        <v>48</v>
      </c>
      <c r="J96" s="4" t="s">
        <v>620</v>
      </c>
      <c r="K96" s="4" t="s">
        <v>199</v>
      </c>
      <c r="L96" s="4">
        <v>2018</v>
      </c>
      <c r="M96" s="4">
        <v>2027</v>
      </c>
      <c r="N96" s="4"/>
      <c r="O96" s="4" t="s">
        <v>79</v>
      </c>
      <c r="P96" s="4" t="s">
        <v>26</v>
      </c>
      <c r="Q96" s="71" t="s">
        <v>211</v>
      </c>
      <c r="R96" s="71" t="s">
        <v>212</v>
      </c>
      <c r="S96" s="7" t="s">
        <v>621</v>
      </c>
      <c r="T96" s="33">
        <v>45849</v>
      </c>
      <c r="U96" s="33">
        <v>45852</v>
      </c>
      <c r="V96" s="33">
        <v>45853</v>
      </c>
      <c r="W96" s="33">
        <v>45854</v>
      </c>
      <c r="X96" s="33">
        <v>45855</v>
      </c>
      <c r="Y96" s="45">
        <f t="shared" si="27"/>
        <v>1</v>
      </c>
      <c r="Z96" s="45">
        <f t="shared" si="28"/>
        <v>1</v>
      </c>
      <c r="AA96" s="45">
        <f t="shared" si="33"/>
        <v>1</v>
      </c>
      <c r="AB96" s="45">
        <f t="shared" si="29"/>
        <v>1</v>
      </c>
      <c r="AC96" s="7" t="s">
        <v>150</v>
      </c>
      <c r="AD96" s="78">
        <v>0.25</v>
      </c>
      <c r="AF96" s="11">
        <v>91.25</v>
      </c>
      <c r="AG96" s="81" t="s">
        <v>404</v>
      </c>
      <c r="AH96" s="44" t="str">
        <f t="shared" si="34"/>
        <v>Compliant</v>
      </c>
      <c r="AI96" s="7" t="s">
        <v>49</v>
      </c>
      <c r="AJ96" s="7" t="s">
        <v>49</v>
      </c>
      <c r="AK96" s="7" t="s">
        <v>49</v>
      </c>
      <c r="AL96" s="7" t="s">
        <v>49</v>
      </c>
      <c r="AM96" s="7" t="s">
        <v>49</v>
      </c>
      <c r="AN96" s="7" t="s">
        <v>49</v>
      </c>
      <c r="AO96" s="33"/>
      <c r="AP96" s="4"/>
      <c r="AQ96" s="11"/>
      <c r="AR96" s="8">
        <v>10690</v>
      </c>
      <c r="AS96" s="6">
        <v>0.25</v>
      </c>
      <c r="AT96" s="8">
        <v>6812.11</v>
      </c>
      <c r="AU96" s="6">
        <v>60.95</v>
      </c>
      <c r="AV96" s="8">
        <v>3386.05</v>
      </c>
      <c r="AW96" s="6">
        <v>30</v>
      </c>
      <c r="AX96" s="8" t="s">
        <v>622</v>
      </c>
      <c r="AY96" s="6"/>
      <c r="AZ96" s="8">
        <v>527.12</v>
      </c>
      <c r="BA96" s="6">
        <v>4.72</v>
      </c>
      <c r="BB96" s="6">
        <v>450.85</v>
      </c>
      <c r="BC96" s="6">
        <v>4.03</v>
      </c>
      <c r="BD96" s="41">
        <f t="shared" si="24"/>
        <v>0</v>
      </c>
      <c r="BE96" s="6"/>
      <c r="BF96" s="6"/>
      <c r="BG96" s="6"/>
      <c r="BH96" s="6"/>
      <c r="BI96" s="6"/>
      <c r="BJ96" s="6"/>
      <c r="BK96" s="6"/>
      <c r="BL96" s="6"/>
      <c r="BM96" s="6"/>
      <c r="BN96" s="6"/>
      <c r="BO96" s="6"/>
      <c r="BP96" s="64" t="e">
        <f t="shared" si="25"/>
        <v>#DIV/0!</v>
      </c>
      <c r="BQ96" s="65" t="e">
        <f t="shared" si="26"/>
        <v>#DIV/0!</v>
      </c>
    </row>
    <row r="97" spans="1:69">
      <c r="A97" s="75" t="s">
        <v>25</v>
      </c>
      <c r="B97" s="80" t="s">
        <v>623</v>
      </c>
      <c r="C97" s="80" t="s">
        <v>624</v>
      </c>
      <c r="D97" s="75" t="s">
        <v>143</v>
      </c>
      <c r="E97" s="75" t="s">
        <v>144</v>
      </c>
      <c r="F97" s="9">
        <v>15.571914</v>
      </c>
      <c r="G97" s="9">
        <v>121.16845600000001</v>
      </c>
      <c r="H97" s="4" t="str">
        <f t="shared" si="23"/>
        <v>15.571914,121.168456</v>
      </c>
      <c r="I97" s="4" t="s">
        <v>48</v>
      </c>
      <c r="J97" s="4">
        <v>195</v>
      </c>
      <c r="K97" s="9" t="s">
        <v>380</v>
      </c>
      <c r="L97" s="9">
        <v>2015</v>
      </c>
      <c r="M97" s="9">
        <v>2025</v>
      </c>
      <c r="N97" s="11" t="s">
        <v>98</v>
      </c>
      <c r="O97" s="4" t="s">
        <v>79</v>
      </c>
      <c r="P97" s="9" t="s">
        <v>267</v>
      </c>
      <c r="Q97" s="71" t="s">
        <v>28</v>
      </c>
      <c r="R97" s="71" t="s">
        <v>212</v>
      </c>
      <c r="S97" s="11" t="s">
        <v>625</v>
      </c>
      <c r="T97" s="35">
        <v>45848</v>
      </c>
      <c r="U97" s="35">
        <v>45856</v>
      </c>
      <c r="V97" s="35">
        <v>45856</v>
      </c>
      <c r="W97" s="35">
        <v>45859</v>
      </c>
      <c r="X97" s="35">
        <v>45859</v>
      </c>
      <c r="Y97" s="45">
        <f t="shared" si="27"/>
        <v>6</v>
      </c>
      <c r="Z97" s="45">
        <f t="shared" si="28"/>
        <v>1</v>
      </c>
      <c r="AA97" s="45">
        <f t="shared" si="33"/>
        <v>1</v>
      </c>
      <c r="AB97" s="45">
        <f t="shared" si="29"/>
        <v>1</v>
      </c>
      <c r="AC97" s="7" t="s">
        <v>150</v>
      </c>
      <c r="AD97" s="11">
        <v>0.27300000000000002</v>
      </c>
      <c r="AE97" s="11" t="s">
        <v>626</v>
      </c>
      <c r="AF97" s="11">
        <v>76.53</v>
      </c>
      <c r="AG97" s="7" t="s">
        <v>404</v>
      </c>
      <c r="AH97" s="44" t="str">
        <f t="shared" si="34"/>
        <v>Not Compliant</v>
      </c>
      <c r="AI97" s="7" t="s">
        <v>49</v>
      </c>
      <c r="AJ97" s="7" t="s">
        <v>49</v>
      </c>
      <c r="AK97" s="7" t="s">
        <v>49</v>
      </c>
      <c r="AL97" s="7" t="s">
        <v>49</v>
      </c>
      <c r="AM97" s="7" t="s">
        <v>49</v>
      </c>
      <c r="AN97" s="7" t="s">
        <v>56</v>
      </c>
      <c r="AO97" s="35"/>
      <c r="AP97" s="4"/>
      <c r="AQ97" s="11"/>
      <c r="AR97" s="8">
        <v>11883.98</v>
      </c>
      <c r="AS97" s="6"/>
      <c r="AT97" s="8">
        <v>7514.24</v>
      </c>
      <c r="AU97" s="6"/>
      <c r="AV97" s="8">
        <v>1580.57</v>
      </c>
      <c r="AW97" s="6"/>
      <c r="AX97" s="6">
        <v>937.65</v>
      </c>
      <c r="AY97" s="6"/>
      <c r="AZ97" s="8">
        <v>1741</v>
      </c>
      <c r="BA97" s="6"/>
      <c r="BB97" s="6">
        <v>110.52</v>
      </c>
      <c r="BC97" s="6"/>
      <c r="BD97" s="41">
        <f t="shared" si="24"/>
        <v>0</v>
      </c>
      <c r="BE97" s="6"/>
      <c r="BF97" s="6"/>
      <c r="BG97" s="6"/>
      <c r="BH97" s="6"/>
      <c r="BI97" s="6"/>
      <c r="BJ97" s="6"/>
      <c r="BK97" s="6"/>
      <c r="BL97" s="6"/>
      <c r="BM97" s="6"/>
      <c r="BN97" s="6"/>
      <c r="BO97" s="6"/>
      <c r="BP97" s="64" t="e">
        <f t="shared" si="25"/>
        <v>#DIV/0!</v>
      </c>
      <c r="BQ97" s="65" t="e">
        <f t="shared" si="26"/>
        <v>#DIV/0!</v>
      </c>
    </row>
    <row r="98" spans="1:69">
      <c r="A98" s="75" t="s">
        <v>31</v>
      </c>
      <c r="B98" s="80" t="s">
        <v>627</v>
      </c>
      <c r="C98" s="80" t="s">
        <v>628</v>
      </c>
      <c r="D98" s="75" t="s">
        <v>143</v>
      </c>
      <c r="E98" s="9" t="s">
        <v>233</v>
      </c>
      <c r="F98" s="11">
        <v>15.038968000000001</v>
      </c>
      <c r="G98" s="11">
        <v>120.78927899999999</v>
      </c>
      <c r="H98" s="4" t="str">
        <f t="shared" ref="H98:H129" si="35">CONCATENATE(F98,",",G98)</f>
        <v>15.038968,120.789279</v>
      </c>
      <c r="I98" s="4" t="s">
        <v>48</v>
      </c>
      <c r="J98" s="4" t="s">
        <v>629</v>
      </c>
      <c r="K98" s="11" t="s">
        <v>218</v>
      </c>
      <c r="L98" s="11">
        <v>2018</v>
      </c>
      <c r="M98" s="11">
        <v>2027</v>
      </c>
      <c r="N98" s="11"/>
      <c r="O98" s="11" t="s">
        <v>79</v>
      </c>
      <c r="P98" s="11" t="s">
        <v>34</v>
      </c>
      <c r="Q98" s="71" t="s">
        <v>28</v>
      </c>
      <c r="R98" s="76" t="s">
        <v>148</v>
      </c>
      <c r="S98" s="11" t="s">
        <v>630</v>
      </c>
      <c r="T98" s="34">
        <v>45853</v>
      </c>
      <c r="U98" s="34">
        <v>45856</v>
      </c>
      <c r="V98" s="34">
        <v>45856</v>
      </c>
      <c r="W98" s="34">
        <v>45856</v>
      </c>
      <c r="X98" s="34">
        <v>45859</v>
      </c>
      <c r="Y98" s="45">
        <f t="shared" si="27"/>
        <v>3</v>
      </c>
      <c r="Z98" s="45">
        <f t="shared" si="28"/>
        <v>1</v>
      </c>
      <c r="AA98" s="45">
        <f t="shared" si="33"/>
        <v>1</v>
      </c>
      <c r="AB98" s="45">
        <f t="shared" si="29"/>
        <v>1</v>
      </c>
      <c r="AC98" s="7" t="s">
        <v>150</v>
      </c>
      <c r="AD98" s="78">
        <v>0.22800000000000001</v>
      </c>
      <c r="AE98" s="78">
        <v>13713.74</v>
      </c>
      <c r="AF98" s="11">
        <v>64.77</v>
      </c>
      <c r="AG98" s="7" t="s">
        <v>330</v>
      </c>
      <c r="AH98" s="44" t="str">
        <f t="shared" si="34"/>
        <v>Not Compliant</v>
      </c>
      <c r="AI98" s="11" t="s">
        <v>56</v>
      </c>
      <c r="AJ98" s="11" t="s">
        <v>49</v>
      </c>
      <c r="AK98" s="11" t="s">
        <v>56</v>
      </c>
      <c r="AL98" s="11" t="s">
        <v>49</v>
      </c>
      <c r="AM98" s="11" t="s">
        <v>49</v>
      </c>
      <c r="AN98" s="11" t="s">
        <v>56</v>
      </c>
      <c r="AO98" s="34" t="s">
        <v>56</v>
      </c>
      <c r="AP98" s="11"/>
      <c r="AQ98" s="11"/>
      <c r="AR98" s="8">
        <v>15646.11</v>
      </c>
      <c r="AS98" s="6"/>
      <c r="AT98" s="8">
        <v>6203.68</v>
      </c>
      <c r="AU98" s="6"/>
      <c r="AV98" s="8">
        <v>1619.37</v>
      </c>
      <c r="AW98" s="6"/>
      <c r="AX98" s="6">
        <v>797.95</v>
      </c>
      <c r="AY98" s="6"/>
      <c r="AZ98" s="8">
        <v>6729.39</v>
      </c>
      <c r="BA98" s="6"/>
      <c r="BB98" s="6">
        <v>295.70999999999998</v>
      </c>
      <c r="BC98" s="6"/>
      <c r="BD98" s="41">
        <f t="shared" ref="BD98:BD130" si="36">SUM(BF98,BH98,BJ98,BL98,BN98)</f>
        <v>0</v>
      </c>
      <c r="BE98" s="6"/>
      <c r="BF98" s="6"/>
      <c r="BG98" s="6"/>
      <c r="BH98" s="6"/>
      <c r="BI98" s="6"/>
      <c r="BJ98" s="6"/>
      <c r="BK98" s="6"/>
      <c r="BL98" s="6"/>
      <c r="BM98" s="6"/>
      <c r="BN98" s="6"/>
      <c r="BO98" s="6"/>
      <c r="BP98" s="64" t="e">
        <f t="shared" ref="BP98:BP130" si="37">SUM(BF98,BH98,BJ98)/BD98*100</f>
        <v>#DIV/0!</v>
      </c>
      <c r="BQ98" s="65" t="e">
        <f t="shared" ref="BQ98:BQ130" si="38">SUM(BL98,BN98)/BD98*100</f>
        <v>#DIV/0!</v>
      </c>
    </row>
    <row r="99" spans="1:69">
      <c r="A99" s="75" t="s">
        <v>31</v>
      </c>
      <c r="B99" s="80" t="s">
        <v>631</v>
      </c>
      <c r="C99" s="80" t="s">
        <v>632</v>
      </c>
      <c r="D99" s="75" t="s">
        <v>143</v>
      </c>
      <c r="E99" s="9" t="s">
        <v>144</v>
      </c>
      <c r="F99" s="11">
        <v>15.0839</v>
      </c>
      <c r="G99" s="11">
        <v>120.76309999999999</v>
      </c>
      <c r="H99" s="4" t="str">
        <f t="shared" si="35"/>
        <v>15.0839,120.7631</v>
      </c>
      <c r="I99" s="4" t="s">
        <v>48</v>
      </c>
      <c r="J99" s="4" t="s">
        <v>633</v>
      </c>
      <c r="K99" s="11" t="s">
        <v>301</v>
      </c>
      <c r="L99" s="11">
        <v>2019</v>
      </c>
      <c r="M99" s="11">
        <v>2027</v>
      </c>
      <c r="N99" s="11"/>
      <c r="O99" s="11" t="s">
        <v>79</v>
      </c>
      <c r="P99" s="11" t="s">
        <v>32</v>
      </c>
      <c r="Q99" s="71" t="s">
        <v>28</v>
      </c>
      <c r="R99" s="76" t="s">
        <v>148</v>
      </c>
      <c r="S99" s="11" t="s">
        <v>634</v>
      </c>
      <c r="T99" s="34">
        <v>45848</v>
      </c>
      <c r="U99" s="34">
        <v>45854</v>
      </c>
      <c r="V99" s="34">
        <v>45856</v>
      </c>
      <c r="W99" s="34">
        <v>45856</v>
      </c>
      <c r="X99" s="34">
        <v>45856</v>
      </c>
      <c r="Y99" s="45">
        <f t="shared" si="27"/>
        <v>4</v>
      </c>
      <c r="Z99" s="45">
        <f t="shared" si="28"/>
        <v>2</v>
      </c>
      <c r="AA99" s="45">
        <f t="shared" si="33"/>
        <v>1</v>
      </c>
      <c r="AB99" s="45">
        <f t="shared" si="29"/>
        <v>1</v>
      </c>
      <c r="AC99" s="7" t="s">
        <v>150</v>
      </c>
      <c r="AD99" s="11">
        <v>0.20100000000000001</v>
      </c>
      <c r="AE99" s="753">
        <v>23549.16</v>
      </c>
      <c r="AF99" s="11">
        <v>79.45</v>
      </c>
      <c r="AG99" s="7" t="s">
        <v>635</v>
      </c>
      <c r="AH99" s="44" t="str">
        <f t="shared" si="34"/>
        <v>Not Compliant</v>
      </c>
      <c r="AI99" s="11"/>
      <c r="AJ99" s="11"/>
      <c r="AK99" s="11"/>
      <c r="AL99" s="11"/>
      <c r="AM99" s="11"/>
      <c r="AN99" s="11"/>
      <c r="AO99" s="34"/>
      <c r="AP99" s="11"/>
      <c r="AQ99" s="11"/>
      <c r="AR99" s="8">
        <v>27079.99</v>
      </c>
      <c r="AS99" s="6"/>
      <c r="AT99" s="8">
        <v>8124</v>
      </c>
      <c r="AU99" s="6"/>
      <c r="AV99" s="8">
        <v>4332.8</v>
      </c>
      <c r="AW99" s="6"/>
      <c r="AX99" s="8">
        <v>10019.6</v>
      </c>
      <c r="AY99" s="6"/>
      <c r="AZ99" s="8">
        <v>4062</v>
      </c>
      <c r="BA99" s="6"/>
      <c r="BB99" s="6">
        <v>541.6</v>
      </c>
      <c r="BC99" s="6"/>
      <c r="BD99" s="41">
        <f t="shared" si="36"/>
        <v>0</v>
      </c>
      <c r="BE99" s="6"/>
      <c r="BF99" s="6"/>
      <c r="BG99" s="6"/>
      <c r="BH99" s="6"/>
      <c r="BI99" s="6"/>
      <c r="BJ99" s="6"/>
      <c r="BK99" s="6"/>
      <c r="BL99" s="6"/>
      <c r="BM99" s="6"/>
      <c r="BN99" s="6"/>
      <c r="BO99" s="6"/>
      <c r="BP99" s="64" t="e">
        <f t="shared" si="37"/>
        <v>#DIV/0!</v>
      </c>
      <c r="BQ99" s="65" t="e">
        <f t="shared" si="38"/>
        <v>#DIV/0!</v>
      </c>
    </row>
    <row r="100" spans="1:69">
      <c r="A100" s="75" t="s">
        <v>36</v>
      </c>
      <c r="B100" s="80" t="s">
        <v>636</v>
      </c>
      <c r="C100" s="80" t="s">
        <v>637</v>
      </c>
      <c r="D100" s="75" t="s">
        <v>159</v>
      </c>
      <c r="E100" s="9" t="s">
        <v>160</v>
      </c>
      <c r="F100" s="11">
        <v>15.730195999999999</v>
      </c>
      <c r="G100" s="11">
        <v>120.6265988</v>
      </c>
      <c r="H100" s="4" t="str">
        <f t="shared" si="35"/>
        <v>15.730196,120.6265988</v>
      </c>
      <c r="I100" s="4" t="s">
        <v>48</v>
      </c>
      <c r="J100" s="4" t="s">
        <v>638</v>
      </c>
      <c r="K100" s="11" t="s">
        <v>218</v>
      </c>
      <c r="L100" s="11">
        <v>2018</v>
      </c>
      <c r="M100" s="11">
        <v>2027</v>
      </c>
      <c r="N100" s="11"/>
      <c r="O100" s="11" t="s">
        <v>79</v>
      </c>
      <c r="P100" s="11" t="s">
        <v>38</v>
      </c>
      <c r="Q100" s="71"/>
      <c r="R100" s="71" t="s">
        <v>328</v>
      </c>
      <c r="S100" s="11" t="s">
        <v>639</v>
      </c>
      <c r="T100" s="34">
        <v>45856</v>
      </c>
      <c r="U100" s="34">
        <v>45856</v>
      </c>
      <c r="V100" s="34"/>
      <c r="W100" s="34">
        <v>45856</v>
      </c>
      <c r="X100" s="34">
        <v>45856</v>
      </c>
      <c r="Y100" s="45">
        <f t="shared" si="27"/>
        <v>1</v>
      </c>
      <c r="Z100" s="45" t="str">
        <f t="shared" si="28"/>
        <v/>
      </c>
      <c r="AA100" s="45">
        <f t="shared" si="33"/>
        <v>1</v>
      </c>
      <c r="AB100" s="45">
        <f t="shared" si="29"/>
        <v>1</v>
      </c>
      <c r="AC100" s="7" t="s">
        <v>150</v>
      </c>
      <c r="AD100" s="11">
        <v>0.23</v>
      </c>
      <c r="AE100" s="82">
        <v>2790.92</v>
      </c>
      <c r="AF100" s="11">
        <v>99.9</v>
      </c>
      <c r="AG100" s="135" t="s">
        <v>640</v>
      </c>
      <c r="AH100" s="44" t="str">
        <f t="shared" si="34"/>
        <v>Compliant</v>
      </c>
      <c r="AI100" s="11" t="s">
        <v>49</v>
      </c>
      <c r="AJ100" s="11" t="s">
        <v>49</v>
      </c>
      <c r="AK100" s="11" t="s">
        <v>49</v>
      </c>
      <c r="AL100" s="11" t="s">
        <v>49</v>
      </c>
      <c r="AM100" s="11"/>
      <c r="AN100" s="11" t="s">
        <v>49</v>
      </c>
      <c r="AO100" s="34"/>
      <c r="AP100" s="11"/>
      <c r="AQ100" s="11"/>
      <c r="AR100" s="8">
        <v>3163.57</v>
      </c>
      <c r="AS100" s="6"/>
      <c r="AT100" s="8">
        <v>1522.94</v>
      </c>
      <c r="AU100" s="6"/>
      <c r="AV100" s="6">
        <v>919.97</v>
      </c>
      <c r="AW100" s="6"/>
      <c r="AX100" s="6">
        <v>3.16</v>
      </c>
      <c r="AY100" s="6"/>
      <c r="AZ100" s="6">
        <v>597.6</v>
      </c>
      <c r="BA100" s="6"/>
      <c r="BB100" s="6">
        <v>119.9</v>
      </c>
      <c r="BC100" s="6"/>
      <c r="BD100" s="41">
        <f t="shared" si="36"/>
        <v>0</v>
      </c>
      <c r="BE100" s="6"/>
      <c r="BF100" s="6"/>
      <c r="BG100" s="6"/>
      <c r="BH100" s="6"/>
      <c r="BI100" s="6"/>
      <c r="BJ100" s="6"/>
      <c r="BK100" s="6"/>
      <c r="BL100" s="6"/>
      <c r="BM100" s="6"/>
      <c r="BN100" s="6"/>
      <c r="BO100" s="6"/>
      <c r="BP100" s="64" t="e">
        <f t="shared" si="37"/>
        <v>#DIV/0!</v>
      </c>
      <c r="BQ100" s="65" t="e">
        <f t="shared" si="38"/>
        <v>#DIV/0!</v>
      </c>
    </row>
    <row r="101" spans="1:69">
      <c r="A101" s="75" t="s">
        <v>36</v>
      </c>
      <c r="B101" s="80" t="s">
        <v>641</v>
      </c>
      <c r="C101" s="80" t="s">
        <v>642</v>
      </c>
      <c r="D101" s="75" t="s">
        <v>159</v>
      </c>
      <c r="E101" s="9" t="s">
        <v>160</v>
      </c>
      <c r="F101" s="11">
        <v>15.667913799999999</v>
      </c>
      <c r="G101" s="11">
        <v>120.5777846</v>
      </c>
      <c r="H101" s="4" t="str">
        <f t="shared" si="35"/>
        <v>15.6679138,120.5777846</v>
      </c>
      <c r="I101" s="4" t="s">
        <v>48</v>
      </c>
      <c r="J101" s="7" t="s">
        <v>643</v>
      </c>
      <c r="K101" s="11" t="s">
        <v>606</v>
      </c>
      <c r="L101" s="11">
        <v>2019</v>
      </c>
      <c r="M101" s="11">
        <v>2028</v>
      </c>
      <c r="N101" s="11"/>
      <c r="O101" s="11" t="s">
        <v>79</v>
      </c>
      <c r="P101" s="11" t="s">
        <v>37</v>
      </c>
      <c r="Q101" s="71"/>
      <c r="R101" s="71" t="s">
        <v>328</v>
      </c>
      <c r="S101" s="703" t="s">
        <v>644</v>
      </c>
      <c r="T101" s="34">
        <v>45855</v>
      </c>
      <c r="U101" s="34">
        <v>45856</v>
      </c>
      <c r="V101" s="34"/>
      <c r="W101" s="34">
        <v>45856</v>
      </c>
      <c r="X101" s="34">
        <v>45856</v>
      </c>
      <c r="Y101" s="45">
        <f t="shared" si="27"/>
        <v>1</v>
      </c>
      <c r="Z101" s="45" t="str">
        <f t="shared" si="28"/>
        <v/>
      </c>
      <c r="AA101" s="45">
        <f>IF(
    OR(ISBLANK(U101), ISBLANK(W101)),
    "",
    MAX(1, IF(
        NETWORKDAYS(U101, W101) &lt;= 0,
        1,
        NETWORKDAYS(U101, W101) - IF(U101 = W101, 0, 1)
    ))
)</f>
        <v>1</v>
      </c>
      <c r="AB101" s="45">
        <f t="shared" si="29"/>
        <v>1</v>
      </c>
      <c r="AC101" s="7" t="s">
        <v>150</v>
      </c>
      <c r="AD101" s="78">
        <v>0.109</v>
      </c>
      <c r="AE101" s="368">
        <v>11227.326999999999</v>
      </c>
      <c r="AF101" s="11">
        <v>100</v>
      </c>
      <c r="AG101" s="7" t="s">
        <v>640</v>
      </c>
      <c r="AH101" s="44" t="str">
        <f t="shared" si="34"/>
        <v>Compliant</v>
      </c>
      <c r="AI101" s="11" t="s">
        <v>49</v>
      </c>
      <c r="AJ101" s="11" t="s">
        <v>49</v>
      </c>
      <c r="AK101" s="11" t="s">
        <v>49</v>
      </c>
      <c r="AL101" s="11" t="s">
        <v>49</v>
      </c>
      <c r="AM101" s="11" t="s">
        <v>49</v>
      </c>
      <c r="AN101" s="11" t="s">
        <v>49</v>
      </c>
      <c r="AO101" s="34"/>
      <c r="AP101" s="11"/>
      <c r="AQ101" s="11"/>
      <c r="AR101" s="8">
        <v>13956.78</v>
      </c>
      <c r="AS101" s="6"/>
      <c r="AT101" s="8">
        <v>2644.81</v>
      </c>
      <c r="AU101" s="6"/>
      <c r="AV101" s="8">
        <v>4254.03</v>
      </c>
      <c r="AW101" s="6"/>
      <c r="AX101" s="8">
        <v>1847.88</v>
      </c>
      <c r="AY101" s="6"/>
      <c r="AZ101" s="8">
        <v>2982.56</v>
      </c>
      <c r="BA101" s="6"/>
      <c r="BB101" s="8">
        <v>2227.5</v>
      </c>
      <c r="BC101" s="6"/>
      <c r="BD101" s="41">
        <f t="shared" si="36"/>
        <v>0</v>
      </c>
      <c r="BE101" s="6"/>
      <c r="BF101" s="6"/>
      <c r="BG101" s="6"/>
      <c r="BH101" s="6"/>
      <c r="BI101" s="6"/>
      <c r="BJ101" s="6"/>
      <c r="BK101" s="6"/>
      <c r="BL101" s="6"/>
      <c r="BM101" s="6"/>
      <c r="BN101" s="6"/>
      <c r="BO101" s="6"/>
      <c r="BP101" s="64" t="e">
        <f t="shared" si="37"/>
        <v>#DIV/0!</v>
      </c>
      <c r="BQ101" s="65" t="e">
        <f t="shared" si="38"/>
        <v>#DIV/0!</v>
      </c>
    </row>
    <row r="102" spans="1:69">
      <c r="A102" s="75" t="s">
        <v>36</v>
      </c>
      <c r="B102" s="80" t="s">
        <v>645</v>
      </c>
      <c r="C102" s="80" t="s">
        <v>646</v>
      </c>
      <c r="D102" s="75" t="s">
        <v>143</v>
      </c>
      <c r="E102" s="9" t="s">
        <v>185</v>
      </c>
      <c r="F102" s="11">
        <v>15.486853</v>
      </c>
      <c r="G102" s="11">
        <v>120.589888</v>
      </c>
      <c r="H102" s="4" t="str">
        <f t="shared" si="35"/>
        <v>15.486853,120.589888</v>
      </c>
      <c r="I102" s="4" t="s">
        <v>48</v>
      </c>
      <c r="J102" s="7">
        <v>1251</v>
      </c>
      <c r="K102" s="11" t="s">
        <v>199</v>
      </c>
      <c r="L102" s="11">
        <v>2019</v>
      </c>
      <c r="M102" s="11">
        <v>2027</v>
      </c>
      <c r="N102" s="11"/>
      <c r="O102" s="11" t="s">
        <v>79</v>
      </c>
      <c r="P102" s="11" t="s">
        <v>37</v>
      </c>
      <c r="Q102" s="11"/>
      <c r="R102" s="71" t="s">
        <v>328</v>
      </c>
      <c r="S102" s="85" t="s">
        <v>647</v>
      </c>
      <c r="T102" s="34">
        <v>45856</v>
      </c>
      <c r="U102" s="34">
        <v>45859</v>
      </c>
      <c r="V102" s="34"/>
      <c r="W102" s="34">
        <v>45859</v>
      </c>
      <c r="X102" s="34">
        <v>45859</v>
      </c>
      <c r="Y102" s="45">
        <f t="shared" si="27"/>
        <v>1</v>
      </c>
      <c r="Z102" s="45" t="str">
        <f t="shared" si="28"/>
        <v/>
      </c>
      <c r="AA102" s="45">
        <f>IF(
    OR(ISBLANK(U102), ISBLANK(W102)),
    "",
    MAX(1, IF(
        NETWORKDAYS(U102, W102) &lt;= 0,
        1,
        NETWORKDAYS(U102, W102) - IF(U102 = W102, 0, 1)
    ))
)</f>
        <v>1</v>
      </c>
      <c r="AB102" s="45">
        <f t="shared" si="29"/>
        <v>1</v>
      </c>
      <c r="AC102" s="7" t="s">
        <v>150</v>
      </c>
      <c r="AD102" s="11">
        <v>0.77200000000000002</v>
      </c>
      <c r="AE102" s="82">
        <v>265453.02</v>
      </c>
      <c r="AF102" s="11">
        <v>100</v>
      </c>
      <c r="AG102" s="7" t="s">
        <v>640</v>
      </c>
      <c r="AH102" s="44" t="str">
        <f t="shared" si="34"/>
        <v>Compliant</v>
      </c>
      <c r="AI102" s="11" t="s">
        <v>49</v>
      </c>
      <c r="AJ102" s="11" t="s">
        <v>49</v>
      </c>
      <c r="AK102" s="11" t="s">
        <v>49</v>
      </c>
      <c r="AL102" s="11" t="s">
        <v>49</v>
      </c>
      <c r="AM102" s="11"/>
      <c r="AN102" s="11" t="s">
        <v>49</v>
      </c>
      <c r="AO102" s="34"/>
      <c r="AP102" s="11"/>
      <c r="AQ102" s="11"/>
      <c r="AR102" s="8">
        <v>343493.82</v>
      </c>
      <c r="AS102" s="6"/>
      <c r="AT102" s="8">
        <v>176521.48</v>
      </c>
      <c r="AU102" s="6"/>
      <c r="AV102" s="8">
        <v>96040.87</v>
      </c>
      <c r="AW102" s="6"/>
      <c r="AX102" s="8">
        <v>32047.97</v>
      </c>
      <c r="AY102" s="6"/>
      <c r="AZ102" s="8">
        <v>28956.53</v>
      </c>
      <c r="BA102" s="6"/>
      <c r="BB102" s="8">
        <v>9926.9699999999993</v>
      </c>
      <c r="BC102" s="6"/>
      <c r="BD102" s="41">
        <f t="shared" si="36"/>
        <v>0</v>
      </c>
      <c r="BE102" s="6"/>
      <c r="BF102" s="6"/>
      <c r="BG102" s="6"/>
      <c r="BH102" s="6"/>
      <c r="BI102" s="6"/>
      <c r="BJ102" s="6"/>
      <c r="BK102" s="6"/>
      <c r="BL102" s="6"/>
      <c r="BM102" s="6"/>
      <c r="BN102" s="6"/>
      <c r="BO102" s="6"/>
      <c r="BP102" s="64" t="e">
        <f t="shared" si="37"/>
        <v>#DIV/0!</v>
      </c>
      <c r="BQ102" s="65" t="e">
        <f t="shared" si="38"/>
        <v>#DIV/0!</v>
      </c>
    </row>
    <row r="103" spans="1:69">
      <c r="A103" s="75" t="s">
        <v>40</v>
      </c>
      <c r="B103" s="80" t="s">
        <v>648</v>
      </c>
      <c r="C103" s="80" t="s">
        <v>649</v>
      </c>
      <c r="D103" s="75" t="s">
        <v>159</v>
      </c>
      <c r="E103" s="75" t="s">
        <v>185</v>
      </c>
      <c r="F103" s="11">
        <v>15.288611</v>
      </c>
      <c r="G103" s="11">
        <v>120.02333299999999</v>
      </c>
      <c r="H103" s="4" t="str">
        <f t="shared" si="35"/>
        <v>15.288611,120.023333</v>
      </c>
      <c r="I103" s="4" t="s">
        <v>48</v>
      </c>
      <c r="J103" s="7" t="s">
        <v>650</v>
      </c>
      <c r="K103" s="11" t="s">
        <v>507</v>
      </c>
      <c r="L103" s="11">
        <v>2020</v>
      </c>
      <c r="M103" s="11">
        <v>2029</v>
      </c>
      <c r="N103" s="11"/>
      <c r="O103" s="11" t="s">
        <v>79</v>
      </c>
      <c r="P103" s="11" t="s">
        <v>41</v>
      </c>
      <c r="Q103" s="71" t="s">
        <v>163</v>
      </c>
      <c r="R103" s="71" t="s">
        <v>164</v>
      </c>
      <c r="S103" s="11" t="s">
        <v>651</v>
      </c>
      <c r="T103" s="33">
        <v>45849</v>
      </c>
      <c r="U103" s="33">
        <v>45855</v>
      </c>
      <c r="V103" s="33">
        <v>45855</v>
      </c>
      <c r="W103" s="33">
        <v>45855</v>
      </c>
      <c r="X103" s="33">
        <v>45855</v>
      </c>
      <c r="Y103" s="45">
        <f t="shared" ref="Y103:Y130" si="39">IF(
    OR(ISBLANK(T103), ISBLANK(U103)),
    "",
    MAX(1, IF(
        NETWORKDAYS(T103, U103) &lt;= 0,
        1,
        NETWORKDAYS(T103, U103) - IF(T103 = U103, 0, 1)
    ))
)</f>
        <v>4</v>
      </c>
      <c r="Z103" s="45">
        <f t="shared" ref="Z103:Z130" si="40">IF(
    OR(ISBLANK(U103), ISBLANK(V103)),
    "",
    MAX(1, IF(
        NETWORKDAYS(U103, V103) &lt;= 0,
        1,
        NETWORKDAYS(U103, V103) - IF(U103 = V103, 0, 1)
    ))
)</f>
        <v>1</v>
      </c>
      <c r="AA103" s="45">
        <f>IF(
    OR(ISBLANK(U103), ISBLANK(W103)),
    "",
    MAX(1, IF(
        NETWORKDAYS(U103, W103) &lt;= 0,
        1,
        NETWORKDAYS(U103, W103) - IF(U103 = W103, 0, 1)
    ))
)</f>
        <v>1</v>
      </c>
      <c r="AB103" s="45">
        <f t="shared" si="29"/>
        <v>1</v>
      </c>
      <c r="AC103" s="7" t="s">
        <v>150</v>
      </c>
      <c r="AD103" s="11">
        <v>0.499</v>
      </c>
      <c r="AE103" s="11" t="s">
        <v>652</v>
      </c>
      <c r="AF103" s="353">
        <v>0.68</v>
      </c>
      <c r="AG103" s="7" t="s">
        <v>635</v>
      </c>
      <c r="AH103" s="44" t="s">
        <v>653</v>
      </c>
      <c r="AI103" s="11" t="s">
        <v>49</v>
      </c>
      <c r="AJ103" s="11" t="s">
        <v>49</v>
      </c>
      <c r="AK103" s="11" t="s">
        <v>49</v>
      </c>
      <c r="AL103" s="11"/>
      <c r="AM103" s="11" t="s">
        <v>49</v>
      </c>
      <c r="AN103" s="11" t="s">
        <v>49</v>
      </c>
      <c r="AO103" s="34"/>
      <c r="AP103" s="11"/>
      <c r="AQ103" s="11"/>
      <c r="AR103" s="8">
        <v>44756.13</v>
      </c>
      <c r="AS103" s="6"/>
      <c r="AT103" s="8">
        <v>27413.13</v>
      </c>
      <c r="AU103" s="6"/>
      <c r="AV103" s="8">
        <v>10226.77</v>
      </c>
      <c r="AW103" s="6"/>
      <c r="AX103" s="8">
        <v>2636.14</v>
      </c>
      <c r="AY103" s="6"/>
      <c r="AZ103" s="8">
        <v>3459.65</v>
      </c>
      <c r="BA103" s="6"/>
      <c r="BB103" s="8">
        <v>1020.44</v>
      </c>
      <c r="BC103" s="6"/>
      <c r="BD103" s="41">
        <f t="shared" si="36"/>
        <v>0</v>
      </c>
      <c r="BE103" s="6"/>
      <c r="BF103" s="6"/>
      <c r="BG103" s="6"/>
      <c r="BH103" s="6"/>
      <c r="BI103" s="6"/>
      <c r="BJ103" s="6"/>
      <c r="BK103" s="6"/>
      <c r="BL103" s="6"/>
      <c r="BM103" s="6"/>
      <c r="BN103" s="6"/>
      <c r="BO103" s="6"/>
      <c r="BP103" s="64" t="e">
        <f t="shared" si="37"/>
        <v>#DIV/0!</v>
      </c>
      <c r="BQ103" s="65" t="e">
        <f t="shared" si="38"/>
        <v>#DIV/0!</v>
      </c>
    </row>
    <row r="104" spans="1:69" ht="30">
      <c r="A104" s="75" t="s">
        <v>40</v>
      </c>
      <c r="B104" s="80" t="s">
        <v>654</v>
      </c>
      <c r="C104" s="80" t="s">
        <v>655</v>
      </c>
      <c r="D104" s="75" t="s">
        <v>159</v>
      </c>
      <c r="E104" s="75" t="s">
        <v>185</v>
      </c>
      <c r="F104" s="11">
        <v>15.158889</v>
      </c>
      <c r="G104" s="11">
        <v>120.055556</v>
      </c>
      <c r="H104" s="4" t="str">
        <f t="shared" si="35"/>
        <v>15.158889,120.055556</v>
      </c>
      <c r="I104" s="4" t="s">
        <v>48</v>
      </c>
      <c r="J104" s="7" t="s">
        <v>656</v>
      </c>
      <c r="K104" s="11" t="s">
        <v>245</v>
      </c>
      <c r="L104" s="11">
        <v>2021</v>
      </c>
      <c r="M104" s="11">
        <v>2029</v>
      </c>
      <c r="N104" s="11"/>
      <c r="O104" s="11" t="s">
        <v>79</v>
      </c>
      <c r="P104" s="11" t="s">
        <v>41</v>
      </c>
      <c r="Q104" s="71" t="s">
        <v>163</v>
      </c>
      <c r="R104" s="71" t="s">
        <v>164</v>
      </c>
      <c r="S104" s="11" t="s">
        <v>657</v>
      </c>
      <c r="T104" s="33">
        <v>45849</v>
      </c>
      <c r="U104" s="33">
        <v>45855</v>
      </c>
      <c r="V104" s="33">
        <v>45855</v>
      </c>
      <c r="W104" s="33">
        <v>45855</v>
      </c>
      <c r="X104" s="33">
        <v>45855</v>
      </c>
      <c r="Y104" s="45">
        <f t="shared" si="39"/>
        <v>4</v>
      </c>
      <c r="Z104" s="45">
        <f t="shared" si="40"/>
        <v>1</v>
      </c>
      <c r="AA104" s="45">
        <f>IF(
    OR(ISBLANK(U104), ISBLANK(W104)),
    "",
    MAX(1, IF(
        NETWORKDAYS(U104, W104) &lt;= 0,
        1,
        NETWORKDAYS(U104, W104) - IF(U104 = W104, 0, 1)
    ))
)</f>
        <v>1</v>
      </c>
      <c r="AB104" s="45">
        <f t="shared" si="29"/>
        <v>1</v>
      </c>
      <c r="AC104" s="7" t="s">
        <v>150</v>
      </c>
      <c r="AD104" s="11">
        <v>0.39100000000000001</v>
      </c>
      <c r="AE104" s="11" t="s">
        <v>658</v>
      </c>
      <c r="AF104" s="83">
        <v>0.68899999999999995</v>
      </c>
      <c r="AG104" s="7" t="s">
        <v>404</v>
      </c>
      <c r="AH104" s="44" t="s">
        <v>653</v>
      </c>
      <c r="AI104" s="11" t="s">
        <v>49</v>
      </c>
      <c r="AJ104" s="11" t="s">
        <v>49</v>
      </c>
      <c r="AK104" s="11" t="s">
        <v>49</v>
      </c>
      <c r="AL104" s="11" t="s">
        <v>49</v>
      </c>
      <c r="AM104" s="11" t="s">
        <v>49</v>
      </c>
      <c r="AN104" s="11" t="s">
        <v>49</v>
      </c>
      <c r="AO104" s="34"/>
      <c r="AP104" s="11"/>
      <c r="AQ104" s="11"/>
      <c r="AR104" s="8">
        <v>13597</v>
      </c>
      <c r="AS104" s="6"/>
      <c r="AT104" s="8">
        <v>7808.76</v>
      </c>
      <c r="AU104" s="6"/>
      <c r="AV104" s="8">
        <v>3614.08</v>
      </c>
      <c r="AW104" s="6"/>
      <c r="AX104" s="6">
        <v>758.71</v>
      </c>
      <c r="AY104" s="6"/>
      <c r="AZ104" s="8">
        <v>1117.67</v>
      </c>
      <c r="BA104" s="6"/>
      <c r="BB104" s="6">
        <v>297.77</v>
      </c>
      <c r="BC104" s="6"/>
      <c r="BD104" s="41">
        <f t="shared" si="36"/>
        <v>0</v>
      </c>
      <c r="BE104" s="6"/>
      <c r="BF104" s="6"/>
      <c r="BG104" s="6"/>
      <c r="BH104" s="6"/>
      <c r="BI104" s="6"/>
      <c r="BJ104" s="6"/>
      <c r="BK104" s="6"/>
      <c r="BL104" s="6"/>
      <c r="BM104" s="6"/>
      <c r="BN104" s="6"/>
      <c r="BO104" s="6"/>
      <c r="BP104" s="64" t="e">
        <f t="shared" si="37"/>
        <v>#DIV/0!</v>
      </c>
      <c r="BQ104" s="65" t="e">
        <f t="shared" si="38"/>
        <v>#DIV/0!</v>
      </c>
    </row>
    <row r="105" spans="1:69">
      <c r="A105" s="75" t="s">
        <v>12</v>
      </c>
      <c r="B105" s="80" t="s">
        <v>627</v>
      </c>
      <c r="C105" s="80" t="s">
        <v>659</v>
      </c>
      <c r="D105" s="75" t="s">
        <v>159</v>
      </c>
      <c r="E105" s="75" t="s">
        <v>249</v>
      </c>
      <c r="F105" s="9">
        <v>15.720408000000001</v>
      </c>
      <c r="G105" s="9">
        <v>121.520939</v>
      </c>
      <c r="H105" s="4" t="str">
        <f t="shared" si="35"/>
        <v>15.720408,121.520939</v>
      </c>
      <c r="I105" s="4" t="s">
        <v>48</v>
      </c>
      <c r="J105" s="4">
        <v>857</v>
      </c>
      <c r="K105" s="9" t="s">
        <v>218</v>
      </c>
      <c r="L105" s="9">
        <v>2018</v>
      </c>
      <c r="M105" s="9">
        <v>2027</v>
      </c>
      <c r="N105" s="9"/>
      <c r="O105" s="9" t="s">
        <v>80</v>
      </c>
      <c r="P105" s="4" t="s">
        <v>172</v>
      </c>
      <c r="Q105" s="71"/>
      <c r="R105" s="71" t="s">
        <v>163</v>
      </c>
      <c r="S105" s="11" t="s">
        <v>660</v>
      </c>
      <c r="T105" s="35">
        <v>45870</v>
      </c>
      <c r="U105" s="35">
        <v>45873</v>
      </c>
      <c r="V105" s="35"/>
      <c r="W105" s="35">
        <v>45876</v>
      </c>
      <c r="X105" s="34">
        <v>45876</v>
      </c>
      <c r="Y105" s="45">
        <f t="shared" si="39"/>
        <v>1</v>
      </c>
      <c r="Z105" s="45" t="str">
        <f t="shared" si="40"/>
        <v/>
      </c>
      <c r="AA105" s="45">
        <f t="shared" ref="AA105:AA114" si="41">IF(
  OR(IF(V105&lt;&gt;"", V105, U105)="", W105=""),
  "",
  MAX(1,
    IF(
      NETWORKDAYS(IF(V105&lt;&gt;"", V105, U105), W105) &lt;= 0,
      1,
      NETWORKDAYS(IF(V105&lt;&gt;"", V105, U105), W105) - IF(IF(V105&lt;&gt;"", V105, U105)=W105, 0, 1)
    )
  )
)</f>
        <v>3</v>
      </c>
      <c r="AB105" s="45">
        <f t="shared" si="29"/>
        <v>1</v>
      </c>
      <c r="AC105" s="7" t="s">
        <v>150</v>
      </c>
      <c r="AD105" s="11">
        <v>0.36299999999999999</v>
      </c>
      <c r="AE105" s="82">
        <v>10826.111999999999</v>
      </c>
      <c r="AF105" s="11">
        <v>89.7</v>
      </c>
      <c r="AG105" s="360" t="s">
        <v>182</v>
      </c>
      <c r="AH105" s="44" t="str">
        <f>IF(AND(AI105 = "YES", AJ105 = "YES", AK105 = "YES", AL105 = "YES", AN105 = "YES"), "Compliant", "Not Compliant")</f>
        <v>Compliant</v>
      </c>
      <c r="AI105" s="11" t="s">
        <v>49</v>
      </c>
      <c r="AJ105" s="11" t="s">
        <v>49</v>
      </c>
      <c r="AK105" s="11" t="s">
        <v>49</v>
      </c>
      <c r="AL105" s="11" t="s">
        <v>49</v>
      </c>
      <c r="AM105" s="11"/>
      <c r="AN105" s="11" t="s">
        <v>49</v>
      </c>
      <c r="AO105" s="34"/>
      <c r="AP105" s="4"/>
      <c r="AQ105" s="11"/>
      <c r="AR105" s="8">
        <v>13607.92</v>
      </c>
      <c r="AS105" s="6"/>
      <c r="AT105" s="8">
        <v>6263.72</v>
      </c>
      <c r="AU105" s="6"/>
      <c r="AV105" s="8">
        <v>5243.13</v>
      </c>
      <c r="AW105" s="6"/>
      <c r="AX105" s="15">
        <v>870.91</v>
      </c>
      <c r="AY105" s="6"/>
      <c r="AZ105" s="8">
        <v>1034.2</v>
      </c>
      <c r="BA105" s="6"/>
      <c r="BB105" s="6">
        <v>195.95</v>
      </c>
      <c r="BC105" s="6"/>
      <c r="BD105" s="41">
        <f t="shared" si="36"/>
        <v>0</v>
      </c>
      <c r="BE105" s="6"/>
      <c r="BF105" s="6"/>
      <c r="BG105" s="6"/>
      <c r="BH105" s="6"/>
      <c r="BI105" s="6"/>
      <c r="BJ105" s="6"/>
      <c r="BK105" s="6"/>
      <c r="BL105" s="6"/>
      <c r="BM105" s="6"/>
      <c r="BN105" s="6"/>
      <c r="BO105" s="6"/>
      <c r="BP105" s="64" t="e">
        <f t="shared" si="37"/>
        <v>#DIV/0!</v>
      </c>
      <c r="BQ105" s="65" t="e">
        <f t="shared" si="38"/>
        <v>#DIV/0!</v>
      </c>
    </row>
    <row r="106" spans="1:69" ht="30">
      <c r="A106" s="75" t="s">
        <v>20</v>
      </c>
      <c r="B106" s="80" t="s">
        <v>661</v>
      </c>
      <c r="C106" s="80" t="s">
        <v>662</v>
      </c>
      <c r="D106" s="75" t="s">
        <v>143</v>
      </c>
      <c r="E106" s="75" t="s">
        <v>144</v>
      </c>
      <c r="F106" s="4">
        <v>14.970660000000001</v>
      </c>
      <c r="G106" s="4">
        <v>121.064527</v>
      </c>
      <c r="H106" s="4" t="str">
        <f t="shared" si="35"/>
        <v>14.97066,121.064527</v>
      </c>
      <c r="I106" s="4" t="s">
        <v>48</v>
      </c>
      <c r="J106" s="4" t="s">
        <v>663</v>
      </c>
      <c r="K106" s="4" t="s">
        <v>380</v>
      </c>
      <c r="L106" s="4">
        <v>2017</v>
      </c>
      <c r="M106" s="4">
        <v>2025</v>
      </c>
      <c r="N106" s="11" t="s">
        <v>98</v>
      </c>
      <c r="O106" s="4" t="s">
        <v>80</v>
      </c>
      <c r="P106" s="9" t="s">
        <v>200</v>
      </c>
      <c r="Q106" s="71"/>
      <c r="R106" s="71" t="s">
        <v>201</v>
      </c>
      <c r="S106" s="9" t="s">
        <v>664</v>
      </c>
      <c r="T106" s="33">
        <v>45882</v>
      </c>
      <c r="U106" s="33">
        <v>45885</v>
      </c>
      <c r="V106" s="33">
        <v>45887</v>
      </c>
      <c r="W106" s="33">
        <v>45887</v>
      </c>
      <c r="X106" s="34">
        <v>45888</v>
      </c>
      <c r="Y106" s="45">
        <f t="shared" si="39"/>
        <v>2</v>
      </c>
      <c r="Z106" s="45">
        <f t="shared" si="40"/>
        <v>1</v>
      </c>
      <c r="AA106" s="45">
        <f t="shared" si="41"/>
        <v>1</v>
      </c>
      <c r="AB106" s="45">
        <f t="shared" ref="AB106:AB130" si="42">IF(
    OR(ISBLANK(W106), ISBLANK(X106)),
    "",
    MAX(1, IF(
        NETWORKDAYS(W106, X106) &lt;= 0,
        1,
        NETWORKDAYS(W106, X106) - IF(W106 = X106, 0, 1)
    ))
)</f>
        <v>1</v>
      </c>
      <c r="AC106" s="7" t="s">
        <v>150</v>
      </c>
      <c r="AD106" s="11">
        <v>0.21099999999999999</v>
      </c>
      <c r="AE106" s="664">
        <v>7641.17</v>
      </c>
      <c r="AF106" s="133"/>
      <c r="AG106" s="7" t="s">
        <v>665</v>
      </c>
      <c r="AH106" s="645" t="s">
        <v>151</v>
      </c>
      <c r="AI106" s="11" t="s">
        <v>49</v>
      </c>
      <c r="AJ106" s="11" t="s">
        <v>49</v>
      </c>
      <c r="AK106" s="11" t="s">
        <v>49</v>
      </c>
      <c r="AL106" s="11" t="s">
        <v>49</v>
      </c>
      <c r="AM106" s="7"/>
      <c r="AN106" s="11" t="s">
        <v>49</v>
      </c>
      <c r="AO106" s="33"/>
      <c r="AP106" s="4"/>
      <c r="AQ106" s="11"/>
      <c r="AR106" s="8">
        <v>5632.92</v>
      </c>
      <c r="AS106" s="6"/>
      <c r="AT106" s="8">
        <v>3437.21</v>
      </c>
      <c r="AU106" s="6"/>
      <c r="AV106" s="6">
        <v>909.72</v>
      </c>
      <c r="AW106" s="6"/>
      <c r="AX106" s="6">
        <v>252.92</v>
      </c>
      <c r="AY106" s="6"/>
      <c r="AZ106" s="6">
        <v>234.89</v>
      </c>
      <c r="BA106" s="6"/>
      <c r="BB106" s="6">
        <v>798.18</v>
      </c>
      <c r="BC106" s="6"/>
      <c r="BD106" s="41">
        <f t="shared" si="36"/>
        <v>0</v>
      </c>
      <c r="BE106" s="6"/>
      <c r="BF106" s="6"/>
      <c r="BG106" s="6"/>
      <c r="BH106" s="6"/>
      <c r="BI106" s="6"/>
      <c r="BJ106" s="6"/>
      <c r="BK106" s="6"/>
      <c r="BL106" s="6"/>
      <c r="BM106" s="6"/>
      <c r="BN106" s="6"/>
      <c r="BO106" s="6"/>
      <c r="BP106" s="64" t="e">
        <f t="shared" si="37"/>
        <v>#DIV/0!</v>
      </c>
      <c r="BQ106" s="65" t="e">
        <f t="shared" si="38"/>
        <v>#DIV/0!</v>
      </c>
    </row>
    <row r="107" spans="1:69" ht="30">
      <c r="A107" s="75" t="s">
        <v>20</v>
      </c>
      <c r="B107" s="80" t="s">
        <v>666</v>
      </c>
      <c r="C107" s="80" t="s">
        <v>667</v>
      </c>
      <c r="D107" s="75" t="s">
        <v>143</v>
      </c>
      <c r="E107" s="75" t="s">
        <v>599</v>
      </c>
      <c r="F107" s="4">
        <v>14.905204080000001</v>
      </c>
      <c r="G107" s="4">
        <v>121.04231679999999</v>
      </c>
      <c r="H107" s="4" t="str">
        <f t="shared" si="35"/>
        <v>14.90520408,121.0423168</v>
      </c>
      <c r="I107" s="4" t="s">
        <v>48</v>
      </c>
      <c r="J107" s="4" t="s">
        <v>668</v>
      </c>
      <c r="K107" s="4" t="s">
        <v>170</v>
      </c>
      <c r="L107" s="4">
        <v>2019</v>
      </c>
      <c r="M107" s="4">
        <v>2028</v>
      </c>
      <c r="N107" s="4"/>
      <c r="O107" s="4" t="s">
        <v>80</v>
      </c>
      <c r="P107" s="4" t="s">
        <v>508</v>
      </c>
      <c r="Q107" s="71"/>
      <c r="R107" s="71" t="s">
        <v>201</v>
      </c>
      <c r="S107" s="9" t="s">
        <v>669</v>
      </c>
      <c r="T107" s="33">
        <v>45883</v>
      </c>
      <c r="U107" s="33">
        <v>45887</v>
      </c>
      <c r="V107" s="33"/>
      <c r="W107" s="33">
        <v>45887</v>
      </c>
      <c r="X107" s="34">
        <v>45888</v>
      </c>
      <c r="Y107" s="45">
        <f t="shared" si="39"/>
        <v>2</v>
      </c>
      <c r="Z107" s="45" t="str">
        <f t="shared" si="40"/>
        <v/>
      </c>
      <c r="AA107" s="45">
        <f t="shared" si="41"/>
        <v>1</v>
      </c>
      <c r="AB107" s="45">
        <f t="shared" si="42"/>
        <v>1</v>
      </c>
      <c r="AC107" s="7" t="s">
        <v>150</v>
      </c>
      <c r="AD107" s="665">
        <v>0.255</v>
      </c>
      <c r="AE107" s="767">
        <v>14000.32</v>
      </c>
      <c r="AF107" s="133"/>
      <c r="AG107" s="665" t="s">
        <v>670</v>
      </c>
      <c r="AH107" s="645" t="s">
        <v>151</v>
      </c>
      <c r="AI107" s="11" t="s">
        <v>49</v>
      </c>
      <c r="AJ107" s="11" t="s">
        <v>49</v>
      </c>
      <c r="AK107" s="11" t="s">
        <v>49</v>
      </c>
      <c r="AL107" s="11" t="s">
        <v>49</v>
      </c>
      <c r="AM107" s="7"/>
      <c r="AN107" s="11" t="s">
        <v>49</v>
      </c>
      <c r="AO107" s="33"/>
      <c r="AP107" s="4"/>
      <c r="AQ107" s="11"/>
      <c r="AR107" s="8">
        <v>25215.77</v>
      </c>
      <c r="AS107" s="6"/>
      <c r="AT107" s="8">
        <v>9690.42</v>
      </c>
      <c r="AU107" s="6"/>
      <c r="AV107" s="8">
        <v>6528.36</v>
      </c>
      <c r="AW107" s="6"/>
      <c r="AX107" s="8">
        <v>3638.64</v>
      </c>
      <c r="AY107" s="6"/>
      <c r="AZ107" s="8">
        <v>5340.7</v>
      </c>
      <c r="BA107" s="6"/>
      <c r="BB107" s="6">
        <v>17.649999999999999</v>
      </c>
      <c r="BC107" s="6"/>
      <c r="BD107" s="41">
        <f t="shared" si="36"/>
        <v>0</v>
      </c>
      <c r="BE107" s="6"/>
      <c r="BF107" s="6"/>
      <c r="BG107" s="6"/>
      <c r="BH107" s="6"/>
      <c r="BI107" s="6"/>
      <c r="BJ107" s="6"/>
      <c r="BK107" s="6"/>
      <c r="BL107" s="6"/>
      <c r="BM107" s="6"/>
      <c r="BN107" s="6"/>
      <c r="BO107" s="6"/>
      <c r="BP107" s="64" t="e">
        <f t="shared" si="37"/>
        <v>#DIV/0!</v>
      </c>
      <c r="BQ107" s="65" t="e">
        <f t="shared" si="38"/>
        <v>#DIV/0!</v>
      </c>
    </row>
    <row r="108" spans="1:69" ht="30">
      <c r="A108" s="75" t="s">
        <v>20</v>
      </c>
      <c r="B108" s="80" t="s">
        <v>671</v>
      </c>
      <c r="C108" s="80" t="s">
        <v>672</v>
      </c>
      <c r="D108" s="75" t="s">
        <v>143</v>
      </c>
      <c r="E108" s="75" t="s">
        <v>249</v>
      </c>
      <c r="F108" s="4">
        <v>14.810226999999999</v>
      </c>
      <c r="G108" s="4">
        <v>121.047703</v>
      </c>
      <c r="H108" s="4" t="str">
        <f t="shared" si="35"/>
        <v>14.810227,121.047703</v>
      </c>
      <c r="I108" s="4" t="s">
        <v>48</v>
      </c>
      <c r="J108" s="4" t="s">
        <v>673</v>
      </c>
      <c r="K108" s="4" t="s">
        <v>155</v>
      </c>
      <c r="L108" s="4">
        <v>2015</v>
      </c>
      <c r="M108" s="4">
        <v>2024</v>
      </c>
      <c r="N108" s="11" t="s">
        <v>98</v>
      </c>
      <c r="O108" s="4" t="s">
        <v>80</v>
      </c>
      <c r="P108" s="4" t="s">
        <v>508</v>
      </c>
      <c r="Q108" s="71"/>
      <c r="R108" s="71" t="s">
        <v>201</v>
      </c>
      <c r="S108" s="9" t="s">
        <v>674</v>
      </c>
      <c r="T108" s="33">
        <v>45881</v>
      </c>
      <c r="U108" s="33">
        <v>45887</v>
      </c>
      <c r="V108" s="33"/>
      <c r="W108" s="33">
        <v>45887</v>
      </c>
      <c r="X108" s="34">
        <v>45888</v>
      </c>
      <c r="Y108" s="45">
        <f t="shared" si="39"/>
        <v>4</v>
      </c>
      <c r="Z108" s="45" t="str">
        <f t="shared" si="40"/>
        <v/>
      </c>
      <c r="AA108" s="45">
        <f t="shared" si="41"/>
        <v>1</v>
      </c>
      <c r="AB108" s="45">
        <f t="shared" si="42"/>
        <v>1</v>
      </c>
      <c r="AC108" s="7" t="s">
        <v>150</v>
      </c>
      <c r="AD108" s="11">
        <v>0.63100000000000001</v>
      </c>
      <c r="AE108" s="82">
        <v>192928.36</v>
      </c>
      <c r="AF108" s="133"/>
      <c r="AG108" s="665" t="s">
        <v>675</v>
      </c>
      <c r="AH108" s="645" t="s">
        <v>151</v>
      </c>
      <c r="AI108" s="11" t="s">
        <v>49</v>
      </c>
      <c r="AJ108" s="11" t="s">
        <v>49</v>
      </c>
      <c r="AK108" s="11" t="s">
        <v>49</v>
      </c>
      <c r="AL108" s="11" t="s">
        <v>49</v>
      </c>
      <c r="AM108" s="11" t="s">
        <v>49</v>
      </c>
      <c r="AN108" s="11" t="s">
        <v>49</v>
      </c>
      <c r="AO108" s="33"/>
      <c r="AP108" s="4"/>
      <c r="AQ108" s="11"/>
      <c r="AR108" s="8">
        <v>309216.52</v>
      </c>
      <c r="AS108" s="6"/>
      <c r="AT108" s="8">
        <v>131045.96</v>
      </c>
      <c r="AU108" s="6"/>
      <c r="AV108" s="8">
        <v>71490.86</v>
      </c>
      <c r="AW108" s="6"/>
      <c r="AX108" s="8">
        <v>47866.720000000001</v>
      </c>
      <c r="AY108" s="6"/>
      <c r="AZ108" s="8">
        <v>56617.55</v>
      </c>
      <c r="BA108" s="6"/>
      <c r="BB108" s="8">
        <v>2195.44</v>
      </c>
      <c r="BC108" s="6"/>
      <c r="BD108" s="41">
        <f t="shared" si="36"/>
        <v>0</v>
      </c>
      <c r="BE108" s="6"/>
      <c r="BF108" s="6"/>
      <c r="BG108" s="6"/>
      <c r="BH108" s="6"/>
      <c r="BI108" s="6"/>
      <c r="BJ108" s="6"/>
      <c r="BK108" s="6"/>
      <c r="BL108" s="6"/>
      <c r="BM108" s="6"/>
      <c r="BN108" s="6"/>
      <c r="BO108" s="6"/>
      <c r="BP108" s="64" t="e">
        <f t="shared" si="37"/>
        <v>#DIV/0!</v>
      </c>
      <c r="BQ108" s="65" t="e">
        <f t="shared" si="38"/>
        <v>#DIV/0!</v>
      </c>
    </row>
    <row r="109" spans="1:69">
      <c r="A109" s="75" t="s">
        <v>25</v>
      </c>
      <c r="B109" s="80" t="s">
        <v>676</v>
      </c>
      <c r="C109" s="80" t="s">
        <v>677</v>
      </c>
      <c r="D109" s="75" t="s">
        <v>143</v>
      </c>
      <c r="E109" s="75" t="s">
        <v>160</v>
      </c>
      <c r="F109" s="4">
        <v>15.660724</v>
      </c>
      <c r="G109" s="4">
        <v>120.76695599999999</v>
      </c>
      <c r="H109" s="4" t="str">
        <f t="shared" si="35"/>
        <v>15.660724,120.766956</v>
      </c>
      <c r="I109" s="4" t="s">
        <v>48</v>
      </c>
      <c r="J109" s="4">
        <v>1077</v>
      </c>
      <c r="K109" s="4" t="s">
        <v>229</v>
      </c>
      <c r="L109" s="4">
        <v>2018</v>
      </c>
      <c r="M109" s="4">
        <v>2026</v>
      </c>
      <c r="N109" s="4"/>
      <c r="O109" s="4" t="s">
        <v>80</v>
      </c>
      <c r="P109" s="9" t="s">
        <v>29</v>
      </c>
      <c r="Q109" s="71" t="s">
        <v>211</v>
      </c>
      <c r="R109" s="71" t="s">
        <v>212</v>
      </c>
      <c r="S109" s="759" t="s">
        <v>678</v>
      </c>
      <c r="T109" s="33">
        <v>45877</v>
      </c>
      <c r="U109" s="33">
        <v>45883</v>
      </c>
      <c r="V109" s="33">
        <v>45883</v>
      </c>
      <c r="W109" s="33">
        <v>45887</v>
      </c>
      <c r="X109" s="33">
        <v>45887</v>
      </c>
      <c r="Y109" s="45">
        <f t="shared" si="39"/>
        <v>4</v>
      </c>
      <c r="Z109" s="45">
        <f t="shared" si="40"/>
        <v>1</v>
      </c>
      <c r="AA109" s="45">
        <f t="shared" si="41"/>
        <v>2</v>
      </c>
      <c r="AB109" s="45">
        <f t="shared" si="42"/>
        <v>1</v>
      </c>
      <c r="AC109" s="7" t="s">
        <v>150</v>
      </c>
      <c r="AD109" s="11">
        <v>0.30470000000000003</v>
      </c>
      <c r="AE109" s="11">
        <v>39876</v>
      </c>
      <c r="AF109" s="133" t="s">
        <v>679</v>
      </c>
      <c r="AG109" s="7" t="s">
        <v>680</v>
      </c>
      <c r="AH109" s="645" t="str">
        <f>IF(AND(AI109 = "YES", AJ109 = "YES", AK109 = "YES", AL109 = "YES", AN109 = "YES"), "Compliant", "Not Compliant")</f>
        <v>Not Compliant</v>
      </c>
      <c r="AI109" s="7" t="s">
        <v>49</v>
      </c>
      <c r="AJ109" s="7" t="s">
        <v>49</v>
      </c>
      <c r="AK109" s="7" t="s">
        <v>56</v>
      </c>
      <c r="AL109" s="7" t="s">
        <v>49</v>
      </c>
      <c r="AM109" s="7" t="s">
        <v>69</v>
      </c>
      <c r="AN109" s="7" t="s">
        <v>49</v>
      </c>
      <c r="AO109" s="33" t="s">
        <v>56</v>
      </c>
      <c r="AP109" s="4"/>
      <c r="AQ109" s="11"/>
      <c r="AR109" s="8">
        <v>54433.67</v>
      </c>
      <c r="AS109" s="6"/>
      <c r="AT109" s="8">
        <v>31413.67</v>
      </c>
      <c r="AU109" s="6"/>
      <c r="AV109" s="8">
        <v>10189.98</v>
      </c>
      <c r="AW109" s="6"/>
      <c r="AX109" s="8">
        <v>8393.67</v>
      </c>
      <c r="AY109" s="6"/>
      <c r="AZ109" s="8">
        <v>3973.66</v>
      </c>
      <c r="BA109" s="6"/>
      <c r="BB109" s="6">
        <v>462.69</v>
      </c>
      <c r="BC109" s="6"/>
      <c r="BD109" s="41">
        <f t="shared" si="36"/>
        <v>0</v>
      </c>
      <c r="BE109" s="6"/>
      <c r="BF109" s="6"/>
      <c r="BG109" s="6"/>
      <c r="BH109" s="6"/>
      <c r="BI109" s="6"/>
      <c r="BJ109" s="6"/>
      <c r="BK109" s="6"/>
      <c r="BL109" s="6"/>
      <c r="BM109" s="6"/>
      <c r="BN109" s="6"/>
      <c r="BO109" s="6"/>
      <c r="BP109" s="64" t="e">
        <f t="shared" si="37"/>
        <v>#DIV/0!</v>
      </c>
      <c r="BQ109" s="65" t="e">
        <f t="shared" si="38"/>
        <v>#DIV/0!</v>
      </c>
    </row>
    <row r="110" spans="1:69">
      <c r="A110" s="75" t="s">
        <v>25</v>
      </c>
      <c r="B110" s="80" t="s">
        <v>681</v>
      </c>
      <c r="C110" s="80" t="s">
        <v>682</v>
      </c>
      <c r="D110" s="75" t="s">
        <v>143</v>
      </c>
      <c r="E110" s="75" t="s">
        <v>160</v>
      </c>
      <c r="F110" s="11">
        <v>15.540003</v>
      </c>
      <c r="G110" s="11">
        <v>120.762417</v>
      </c>
      <c r="H110" s="4" t="str">
        <f t="shared" si="35"/>
        <v>15.540003,120.762417</v>
      </c>
      <c r="I110" s="4" t="s">
        <v>48</v>
      </c>
      <c r="J110" s="4" t="s">
        <v>683</v>
      </c>
      <c r="K110" s="11" t="s">
        <v>199</v>
      </c>
      <c r="L110" s="11">
        <v>2019</v>
      </c>
      <c r="M110" s="11">
        <v>2027</v>
      </c>
      <c r="N110" s="11"/>
      <c r="O110" s="4" t="s">
        <v>80</v>
      </c>
      <c r="P110" s="11" t="s">
        <v>224</v>
      </c>
      <c r="Q110" s="71" t="s">
        <v>211</v>
      </c>
      <c r="R110" s="71" t="s">
        <v>212</v>
      </c>
      <c r="S110" s="11" t="s">
        <v>684</v>
      </c>
      <c r="T110" s="34">
        <v>45876</v>
      </c>
      <c r="U110" s="34">
        <v>45884</v>
      </c>
      <c r="V110" s="34">
        <v>45887</v>
      </c>
      <c r="W110" s="34">
        <v>45888</v>
      </c>
      <c r="X110" s="34">
        <v>45888</v>
      </c>
      <c r="Y110" s="45">
        <f t="shared" si="39"/>
        <v>6</v>
      </c>
      <c r="Z110" s="45">
        <f t="shared" si="40"/>
        <v>1</v>
      </c>
      <c r="AA110" s="45">
        <f t="shared" si="41"/>
        <v>1</v>
      </c>
      <c r="AB110" s="45">
        <f t="shared" si="42"/>
        <v>1</v>
      </c>
      <c r="AC110" s="7" t="s">
        <v>150</v>
      </c>
      <c r="AD110" s="11">
        <v>0.28599999999999998</v>
      </c>
      <c r="AE110" s="78">
        <v>480</v>
      </c>
      <c r="AF110" s="133"/>
      <c r="AG110" s="7"/>
      <c r="AH110" s="645" t="s">
        <v>151</v>
      </c>
      <c r="AI110" s="11" t="s">
        <v>49</v>
      </c>
      <c r="AJ110" s="11" t="s">
        <v>49</v>
      </c>
      <c r="AK110" s="11" t="s">
        <v>49</v>
      </c>
      <c r="AL110" s="11" t="s">
        <v>49</v>
      </c>
      <c r="AM110" s="11" t="s">
        <v>49</v>
      </c>
      <c r="AN110" s="11" t="s">
        <v>49</v>
      </c>
      <c r="AO110" s="34"/>
      <c r="AP110" s="11"/>
      <c r="AQ110" s="11"/>
      <c r="AR110" s="8">
        <v>9619.52</v>
      </c>
      <c r="AS110" s="6"/>
      <c r="AT110" s="8">
        <v>4394.2</v>
      </c>
      <c r="AU110" s="6"/>
      <c r="AV110" s="8">
        <v>3014.76</v>
      </c>
      <c r="AW110" s="6"/>
      <c r="AX110" s="8">
        <v>1216.8699999999999</v>
      </c>
      <c r="AY110" s="6"/>
      <c r="AZ110" s="6">
        <v>935.02</v>
      </c>
      <c r="BA110" s="6"/>
      <c r="BB110" s="6">
        <v>58.68</v>
      </c>
      <c r="BC110" s="6"/>
      <c r="BD110" s="41">
        <f t="shared" si="36"/>
        <v>0</v>
      </c>
      <c r="BE110" s="6"/>
      <c r="BF110" s="6"/>
      <c r="BG110" s="6"/>
      <c r="BH110" s="6"/>
      <c r="BI110" s="6"/>
      <c r="BJ110" s="6"/>
      <c r="BK110" s="6"/>
      <c r="BL110" s="6"/>
      <c r="BM110" s="6"/>
      <c r="BN110" s="6"/>
      <c r="BO110" s="6"/>
      <c r="BP110" s="64" t="e">
        <f t="shared" si="37"/>
        <v>#DIV/0!</v>
      </c>
      <c r="BQ110" s="65" t="e">
        <f t="shared" si="38"/>
        <v>#DIV/0!</v>
      </c>
    </row>
    <row r="111" spans="1:69">
      <c r="A111" s="75" t="s">
        <v>25</v>
      </c>
      <c r="B111" s="80" t="s">
        <v>685</v>
      </c>
      <c r="C111" s="80" t="s">
        <v>686</v>
      </c>
      <c r="D111" s="75" t="s">
        <v>143</v>
      </c>
      <c r="E111" s="75" t="s">
        <v>160</v>
      </c>
      <c r="F111" s="11">
        <v>15.551572999999999</v>
      </c>
      <c r="G111" s="11">
        <v>120.814763</v>
      </c>
      <c r="H111" s="4" t="str">
        <f t="shared" si="35"/>
        <v>15.551573,120.814763</v>
      </c>
      <c r="I111" s="4" t="s">
        <v>48</v>
      </c>
      <c r="J111" s="4" t="s">
        <v>687</v>
      </c>
      <c r="K111" s="11" t="s">
        <v>229</v>
      </c>
      <c r="L111" s="11">
        <v>2018</v>
      </c>
      <c r="M111" s="11">
        <v>2026</v>
      </c>
      <c r="N111" s="11"/>
      <c r="O111" s="4" t="s">
        <v>80</v>
      </c>
      <c r="P111" s="11" t="s">
        <v>224</v>
      </c>
      <c r="Q111" s="71" t="s">
        <v>211</v>
      </c>
      <c r="R111" s="71" t="s">
        <v>212</v>
      </c>
      <c r="S111" s="11" t="s">
        <v>688</v>
      </c>
      <c r="T111" s="34">
        <v>45855</v>
      </c>
      <c r="U111" s="34">
        <v>45888</v>
      </c>
      <c r="V111" s="34">
        <v>45888</v>
      </c>
      <c r="W111" s="34">
        <v>45888</v>
      </c>
      <c r="X111" s="34">
        <v>45888</v>
      </c>
      <c r="Y111" s="45">
        <f t="shared" si="39"/>
        <v>23</v>
      </c>
      <c r="Z111" s="45">
        <f t="shared" si="40"/>
        <v>1</v>
      </c>
      <c r="AA111" s="45">
        <f t="shared" si="41"/>
        <v>1</v>
      </c>
      <c r="AB111" s="45">
        <f t="shared" si="42"/>
        <v>1</v>
      </c>
      <c r="AC111" s="7" t="s">
        <v>150</v>
      </c>
      <c r="AD111" s="11">
        <v>0.41199999999999998</v>
      </c>
      <c r="AE111" s="669">
        <v>86906.27</v>
      </c>
      <c r="AF111" s="133"/>
      <c r="AG111" s="7"/>
      <c r="AH111" s="645" t="str">
        <f t="shared" ref="AH111:AH117" si="43">IF(AND(AI111 = "YES", AJ111 = "YES", AK111 = "YES", AL111 = "YES", AN111 = "YES"), "Compliant", "Not Compliant")</f>
        <v>Not Compliant</v>
      </c>
      <c r="AI111" s="11" t="s">
        <v>56</v>
      </c>
      <c r="AJ111" s="11" t="s">
        <v>56</v>
      </c>
      <c r="AK111" s="11" t="s">
        <v>56</v>
      </c>
      <c r="AL111" s="11" t="s">
        <v>49</v>
      </c>
      <c r="AM111" s="11" t="s">
        <v>49</v>
      </c>
      <c r="AN111" s="11" t="s">
        <v>56</v>
      </c>
      <c r="AO111" s="34"/>
      <c r="AP111" s="11"/>
      <c r="AQ111" s="11"/>
      <c r="AR111" s="8">
        <v>18747.169999999998</v>
      </c>
      <c r="AS111" s="6"/>
      <c r="AT111" s="8">
        <v>13488.59</v>
      </c>
      <c r="AU111" s="6"/>
      <c r="AV111" s="8">
        <v>1996.57</v>
      </c>
      <c r="AW111" s="6"/>
      <c r="AX111" s="8">
        <v>1548.52</v>
      </c>
      <c r="AY111" s="6"/>
      <c r="AZ111" s="8">
        <v>1421.04</v>
      </c>
      <c r="BA111" s="6"/>
      <c r="BB111" s="6">
        <v>292.45999999999998</v>
      </c>
      <c r="BC111" s="6"/>
      <c r="BD111" s="41">
        <f t="shared" si="36"/>
        <v>0</v>
      </c>
      <c r="BE111" s="6"/>
      <c r="BF111" s="6"/>
      <c r="BG111" s="6"/>
      <c r="BH111" s="6"/>
      <c r="BI111" s="6"/>
      <c r="BJ111" s="6"/>
      <c r="BK111" s="6"/>
      <c r="BL111" s="6"/>
      <c r="BM111" s="6"/>
      <c r="BN111" s="6"/>
      <c r="BO111" s="6"/>
      <c r="BP111" s="64" t="e">
        <f t="shared" si="37"/>
        <v>#DIV/0!</v>
      </c>
      <c r="BQ111" s="65" t="e">
        <f t="shared" si="38"/>
        <v>#DIV/0!</v>
      </c>
    </row>
    <row r="112" spans="1:69">
      <c r="A112" s="75" t="s">
        <v>31</v>
      </c>
      <c r="B112" s="80" t="s">
        <v>689</v>
      </c>
      <c r="C112" s="80" t="s">
        <v>690</v>
      </c>
      <c r="D112" s="75" t="s">
        <v>143</v>
      </c>
      <c r="E112" s="75" t="s">
        <v>233</v>
      </c>
      <c r="F112" s="11">
        <v>15.092935000000001</v>
      </c>
      <c r="G112" s="11">
        <v>120.828063</v>
      </c>
      <c r="H112" s="4" t="str">
        <f t="shared" si="35"/>
        <v>15.092935,120.828063</v>
      </c>
      <c r="I112" s="4" t="s">
        <v>48</v>
      </c>
      <c r="J112" s="4" t="s">
        <v>691</v>
      </c>
      <c r="K112" s="11" t="s">
        <v>155</v>
      </c>
      <c r="L112" s="11">
        <v>2015</v>
      </c>
      <c r="M112" s="11">
        <v>2024</v>
      </c>
      <c r="N112" s="11" t="s">
        <v>98</v>
      </c>
      <c r="O112" s="4" t="s">
        <v>80</v>
      </c>
      <c r="P112" s="11" t="s">
        <v>32</v>
      </c>
      <c r="Q112" s="76" t="s">
        <v>28</v>
      </c>
      <c r="R112" s="76" t="s">
        <v>148</v>
      </c>
      <c r="S112" s="11" t="s">
        <v>692</v>
      </c>
      <c r="T112" s="34">
        <v>45883</v>
      </c>
      <c r="U112" s="34">
        <v>45884</v>
      </c>
      <c r="V112" s="34">
        <v>45884</v>
      </c>
      <c r="W112" s="34">
        <v>45887</v>
      </c>
      <c r="X112" s="10">
        <v>45888</v>
      </c>
      <c r="Y112" s="45">
        <f t="shared" si="39"/>
        <v>1</v>
      </c>
      <c r="Z112" s="45">
        <f t="shared" si="40"/>
        <v>1</v>
      </c>
      <c r="AA112" s="45">
        <f t="shared" si="41"/>
        <v>1</v>
      </c>
      <c r="AB112" s="45">
        <f t="shared" si="42"/>
        <v>1</v>
      </c>
      <c r="AC112" s="7" t="s">
        <v>150</v>
      </c>
      <c r="AD112" s="15">
        <v>0.27</v>
      </c>
      <c r="AE112" s="14">
        <v>29335.11</v>
      </c>
      <c r="AF112" s="11">
        <v>0.4012</v>
      </c>
      <c r="AG112" s="771" t="s">
        <v>533</v>
      </c>
      <c r="AH112" s="44" t="str">
        <f t="shared" si="43"/>
        <v>Not Compliant</v>
      </c>
      <c r="AI112" s="11" t="s">
        <v>56</v>
      </c>
      <c r="AJ112" s="11" t="s">
        <v>56</v>
      </c>
      <c r="AK112" s="11" t="s">
        <v>49</v>
      </c>
      <c r="AL112" s="11" t="s">
        <v>49</v>
      </c>
      <c r="AM112" s="11" t="s">
        <v>49</v>
      </c>
      <c r="AN112" s="11" t="s">
        <v>49</v>
      </c>
      <c r="AO112" s="34" t="s">
        <v>56</v>
      </c>
      <c r="AP112" s="11"/>
      <c r="AQ112" s="11"/>
      <c r="AR112" s="8">
        <v>37076.639999999999</v>
      </c>
      <c r="AS112" s="6"/>
      <c r="AT112" s="8">
        <v>21489.62</v>
      </c>
      <c r="AU112" s="6"/>
      <c r="AV112" s="8">
        <v>4971.9799999999996</v>
      </c>
      <c r="AW112" s="6"/>
      <c r="AX112" s="8">
        <v>2102.25</v>
      </c>
      <c r="AY112" s="6"/>
      <c r="AZ112" s="8">
        <v>8379.32</v>
      </c>
      <c r="BA112" s="6"/>
      <c r="BB112" s="6">
        <v>133.47999999999999</v>
      </c>
      <c r="BC112" s="6"/>
      <c r="BD112" s="41">
        <f t="shared" si="36"/>
        <v>0</v>
      </c>
      <c r="BE112" s="6"/>
      <c r="BF112" s="6"/>
      <c r="BG112" s="6"/>
      <c r="BH112" s="6"/>
      <c r="BI112" s="6"/>
      <c r="BJ112" s="6"/>
      <c r="BK112" s="6"/>
      <c r="BL112" s="6"/>
      <c r="BM112" s="6"/>
      <c r="BN112" s="6"/>
      <c r="BO112" s="6"/>
      <c r="BP112" s="64" t="e">
        <f t="shared" si="37"/>
        <v>#DIV/0!</v>
      </c>
      <c r="BQ112" s="65" t="e">
        <f t="shared" si="38"/>
        <v>#DIV/0!</v>
      </c>
    </row>
    <row r="113" spans="1:69">
      <c r="A113" s="75" t="s">
        <v>31</v>
      </c>
      <c r="B113" s="80" t="s">
        <v>693</v>
      </c>
      <c r="C113" s="80" t="s">
        <v>694</v>
      </c>
      <c r="D113" s="75" t="s">
        <v>143</v>
      </c>
      <c r="E113" s="9" t="s">
        <v>144</v>
      </c>
      <c r="F113" s="11">
        <v>15.065</v>
      </c>
      <c r="G113" s="11">
        <v>120.7201</v>
      </c>
      <c r="H113" s="4" t="str">
        <f t="shared" si="35"/>
        <v>15.065,120.7201</v>
      </c>
      <c r="I113" s="4" t="s">
        <v>48</v>
      </c>
      <c r="J113" s="4" t="s">
        <v>695</v>
      </c>
      <c r="K113" s="11" t="s">
        <v>229</v>
      </c>
      <c r="L113" s="11">
        <v>2019</v>
      </c>
      <c r="M113" s="11">
        <v>2026</v>
      </c>
      <c r="N113" s="11"/>
      <c r="O113" s="4" t="s">
        <v>80</v>
      </c>
      <c r="P113" s="11" t="s">
        <v>32</v>
      </c>
      <c r="Q113" s="76" t="s">
        <v>28</v>
      </c>
      <c r="R113" s="76" t="s">
        <v>148</v>
      </c>
      <c r="S113" s="11" t="s">
        <v>696</v>
      </c>
      <c r="T113" s="34">
        <v>45883</v>
      </c>
      <c r="U113" s="34">
        <v>45883</v>
      </c>
      <c r="V113" s="34">
        <v>45884</v>
      </c>
      <c r="W113" s="34">
        <v>45884</v>
      </c>
      <c r="X113" s="532">
        <v>45888</v>
      </c>
      <c r="Y113" s="45">
        <f t="shared" si="39"/>
        <v>1</v>
      </c>
      <c r="Z113" s="45">
        <f t="shared" si="40"/>
        <v>1</v>
      </c>
      <c r="AA113" s="45">
        <f t="shared" si="41"/>
        <v>1</v>
      </c>
      <c r="AB113" s="45">
        <f t="shared" si="42"/>
        <v>2</v>
      </c>
      <c r="AC113" s="7" t="s">
        <v>150</v>
      </c>
      <c r="AD113" s="11">
        <v>0.438</v>
      </c>
      <c r="AE113" s="82">
        <v>81848.94</v>
      </c>
      <c r="AF113" s="11">
        <v>96.83</v>
      </c>
      <c r="AG113" s="7" t="s">
        <v>182</v>
      </c>
      <c r="AH113" s="44" t="str">
        <f t="shared" si="43"/>
        <v>Not Compliant</v>
      </c>
      <c r="AI113" s="11" t="s">
        <v>56</v>
      </c>
      <c r="AJ113" s="11" t="s">
        <v>56</v>
      </c>
      <c r="AK113" s="11" t="s">
        <v>49</v>
      </c>
      <c r="AL113" s="11" t="s">
        <v>49</v>
      </c>
      <c r="AM113" s="11" t="s">
        <v>56</v>
      </c>
      <c r="AN113" s="11" t="s">
        <v>49</v>
      </c>
      <c r="AO113" s="34" t="s">
        <v>56</v>
      </c>
      <c r="AP113" s="11"/>
      <c r="AQ113" s="11"/>
      <c r="AR113" s="8">
        <v>95342.61</v>
      </c>
      <c r="AS113" s="6"/>
      <c r="AT113" s="8">
        <v>49273.06</v>
      </c>
      <c r="AU113" s="6"/>
      <c r="AV113" s="8">
        <v>22434.12</v>
      </c>
      <c r="AW113" s="6"/>
      <c r="AX113" s="8">
        <v>10306.540000000001</v>
      </c>
      <c r="AY113" s="6"/>
      <c r="AZ113" s="8">
        <v>11088.35</v>
      </c>
      <c r="BA113" s="6"/>
      <c r="BB113" s="8">
        <v>2240.5500000000002</v>
      </c>
      <c r="BC113" s="6"/>
      <c r="BD113" s="41">
        <f t="shared" si="36"/>
        <v>0</v>
      </c>
      <c r="BE113" s="6"/>
      <c r="BF113" s="6"/>
      <c r="BG113" s="6"/>
      <c r="BH113" s="6"/>
      <c r="BI113" s="6"/>
      <c r="BJ113" s="6"/>
      <c r="BK113" s="6"/>
      <c r="BL113" s="6"/>
      <c r="BM113" s="6"/>
      <c r="BN113" s="6"/>
      <c r="BO113" s="6"/>
      <c r="BP113" s="64" t="e">
        <f t="shared" si="37"/>
        <v>#DIV/0!</v>
      </c>
      <c r="BQ113" s="65" t="e">
        <f t="shared" si="38"/>
        <v>#DIV/0!</v>
      </c>
    </row>
    <row r="114" spans="1:69" ht="30">
      <c r="A114" s="75" t="s">
        <v>36</v>
      </c>
      <c r="B114" s="80" t="s">
        <v>697</v>
      </c>
      <c r="C114" s="80" t="s">
        <v>698</v>
      </c>
      <c r="D114" s="75" t="s">
        <v>159</v>
      </c>
      <c r="E114" s="9" t="s">
        <v>185</v>
      </c>
      <c r="F114" s="11">
        <v>15.606548</v>
      </c>
      <c r="G114" s="11">
        <v>120.599554</v>
      </c>
      <c r="H114" s="4" t="str">
        <f t="shared" si="35"/>
        <v>15.606548,120.599554</v>
      </c>
      <c r="I114" s="4" t="s">
        <v>48</v>
      </c>
      <c r="J114" s="4" t="s">
        <v>699</v>
      </c>
      <c r="K114" s="11" t="s">
        <v>700</v>
      </c>
      <c r="L114" s="11">
        <v>2019</v>
      </c>
      <c r="M114" s="11">
        <v>2026</v>
      </c>
      <c r="N114" s="11"/>
      <c r="O114" s="9" t="s">
        <v>80</v>
      </c>
      <c r="P114" s="11" t="s">
        <v>37</v>
      </c>
      <c r="Q114" s="71"/>
      <c r="R114" s="71" t="s">
        <v>328</v>
      </c>
      <c r="S114" s="11" t="s">
        <v>701</v>
      </c>
      <c r="T114" s="34">
        <v>45887</v>
      </c>
      <c r="U114" s="34">
        <v>45887</v>
      </c>
      <c r="V114" s="34"/>
      <c r="W114" s="34">
        <v>45887</v>
      </c>
      <c r="X114" s="34">
        <v>45888</v>
      </c>
      <c r="Y114" s="45">
        <f t="shared" si="39"/>
        <v>1</v>
      </c>
      <c r="Z114" s="45" t="str">
        <f t="shared" si="40"/>
        <v/>
      </c>
      <c r="AA114" s="45">
        <f t="shared" si="41"/>
        <v>1</v>
      </c>
      <c r="AB114" s="45">
        <f t="shared" si="42"/>
        <v>1</v>
      </c>
      <c r="AC114" s="7" t="s">
        <v>150</v>
      </c>
      <c r="AD114" s="11">
        <v>0.24099999999999999</v>
      </c>
      <c r="AE114" s="82">
        <v>23216.49</v>
      </c>
      <c r="AF114" s="11">
        <v>100</v>
      </c>
      <c r="AG114" s="7" t="s">
        <v>702</v>
      </c>
      <c r="AH114" s="44" t="str">
        <f t="shared" si="43"/>
        <v>Compliant</v>
      </c>
      <c r="AI114" s="11" t="s">
        <v>49</v>
      </c>
      <c r="AJ114" s="11" t="s">
        <v>49</v>
      </c>
      <c r="AK114" s="11" t="s">
        <v>49</v>
      </c>
      <c r="AL114" s="11" t="s">
        <v>49</v>
      </c>
      <c r="AM114" s="11" t="s">
        <v>49</v>
      </c>
      <c r="AN114" s="11" t="s">
        <v>49</v>
      </c>
      <c r="AO114" s="34"/>
      <c r="AP114" s="11"/>
      <c r="AQ114" s="11"/>
      <c r="AR114" s="8">
        <v>26943.69</v>
      </c>
      <c r="AS114" s="6"/>
      <c r="AT114" s="8">
        <v>13603.87</v>
      </c>
      <c r="AU114" s="6"/>
      <c r="AV114" s="8">
        <v>6752.09</v>
      </c>
      <c r="AW114" s="6"/>
      <c r="AX114" s="8">
        <v>1454.96</v>
      </c>
      <c r="AY114" s="6"/>
      <c r="AZ114" s="8">
        <v>3526.93</v>
      </c>
      <c r="BA114" s="6"/>
      <c r="BB114" s="8">
        <v>1605.84</v>
      </c>
      <c r="BC114" s="6"/>
      <c r="BD114" s="41">
        <f t="shared" si="36"/>
        <v>0</v>
      </c>
      <c r="BE114" s="6"/>
      <c r="BF114" s="6"/>
      <c r="BG114" s="6"/>
      <c r="BH114" s="6"/>
      <c r="BI114" s="6"/>
      <c r="BJ114" s="6"/>
      <c r="BK114" s="6"/>
      <c r="BL114" s="6"/>
      <c r="BM114" s="6"/>
      <c r="BN114" s="6"/>
      <c r="BO114" s="6"/>
      <c r="BP114" s="64" t="e">
        <f t="shared" si="37"/>
        <v>#DIV/0!</v>
      </c>
      <c r="BQ114" s="65" t="e">
        <f t="shared" si="38"/>
        <v>#DIV/0!</v>
      </c>
    </row>
    <row r="115" spans="1:69" ht="30">
      <c r="A115" s="75" t="s">
        <v>36</v>
      </c>
      <c r="B115" s="80" t="s">
        <v>703</v>
      </c>
      <c r="C115" s="80" t="s">
        <v>704</v>
      </c>
      <c r="D115" s="75" t="s">
        <v>159</v>
      </c>
      <c r="E115" s="9" t="s">
        <v>160</v>
      </c>
      <c r="F115" s="11">
        <v>15.623962000000001</v>
      </c>
      <c r="G115" s="11">
        <v>120.647586</v>
      </c>
      <c r="H115" s="4" t="str">
        <f t="shared" si="35"/>
        <v>15.623962,120.647586</v>
      </c>
      <c r="I115" s="4" t="s">
        <v>48</v>
      </c>
      <c r="J115" s="7" t="s">
        <v>705</v>
      </c>
      <c r="K115" s="11" t="s">
        <v>218</v>
      </c>
      <c r="L115" s="11">
        <v>2019</v>
      </c>
      <c r="M115" s="11">
        <v>2027</v>
      </c>
      <c r="N115" s="11"/>
      <c r="O115" s="9" t="s">
        <v>80</v>
      </c>
      <c r="P115" s="11" t="s">
        <v>37</v>
      </c>
      <c r="Q115" s="71"/>
      <c r="R115" s="71" t="s">
        <v>328</v>
      </c>
      <c r="S115" s="11" t="s">
        <v>706</v>
      </c>
      <c r="T115" s="34">
        <v>45887</v>
      </c>
      <c r="U115" s="34">
        <v>45887</v>
      </c>
      <c r="V115" s="34"/>
      <c r="W115" s="34">
        <v>45887</v>
      </c>
      <c r="X115" s="34">
        <v>45888</v>
      </c>
      <c r="Y115" s="45">
        <f t="shared" si="39"/>
        <v>1</v>
      </c>
      <c r="Z115" s="45" t="str">
        <f t="shared" si="40"/>
        <v/>
      </c>
      <c r="AA115" s="45">
        <f>IF(
    OR(ISBLANK(U115), ISBLANK(W115)),
    "",
    MAX(1, IF(
        NETWORKDAYS(U115, W115) &lt;= 0,
        1,
        NETWORKDAYS(U115, W115) - IF(U115 = W115, 0, 1)
    ))
)</f>
        <v>1</v>
      </c>
      <c r="AB115" s="45">
        <f t="shared" si="42"/>
        <v>1</v>
      </c>
      <c r="AC115" s="7" t="s">
        <v>150</v>
      </c>
      <c r="AD115" s="11">
        <v>0.1</v>
      </c>
      <c r="AE115" s="78">
        <v>7063.77</v>
      </c>
      <c r="AF115" s="11">
        <v>100</v>
      </c>
      <c r="AG115" s="7" t="s">
        <v>702</v>
      </c>
      <c r="AH115" s="44" t="str">
        <f t="shared" si="43"/>
        <v>Compliant</v>
      </c>
      <c r="AI115" s="11" t="s">
        <v>49</v>
      </c>
      <c r="AJ115" s="11" t="s">
        <v>49</v>
      </c>
      <c r="AK115" s="11" t="s">
        <v>49</v>
      </c>
      <c r="AL115" s="11" t="s">
        <v>49</v>
      </c>
      <c r="AM115" s="11" t="s">
        <v>49</v>
      </c>
      <c r="AN115" s="11" t="s">
        <v>49</v>
      </c>
      <c r="AO115" s="34"/>
      <c r="AP115" s="11"/>
      <c r="AQ115" s="11"/>
      <c r="AR115" s="8">
        <v>3143.02</v>
      </c>
      <c r="AS115" s="6"/>
      <c r="AT115" s="8">
        <v>1980.1</v>
      </c>
      <c r="AU115" s="6"/>
      <c r="AV115" s="6">
        <v>534.30999999999995</v>
      </c>
      <c r="AW115" s="6"/>
      <c r="AX115" s="6">
        <v>220.01</v>
      </c>
      <c r="AY115" s="6"/>
      <c r="AZ115" s="6">
        <v>282.87</v>
      </c>
      <c r="BA115" s="6"/>
      <c r="BB115" s="6">
        <v>125.72</v>
      </c>
      <c r="BC115" s="6"/>
      <c r="BD115" s="41">
        <f t="shared" si="36"/>
        <v>0</v>
      </c>
      <c r="BE115" s="6"/>
      <c r="BF115" s="6"/>
      <c r="BG115" s="6"/>
      <c r="BH115" s="6"/>
      <c r="BI115" s="6"/>
      <c r="BJ115" s="6"/>
      <c r="BK115" s="6"/>
      <c r="BL115" s="6"/>
      <c r="BM115" s="6"/>
      <c r="BN115" s="6"/>
      <c r="BO115" s="6"/>
      <c r="BP115" s="64" t="e">
        <f t="shared" si="37"/>
        <v>#DIV/0!</v>
      </c>
      <c r="BQ115" s="65" t="e">
        <f t="shared" si="38"/>
        <v>#DIV/0!</v>
      </c>
    </row>
    <row r="116" spans="1:69" ht="30">
      <c r="A116" s="75" t="s">
        <v>36</v>
      </c>
      <c r="B116" s="80" t="s">
        <v>707</v>
      </c>
      <c r="C116" s="80" t="s">
        <v>708</v>
      </c>
      <c r="D116" s="75" t="s">
        <v>143</v>
      </c>
      <c r="E116" s="9" t="s">
        <v>185</v>
      </c>
      <c r="F116" s="11">
        <v>15.575934</v>
      </c>
      <c r="G116" s="11">
        <v>120.681484</v>
      </c>
      <c r="H116" s="4" t="str">
        <f t="shared" si="35"/>
        <v>15.575934,120.681484</v>
      </c>
      <c r="I116" s="4" t="s">
        <v>48</v>
      </c>
      <c r="J116" s="7" t="s">
        <v>709</v>
      </c>
      <c r="K116" s="11" t="s">
        <v>187</v>
      </c>
      <c r="L116" s="11">
        <v>2015</v>
      </c>
      <c r="M116" s="11">
        <v>2025</v>
      </c>
      <c r="N116" s="11" t="s">
        <v>98</v>
      </c>
      <c r="O116" s="4" t="s">
        <v>80</v>
      </c>
      <c r="P116" s="11" t="s">
        <v>39</v>
      </c>
      <c r="Q116" s="71"/>
      <c r="R116" s="71" t="s">
        <v>328</v>
      </c>
      <c r="S116" s="11" t="s">
        <v>710</v>
      </c>
      <c r="T116" s="34">
        <v>45877</v>
      </c>
      <c r="U116" s="34">
        <v>45880</v>
      </c>
      <c r="V116" s="34"/>
      <c r="W116" s="34">
        <v>45882</v>
      </c>
      <c r="X116" s="34">
        <v>45882</v>
      </c>
      <c r="Y116" s="45">
        <f t="shared" si="39"/>
        <v>1</v>
      </c>
      <c r="Z116" s="45" t="str">
        <f t="shared" si="40"/>
        <v/>
      </c>
      <c r="AA116" s="45">
        <f>IF(
    OR(ISBLANK(U116), ISBLANK(W116)),
    "",
    MAX(1, IF(
        NETWORKDAYS(U116, W116) &lt;= 0,
        1,
        NETWORKDAYS(U116, W116) - IF(U116 = W116, 0, 1)
    ))
)</f>
        <v>2</v>
      </c>
      <c r="AB116" s="45">
        <f t="shared" si="42"/>
        <v>1</v>
      </c>
      <c r="AC116" s="7" t="s">
        <v>150</v>
      </c>
      <c r="AD116" s="11">
        <v>0.37</v>
      </c>
      <c r="AE116" s="82">
        <v>25159.26</v>
      </c>
      <c r="AF116" s="11">
        <v>100</v>
      </c>
      <c r="AG116" s="7" t="s">
        <v>702</v>
      </c>
      <c r="AH116" s="44" t="str">
        <f t="shared" si="43"/>
        <v>Compliant</v>
      </c>
      <c r="AI116" s="11" t="s">
        <v>49</v>
      </c>
      <c r="AJ116" s="11" t="s">
        <v>49</v>
      </c>
      <c r="AK116" s="11" t="s">
        <v>49</v>
      </c>
      <c r="AL116" s="11" t="s">
        <v>49</v>
      </c>
      <c r="AM116" s="11" t="s">
        <v>49</v>
      </c>
      <c r="AN116" s="11" t="s">
        <v>49</v>
      </c>
      <c r="AO116" s="34"/>
      <c r="AP116" s="11"/>
      <c r="AQ116" s="11"/>
      <c r="AR116" s="8">
        <v>30379.66</v>
      </c>
      <c r="AS116" s="6"/>
      <c r="AT116" s="8">
        <v>9821.74</v>
      </c>
      <c r="AU116" s="6"/>
      <c r="AV116" s="8">
        <v>10268.33</v>
      </c>
      <c r="AW116" s="6"/>
      <c r="AX116" s="8">
        <v>4155.9399999999996</v>
      </c>
      <c r="AY116" s="6"/>
      <c r="AZ116" s="8">
        <v>4149.8599999999997</v>
      </c>
      <c r="BA116" s="6"/>
      <c r="BB116" s="8">
        <v>1983.79</v>
      </c>
      <c r="BC116" s="6"/>
      <c r="BD116" s="41">
        <f t="shared" si="36"/>
        <v>0</v>
      </c>
      <c r="BE116" s="6"/>
      <c r="BF116" s="6"/>
      <c r="BG116" s="6"/>
      <c r="BH116" s="6"/>
      <c r="BI116" s="6"/>
      <c r="BJ116" s="6"/>
      <c r="BK116" s="6"/>
      <c r="BL116" s="6"/>
      <c r="BM116" s="6"/>
      <c r="BN116" s="6"/>
      <c r="BO116" s="6"/>
      <c r="BP116" s="64" t="e">
        <f t="shared" si="37"/>
        <v>#DIV/0!</v>
      </c>
      <c r="BQ116" s="65" t="e">
        <f t="shared" si="38"/>
        <v>#DIV/0!</v>
      </c>
    </row>
    <row r="117" spans="1:69" ht="30">
      <c r="A117" s="75" t="s">
        <v>40</v>
      </c>
      <c r="B117" s="80" t="s">
        <v>278</v>
      </c>
      <c r="C117" s="80" t="s">
        <v>711</v>
      </c>
      <c r="D117" s="75" t="s">
        <v>159</v>
      </c>
      <c r="E117" s="75" t="s">
        <v>185</v>
      </c>
      <c r="F117" s="11">
        <v>14.948117</v>
      </c>
      <c r="G117" s="11">
        <v>120.09014999999999</v>
      </c>
      <c r="H117" s="4" t="str">
        <f t="shared" si="35"/>
        <v>14.948117,120.09015</v>
      </c>
      <c r="I117" s="4" t="s">
        <v>48</v>
      </c>
      <c r="J117" s="7" t="s">
        <v>712</v>
      </c>
      <c r="K117" s="11" t="s">
        <v>146</v>
      </c>
      <c r="L117" s="11">
        <v>2021</v>
      </c>
      <c r="M117" s="11">
        <v>2031</v>
      </c>
      <c r="N117" s="11"/>
      <c r="O117" s="9" t="s">
        <v>80</v>
      </c>
      <c r="P117" s="11" t="s">
        <v>42</v>
      </c>
      <c r="Q117" s="719" t="s">
        <v>163</v>
      </c>
      <c r="R117" s="71" t="s">
        <v>164</v>
      </c>
      <c r="S117" s="11" t="s">
        <v>713</v>
      </c>
      <c r="T117" s="34">
        <v>45884</v>
      </c>
      <c r="U117" s="34">
        <v>45887</v>
      </c>
      <c r="V117" s="34">
        <v>45887</v>
      </c>
      <c r="W117" s="34">
        <v>45887</v>
      </c>
      <c r="X117" s="34">
        <v>45887</v>
      </c>
      <c r="Y117" s="45">
        <f t="shared" si="39"/>
        <v>1</v>
      </c>
      <c r="Z117" s="45">
        <f t="shared" si="40"/>
        <v>1</v>
      </c>
      <c r="AA117" s="45">
        <f>IF(
    OR(ISBLANK(U117), ISBLANK(W117)),
    "",
    MAX(1, IF(
        NETWORKDAYS(U117, W117) &lt;= 0,
        1,
        NETWORKDAYS(U117, W117) - IF(U117 = W117, 0, 1)
    ))
)</f>
        <v>1</v>
      </c>
      <c r="AB117" s="45">
        <f t="shared" si="42"/>
        <v>1</v>
      </c>
      <c r="AC117" s="7" t="s">
        <v>150</v>
      </c>
      <c r="AD117" s="11">
        <v>0.46</v>
      </c>
      <c r="AE117" s="82">
        <v>17227</v>
      </c>
      <c r="AF117" s="83">
        <v>0.87309999999999999</v>
      </c>
      <c r="AG117" s="7"/>
      <c r="AH117" s="44" t="str">
        <f t="shared" si="43"/>
        <v>Compliant</v>
      </c>
      <c r="AI117" s="11" t="s">
        <v>49</v>
      </c>
      <c r="AJ117" s="11" t="s">
        <v>49</v>
      </c>
      <c r="AK117" s="11" t="s">
        <v>49</v>
      </c>
      <c r="AL117" s="11" t="s">
        <v>49</v>
      </c>
      <c r="AM117" s="11" t="s">
        <v>49</v>
      </c>
      <c r="AN117" s="11" t="s">
        <v>49</v>
      </c>
      <c r="AO117" s="34"/>
      <c r="AP117" s="11"/>
      <c r="AQ117" s="11"/>
      <c r="AR117" s="8">
        <v>11280.34</v>
      </c>
      <c r="AS117" s="6"/>
      <c r="AT117" s="8">
        <v>6472.66</v>
      </c>
      <c r="AU117" s="6"/>
      <c r="AV117" s="8">
        <v>3322.06</v>
      </c>
      <c r="AW117" s="6"/>
      <c r="AX117" s="6">
        <v>54.15</v>
      </c>
      <c r="AY117" s="6"/>
      <c r="AZ117" s="8">
        <v>1367.18</v>
      </c>
      <c r="BA117" s="6"/>
      <c r="BB117" s="6">
        <v>64.3</v>
      </c>
      <c r="BC117" s="6"/>
      <c r="BD117" s="41">
        <f t="shared" si="36"/>
        <v>0</v>
      </c>
      <c r="BE117" s="6"/>
      <c r="BF117" s="6"/>
      <c r="BG117" s="6"/>
      <c r="BH117" s="6"/>
      <c r="BI117" s="6"/>
      <c r="BJ117" s="6"/>
      <c r="BK117" s="6"/>
      <c r="BL117" s="6"/>
      <c r="BM117" s="6"/>
      <c r="BN117" s="6"/>
      <c r="BO117" s="6"/>
      <c r="BP117" s="64" t="e">
        <f t="shared" si="37"/>
        <v>#DIV/0!</v>
      </c>
      <c r="BQ117" s="65" t="e">
        <f t="shared" si="38"/>
        <v>#DIV/0!</v>
      </c>
    </row>
    <row r="118" spans="1:69" ht="30">
      <c r="A118" s="75" t="s">
        <v>12</v>
      </c>
      <c r="B118" s="80" t="s">
        <v>714</v>
      </c>
      <c r="C118" s="80" t="s">
        <v>715</v>
      </c>
      <c r="D118" s="75" t="s">
        <v>159</v>
      </c>
      <c r="E118" s="75" t="s">
        <v>249</v>
      </c>
      <c r="F118" s="4">
        <v>16.140246999999999</v>
      </c>
      <c r="G118" s="4">
        <v>121.957053</v>
      </c>
      <c r="H118" s="4" t="str">
        <f t="shared" si="35"/>
        <v>16.140247,121.957053</v>
      </c>
      <c r="I118" s="4" t="s">
        <v>48</v>
      </c>
      <c r="J118" s="4" t="s">
        <v>716</v>
      </c>
      <c r="K118" s="4" t="s">
        <v>199</v>
      </c>
      <c r="L118" s="4">
        <v>2020</v>
      </c>
      <c r="M118" s="4">
        <v>2027</v>
      </c>
      <c r="N118" s="4"/>
      <c r="O118" s="4" t="s">
        <v>81</v>
      </c>
      <c r="P118" s="4" t="s">
        <v>251</v>
      </c>
      <c r="Q118" s="70"/>
      <c r="R118" s="71" t="s">
        <v>163</v>
      </c>
      <c r="S118" s="7" t="s">
        <v>717</v>
      </c>
      <c r="T118" s="33">
        <v>45912</v>
      </c>
      <c r="U118" s="34">
        <v>45917</v>
      </c>
      <c r="V118" s="34"/>
      <c r="W118" s="34">
        <v>45918</v>
      </c>
      <c r="X118" s="34">
        <v>45918</v>
      </c>
      <c r="Y118" s="45">
        <f t="shared" si="39"/>
        <v>3</v>
      </c>
      <c r="Z118" s="45" t="str">
        <f t="shared" si="40"/>
        <v/>
      </c>
      <c r="AA118" s="45">
        <f t="shared" ref="AA118:AA127" si="44">IF(
  OR(IF(V118&lt;&gt;"", V118, U118)="", W118=""),
  "",
  MAX(1,
    IF(
      NETWORKDAYS(IF(V118&lt;&gt;"", V118, U118), W118) &lt;= 0,
      1,
      NETWORKDAYS(IF(V118&lt;&gt;"", V118, U118), W118) - IF(IF(V118&lt;&gt;"", V118, U118)=W118, 0, 1)
    )
  )
)</f>
        <v>1</v>
      </c>
      <c r="AB118" s="45">
        <f t="shared" si="42"/>
        <v>1</v>
      </c>
      <c r="AC118" s="7" t="s">
        <v>150</v>
      </c>
      <c r="AD118" s="11">
        <v>0.42599999999999999</v>
      </c>
      <c r="AE118" s="82">
        <v>4878.55</v>
      </c>
      <c r="AF118" s="11">
        <v>92.56</v>
      </c>
      <c r="AG118" s="7" t="s">
        <v>269</v>
      </c>
      <c r="AH118" s="44" t="s">
        <v>151</v>
      </c>
      <c r="AI118" s="13" t="s">
        <v>49</v>
      </c>
      <c r="AJ118" s="13" t="s">
        <v>49</v>
      </c>
      <c r="AK118" s="13" t="s">
        <v>49</v>
      </c>
      <c r="AL118" s="13" t="s">
        <v>49</v>
      </c>
      <c r="AM118" s="7"/>
      <c r="AN118" s="13" t="s">
        <v>49</v>
      </c>
      <c r="AO118" s="33"/>
      <c r="AP118" s="4"/>
      <c r="AQ118" s="4"/>
      <c r="AR118" s="8">
        <v>6495.3</v>
      </c>
      <c r="AS118" s="6"/>
      <c r="AT118" s="8">
        <v>3474.34</v>
      </c>
      <c r="AU118" s="6"/>
      <c r="AV118" s="8">
        <v>2074.6</v>
      </c>
      <c r="AW118" s="6"/>
      <c r="AX118" s="6">
        <v>322.82</v>
      </c>
      <c r="AY118" s="6"/>
      <c r="AZ118" s="6">
        <v>522.22</v>
      </c>
      <c r="BA118" s="6"/>
      <c r="BB118" s="6">
        <v>101.33</v>
      </c>
      <c r="BC118" s="6"/>
      <c r="BD118" s="41">
        <f t="shared" si="36"/>
        <v>0</v>
      </c>
      <c r="BE118" s="6"/>
      <c r="BF118" s="6"/>
      <c r="BG118" s="6"/>
      <c r="BH118" s="6"/>
      <c r="BI118" s="6"/>
      <c r="BJ118" s="6"/>
      <c r="BK118" s="6"/>
      <c r="BL118" s="6"/>
      <c r="BM118" s="6"/>
      <c r="BN118" s="6"/>
      <c r="BO118" s="6"/>
      <c r="BP118" s="64" t="e">
        <f t="shared" si="37"/>
        <v>#DIV/0!</v>
      </c>
      <c r="BQ118" s="65" t="e">
        <f t="shared" si="38"/>
        <v>#DIV/0!</v>
      </c>
    </row>
    <row r="119" spans="1:69">
      <c r="A119" s="75" t="s">
        <v>12</v>
      </c>
      <c r="B119" s="80" t="s">
        <v>718</v>
      </c>
      <c r="C119" s="80" t="s">
        <v>719</v>
      </c>
      <c r="D119" s="75" t="s">
        <v>159</v>
      </c>
      <c r="E119" s="75" t="s">
        <v>249</v>
      </c>
      <c r="F119" s="9">
        <v>15.848967</v>
      </c>
      <c r="G119" s="9">
        <v>121.537459</v>
      </c>
      <c r="H119" s="4" t="str">
        <f t="shared" si="35"/>
        <v>15.848967,121.537459</v>
      </c>
      <c r="I119" s="4" t="s">
        <v>48</v>
      </c>
      <c r="J119" s="4" t="s">
        <v>720</v>
      </c>
      <c r="K119" s="9" t="s">
        <v>199</v>
      </c>
      <c r="L119" s="9">
        <v>2018</v>
      </c>
      <c r="M119" s="9">
        <v>2027</v>
      </c>
      <c r="N119" s="9"/>
      <c r="O119" s="4" t="s">
        <v>81</v>
      </c>
      <c r="P119" s="4" t="s">
        <v>172</v>
      </c>
      <c r="Q119" s="71"/>
      <c r="R119" s="71" t="s">
        <v>163</v>
      </c>
      <c r="S119" s="43" t="s">
        <v>721</v>
      </c>
      <c r="T119" s="33">
        <v>45911</v>
      </c>
      <c r="U119" s="33">
        <v>45911</v>
      </c>
      <c r="V119" s="33"/>
      <c r="W119" s="33">
        <v>45915</v>
      </c>
      <c r="X119" s="34">
        <v>45917</v>
      </c>
      <c r="Y119" s="45">
        <f t="shared" si="39"/>
        <v>1</v>
      </c>
      <c r="Z119" s="45" t="str">
        <f t="shared" si="40"/>
        <v/>
      </c>
      <c r="AA119" s="45">
        <f t="shared" si="44"/>
        <v>2</v>
      </c>
      <c r="AB119" s="45">
        <f t="shared" si="42"/>
        <v>2</v>
      </c>
      <c r="AC119" s="7" t="s">
        <v>150</v>
      </c>
      <c r="AD119" s="11">
        <v>0.25800000000000001</v>
      </c>
      <c r="AE119" s="82">
        <v>10826.11</v>
      </c>
      <c r="AF119" s="11">
        <v>90.96</v>
      </c>
      <c r="AG119" s="7" t="s">
        <v>259</v>
      </c>
      <c r="AH119" s="44" t="s">
        <v>151</v>
      </c>
      <c r="AI119" s="13" t="s">
        <v>49</v>
      </c>
      <c r="AJ119" s="13" t="s">
        <v>49</v>
      </c>
      <c r="AK119" s="13" t="s">
        <v>49</v>
      </c>
      <c r="AL119" s="13" t="s">
        <v>49</v>
      </c>
      <c r="AM119" s="13"/>
      <c r="AN119" s="13" t="s">
        <v>49</v>
      </c>
      <c r="AO119" s="35"/>
      <c r="AP119" s="4"/>
      <c r="AQ119" s="11"/>
      <c r="AR119" s="8">
        <v>10296.36</v>
      </c>
      <c r="AS119" s="6"/>
      <c r="AT119" s="8">
        <v>3618.14</v>
      </c>
      <c r="AU119" s="6"/>
      <c r="AV119" s="8">
        <v>2574.09</v>
      </c>
      <c r="AW119" s="6"/>
      <c r="AX119" s="8">
        <v>1621.68</v>
      </c>
      <c r="AY119" s="6"/>
      <c r="AZ119" s="8">
        <v>2213.7199999999998</v>
      </c>
      <c r="BA119" s="6"/>
      <c r="BB119" s="6">
        <v>268.73</v>
      </c>
      <c r="BC119" s="6"/>
      <c r="BD119" s="41">
        <f t="shared" si="36"/>
        <v>0</v>
      </c>
      <c r="BE119" s="6"/>
      <c r="BF119" s="6"/>
      <c r="BG119" s="6"/>
      <c r="BH119" s="6"/>
      <c r="BI119" s="6"/>
      <c r="BJ119" s="6"/>
      <c r="BK119" s="6"/>
      <c r="BL119" s="6"/>
      <c r="BM119" s="6"/>
      <c r="BN119" s="6"/>
      <c r="BO119" s="6"/>
      <c r="BP119" s="64" t="e">
        <f t="shared" si="37"/>
        <v>#DIV/0!</v>
      </c>
      <c r="BQ119" s="65" t="e">
        <f t="shared" si="38"/>
        <v>#DIV/0!</v>
      </c>
    </row>
    <row r="120" spans="1:69">
      <c r="A120" s="75" t="s">
        <v>16</v>
      </c>
      <c r="B120" s="80" t="s">
        <v>722</v>
      </c>
      <c r="C120" s="80" t="s">
        <v>723</v>
      </c>
      <c r="D120" s="75" t="s">
        <v>143</v>
      </c>
      <c r="E120" s="75" t="s">
        <v>185</v>
      </c>
      <c r="F120" s="9">
        <v>14.561871</v>
      </c>
      <c r="G120" s="9">
        <v>120.594915</v>
      </c>
      <c r="H120" s="4" t="str">
        <f t="shared" si="35"/>
        <v>14.561871,120.594915</v>
      </c>
      <c r="I120" s="4" t="s">
        <v>48</v>
      </c>
      <c r="J120" s="4" t="s">
        <v>724</v>
      </c>
      <c r="K120" s="9" t="s">
        <v>507</v>
      </c>
      <c r="L120" s="9">
        <v>2020</v>
      </c>
      <c r="M120" s="9">
        <v>2029</v>
      </c>
      <c r="N120" s="9"/>
      <c r="O120" s="9" t="s">
        <v>81</v>
      </c>
      <c r="P120" s="9" t="s">
        <v>188</v>
      </c>
      <c r="Q120" s="71"/>
      <c r="R120" s="71" t="s">
        <v>180</v>
      </c>
      <c r="S120" s="11" t="s">
        <v>725</v>
      </c>
      <c r="T120" s="36">
        <v>45909</v>
      </c>
      <c r="U120" s="36">
        <v>45915</v>
      </c>
      <c r="V120" s="36"/>
      <c r="W120" s="36">
        <v>45916</v>
      </c>
      <c r="X120" s="34">
        <v>45917</v>
      </c>
      <c r="Y120" s="45">
        <f t="shared" si="39"/>
        <v>4</v>
      </c>
      <c r="Z120" s="45" t="str">
        <f t="shared" si="40"/>
        <v/>
      </c>
      <c r="AA120" s="45">
        <f t="shared" si="44"/>
        <v>1</v>
      </c>
      <c r="AB120" s="45">
        <f t="shared" si="42"/>
        <v>1</v>
      </c>
      <c r="AC120" s="7" t="s">
        <v>150</v>
      </c>
      <c r="AD120" s="11">
        <v>0.375</v>
      </c>
      <c r="AE120" s="82">
        <v>34369.360000000001</v>
      </c>
      <c r="AF120" s="11">
        <v>69</v>
      </c>
      <c r="AG120" s="7" t="s">
        <v>259</v>
      </c>
      <c r="AH120" s="44" t="s">
        <v>151</v>
      </c>
      <c r="AI120" s="13" t="s">
        <v>49</v>
      </c>
      <c r="AJ120" s="13" t="s">
        <v>49</v>
      </c>
      <c r="AK120" s="13" t="s">
        <v>49</v>
      </c>
      <c r="AL120" s="13" t="s">
        <v>49</v>
      </c>
      <c r="AM120" s="13"/>
      <c r="AN120" s="13" t="s">
        <v>49</v>
      </c>
      <c r="AO120" s="35"/>
      <c r="AP120" s="4"/>
      <c r="AQ120" s="11"/>
      <c r="AR120" s="8">
        <v>38687.339999999997</v>
      </c>
      <c r="AS120" s="6"/>
      <c r="AT120" s="8">
        <v>15621.95</v>
      </c>
      <c r="AU120" s="6"/>
      <c r="AV120" s="8">
        <v>9551.9</v>
      </c>
      <c r="AW120" s="6"/>
      <c r="AX120" s="8">
        <v>3408.35</v>
      </c>
      <c r="AY120" s="6"/>
      <c r="AZ120" s="8">
        <v>9822.7199999999993</v>
      </c>
      <c r="BA120" s="6"/>
      <c r="BB120" s="6">
        <v>282.42</v>
      </c>
      <c r="BC120" s="6"/>
      <c r="BD120" s="41">
        <f t="shared" si="36"/>
        <v>0</v>
      </c>
      <c r="BE120" s="6"/>
      <c r="BF120" s="6"/>
      <c r="BG120" s="6"/>
      <c r="BH120" s="6"/>
      <c r="BI120" s="6"/>
      <c r="BJ120" s="6"/>
      <c r="BK120" s="6"/>
      <c r="BL120" s="6"/>
      <c r="BM120" s="6"/>
      <c r="BN120" s="6"/>
      <c r="BO120" s="6"/>
      <c r="BP120" s="64" t="e">
        <f t="shared" si="37"/>
        <v>#DIV/0!</v>
      </c>
      <c r="BQ120" s="65" t="e">
        <f t="shared" si="38"/>
        <v>#DIV/0!</v>
      </c>
    </row>
    <row r="121" spans="1:69" ht="15.75">
      <c r="A121" s="75" t="s">
        <v>20</v>
      </c>
      <c r="B121" s="80" t="s">
        <v>726</v>
      </c>
      <c r="C121" s="80" t="s">
        <v>727</v>
      </c>
      <c r="D121" s="75" t="s">
        <v>143</v>
      </c>
      <c r="E121" s="75" t="s">
        <v>554</v>
      </c>
      <c r="F121" s="9">
        <v>14.817360000000001</v>
      </c>
      <c r="G121" s="9">
        <v>120.90809299999999</v>
      </c>
      <c r="H121" s="4" t="str">
        <f t="shared" si="35"/>
        <v>14.81736,120.908093</v>
      </c>
      <c r="I121" s="4" t="s">
        <v>48</v>
      </c>
      <c r="J121" s="4" t="s">
        <v>728</v>
      </c>
      <c r="K121" s="9" t="s">
        <v>199</v>
      </c>
      <c r="L121" s="9">
        <v>2018</v>
      </c>
      <c r="M121" s="9">
        <v>2027</v>
      </c>
      <c r="N121" s="9"/>
      <c r="O121" s="9" t="s">
        <v>81</v>
      </c>
      <c r="P121" s="9" t="s">
        <v>388</v>
      </c>
      <c r="Q121" s="71" t="s">
        <v>147</v>
      </c>
      <c r="R121" s="71" t="s">
        <v>201</v>
      </c>
      <c r="S121" s="13" t="s">
        <v>729</v>
      </c>
      <c r="T121" s="35">
        <v>45916</v>
      </c>
      <c r="U121" s="35">
        <v>45916</v>
      </c>
      <c r="V121" s="35">
        <v>45916</v>
      </c>
      <c r="W121" s="33">
        <v>45917</v>
      </c>
      <c r="X121" s="34">
        <v>45918</v>
      </c>
      <c r="Y121" s="45">
        <f t="shared" si="39"/>
        <v>1</v>
      </c>
      <c r="Z121" s="45">
        <f t="shared" si="40"/>
        <v>1</v>
      </c>
      <c r="AA121" s="45">
        <f t="shared" si="44"/>
        <v>1</v>
      </c>
      <c r="AB121" s="45">
        <f t="shared" si="42"/>
        <v>1</v>
      </c>
      <c r="AC121" s="7" t="s">
        <v>150</v>
      </c>
      <c r="AD121" s="666">
        <v>0.42399999999999999</v>
      </c>
      <c r="AE121" s="667">
        <v>32248.13</v>
      </c>
      <c r="AF121" s="11"/>
      <c r="AG121" s="454" t="s">
        <v>730</v>
      </c>
      <c r="AH121" s="44" t="s">
        <v>151</v>
      </c>
      <c r="AI121" s="13" t="s">
        <v>49</v>
      </c>
      <c r="AJ121" s="13" t="s">
        <v>49</v>
      </c>
      <c r="AK121" s="13" t="s">
        <v>49</v>
      </c>
      <c r="AL121" s="13" t="s">
        <v>49</v>
      </c>
      <c r="AM121" s="13"/>
      <c r="AN121" s="13" t="s">
        <v>49</v>
      </c>
      <c r="AO121" s="35"/>
      <c r="AP121" s="4"/>
      <c r="AQ121" s="11"/>
      <c r="AR121" s="772">
        <v>32248.13</v>
      </c>
      <c r="AS121" s="6"/>
      <c r="AT121" s="772">
        <v>13744.17</v>
      </c>
      <c r="AU121" s="6"/>
      <c r="AV121" s="772">
        <v>7647.34</v>
      </c>
      <c r="AW121" s="6"/>
      <c r="AX121" s="8"/>
      <c r="AY121" s="6"/>
      <c r="AZ121" s="8"/>
      <c r="BA121" s="6"/>
      <c r="BB121" s="774">
        <v>304.54000000000002</v>
      </c>
      <c r="BC121" s="6"/>
      <c r="BD121" s="41">
        <f t="shared" si="36"/>
        <v>0</v>
      </c>
      <c r="BE121" s="6"/>
      <c r="BF121" s="6"/>
      <c r="BG121" s="6"/>
      <c r="BH121" s="6"/>
      <c r="BI121" s="6"/>
      <c r="BJ121" s="6"/>
      <c r="BK121" s="6"/>
      <c r="BL121" s="6"/>
      <c r="BM121" s="6"/>
      <c r="BN121" s="6"/>
      <c r="BO121" s="6"/>
      <c r="BP121" s="64" t="e">
        <f t="shared" si="37"/>
        <v>#DIV/0!</v>
      </c>
      <c r="BQ121" s="65" t="e">
        <f t="shared" si="38"/>
        <v>#DIV/0!</v>
      </c>
    </row>
    <row r="122" spans="1:69" ht="15.75">
      <c r="A122" s="75" t="s">
        <v>20</v>
      </c>
      <c r="B122" s="80" t="s">
        <v>731</v>
      </c>
      <c r="C122" s="80" t="s">
        <v>732</v>
      </c>
      <c r="D122" s="75" t="s">
        <v>143</v>
      </c>
      <c r="E122" s="75" t="s">
        <v>233</v>
      </c>
      <c r="F122" s="4">
        <v>14.709363</v>
      </c>
      <c r="G122" s="4">
        <v>120.9374</v>
      </c>
      <c r="H122" s="4" t="str">
        <f t="shared" si="35"/>
        <v>14.709363,120.9374</v>
      </c>
      <c r="I122" s="4" t="s">
        <v>48</v>
      </c>
      <c r="J122" s="4" t="s">
        <v>733</v>
      </c>
      <c r="K122" s="4" t="s">
        <v>199</v>
      </c>
      <c r="L122" s="4">
        <v>2019</v>
      </c>
      <c r="M122" s="4">
        <v>2027</v>
      </c>
      <c r="N122" s="4"/>
      <c r="O122" s="9" t="s">
        <v>81</v>
      </c>
      <c r="P122" s="4" t="s">
        <v>508</v>
      </c>
      <c r="Q122" s="71" t="s">
        <v>147</v>
      </c>
      <c r="R122" s="71" t="s">
        <v>201</v>
      </c>
      <c r="S122" s="7" t="s">
        <v>734</v>
      </c>
      <c r="T122" s="33">
        <v>45912</v>
      </c>
      <c r="U122" s="33">
        <v>45916</v>
      </c>
      <c r="V122" s="33">
        <v>45916</v>
      </c>
      <c r="W122" s="33">
        <v>45887</v>
      </c>
      <c r="X122" s="34">
        <v>45908</v>
      </c>
      <c r="Y122" s="45">
        <f t="shared" si="39"/>
        <v>2</v>
      </c>
      <c r="Z122" s="45">
        <f t="shared" si="40"/>
        <v>1</v>
      </c>
      <c r="AA122" s="45">
        <f t="shared" si="44"/>
        <v>1</v>
      </c>
      <c r="AB122" s="45">
        <f t="shared" si="42"/>
        <v>15</v>
      </c>
      <c r="AC122" s="7" t="s">
        <v>150</v>
      </c>
      <c r="AD122" s="11">
        <v>0.2</v>
      </c>
      <c r="AE122" s="664">
        <v>13166.77</v>
      </c>
      <c r="AF122" s="11"/>
      <c r="AG122" s="7"/>
      <c r="AH122" s="44" t="str">
        <f>IF(AND(AI122 = "YES", AJ122 = "YES", AK122 = "YES", AL122 = "YES", AN122 = "YES"), "Compliant", "Not Compliant")</f>
        <v>Not Compliant</v>
      </c>
      <c r="AI122" s="7"/>
      <c r="AJ122" s="7"/>
      <c r="AK122" s="7"/>
      <c r="AL122" s="7"/>
      <c r="AM122" s="7"/>
      <c r="AN122" s="7"/>
      <c r="AO122" s="33"/>
      <c r="AP122" s="4"/>
      <c r="AQ122" s="11"/>
      <c r="AR122" s="8">
        <v>12607.57</v>
      </c>
      <c r="AS122" s="6"/>
      <c r="AT122" s="8">
        <v>5353.18</v>
      </c>
      <c r="AU122" s="6"/>
      <c r="AV122" s="8">
        <v>3920.96</v>
      </c>
      <c r="AW122" s="6"/>
      <c r="AX122" s="8">
        <v>1753.71</v>
      </c>
      <c r="AY122" s="6"/>
      <c r="AZ122" s="8">
        <v>1384.31</v>
      </c>
      <c r="BA122" s="6"/>
      <c r="BB122" s="6">
        <v>195.42</v>
      </c>
      <c r="BC122" s="6"/>
      <c r="BD122" s="41">
        <f t="shared" si="36"/>
        <v>0</v>
      </c>
      <c r="BE122" s="6"/>
      <c r="BF122" s="6"/>
      <c r="BG122" s="6"/>
      <c r="BH122" s="6"/>
      <c r="BI122" s="6"/>
      <c r="BJ122" s="6"/>
      <c r="BK122" s="6"/>
      <c r="BL122" s="6"/>
      <c r="BM122" s="6"/>
      <c r="BN122" s="6"/>
      <c r="BO122" s="6"/>
      <c r="BP122" s="64" t="e">
        <f t="shared" si="37"/>
        <v>#DIV/0!</v>
      </c>
      <c r="BQ122" s="65" t="e">
        <f t="shared" si="38"/>
        <v>#DIV/0!</v>
      </c>
    </row>
    <row r="123" spans="1:69" ht="30">
      <c r="A123" s="75" t="s">
        <v>25</v>
      </c>
      <c r="B123" s="80" t="s">
        <v>735</v>
      </c>
      <c r="C123" s="80" t="s">
        <v>736</v>
      </c>
      <c r="D123" s="75" t="s">
        <v>143</v>
      </c>
      <c r="E123" s="75" t="s">
        <v>160</v>
      </c>
      <c r="F123" s="9">
        <v>15.449173999999999</v>
      </c>
      <c r="G123" s="9">
        <v>120.793468</v>
      </c>
      <c r="H123" s="4" t="str">
        <f t="shared" si="35"/>
        <v>15.449174,120.793468</v>
      </c>
      <c r="I123" s="4" t="s">
        <v>48</v>
      </c>
      <c r="J123" s="4">
        <v>199</v>
      </c>
      <c r="K123" s="9" t="s">
        <v>380</v>
      </c>
      <c r="L123" s="9">
        <v>2015</v>
      </c>
      <c r="M123" s="9">
        <v>2025</v>
      </c>
      <c r="N123" s="11" t="s">
        <v>98</v>
      </c>
      <c r="O123" s="9" t="s">
        <v>81</v>
      </c>
      <c r="P123" s="9" t="s">
        <v>224</v>
      </c>
      <c r="Q123" s="71" t="s">
        <v>211</v>
      </c>
      <c r="R123" s="71" t="s">
        <v>212</v>
      </c>
      <c r="S123" s="540" t="s">
        <v>737</v>
      </c>
      <c r="T123" s="761">
        <v>45916</v>
      </c>
      <c r="U123" s="761">
        <v>45918</v>
      </c>
      <c r="V123" s="761">
        <v>45919</v>
      </c>
      <c r="W123" s="761">
        <v>45919</v>
      </c>
      <c r="X123" s="761">
        <v>45919</v>
      </c>
      <c r="Y123" s="45">
        <f t="shared" si="39"/>
        <v>2</v>
      </c>
      <c r="Z123" s="45">
        <f t="shared" si="40"/>
        <v>1</v>
      </c>
      <c r="AA123" s="45">
        <f t="shared" si="44"/>
        <v>1</v>
      </c>
      <c r="AB123" s="45">
        <f t="shared" si="42"/>
        <v>1</v>
      </c>
      <c r="AC123" s="7" t="s">
        <v>150</v>
      </c>
      <c r="AD123" s="11">
        <v>0.26</v>
      </c>
      <c r="AE123" s="669">
        <v>32911.300000000003</v>
      </c>
      <c r="AF123" s="83">
        <v>0.621</v>
      </c>
      <c r="AG123" s="7" t="s">
        <v>519</v>
      </c>
      <c r="AH123" s="44" t="s">
        <v>151</v>
      </c>
      <c r="AI123" s="7" t="s">
        <v>49</v>
      </c>
      <c r="AJ123" s="7" t="s">
        <v>56</v>
      </c>
      <c r="AK123" s="7" t="s">
        <v>49</v>
      </c>
      <c r="AL123" s="7" t="s">
        <v>49</v>
      </c>
      <c r="AM123" s="7"/>
      <c r="AN123" s="7" t="s">
        <v>49</v>
      </c>
      <c r="AO123" s="35"/>
      <c r="AP123" s="4"/>
      <c r="AQ123" s="11"/>
      <c r="AR123" s="8">
        <v>21654.18</v>
      </c>
      <c r="AS123" s="6"/>
      <c r="AT123" s="8">
        <v>8449.4599999999991</v>
      </c>
      <c r="AU123" s="6"/>
      <c r="AV123" s="8">
        <v>5002.12</v>
      </c>
      <c r="AW123" s="6"/>
      <c r="AX123" s="8">
        <v>3386.71</v>
      </c>
      <c r="AY123" s="6"/>
      <c r="AZ123" s="8">
        <v>3772.16</v>
      </c>
      <c r="BA123" s="6"/>
      <c r="BB123" s="8">
        <v>1043.73</v>
      </c>
      <c r="BC123" s="6"/>
      <c r="BD123" s="41">
        <f t="shared" si="36"/>
        <v>0</v>
      </c>
      <c r="BE123" s="6"/>
      <c r="BF123" s="6"/>
      <c r="BG123" s="6"/>
      <c r="BH123" s="6"/>
      <c r="BI123" s="6"/>
      <c r="BJ123" s="6"/>
      <c r="BK123" s="6"/>
      <c r="BL123" s="6"/>
      <c r="BM123" s="6"/>
      <c r="BN123" s="6"/>
      <c r="BO123" s="6"/>
      <c r="BP123" s="64" t="e">
        <f t="shared" si="37"/>
        <v>#DIV/0!</v>
      </c>
      <c r="BQ123" s="65" t="e">
        <f t="shared" si="38"/>
        <v>#DIV/0!</v>
      </c>
    </row>
    <row r="124" spans="1:69">
      <c r="A124" s="75" t="s">
        <v>25</v>
      </c>
      <c r="B124" s="80" t="s">
        <v>738</v>
      </c>
      <c r="C124" s="80" t="s">
        <v>739</v>
      </c>
      <c r="D124" s="75" t="s">
        <v>143</v>
      </c>
      <c r="E124" s="75" t="s">
        <v>233</v>
      </c>
      <c r="F124" s="4">
        <v>15.337630000000001</v>
      </c>
      <c r="G124" s="4">
        <v>120.905423</v>
      </c>
      <c r="H124" s="4" t="str">
        <f t="shared" si="35"/>
        <v>15.33763,120.905423</v>
      </c>
      <c r="I124" s="4" t="s">
        <v>48</v>
      </c>
      <c r="J124" s="4" t="s">
        <v>740</v>
      </c>
      <c r="K124" s="4" t="s">
        <v>380</v>
      </c>
      <c r="L124" s="4">
        <v>2016</v>
      </c>
      <c r="M124" s="4">
        <v>2025</v>
      </c>
      <c r="N124" s="11" t="s">
        <v>98</v>
      </c>
      <c r="O124" s="9" t="s">
        <v>81</v>
      </c>
      <c r="P124" s="4" t="s">
        <v>30</v>
      </c>
      <c r="Q124" s="71" t="s">
        <v>211</v>
      </c>
      <c r="R124" s="77" t="s">
        <v>212</v>
      </c>
      <c r="S124" s="16" t="s">
        <v>741</v>
      </c>
      <c r="T124" s="33">
        <v>45904</v>
      </c>
      <c r="U124" s="33">
        <v>45918</v>
      </c>
      <c r="V124" s="33">
        <v>45918</v>
      </c>
      <c r="W124" s="35">
        <v>45919</v>
      </c>
      <c r="X124" s="33">
        <v>45918</v>
      </c>
      <c r="Y124" s="45">
        <f t="shared" si="39"/>
        <v>10</v>
      </c>
      <c r="Z124" s="45">
        <f t="shared" si="40"/>
        <v>1</v>
      </c>
      <c r="AA124" s="45">
        <f t="shared" si="44"/>
        <v>1</v>
      </c>
      <c r="AB124" s="45">
        <f t="shared" si="42"/>
        <v>1</v>
      </c>
      <c r="AC124" s="7" t="s">
        <v>150</v>
      </c>
      <c r="AD124" s="11">
        <v>0.57199999999999995</v>
      </c>
      <c r="AE124" s="9" t="s">
        <v>742</v>
      </c>
      <c r="AF124" s="11"/>
      <c r="AG124" s="7" t="s">
        <v>282</v>
      </c>
      <c r="AH124" s="44" t="s">
        <v>151</v>
      </c>
      <c r="AI124" s="11" t="s">
        <v>49</v>
      </c>
      <c r="AJ124" s="11" t="s">
        <v>49</v>
      </c>
      <c r="AK124" s="11" t="s">
        <v>49</v>
      </c>
      <c r="AL124" s="11" t="s">
        <v>49</v>
      </c>
      <c r="AM124" s="7"/>
      <c r="AN124" s="7" t="s">
        <v>49</v>
      </c>
      <c r="AO124" s="33"/>
      <c r="AP124" s="4"/>
      <c r="AQ124" s="11"/>
      <c r="AR124" s="8">
        <v>29408.66</v>
      </c>
      <c r="AS124" s="6"/>
      <c r="AT124" s="8">
        <v>11763.46</v>
      </c>
      <c r="AU124" s="6"/>
      <c r="AV124" s="8">
        <v>4043.69</v>
      </c>
      <c r="AW124" s="6"/>
      <c r="AX124" s="8">
        <v>8231.48</v>
      </c>
      <c r="AY124" s="6"/>
      <c r="AZ124" s="8">
        <v>4646.57</v>
      </c>
      <c r="BA124" s="6"/>
      <c r="BB124" s="6">
        <v>723.45</v>
      </c>
      <c r="BC124" s="6"/>
      <c r="BD124" s="41">
        <f t="shared" si="36"/>
        <v>0</v>
      </c>
      <c r="BE124" s="6"/>
      <c r="BF124" s="6"/>
      <c r="BG124" s="6"/>
      <c r="BH124" s="6"/>
      <c r="BI124" s="6"/>
      <c r="BJ124" s="6"/>
      <c r="BK124" s="6"/>
      <c r="BL124" s="6"/>
      <c r="BM124" s="6"/>
      <c r="BN124" s="6"/>
      <c r="BO124" s="6"/>
      <c r="BP124" s="64" t="e">
        <f t="shared" si="37"/>
        <v>#DIV/0!</v>
      </c>
      <c r="BQ124" s="65" t="e">
        <f t="shared" si="38"/>
        <v>#DIV/0!</v>
      </c>
    </row>
    <row r="125" spans="1:69" ht="30">
      <c r="A125" s="75" t="s">
        <v>25</v>
      </c>
      <c r="B125" s="80" t="s">
        <v>743</v>
      </c>
      <c r="C125" s="80" t="s">
        <v>744</v>
      </c>
      <c r="D125" s="75" t="s">
        <v>143</v>
      </c>
      <c r="E125" s="75" t="s">
        <v>160</v>
      </c>
      <c r="F125" s="11">
        <v>15.449308</v>
      </c>
      <c r="G125" s="11">
        <v>120.793306</v>
      </c>
      <c r="H125" s="4" t="str">
        <f t="shared" si="35"/>
        <v>15.449308,120.793306</v>
      </c>
      <c r="I125" s="4" t="s">
        <v>48</v>
      </c>
      <c r="J125" s="4" t="s">
        <v>745</v>
      </c>
      <c r="K125" s="11" t="s">
        <v>229</v>
      </c>
      <c r="L125" s="11">
        <v>2018</v>
      </c>
      <c r="M125" s="11">
        <v>2026</v>
      </c>
      <c r="N125" s="11"/>
      <c r="O125" s="9" t="s">
        <v>81</v>
      </c>
      <c r="P125" s="11" t="s">
        <v>224</v>
      </c>
      <c r="Q125" s="71" t="s">
        <v>211</v>
      </c>
      <c r="R125" s="77" t="s">
        <v>212</v>
      </c>
      <c r="S125" s="85" t="s">
        <v>746</v>
      </c>
      <c r="T125" s="34">
        <v>45916</v>
      </c>
      <c r="U125" s="34">
        <v>45917</v>
      </c>
      <c r="V125" s="34">
        <v>45918</v>
      </c>
      <c r="W125" s="34">
        <v>45918</v>
      </c>
      <c r="X125" s="34">
        <v>45918</v>
      </c>
      <c r="Y125" s="45">
        <f t="shared" si="39"/>
        <v>1</v>
      </c>
      <c r="Z125" s="45">
        <f t="shared" si="40"/>
        <v>1</v>
      </c>
      <c r="AA125" s="45">
        <f t="shared" si="44"/>
        <v>1</v>
      </c>
      <c r="AB125" s="45">
        <f t="shared" si="42"/>
        <v>1</v>
      </c>
      <c r="AC125" s="7" t="s">
        <v>150</v>
      </c>
      <c r="AD125" s="11">
        <v>0.45500000000000002</v>
      </c>
      <c r="AE125" s="11">
        <v>24472.62</v>
      </c>
      <c r="AF125" s="11">
        <v>57.66</v>
      </c>
      <c r="AG125" s="7" t="s">
        <v>747</v>
      </c>
      <c r="AH125" s="44" t="s">
        <v>151</v>
      </c>
      <c r="AI125" s="11" t="s">
        <v>49</v>
      </c>
      <c r="AJ125" s="11" t="s">
        <v>49</v>
      </c>
      <c r="AK125" s="11" t="s">
        <v>49</v>
      </c>
      <c r="AL125" s="11" t="s">
        <v>49</v>
      </c>
      <c r="AM125" s="11" t="s">
        <v>49</v>
      </c>
      <c r="AN125" s="11" t="s">
        <v>49</v>
      </c>
      <c r="AO125" s="34"/>
      <c r="AP125" s="11"/>
      <c r="AQ125" s="11"/>
      <c r="AR125" s="8">
        <v>28033.97</v>
      </c>
      <c r="AS125" s="6"/>
      <c r="AT125" s="8">
        <v>7779.43</v>
      </c>
      <c r="AU125" s="6"/>
      <c r="AV125" s="8">
        <v>3708.89</v>
      </c>
      <c r="AW125" s="6"/>
      <c r="AX125" s="8">
        <v>1805.39</v>
      </c>
      <c r="AY125" s="6"/>
      <c r="AZ125" s="8">
        <v>14266.49</v>
      </c>
      <c r="BA125" s="6"/>
      <c r="BB125" s="6">
        <v>473.77</v>
      </c>
      <c r="BC125" s="6"/>
      <c r="BD125" s="41">
        <f t="shared" si="36"/>
        <v>0</v>
      </c>
      <c r="BE125" s="6"/>
      <c r="BF125" s="6"/>
      <c r="BG125" s="6"/>
      <c r="BH125" s="6"/>
      <c r="BI125" s="6"/>
      <c r="BJ125" s="6"/>
      <c r="BK125" s="6"/>
      <c r="BL125" s="6"/>
      <c r="BM125" s="6"/>
      <c r="BN125" s="6"/>
      <c r="BO125" s="6"/>
      <c r="BP125" s="64" t="e">
        <f t="shared" si="37"/>
        <v>#DIV/0!</v>
      </c>
      <c r="BQ125" s="65" t="e">
        <f t="shared" si="38"/>
        <v>#DIV/0!</v>
      </c>
    </row>
    <row r="126" spans="1:69">
      <c r="A126" s="75" t="s">
        <v>31</v>
      </c>
      <c r="B126" s="80" t="s">
        <v>748</v>
      </c>
      <c r="C126" s="80" t="s">
        <v>749</v>
      </c>
      <c r="D126" s="75" t="s">
        <v>143</v>
      </c>
      <c r="E126" s="75" t="s">
        <v>185</v>
      </c>
      <c r="F126" s="11">
        <v>14.926299999999999</v>
      </c>
      <c r="G126" s="11">
        <v>120.5891</v>
      </c>
      <c r="H126" s="4" t="str">
        <f t="shared" si="35"/>
        <v>14.9263,120.5891</v>
      </c>
      <c r="I126" s="4" t="s">
        <v>48</v>
      </c>
      <c r="J126" s="4" t="s">
        <v>750</v>
      </c>
      <c r="K126" s="11" t="s">
        <v>229</v>
      </c>
      <c r="L126" s="11">
        <v>2018</v>
      </c>
      <c r="M126" s="11">
        <v>2026</v>
      </c>
      <c r="N126" s="11"/>
      <c r="O126" s="9" t="s">
        <v>81</v>
      </c>
      <c r="P126" s="11" t="s">
        <v>35</v>
      </c>
      <c r="Q126" s="76" t="s">
        <v>28</v>
      </c>
      <c r="R126" s="755" t="s">
        <v>148</v>
      </c>
      <c r="S126" s="11" t="s">
        <v>751</v>
      </c>
      <c r="T126" s="34">
        <v>45909</v>
      </c>
      <c r="U126" s="34">
        <v>45914</v>
      </c>
      <c r="V126" s="34">
        <v>45917</v>
      </c>
      <c r="W126" s="34">
        <v>45917</v>
      </c>
      <c r="X126" s="34">
        <v>45918</v>
      </c>
      <c r="Y126" s="45">
        <f t="shared" si="39"/>
        <v>3</v>
      </c>
      <c r="Z126" s="45">
        <f t="shared" si="40"/>
        <v>2</v>
      </c>
      <c r="AA126" s="45">
        <f t="shared" si="44"/>
        <v>1</v>
      </c>
      <c r="AB126" s="45">
        <f t="shared" si="42"/>
        <v>1</v>
      </c>
      <c r="AC126" s="7" t="s">
        <v>150</v>
      </c>
      <c r="AD126" s="15">
        <v>0.46400000000000002</v>
      </c>
      <c r="AE126" s="14">
        <v>102501.43</v>
      </c>
      <c r="AF126" s="83">
        <v>0.53610000000000002</v>
      </c>
      <c r="AG126" s="7" t="s">
        <v>269</v>
      </c>
      <c r="AH126" s="44" t="s">
        <v>151</v>
      </c>
      <c r="AI126" s="11" t="s">
        <v>49</v>
      </c>
      <c r="AJ126" s="11" t="s">
        <v>49</v>
      </c>
      <c r="AK126" s="11" t="s">
        <v>49</v>
      </c>
      <c r="AL126" s="11" t="s">
        <v>49</v>
      </c>
      <c r="AM126" s="11" t="s">
        <v>49</v>
      </c>
      <c r="AN126" s="11" t="s">
        <v>49</v>
      </c>
      <c r="AO126" s="34"/>
      <c r="AP126" s="11"/>
      <c r="AQ126" s="11"/>
      <c r="AR126" s="8">
        <v>131284.21</v>
      </c>
      <c r="AS126" s="6"/>
      <c r="AT126" s="8">
        <v>38545.040000000001</v>
      </c>
      <c r="AU126" s="6"/>
      <c r="AV126" s="8">
        <v>32807.919999999998</v>
      </c>
      <c r="AW126" s="6"/>
      <c r="AX126" s="8">
        <v>23316.080000000002</v>
      </c>
      <c r="AY126" s="6"/>
      <c r="AZ126" s="8">
        <v>19823.919999999998</v>
      </c>
      <c r="BA126" s="6"/>
      <c r="BB126" s="8">
        <v>16791.25</v>
      </c>
      <c r="BC126" s="6"/>
      <c r="BD126" s="41">
        <f t="shared" si="36"/>
        <v>0</v>
      </c>
      <c r="BE126" s="6"/>
      <c r="BF126" s="6"/>
      <c r="BG126" s="6"/>
      <c r="BH126" s="6"/>
      <c r="BI126" s="6"/>
      <c r="BJ126" s="6"/>
      <c r="BK126" s="6"/>
      <c r="BL126" s="6"/>
      <c r="BM126" s="6"/>
      <c r="BN126" s="6"/>
      <c r="BO126" s="6"/>
      <c r="BP126" s="64" t="e">
        <f t="shared" si="37"/>
        <v>#DIV/0!</v>
      </c>
      <c r="BQ126" s="65" t="e">
        <f t="shared" si="38"/>
        <v>#DIV/0!</v>
      </c>
    </row>
    <row r="127" spans="1:69">
      <c r="A127" s="75" t="s">
        <v>31</v>
      </c>
      <c r="B127" s="80" t="s">
        <v>752</v>
      </c>
      <c r="C127" s="80" t="s">
        <v>753</v>
      </c>
      <c r="D127" s="75" t="s">
        <v>143</v>
      </c>
      <c r="E127" s="9" t="s">
        <v>185</v>
      </c>
      <c r="F127" s="11">
        <v>15.000400000000001</v>
      </c>
      <c r="G127" s="11">
        <v>120.6178</v>
      </c>
      <c r="H127" s="4" t="str">
        <f t="shared" si="35"/>
        <v>15.0004,120.6178</v>
      </c>
      <c r="I127" s="4" t="s">
        <v>48</v>
      </c>
      <c r="J127" s="4" t="s">
        <v>754</v>
      </c>
      <c r="K127" s="11" t="s">
        <v>155</v>
      </c>
      <c r="L127" s="11">
        <v>2015</v>
      </c>
      <c r="M127" s="11">
        <v>2024</v>
      </c>
      <c r="N127" s="11" t="s">
        <v>98</v>
      </c>
      <c r="O127" s="9" t="s">
        <v>81</v>
      </c>
      <c r="P127" s="11" t="s">
        <v>35</v>
      </c>
      <c r="Q127" s="76" t="s">
        <v>28</v>
      </c>
      <c r="R127" s="755" t="s">
        <v>148</v>
      </c>
      <c r="S127" s="11" t="s">
        <v>755</v>
      </c>
      <c r="T127" s="34">
        <v>45911</v>
      </c>
      <c r="U127" s="34">
        <v>45914</v>
      </c>
      <c r="V127" s="34">
        <v>45917</v>
      </c>
      <c r="W127" s="34">
        <v>45917</v>
      </c>
      <c r="X127" s="34">
        <v>45918</v>
      </c>
      <c r="Y127" s="45">
        <f t="shared" si="39"/>
        <v>1</v>
      </c>
      <c r="Z127" s="45">
        <f t="shared" si="40"/>
        <v>2</v>
      </c>
      <c r="AA127" s="45">
        <f t="shared" si="44"/>
        <v>1</v>
      </c>
      <c r="AB127" s="45">
        <f t="shared" si="42"/>
        <v>1</v>
      </c>
      <c r="AC127" s="7" t="s">
        <v>150</v>
      </c>
      <c r="AD127" s="11">
        <v>0.372</v>
      </c>
      <c r="AE127" s="82">
        <v>15389.2</v>
      </c>
      <c r="AF127" s="353">
        <v>0.46</v>
      </c>
      <c r="AG127" s="7" t="s">
        <v>756</v>
      </c>
      <c r="AH127" s="44" t="str">
        <f>IF(AND(AI127 = "YES", AJ127 = "YES", AK127 = "YES", AL127 = "YES", AN127 = "YES"), "Compliant", "Not Compliant")</f>
        <v>Not Compliant</v>
      </c>
      <c r="AI127" s="11" t="s">
        <v>49</v>
      </c>
      <c r="AJ127" s="11" t="s">
        <v>56</v>
      </c>
      <c r="AK127" s="11" t="s">
        <v>56</v>
      </c>
      <c r="AL127" s="11" t="s">
        <v>49</v>
      </c>
      <c r="AM127" s="11" t="s">
        <v>69</v>
      </c>
      <c r="AN127" s="11" t="s">
        <v>49</v>
      </c>
      <c r="AO127" s="34"/>
      <c r="AP127" s="11"/>
      <c r="AQ127" s="11"/>
      <c r="AR127" s="8">
        <v>24612.61</v>
      </c>
      <c r="AS127" s="6"/>
      <c r="AT127" s="8">
        <v>7497</v>
      </c>
      <c r="AU127" s="6"/>
      <c r="AV127" s="8">
        <v>3866.64</v>
      </c>
      <c r="AW127" s="6"/>
      <c r="AX127" s="8">
        <v>9197.73</v>
      </c>
      <c r="AY127" s="6"/>
      <c r="AZ127" s="8">
        <v>3647.59</v>
      </c>
      <c r="BA127" s="6"/>
      <c r="BB127" s="6">
        <v>403.65</v>
      </c>
      <c r="BC127" s="6"/>
      <c r="BD127" s="41">
        <f t="shared" si="36"/>
        <v>0</v>
      </c>
      <c r="BE127" s="6"/>
      <c r="BF127" s="6"/>
      <c r="BG127" s="6"/>
      <c r="BH127" s="6"/>
      <c r="BI127" s="6"/>
      <c r="BJ127" s="6"/>
      <c r="BK127" s="6"/>
      <c r="BL127" s="6"/>
      <c r="BM127" s="6"/>
      <c r="BN127" s="6"/>
      <c r="BO127" s="6"/>
      <c r="BP127" s="64" t="e">
        <f t="shared" si="37"/>
        <v>#DIV/0!</v>
      </c>
      <c r="BQ127" s="65" t="e">
        <f t="shared" si="38"/>
        <v>#DIV/0!</v>
      </c>
    </row>
    <row r="128" spans="1:69">
      <c r="A128" s="75" t="s">
        <v>36</v>
      </c>
      <c r="B128" s="80" t="s">
        <v>757</v>
      </c>
      <c r="C128" s="80" t="s">
        <v>758</v>
      </c>
      <c r="D128" s="75" t="s">
        <v>143</v>
      </c>
      <c r="E128" s="9" t="s">
        <v>144</v>
      </c>
      <c r="F128" s="11">
        <v>15.44117</v>
      </c>
      <c r="G128" s="11">
        <v>120.729534</v>
      </c>
      <c r="H128" s="4" t="str">
        <f t="shared" si="35"/>
        <v>15.44117,120.729534</v>
      </c>
      <c r="I128" s="4" t="s">
        <v>48</v>
      </c>
      <c r="J128" s="4" t="s">
        <v>759</v>
      </c>
      <c r="K128" s="11" t="s">
        <v>527</v>
      </c>
      <c r="L128" s="11">
        <v>2015</v>
      </c>
      <c r="M128" s="11">
        <v>2023</v>
      </c>
      <c r="N128" s="11" t="s">
        <v>98</v>
      </c>
      <c r="O128" s="9" t="s">
        <v>81</v>
      </c>
      <c r="P128" s="11" t="s">
        <v>39</v>
      </c>
      <c r="Q128" s="71"/>
      <c r="R128" s="77" t="s">
        <v>328</v>
      </c>
      <c r="S128" s="11" t="s">
        <v>760</v>
      </c>
      <c r="T128" s="34">
        <v>45910</v>
      </c>
      <c r="U128" s="34">
        <v>45915</v>
      </c>
      <c r="V128" s="34"/>
      <c r="W128" s="34">
        <v>45917</v>
      </c>
      <c r="X128" s="34">
        <v>45919</v>
      </c>
      <c r="Y128" s="45">
        <f t="shared" si="39"/>
        <v>3</v>
      </c>
      <c r="Z128" s="45" t="str">
        <f t="shared" si="40"/>
        <v/>
      </c>
      <c r="AA128" s="45">
        <f>IF(
    OR(ISBLANK(U128), ISBLANK(W128)),
    "",
    MAX(1, IF(
        NETWORKDAYS(U128, W128) &lt;= 0,
        1,
        NETWORKDAYS(U128, W128) - IF(U128 = W128, 0, 1)
    ))
)</f>
        <v>2</v>
      </c>
      <c r="AB128" s="45">
        <f t="shared" si="42"/>
        <v>2</v>
      </c>
      <c r="AC128" s="7" t="s">
        <v>150</v>
      </c>
      <c r="AD128" s="11">
        <v>0.12</v>
      </c>
      <c r="AE128" s="11" t="s">
        <v>761</v>
      </c>
      <c r="AF128" s="11">
        <v>100</v>
      </c>
      <c r="AG128" s="7" t="s">
        <v>762</v>
      </c>
      <c r="AH128" s="44" t="str">
        <f>IF(AND(AI128 = "YES", AJ128 = "YES", AK128 = "YES", AL128 = "YES", AN128 = "YES"), "Compliant", "Not Compliant")</f>
        <v>Compliant</v>
      </c>
      <c r="AI128" s="11" t="s">
        <v>49</v>
      </c>
      <c r="AJ128" s="11" t="s">
        <v>49</v>
      </c>
      <c r="AK128" s="11" t="s">
        <v>49</v>
      </c>
      <c r="AL128" s="11" t="s">
        <v>49</v>
      </c>
      <c r="AM128" s="11"/>
      <c r="AN128" s="11" t="s">
        <v>49</v>
      </c>
      <c r="AO128" s="34"/>
      <c r="AP128" s="11"/>
      <c r="AQ128" s="11"/>
      <c r="AR128" s="8">
        <v>9602.59</v>
      </c>
      <c r="AS128" s="6"/>
      <c r="AT128" s="8">
        <v>3001.77</v>
      </c>
      <c r="AU128" s="6"/>
      <c r="AV128" s="8">
        <v>2891.34</v>
      </c>
      <c r="AW128" s="6"/>
      <c r="AX128" s="6">
        <v>883.44</v>
      </c>
      <c r="AY128" s="6"/>
      <c r="AZ128" s="8">
        <v>1222.4100000000001</v>
      </c>
      <c r="BA128" s="6"/>
      <c r="BB128" s="8">
        <v>1603.63</v>
      </c>
      <c r="BC128" s="6"/>
      <c r="BD128" s="41">
        <f t="shared" si="36"/>
        <v>0</v>
      </c>
      <c r="BE128" s="6"/>
      <c r="BF128" s="6"/>
      <c r="BG128" s="6"/>
      <c r="BH128" s="6"/>
      <c r="BI128" s="6"/>
      <c r="BJ128" s="6"/>
      <c r="BK128" s="6"/>
      <c r="BL128" s="6"/>
      <c r="BM128" s="6"/>
      <c r="BN128" s="6"/>
      <c r="BO128" s="6"/>
      <c r="BP128" s="64" t="e">
        <f t="shared" si="37"/>
        <v>#DIV/0!</v>
      </c>
      <c r="BQ128" s="65" t="e">
        <f t="shared" si="38"/>
        <v>#DIV/0!</v>
      </c>
    </row>
    <row r="129" spans="1:69" ht="30">
      <c r="A129" s="75" t="s">
        <v>36</v>
      </c>
      <c r="B129" s="80" t="s">
        <v>763</v>
      </c>
      <c r="C129" s="80" t="s">
        <v>764</v>
      </c>
      <c r="D129" s="75" t="s">
        <v>159</v>
      </c>
      <c r="E129" s="9" t="s">
        <v>160</v>
      </c>
      <c r="F129" s="11">
        <v>15.7122581</v>
      </c>
      <c r="G129" s="11">
        <v>120.360302</v>
      </c>
      <c r="H129" s="4" t="str">
        <f t="shared" si="35"/>
        <v>15.7122581,120.360302</v>
      </c>
      <c r="I129" s="4" t="s">
        <v>48</v>
      </c>
      <c r="J129" s="7" t="s">
        <v>765</v>
      </c>
      <c r="K129" s="11" t="s">
        <v>218</v>
      </c>
      <c r="L129" s="11">
        <v>2019</v>
      </c>
      <c r="M129" s="11">
        <v>2027</v>
      </c>
      <c r="N129" s="11"/>
      <c r="O129" s="4" t="s">
        <v>81</v>
      </c>
      <c r="P129" s="11" t="s">
        <v>38</v>
      </c>
      <c r="Q129" s="71"/>
      <c r="R129" s="77" t="s">
        <v>328</v>
      </c>
      <c r="S129" s="11" t="s">
        <v>766</v>
      </c>
      <c r="T129" s="34">
        <v>45910</v>
      </c>
      <c r="U129" s="34">
        <v>45918</v>
      </c>
      <c r="V129" s="34"/>
      <c r="W129" s="34">
        <v>45918</v>
      </c>
      <c r="X129" s="34">
        <v>45918</v>
      </c>
      <c r="Y129" s="45">
        <f t="shared" si="39"/>
        <v>6</v>
      </c>
      <c r="Z129" s="45" t="str">
        <f t="shared" si="40"/>
        <v/>
      </c>
      <c r="AA129" s="45">
        <f>IF(
    OR(ISBLANK(U129), ISBLANK(W129)),
    "",
    MAX(1, IF(
        NETWORKDAYS(U129, W129) &lt;= 0,
        1,
        NETWORKDAYS(U129, W129) - IF(U129 = W129, 0, 1)
    ))
)</f>
        <v>1</v>
      </c>
      <c r="AB129" s="45">
        <f t="shared" si="42"/>
        <v>1</v>
      </c>
      <c r="AC129" s="7" t="s">
        <v>150</v>
      </c>
      <c r="AD129" s="11">
        <v>0.21</v>
      </c>
      <c r="AE129" s="11">
        <v>2669.73</v>
      </c>
      <c r="AF129" s="11"/>
      <c r="AG129" s="7" t="s">
        <v>762</v>
      </c>
      <c r="AH129" s="44" t="str">
        <f>IF(AND(AI129 = "YES", AJ129 = "YES", AK129 = "YES", AL129 = "YES", AN129 = "YES"), "Compliant", "Not Compliant")</f>
        <v>Compliant</v>
      </c>
      <c r="AI129" s="11" t="s">
        <v>49</v>
      </c>
      <c r="AJ129" s="11" t="s">
        <v>49</v>
      </c>
      <c r="AK129" s="11" t="s">
        <v>49</v>
      </c>
      <c r="AL129" s="11" t="s">
        <v>49</v>
      </c>
      <c r="AM129" s="11"/>
      <c r="AN129" s="11" t="s">
        <v>49</v>
      </c>
      <c r="AO129" s="34"/>
      <c r="AP129" s="11"/>
      <c r="AQ129" s="11"/>
      <c r="AR129" s="8">
        <v>2997.6</v>
      </c>
      <c r="AS129" s="6"/>
      <c r="AT129" s="8">
        <v>1937.35</v>
      </c>
      <c r="AU129" s="6"/>
      <c r="AV129" s="6">
        <v>477.22</v>
      </c>
      <c r="AW129" s="6"/>
      <c r="AX129" s="6">
        <v>175.36</v>
      </c>
      <c r="AY129" s="6"/>
      <c r="AZ129" s="6">
        <v>317.75</v>
      </c>
      <c r="BA129" s="6"/>
      <c r="BB129" s="6">
        <v>89.93</v>
      </c>
      <c r="BC129" s="6"/>
      <c r="BD129" s="41">
        <f t="shared" si="36"/>
        <v>0</v>
      </c>
      <c r="BE129" s="6"/>
      <c r="BF129" s="6"/>
      <c r="BG129" s="6"/>
      <c r="BH129" s="6"/>
      <c r="BI129" s="6"/>
      <c r="BJ129" s="6"/>
      <c r="BK129" s="6"/>
      <c r="BL129" s="6"/>
      <c r="BM129" s="6"/>
      <c r="BN129" s="6"/>
      <c r="BO129" s="6"/>
      <c r="BP129" s="64" t="e">
        <f t="shared" si="37"/>
        <v>#DIV/0!</v>
      </c>
      <c r="BQ129" s="65" t="e">
        <f t="shared" si="38"/>
        <v>#DIV/0!</v>
      </c>
    </row>
    <row r="130" spans="1:69">
      <c r="A130" s="75" t="s">
        <v>40</v>
      </c>
      <c r="B130" s="80" t="s">
        <v>767</v>
      </c>
      <c r="C130" s="80" t="s">
        <v>768</v>
      </c>
      <c r="D130" s="75" t="s">
        <v>159</v>
      </c>
      <c r="E130" s="75" t="s">
        <v>185</v>
      </c>
      <c r="F130" s="11">
        <v>15.532743999999999</v>
      </c>
      <c r="G130" s="11">
        <v>119.957914</v>
      </c>
      <c r="H130" s="4" t="str">
        <f t="shared" ref="H130:H161" si="45">CONCATENATE(F130,",",G130)</f>
        <v>15.532744,119.957914</v>
      </c>
      <c r="I130" s="4" t="s">
        <v>48</v>
      </c>
      <c r="J130" s="7" t="s">
        <v>769</v>
      </c>
      <c r="K130" s="11" t="s">
        <v>606</v>
      </c>
      <c r="L130" s="11">
        <v>2019</v>
      </c>
      <c r="M130" s="11">
        <v>2028</v>
      </c>
      <c r="N130" s="11"/>
      <c r="O130" s="4" t="s">
        <v>81</v>
      </c>
      <c r="P130" s="11" t="s">
        <v>42</v>
      </c>
      <c r="Q130" s="71" t="s">
        <v>163</v>
      </c>
      <c r="R130" s="71" t="s">
        <v>164</v>
      </c>
      <c r="S130" s="85" t="s">
        <v>770</v>
      </c>
      <c r="T130" s="34">
        <v>45912</v>
      </c>
      <c r="U130" s="34">
        <v>45918</v>
      </c>
      <c r="V130" s="34">
        <v>45918</v>
      </c>
      <c r="W130" s="34">
        <v>45918</v>
      </c>
      <c r="X130" s="34">
        <v>45918</v>
      </c>
      <c r="Y130" s="45">
        <f t="shared" si="39"/>
        <v>4</v>
      </c>
      <c r="Z130" s="45">
        <f t="shared" si="40"/>
        <v>1</v>
      </c>
      <c r="AA130" s="45">
        <f>IF(
    OR(ISBLANK(U130), ISBLANK(W130)),
    "",
    MAX(1, IF(
        NETWORKDAYS(U130, W130) &lt;= 0,
        1,
        NETWORKDAYS(U130, W130) - IF(U130 = W130, 0, 1)
    ))
)</f>
        <v>1</v>
      </c>
      <c r="AB130" s="45">
        <f t="shared" si="42"/>
        <v>1</v>
      </c>
      <c r="AC130" s="7" t="s">
        <v>150</v>
      </c>
      <c r="AD130" s="11">
        <v>0.376</v>
      </c>
      <c r="AE130" s="82">
        <v>20093.2</v>
      </c>
      <c r="AF130" s="83">
        <v>0.80200000000000005</v>
      </c>
      <c r="AG130" s="7" t="s">
        <v>259</v>
      </c>
      <c r="AH130" s="44" t="s">
        <v>771</v>
      </c>
      <c r="AI130" s="11" t="s">
        <v>49</v>
      </c>
      <c r="AJ130" s="11" t="s">
        <v>49</v>
      </c>
      <c r="AK130" s="11" t="s">
        <v>49</v>
      </c>
      <c r="AL130" s="11" t="s">
        <v>49</v>
      </c>
      <c r="AM130" s="11"/>
      <c r="AN130" s="11" t="s">
        <v>49</v>
      </c>
      <c r="AO130" s="34"/>
      <c r="AP130" s="11"/>
      <c r="AQ130" s="11"/>
      <c r="AR130" s="8">
        <v>26762.080000000002</v>
      </c>
      <c r="AS130" s="6"/>
      <c r="AT130" s="8">
        <v>12096.46</v>
      </c>
      <c r="AU130" s="6"/>
      <c r="AV130" s="8">
        <v>9420.25</v>
      </c>
      <c r="AW130" s="6"/>
      <c r="AX130" s="8">
        <v>1777</v>
      </c>
      <c r="AY130" s="6"/>
      <c r="AZ130" s="8">
        <v>2847.48</v>
      </c>
      <c r="BA130" s="6"/>
      <c r="BB130" s="6">
        <v>620.88</v>
      </c>
      <c r="BC130" s="6"/>
      <c r="BD130" s="41">
        <f t="shared" si="36"/>
        <v>0</v>
      </c>
      <c r="BE130" s="6"/>
      <c r="BF130" s="6"/>
      <c r="BG130" s="6"/>
      <c r="BH130" s="6"/>
      <c r="BI130" s="6"/>
      <c r="BJ130" s="6"/>
      <c r="BK130" s="6"/>
      <c r="BL130" s="6"/>
      <c r="BM130" s="6"/>
      <c r="BN130" s="6"/>
      <c r="BO130" s="6"/>
      <c r="BP130" s="64" t="e">
        <f t="shared" si="37"/>
        <v>#DIV/0!</v>
      </c>
      <c r="BQ130" s="65" t="e">
        <f t="shared" si="38"/>
        <v>#DIV/0!</v>
      </c>
    </row>
    <row r="135" spans="1:69">
      <c r="Y135" s="78">
        <f>5/2</f>
        <v>2.5</v>
      </c>
    </row>
  </sheetData>
  <conditionalFormatting sqref="S1:S19 S40:S41 S73:S100 S45:S71 S21:S38 S102:S1048576">
    <cfRule type="duplicateValues" dxfId="10" priority="1"/>
  </conditionalFormatting>
  <dataValidations count="1">
    <dataValidation allowBlank="1" showInputMessage="1" showErrorMessage="1" prompt="Please input Date only" sqref="X76 V21:X21 W44 V18:W18 V66:X66 U29:U30 V60:W60 W12 V86 U85:U88 W8:X8 U122:X123 U105:U108 U112:U113 V23 V11:V15 U69:U83 V108 V35 V17:X17 U115:U119 U110:V110 W115:X115 U43:U67 V69 W105:X105 X94 V91 V99:X99 V74:X74 W73:X73 W9:W10 U8:U27 V9 X9 X44:X46 X113 W118:X118 V76 U34:U41 U90:U102" xr:uid="{75B83812-A0E4-43F7-BD2C-8200F231C6DD}"/>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FFDB29E9-95A4-467C-9447-F8E680435C0A}">
          <x14:formula1>
            <xm:f>'Data Validation'!$B$2:$B$3</xm:f>
          </x14:formula1>
          <xm:sqref>AM79:AM80 AM57:AN58 AM84 AM29:AN29 AM123:AO123 AO13 AM88:AN88 AN3:AN10 AM32:AN32 AN30:AN31 AM70:AN70 AJ35:AN35 AM110:AN110 AN33:AN34 AJ34:AM34 AM106:AN106 AH36:AH38 AM74 AN107:AN109 AM11:AN19 AN59:AN69 AM44 AM45:AN45 AN71:AN87 AN124:AN130 AM2:AN2 AN89:AN105 AI99:AL130 AN111:AN122 AJ26:AL33 AM22:AN22 AJ25:AM25 AN23:AN28 AJ2:AL24 AN20:AN21 AM55:AN55 AN46:AN54 AN56 AJ36:AL98 AI2:AI98 AN36:AN44</xm:sqref>
        </x14:dataValidation>
        <x14:dataValidation type="list" allowBlank="1" showInputMessage="1" showErrorMessage="1" xr:uid="{E760AFB2-EC3B-43B7-9E8E-DF0BDF54A693}">
          <x14:formula1>
            <xm:f>'Data Validation'!$B$5:$B$7</xm:f>
          </x14:formula1>
          <xm:sqref>AM33 AM81:AM83 AM124:AM130 AM56 AM111:AM122 AM30:AM31 AM85:AM87 AM3:AM10 AM107:AM109 AM59:AM69 AM71:AM73 AM26:AM28 AM75:AM78 AM89:AM105 AM23:AM24 AM20:AM21 AM46:AM54 AM36:AM43</xm:sqref>
        </x14:dataValidation>
        <x14:dataValidation type="list" allowBlank="1" showInputMessage="1" showErrorMessage="1" xr:uid="{3214ADD6-490B-4EAC-817B-7DD98A58155E}">
          <x14:formula1>
            <xm:f>'Data Validation'!$A$2:$A$3</xm:f>
          </x14:formula1>
          <xm:sqref>I2:I130</xm:sqref>
        </x14:dataValidation>
        <x14:dataValidation type="list" allowBlank="1" showInputMessage="1" showErrorMessage="1" xr:uid="{5CC2F592-9D45-443B-85DD-783B0D2A149E}">
          <x14:formula1>
            <xm:f>'Data Validation'!$A$13:$A$24</xm:f>
          </x14:formula1>
          <xm:sqref>O2:O130</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85C85-0ABB-474E-B5F3-7CB195D671B5}">
  <sheetPr codeName="Sheet4">
    <tabColor rgb="FF92D050"/>
  </sheetPr>
  <dimension ref="A1:AS209"/>
  <sheetViews>
    <sheetView workbookViewId="0">
      <selection activeCell="B12" sqref="B12"/>
    </sheetView>
  </sheetViews>
  <sheetFormatPr defaultColWidth="9.140625" defaultRowHeight="15" customHeight="1"/>
  <cols>
    <col min="1" max="1" width="20" style="81" customWidth="1"/>
    <col min="2" max="2" width="31.140625" style="81" customWidth="1"/>
    <col min="3" max="3" width="22.28515625" style="81" customWidth="1"/>
    <col min="4" max="4" width="30" style="78" customWidth="1"/>
    <col min="5" max="5" width="12.5703125" style="78" customWidth="1"/>
    <col min="6" max="6" width="20.85546875" style="78" customWidth="1"/>
    <col min="7" max="7" width="23" style="78" customWidth="1"/>
    <col min="8" max="8" width="22.7109375" style="78" customWidth="1"/>
    <col min="9" max="9" width="31.28515625" style="78" customWidth="1"/>
    <col min="10" max="10" width="13.28515625" style="78" customWidth="1"/>
    <col min="11" max="11" width="19.28515625" style="78" customWidth="1"/>
    <col min="12" max="12" width="30.42578125" style="78" customWidth="1"/>
    <col min="13" max="13" width="14.28515625" style="78" customWidth="1"/>
    <col min="14" max="14" width="28.7109375" style="78" customWidth="1"/>
    <col min="15" max="16" width="24.140625" style="78" customWidth="1"/>
    <col min="17" max="17" width="20.42578125" style="78" customWidth="1"/>
    <col min="18" max="18" width="17.5703125" style="78" customWidth="1"/>
    <col min="19" max="19" width="18.140625" style="78" customWidth="1"/>
    <col min="20" max="20" width="17.42578125" style="78" customWidth="1"/>
    <col min="21" max="21" width="18.42578125" style="78" customWidth="1"/>
    <col min="22" max="22" width="21.5703125" style="78" customWidth="1"/>
    <col min="23" max="23" width="13.7109375" style="78" customWidth="1"/>
    <col min="24" max="24" width="15.85546875" style="78" customWidth="1"/>
    <col min="25" max="25" width="14.140625" style="78" customWidth="1"/>
    <col min="26" max="26" width="19.85546875" style="78" customWidth="1"/>
    <col min="27" max="27" width="55.140625" style="78" bestFit="1" customWidth="1"/>
    <col min="28" max="28" width="13.85546875" style="78" customWidth="1"/>
    <col min="29" max="29" width="44" style="81" customWidth="1"/>
    <col min="30" max="30" width="36.7109375" style="81" customWidth="1"/>
    <col min="31" max="31" width="18.42578125" style="78" customWidth="1"/>
    <col min="32" max="32" width="14" style="78" customWidth="1"/>
    <col min="33" max="33" width="14.28515625" style="78" customWidth="1"/>
    <col min="34" max="34" width="23.140625" style="78" customWidth="1"/>
    <col min="35" max="35" width="49.85546875" style="78" customWidth="1"/>
    <col min="36" max="36" width="19.85546875" style="81" customWidth="1"/>
    <col min="37" max="37" width="54.85546875" style="81" customWidth="1"/>
    <col min="38" max="38" width="18.7109375" style="78" customWidth="1"/>
    <col min="39" max="39" width="53.42578125" style="78" customWidth="1"/>
    <col min="40" max="41" width="24" style="78" customWidth="1"/>
    <col min="42" max="42" width="25.7109375" style="78" customWidth="1"/>
    <col min="43" max="43" width="22.28515625" style="81" customWidth="1"/>
    <col min="44" max="44" width="16.42578125" style="78" customWidth="1"/>
    <col min="45" max="45" width="34.28515625" style="367" customWidth="1"/>
    <col min="46" max="16383" width="9.140625" style="78"/>
    <col min="16384" max="16384" width="9.140625" style="78" bestFit="1" customWidth="1"/>
  </cols>
  <sheetData>
    <row r="1" spans="1:45" s="693" customFormat="1" ht="57">
      <c r="A1" s="134" t="s">
        <v>85</v>
      </c>
      <c r="B1" s="134" t="s">
        <v>86</v>
      </c>
      <c r="C1" s="691" t="s">
        <v>782</v>
      </c>
      <c r="D1" s="134" t="s">
        <v>88</v>
      </c>
      <c r="E1" s="134" t="s">
        <v>89</v>
      </c>
      <c r="F1" s="134" t="s">
        <v>783</v>
      </c>
      <c r="G1" s="134" t="s">
        <v>784</v>
      </c>
      <c r="H1" s="134" t="s">
        <v>785</v>
      </c>
      <c r="I1" s="134" t="s">
        <v>68</v>
      </c>
      <c r="J1" s="134" t="s">
        <v>786</v>
      </c>
      <c r="K1" s="134" t="s">
        <v>787</v>
      </c>
      <c r="L1" s="134" t="s">
        <v>788</v>
      </c>
      <c r="M1" s="134" t="s">
        <v>99</v>
      </c>
      <c r="N1" s="134" t="s">
        <v>100</v>
      </c>
      <c r="O1" s="134" t="s">
        <v>101</v>
      </c>
      <c r="P1" s="134" t="s">
        <v>102</v>
      </c>
      <c r="Q1" s="134" t="s">
        <v>103</v>
      </c>
      <c r="R1" s="134" t="s">
        <v>104</v>
      </c>
      <c r="S1" s="134" t="s">
        <v>105</v>
      </c>
      <c r="T1" s="134" t="s">
        <v>106</v>
      </c>
      <c r="U1" s="134" t="s">
        <v>107</v>
      </c>
      <c r="V1" s="134" t="s">
        <v>108</v>
      </c>
      <c r="W1" s="134" t="s">
        <v>109</v>
      </c>
      <c r="X1" s="134" t="s">
        <v>110</v>
      </c>
      <c r="Y1" s="134" t="s">
        <v>111</v>
      </c>
      <c r="Z1" s="134" t="s">
        <v>112</v>
      </c>
      <c r="AA1" s="134" t="s">
        <v>789</v>
      </c>
      <c r="AB1" s="134" t="s">
        <v>790</v>
      </c>
      <c r="AC1" s="134" t="s">
        <v>791</v>
      </c>
      <c r="AD1" s="134" t="s">
        <v>792</v>
      </c>
      <c r="AE1" s="134" t="s">
        <v>793</v>
      </c>
      <c r="AF1" s="134" t="s">
        <v>794</v>
      </c>
      <c r="AG1" s="134" t="s">
        <v>795</v>
      </c>
      <c r="AH1" s="134" t="s">
        <v>796</v>
      </c>
      <c r="AI1" s="134" t="s">
        <v>797</v>
      </c>
      <c r="AJ1" s="134" t="s">
        <v>118</v>
      </c>
      <c r="AK1" s="134" t="s">
        <v>798</v>
      </c>
      <c r="AL1" s="134" t="s">
        <v>125</v>
      </c>
      <c r="AM1" s="134" t="s">
        <v>799</v>
      </c>
      <c r="AN1" s="134" t="s">
        <v>800</v>
      </c>
      <c r="AO1" s="134" t="s">
        <v>801</v>
      </c>
      <c r="AP1" s="134" t="s">
        <v>802</v>
      </c>
      <c r="AQ1" s="134" t="s">
        <v>803</v>
      </c>
      <c r="AR1" s="134" t="s">
        <v>804</v>
      </c>
      <c r="AS1" s="692"/>
    </row>
    <row r="2" spans="1:45" ht="30">
      <c r="A2" s="7" t="s">
        <v>773</v>
      </c>
      <c r="B2" s="7" t="s">
        <v>805</v>
      </c>
      <c r="C2" s="7">
        <v>5</v>
      </c>
      <c r="D2" s="75" t="s">
        <v>159</v>
      </c>
      <c r="E2" s="75" t="s">
        <v>249</v>
      </c>
      <c r="F2" s="11">
        <v>15.759167</v>
      </c>
      <c r="G2" s="11">
        <v>121.562848</v>
      </c>
      <c r="H2" s="11" t="str">
        <f t="shared" ref="H2:H28" si="0">CONCATENATE(F2,",",G2)</f>
        <v>15.759167,121.562848</v>
      </c>
      <c r="I2" s="11" t="s">
        <v>71</v>
      </c>
      <c r="J2" s="11">
        <v>1</v>
      </c>
      <c r="K2" s="11">
        <v>2018</v>
      </c>
      <c r="L2" s="117">
        <v>427500</v>
      </c>
      <c r="M2" s="11" t="s">
        <v>75</v>
      </c>
      <c r="N2" s="11" t="s">
        <v>13</v>
      </c>
      <c r="O2" s="11"/>
      <c r="P2" s="11" t="s">
        <v>163</v>
      </c>
      <c r="Q2" s="374" t="s">
        <v>806</v>
      </c>
      <c r="R2" s="34">
        <v>45720</v>
      </c>
      <c r="S2" s="34">
        <v>45724</v>
      </c>
      <c r="T2" s="34">
        <v>45724</v>
      </c>
      <c r="U2" s="34">
        <v>45727</v>
      </c>
      <c r="V2" s="34">
        <v>45728</v>
      </c>
      <c r="W2" s="45">
        <f>IF(
    OR(ISBLANK(R2), ISBLANK(S2)),
    "",
    MAX(1, IF(
        NETWORKDAYS(R2, S2) &lt;= 0,
        1,
        NETWORKDAYS(R2, S2) - IF(R2 = S2, 0, 1)
    ))
)</f>
        <v>3</v>
      </c>
      <c r="X2" s="45">
        <f>IF(
    OR(ISBLANK(S2), ISBLANK(T2)),
    "",
    MAX(1, IF(
        NETWORKDAYS(S2, T2) &lt;= 0,
        1,
        NETWORKDAYS(S2, T2) - IF(S2 = T2, 0, 1)
    ))
)</f>
        <v>1</v>
      </c>
      <c r="Y2" s="45">
        <f>IF(
  OR(IF(T2&lt;&gt;"", T2, S2)="", U2=""),
  "",
  MAX(1,
    IF(
      NETWORKDAYS(IF(T2&lt;&gt;"", T2, S2), U2) &lt;= 0,
      1,
      NETWORKDAYS(IF(T2&lt;&gt;"", T2, S2), U2) - IF(IF(T2&lt;&gt;"", T2, S2)=U2, 0, 1)
    )
  )
)</f>
        <v>1</v>
      </c>
      <c r="Z2" s="45">
        <f>IF(
    OR(ISBLANK(U2), ISBLANK(V2)),
    "",
    MAX(1, IF(
        NETWORKDAYS(U2, V2) &lt;= 0,
        1,
        NETWORKDAYS(U2, V2) - IF(U2 = V2, 0, 1)
    ))
)</f>
        <v>1</v>
      </c>
      <c r="AA2" s="431" t="s">
        <v>150</v>
      </c>
      <c r="AB2" s="11">
        <v>1</v>
      </c>
      <c r="AC2" s="7" t="s">
        <v>807</v>
      </c>
      <c r="AD2" s="7" t="s">
        <v>808</v>
      </c>
      <c r="AE2" s="7" t="s">
        <v>808</v>
      </c>
      <c r="AF2" s="7" t="s">
        <v>808</v>
      </c>
      <c r="AG2" s="432" t="e">
        <f t="shared" ref="AG2:AG33" si="1">(AE2/AF2)</f>
        <v>#VALUE!</v>
      </c>
      <c r="AH2" s="11" t="s">
        <v>57</v>
      </c>
      <c r="AI2" s="11"/>
      <c r="AJ2" s="7" t="s">
        <v>809</v>
      </c>
      <c r="AK2" s="7"/>
      <c r="AL2" s="11" t="s">
        <v>56</v>
      </c>
      <c r="AM2" s="11"/>
      <c r="AN2" s="11"/>
      <c r="AO2" s="11"/>
      <c r="AP2" s="11"/>
      <c r="AQ2" s="7"/>
      <c r="AR2" s="11"/>
      <c r="AS2" s="433" t="s">
        <v>810</v>
      </c>
    </row>
    <row r="3" spans="1:45" ht="30">
      <c r="A3" s="7" t="s">
        <v>773</v>
      </c>
      <c r="B3" s="7" t="s">
        <v>805</v>
      </c>
      <c r="C3" s="7" t="s">
        <v>811</v>
      </c>
      <c r="D3" s="75" t="s">
        <v>159</v>
      </c>
      <c r="E3" s="75" t="s">
        <v>249</v>
      </c>
      <c r="F3" s="11">
        <v>15.768186</v>
      </c>
      <c r="G3" s="11">
        <v>121.55754399999999</v>
      </c>
      <c r="H3" s="11" t="str">
        <f t="shared" si="0"/>
        <v>15.768186,121.557544</v>
      </c>
      <c r="I3" s="11" t="s">
        <v>71</v>
      </c>
      <c r="J3" s="11">
        <v>1</v>
      </c>
      <c r="K3" s="11">
        <v>2018</v>
      </c>
      <c r="L3" s="117">
        <v>427500</v>
      </c>
      <c r="M3" s="11" t="s">
        <v>75</v>
      </c>
      <c r="N3" s="11" t="s">
        <v>13</v>
      </c>
      <c r="O3" s="11"/>
      <c r="P3" s="11" t="s">
        <v>163</v>
      </c>
      <c r="Q3" s="374" t="s">
        <v>812</v>
      </c>
      <c r="R3" s="34">
        <v>45720</v>
      </c>
      <c r="S3" s="34">
        <v>45724</v>
      </c>
      <c r="T3" s="34">
        <v>45724</v>
      </c>
      <c r="U3" s="34">
        <v>45727</v>
      </c>
      <c r="V3" s="34">
        <v>45728</v>
      </c>
      <c r="W3" s="45">
        <f t="shared" ref="W3:W66" si="2">IF(
    OR(ISBLANK(R3), ISBLANK(S3)),
    "",
    MAX(1, IF(
        NETWORKDAYS(R3, S3) &lt;= 0,
        1,
        NETWORKDAYS(R3, S3) - IF(R3 = S3, 0, 1)
    ))
)</f>
        <v>3</v>
      </c>
      <c r="X3" s="45">
        <f t="shared" ref="X3:X66" si="3">IF(
    OR(ISBLANK(S3), ISBLANK(T3)),
    "",
    MAX(1, IF(
        NETWORKDAYS(S3, T3) &lt;= 0,
        1,
        NETWORKDAYS(S3, T3) - IF(S3 = T3, 0, 1)
    ))
)</f>
        <v>1</v>
      </c>
      <c r="Y3" s="45">
        <f t="shared" ref="Y3:Y66" si="4">IF(
  OR(IF(T3&lt;&gt;"", T3, S3)="", U3=""),
  "",
  MAX(1,
    IF(
      NETWORKDAYS(IF(T3&lt;&gt;"", T3, S3), U3) &lt;= 0,
      1,
      NETWORKDAYS(IF(T3&lt;&gt;"", T3, S3), U3) - IF(IF(T3&lt;&gt;"", T3, S3)=U3, 0, 1)
    )
  )
)</f>
        <v>1</v>
      </c>
      <c r="Z3" s="45">
        <f t="shared" ref="Z3:Z66" si="5">IF(
    OR(ISBLANK(U3), ISBLANK(V3)),
    "",
    MAX(1, IF(
        NETWORKDAYS(U3, V3) &lt;= 0,
        1,
        NETWORKDAYS(U3, V3) - IF(U3 = V3, 0, 1)
    ))
)</f>
        <v>1</v>
      </c>
      <c r="AA3" s="431" t="s">
        <v>150</v>
      </c>
      <c r="AB3" s="11">
        <v>1</v>
      </c>
      <c r="AC3" s="7" t="s">
        <v>808</v>
      </c>
      <c r="AD3" s="7"/>
      <c r="AE3" s="11" t="s">
        <v>808</v>
      </c>
      <c r="AF3" s="11" t="s">
        <v>808</v>
      </c>
      <c r="AG3" s="432" t="e">
        <f t="shared" si="1"/>
        <v>#VALUE!</v>
      </c>
      <c r="AH3" s="11" t="s">
        <v>50</v>
      </c>
      <c r="AI3" s="11"/>
      <c r="AJ3" s="7" t="s">
        <v>809</v>
      </c>
      <c r="AK3" s="7"/>
      <c r="AL3" s="11" t="s">
        <v>56</v>
      </c>
      <c r="AM3" s="11"/>
      <c r="AN3" s="11"/>
      <c r="AO3" s="11"/>
      <c r="AP3" s="11"/>
      <c r="AQ3" s="7"/>
      <c r="AR3" s="11"/>
      <c r="AS3" s="433" t="s">
        <v>810</v>
      </c>
    </row>
    <row r="4" spans="1:45">
      <c r="A4" s="7" t="s">
        <v>773</v>
      </c>
      <c r="B4" s="7" t="s">
        <v>805</v>
      </c>
      <c r="C4" s="7" t="s">
        <v>813</v>
      </c>
      <c r="D4" s="75" t="s">
        <v>159</v>
      </c>
      <c r="E4" s="75" t="s">
        <v>249</v>
      </c>
      <c r="F4" s="11">
        <v>15.779536</v>
      </c>
      <c r="G4" s="11">
        <v>121.526573</v>
      </c>
      <c r="H4" s="11" t="str">
        <f t="shared" si="0"/>
        <v>15.779536,121.526573</v>
      </c>
      <c r="I4" s="11" t="s">
        <v>71</v>
      </c>
      <c r="J4" s="11">
        <v>1</v>
      </c>
      <c r="K4" s="11">
        <v>2018</v>
      </c>
      <c r="L4" s="117">
        <v>427500</v>
      </c>
      <c r="M4" s="11" t="s">
        <v>79</v>
      </c>
      <c r="N4" s="11" t="s">
        <v>13</v>
      </c>
      <c r="O4" s="11"/>
      <c r="P4" s="11" t="s">
        <v>163</v>
      </c>
      <c r="Q4" s="11" t="s">
        <v>814</v>
      </c>
      <c r="R4" s="34">
        <v>45839</v>
      </c>
      <c r="S4" s="34">
        <v>45841</v>
      </c>
      <c r="T4" s="34"/>
      <c r="U4" s="34">
        <v>45845</v>
      </c>
      <c r="V4" s="34">
        <v>45847</v>
      </c>
      <c r="W4" s="45">
        <f t="shared" si="2"/>
        <v>2</v>
      </c>
      <c r="X4" s="45" t="str">
        <f t="shared" si="3"/>
        <v/>
      </c>
      <c r="Y4" s="45">
        <f t="shared" si="4"/>
        <v>2</v>
      </c>
      <c r="Z4" s="45">
        <f t="shared" si="5"/>
        <v>2</v>
      </c>
      <c r="AA4" s="11" t="s">
        <v>150</v>
      </c>
      <c r="AB4" s="11">
        <v>0</v>
      </c>
      <c r="AC4" s="7" t="s">
        <v>815</v>
      </c>
      <c r="AD4" s="7" t="s">
        <v>69</v>
      </c>
      <c r="AE4" s="7" t="s">
        <v>69</v>
      </c>
      <c r="AF4" s="7" t="s">
        <v>69</v>
      </c>
      <c r="AG4" s="432" t="e">
        <f t="shared" si="1"/>
        <v>#VALUE!</v>
      </c>
      <c r="AH4" s="11" t="s">
        <v>57</v>
      </c>
      <c r="AI4" s="11" t="s">
        <v>816</v>
      </c>
      <c r="AJ4" s="7"/>
      <c r="AK4" s="7"/>
      <c r="AL4" s="11"/>
      <c r="AM4" s="11"/>
      <c r="AN4" s="11"/>
      <c r="AO4" s="11"/>
      <c r="AP4" s="11"/>
      <c r="AQ4" s="7"/>
      <c r="AR4" s="11"/>
      <c r="AS4" s="11"/>
    </row>
    <row r="5" spans="1:45" ht="30">
      <c r="A5" s="7" t="s">
        <v>773</v>
      </c>
      <c r="B5" s="7" t="s">
        <v>805</v>
      </c>
      <c r="C5" s="7" t="s">
        <v>817</v>
      </c>
      <c r="D5" s="75" t="s">
        <v>159</v>
      </c>
      <c r="E5" s="75" t="s">
        <v>249</v>
      </c>
      <c r="F5" s="11">
        <v>15.735852299999999</v>
      </c>
      <c r="G5" s="11">
        <v>121.5629275</v>
      </c>
      <c r="H5" s="11" t="str">
        <f t="shared" si="0"/>
        <v>15.7358523,121.5629275</v>
      </c>
      <c r="I5" s="11" t="s">
        <v>71</v>
      </c>
      <c r="J5" s="11">
        <v>1</v>
      </c>
      <c r="K5" s="11">
        <v>2018</v>
      </c>
      <c r="L5" s="117">
        <v>427500</v>
      </c>
      <c r="M5" s="11" t="s">
        <v>80</v>
      </c>
      <c r="N5" s="11" t="s">
        <v>13</v>
      </c>
      <c r="O5" s="11"/>
      <c r="P5" s="11" t="s">
        <v>163</v>
      </c>
      <c r="Q5" s="11" t="s">
        <v>818</v>
      </c>
      <c r="R5" s="34">
        <v>45877</v>
      </c>
      <c r="S5" s="34">
        <v>45880</v>
      </c>
      <c r="T5" s="34"/>
      <c r="U5" s="34">
        <v>45882</v>
      </c>
      <c r="V5" s="34">
        <v>45882</v>
      </c>
      <c r="W5" s="45">
        <f t="shared" si="2"/>
        <v>1</v>
      </c>
      <c r="X5" s="45" t="str">
        <f t="shared" si="3"/>
        <v/>
      </c>
      <c r="Y5" s="45">
        <f t="shared" si="4"/>
        <v>2</v>
      </c>
      <c r="Z5" s="45">
        <f t="shared" si="5"/>
        <v>1</v>
      </c>
      <c r="AA5" s="11" t="s">
        <v>150</v>
      </c>
      <c r="AB5" s="11">
        <v>1</v>
      </c>
      <c r="AC5" s="7" t="s">
        <v>815</v>
      </c>
      <c r="AD5" s="7" t="s">
        <v>819</v>
      </c>
      <c r="AE5" s="11">
        <v>0</v>
      </c>
      <c r="AF5" s="11">
        <v>91.44</v>
      </c>
      <c r="AG5" s="432">
        <f t="shared" si="1"/>
        <v>0</v>
      </c>
      <c r="AH5" s="11" t="s">
        <v>50</v>
      </c>
      <c r="AI5" s="11"/>
      <c r="AJ5" s="7" t="s">
        <v>809</v>
      </c>
      <c r="AK5" s="7" t="s">
        <v>820</v>
      </c>
      <c r="AL5" s="11" t="s">
        <v>56</v>
      </c>
      <c r="AM5" s="11"/>
      <c r="AN5" s="11"/>
      <c r="AO5" s="11"/>
      <c r="AP5" s="11"/>
      <c r="AQ5" s="7"/>
      <c r="AR5" s="11"/>
      <c r="AS5" s="11"/>
    </row>
    <row r="6" spans="1:45" ht="60">
      <c r="A6" s="7" t="s">
        <v>773</v>
      </c>
      <c r="B6" s="7" t="s">
        <v>805</v>
      </c>
      <c r="C6" s="7" t="s">
        <v>821</v>
      </c>
      <c r="D6" s="75" t="s">
        <v>159</v>
      </c>
      <c r="E6" s="75" t="s">
        <v>249</v>
      </c>
      <c r="F6" s="11">
        <v>15.751450999999999</v>
      </c>
      <c r="G6" s="11">
        <v>121.56715079999999</v>
      </c>
      <c r="H6" s="11" t="str">
        <f t="shared" si="0"/>
        <v>15.751451,121.5671508</v>
      </c>
      <c r="I6" s="11" t="s">
        <v>71</v>
      </c>
      <c r="J6" s="11">
        <v>1</v>
      </c>
      <c r="K6" s="11">
        <v>2018</v>
      </c>
      <c r="L6" s="117">
        <v>427500</v>
      </c>
      <c r="M6" s="11" t="s">
        <v>80</v>
      </c>
      <c r="N6" s="11" t="s">
        <v>13</v>
      </c>
      <c r="O6" s="11"/>
      <c r="P6" s="11" t="s">
        <v>163</v>
      </c>
      <c r="Q6" s="11" t="s">
        <v>822</v>
      </c>
      <c r="R6" s="34">
        <v>45877</v>
      </c>
      <c r="S6" s="34">
        <v>45880</v>
      </c>
      <c r="T6" s="34"/>
      <c r="U6" s="34">
        <v>45883</v>
      </c>
      <c r="V6" s="34">
        <v>45887</v>
      </c>
      <c r="W6" s="45">
        <f t="shared" si="2"/>
        <v>1</v>
      </c>
      <c r="X6" s="45" t="str">
        <f>IF(
    OR(ISBLANK(S6), ISBLANK(T6)),
    "",
    MAX(1, IF(
        NETWORKDAYS(S6, T6) &lt;= 0,
        1,
        NETWORKDAYS(S6, T6) - IF(S6 = T6, 0, 1)
    ))
)</f>
        <v/>
      </c>
      <c r="Y6" s="45">
        <f>IF(
  OR(IF(T6&lt;&gt;"", T6, S6)="", U6=""),
  "",
  MAX(1,
    IF(
      NETWORKDAYS(IF(T6&lt;&gt;"", T6, S6), U6) &lt;= 0,
      1,
      NETWORKDAYS(IF(T6&lt;&gt;"", T6, S6), U6) - IF(IF(T6&lt;&gt;"", T6, S6)=U6, 0, 1)
    )
  )
)</f>
        <v>3</v>
      </c>
      <c r="Z6" s="45">
        <f t="shared" si="5"/>
        <v>2</v>
      </c>
      <c r="AA6" s="11" t="s">
        <v>150</v>
      </c>
      <c r="AB6" s="11">
        <v>0</v>
      </c>
      <c r="AC6" s="7" t="s">
        <v>69</v>
      </c>
      <c r="AD6" s="7" t="s">
        <v>69</v>
      </c>
      <c r="AE6" s="7" t="s">
        <v>69</v>
      </c>
      <c r="AF6" s="7" t="s">
        <v>69</v>
      </c>
      <c r="AG6" s="432" t="e">
        <f t="shared" si="1"/>
        <v>#VALUE!</v>
      </c>
      <c r="AH6" s="11" t="s">
        <v>57</v>
      </c>
      <c r="AI6" s="7" t="s">
        <v>823</v>
      </c>
      <c r="AJ6" s="7"/>
      <c r="AK6" s="7"/>
      <c r="AL6" s="532">
        <v>45896</v>
      </c>
      <c r="AM6" s="7" t="s">
        <v>824</v>
      </c>
      <c r="AN6" s="11"/>
      <c r="AO6" s="11"/>
      <c r="AP6" s="11"/>
      <c r="AQ6" s="7"/>
      <c r="AR6" s="11"/>
      <c r="AS6" s="11"/>
    </row>
    <row r="7" spans="1:45">
      <c r="A7" s="7" t="s">
        <v>773</v>
      </c>
      <c r="B7" s="7" t="s">
        <v>825</v>
      </c>
      <c r="C7" s="7" t="s">
        <v>826</v>
      </c>
      <c r="D7" s="75" t="s">
        <v>159</v>
      </c>
      <c r="E7" s="75" t="s">
        <v>249</v>
      </c>
      <c r="F7" s="11">
        <v>15.223196</v>
      </c>
      <c r="G7" s="11">
        <v>121.40795</v>
      </c>
      <c r="H7" s="11" t="str">
        <f t="shared" si="0"/>
        <v>15.223196,121.40795</v>
      </c>
      <c r="I7" s="11" t="s">
        <v>71</v>
      </c>
      <c r="J7" s="11">
        <v>1</v>
      </c>
      <c r="K7" s="11">
        <v>2018</v>
      </c>
      <c r="L7" s="117">
        <v>427500</v>
      </c>
      <c r="M7" s="11" t="s">
        <v>81</v>
      </c>
      <c r="N7" s="11" t="s">
        <v>14</v>
      </c>
      <c r="O7" s="11"/>
      <c r="P7" s="11" t="s">
        <v>163</v>
      </c>
      <c r="Q7" s="11" t="s">
        <v>827</v>
      </c>
      <c r="R7" s="34">
        <v>45911</v>
      </c>
      <c r="S7" s="34">
        <v>45916</v>
      </c>
      <c r="T7" s="34"/>
      <c r="U7" s="34">
        <v>45916</v>
      </c>
      <c r="V7" s="34">
        <v>45917</v>
      </c>
      <c r="W7" s="45">
        <f t="shared" si="2"/>
        <v>3</v>
      </c>
      <c r="X7" s="45" t="str">
        <f t="shared" si="3"/>
        <v/>
      </c>
      <c r="Y7" s="45">
        <f t="shared" si="4"/>
        <v>1</v>
      </c>
      <c r="Z7" s="45">
        <f t="shared" si="5"/>
        <v>1</v>
      </c>
      <c r="AA7" s="11" t="s">
        <v>150</v>
      </c>
      <c r="AB7" s="11">
        <v>1</v>
      </c>
      <c r="AC7" s="7" t="s">
        <v>815</v>
      </c>
      <c r="AD7" s="7" t="s">
        <v>828</v>
      </c>
      <c r="AE7" s="11">
        <v>6.66</v>
      </c>
      <c r="AF7" s="11">
        <v>123.33</v>
      </c>
      <c r="AG7" s="432">
        <f t="shared" si="1"/>
        <v>5.4001459498905377E-2</v>
      </c>
      <c r="AH7" s="11" t="s">
        <v>50</v>
      </c>
      <c r="AI7" s="11"/>
      <c r="AJ7" s="7" t="s">
        <v>151</v>
      </c>
      <c r="AK7" s="7"/>
      <c r="AL7" s="11"/>
      <c r="AM7" s="11"/>
      <c r="AN7" s="11"/>
      <c r="AO7" s="11"/>
      <c r="AP7" s="11"/>
      <c r="AQ7" s="7"/>
      <c r="AR7" s="11"/>
      <c r="AS7" s="11"/>
    </row>
    <row r="8" spans="1:45">
      <c r="A8" s="7" t="s">
        <v>773</v>
      </c>
      <c r="B8" s="7" t="s">
        <v>829</v>
      </c>
      <c r="C8" s="7" t="s">
        <v>830</v>
      </c>
      <c r="D8" s="75" t="s">
        <v>159</v>
      </c>
      <c r="E8" s="75" t="s">
        <v>249</v>
      </c>
      <c r="F8" s="11">
        <v>15.9421021</v>
      </c>
      <c r="G8" s="11">
        <v>121.603663</v>
      </c>
      <c r="H8" s="11" t="str">
        <f t="shared" si="0"/>
        <v>15.9421021,121.603663</v>
      </c>
      <c r="I8" s="11" t="s">
        <v>71</v>
      </c>
      <c r="J8" s="11">
        <v>1</v>
      </c>
      <c r="K8" s="11">
        <v>2018</v>
      </c>
      <c r="L8" s="117">
        <v>427500</v>
      </c>
      <c r="M8" s="11" t="s">
        <v>82</v>
      </c>
      <c r="N8" s="11" t="s">
        <v>13</v>
      </c>
      <c r="O8" s="11"/>
      <c r="P8" s="11" t="s">
        <v>163</v>
      </c>
      <c r="Q8" s="11" t="s">
        <v>831</v>
      </c>
      <c r="R8" s="34">
        <v>45939</v>
      </c>
      <c r="S8" s="34">
        <v>45940</v>
      </c>
      <c r="T8" s="34"/>
      <c r="U8" s="34">
        <v>45944</v>
      </c>
      <c r="V8" s="34">
        <v>45945</v>
      </c>
      <c r="W8" s="45">
        <f t="shared" si="2"/>
        <v>1</v>
      </c>
      <c r="X8" s="45" t="str">
        <f t="shared" si="3"/>
        <v/>
      </c>
      <c r="Y8" s="45">
        <f t="shared" si="4"/>
        <v>2</v>
      </c>
      <c r="Z8" s="45">
        <f t="shared" si="5"/>
        <v>1</v>
      </c>
      <c r="AA8" s="11" t="s">
        <v>150</v>
      </c>
      <c r="AB8" s="11">
        <v>1</v>
      </c>
      <c r="AC8" s="7" t="s">
        <v>815</v>
      </c>
      <c r="AD8" s="7" t="s">
        <v>832</v>
      </c>
      <c r="AE8" s="11" t="s">
        <v>808</v>
      </c>
      <c r="AF8" s="11" t="s">
        <v>808</v>
      </c>
      <c r="AG8" s="432" t="e">
        <f t="shared" si="1"/>
        <v>#VALUE!</v>
      </c>
      <c r="AH8" s="11" t="s">
        <v>50</v>
      </c>
      <c r="AI8" s="11"/>
      <c r="AJ8" s="7"/>
      <c r="AK8" s="7"/>
      <c r="AL8" s="11"/>
      <c r="AM8" s="11"/>
      <c r="AN8" s="11"/>
      <c r="AO8" s="11"/>
      <c r="AP8" s="11"/>
      <c r="AQ8" s="7"/>
      <c r="AR8" s="11"/>
      <c r="AS8" s="11"/>
    </row>
    <row r="9" spans="1:45">
      <c r="A9" s="7" t="s">
        <v>773</v>
      </c>
      <c r="B9" s="7" t="s">
        <v>829</v>
      </c>
      <c r="C9" s="7" t="s">
        <v>833</v>
      </c>
      <c r="D9" s="75" t="s">
        <v>159</v>
      </c>
      <c r="E9" s="75" t="s">
        <v>249</v>
      </c>
      <c r="F9" s="11">
        <v>16.076998</v>
      </c>
      <c r="G9" s="11">
        <v>121.769361</v>
      </c>
      <c r="H9" s="11" t="str">
        <f t="shared" si="0"/>
        <v>16.076998,121.769361</v>
      </c>
      <c r="I9" s="11" t="s">
        <v>71</v>
      </c>
      <c r="J9" s="11">
        <v>1</v>
      </c>
      <c r="K9" s="11">
        <v>2018</v>
      </c>
      <c r="L9" s="117">
        <v>427500</v>
      </c>
      <c r="M9" s="11" t="s">
        <v>82</v>
      </c>
      <c r="N9" s="11" t="s">
        <v>13</v>
      </c>
      <c r="O9" s="11"/>
      <c r="P9" s="11" t="s">
        <v>163</v>
      </c>
      <c r="Q9" s="11" t="s">
        <v>834</v>
      </c>
      <c r="R9" s="34">
        <v>45944</v>
      </c>
      <c r="S9" s="34">
        <v>45945</v>
      </c>
      <c r="T9" s="34"/>
      <c r="U9" s="34">
        <v>45946</v>
      </c>
      <c r="V9" s="34">
        <v>45946</v>
      </c>
      <c r="W9" s="45">
        <f t="shared" si="2"/>
        <v>1</v>
      </c>
      <c r="X9" s="45" t="str">
        <f t="shared" si="3"/>
        <v/>
      </c>
      <c r="Y9" s="45">
        <f t="shared" si="4"/>
        <v>1</v>
      </c>
      <c r="Z9" s="45">
        <f t="shared" si="5"/>
        <v>1</v>
      </c>
      <c r="AA9" s="11" t="s">
        <v>150</v>
      </c>
      <c r="AB9" s="11">
        <v>1</v>
      </c>
      <c r="AC9" s="7" t="s">
        <v>815</v>
      </c>
      <c r="AD9" s="7" t="s">
        <v>808</v>
      </c>
      <c r="AE9" s="11" t="s">
        <v>808</v>
      </c>
      <c r="AF9" s="11" t="s">
        <v>808</v>
      </c>
      <c r="AG9" s="432" t="e">
        <f t="shared" si="1"/>
        <v>#VALUE!</v>
      </c>
      <c r="AH9" s="11" t="s">
        <v>50</v>
      </c>
      <c r="AI9" s="11"/>
      <c r="AJ9" s="7"/>
      <c r="AK9" s="7"/>
      <c r="AL9" s="11"/>
      <c r="AM9" s="11"/>
      <c r="AN9" s="11"/>
      <c r="AO9" s="11"/>
      <c r="AP9" s="11"/>
      <c r="AQ9" s="7"/>
      <c r="AR9" s="11"/>
      <c r="AS9" s="11"/>
    </row>
    <row r="10" spans="1:45" ht="15" customHeight="1">
      <c r="A10" s="7" t="s">
        <v>773</v>
      </c>
      <c r="B10" s="7" t="s">
        <v>829</v>
      </c>
      <c r="C10" s="7" t="s">
        <v>835</v>
      </c>
      <c r="D10" s="75" t="s">
        <v>159</v>
      </c>
      <c r="E10" s="75" t="s">
        <v>249</v>
      </c>
      <c r="F10" s="11">
        <v>15.887986</v>
      </c>
      <c r="G10" s="11">
        <v>121.55078899999999</v>
      </c>
      <c r="H10" s="11" t="str">
        <f t="shared" si="0"/>
        <v>15.887986,121.550789</v>
      </c>
      <c r="I10" s="11" t="s">
        <v>71</v>
      </c>
      <c r="J10" s="11">
        <v>1</v>
      </c>
      <c r="K10" s="11">
        <v>2018</v>
      </c>
      <c r="L10" s="117">
        <v>427500</v>
      </c>
      <c r="M10" s="11" t="s">
        <v>83</v>
      </c>
      <c r="N10" s="11" t="s">
        <v>13</v>
      </c>
      <c r="O10" s="11"/>
      <c r="P10" s="11" t="s">
        <v>163</v>
      </c>
      <c r="Q10" s="7" t="s">
        <v>836</v>
      </c>
      <c r="R10" s="34">
        <v>45960</v>
      </c>
      <c r="S10" s="34">
        <v>45965</v>
      </c>
      <c r="T10" s="34"/>
      <c r="U10" s="34">
        <v>45966</v>
      </c>
      <c r="V10" s="34">
        <v>45968</v>
      </c>
      <c r="W10" s="45">
        <f t="shared" si="2"/>
        <v>3</v>
      </c>
      <c r="X10" s="45" t="str">
        <f t="shared" si="3"/>
        <v/>
      </c>
      <c r="Y10" s="45">
        <f t="shared" si="4"/>
        <v>1</v>
      </c>
      <c r="Z10" s="45">
        <f t="shared" si="5"/>
        <v>2</v>
      </c>
      <c r="AA10" s="11" t="s">
        <v>150</v>
      </c>
      <c r="AB10" s="11">
        <v>1</v>
      </c>
      <c r="AC10" s="7" t="s">
        <v>837</v>
      </c>
      <c r="AD10" s="7" t="s">
        <v>838</v>
      </c>
      <c r="AE10" s="11">
        <v>0</v>
      </c>
      <c r="AF10" s="11">
        <v>0</v>
      </c>
      <c r="AG10" s="432" t="e">
        <f t="shared" si="1"/>
        <v>#DIV/0!</v>
      </c>
      <c r="AH10" s="11" t="s">
        <v>50</v>
      </c>
      <c r="AI10" s="11"/>
      <c r="AJ10" s="7"/>
      <c r="AK10" s="7"/>
      <c r="AL10" s="11"/>
      <c r="AM10" s="11"/>
      <c r="AN10" s="11"/>
      <c r="AO10" s="11"/>
      <c r="AP10" s="11"/>
      <c r="AQ10" s="7"/>
      <c r="AR10" s="11"/>
      <c r="AS10" s="11"/>
    </row>
    <row r="11" spans="1:45" ht="15" customHeight="1">
      <c r="A11" s="7" t="s">
        <v>773</v>
      </c>
      <c r="B11" s="7" t="s">
        <v>829</v>
      </c>
      <c r="C11" s="7" t="s">
        <v>839</v>
      </c>
      <c r="D11" s="75" t="s">
        <v>159</v>
      </c>
      <c r="E11" s="75" t="s">
        <v>249</v>
      </c>
      <c r="F11" s="11">
        <v>15.874658999999999</v>
      </c>
      <c r="G11" s="11">
        <v>121.544376</v>
      </c>
      <c r="H11" s="11" t="str">
        <f t="shared" si="0"/>
        <v>15.874659,121.544376</v>
      </c>
      <c r="I11" s="11" t="s">
        <v>71</v>
      </c>
      <c r="J11" s="11">
        <v>1</v>
      </c>
      <c r="K11" s="11">
        <v>2018</v>
      </c>
      <c r="L11" s="117">
        <v>427500</v>
      </c>
      <c r="M11" s="11" t="s">
        <v>83</v>
      </c>
      <c r="N11" s="11" t="s">
        <v>13</v>
      </c>
      <c r="O11" s="11"/>
      <c r="P11" s="11" t="s">
        <v>163</v>
      </c>
      <c r="Q11" s="11" t="s">
        <v>840</v>
      </c>
      <c r="R11" s="34">
        <v>45960</v>
      </c>
      <c r="S11" s="34">
        <v>45965</v>
      </c>
      <c r="T11" s="34"/>
      <c r="U11" s="34">
        <v>45966</v>
      </c>
      <c r="V11" s="34">
        <v>45968</v>
      </c>
      <c r="W11" s="45">
        <f t="shared" si="2"/>
        <v>3</v>
      </c>
      <c r="X11" s="45" t="str">
        <f t="shared" si="3"/>
        <v/>
      </c>
      <c r="Y11" s="45">
        <f t="shared" ref="Y11:Y37" si="6">IF(
  OR(IF(T11&lt;&gt;"", T11, S11)="", U11=""),
  "",
  MAX(1,
    IF(
      NETWORKDAYS(IF(T11&lt;&gt;"", T11, S11), U11) &lt;= 0,
      1,
      NETWORKDAYS(IF(T11&lt;&gt;"", T11, S11), U11) - IF(IF(T11&lt;&gt;"", T11, S11)=U11, 0, 1)
    )
  )
)</f>
        <v>1</v>
      </c>
      <c r="Z11" s="45">
        <f t="shared" si="5"/>
        <v>2</v>
      </c>
      <c r="AA11" s="11" t="s">
        <v>150</v>
      </c>
      <c r="AB11" s="11">
        <v>1</v>
      </c>
      <c r="AC11" s="7" t="s">
        <v>837</v>
      </c>
      <c r="AD11" s="7" t="s">
        <v>838</v>
      </c>
      <c r="AE11" s="11" t="s">
        <v>69</v>
      </c>
      <c r="AF11" s="11" t="s">
        <v>69</v>
      </c>
      <c r="AG11" s="432" t="e">
        <f t="shared" si="1"/>
        <v>#VALUE!</v>
      </c>
      <c r="AH11" s="11" t="s">
        <v>50</v>
      </c>
      <c r="AI11" s="11"/>
      <c r="AJ11" s="7"/>
      <c r="AK11" s="7" t="s">
        <v>841</v>
      </c>
      <c r="AL11" s="11"/>
      <c r="AM11" s="11"/>
      <c r="AN11" s="11"/>
      <c r="AO11" s="11"/>
      <c r="AP11" s="11"/>
      <c r="AQ11" s="7"/>
      <c r="AR11" s="11"/>
      <c r="AS11" s="11"/>
    </row>
    <row r="12" spans="1:45" ht="15" customHeight="1">
      <c r="A12" s="7" t="s">
        <v>774</v>
      </c>
      <c r="B12" s="7" t="s">
        <v>842</v>
      </c>
      <c r="C12" s="7" t="s">
        <v>843</v>
      </c>
      <c r="D12" s="11" t="s">
        <v>143</v>
      </c>
      <c r="E12" s="75" t="s">
        <v>160</v>
      </c>
      <c r="F12" s="11">
        <v>14.7035</v>
      </c>
      <c r="G12" s="11">
        <v>120.488</v>
      </c>
      <c r="H12" s="11" t="str">
        <f t="shared" si="0"/>
        <v>14.7035,120.488</v>
      </c>
      <c r="I12" s="11" t="s">
        <v>72</v>
      </c>
      <c r="J12" s="11"/>
      <c r="K12" s="11" t="s">
        <v>69</v>
      </c>
      <c r="L12" s="11" t="s">
        <v>69</v>
      </c>
      <c r="M12" s="11" t="s">
        <v>79</v>
      </c>
      <c r="N12" s="11" t="s">
        <v>188</v>
      </c>
      <c r="O12" s="11"/>
      <c r="P12" s="11" t="s">
        <v>180</v>
      </c>
      <c r="Q12" s="11" t="s">
        <v>844</v>
      </c>
      <c r="R12" s="34">
        <v>45847</v>
      </c>
      <c r="S12" s="34">
        <v>45852</v>
      </c>
      <c r="T12" s="34"/>
      <c r="U12" s="34">
        <v>45853</v>
      </c>
      <c r="V12" s="34">
        <v>45855</v>
      </c>
      <c r="W12" s="45">
        <f t="shared" ref="W12:W37" si="7">IF(
    OR(ISBLANK(R12), ISBLANK(S12)),
    "",
    MAX(1, IF(
        NETWORKDAYS(R12, S12) &lt;= 0,
        1,
        NETWORKDAYS(R12, S12) - IF(R12 = S12, 0, 1)
    ))
)</f>
        <v>3</v>
      </c>
      <c r="X12" s="45" t="str">
        <f t="shared" si="3"/>
        <v/>
      </c>
      <c r="Y12" s="45">
        <f t="shared" si="6"/>
        <v>1</v>
      </c>
      <c r="Z12" s="45">
        <f t="shared" ref="Z12:Z37" si="8">IF(
    OR(ISBLANK(U12), ISBLANK(V12)),
    "",
    MAX(1, IF(
        NETWORKDAYS(U12, V12) &lt;= 0,
        1,
        NETWORKDAYS(U12, V12) - IF(U12 = V12, 0, 1)
    ))
)</f>
        <v>2</v>
      </c>
      <c r="AA12" s="7" t="s">
        <v>150</v>
      </c>
      <c r="AB12" s="11">
        <v>9</v>
      </c>
      <c r="AC12" s="7" t="s">
        <v>845</v>
      </c>
      <c r="AD12" s="7" t="s">
        <v>846</v>
      </c>
      <c r="AE12" s="11">
        <v>3448.02</v>
      </c>
      <c r="AF12" s="11">
        <v>9800.35</v>
      </c>
      <c r="AG12" s="432">
        <f t="shared" si="1"/>
        <v>0.35182621028840805</v>
      </c>
      <c r="AH12" s="11" t="s">
        <v>847</v>
      </c>
      <c r="AI12" s="11"/>
      <c r="AJ12" s="7" t="s">
        <v>151</v>
      </c>
      <c r="AK12" s="7"/>
      <c r="AL12" s="11"/>
      <c r="AM12" s="11"/>
      <c r="AN12" s="11"/>
      <c r="AO12" s="11"/>
      <c r="AP12" s="11"/>
      <c r="AQ12" s="7"/>
      <c r="AR12" s="11"/>
      <c r="AS12" s="11"/>
    </row>
    <row r="13" spans="1:45" ht="15" customHeight="1">
      <c r="A13" s="7" t="s">
        <v>774</v>
      </c>
      <c r="B13" s="7" t="s">
        <v>848</v>
      </c>
      <c r="C13" s="7" t="s">
        <v>849</v>
      </c>
      <c r="D13" s="11" t="s">
        <v>143</v>
      </c>
      <c r="E13" s="75" t="s">
        <v>144</v>
      </c>
      <c r="F13" s="11">
        <v>14.619694000000001</v>
      </c>
      <c r="G13" s="11">
        <v>120.386025</v>
      </c>
      <c r="H13" s="11" t="str">
        <f t="shared" si="0"/>
        <v>14.619694,120.386025</v>
      </c>
      <c r="I13" s="11" t="s">
        <v>71</v>
      </c>
      <c r="J13" s="11">
        <v>1</v>
      </c>
      <c r="K13" s="11">
        <v>2018</v>
      </c>
      <c r="L13" s="11">
        <v>285000</v>
      </c>
      <c r="M13" s="11" t="s">
        <v>77</v>
      </c>
      <c r="N13" s="11" t="s">
        <v>19</v>
      </c>
      <c r="O13" s="11"/>
      <c r="P13" s="11" t="s">
        <v>180</v>
      </c>
      <c r="Q13" s="374" t="s">
        <v>850</v>
      </c>
      <c r="R13" s="34">
        <v>45792</v>
      </c>
      <c r="S13" s="34">
        <v>45794</v>
      </c>
      <c r="T13" s="34">
        <v>45794</v>
      </c>
      <c r="U13" s="34">
        <v>45796</v>
      </c>
      <c r="V13" s="34">
        <v>45797</v>
      </c>
      <c r="W13" s="45">
        <f t="shared" si="7"/>
        <v>1</v>
      </c>
      <c r="X13" s="45">
        <f t="shared" si="3"/>
        <v>1</v>
      </c>
      <c r="Y13" s="45">
        <f t="shared" si="6"/>
        <v>1</v>
      </c>
      <c r="Z13" s="45">
        <f t="shared" si="8"/>
        <v>1</v>
      </c>
      <c r="AA13" s="434" t="s">
        <v>150</v>
      </c>
      <c r="AB13" s="11">
        <v>1</v>
      </c>
      <c r="AC13" s="7" t="s">
        <v>815</v>
      </c>
      <c r="AD13" s="7" t="s">
        <v>851</v>
      </c>
      <c r="AE13" s="11">
        <v>14.5</v>
      </c>
      <c r="AF13" s="11">
        <v>124.56</v>
      </c>
      <c r="AG13" s="432">
        <f t="shared" si="1"/>
        <v>0.11640976236351959</v>
      </c>
      <c r="AH13" s="435" t="s">
        <v>50</v>
      </c>
      <c r="AI13" s="11" t="s">
        <v>852</v>
      </c>
      <c r="AJ13" s="7"/>
      <c r="AK13" s="7"/>
      <c r="AL13" s="11"/>
      <c r="AM13" s="11"/>
      <c r="AN13" s="11"/>
      <c r="AO13" s="11"/>
      <c r="AP13" s="11"/>
      <c r="AQ13" s="7"/>
      <c r="AR13" s="11"/>
      <c r="AS13" s="11"/>
    </row>
    <row r="14" spans="1:45" ht="15" customHeight="1">
      <c r="A14" s="7" t="s">
        <v>774</v>
      </c>
      <c r="B14" s="7" t="s">
        <v>853</v>
      </c>
      <c r="C14" s="7" t="s">
        <v>854</v>
      </c>
      <c r="D14" s="11" t="s">
        <v>143</v>
      </c>
      <c r="E14" s="75" t="s">
        <v>185</v>
      </c>
      <c r="F14" s="11">
        <v>14.687931000000001</v>
      </c>
      <c r="G14" s="11">
        <v>120.55045800000001</v>
      </c>
      <c r="H14" s="11" t="str">
        <f t="shared" si="0"/>
        <v>14.687931,120.550458</v>
      </c>
      <c r="I14" s="11" t="s">
        <v>71</v>
      </c>
      <c r="J14" s="11">
        <v>1</v>
      </c>
      <c r="K14" s="11">
        <v>2018</v>
      </c>
      <c r="L14" s="11">
        <v>427500</v>
      </c>
      <c r="M14" s="11" t="s">
        <v>80</v>
      </c>
      <c r="N14" s="11" t="s">
        <v>188</v>
      </c>
      <c r="O14" s="11"/>
      <c r="P14" s="11" t="s">
        <v>180</v>
      </c>
      <c r="Q14" s="11" t="s">
        <v>855</v>
      </c>
      <c r="R14" s="34">
        <v>45881</v>
      </c>
      <c r="S14" s="34">
        <v>45887</v>
      </c>
      <c r="T14" s="34">
        <v>45887</v>
      </c>
      <c r="U14" s="34">
        <v>45887</v>
      </c>
      <c r="V14" s="34">
        <v>45887</v>
      </c>
      <c r="W14" s="45">
        <f t="shared" si="7"/>
        <v>4</v>
      </c>
      <c r="X14" s="45">
        <f t="shared" si="3"/>
        <v>1</v>
      </c>
      <c r="Y14" s="45">
        <f t="shared" si="6"/>
        <v>1</v>
      </c>
      <c r="Z14" s="45">
        <f t="shared" si="8"/>
        <v>1</v>
      </c>
      <c r="AA14" s="11" t="s">
        <v>150</v>
      </c>
      <c r="AB14" s="11">
        <v>1</v>
      </c>
      <c r="AC14" s="7" t="s">
        <v>856</v>
      </c>
      <c r="AD14" s="7" t="s">
        <v>857</v>
      </c>
      <c r="AE14" s="11">
        <v>73.36</v>
      </c>
      <c r="AF14" s="11">
        <v>586.09</v>
      </c>
      <c r="AG14" s="432">
        <f t="shared" si="1"/>
        <v>0.12516848948113771</v>
      </c>
      <c r="AH14" s="435" t="s">
        <v>50</v>
      </c>
      <c r="AI14" s="11"/>
      <c r="AJ14" s="7"/>
      <c r="AK14" s="7"/>
      <c r="AL14" s="11"/>
      <c r="AM14" s="11"/>
      <c r="AN14" s="11"/>
      <c r="AO14" s="11"/>
      <c r="AP14" s="11"/>
      <c r="AQ14" s="7"/>
      <c r="AR14" s="11"/>
      <c r="AS14" s="11"/>
    </row>
    <row r="15" spans="1:45" ht="15" customHeight="1">
      <c r="A15" s="7" t="s">
        <v>774</v>
      </c>
      <c r="B15" s="7" t="s">
        <v>853</v>
      </c>
      <c r="C15" s="7" t="s">
        <v>858</v>
      </c>
      <c r="D15" s="11" t="s">
        <v>143</v>
      </c>
      <c r="E15" s="75" t="s">
        <v>185</v>
      </c>
      <c r="F15" s="11">
        <v>14.671465</v>
      </c>
      <c r="G15" s="11">
        <v>120.534471</v>
      </c>
      <c r="H15" s="11" t="str">
        <f t="shared" si="0"/>
        <v>14.671465,120.534471</v>
      </c>
      <c r="I15" s="11" t="s">
        <v>71</v>
      </c>
      <c r="J15" s="11">
        <v>1</v>
      </c>
      <c r="K15" s="11">
        <v>2018</v>
      </c>
      <c r="L15" s="11">
        <v>285000</v>
      </c>
      <c r="M15" s="11" t="s">
        <v>80</v>
      </c>
      <c r="N15" s="11" t="s">
        <v>188</v>
      </c>
      <c r="O15" s="11"/>
      <c r="P15" s="11" t="s">
        <v>180</v>
      </c>
      <c r="Q15" s="435" t="s">
        <v>859</v>
      </c>
      <c r="R15" s="34">
        <v>45881</v>
      </c>
      <c r="S15" s="34">
        <v>45887</v>
      </c>
      <c r="T15" s="34"/>
      <c r="U15" s="34">
        <v>45887</v>
      </c>
      <c r="V15" s="34">
        <v>45887</v>
      </c>
      <c r="W15" s="45">
        <f t="shared" si="7"/>
        <v>4</v>
      </c>
      <c r="X15" s="45" t="str">
        <f t="shared" si="3"/>
        <v/>
      </c>
      <c r="Y15" s="45">
        <f t="shared" si="6"/>
        <v>1</v>
      </c>
      <c r="Z15" s="45">
        <f t="shared" si="8"/>
        <v>1</v>
      </c>
      <c r="AA15" s="11" t="s">
        <v>150</v>
      </c>
      <c r="AB15" s="11">
        <v>1</v>
      </c>
      <c r="AC15" s="7" t="s">
        <v>815</v>
      </c>
      <c r="AD15" s="7" t="s">
        <v>860</v>
      </c>
      <c r="AE15" s="11">
        <v>448</v>
      </c>
      <c r="AF15" s="117">
        <v>1578.73</v>
      </c>
      <c r="AG15" s="432">
        <f t="shared" si="1"/>
        <v>0.28377239933364157</v>
      </c>
      <c r="AH15" s="435" t="s">
        <v>50</v>
      </c>
      <c r="AI15" s="11"/>
      <c r="AJ15" s="7" t="s">
        <v>151</v>
      </c>
      <c r="AK15" s="7"/>
      <c r="AL15" s="11"/>
      <c r="AM15" s="11"/>
      <c r="AN15" s="11"/>
      <c r="AO15" s="11"/>
      <c r="AP15" s="11"/>
      <c r="AQ15" s="7"/>
      <c r="AR15" s="11"/>
      <c r="AS15" s="430"/>
    </row>
    <row r="16" spans="1:45" ht="65.25" customHeight="1">
      <c r="A16" s="7" t="s">
        <v>774</v>
      </c>
      <c r="B16" s="7" t="s">
        <v>861</v>
      </c>
      <c r="C16" s="7" t="s">
        <v>862</v>
      </c>
      <c r="D16" s="11" t="s">
        <v>143</v>
      </c>
      <c r="E16" s="75" t="s">
        <v>185</v>
      </c>
      <c r="F16" s="11">
        <v>14.5871</v>
      </c>
      <c r="G16" s="11">
        <v>120.527</v>
      </c>
      <c r="H16" s="11" t="str">
        <f t="shared" si="0"/>
        <v>14.5871,120.527</v>
      </c>
      <c r="I16" s="11" t="s">
        <v>72</v>
      </c>
      <c r="J16" s="11"/>
      <c r="K16" s="11" t="s">
        <v>69</v>
      </c>
      <c r="L16" s="11" t="s">
        <v>69</v>
      </c>
      <c r="M16" s="11" t="s">
        <v>81</v>
      </c>
      <c r="N16" s="11" t="s">
        <v>188</v>
      </c>
      <c r="O16" s="11"/>
      <c r="P16" s="11" t="s">
        <v>180</v>
      </c>
      <c r="Q16" s="11" t="s">
        <v>863</v>
      </c>
      <c r="R16" s="34">
        <v>45916</v>
      </c>
      <c r="S16" s="34">
        <v>45917</v>
      </c>
      <c r="T16" s="34"/>
      <c r="U16" s="34">
        <v>45917</v>
      </c>
      <c r="V16" s="34">
        <v>45918</v>
      </c>
      <c r="W16" s="45">
        <f t="shared" si="7"/>
        <v>1</v>
      </c>
      <c r="X16" s="45" t="str">
        <f t="shared" si="3"/>
        <v/>
      </c>
      <c r="Y16" s="45">
        <f t="shared" si="6"/>
        <v>1</v>
      </c>
      <c r="Z16" s="45">
        <f t="shared" si="8"/>
        <v>1</v>
      </c>
      <c r="AA16" s="11" t="s">
        <v>150</v>
      </c>
      <c r="AB16" s="11">
        <v>23</v>
      </c>
      <c r="AC16" s="7" t="s">
        <v>864</v>
      </c>
      <c r="AD16" s="7" t="s">
        <v>838</v>
      </c>
      <c r="AE16" s="117">
        <v>21370</v>
      </c>
      <c r="AF16" s="82">
        <v>28866.23</v>
      </c>
      <c r="AG16" s="432">
        <f t="shared" si="1"/>
        <v>0.74031142965326613</v>
      </c>
      <c r="AH16" s="11" t="s">
        <v>50</v>
      </c>
      <c r="AI16" s="11"/>
      <c r="AJ16" s="7"/>
      <c r="AK16" s="7"/>
      <c r="AL16" s="11"/>
      <c r="AM16" s="11"/>
      <c r="AN16" s="11"/>
      <c r="AO16" s="11"/>
      <c r="AP16" s="11"/>
      <c r="AQ16" s="7"/>
      <c r="AR16" s="11"/>
      <c r="AS16" s="11"/>
    </row>
    <row r="17" spans="1:45" ht="15" customHeight="1">
      <c r="A17" s="7" t="s">
        <v>775</v>
      </c>
      <c r="B17" s="7" t="s">
        <v>865</v>
      </c>
      <c r="C17" s="7" t="s">
        <v>866</v>
      </c>
      <c r="D17" s="11" t="s">
        <v>143</v>
      </c>
      <c r="E17" s="75" t="s">
        <v>185</v>
      </c>
      <c r="F17" s="11">
        <v>14.569686000000001</v>
      </c>
      <c r="G17" s="11">
        <v>120.551528</v>
      </c>
      <c r="H17" s="11" t="str">
        <f t="shared" si="0"/>
        <v>14.569686,120.551528</v>
      </c>
      <c r="I17" s="11" t="s">
        <v>70</v>
      </c>
      <c r="J17" s="11">
        <v>1</v>
      </c>
      <c r="K17" s="11">
        <v>2019</v>
      </c>
      <c r="L17" s="11">
        <v>502714.29</v>
      </c>
      <c r="M17" s="11" t="s">
        <v>81</v>
      </c>
      <c r="N17" s="11" t="s">
        <v>188</v>
      </c>
      <c r="O17" s="11"/>
      <c r="P17" s="11" t="s">
        <v>180</v>
      </c>
      <c r="Q17" s="11" t="s">
        <v>867</v>
      </c>
      <c r="R17" s="34">
        <v>45917</v>
      </c>
      <c r="S17" s="34">
        <v>45917</v>
      </c>
      <c r="T17" s="34"/>
      <c r="U17" s="34">
        <v>45917</v>
      </c>
      <c r="V17" s="34">
        <v>45918</v>
      </c>
      <c r="W17" s="45">
        <f t="shared" si="7"/>
        <v>1</v>
      </c>
      <c r="X17" s="45" t="str">
        <f t="shared" si="3"/>
        <v/>
      </c>
      <c r="Y17" s="45">
        <f t="shared" si="6"/>
        <v>1</v>
      </c>
      <c r="Z17" s="45">
        <f t="shared" si="8"/>
        <v>1</v>
      </c>
      <c r="AA17" s="11" t="s">
        <v>150</v>
      </c>
      <c r="AB17" s="11">
        <v>0</v>
      </c>
      <c r="AC17" s="7" t="s">
        <v>815</v>
      </c>
      <c r="AD17" s="7" t="s">
        <v>815</v>
      </c>
      <c r="AE17" s="11" t="s">
        <v>808</v>
      </c>
      <c r="AF17" s="11" t="s">
        <v>808</v>
      </c>
      <c r="AG17" s="432" t="e">
        <f t="shared" si="1"/>
        <v>#VALUE!</v>
      </c>
      <c r="AH17" s="435" t="s">
        <v>57</v>
      </c>
      <c r="AI17" s="7" t="s">
        <v>868</v>
      </c>
      <c r="AJ17" s="7"/>
      <c r="AK17" s="7"/>
      <c r="AL17" s="11"/>
      <c r="AM17" s="11"/>
      <c r="AN17" s="11"/>
      <c r="AO17" s="11"/>
      <c r="AP17" s="11"/>
      <c r="AQ17" s="7"/>
      <c r="AR17" s="11"/>
      <c r="AS17" s="11"/>
    </row>
    <row r="18" spans="1:45" ht="15" customHeight="1">
      <c r="A18" s="7" t="s">
        <v>774</v>
      </c>
      <c r="B18" s="7" t="s">
        <v>853</v>
      </c>
      <c r="C18" s="7" t="s">
        <v>869</v>
      </c>
      <c r="D18" s="11" t="s">
        <v>143</v>
      </c>
      <c r="E18" s="75" t="s">
        <v>185</v>
      </c>
      <c r="F18" s="11">
        <v>14.671575000000001</v>
      </c>
      <c r="G18" s="11">
        <v>120.534451</v>
      </c>
      <c r="H18" s="11" t="str">
        <f t="shared" si="0"/>
        <v>14.671575,120.534451</v>
      </c>
      <c r="I18" s="11" t="s">
        <v>71</v>
      </c>
      <c r="J18" s="11">
        <v>1</v>
      </c>
      <c r="K18" s="11">
        <v>2018</v>
      </c>
      <c r="L18" s="11">
        <v>285000</v>
      </c>
      <c r="M18" s="11" t="s">
        <v>76</v>
      </c>
      <c r="N18" s="11" t="s">
        <v>188</v>
      </c>
      <c r="O18" s="11"/>
      <c r="P18" s="11" t="s">
        <v>180</v>
      </c>
      <c r="Q18" s="374" t="s">
        <v>870</v>
      </c>
      <c r="R18" s="34">
        <v>45744</v>
      </c>
      <c r="S18" s="34">
        <v>45746</v>
      </c>
      <c r="T18" s="34">
        <v>45746</v>
      </c>
      <c r="U18" s="34">
        <v>45747</v>
      </c>
      <c r="V18" s="34">
        <v>45747</v>
      </c>
      <c r="W18" s="45">
        <f t="shared" si="7"/>
        <v>1</v>
      </c>
      <c r="X18" s="45">
        <f t="shared" si="3"/>
        <v>1</v>
      </c>
      <c r="Y18" s="45">
        <f t="shared" si="6"/>
        <v>1</v>
      </c>
      <c r="Z18" s="45">
        <f t="shared" si="8"/>
        <v>1</v>
      </c>
      <c r="AA18" s="431" t="s">
        <v>150</v>
      </c>
      <c r="AB18" s="11">
        <v>1</v>
      </c>
      <c r="AC18" s="7" t="s">
        <v>871</v>
      </c>
      <c r="AD18" s="7" t="s">
        <v>872</v>
      </c>
      <c r="AE18" s="11">
        <v>100</v>
      </c>
      <c r="AF18" s="11">
        <v>1089.5999999999999</v>
      </c>
      <c r="AG18" s="432">
        <f t="shared" si="1"/>
        <v>9.1776798825256981E-2</v>
      </c>
      <c r="AH18" s="435" t="s">
        <v>50</v>
      </c>
      <c r="AI18" s="11"/>
      <c r="AJ18" s="7" t="s">
        <v>151</v>
      </c>
      <c r="AK18" s="7"/>
      <c r="AL18" s="11"/>
      <c r="AM18" s="11"/>
      <c r="AN18" s="11"/>
      <c r="AO18" s="11"/>
      <c r="AP18" s="11"/>
      <c r="AQ18" s="7"/>
      <c r="AR18" s="11"/>
      <c r="AS18" s="430"/>
    </row>
    <row r="19" spans="1:45" ht="35.25" customHeight="1">
      <c r="A19" s="7" t="s">
        <v>774</v>
      </c>
      <c r="B19" s="7" t="s">
        <v>853</v>
      </c>
      <c r="C19" s="7" t="s">
        <v>873</v>
      </c>
      <c r="D19" s="11" t="s">
        <v>143</v>
      </c>
      <c r="E19" s="75" t="s">
        <v>185</v>
      </c>
      <c r="F19" s="11">
        <v>14.678100000000001</v>
      </c>
      <c r="G19" s="11">
        <v>120.477</v>
      </c>
      <c r="H19" s="11" t="str">
        <f t="shared" si="0"/>
        <v>14.6781,120.477</v>
      </c>
      <c r="I19" s="11" t="s">
        <v>72</v>
      </c>
      <c r="J19" s="11"/>
      <c r="K19" s="11" t="s">
        <v>69</v>
      </c>
      <c r="L19" s="11" t="s">
        <v>69</v>
      </c>
      <c r="M19" s="11" t="s">
        <v>75</v>
      </c>
      <c r="N19" s="11" t="s">
        <v>188</v>
      </c>
      <c r="O19" s="11"/>
      <c r="P19" s="11" t="s">
        <v>180</v>
      </c>
      <c r="Q19" s="11" t="s">
        <v>874</v>
      </c>
      <c r="R19" s="34">
        <v>45715</v>
      </c>
      <c r="S19" s="34">
        <v>45718</v>
      </c>
      <c r="T19" s="34"/>
      <c r="U19" s="34">
        <v>45719</v>
      </c>
      <c r="V19" s="34">
        <v>45719</v>
      </c>
      <c r="W19" s="45">
        <f t="shared" si="7"/>
        <v>1</v>
      </c>
      <c r="X19" s="45" t="str">
        <f t="shared" si="3"/>
        <v/>
      </c>
      <c r="Y19" s="45">
        <f t="shared" si="6"/>
        <v>1</v>
      </c>
      <c r="Z19" s="45">
        <f t="shared" si="8"/>
        <v>1</v>
      </c>
      <c r="AA19" s="7" t="s">
        <v>150</v>
      </c>
      <c r="AB19" s="11">
        <v>25</v>
      </c>
      <c r="AC19" s="7" t="s">
        <v>875</v>
      </c>
      <c r="AD19" s="7" t="s">
        <v>876</v>
      </c>
      <c r="AE19" s="82">
        <v>10721.89</v>
      </c>
      <c r="AF19" s="82">
        <v>24547.38</v>
      </c>
      <c r="AG19" s="432">
        <f t="shared" si="1"/>
        <v>0.43678347750350544</v>
      </c>
      <c r="AH19" s="11" t="s">
        <v>50</v>
      </c>
      <c r="AI19" s="11"/>
      <c r="AJ19" s="7" t="s">
        <v>151</v>
      </c>
      <c r="AK19" s="7"/>
      <c r="AL19" s="11"/>
      <c r="AM19" s="11"/>
      <c r="AN19" s="11"/>
      <c r="AO19" s="11"/>
      <c r="AP19" s="11"/>
      <c r="AQ19" s="7"/>
      <c r="AR19" s="11"/>
      <c r="AS19" s="430"/>
    </row>
    <row r="20" spans="1:45" ht="27.75" customHeight="1">
      <c r="A20" s="7" t="s">
        <v>775</v>
      </c>
      <c r="B20" s="7" t="s">
        <v>877</v>
      </c>
      <c r="C20" s="7" t="s">
        <v>878</v>
      </c>
      <c r="D20" s="11" t="s">
        <v>143</v>
      </c>
      <c r="E20" s="75" t="s">
        <v>185</v>
      </c>
      <c r="F20" s="11">
        <v>14.66066</v>
      </c>
      <c r="G20" s="11">
        <v>120.543603</v>
      </c>
      <c r="H20" s="11" t="str">
        <f t="shared" si="0"/>
        <v>14.66066,120.543603</v>
      </c>
      <c r="I20" s="11" t="s">
        <v>70</v>
      </c>
      <c r="J20" s="11">
        <v>1</v>
      </c>
      <c r="K20" s="11">
        <v>2019</v>
      </c>
      <c r="L20" s="11">
        <v>502714.29</v>
      </c>
      <c r="M20" s="11" t="s">
        <v>82</v>
      </c>
      <c r="N20" s="11" t="s">
        <v>188</v>
      </c>
      <c r="O20" s="11"/>
      <c r="P20" s="11" t="s">
        <v>180</v>
      </c>
      <c r="Q20" s="11" t="s">
        <v>879</v>
      </c>
      <c r="R20" s="34">
        <v>45945</v>
      </c>
      <c r="S20" s="34">
        <v>45945</v>
      </c>
      <c r="T20" s="34"/>
      <c r="U20" s="34">
        <v>45950</v>
      </c>
      <c r="V20" s="34">
        <v>45950</v>
      </c>
      <c r="W20" s="45">
        <f t="shared" si="7"/>
        <v>1</v>
      </c>
      <c r="X20" s="45" t="str">
        <f t="shared" si="3"/>
        <v/>
      </c>
      <c r="Y20" s="45">
        <f t="shared" si="6"/>
        <v>3</v>
      </c>
      <c r="Z20" s="45">
        <f t="shared" si="8"/>
        <v>1</v>
      </c>
      <c r="AA20" s="11" t="s">
        <v>150</v>
      </c>
      <c r="AB20" s="11">
        <v>19</v>
      </c>
      <c r="AC20" s="7" t="s">
        <v>880</v>
      </c>
      <c r="AD20" s="7" t="s">
        <v>881</v>
      </c>
      <c r="AE20" s="11">
        <v>0</v>
      </c>
      <c r="AF20" s="11">
        <v>26397.56</v>
      </c>
      <c r="AG20" s="432">
        <f t="shared" si="1"/>
        <v>0</v>
      </c>
      <c r="AH20" s="435" t="s">
        <v>50</v>
      </c>
      <c r="AI20" s="11"/>
      <c r="AJ20" s="7" t="s">
        <v>809</v>
      </c>
      <c r="AK20" s="7"/>
      <c r="AL20" s="532">
        <v>45958</v>
      </c>
      <c r="AM20" s="11"/>
      <c r="AN20" s="11"/>
      <c r="AO20" s="11"/>
      <c r="AP20" s="11"/>
      <c r="AQ20" s="7"/>
      <c r="AR20" s="11"/>
      <c r="AS20" s="11"/>
    </row>
    <row r="21" spans="1:45" ht="35.25" customHeight="1">
      <c r="A21" s="7" t="s">
        <v>774</v>
      </c>
      <c r="B21" s="7" t="s">
        <v>853</v>
      </c>
      <c r="C21" s="7" t="s">
        <v>858</v>
      </c>
      <c r="D21" s="11" t="s">
        <v>143</v>
      </c>
      <c r="E21" s="75" t="s">
        <v>185</v>
      </c>
      <c r="F21" s="11">
        <v>14.628389</v>
      </c>
      <c r="G21" s="11">
        <v>120.469267</v>
      </c>
      <c r="H21" s="11" t="str">
        <f t="shared" si="0"/>
        <v>14.628389,120.469267</v>
      </c>
      <c r="I21" s="11" t="s">
        <v>71</v>
      </c>
      <c r="J21" s="11">
        <v>1</v>
      </c>
      <c r="K21" s="11">
        <v>2018</v>
      </c>
      <c r="L21" s="11">
        <v>285000</v>
      </c>
      <c r="M21" s="11" t="s">
        <v>75</v>
      </c>
      <c r="N21" s="11" t="s">
        <v>188</v>
      </c>
      <c r="O21" s="11"/>
      <c r="P21" s="11" t="s">
        <v>180</v>
      </c>
      <c r="Q21" s="374" t="s">
        <v>882</v>
      </c>
      <c r="R21" s="34">
        <v>45730</v>
      </c>
      <c r="S21" s="34">
        <v>45732</v>
      </c>
      <c r="T21" s="34">
        <v>45732</v>
      </c>
      <c r="U21" s="34">
        <v>45732</v>
      </c>
      <c r="V21" s="34">
        <v>45733</v>
      </c>
      <c r="W21" s="45">
        <f t="shared" si="7"/>
        <v>1</v>
      </c>
      <c r="X21" s="45">
        <f t="shared" si="3"/>
        <v>1</v>
      </c>
      <c r="Y21" s="45">
        <f t="shared" si="6"/>
        <v>1</v>
      </c>
      <c r="Z21" s="45">
        <f t="shared" si="8"/>
        <v>1</v>
      </c>
      <c r="AA21" s="431" t="s">
        <v>150</v>
      </c>
      <c r="AB21" s="11">
        <v>1</v>
      </c>
      <c r="AC21" s="7" t="s">
        <v>815</v>
      </c>
      <c r="AD21" s="7" t="s">
        <v>883</v>
      </c>
      <c r="AE21" s="11">
        <v>448</v>
      </c>
      <c r="AF21" s="117">
        <v>3359</v>
      </c>
      <c r="AG21" s="432">
        <f t="shared" si="1"/>
        <v>0.13337302768681156</v>
      </c>
      <c r="AH21" s="435" t="s">
        <v>50</v>
      </c>
      <c r="AI21" s="11"/>
      <c r="AJ21" s="7" t="s">
        <v>151</v>
      </c>
      <c r="AK21" s="7"/>
      <c r="AL21" s="11"/>
      <c r="AM21" s="11"/>
      <c r="AN21" s="11"/>
      <c r="AO21" s="11"/>
      <c r="AP21" s="11"/>
      <c r="AQ21" s="7"/>
      <c r="AR21" s="11"/>
      <c r="AS21" s="430"/>
    </row>
    <row r="22" spans="1:45" ht="15" customHeight="1">
      <c r="A22" s="463" t="s">
        <v>774</v>
      </c>
      <c r="B22" s="463" t="s">
        <v>884</v>
      </c>
      <c r="C22" s="463" t="s">
        <v>885</v>
      </c>
      <c r="D22" s="438" t="s">
        <v>143</v>
      </c>
      <c r="E22" s="75" t="s">
        <v>160</v>
      </c>
      <c r="F22" s="11">
        <v>14.814500000000001</v>
      </c>
      <c r="G22" s="11">
        <v>120.479</v>
      </c>
      <c r="H22" s="11" t="str">
        <f t="shared" si="0"/>
        <v>14.8145,120.479</v>
      </c>
      <c r="I22" s="11" t="s">
        <v>72</v>
      </c>
      <c r="J22" s="11"/>
      <c r="K22" s="11" t="s">
        <v>69</v>
      </c>
      <c r="L22" s="11" t="s">
        <v>69</v>
      </c>
      <c r="M22" s="11" t="s">
        <v>80</v>
      </c>
      <c r="N22" s="11" t="s">
        <v>179</v>
      </c>
      <c r="O22" s="11"/>
      <c r="P22" s="11" t="s">
        <v>180</v>
      </c>
      <c r="Q22" s="11" t="s">
        <v>886</v>
      </c>
      <c r="R22" s="34">
        <v>45881</v>
      </c>
      <c r="S22" s="34">
        <v>45887</v>
      </c>
      <c r="T22" s="34"/>
      <c r="U22" s="34">
        <v>45887</v>
      </c>
      <c r="V22" s="34">
        <v>45887</v>
      </c>
      <c r="W22" s="45">
        <f t="shared" si="7"/>
        <v>4</v>
      </c>
      <c r="X22" s="45" t="str">
        <f t="shared" si="3"/>
        <v/>
      </c>
      <c r="Y22" s="45">
        <f t="shared" si="6"/>
        <v>1</v>
      </c>
      <c r="Z22" s="45">
        <f t="shared" si="8"/>
        <v>1</v>
      </c>
      <c r="AA22" s="11" t="s">
        <v>150</v>
      </c>
      <c r="AB22" s="11">
        <v>23</v>
      </c>
      <c r="AC22" s="7" t="s">
        <v>856</v>
      </c>
      <c r="AD22" s="7" t="s">
        <v>887</v>
      </c>
      <c r="AE22" s="11">
        <v>30.09</v>
      </c>
      <c r="AF22" s="82">
        <v>38088.69</v>
      </c>
      <c r="AG22" s="432">
        <f t="shared" si="1"/>
        <v>7.8999829083121521E-4</v>
      </c>
      <c r="AH22" s="11" t="s">
        <v>50</v>
      </c>
      <c r="AI22" s="11"/>
      <c r="AJ22" s="7" t="s">
        <v>151</v>
      </c>
      <c r="AK22" s="7"/>
      <c r="AL22" s="11"/>
      <c r="AM22" s="11"/>
      <c r="AN22" s="11"/>
      <c r="AO22" s="11"/>
      <c r="AP22" s="11"/>
      <c r="AQ22" s="7"/>
      <c r="AR22" s="11"/>
      <c r="AS22" s="11"/>
    </row>
    <row r="23" spans="1:45" ht="15" customHeight="1">
      <c r="A23" s="7" t="s">
        <v>774</v>
      </c>
      <c r="B23" s="7" t="s">
        <v>853</v>
      </c>
      <c r="C23" s="7" t="s">
        <v>888</v>
      </c>
      <c r="D23" s="11" t="s">
        <v>143</v>
      </c>
      <c r="E23" s="75" t="s">
        <v>185</v>
      </c>
      <c r="F23" s="11">
        <v>14.673788999999999</v>
      </c>
      <c r="G23" s="11">
        <v>120.532878</v>
      </c>
      <c r="H23" s="11" t="str">
        <f t="shared" si="0"/>
        <v>14.673789,120.532878</v>
      </c>
      <c r="I23" s="11" t="s">
        <v>71</v>
      </c>
      <c r="J23" s="11">
        <v>1</v>
      </c>
      <c r="K23" s="11">
        <v>2018</v>
      </c>
      <c r="L23" s="11">
        <v>285000</v>
      </c>
      <c r="M23" s="11" t="s">
        <v>75</v>
      </c>
      <c r="N23" s="11" t="s">
        <v>188</v>
      </c>
      <c r="O23" s="11"/>
      <c r="P23" s="11" t="s">
        <v>180</v>
      </c>
      <c r="Q23" s="374" t="s">
        <v>889</v>
      </c>
      <c r="R23" s="34">
        <v>45730</v>
      </c>
      <c r="S23" s="34">
        <v>45732</v>
      </c>
      <c r="T23" s="34">
        <v>45732</v>
      </c>
      <c r="U23" s="34">
        <v>45732</v>
      </c>
      <c r="V23" s="34">
        <v>45732</v>
      </c>
      <c r="W23" s="45">
        <f t="shared" si="7"/>
        <v>1</v>
      </c>
      <c r="X23" s="45">
        <f t="shared" si="3"/>
        <v>1</v>
      </c>
      <c r="Y23" s="45">
        <f t="shared" si="6"/>
        <v>1</v>
      </c>
      <c r="Z23" s="45">
        <f t="shared" si="8"/>
        <v>1</v>
      </c>
      <c r="AA23" s="431" t="s">
        <v>150</v>
      </c>
      <c r="AB23" s="11">
        <v>1</v>
      </c>
      <c r="AC23" s="7" t="s">
        <v>890</v>
      </c>
      <c r="AD23" s="7" t="s">
        <v>815</v>
      </c>
      <c r="AE23" s="11">
        <v>0</v>
      </c>
      <c r="AF23" s="11">
        <v>0</v>
      </c>
      <c r="AG23" s="432" t="e">
        <f t="shared" si="1"/>
        <v>#DIV/0!</v>
      </c>
      <c r="AH23" s="435" t="s">
        <v>57</v>
      </c>
      <c r="AI23" s="11"/>
      <c r="AJ23" s="7" t="s">
        <v>151</v>
      </c>
      <c r="AK23" s="7"/>
      <c r="AL23" s="11"/>
      <c r="AM23" s="11"/>
      <c r="AN23" s="11"/>
      <c r="AO23" s="11"/>
      <c r="AP23" s="11"/>
      <c r="AQ23" s="7"/>
      <c r="AR23" s="11"/>
      <c r="AS23" s="430"/>
    </row>
    <row r="24" spans="1:45" ht="15" customHeight="1">
      <c r="A24" s="7" t="s">
        <v>774</v>
      </c>
      <c r="B24" s="7" t="s">
        <v>891</v>
      </c>
      <c r="C24" s="7" t="s">
        <v>892</v>
      </c>
      <c r="D24" s="11" t="s">
        <v>143</v>
      </c>
      <c r="E24" s="75" t="s">
        <v>160</v>
      </c>
      <c r="F24" s="11">
        <v>14.7852</v>
      </c>
      <c r="G24" s="11">
        <v>120.476</v>
      </c>
      <c r="H24" s="11" t="str">
        <f t="shared" si="0"/>
        <v>14.7852,120.476</v>
      </c>
      <c r="I24" s="11" t="s">
        <v>72</v>
      </c>
      <c r="J24" s="11"/>
      <c r="K24" s="11" t="s">
        <v>69</v>
      </c>
      <c r="L24" s="11" t="s">
        <v>69</v>
      </c>
      <c r="M24" s="11" t="s">
        <v>81</v>
      </c>
      <c r="N24" s="11" t="s">
        <v>179</v>
      </c>
      <c r="O24" s="11"/>
      <c r="P24" s="11" t="s">
        <v>180</v>
      </c>
      <c r="Q24" s="11" t="s">
        <v>893</v>
      </c>
      <c r="R24" s="34">
        <v>45911</v>
      </c>
      <c r="S24" s="33">
        <v>45915</v>
      </c>
      <c r="T24" s="34"/>
      <c r="U24" s="34">
        <v>45917</v>
      </c>
      <c r="V24" s="34">
        <v>45917</v>
      </c>
      <c r="W24" s="45">
        <f t="shared" si="7"/>
        <v>2</v>
      </c>
      <c r="X24" s="45" t="str">
        <f t="shared" si="3"/>
        <v/>
      </c>
      <c r="Y24" s="45">
        <f t="shared" si="6"/>
        <v>2</v>
      </c>
      <c r="Z24" s="45">
        <f t="shared" si="8"/>
        <v>1</v>
      </c>
      <c r="AA24" s="11" t="s">
        <v>150</v>
      </c>
      <c r="AB24" s="11">
        <v>29</v>
      </c>
      <c r="AC24" s="7" t="s">
        <v>894</v>
      </c>
      <c r="AD24" s="7" t="s">
        <v>838</v>
      </c>
      <c r="AE24" s="82">
        <v>5138.99</v>
      </c>
      <c r="AF24" s="82">
        <v>41180.11</v>
      </c>
      <c r="AG24" s="432">
        <f t="shared" si="1"/>
        <v>0.1247930129375565</v>
      </c>
      <c r="AH24" s="11" t="s">
        <v>50</v>
      </c>
      <c r="AI24" s="11"/>
      <c r="AJ24" s="7" t="s">
        <v>151</v>
      </c>
      <c r="AK24" s="7"/>
      <c r="AL24" s="11"/>
      <c r="AM24" s="11"/>
      <c r="AN24" s="11"/>
      <c r="AO24" s="11"/>
      <c r="AP24" s="11"/>
      <c r="AQ24" s="7"/>
      <c r="AR24" s="11"/>
      <c r="AS24" s="11"/>
    </row>
    <row r="25" spans="1:45" ht="15" customHeight="1">
      <c r="A25" s="7" t="s">
        <v>774</v>
      </c>
      <c r="B25" s="7" t="s">
        <v>895</v>
      </c>
      <c r="C25" s="7" t="s">
        <v>896</v>
      </c>
      <c r="D25" s="11" t="s">
        <v>143</v>
      </c>
      <c r="E25" s="75" t="s">
        <v>144</v>
      </c>
      <c r="F25" s="11">
        <v>14.459136300000001</v>
      </c>
      <c r="G25" s="11">
        <v>120.5266262</v>
      </c>
      <c r="H25" s="11" t="str">
        <f t="shared" si="0"/>
        <v>14.4591363,120.5266262</v>
      </c>
      <c r="I25" s="11" t="s">
        <v>71</v>
      </c>
      <c r="J25" s="11">
        <v>1</v>
      </c>
      <c r="K25" s="11">
        <v>2018</v>
      </c>
      <c r="L25" s="11">
        <v>285000</v>
      </c>
      <c r="M25" s="11" t="s">
        <v>78</v>
      </c>
      <c r="N25" s="11" t="s">
        <v>19</v>
      </c>
      <c r="O25" s="11"/>
      <c r="P25" s="11" t="s">
        <v>180</v>
      </c>
      <c r="Q25" s="374" t="s">
        <v>897</v>
      </c>
      <c r="R25" s="34">
        <v>45806</v>
      </c>
      <c r="S25" s="34">
        <v>45810</v>
      </c>
      <c r="T25" s="34">
        <v>45810</v>
      </c>
      <c r="U25" s="34">
        <v>45810</v>
      </c>
      <c r="V25" s="34">
        <v>45812</v>
      </c>
      <c r="W25" s="45">
        <f t="shared" si="7"/>
        <v>2</v>
      </c>
      <c r="X25" s="45">
        <f t="shared" si="3"/>
        <v>1</v>
      </c>
      <c r="Y25" s="45">
        <f t="shared" si="6"/>
        <v>1</v>
      </c>
      <c r="Z25" s="45">
        <f t="shared" si="8"/>
        <v>2</v>
      </c>
      <c r="AA25" s="431" t="s">
        <v>150</v>
      </c>
      <c r="AB25" s="11">
        <v>1</v>
      </c>
      <c r="AC25" s="7" t="s">
        <v>890</v>
      </c>
      <c r="AD25" s="7" t="s">
        <v>838</v>
      </c>
      <c r="AE25" s="11">
        <v>1232</v>
      </c>
      <c r="AF25" s="11">
        <v>2973.65</v>
      </c>
      <c r="AG25" s="432">
        <f t="shared" si="1"/>
        <v>0.41430565130395303</v>
      </c>
      <c r="AH25" s="435" t="s">
        <v>50</v>
      </c>
      <c r="AI25" s="11"/>
      <c r="AJ25" s="7" t="s">
        <v>151</v>
      </c>
      <c r="AK25" s="7"/>
      <c r="AL25" s="11"/>
      <c r="AM25" s="11"/>
      <c r="AN25" s="11"/>
      <c r="AO25" s="11"/>
      <c r="AP25" s="11"/>
      <c r="AQ25" s="7"/>
      <c r="AR25" s="11"/>
      <c r="AS25" s="11"/>
    </row>
    <row r="26" spans="1:45">
      <c r="A26" s="7" t="s">
        <v>774</v>
      </c>
      <c r="B26" s="7" t="s">
        <v>895</v>
      </c>
      <c r="C26" s="7" t="s">
        <v>898</v>
      </c>
      <c r="D26" s="11" t="s">
        <v>143</v>
      </c>
      <c r="E26" s="75" t="s">
        <v>144</v>
      </c>
      <c r="F26" s="11">
        <v>14.490861600000001</v>
      </c>
      <c r="G26" s="11">
        <v>120.5811223</v>
      </c>
      <c r="H26" s="11" t="str">
        <f t="shared" si="0"/>
        <v>14.4908616,120.5811223</v>
      </c>
      <c r="I26" s="11" t="s">
        <v>71</v>
      </c>
      <c r="J26" s="11">
        <v>1</v>
      </c>
      <c r="K26" s="11">
        <v>2018</v>
      </c>
      <c r="L26" s="11">
        <v>285000</v>
      </c>
      <c r="M26" s="11" t="s">
        <v>78</v>
      </c>
      <c r="N26" s="11" t="s">
        <v>19</v>
      </c>
      <c r="O26" s="11"/>
      <c r="P26" s="11" t="s">
        <v>180</v>
      </c>
      <c r="Q26" s="374" t="s">
        <v>899</v>
      </c>
      <c r="R26" s="34">
        <v>45804</v>
      </c>
      <c r="S26" s="34">
        <v>45805</v>
      </c>
      <c r="T26" s="34">
        <v>45805</v>
      </c>
      <c r="U26" s="34">
        <v>45806</v>
      </c>
      <c r="V26" s="34">
        <v>45807</v>
      </c>
      <c r="W26" s="45">
        <f t="shared" si="7"/>
        <v>1</v>
      </c>
      <c r="X26" s="45">
        <f t="shared" si="3"/>
        <v>1</v>
      </c>
      <c r="Y26" s="45">
        <f t="shared" si="6"/>
        <v>1</v>
      </c>
      <c r="Z26" s="45">
        <f t="shared" si="8"/>
        <v>1</v>
      </c>
      <c r="AA26" s="434" t="s">
        <v>150</v>
      </c>
      <c r="AB26" s="11">
        <v>1</v>
      </c>
      <c r="AC26" s="7" t="s">
        <v>890</v>
      </c>
      <c r="AD26" s="7" t="s">
        <v>838</v>
      </c>
      <c r="AE26" s="11">
        <v>152</v>
      </c>
      <c r="AF26" s="11">
        <v>624.13</v>
      </c>
      <c r="AG26" s="432">
        <f t="shared" si="1"/>
        <v>0.24353900629676509</v>
      </c>
      <c r="AH26" s="435" t="s">
        <v>50</v>
      </c>
      <c r="AI26" s="11"/>
      <c r="AJ26" s="7" t="s">
        <v>151</v>
      </c>
      <c r="AK26" s="7"/>
      <c r="AL26" s="11"/>
      <c r="AM26" s="11"/>
      <c r="AN26" s="11"/>
      <c r="AO26" s="11"/>
      <c r="AP26" s="11"/>
      <c r="AQ26" s="7"/>
      <c r="AR26" s="11"/>
      <c r="AS26" s="11"/>
    </row>
    <row r="27" spans="1:45" ht="15" customHeight="1">
      <c r="A27" s="7" t="s">
        <v>774</v>
      </c>
      <c r="B27" s="7" t="s">
        <v>895</v>
      </c>
      <c r="C27" s="7" t="s">
        <v>900</v>
      </c>
      <c r="D27" s="11" t="s">
        <v>143</v>
      </c>
      <c r="E27" s="75" t="s">
        <v>144</v>
      </c>
      <c r="F27" s="11">
        <v>14.4421395</v>
      </c>
      <c r="G27" s="11">
        <v>120.46040720000001</v>
      </c>
      <c r="H27" s="11" t="str">
        <f t="shared" si="0"/>
        <v>14.4421395,120.4604072</v>
      </c>
      <c r="I27" s="11" t="s">
        <v>71</v>
      </c>
      <c r="J27" s="11">
        <v>1</v>
      </c>
      <c r="K27" s="11">
        <v>2018</v>
      </c>
      <c r="L27" s="11">
        <v>285000</v>
      </c>
      <c r="M27" s="11" t="s">
        <v>78</v>
      </c>
      <c r="N27" s="11" t="s">
        <v>19</v>
      </c>
      <c r="O27" s="11"/>
      <c r="P27" s="11" t="s">
        <v>180</v>
      </c>
      <c r="Q27" s="374" t="s">
        <v>901</v>
      </c>
      <c r="R27" s="34">
        <v>45806</v>
      </c>
      <c r="S27" s="34">
        <v>45810</v>
      </c>
      <c r="T27" s="34">
        <v>45810</v>
      </c>
      <c r="U27" s="34">
        <v>45810</v>
      </c>
      <c r="V27" s="34">
        <v>45812</v>
      </c>
      <c r="W27" s="45">
        <f t="shared" si="7"/>
        <v>2</v>
      </c>
      <c r="X27" s="45">
        <f t="shared" si="3"/>
        <v>1</v>
      </c>
      <c r="Y27" s="45">
        <f t="shared" si="6"/>
        <v>1</v>
      </c>
      <c r="Z27" s="45">
        <f t="shared" si="8"/>
        <v>2</v>
      </c>
      <c r="AA27" s="434" t="s">
        <v>150</v>
      </c>
      <c r="AB27" s="11">
        <v>1</v>
      </c>
      <c r="AC27" s="7" t="s">
        <v>890</v>
      </c>
      <c r="AD27" s="7" t="s">
        <v>838</v>
      </c>
      <c r="AE27" s="11">
        <v>21</v>
      </c>
      <c r="AF27" s="11">
        <v>3955</v>
      </c>
      <c r="AG27" s="432">
        <f t="shared" si="1"/>
        <v>5.3097345132743362E-3</v>
      </c>
      <c r="AH27" s="435" t="s">
        <v>50</v>
      </c>
      <c r="AI27" s="11"/>
      <c r="AJ27" s="7" t="s">
        <v>151</v>
      </c>
      <c r="AK27" s="7"/>
      <c r="AL27" s="11"/>
      <c r="AM27" s="11"/>
      <c r="AN27" s="11"/>
      <c r="AO27" s="11"/>
      <c r="AP27" s="11"/>
      <c r="AQ27" s="7"/>
      <c r="AR27" s="11"/>
      <c r="AS27" s="11"/>
    </row>
    <row r="28" spans="1:45" ht="15" customHeight="1">
      <c r="A28" s="7" t="s">
        <v>774</v>
      </c>
      <c r="B28" s="7" t="s">
        <v>848</v>
      </c>
      <c r="C28" s="7" t="s">
        <v>902</v>
      </c>
      <c r="D28" s="11" t="s">
        <v>143</v>
      </c>
      <c r="E28" s="75" t="s">
        <v>144</v>
      </c>
      <c r="F28" s="11">
        <v>14.516517</v>
      </c>
      <c r="G28" s="11">
        <v>120.386411</v>
      </c>
      <c r="H28" s="11" t="str">
        <f t="shared" si="0"/>
        <v>14.516517,120.386411</v>
      </c>
      <c r="I28" s="11" t="s">
        <v>71</v>
      </c>
      <c r="J28" s="11">
        <v>1</v>
      </c>
      <c r="K28" s="11">
        <v>2018</v>
      </c>
      <c r="L28" s="11">
        <v>285000</v>
      </c>
      <c r="M28" s="11" t="s">
        <v>79</v>
      </c>
      <c r="N28" s="11" t="s">
        <v>19</v>
      </c>
      <c r="O28" s="11"/>
      <c r="P28" s="11" t="s">
        <v>180</v>
      </c>
      <c r="Q28" s="11" t="s">
        <v>903</v>
      </c>
      <c r="R28" s="34">
        <v>45841</v>
      </c>
      <c r="S28" s="34">
        <v>45845</v>
      </c>
      <c r="T28" s="34"/>
      <c r="U28" s="34">
        <v>45845</v>
      </c>
      <c r="V28" s="34">
        <v>45847</v>
      </c>
      <c r="W28" s="45">
        <f t="shared" si="7"/>
        <v>2</v>
      </c>
      <c r="X28" s="45" t="str">
        <f t="shared" si="3"/>
        <v/>
      </c>
      <c r="Y28" s="45">
        <f t="shared" si="6"/>
        <v>1</v>
      </c>
      <c r="Z28" s="45">
        <f t="shared" si="8"/>
        <v>2</v>
      </c>
      <c r="AA28" s="11" t="s">
        <v>150</v>
      </c>
      <c r="AB28" s="11">
        <v>1</v>
      </c>
      <c r="AC28" s="7" t="s">
        <v>815</v>
      </c>
      <c r="AD28" s="7" t="s">
        <v>904</v>
      </c>
      <c r="AE28" s="11">
        <v>10</v>
      </c>
      <c r="AF28" s="11">
        <v>61.78</v>
      </c>
      <c r="AG28" s="432">
        <f t="shared" si="1"/>
        <v>0.16186468112657817</v>
      </c>
      <c r="AH28" s="435" t="s">
        <v>847</v>
      </c>
      <c r="AI28" s="11"/>
      <c r="AJ28" s="7"/>
      <c r="AK28" s="7"/>
      <c r="AL28" s="11"/>
      <c r="AM28" s="11"/>
      <c r="AN28" s="11"/>
      <c r="AO28" s="11"/>
      <c r="AP28" s="11"/>
      <c r="AQ28" s="7"/>
      <c r="AR28" s="11"/>
      <c r="AS28" s="11"/>
    </row>
    <row r="29" spans="1:45" ht="15" customHeight="1">
      <c r="A29" s="7" t="s">
        <v>774</v>
      </c>
      <c r="B29" s="7" t="s">
        <v>895</v>
      </c>
      <c r="C29" s="7" t="s">
        <v>905</v>
      </c>
      <c r="D29" s="11" t="s">
        <v>143</v>
      </c>
      <c r="E29" s="75" t="s">
        <v>144</v>
      </c>
      <c r="F29" s="11">
        <v>14.42460374</v>
      </c>
      <c r="G29" s="11">
        <v>120.48033257</v>
      </c>
      <c r="H29" s="436" t="s">
        <v>906</v>
      </c>
      <c r="I29" s="11" t="s">
        <v>72</v>
      </c>
      <c r="J29" s="11"/>
      <c r="K29" s="11"/>
      <c r="L29" s="11"/>
      <c r="M29" s="11" t="s">
        <v>78</v>
      </c>
      <c r="N29" s="11" t="s">
        <v>19</v>
      </c>
      <c r="O29" s="11"/>
      <c r="P29" s="11" t="s">
        <v>180</v>
      </c>
      <c r="Q29" s="374" t="s">
        <v>907</v>
      </c>
      <c r="R29" s="34">
        <v>45807</v>
      </c>
      <c r="S29" s="34">
        <v>45810</v>
      </c>
      <c r="T29" s="34">
        <v>45810</v>
      </c>
      <c r="U29" s="34">
        <v>45810</v>
      </c>
      <c r="V29" s="34">
        <v>45812</v>
      </c>
      <c r="W29" s="45">
        <f t="shared" si="7"/>
        <v>1</v>
      </c>
      <c r="X29" s="45">
        <f t="shared" si="3"/>
        <v>1</v>
      </c>
      <c r="Y29" s="45">
        <f t="shared" si="6"/>
        <v>1</v>
      </c>
      <c r="Z29" s="45">
        <f t="shared" si="8"/>
        <v>2</v>
      </c>
      <c r="AA29" s="11" t="s">
        <v>150</v>
      </c>
      <c r="AB29" s="11">
        <v>14</v>
      </c>
      <c r="AC29" s="7" t="s">
        <v>908</v>
      </c>
      <c r="AD29" s="7" t="s">
        <v>838</v>
      </c>
      <c r="AE29" s="11">
        <v>183</v>
      </c>
      <c r="AF29" s="82">
        <v>26853.84</v>
      </c>
      <c r="AG29" s="432">
        <f t="shared" si="1"/>
        <v>6.8146678463862154E-3</v>
      </c>
      <c r="AH29" s="11" t="s">
        <v>50</v>
      </c>
      <c r="AI29" s="11"/>
      <c r="AJ29" s="7" t="s">
        <v>151</v>
      </c>
      <c r="AK29" s="7"/>
      <c r="AL29" s="11"/>
      <c r="AM29" s="11"/>
      <c r="AN29" s="11"/>
      <c r="AO29" s="11"/>
      <c r="AP29" s="11"/>
      <c r="AQ29" s="7"/>
      <c r="AR29" s="11"/>
      <c r="AS29" s="11"/>
    </row>
    <row r="30" spans="1:45" ht="15" customHeight="1">
      <c r="A30" s="7" t="s">
        <v>774</v>
      </c>
      <c r="B30" s="7" t="s">
        <v>848</v>
      </c>
      <c r="C30" s="7" t="s">
        <v>909</v>
      </c>
      <c r="D30" s="11" t="s">
        <v>143</v>
      </c>
      <c r="E30" s="75" t="s">
        <v>144</v>
      </c>
      <c r="F30" s="11">
        <v>14.535556</v>
      </c>
      <c r="G30" s="11">
        <v>120.39277800000001</v>
      </c>
      <c r="H30" s="11" t="str">
        <f t="shared" ref="H30:H53" si="9">CONCATENATE(F30,",",G30)</f>
        <v>14.535556,120.392778</v>
      </c>
      <c r="I30" s="11" t="s">
        <v>71</v>
      </c>
      <c r="J30" s="11">
        <v>1</v>
      </c>
      <c r="K30" s="11">
        <v>2018</v>
      </c>
      <c r="L30" s="11">
        <v>285000</v>
      </c>
      <c r="M30" s="11" t="s">
        <v>79</v>
      </c>
      <c r="N30" s="11" t="s">
        <v>19</v>
      </c>
      <c r="O30" s="11"/>
      <c r="P30" s="11" t="s">
        <v>180</v>
      </c>
      <c r="Q30" s="11" t="s">
        <v>910</v>
      </c>
      <c r="R30" s="34">
        <v>45841</v>
      </c>
      <c r="S30" s="34">
        <v>45845</v>
      </c>
      <c r="T30" s="34"/>
      <c r="U30" s="34">
        <v>45845</v>
      </c>
      <c r="V30" s="34">
        <v>45847</v>
      </c>
      <c r="W30" s="45">
        <f t="shared" si="7"/>
        <v>2</v>
      </c>
      <c r="X30" s="45" t="str">
        <f t="shared" si="3"/>
        <v/>
      </c>
      <c r="Y30" s="45">
        <f t="shared" si="6"/>
        <v>1</v>
      </c>
      <c r="Z30" s="45">
        <f t="shared" si="8"/>
        <v>2</v>
      </c>
      <c r="AA30" s="11" t="s">
        <v>150</v>
      </c>
      <c r="AB30" s="11">
        <v>1</v>
      </c>
      <c r="AC30" s="7" t="s">
        <v>911</v>
      </c>
      <c r="AD30" s="7" t="s">
        <v>904</v>
      </c>
      <c r="AE30" s="11">
        <v>20</v>
      </c>
      <c r="AF30" s="11">
        <v>87.26</v>
      </c>
      <c r="AG30" s="432">
        <f t="shared" si="1"/>
        <v>0.22920009168003666</v>
      </c>
      <c r="AH30" s="435" t="s">
        <v>847</v>
      </c>
      <c r="AI30" s="11"/>
      <c r="AJ30" s="7" t="s">
        <v>809</v>
      </c>
      <c r="AK30" s="7"/>
      <c r="AL30" s="11" t="s">
        <v>56</v>
      </c>
      <c r="AM30" s="11"/>
      <c r="AN30" s="11"/>
      <c r="AO30" s="11"/>
      <c r="AP30" s="11"/>
      <c r="AQ30" s="7"/>
      <c r="AR30" s="11"/>
      <c r="AS30" s="11"/>
    </row>
    <row r="31" spans="1:45" ht="15" customHeight="1">
      <c r="A31" s="7" t="s">
        <v>774</v>
      </c>
      <c r="B31" s="7" t="s">
        <v>848</v>
      </c>
      <c r="C31" s="7" t="s">
        <v>912</v>
      </c>
      <c r="D31" s="11" t="s">
        <v>143</v>
      </c>
      <c r="E31" s="75" t="s">
        <v>144</v>
      </c>
      <c r="F31" s="11">
        <v>14.481149</v>
      </c>
      <c r="G31" s="11">
        <v>120.390354</v>
      </c>
      <c r="H31" s="11" t="str">
        <f t="shared" si="9"/>
        <v>14.481149,120.390354</v>
      </c>
      <c r="I31" s="11" t="s">
        <v>71</v>
      </c>
      <c r="J31" s="11">
        <v>1</v>
      </c>
      <c r="K31" s="11">
        <v>2018</v>
      </c>
      <c r="L31" s="11">
        <v>427500</v>
      </c>
      <c r="M31" s="11" t="s">
        <v>83</v>
      </c>
      <c r="N31" s="11" t="s">
        <v>19</v>
      </c>
      <c r="O31" s="11"/>
      <c r="P31" s="11" t="s">
        <v>180</v>
      </c>
      <c r="Q31" s="11" t="s">
        <v>913</v>
      </c>
      <c r="R31" s="34">
        <v>45958</v>
      </c>
      <c r="S31" s="34">
        <v>45964</v>
      </c>
      <c r="T31" s="34"/>
      <c r="U31" s="34">
        <v>45964</v>
      </c>
      <c r="V31" s="34">
        <v>45964</v>
      </c>
      <c r="W31" s="45">
        <f t="shared" si="7"/>
        <v>4</v>
      </c>
      <c r="X31" s="45" t="str">
        <f t="shared" si="3"/>
        <v/>
      </c>
      <c r="Y31" s="45">
        <f t="shared" si="6"/>
        <v>1</v>
      </c>
      <c r="Z31" s="45">
        <f t="shared" si="8"/>
        <v>1</v>
      </c>
      <c r="AA31" s="11" t="s">
        <v>150</v>
      </c>
      <c r="AB31" s="11">
        <v>1</v>
      </c>
      <c r="AC31" s="7" t="s">
        <v>837</v>
      </c>
      <c r="AD31" s="7" t="s">
        <v>838</v>
      </c>
      <c r="AE31" s="11">
        <v>18</v>
      </c>
      <c r="AF31" s="11">
        <v>691.83</v>
      </c>
      <c r="AG31" s="432">
        <f t="shared" si="1"/>
        <v>2.6017952387147131E-2</v>
      </c>
      <c r="AH31" s="11" t="s">
        <v>50</v>
      </c>
      <c r="AI31" s="11"/>
      <c r="AJ31" s="7" t="s">
        <v>151</v>
      </c>
      <c r="AK31" s="7"/>
      <c r="AL31" s="11" t="s">
        <v>56</v>
      </c>
      <c r="AM31" s="11"/>
      <c r="AN31" s="11"/>
      <c r="AO31" s="11"/>
      <c r="AP31" s="11"/>
      <c r="AQ31" s="7"/>
      <c r="AR31" s="11"/>
      <c r="AS31" s="11"/>
    </row>
    <row r="32" spans="1:45" ht="27.75" customHeight="1">
      <c r="A32" s="7" t="s">
        <v>774</v>
      </c>
      <c r="B32" s="7" t="s">
        <v>848</v>
      </c>
      <c r="C32" s="7" t="s">
        <v>914</v>
      </c>
      <c r="D32" s="11" t="s">
        <v>143</v>
      </c>
      <c r="E32" s="75" t="s">
        <v>144</v>
      </c>
      <c r="F32" s="11">
        <v>14.628316999999999</v>
      </c>
      <c r="G32" s="11">
        <v>120.439263</v>
      </c>
      <c r="H32" s="11" t="str">
        <f t="shared" si="9"/>
        <v>14.628317,120.439263</v>
      </c>
      <c r="I32" s="11" t="s">
        <v>71</v>
      </c>
      <c r="J32" s="11">
        <v>1</v>
      </c>
      <c r="K32" s="11">
        <v>2018</v>
      </c>
      <c r="L32" s="11">
        <v>427500</v>
      </c>
      <c r="M32" s="11" t="s">
        <v>81</v>
      </c>
      <c r="N32" s="11" t="s">
        <v>19</v>
      </c>
      <c r="O32" s="11"/>
      <c r="P32" s="11" t="s">
        <v>180</v>
      </c>
      <c r="Q32" s="11" t="s">
        <v>915</v>
      </c>
      <c r="R32" s="34">
        <v>45902</v>
      </c>
      <c r="S32" s="34">
        <v>45908</v>
      </c>
      <c r="T32" s="34"/>
      <c r="U32" s="34">
        <v>45909</v>
      </c>
      <c r="V32" s="34">
        <v>45909</v>
      </c>
      <c r="W32" s="45">
        <f t="shared" si="7"/>
        <v>4</v>
      </c>
      <c r="X32" s="45" t="str">
        <f t="shared" si="3"/>
        <v/>
      </c>
      <c r="Y32" s="45">
        <f t="shared" si="6"/>
        <v>1</v>
      </c>
      <c r="Z32" s="45">
        <f t="shared" si="8"/>
        <v>1</v>
      </c>
      <c r="AA32" s="11" t="s">
        <v>150</v>
      </c>
      <c r="AB32" s="11">
        <v>1</v>
      </c>
      <c r="AC32" s="7" t="s">
        <v>871</v>
      </c>
      <c r="AD32" s="7" t="s">
        <v>916</v>
      </c>
      <c r="AE32" s="11">
        <v>129</v>
      </c>
      <c r="AF32" s="11">
        <v>179.45</v>
      </c>
      <c r="AG32" s="432">
        <f t="shared" si="1"/>
        <v>0.71886319308999724</v>
      </c>
      <c r="AH32" s="435" t="s">
        <v>50</v>
      </c>
      <c r="AI32" s="11"/>
      <c r="AJ32" s="7"/>
      <c r="AK32" s="7"/>
      <c r="AL32" s="11"/>
      <c r="AM32" s="11"/>
      <c r="AN32" s="11"/>
      <c r="AO32" s="11"/>
      <c r="AP32" s="11"/>
      <c r="AQ32" s="7"/>
      <c r="AR32" s="11"/>
      <c r="AS32" s="11"/>
    </row>
    <row r="33" spans="1:45" ht="24" customHeight="1">
      <c r="A33" s="7" t="s">
        <v>774</v>
      </c>
      <c r="B33" s="7" t="s">
        <v>917</v>
      </c>
      <c r="C33" s="7" t="s">
        <v>918</v>
      </c>
      <c r="D33" s="11" t="s">
        <v>143</v>
      </c>
      <c r="E33" s="9" t="s">
        <v>160</v>
      </c>
      <c r="F33" s="11">
        <v>14.772728000000001</v>
      </c>
      <c r="G33" s="11">
        <v>120.517353</v>
      </c>
      <c r="H33" s="11" t="str">
        <f t="shared" si="9"/>
        <v>14.772728,120.517353</v>
      </c>
      <c r="I33" s="11" t="s">
        <v>70</v>
      </c>
      <c r="J33" s="11">
        <v>2</v>
      </c>
      <c r="K33" s="11" t="s">
        <v>919</v>
      </c>
      <c r="L33" s="11" t="s">
        <v>920</v>
      </c>
      <c r="M33" s="11" t="s">
        <v>74</v>
      </c>
      <c r="N33" s="11" t="s">
        <v>179</v>
      </c>
      <c r="O33" s="11"/>
      <c r="P33" s="11" t="s">
        <v>180</v>
      </c>
      <c r="Q33" s="374" t="s">
        <v>921</v>
      </c>
      <c r="R33" s="34">
        <v>45692</v>
      </c>
      <c r="S33" s="34">
        <v>45694</v>
      </c>
      <c r="T33" s="34"/>
      <c r="U33" s="34">
        <v>45697</v>
      </c>
      <c r="V33" s="34">
        <v>45697</v>
      </c>
      <c r="W33" s="45">
        <f t="shared" si="7"/>
        <v>2</v>
      </c>
      <c r="X33" s="45" t="str">
        <f t="shared" si="3"/>
        <v/>
      </c>
      <c r="Y33" s="45">
        <f t="shared" si="6"/>
        <v>1</v>
      </c>
      <c r="Z33" s="45">
        <f t="shared" si="8"/>
        <v>1</v>
      </c>
      <c r="AA33" s="431" t="s">
        <v>150</v>
      </c>
      <c r="AB33" s="11">
        <v>14</v>
      </c>
      <c r="AC33" s="7" t="s">
        <v>922</v>
      </c>
      <c r="AD33" s="7" t="s">
        <v>916</v>
      </c>
      <c r="AE33" s="11">
        <v>255.19</v>
      </c>
      <c r="AF33" s="82">
        <v>12065.46</v>
      </c>
      <c r="AG33" s="432">
        <f t="shared" si="1"/>
        <v>2.1150457587195186E-2</v>
      </c>
      <c r="AH33" s="435" t="s">
        <v>50</v>
      </c>
      <c r="AI33" s="11"/>
      <c r="AJ33" s="7" t="s">
        <v>151</v>
      </c>
      <c r="AK33" s="7"/>
      <c r="AL33" s="11"/>
      <c r="AM33" s="11"/>
      <c r="AN33" s="11"/>
      <c r="AO33" s="11"/>
      <c r="AP33" s="11"/>
      <c r="AQ33" s="7"/>
      <c r="AR33" s="11"/>
      <c r="AS33" s="430"/>
    </row>
    <row r="34" spans="1:45" ht="126" customHeight="1">
      <c r="A34" s="7" t="s">
        <v>775</v>
      </c>
      <c r="B34" s="7" t="s">
        <v>848</v>
      </c>
      <c r="C34" s="7" t="s">
        <v>923</v>
      </c>
      <c r="D34" s="11" t="s">
        <v>143</v>
      </c>
      <c r="E34" s="75" t="s">
        <v>144</v>
      </c>
      <c r="F34" s="11">
        <v>14.610300000000001</v>
      </c>
      <c r="G34" s="11">
        <v>120.4074</v>
      </c>
      <c r="H34" s="11" t="str">
        <f t="shared" si="9"/>
        <v>14.6103,120.4074</v>
      </c>
      <c r="I34" s="11" t="s">
        <v>70</v>
      </c>
      <c r="J34" s="11">
        <v>1</v>
      </c>
      <c r="K34" s="11">
        <v>2016</v>
      </c>
      <c r="L34" s="11">
        <v>270000</v>
      </c>
      <c r="M34" s="11" t="s">
        <v>77</v>
      </c>
      <c r="N34" s="11" t="s">
        <v>19</v>
      </c>
      <c r="O34" s="11"/>
      <c r="P34" s="11" t="s">
        <v>180</v>
      </c>
      <c r="Q34" s="374" t="s">
        <v>924</v>
      </c>
      <c r="R34" s="34">
        <v>45790</v>
      </c>
      <c r="S34" s="34">
        <v>45796</v>
      </c>
      <c r="T34" s="34">
        <v>45796</v>
      </c>
      <c r="U34" s="34">
        <v>45796</v>
      </c>
      <c r="V34" s="34">
        <v>45796</v>
      </c>
      <c r="W34" s="45">
        <f t="shared" si="7"/>
        <v>4</v>
      </c>
      <c r="X34" s="45">
        <f t="shared" si="3"/>
        <v>1</v>
      </c>
      <c r="Y34" s="45">
        <f t="shared" si="6"/>
        <v>1</v>
      </c>
      <c r="Z34" s="45">
        <f t="shared" si="8"/>
        <v>1</v>
      </c>
      <c r="AA34" s="434" t="s">
        <v>150</v>
      </c>
      <c r="AB34" s="11">
        <v>14</v>
      </c>
      <c r="AC34" s="7" t="s">
        <v>925</v>
      </c>
      <c r="AD34" s="7" t="s">
        <v>851</v>
      </c>
      <c r="AE34" s="11">
        <v>390</v>
      </c>
      <c r="AF34" s="82">
        <v>18507.32</v>
      </c>
      <c r="AG34" s="432">
        <f t="shared" ref="AG34:AG65" si="10">(AE34/AF34)</f>
        <v>2.1072743109213005E-2</v>
      </c>
      <c r="AH34" s="435" t="s">
        <v>50</v>
      </c>
      <c r="AI34" s="11"/>
      <c r="AJ34" s="7"/>
      <c r="AK34" s="7"/>
      <c r="AL34" s="11"/>
      <c r="AM34" s="11"/>
      <c r="AN34" s="11"/>
      <c r="AO34" s="11"/>
      <c r="AP34" s="11"/>
      <c r="AQ34" s="7"/>
      <c r="AR34" s="11"/>
      <c r="AS34" s="11"/>
    </row>
    <row r="35" spans="1:45" ht="15" customHeight="1">
      <c r="A35" s="7" t="s">
        <v>775</v>
      </c>
      <c r="B35" s="7" t="s">
        <v>926</v>
      </c>
      <c r="C35" s="7" t="s">
        <v>927</v>
      </c>
      <c r="D35" s="11" t="s">
        <v>143</v>
      </c>
      <c r="E35" s="75" t="s">
        <v>144</v>
      </c>
      <c r="F35" s="11">
        <v>14.915296</v>
      </c>
      <c r="G35" s="11">
        <v>120.45313299999999</v>
      </c>
      <c r="H35" s="11" t="str">
        <f t="shared" si="9"/>
        <v>14.915296,120.453133</v>
      </c>
      <c r="I35" s="11" t="s">
        <v>70</v>
      </c>
      <c r="J35" s="11">
        <v>1</v>
      </c>
      <c r="K35" s="11">
        <v>2015</v>
      </c>
      <c r="L35" s="11">
        <v>500000</v>
      </c>
      <c r="M35" s="11" t="s">
        <v>74</v>
      </c>
      <c r="N35" s="11" t="s">
        <v>179</v>
      </c>
      <c r="O35" s="11"/>
      <c r="P35" s="11" t="s">
        <v>180</v>
      </c>
      <c r="Q35" s="375" t="s">
        <v>928</v>
      </c>
      <c r="R35" s="34">
        <v>45707</v>
      </c>
      <c r="S35" s="34">
        <v>45707</v>
      </c>
      <c r="T35" s="34">
        <v>45707</v>
      </c>
      <c r="U35" s="34">
        <v>45707</v>
      </c>
      <c r="V35" s="34">
        <v>45707</v>
      </c>
      <c r="W35" s="45">
        <f t="shared" si="7"/>
        <v>1</v>
      </c>
      <c r="X35" s="45">
        <f t="shared" si="3"/>
        <v>1</v>
      </c>
      <c r="Y35" s="45">
        <f t="shared" si="6"/>
        <v>1</v>
      </c>
      <c r="Z35" s="45">
        <f t="shared" si="8"/>
        <v>1</v>
      </c>
      <c r="AA35" s="434" t="s">
        <v>150</v>
      </c>
      <c r="AB35" s="11">
        <v>46</v>
      </c>
      <c r="AC35" s="7" t="s">
        <v>929</v>
      </c>
      <c r="AD35" s="7" t="s">
        <v>916</v>
      </c>
      <c r="AE35" s="11">
        <v>484.08</v>
      </c>
      <c r="AF35" s="82">
        <v>37964.800000000003</v>
      </c>
      <c r="AG35" s="432">
        <f t="shared" si="10"/>
        <v>1.2750758597437625E-2</v>
      </c>
      <c r="AH35" s="435" t="s">
        <v>50</v>
      </c>
      <c r="AI35" s="11"/>
      <c r="AJ35" s="7" t="s">
        <v>151</v>
      </c>
      <c r="AK35" s="7"/>
      <c r="AL35" s="532">
        <v>45936</v>
      </c>
      <c r="AM35" s="11"/>
      <c r="AN35" s="11"/>
      <c r="AO35" s="11"/>
      <c r="AP35" s="11"/>
      <c r="AQ35" s="7"/>
      <c r="AR35" s="11"/>
      <c r="AS35" s="430"/>
    </row>
    <row r="36" spans="1:45" ht="114" customHeight="1">
      <c r="A36" s="7" t="s">
        <v>774</v>
      </c>
      <c r="B36" s="7" t="s">
        <v>895</v>
      </c>
      <c r="C36" s="7" t="s">
        <v>930</v>
      </c>
      <c r="D36" s="11" t="s">
        <v>143</v>
      </c>
      <c r="E36" s="75" t="s">
        <v>144</v>
      </c>
      <c r="F36" s="11">
        <v>14.436956</v>
      </c>
      <c r="G36" s="11">
        <v>120.524747</v>
      </c>
      <c r="H36" s="11" t="str">
        <f t="shared" si="9"/>
        <v>14.436956,120.524747</v>
      </c>
      <c r="I36" s="11" t="s">
        <v>71</v>
      </c>
      <c r="J36" s="11">
        <v>1</v>
      </c>
      <c r="K36" s="11">
        <v>2018</v>
      </c>
      <c r="L36" s="11">
        <v>427500</v>
      </c>
      <c r="M36" s="11" t="s">
        <v>82</v>
      </c>
      <c r="N36" s="11" t="s">
        <v>19</v>
      </c>
      <c r="O36" s="11"/>
      <c r="P36" s="11" t="s">
        <v>180</v>
      </c>
      <c r="Q36" s="11" t="s">
        <v>931</v>
      </c>
      <c r="R36" s="34">
        <v>45940</v>
      </c>
      <c r="S36" s="34">
        <v>45940</v>
      </c>
      <c r="T36" s="34"/>
      <c r="U36" s="34">
        <v>45943</v>
      </c>
      <c r="V36" s="34">
        <v>45944</v>
      </c>
      <c r="W36" s="45">
        <f t="shared" si="7"/>
        <v>1</v>
      </c>
      <c r="X36" s="45" t="str">
        <f t="shared" si="3"/>
        <v/>
      </c>
      <c r="Y36" s="45">
        <f t="shared" si="6"/>
        <v>1</v>
      </c>
      <c r="Z36" s="45">
        <f t="shared" si="8"/>
        <v>1</v>
      </c>
      <c r="AA36" s="11" t="s">
        <v>150</v>
      </c>
      <c r="AB36" s="11">
        <v>1</v>
      </c>
      <c r="AC36" s="7" t="s">
        <v>890</v>
      </c>
      <c r="AD36" s="7" t="s">
        <v>838</v>
      </c>
      <c r="AE36" s="11">
        <v>225</v>
      </c>
      <c r="AF36" s="11">
        <v>1792.88</v>
      </c>
      <c r="AG36" s="432">
        <f t="shared" si="10"/>
        <v>0.12549640801392173</v>
      </c>
      <c r="AH36" s="435" t="s">
        <v>50</v>
      </c>
      <c r="AI36" s="11"/>
      <c r="AJ36" s="7" t="s">
        <v>151</v>
      </c>
      <c r="AK36" s="7"/>
      <c r="AL36" s="11"/>
      <c r="AM36" s="11"/>
      <c r="AN36" s="11"/>
      <c r="AO36" s="11"/>
      <c r="AP36" s="11"/>
      <c r="AQ36" s="7"/>
      <c r="AR36" s="11"/>
      <c r="AS36" s="11"/>
    </row>
    <row r="37" spans="1:45">
      <c r="A37" s="7" t="s">
        <v>774</v>
      </c>
      <c r="B37" s="7" t="s">
        <v>895</v>
      </c>
      <c r="C37" s="7" t="s">
        <v>932</v>
      </c>
      <c r="D37" s="11" t="s">
        <v>143</v>
      </c>
      <c r="E37" s="75" t="s">
        <v>144</v>
      </c>
      <c r="F37" s="11">
        <v>14.453206</v>
      </c>
      <c r="G37" s="11">
        <v>120.494342</v>
      </c>
      <c r="H37" s="11" t="str">
        <f t="shared" si="9"/>
        <v>14.453206,120.494342</v>
      </c>
      <c r="I37" s="11" t="s">
        <v>71</v>
      </c>
      <c r="J37" s="11">
        <v>1</v>
      </c>
      <c r="K37" s="11">
        <v>2018</v>
      </c>
      <c r="L37" s="11">
        <v>427500</v>
      </c>
      <c r="M37" s="11" t="s">
        <v>81</v>
      </c>
      <c r="N37" s="11" t="s">
        <v>19</v>
      </c>
      <c r="O37" s="11"/>
      <c r="P37" s="11" t="s">
        <v>180</v>
      </c>
      <c r="Q37" s="11" t="s">
        <v>933</v>
      </c>
      <c r="R37" s="34">
        <v>45909</v>
      </c>
      <c r="S37" s="33">
        <v>45915</v>
      </c>
      <c r="T37" s="33"/>
      <c r="U37" s="33">
        <v>45915</v>
      </c>
      <c r="V37" s="33">
        <v>45917</v>
      </c>
      <c r="W37" s="45">
        <f t="shared" si="7"/>
        <v>4</v>
      </c>
      <c r="X37" s="45" t="str">
        <f t="shared" si="3"/>
        <v/>
      </c>
      <c r="Y37" s="45">
        <f t="shared" si="6"/>
        <v>1</v>
      </c>
      <c r="Z37" s="45">
        <f t="shared" si="8"/>
        <v>2</v>
      </c>
      <c r="AA37" s="11" t="s">
        <v>150</v>
      </c>
      <c r="AB37" s="11">
        <v>1</v>
      </c>
      <c r="AC37" s="7" t="s">
        <v>890</v>
      </c>
      <c r="AD37" s="7" t="s">
        <v>838</v>
      </c>
      <c r="AE37" s="11">
        <v>45</v>
      </c>
      <c r="AF37" s="11">
        <v>824.81</v>
      </c>
      <c r="AG37" s="432">
        <f t="shared" si="10"/>
        <v>5.4558019422654917E-2</v>
      </c>
      <c r="AH37" s="435" t="s">
        <v>50</v>
      </c>
      <c r="AI37" s="11"/>
      <c r="AJ37" s="7" t="s">
        <v>151</v>
      </c>
      <c r="AK37" s="7"/>
      <c r="AL37" s="11"/>
      <c r="AM37" s="11"/>
      <c r="AN37" s="11"/>
      <c r="AO37" s="11"/>
      <c r="AP37" s="11"/>
      <c r="AQ37" s="7"/>
      <c r="AR37" s="11"/>
      <c r="AS37" s="11"/>
    </row>
    <row r="38" spans="1:45" ht="15" customHeight="1">
      <c r="A38" s="7" t="s">
        <v>776</v>
      </c>
      <c r="B38" s="7" t="s">
        <v>934</v>
      </c>
      <c r="C38" s="7" t="s">
        <v>935</v>
      </c>
      <c r="D38" s="11" t="s">
        <v>143</v>
      </c>
      <c r="E38" s="75" t="s">
        <v>599</v>
      </c>
      <c r="F38" s="11">
        <v>14.9374</v>
      </c>
      <c r="G38" s="11">
        <v>120.974</v>
      </c>
      <c r="H38" s="11" t="str">
        <f t="shared" si="9"/>
        <v>14.9374,120.974</v>
      </c>
      <c r="I38" s="11" t="s">
        <v>72</v>
      </c>
      <c r="J38" s="11"/>
      <c r="K38" s="11" t="s">
        <v>69</v>
      </c>
      <c r="L38" s="11" t="s">
        <v>69</v>
      </c>
      <c r="M38" s="11" t="s">
        <v>83</v>
      </c>
      <c r="N38" s="11" t="s">
        <v>200</v>
      </c>
      <c r="O38" s="11" t="s">
        <v>147</v>
      </c>
      <c r="P38" s="11" t="s">
        <v>201</v>
      </c>
      <c r="Q38" s="11" t="s">
        <v>936</v>
      </c>
      <c r="R38" s="34">
        <v>45968</v>
      </c>
      <c r="S38" s="34">
        <v>45971</v>
      </c>
      <c r="T38" s="34">
        <v>45979</v>
      </c>
      <c r="U38" s="34">
        <v>45980</v>
      </c>
      <c r="V38" s="34">
        <v>45980</v>
      </c>
      <c r="W38" s="45">
        <f t="shared" si="2"/>
        <v>1</v>
      </c>
      <c r="X38" s="45">
        <f t="shared" si="3"/>
        <v>6</v>
      </c>
      <c r="Y38" s="45">
        <f t="shared" si="4"/>
        <v>1</v>
      </c>
      <c r="Z38" s="45">
        <f t="shared" si="5"/>
        <v>1</v>
      </c>
      <c r="AA38" s="11" t="s">
        <v>150</v>
      </c>
      <c r="AB38" s="11">
        <v>16</v>
      </c>
      <c r="AC38" s="7"/>
      <c r="AD38" s="7" t="s">
        <v>937</v>
      </c>
      <c r="AE38" s="11"/>
      <c r="AF38" s="11"/>
      <c r="AG38" s="432" t="e">
        <f t="shared" si="10"/>
        <v>#DIV/0!</v>
      </c>
      <c r="AH38" s="11" t="s">
        <v>50</v>
      </c>
      <c r="AI38" s="11"/>
      <c r="AJ38" s="7"/>
      <c r="AK38" s="7"/>
      <c r="AL38" s="11"/>
      <c r="AM38" s="11"/>
      <c r="AN38" s="11"/>
      <c r="AO38" s="11"/>
      <c r="AP38" s="11"/>
      <c r="AQ38" s="7"/>
      <c r="AR38" s="11"/>
      <c r="AS38" s="11"/>
    </row>
    <row r="39" spans="1:45">
      <c r="A39" s="7" t="s">
        <v>776</v>
      </c>
      <c r="B39" s="7" t="s">
        <v>938</v>
      </c>
      <c r="C39" s="7" t="s">
        <v>939</v>
      </c>
      <c r="D39" s="11" t="s">
        <v>143</v>
      </c>
      <c r="E39" s="75" t="s">
        <v>554</v>
      </c>
      <c r="F39" s="11">
        <v>14.8193</v>
      </c>
      <c r="G39" s="11">
        <v>120.90179999999999</v>
      </c>
      <c r="H39" s="11" t="str">
        <f t="shared" si="9"/>
        <v>14.8193,120.9018</v>
      </c>
      <c r="I39" s="11" t="s">
        <v>70</v>
      </c>
      <c r="J39" s="11">
        <v>1</v>
      </c>
      <c r="K39" s="11">
        <v>2019</v>
      </c>
      <c r="L39" s="82">
        <v>502714.29</v>
      </c>
      <c r="M39" s="11" t="s">
        <v>76</v>
      </c>
      <c r="N39" s="11" t="s">
        <v>388</v>
      </c>
      <c r="O39" s="11"/>
      <c r="P39" s="11" t="s">
        <v>201</v>
      </c>
      <c r="Q39" s="374" t="s">
        <v>940</v>
      </c>
      <c r="R39" s="34">
        <v>45751</v>
      </c>
      <c r="S39" s="34">
        <v>45754</v>
      </c>
      <c r="T39" s="34">
        <v>45754</v>
      </c>
      <c r="U39" s="34">
        <v>45757</v>
      </c>
      <c r="V39" s="34">
        <v>45758</v>
      </c>
      <c r="W39" s="45">
        <f t="shared" si="2"/>
        <v>1</v>
      </c>
      <c r="X39" s="45">
        <f t="shared" si="3"/>
        <v>1</v>
      </c>
      <c r="Y39" s="45">
        <f t="shared" si="4"/>
        <v>3</v>
      </c>
      <c r="Z39" s="45">
        <f t="shared" si="5"/>
        <v>1</v>
      </c>
      <c r="AA39" s="434" t="s">
        <v>150</v>
      </c>
      <c r="AB39" s="11"/>
      <c r="AC39" s="7"/>
      <c r="AD39" s="7"/>
      <c r="AE39" s="11"/>
      <c r="AF39" s="11"/>
      <c r="AG39" s="432" t="e">
        <f t="shared" si="10"/>
        <v>#DIV/0!</v>
      </c>
      <c r="AH39" s="11" t="s">
        <v>57</v>
      </c>
      <c r="AI39" s="11" t="s">
        <v>941</v>
      </c>
      <c r="AJ39" s="7"/>
      <c r="AK39" s="7"/>
      <c r="AL39" s="11"/>
      <c r="AM39" s="11"/>
      <c r="AN39" s="11"/>
      <c r="AO39" s="11"/>
      <c r="AP39" s="11"/>
      <c r="AQ39" s="7"/>
      <c r="AR39" s="11"/>
      <c r="AS39" s="430"/>
    </row>
    <row r="40" spans="1:45" ht="15" customHeight="1">
      <c r="A40" s="7" t="s">
        <v>780</v>
      </c>
      <c r="B40" s="7" t="s">
        <v>942</v>
      </c>
      <c r="C40" s="7" t="s">
        <v>943</v>
      </c>
      <c r="D40" s="75" t="s">
        <v>159</v>
      </c>
      <c r="E40" s="75" t="s">
        <v>185</v>
      </c>
      <c r="F40" s="11">
        <v>15.582189</v>
      </c>
      <c r="G40" s="11">
        <v>119.934836</v>
      </c>
      <c r="H40" s="11" t="str">
        <f t="shared" si="9"/>
        <v>15.582189,119.934836</v>
      </c>
      <c r="I40" s="11" t="s">
        <v>71</v>
      </c>
      <c r="J40" s="11">
        <v>1</v>
      </c>
      <c r="K40" s="11">
        <v>2018</v>
      </c>
      <c r="L40" s="11">
        <v>427500</v>
      </c>
      <c r="M40" s="11" t="s">
        <v>78</v>
      </c>
      <c r="N40" s="11" t="s">
        <v>42</v>
      </c>
      <c r="O40" s="11" t="s">
        <v>163</v>
      </c>
      <c r="P40" s="11" t="s">
        <v>164</v>
      </c>
      <c r="Q40" s="11" t="s">
        <v>944</v>
      </c>
      <c r="R40" s="34">
        <v>45819</v>
      </c>
      <c r="S40" s="34">
        <v>45824</v>
      </c>
      <c r="T40" s="34">
        <v>45825</v>
      </c>
      <c r="U40" s="34">
        <v>45825</v>
      </c>
      <c r="V40" s="34">
        <v>45825</v>
      </c>
      <c r="W40" s="45">
        <f t="shared" si="2"/>
        <v>3</v>
      </c>
      <c r="X40" s="45">
        <f t="shared" si="3"/>
        <v>1</v>
      </c>
      <c r="Y40" s="45">
        <f t="shared" si="4"/>
        <v>1</v>
      </c>
      <c r="Z40" s="45">
        <f t="shared" si="5"/>
        <v>1</v>
      </c>
      <c r="AA40" s="431" t="s">
        <v>150</v>
      </c>
      <c r="AB40" s="11">
        <v>1</v>
      </c>
      <c r="AC40" s="7" t="s">
        <v>815</v>
      </c>
      <c r="AD40" s="7" t="s">
        <v>945</v>
      </c>
      <c r="AE40" s="11" t="s">
        <v>808</v>
      </c>
      <c r="AF40" s="11" t="s">
        <v>808</v>
      </c>
      <c r="AG40" s="432" t="e">
        <f t="shared" si="10"/>
        <v>#VALUE!</v>
      </c>
      <c r="AH40" s="11" t="s">
        <v>50</v>
      </c>
      <c r="AI40" s="11"/>
      <c r="AJ40" s="7" t="s">
        <v>809</v>
      </c>
      <c r="AK40" s="7"/>
      <c r="AL40" s="11"/>
      <c r="AM40" s="11"/>
      <c r="AN40" s="11"/>
      <c r="AO40" s="11"/>
      <c r="AP40" s="11"/>
      <c r="AQ40" s="7"/>
      <c r="AR40" s="11"/>
      <c r="AS40" s="450" t="s">
        <v>946</v>
      </c>
    </row>
    <row r="41" spans="1:45" ht="15" customHeight="1">
      <c r="A41" s="7" t="s">
        <v>780</v>
      </c>
      <c r="B41" s="7" t="s">
        <v>942</v>
      </c>
      <c r="C41" s="7" t="s">
        <v>947</v>
      </c>
      <c r="D41" s="75" t="s">
        <v>159</v>
      </c>
      <c r="E41" s="75" t="s">
        <v>185</v>
      </c>
      <c r="F41" s="11">
        <v>15.548492</v>
      </c>
      <c r="G41" s="11">
        <v>119.946567</v>
      </c>
      <c r="H41" s="11" t="str">
        <f t="shared" si="9"/>
        <v>15.548492,119.946567</v>
      </c>
      <c r="I41" s="11" t="s">
        <v>71</v>
      </c>
      <c r="J41" s="11">
        <v>1</v>
      </c>
      <c r="K41" s="11">
        <v>2018</v>
      </c>
      <c r="L41" s="11">
        <v>427500</v>
      </c>
      <c r="M41" s="11" t="s">
        <v>77</v>
      </c>
      <c r="N41" s="11" t="s">
        <v>42</v>
      </c>
      <c r="O41" s="11" t="s">
        <v>163</v>
      </c>
      <c r="P41" s="11" t="s">
        <v>164</v>
      </c>
      <c r="Q41" s="11" t="s">
        <v>948</v>
      </c>
      <c r="R41" s="34">
        <v>45791</v>
      </c>
      <c r="S41" s="34">
        <v>45796</v>
      </c>
      <c r="T41" s="34">
        <v>45796</v>
      </c>
      <c r="U41" s="34">
        <v>45796</v>
      </c>
      <c r="V41" s="34">
        <v>45797</v>
      </c>
      <c r="W41" s="45">
        <f t="shared" si="2"/>
        <v>3</v>
      </c>
      <c r="X41" s="45">
        <f t="shared" si="3"/>
        <v>1</v>
      </c>
      <c r="Y41" s="45">
        <f t="shared" si="4"/>
        <v>1</v>
      </c>
      <c r="Z41" s="45">
        <f t="shared" si="5"/>
        <v>1</v>
      </c>
      <c r="AA41" s="431" t="s">
        <v>150</v>
      </c>
      <c r="AB41" s="11">
        <v>0</v>
      </c>
      <c r="AC41" s="7" t="s">
        <v>69</v>
      </c>
      <c r="AD41" s="7" t="s">
        <v>69</v>
      </c>
      <c r="AE41" s="7" t="s">
        <v>69</v>
      </c>
      <c r="AF41" s="7" t="s">
        <v>69</v>
      </c>
      <c r="AG41" s="432" t="e">
        <f t="shared" si="10"/>
        <v>#VALUE!</v>
      </c>
      <c r="AH41" s="11" t="s">
        <v>57</v>
      </c>
      <c r="AI41" s="11" t="s">
        <v>949</v>
      </c>
      <c r="AJ41" s="7"/>
      <c r="AK41" s="7"/>
      <c r="AL41" s="11"/>
      <c r="AM41" s="11"/>
      <c r="AN41" s="11"/>
      <c r="AO41" s="11"/>
      <c r="AP41" s="11"/>
      <c r="AQ41" s="7"/>
      <c r="AR41" s="11"/>
      <c r="AS41" s="11"/>
    </row>
    <row r="42" spans="1:45" ht="15" customHeight="1">
      <c r="A42" s="7" t="s">
        <v>780</v>
      </c>
      <c r="B42" s="7" t="s">
        <v>942</v>
      </c>
      <c r="C42" s="7" t="s">
        <v>950</v>
      </c>
      <c r="D42" s="75" t="s">
        <v>159</v>
      </c>
      <c r="E42" s="75" t="s">
        <v>185</v>
      </c>
      <c r="F42" s="11">
        <v>15.5817066</v>
      </c>
      <c r="G42" s="11">
        <v>119.94762160000001</v>
      </c>
      <c r="H42" s="11" t="str">
        <f t="shared" si="9"/>
        <v>15.5817066,119.9476216</v>
      </c>
      <c r="I42" s="11" t="s">
        <v>71</v>
      </c>
      <c r="J42" s="11">
        <v>1</v>
      </c>
      <c r="K42" s="11">
        <v>2018</v>
      </c>
      <c r="L42" s="11">
        <v>427500</v>
      </c>
      <c r="M42" s="11" t="s">
        <v>79</v>
      </c>
      <c r="N42" s="11" t="s">
        <v>42</v>
      </c>
      <c r="O42" s="11" t="s">
        <v>163</v>
      </c>
      <c r="P42" s="11" t="s">
        <v>164</v>
      </c>
      <c r="Q42" s="11" t="s">
        <v>951</v>
      </c>
      <c r="R42" s="34">
        <v>45840</v>
      </c>
      <c r="S42" s="34">
        <v>45845</v>
      </c>
      <c r="T42" s="34">
        <v>45847</v>
      </c>
      <c r="U42" s="34">
        <v>45852</v>
      </c>
      <c r="V42" s="34">
        <v>45854</v>
      </c>
      <c r="W42" s="45">
        <f t="shared" si="2"/>
        <v>3</v>
      </c>
      <c r="X42" s="45">
        <f t="shared" si="3"/>
        <v>2</v>
      </c>
      <c r="Y42" s="45">
        <f>IF(
  OR(IF(T42&lt;&gt;"", T42, S42)="", U42=""),
  "",
  MAX(1,
    IF(
      NETWORKDAYS(IF(T42&lt;&gt;"", T42, S42), U42) &lt;= 0,
      1,
      NETWORKDAYS(IF(T42&lt;&gt;"", T42, S42), U42) - IF(IF(T42&lt;&gt;"", T42, S42)=U42, 0, 1)
    )
  )
)</f>
        <v>3</v>
      </c>
      <c r="Z42" s="45">
        <f t="shared" si="5"/>
        <v>2</v>
      </c>
      <c r="AA42" s="11" t="s">
        <v>150</v>
      </c>
      <c r="AB42" s="11">
        <v>0</v>
      </c>
      <c r="AC42" s="7" t="s">
        <v>815</v>
      </c>
      <c r="AD42" s="7" t="s">
        <v>815</v>
      </c>
      <c r="AE42" s="11" t="s">
        <v>808</v>
      </c>
      <c r="AF42" s="11" t="s">
        <v>808</v>
      </c>
      <c r="AG42" s="432" t="e">
        <f t="shared" si="10"/>
        <v>#VALUE!</v>
      </c>
      <c r="AH42" s="11" t="s">
        <v>57</v>
      </c>
      <c r="AI42" s="7" t="s">
        <v>952</v>
      </c>
      <c r="AJ42" s="7"/>
      <c r="AK42" s="7"/>
      <c r="AL42" s="11" t="s">
        <v>953</v>
      </c>
      <c r="AM42" s="11"/>
      <c r="AN42" s="11"/>
      <c r="AO42" s="11"/>
      <c r="AP42" s="11"/>
      <c r="AQ42" s="7"/>
      <c r="AR42" s="11"/>
      <c r="AS42" s="11"/>
    </row>
    <row r="43" spans="1:45" ht="61.5" customHeight="1">
      <c r="A43" s="7" t="s">
        <v>780</v>
      </c>
      <c r="B43" s="7" t="s">
        <v>942</v>
      </c>
      <c r="C43" s="7" t="s">
        <v>954</v>
      </c>
      <c r="D43" s="75" t="s">
        <v>159</v>
      </c>
      <c r="E43" s="75" t="s">
        <v>185</v>
      </c>
      <c r="F43" s="11">
        <v>15.539332999999999</v>
      </c>
      <c r="G43" s="11">
        <v>119.947636</v>
      </c>
      <c r="H43" s="11" t="str">
        <f t="shared" si="9"/>
        <v>15.539333,119.947636</v>
      </c>
      <c r="I43" s="11" t="s">
        <v>71</v>
      </c>
      <c r="J43" s="11">
        <v>1</v>
      </c>
      <c r="K43" s="11">
        <v>2018</v>
      </c>
      <c r="L43" s="11">
        <v>427500</v>
      </c>
      <c r="M43" s="11" t="s">
        <v>77</v>
      </c>
      <c r="N43" s="11" t="s">
        <v>42</v>
      </c>
      <c r="O43" s="11" t="s">
        <v>163</v>
      </c>
      <c r="P43" s="11" t="s">
        <v>164</v>
      </c>
      <c r="Q43" s="11" t="s">
        <v>955</v>
      </c>
      <c r="R43" s="34">
        <v>45791</v>
      </c>
      <c r="S43" s="34">
        <v>45796</v>
      </c>
      <c r="T43" s="34">
        <v>45796</v>
      </c>
      <c r="U43" s="34">
        <v>45796</v>
      </c>
      <c r="V43" s="34">
        <v>45797</v>
      </c>
      <c r="W43" s="45">
        <f t="shared" si="2"/>
        <v>3</v>
      </c>
      <c r="X43" s="45">
        <f t="shared" si="3"/>
        <v>1</v>
      </c>
      <c r="Y43" s="45">
        <f>IF(
  OR(IF(T43&lt;&gt;"", T43, S43)="", U43=""),
  "",
  MAX(1,
    IF(
      NETWORKDAYS(IF(T43&lt;&gt;"", T43, S43), U43) &lt;= 0,
      1,
      NETWORKDAYS(IF(T43&lt;&gt;"", T43, S43), U43) - IF(IF(T43&lt;&gt;"", T43, S43)=U43, 0, 1)
    )
  )
)</f>
        <v>1</v>
      </c>
      <c r="Z43" s="45">
        <f t="shared" si="5"/>
        <v>1</v>
      </c>
      <c r="AA43" s="431" t="s">
        <v>150</v>
      </c>
      <c r="AB43" s="11">
        <v>0</v>
      </c>
      <c r="AC43" s="7" t="s">
        <v>69</v>
      </c>
      <c r="AD43" s="7" t="s">
        <v>69</v>
      </c>
      <c r="AE43" s="7" t="s">
        <v>69</v>
      </c>
      <c r="AF43" s="7" t="s">
        <v>69</v>
      </c>
      <c r="AG43" s="432" t="e">
        <f t="shared" si="10"/>
        <v>#VALUE!</v>
      </c>
      <c r="AH43" s="11" t="s">
        <v>57</v>
      </c>
      <c r="AI43" s="11" t="s">
        <v>949</v>
      </c>
      <c r="AJ43" s="7"/>
      <c r="AK43" s="7"/>
      <c r="AL43" s="11"/>
      <c r="AM43" s="11"/>
      <c r="AN43" s="11"/>
      <c r="AO43" s="11" t="s">
        <v>956</v>
      </c>
      <c r="AP43" s="11"/>
      <c r="AQ43" s="7"/>
      <c r="AR43" s="11"/>
      <c r="AS43" s="11"/>
    </row>
    <row r="44" spans="1:45">
      <c r="A44" s="7" t="s">
        <v>780</v>
      </c>
      <c r="B44" s="7" t="s">
        <v>942</v>
      </c>
      <c r="C44" s="7" t="s">
        <v>957</v>
      </c>
      <c r="D44" s="75" t="s">
        <v>159</v>
      </c>
      <c r="E44" s="75" t="s">
        <v>185</v>
      </c>
      <c r="F44" s="11">
        <v>15.536987999999999</v>
      </c>
      <c r="G44" s="11">
        <v>119.947481</v>
      </c>
      <c r="H44" s="11" t="str">
        <f t="shared" si="9"/>
        <v>15.536988,119.947481</v>
      </c>
      <c r="I44" s="11" t="s">
        <v>71</v>
      </c>
      <c r="J44" s="11">
        <v>1</v>
      </c>
      <c r="K44" s="11">
        <v>2018</v>
      </c>
      <c r="L44" s="11">
        <v>427500</v>
      </c>
      <c r="M44" s="11" t="s">
        <v>77</v>
      </c>
      <c r="N44" s="11" t="s">
        <v>42</v>
      </c>
      <c r="O44" s="11" t="s">
        <v>163</v>
      </c>
      <c r="P44" s="11" t="s">
        <v>164</v>
      </c>
      <c r="Q44" s="11" t="s">
        <v>958</v>
      </c>
      <c r="R44" s="34">
        <v>45791</v>
      </c>
      <c r="S44" s="34">
        <v>45796</v>
      </c>
      <c r="T44" s="34">
        <v>45796</v>
      </c>
      <c r="U44" s="34">
        <v>45796</v>
      </c>
      <c r="V44" s="34">
        <v>45797</v>
      </c>
      <c r="W44" s="45">
        <f t="shared" si="2"/>
        <v>3</v>
      </c>
      <c r="X44" s="45">
        <f t="shared" si="3"/>
        <v>1</v>
      </c>
      <c r="Y44" s="45">
        <f t="shared" si="4"/>
        <v>1</v>
      </c>
      <c r="Z44" s="45">
        <f t="shared" si="5"/>
        <v>1</v>
      </c>
      <c r="AA44" s="434" t="s">
        <v>150</v>
      </c>
      <c r="AB44" s="11">
        <v>0</v>
      </c>
      <c r="AC44" s="7" t="s">
        <v>69</v>
      </c>
      <c r="AD44" s="7" t="s">
        <v>69</v>
      </c>
      <c r="AE44" s="7" t="s">
        <v>69</v>
      </c>
      <c r="AF44" s="7" t="s">
        <v>69</v>
      </c>
      <c r="AG44" s="432" t="e">
        <f t="shared" si="10"/>
        <v>#VALUE!</v>
      </c>
      <c r="AH44" s="11" t="s">
        <v>57</v>
      </c>
      <c r="AI44" s="11" t="s">
        <v>959</v>
      </c>
      <c r="AJ44" s="7" t="s">
        <v>809</v>
      </c>
      <c r="AK44" s="7"/>
      <c r="AL44" s="11" t="s">
        <v>953</v>
      </c>
      <c r="AM44" s="11"/>
      <c r="AN44" s="11"/>
      <c r="AO44" s="11"/>
      <c r="AP44" s="11"/>
      <c r="AQ44" s="7"/>
      <c r="AR44" s="11"/>
      <c r="AS44" s="11"/>
    </row>
    <row r="45" spans="1:45" ht="15" customHeight="1">
      <c r="A45" s="7" t="s">
        <v>780</v>
      </c>
      <c r="B45" s="7" t="s">
        <v>942</v>
      </c>
      <c r="C45" s="7" t="s">
        <v>960</v>
      </c>
      <c r="D45" s="75" t="s">
        <v>159</v>
      </c>
      <c r="E45" s="75" t="s">
        <v>185</v>
      </c>
      <c r="F45" s="11">
        <v>15.5774153</v>
      </c>
      <c r="G45" s="11">
        <v>119.9287502</v>
      </c>
      <c r="H45" s="11" t="str">
        <f t="shared" si="9"/>
        <v>15.5774153,119.9287502</v>
      </c>
      <c r="I45" s="11" t="s">
        <v>71</v>
      </c>
      <c r="J45" s="11">
        <v>1</v>
      </c>
      <c r="K45" s="11">
        <v>2018</v>
      </c>
      <c r="L45" s="11">
        <v>427500</v>
      </c>
      <c r="M45" s="11" t="s">
        <v>78</v>
      </c>
      <c r="N45" s="11" t="s">
        <v>42</v>
      </c>
      <c r="O45" s="11" t="s">
        <v>163</v>
      </c>
      <c r="P45" s="11" t="s">
        <v>164</v>
      </c>
      <c r="Q45" s="11" t="s">
        <v>961</v>
      </c>
      <c r="R45" s="34">
        <v>45819</v>
      </c>
      <c r="S45" s="34">
        <v>45824</v>
      </c>
      <c r="T45" s="34">
        <v>45825</v>
      </c>
      <c r="U45" s="34">
        <v>45825</v>
      </c>
      <c r="V45" s="34">
        <v>45825</v>
      </c>
      <c r="W45" s="45">
        <f t="shared" si="2"/>
        <v>3</v>
      </c>
      <c r="X45" s="45">
        <f t="shared" si="3"/>
        <v>1</v>
      </c>
      <c r="Y45" s="45">
        <f t="shared" si="4"/>
        <v>1</v>
      </c>
      <c r="Z45" s="45">
        <f t="shared" si="5"/>
        <v>1</v>
      </c>
      <c r="AA45" s="434" t="s">
        <v>150</v>
      </c>
      <c r="AB45" s="11">
        <v>0</v>
      </c>
      <c r="AC45" s="7" t="s">
        <v>815</v>
      </c>
      <c r="AD45" s="7" t="s">
        <v>815</v>
      </c>
      <c r="AE45" s="7" t="s">
        <v>815</v>
      </c>
      <c r="AF45" s="7" t="s">
        <v>815</v>
      </c>
      <c r="AG45" s="432" t="e">
        <f t="shared" si="10"/>
        <v>#VALUE!</v>
      </c>
      <c r="AH45" s="11" t="s">
        <v>57</v>
      </c>
      <c r="AI45" s="7" t="s">
        <v>962</v>
      </c>
      <c r="AJ45" s="7"/>
      <c r="AK45" s="7"/>
      <c r="AL45" s="11"/>
      <c r="AM45" s="11"/>
      <c r="AN45" s="11"/>
      <c r="AO45" s="11"/>
      <c r="AP45" s="11"/>
      <c r="AQ45" s="7"/>
      <c r="AR45" s="11"/>
      <c r="AS45" s="11"/>
    </row>
    <row r="46" spans="1:45" ht="15" customHeight="1">
      <c r="A46" s="7" t="s">
        <v>780</v>
      </c>
      <c r="B46" s="7" t="s">
        <v>942</v>
      </c>
      <c r="C46" s="7" t="s">
        <v>963</v>
      </c>
      <c r="D46" s="75" t="s">
        <v>159</v>
      </c>
      <c r="E46" s="75" t="s">
        <v>185</v>
      </c>
      <c r="F46" s="11">
        <v>15.539705</v>
      </c>
      <c r="G46" s="11">
        <v>119.961949</v>
      </c>
      <c r="H46" s="11" t="str">
        <f t="shared" si="9"/>
        <v>15.539705,119.961949</v>
      </c>
      <c r="I46" s="11" t="s">
        <v>71</v>
      </c>
      <c r="J46" s="11">
        <v>1</v>
      </c>
      <c r="K46" s="11">
        <v>2018</v>
      </c>
      <c r="L46" s="11">
        <v>427500</v>
      </c>
      <c r="M46" s="11" t="s">
        <v>82</v>
      </c>
      <c r="N46" s="11" t="s">
        <v>42</v>
      </c>
      <c r="O46" s="11" t="s">
        <v>163</v>
      </c>
      <c r="P46" s="11" t="s">
        <v>164</v>
      </c>
      <c r="Q46" s="11" t="s">
        <v>964</v>
      </c>
      <c r="R46" s="34">
        <v>45931</v>
      </c>
      <c r="S46" s="34">
        <v>45936</v>
      </c>
      <c r="T46" s="34">
        <v>45940</v>
      </c>
      <c r="U46" s="34">
        <v>45940</v>
      </c>
      <c r="V46" s="34">
        <v>45946</v>
      </c>
      <c r="W46" s="45">
        <f t="shared" si="2"/>
        <v>3</v>
      </c>
      <c r="X46" s="45">
        <f t="shared" si="3"/>
        <v>4</v>
      </c>
      <c r="Y46" s="45">
        <f t="shared" si="4"/>
        <v>1</v>
      </c>
      <c r="Z46" s="45">
        <f t="shared" si="5"/>
        <v>4</v>
      </c>
      <c r="AA46" s="11" t="s">
        <v>150</v>
      </c>
      <c r="AB46" s="11" t="s">
        <v>69</v>
      </c>
      <c r="AC46" s="7" t="s">
        <v>815</v>
      </c>
      <c r="AD46" s="7" t="s">
        <v>69</v>
      </c>
      <c r="AE46" s="11" t="s">
        <v>965</v>
      </c>
      <c r="AF46" s="11" t="s">
        <v>69</v>
      </c>
      <c r="AG46" s="432" t="e">
        <f t="shared" si="10"/>
        <v>#VALUE!</v>
      </c>
      <c r="AH46" s="11" t="s">
        <v>57</v>
      </c>
      <c r="AI46" s="11" t="s">
        <v>959</v>
      </c>
      <c r="AJ46" s="7"/>
      <c r="AK46" s="7"/>
      <c r="AL46" s="11"/>
      <c r="AM46" s="11"/>
      <c r="AN46" s="11"/>
      <c r="AO46" s="11"/>
      <c r="AP46" s="11"/>
      <c r="AQ46" s="7"/>
      <c r="AR46" s="11"/>
      <c r="AS46" s="11"/>
    </row>
    <row r="47" spans="1:45" ht="15" customHeight="1">
      <c r="A47" s="7" t="s">
        <v>773</v>
      </c>
      <c r="B47" s="7" t="s">
        <v>805</v>
      </c>
      <c r="C47" s="7" t="s">
        <v>966</v>
      </c>
      <c r="D47" s="75" t="s">
        <v>159</v>
      </c>
      <c r="E47" s="75" t="s">
        <v>249</v>
      </c>
      <c r="F47" s="11">
        <v>15.735856</v>
      </c>
      <c r="G47" s="11">
        <v>121.56294699999999</v>
      </c>
      <c r="H47" s="11" t="str">
        <f t="shared" si="9"/>
        <v>15.735856,121.562947</v>
      </c>
      <c r="I47" s="11" t="s">
        <v>70</v>
      </c>
      <c r="J47" s="11">
        <v>1</v>
      </c>
      <c r="K47" s="11">
        <v>2016</v>
      </c>
      <c r="L47" s="117">
        <v>270000</v>
      </c>
      <c r="M47" s="11" t="s">
        <v>76</v>
      </c>
      <c r="N47" s="4" t="s">
        <v>13</v>
      </c>
      <c r="O47" s="4"/>
      <c r="P47" s="11" t="s">
        <v>163</v>
      </c>
      <c r="Q47" s="375" t="s">
        <v>967</v>
      </c>
      <c r="R47" s="33">
        <v>45755</v>
      </c>
      <c r="S47" s="33">
        <v>45758</v>
      </c>
      <c r="T47" s="33">
        <v>45758</v>
      </c>
      <c r="U47" s="33">
        <v>45761</v>
      </c>
      <c r="V47" s="33">
        <v>45761</v>
      </c>
      <c r="W47" s="45">
        <f t="shared" si="2"/>
        <v>3</v>
      </c>
      <c r="X47" s="45">
        <f t="shared" si="3"/>
        <v>1</v>
      </c>
      <c r="Y47" s="45">
        <f t="shared" si="4"/>
        <v>1</v>
      </c>
      <c r="Z47" s="45">
        <f t="shared" si="5"/>
        <v>1</v>
      </c>
      <c r="AA47" s="434" t="s">
        <v>150</v>
      </c>
      <c r="AB47" s="11">
        <v>7</v>
      </c>
      <c r="AC47" s="7" t="s">
        <v>968</v>
      </c>
      <c r="AD47" s="7" t="s">
        <v>916</v>
      </c>
      <c r="AE47" s="117">
        <v>5308</v>
      </c>
      <c r="AF47" s="11">
        <v>6597.78</v>
      </c>
      <c r="AG47" s="432">
        <f t="shared" si="10"/>
        <v>0.80451303317176381</v>
      </c>
      <c r="AH47" s="11" t="s">
        <v>50</v>
      </c>
      <c r="AI47" s="11"/>
      <c r="AJ47" s="7" t="s">
        <v>809</v>
      </c>
      <c r="AK47" s="7"/>
      <c r="AL47" s="11"/>
      <c r="AM47" s="11"/>
      <c r="AN47" s="11"/>
      <c r="AO47" s="11"/>
      <c r="AP47" s="11"/>
      <c r="AQ47" s="7"/>
      <c r="AR47" s="11"/>
      <c r="AS47" s="430"/>
    </row>
    <row r="48" spans="1:45" ht="34.5" customHeight="1">
      <c r="A48" s="7" t="s">
        <v>773</v>
      </c>
      <c r="B48" s="7" t="s">
        <v>969</v>
      </c>
      <c r="C48" s="7" t="s">
        <v>970</v>
      </c>
      <c r="D48" s="75" t="s">
        <v>159</v>
      </c>
      <c r="E48" s="75" t="s">
        <v>249</v>
      </c>
      <c r="F48" s="11">
        <v>16.288091000000001</v>
      </c>
      <c r="G48" s="11">
        <v>122.122282</v>
      </c>
      <c r="H48" s="11" t="str">
        <f t="shared" si="9"/>
        <v>16.288091,122.122282</v>
      </c>
      <c r="I48" s="11" t="s">
        <v>70</v>
      </c>
      <c r="J48" s="11">
        <v>1</v>
      </c>
      <c r="K48" s="11">
        <v>2019</v>
      </c>
      <c r="L48" s="82">
        <v>502714.29</v>
      </c>
      <c r="M48" s="11" t="s">
        <v>78</v>
      </c>
      <c r="N48" s="11" t="s">
        <v>251</v>
      </c>
      <c r="O48" s="11"/>
      <c r="P48" s="11" t="s">
        <v>163</v>
      </c>
      <c r="Q48" s="11" t="s">
        <v>971</v>
      </c>
      <c r="R48" s="34">
        <v>45811</v>
      </c>
      <c r="S48" s="34">
        <v>45827</v>
      </c>
      <c r="T48" s="34"/>
      <c r="U48" s="34">
        <v>45827</v>
      </c>
      <c r="V48" s="34">
        <v>45827</v>
      </c>
      <c r="W48" s="45">
        <f t="shared" si="2"/>
        <v>12</v>
      </c>
      <c r="X48" s="45" t="str">
        <f t="shared" si="3"/>
        <v/>
      </c>
      <c r="Y48" s="45">
        <f t="shared" si="4"/>
        <v>1</v>
      </c>
      <c r="Z48" s="45">
        <f t="shared" si="5"/>
        <v>1</v>
      </c>
      <c r="AA48" s="434" t="s">
        <v>150</v>
      </c>
      <c r="AB48" s="11">
        <v>24</v>
      </c>
      <c r="AC48" s="7" t="s">
        <v>972</v>
      </c>
      <c r="AD48" s="7" t="s">
        <v>808</v>
      </c>
      <c r="AE48" s="7" t="s">
        <v>808</v>
      </c>
      <c r="AF48" s="7" t="s">
        <v>808</v>
      </c>
      <c r="AG48" s="432" t="e">
        <f t="shared" si="10"/>
        <v>#VALUE!</v>
      </c>
      <c r="AH48" s="11" t="s">
        <v>50</v>
      </c>
      <c r="AI48" s="7" t="s">
        <v>973</v>
      </c>
      <c r="AJ48" s="7" t="s">
        <v>151</v>
      </c>
      <c r="AK48" s="7"/>
      <c r="AL48" s="11"/>
      <c r="AM48" s="11"/>
      <c r="AN48" s="11"/>
      <c r="AO48" s="11"/>
      <c r="AP48" s="11"/>
      <c r="AQ48" s="7"/>
      <c r="AR48" s="11"/>
      <c r="AS48" s="11"/>
    </row>
    <row r="49" spans="1:45" ht="15" customHeight="1">
      <c r="A49" s="7" t="s">
        <v>773</v>
      </c>
      <c r="B49" s="7" t="s">
        <v>974</v>
      </c>
      <c r="C49" s="7" t="s">
        <v>975</v>
      </c>
      <c r="D49" s="75" t="s">
        <v>159</v>
      </c>
      <c r="E49" s="75" t="s">
        <v>249</v>
      </c>
      <c r="F49" s="11">
        <v>16.144445000000001</v>
      </c>
      <c r="G49" s="11">
        <v>121.94247799999999</v>
      </c>
      <c r="H49" s="11" t="str">
        <f t="shared" si="9"/>
        <v>16.144445,121.942478</v>
      </c>
      <c r="I49" s="11" t="s">
        <v>70</v>
      </c>
      <c r="J49" s="11">
        <v>1</v>
      </c>
      <c r="K49" s="11">
        <v>2019</v>
      </c>
      <c r="L49" s="82">
        <v>502714.29</v>
      </c>
      <c r="M49" s="11" t="s">
        <v>79</v>
      </c>
      <c r="N49" s="11" t="s">
        <v>251</v>
      </c>
      <c r="O49" s="11"/>
      <c r="P49" s="11" t="s">
        <v>163</v>
      </c>
      <c r="Q49" s="11" t="s">
        <v>976</v>
      </c>
      <c r="R49" s="34">
        <v>45839</v>
      </c>
      <c r="S49" s="34">
        <v>45842</v>
      </c>
      <c r="T49" s="34"/>
      <c r="U49" s="34">
        <v>45845</v>
      </c>
      <c r="V49" s="34">
        <v>45847</v>
      </c>
      <c r="W49" s="45">
        <f t="shared" si="2"/>
        <v>3</v>
      </c>
      <c r="X49" s="45" t="str">
        <f t="shared" si="3"/>
        <v/>
      </c>
      <c r="Y49" s="45">
        <f t="shared" si="4"/>
        <v>1</v>
      </c>
      <c r="Z49" s="45">
        <f t="shared" si="5"/>
        <v>2</v>
      </c>
      <c r="AA49" s="11" t="s">
        <v>150</v>
      </c>
      <c r="AB49" s="11">
        <v>9</v>
      </c>
      <c r="AC49" s="7" t="s">
        <v>977</v>
      </c>
      <c r="AD49" s="7" t="s">
        <v>978</v>
      </c>
      <c r="AE49" s="11">
        <v>44.3</v>
      </c>
      <c r="AF49" s="11">
        <v>220</v>
      </c>
      <c r="AG49" s="432">
        <f t="shared" si="10"/>
        <v>0.20136363636363636</v>
      </c>
      <c r="AH49" s="11" t="s">
        <v>50</v>
      </c>
      <c r="AI49" s="11"/>
      <c r="AJ49" s="7"/>
      <c r="AK49" s="7"/>
      <c r="AL49" s="11"/>
      <c r="AM49" s="11"/>
      <c r="AN49" s="11"/>
      <c r="AO49" s="11"/>
      <c r="AP49" s="11"/>
      <c r="AQ49" s="7"/>
      <c r="AR49" s="11"/>
      <c r="AS49" s="11"/>
    </row>
    <row r="50" spans="1:45" s="62" customFormat="1" ht="15" customHeight="1">
      <c r="A50" s="7" t="s">
        <v>773</v>
      </c>
      <c r="B50" s="7" t="s">
        <v>829</v>
      </c>
      <c r="C50" s="7" t="s">
        <v>979</v>
      </c>
      <c r="D50" s="75" t="s">
        <v>159</v>
      </c>
      <c r="E50" s="75" t="s">
        <v>249</v>
      </c>
      <c r="F50" s="11">
        <v>15.876108</v>
      </c>
      <c r="G50" s="11">
        <v>121.525147</v>
      </c>
      <c r="H50" s="11" t="str">
        <f t="shared" si="9"/>
        <v>15.876108,121.525147</v>
      </c>
      <c r="I50" s="11" t="s">
        <v>70</v>
      </c>
      <c r="J50" s="11">
        <v>2</v>
      </c>
      <c r="K50" s="11" t="s">
        <v>919</v>
      </c>
      <c r="L50" s="117" t="s">
        <v>980</v>
      </c>
      <c r="M50" s="11" t="s">
        <v>81</v>
      </c>
      <c r="N50" s="11" t="s">
        <v>13</v>
      </c>
      <c r="O50" s="11"/>
      <c r="P50" s="11" t="s">
        <v>163</v>
      </c>
      <c r="Q50" s="11" t="s">
        <v>981</v>
      </c>
      <c r="R50" s="34">
        <v>45911</v>
      </c>
      <c r="S50" s="34">
        <v>45916</v>
      </c>
      <c r="T50" s="34"/>
      <c r="U50" s="34">
        <v>45916</v>
      </c>
      <c r="V50" s="34">
        <v>45917</v>
      </c>
      <c r="W50" s="45">
        <f t="shared" si="2"/>
        <v>3</v>
      </c>
      <c r="X50" s="45" t="str">
        <f t="shared" si="3"/>
        <v/>
      </c>
      <c r="Y50" s="45">
        <f t="shared" si="4"/>
        <v>1</v>
      </c>
      <c r="Z50" s="45">
        <f t="shared" si="5"/>
        <v>1</v>
      </c>
      <c r="AA50" s="11" t="s">
        <v>150</v>
      </c>
      <c r="AB50" s="11">
        <v>18</v>
      </c>
      <c r="AC50" s="7" t="s">
        <v>982</v>
      </c>
      <c r="AD50" s="7" t="s">
        <v>916</v>
      </c>
      <c r="AE50" s="82">
        <v>2407.39</v>
      </c>
      <c r="AF50" s="117">
        <v>4176</v>
      </c>
      <c r="AG50" s="432">
        <f t="shared" si="10"/>
        <v>0.57648227969348653</v>
      </c>
      <c r="AH50" s="11" t="s">
        <v>50</v>
      </c>
      <c r="AI50" s="11"/>
      <c r="AJ50" s="7"/>
      <c r="AK50" s="7"/>
      <c r="AL50" s="11"/>
      <c r="AM50" s="11"/>
      <c r="AN50" s="11"/>
      <c r="AO50" s="11"/>
      <c r="AP50" s="11"/>
      <c r="AQ50" s="7"/>
      <c r="AR50" s="11"/>
      <c r="AS50" s="11"/>
    </row>
    <row r="51" spans="1:45" ht="15" customHeight="1">
      <c r="A51" s="7" t="s">
        <v>773</v>
      </c>
      <c r="B51" s="7" t="s">
        <v>983</v>
      </c>
      <c r="C51" s="7" t="s">
        <v>984</v>
      </c>
      <c r="D51" s="75" t="s">
        <v>159</v>
      </c>
      <c r="E51" s="75" t="s">
        <v>249</v>
      </c>
      <c r="F51" s="11">
        <v>15.814859999999999</v>
      </c>
      <c r="G51" s="11">
        <v>121.48000999999999</v>
      </c>
      <c r="H51" s="11" t="str">
        <f t="shared" si="9"/>
        <v>15.81486,121.48001</v>
      </c>
      <c r="I51" s="11" t="s">
        <v>70</v>
      </c>
      <c r="J51" s="11">
        <v>1</v>
      </c>
      <c r="K51" s="11">
        <v>2020</v>
      </c>
      <c r="L51" s="117">
        <v>190000</v>
      </c>
      <c r="M51" s="11" t="s">
        <v>74</v>
      </c>
      <c r="N51" s="11" t="s">
        <v>14</v>
      </c>
      <c r="O51" s="11"/>
      <c r="P51" s="11" t="s">
        <v>163</v>
      </c>
      <c r="Q51" s="374" t="s">
        <v>985</v>
      </c>
      <c r="R51" s="34">
        <v>45701</v>
      </c>
      <c r="S51" s="34">
        <v>45706</v>
      </c>
      <c r="T51" s="34"/>
      <c r="U51" s="34">
        <v>45707</v>
      </c>
      <c r="V51" s="34">
        <v>45707</v>
      </c>
      <c r="W51" s="45">
        <f t="shared" si="2"/>
        <v>3</v>
      </c>
      <c r="X51" s="45" t="str">
        <f t="shared" si="3"/>
        <v/>
      </c>
      <c r="Y51" s="45">
        <f t="shared" si="4"/>
        <v>1</v>
      </c>
      <c r="Z51" s="45">
        <f t="shared" si="5"/>
        <v>1</v>
      </c>
      <c r="AA51" s="434" t="s">
        <v>150</v>
      </c>
      <c r="AB51" s="11">
        <v>40</v>
      </c>
      <c r="AC51" s="7" t="s">
        <v>986</v>
      </c>
      <c r="AD51" s="7" t="s">
        <v>916</v>
      </c>
      <c r="AE51" s="82">
        <v>137.01</v>
      </c>
      <c r="AF51" s="82">
        <v>2020.49</v>
      </c>
      <c r="AG51" s="432">
        <f t="shared" si="10"/>
        <v>6.7810283644066535E-2</v>
      </c>
      <c r="AH51" s="11" t="s">
        <v>50</v>
      </c>
      <c r="AI51" s="11"/>
      <c r="AJ51" s="7" t="s">
        <v>151</v>
      </c>
      <c r="AK51" s="7"/>
      <c r="AL51" s="11"/>
      <c r="AM51" s="11"/>
      <c r="AN51" s="11"/>
      <c r="AO51" s="11"/>
      <c r="AP51" s="11"/>
      <c r="AQ51" s="7"/>
      <c r="AR51" s="11"/>
      <c r="AS51" s="430"/>
    </row>
    <row r="52" spans="1:45" ht="15" customHeight="1">
      <c r="A52" s="7" t="s">
        <v>773</v>
      </c>
      <c r="B52" s="7" t="s">
        <v>983</v>
      </c>
      <c r="C52" s="7" t="s">
        <v>987</v>
      </c>
      <c r="D52" s="75" t="s">
        <v>159</v>
      </c>
      <c r="E52" s="75" t="s">
        <v>249</v>
      </c>
      <c r="F52" s="11">
        <v>15.807801</v>
      </c>
      <c r="G52" s="11">
        <v>121.458669</v>
      </c>
      <c r="H52" s="11" t="str">
        <f t="shared" si="9"/>
        <v>15.807801,121.458669</v>
      </c>
      <c r="I52" s="11" t="s">
        <v>70</v>
      </c>
      <c r="J52" s="11">
        <v>1</v>
      </c>
      <c r="K52" s="11" t="s">
        <v>988</v>
      </c>
      <c r="L52" s="82" t="s">
        <v>989</v>
      </c>
      <c r="M52" s="11" t="s">
        <v>74</v>
      </c>
      <c r="N52" s="11" t="s">
        <v>14</v>
      </c>
      <c r="O52" s="11"/>
      <c r="P52" s="11" t="s">
        <v>163</v>
      </c>
      <c r="Q52" s="374" t="s">
        <v>990</v>
      </c>
      <c r="R52" s="34">
        <v>45694</v>
      </c>
      <c r="S52" s="34">
        <v>45698</v>
      </c>
      <c r="T52" s="34"/>
      <c r="U52" s="34">
        <v>45699</v>
      </c>
      <c r="V52" s="34">
        <v>45699</v>
      </c>
      <c r="W52" s="45">
        <f t="shared" si="2"/>
        <v>2</v>
      </c>
      <c r="X52" s="45" t="str">
        <f t="shared" si="3"/>
        <v/>
      </c>
      <c r="Y52" s="45">
        <f t="shared" si="4"/>
        <v>1</v>
      </c>
      <c r="Z52" s="45">
        <f t="shared" si="5"/>
        <v>1</v>
      </c>
      <c r="AA52" s="431" t="s">
        <v>150</v>
      </c>
      <c r="AB52" s="11">
        <v>0</v>
      </c>
      <c r="AC52" s="7" t="s">
        <v>815</v>
      </c>
      <c r="AD52" s="7" t="s">
        <v>69</v>
      </c>
      <c r="AE52" s="7" t="s">
        <v>69</v>
      </c>
      <c r="AF52" s="7" t="s">
        <v>69</v>
      </c>
      <c r="AG52" s="7" t="s">
        <v>69</v>
      </c>
      <c r="AH52" s="11" t="s">
        <v>57</v>
      </c>
      <c r="AI52" s="362" t="s">
        <v>991</v>
      </c>
      <c r="AJ52" s="7"/>
      <c r="AK52" s="7"/>
      <c r="AL52" s="11"/>
      <c r="AM52" s="11"/>
      <c r="AN52" s="11"/>
      <c r="AO52" s="11"/>
      <c r="AP52" s="11"/>
      <c r="AQ52" s="7"/>
      <c r="AR52" s="11"/>
      <c r="AS52" s="430"/>
    </row>
    <row r="53" spans="1:45" ht="15" customHeight="1">
      <c r="A53" s="7" t="s">
        <v>773</v>
      </c>
      <c r="B53" s="7" t="s">
        <v>992</v>
      </c>
      <c r="C53" s="7" t="s">
        <v>993</v>
      </c>
      <c r="D53" s="75" t="s">
        <v>159</v>
      </c>
      <c r="E53" s="75" t="s">
        <v>249</v>
      </c>
      <c r="F53" s="11">
        <v>15.696968999999999</v>
      </c>
      <c r="G53" s="11">
        <v>121.514396</v>
      </c>
      <c r="H53" s="11" t="str">
        <f t="shared" si="9"/>
        <v>15.696969,121.514396</v>
      </c>
      <c r="I53" s="11" t="s">
        <v>70</v>
      </c>
      <c r="J53" s="11">
        <v>1</v>
      </c>
      <c r="K53" s="11">
        <v>2018</v>
      </c>
      <c r="L53" s="117">
        <v>475000</v>
      </c>
      <c r="M53" s="11" t="s">
        <v>81</v>
      </c>
      <c r="N53" s="11" t="s">
        <v>13</v>
      </c>
      <c r="O53" s="11"/>
      <c r="P53" s="11" t="s">
        <v>163</v>
      </c>
      <c r="Q53" s="11" t="s">
        <v>994</v>
      </c>
      <c r="R53" s="34">
        <v>45902</v>
      </c>
      <c r="S53" s="34">
        <v>45907</v>
      </c>
      <c r="T53" s="34"/>
      <c r="U53" s="34">
        <v>45908</v>
      </c>
      <c r="V53" s="34">
        <v>45908</v>
      </c>
      <c r="W53" s="45">
        <f t="shared" si="2"/>
        <v>3</v>
      </c>
      <c r="X53" s="45" t="str">
        <f t="shared" si="3"/>
        <v/>
      </c>
      <c r="Y53" s="45">
        <f t="shared" si="4"/>
        <v>1</v>
      </c>
      <c r="Z53" s="45">
        <f t="shared" si="5"/>
        <v>1</v>
      </c>
      <c r="AA53" s="11" t="s">
        <v>150</v>
      </c>
      <c r="AB53" s="11">
        <v>11</v>
      </c>
      <c r="AC53" s="7" t="s">
        <v>815</v>
      </c>
      <c r="AD53" s="7" t="s">
        <v>916</v>
      </c>
      <c r="AE53" s="11" t="s">
        <v>808</v>
      </c>
      <c r="AF53" s="11" t="s">
        <v>808</v>
      </c>
      <c r="AG53" s="432" t="e">
        <f>(AE53/AF53)</f>
        <v>#VALUE!</v>
      </c>
      <c r="AH53" s="11" t="s">
        <v>50</v>
      </c>
      <c r="AI53" s="11" t="s">
        <v>995</v>
      </c>
      <c r="AJ53" s="7"/>
      <c r="AK53" s="7"/>
      <c r="AL53" s="11"/>
      <c r="AM53" s="11"/>
      <c r="AN53" s="11"/>
      <c r="AO53" s="11"/>
      <c r="AP53" s="11"/>
      <c r="AQ53" s="7"/>
      <c r="AR53" s="11"/>
      <c r="AS53" s="11"/>
    </row>
    <row r="54" spans="1:45" ht="15" customHeight="1">
      <c r="A54" s="7" t="s">
        <v>776</v>
      </c>
      <c r="B54" s="7" t="s">
        <v>938</v>
      </c>
      <c r="C54" s="7" t="s">
        <v>996</v>
      </c>
      <c r="D54" s="11" t="s">
        <v>143</v>
      </c>
      <c r="E54" s="75" t="s">
        <v>160</v>
      </c>
      <c r="F54" s="11">
        <v>14.8475</v>
      </c>
      <c r="G54" s="11">
        <v>120.919</v>
      </c>
      <c r="H54" s="11" t="s">
        <v>997</v>
      </c>
      <c r="I54" s="11" t="s">
        <v>72</v>
      </c>
      <c r="J54" s="11"/>
      <c r="K54" s="11" t="s">
        <v>69</v>
      </c>
      <c r="L54" s="11" t="s">
        <v>69</v>
      </c>
      <c r="M54" s="11" t="s">
        <v>79</v>
      </c>
      <c r="N54" s="11" t="s">
        <v>388</v>
      </c>
      <c r="O54" s="11"/>
      <c r="P54" s="11" t="s">
        <v>201</v>
      </c>
      <c r="Q54" s="11" t="s">
        <v>998</v>
      </c>
      <c r="R54" s="34">
        <v>45846</v>
      </c>
      <c r="S54" s="34">
        <v>45853</v>
      </c>
      <c r="T54" s="34"/>
      <c r="U54" s="34">
        <v>45855</v>
      </c>
      <c r="V54" s="34">
        <v>45855</v>
      </c>
      <c r="W54" s="45">
        <f t="shared" si="2"/>
        <v>5</v>
      </c>
      <c r="X54" s="45" t="str">
        <f t="shared" si="3"/>
        <v/>
      </c>
      <c r="Y54" s="45">
        <f t="shared" si="4"/>
        <v>2</v>
      </c>
      <c r="Z54" s="45">
        <f t="shared" si="5"/>
        <v>1</v>
      </c>
      <c r="AA54" s="11" t="s">
        <v>150</v>
      </c>
      <c r="AB54" s="11"/>
      <c r="AC54" s="7" t="s">
        <v>999</v>
      </c>
      <c r="AD54" s="7" t="s">
        <v>69</v>
      </c>
      <c r="AE54" s="11"/>
      <c r="AF54" s="11"/>
      <c r="AG54" s="432"/>
      <c r="AH54" s="11" t="s">
        <v>57</v>
      </c>
      <c r="AI54" s="7" t="s">
        <v>1000</v>
      </c>
      <c r="AJ54" s="7" t="s">
        <v>1001</v>
      </c>
      <c r="AK54" s="7"/>
      <c r="AL54" s="11" t="s">
        <v>56</v>
      </c>
      <c r="AM54" s="11"/>
      <c r="AN54" s="11"/>
      <c r="AO54" s="11"/>
      <c r="AP54" s="11"/>
      <c r="AQ54" s="7"/>
      <c r="AR54" s="11"/>
      <c r="AS54" s="11"/>
    </row>
    <row r="55" spans="1:45" ht="15" customHeight="1">
      <c r="A55" s="7" t="s">
        <v>776</v>
      </c>
      <c r="B55" s="7" t="s">
        <v>938</v>
      </c>
      <c r="C55" s="7" t="s">
        <v>1002</v>
      </c>
      <c r="D55" s="11" t="s">
        <v>143</v>
      </c>
      <c r="E55" s="75" t="s">
        <v>554</v>
      </c>
      <c r="F55" s="11">
        <v>14.862786</v>
      </c>
      <c r="G55" s="11">
        <v>120.91716</v>
      </c>
      <c r="H55" s="11" t="str">
        <f>CONCATENATE(F55,",",G55)</f>
        <v>14.862786,120.91716</v>
      </c>
      <c r="I55" s="11" t="s">
        <v>70</v>
      </c>
      <c r="J55" s="11">
        <v>1</v>
      </c>
      <c r="K55" s="11">
        <v>2017</v>
      </c>
      <c r="L55" s="82">
        <v>460000</v>
      </c>
      <c r="M55" s="11" t="s">
        <v>76</v>
      </c>
      <c r="N55" s="11" t="s">
        <v>388</v>
      </c>
      <c r="O55" s="11"/>
      <c r="P55" s="11" t="s">
        <v>201</v>
      </c>
      <c r="Q55" s="374" t="s">
        <v>1003</v>
      </c>
      <c r="R55" s="34">
        <v>45758</v>
      </c>
      <c r="S55" s="34">
        <v>45758</v>
      </c>
      <c r="T55" s="34">
        <v>45758</v>
      </c>
      <c r="U55" s="34">
        <v>45761</v>
      </c>
      <c r="V55" s="34">
        <v>45761</v>
      </c>
      <c r="W55" s="45">
        <f t="shared" si="2"/>
        <v>1</v>
      </c>
      <c r="X55" s="45">
        <f t="shared" si="3"/>
        <v>1</v>
      </c>
      <c r="Y55" s="45">
        <f t="shared" si="4"/>
        <v>1</v>
      </c>
      <c r="Z55" s="45">
        <f t="shared" si="5"/>
        <v>1</v>
      </c>
      <c r="AA55" s="434" t="s">
        <v>150</v>
      </c>
      <c r="AB55" s="11">
        <v>1</v>
      </c>
      <c r="AC55" s="7" t="s">
        <v>1004</v>
      </c>
      <c r="AD55" s="7"/>
      <c r="AE55" s="11"/>
      <c r="AF55" s="11"/>
      <c r="AG55" s="432" t="e">
        <f t="shared" ref="AG55:AG72" si="11">(AE55/AF55)</f>
        <v>#DIV/0!</v>
      </c>
      <c r="AH55" s="11" t="s">
        <v>57</v>
      </c>
      <c r="AI55" s="11"/>
      <c r="AJ55" s="7"/>
      <c r="AK55" s="7"/>
      <c r="AL55" s="11"/>
      <c r="AM55" s="11"/>
      <c r="AN55" s="11"/>
      <c r="AO55" s="11"/>
      <c r="AP55" s="11"/>
      <c r="AQ55" s="7"/>
      <c r="AR55" s="11"/>
      <c r="AS55" s="430"/>
    </row>
    <row r="56" spans="1:45" ht="15" customHeight="1">
      <c r="A56" s="4" t="s">
        <v>776</v>
      </c>
      <c r="B56" s="4" t="s">
        <v>1005</v>
      </c>
      <c r="C56" s="4" t="s">
        <v>1006</v>
      </c>
      <c r="D56" s="9" t="s">
        <v>143</v>
      </c>
      <c r="E56" s="63" t="s">
        <v>185</v>
      </c>
      <c r="F56" s="9">
        <v>14.9405</v>
      </c>
      <c r="G56" s="9">
        <v>120.86799999999999</v>
      </c>
      <c r="H56" s="9" t="str">
        <f>CONCATENATE(F56,",",G56)</f>
        <v>14.9405,120.868</v>
      </c>
      <c r="I56" s="9" t="s">
        <v>72</v>
      </c>
      <c r="J56" s="9"/>
      <c r="K56" s="9" t="s">
        <v>69</v>
      </c>
      <c r="L56" s="9" t="s">
        <v>69</v>
      </c>
      <c r="M56" s="9" t="s">
        <v>79</v>
      </c>
      <c r="N56" s="11" t="s">
        <v>200</v>
      </c>
      <c r="O56" s="9"/>
      <c r="P56" s="9" t="s">
        <v>201</v>
      </c>
      <c r="Q56" s="455" t="s">
        <v>1007</v>
      </c>
      <c r="R56" s="574">
        <v>45839</v>
      </c>
      <c r="S56" s="574">
        <v>45859</v>
      </c>
      <c r="T56" s="574"/>
      <c r="U56" s="574">
        <v>45866</v>
      </c>
      <c r="V56" s="574">
        <v>45867</v>
      </c>
      <c r="W56" s="45">
        <f t="shared" si="2"/>
        <v>14</v>
      </c>
      <c r="X56" s="45" t="str">
        <f t="shared" si="3"/>
        <v/>
      </c>
      <c r="Y56" s="45">
        <f t="shared" si="4"/>
        <v>5</v>
      </c>
      <c r="Z56" s="45">
        <f t="shared" si="5"/>
        <v>1</v>
      </c>
      <c r="AA56" s="9" t="s">
        <v>150</v>
      </c>
      <c r="AB56" s="9">
        <v>27</v>
      </c>
      <c r="AC56" s="4" t="s">
        <v>1008</v>
      </c>
      <c r="AD56" s="4" t="s">
        <v>1009</v>
      </c>
      <c r="AE56" s="9"/>
      <c r="AF56" s="578">
        <v>53804</v>
      </c>
      <c r="AG56" s="577">
        <f t="shared" si="11"/>
        <v>0</v>
      </c>
      <c r="AH56" s="9" t="s">
        <v>50</v>
      </c>
      <c r="AI56" s="9" t="s">
        <v>1010</v>
      </c>
      <c r="AJ56" s="4"/>
      <c r="AK56" s="4"/>
      <c r="AL56" s="9"/>
      <c r="AM56" s="9"/>
      <c r="AN56" s="9"/>
      <c r="AO56" s="9"/>
      <c r="AP56" s="9"/>
      <c r="AQ56" s="4"/>
      <c r="AR56" s="9"/>
      <c r="AS56" s="9"/>
    </row>
    <row r="57" spans="1:45" ht="15" customHeight="1">
      <c r="A57" s="7" t="s">
        <v>776</v>
      </c>
      <c r="B57" s="7" t="s">
        <v>1011</v>
      </c>
      <c r="C57" s="7" t="s">
        <v>1012</v>
      </c>
      <c r="D57" s="11" t="s">
        <v>143</v>
      </c>
      <c r="E57" s="75" t="s">
        <v>554</v>
      </c>
      <c r="F57" s="11">
        <v>14.807480999999999</v>
      </c>
      <c r="G57" s="11">
        <v>120.94629399999999</v>
      </c>
      <c r="H57" s="11" t="str">
        <f>CONCATENATE(F57,",",G57)</f>
        <v>14.807481,120.946294</v>
      </c>
      <c r="I57" s="11" t="s">
        <v>70</v>
      </c>
      <c r="J57" s="11">
        <v>2</v>
      </c>
      <c r="K57" s="11" t="s">
        <v>1013</v>
      </c>
      <c r="L57" s="117" t="s">
        <v>1014</v>
      </c>
      <c r="M57" s="11" t="s">
        <v>79</v>
      </c>
      <c r="N57" s="11" t="s">
        <v>508</v>
      </c>
      <c r="O57" s="11"/>
      <c r="P57" s="11" t="s">
        <v>201</v>
      </c>
      <c r="Q57" s="455" t="s">
        <v>1015</v>
      </c>
      <c r="R57" s="34">
        <v>45847</v>
      </c>
      <c r="S57" s="34">
        <v>45855</v>
      </c>
      <c r="T57" s="34"/>
      <c r="U57" s="34">
        <v>45855</v>
      </c>
      <c r="V57" s="34">
        <v>45856</v>
      </c>
      <c r="W57" s="45">
        <f t="shared" si="2"/>
        <v>6</v>
      </c>
      <c r="X57" s="45" t="str">
        <f t="shared" si="3"/>
        <v/>
      </c>
      <c r="Y57" s="45">
        <f t="shared" si="4"/>
        <v>1</v>
      </c>
      <c r="Z57" s="45">
        <f t="shared" si="5"/>
        <v>1</v>
      </c>
      <c r="AA57" s="11" t="s">
        <v>150</v>
      </c>
      <c r="AB57" s="11"/>
      <c r="AC57" s="7"/>
      <c r="AD57" s="7"/>
      <c r="AE57" s="11"/>
      <c r="AF57" s="11"/>
      <c r="AG57" s="432" t="e">
        <f t="shared" si="11"/>
        <v>#DIV/0!</v>
      </c>
      <c r="AH57" s="11" t="s">
        <v>57</v>
      </c>
      <c r="AI57" s="7" t="s">
        <v>1016</v>
      </c>
      <c r="AJ57" s="7"/>
      <c r="AK57" s="7"/>
      <c r="AL57" s="11"/>
      <c r="AM57" s="11"/>
      <c r="AN57" s="11"/>
      <c r="AO57" s="11"/>
      <c r="AP57" s="11"/>
      <c r="AQ57" s="7"/>
      <c r="AR57" s="11"/>
      <c r="AS57" s="11"/>
    </row>
    <row r="58" spans="1:45" ht="15" customHeight="1">
      <c r="A58" s="7" t="s">
        <v>776</v>
      </c>
      <c r="B58" s="7" t="s">
        <v>1017</v>
      </c>
      <c r="C58" s="7" t="s">
        <v>1018</v>
      </c>
      <c r="D58" s="11" t="s">
        <v>143</v>
      </c>
      <c r="E58" s="75" t="s">
        <v>554</v>
      </c>
      <c r="F58" s="11">
        <v>14.8146</v>
      </c>
      <c r="G58" s="11">
        <v>120.8814</v>
      </c>
      <c r="H58" s="11" t="s">
        <v>1019</v>
      </c>
      <c r="I58" s="11" t="s">
        <v>72</v>
      </c>
      <c r="J58" s="11"/>
      <c r="K58" s="11" t="s">
        <v>69</v>
      </c>
      <c r="L58" s="11" t="s">
        <v>69</v>
      </c>
      <c r="M58" s="11" t="s">
        <v>82</v>
      </c>
      <c r="N58" s="11" t="s">
        <v>388</v>
      </c>
      <c r="O58" s="11" t="s">
        <v>147</v>
      </c>
      <c r="P58" s="11" t="s">
        <v>201</v>
      </c>
      <c r="Q58" s="11" t="s">
        <v>1020</v>
      </c>
      <c r="R58" s="34">
        <v>45954</v>
      </c>
      <c r="S58" s="34">
        <v>45957</v>
      </c>
      <c r="T58" s="34">
        <v>45957</v>
      </c>
      <c r="U58" s="34">
        <v>45979</v>
      </c>
      <c r="V58" s="34">
        <v>45979</v>
      </c>
      <c r="W58" s="45">
        <f t="shared" si="2"/>
        <v>1</v>
      </c>
      <c r="X58" s="45">
        <f t="shared" si="3"/>
        <v>1</v>
      </c>
      <c r="Y58" s="45">
        <f>IF(
  OR(IF(T58&lt;&gt;"", T58, S58)="", U58=""),
  "",
  MAX(1,
    IF(
      NETWORKDAYS(IF(T58&lt;&gt;"", T58, S58), U58) &lt;= 0,
      1,
      NETWORKDAYS(IF(T58&lt;&gt;"", T58, S58), U58) - IF(IF(T58&lt;&gt;"", T58, S58)=U58, 0, 1)
    )
  )
)</f>
        <v>16</v>
      </c>
      <c r="Z58" s="45">
        <f t="shared" si="5"/>
        <v>1</v>
      </c>
      <c r="AA58" s="11" t="s">
        <v>150</v>
      </c>
      <c r="AB58" s="11">
        <v>14</v>
      </c>
      <c r="AC58" s="7" t="s">
        <v>1021</v>
      </c>
      <c r="AD58" s="4" t="s">
        <v>1009</v>
      </c>
      <c r="AE58" s="11">
        <v>340</v>
      </c>
      <c r="AF58" s="11">
        <v>17000</v>
      </c>
      <c r="AG58" s="432">
        <f t="shared" si="11"/>
        <v>0.02</v>
      </c>
      <c r="AH58" s="11" t="s">
        <v>50</v>
      </c>
      <c r="AI58" s="11" t="s">
        <v>1022</v>
      </c>
      <c r="AJ58" s="7"/>
      <c r="AK58" s="7"/>
      <c r="AL58" s="11"/>
      <c r="AM58" s="11"/>
      <c r="AN58" s="11"/>
      <c r="AO58" s="11"/>
      <c r="AP58" s="11"/>
      <c r="AQ58" s="7"/>
      <c r="AR58" s="11"/>
      <c r="AS58" s="11"/>
    </row>
    <row r="59" spans="1:45" ht="15" customHeight="1">
      <c r="A59" s="7" t="s">
        <v>776</v>
      </c>
      <c r="B59" s="7" t="s">
        <v>1023</v>
      </c>
      <c r="C59" s="7" t="s">
        <v>1024</v>
      </c>
      <c r="D59" s="11" t="s">
        <v>143</v>
      </c>
      <c r="E59" s="75" t="s">
        <v>185</v>
      </c>
      <c r="F59" s="11">
        <v>14.929217</v>
      </c>
      <c r="G59" s="11">
        <v>120.942353</v>
      </c>
      <c r="H59" s="11" t="str">
        <f t="shared" ref="H59:H90" si="12">CONCATENATE(F59,",",G59)</f>
        <v>14.929217,120.942353</v>
      </c>
      <c r="I59" s="11" t="s">
        <v>70</v>
      </c>
      <c r="J59" s="11">
        <v>1</v>
      </c>
      <c r="K59" s="11">
        <v>2019</v>
      </c>
      <c r="L59" s="117">
        <v>502714</v>
      </c>
      <c r="M59" s="11" t="s">
        <v>76</v>
      </c>
      <c r="N59" s="11" t="s">
        <v>388</v>
      </c>
      <c r="O59" s="11"/>
      <c r="P59" s="11" t="s">
        <v>201</v>
      </c>
      <c r="Q59" s="374" t="s">
        <v>1025</v>
      </c>
      <c r="R59" s="34">
        <v>45749</v>
      </c>
      <c r="S59" s="34">
        <v>45752</v>
      </c>
      <c r="T59" s="34">
        <v>45752</v>
      </c>
      <c r="U59" s="34">
        <v>45757</v>
      </c>
      <c r="V59" s="34">
        <v>45758</v>
      </c>
      <c r="W59" s="45">
        <f t="shared" si="2"/>
        <v>2</v>
      </c>
      <c r="X59" s="45">
        <f t="shared" si="3"/>
        <v>1</v>
      </c>
      <c r="Y59" s="45">
        <f t="shared" si="4"/>
        <v>3</v>
      </c>
      <c r="Z59" s="45">
        <f t="shared" si="5"/>
        <v>1</v>
      </c>
      <c r="AA59" s="431" t="s">
        <v>150</v>
      </c>
      <c r="AB59" s="11">
        <v>14</v>
      </c>
      <c r="AC59" s="7" t="s">
        <v>1026</v>
      </c>
      <c r="AD59" s="7" t="s">
        <v>945</v>
      </c>
      <c r="AE59" s="7" t="s">
        <v>69</v>
      </c>
      <c r="AF59" s="7" t="s">
        <v>69</v>
      </c>
      <c r="AG59" s="432" t="e">
        <f t="shared" si="11"/>
        <v>#VALUE!</v>
      </c>
      <c r="AH59" s="11" t="s">
        <v>50</v>
      </c>
      <c r="AI59" s="11"/>
      <c r="AJ59" s="7"/>
      <c r="AK59" s="7"/>
      <c r="AL59" s="11" t="s">
        <v>1027</v>
      </c>
      <c r="AM59" s="11"/>
      <c r="AN59" s="11"/>
      <c r="AO59" s="11"/>
      <c r="AP59" s="11"/>
      <c r="AQ59" s="7"/>
      <c r="AR59" s="11"/>
      <c r="AS59" s="430"/>
    </row>
    <row r="60" spans="1:45" ht="15" customHeight="1">
      <c r="A60" s="7" t="s">
        <v>776</v>
      </c>
      <c r="B60" s="7" t="s">
        <v>1028</v>
      </c>
      <c r="C60" s="7" t="s">
        <v>1029</v>
      </c>
      <c r="D60" s="11" t="s">
        <v>143</v>
      </c>
      <c r="E60" s="75" t="s">
        <v>160</v>
      </c>
      <c r="F60" s="11">
        <v>14.909181999999999</v>
      </c>
      <c r="G60" s="11">
        <v>120.753781</v>
      </c>
      <c r="H60" s="11" t="str">
        <f t="shared" si="12"/>
        <v>14.909182,120.753781</v>
      </c>
      <c r="I60" s="11" t="s">
        <v>70</v>
      </c>
      <c r="J60" s="11">
        <v>1</v>
      </c>
      <c r="K60" s="11">
        <v>2013</v>
      </c>
      <c r="L60" s="117">
        <v>500000</v>
      </c>
      <c r="M60" s="11" t="s">
        <v>74</v>
      </c>
      <c r="N60" s="11" t="s">
        <v>200</v>
      </c>
      <c r="O60" s="11" t="s">
        <v>328</v>
      </c>
      <c r="P60" s="11" t="s">
        <v>201</v>
      </c>
      <c r="Q60" s="374" t="s">
        <v>1030</v>
      </c>
      <c r="R60" s="34">
        <v>45693</v>
      </c>
      <c r="S60" s="34">
        <v>45693</v>
      </c>
      <c r="T60" s="34">
        <v>45698</v>
      </c>
      <c r="U60" s="34">
        <v>45699</v>
      </c>
      <c r="V60" s="34">
        <v>45701</v>
      </c>
      <c r="W60" s="45">
        <f t="shared" si="2"/>
        <v>1</v>
      </c>
      <c r="X60" s="45">
        <f t="shared" si="3"/>
        <v>3</v>
      </c>
      <c r="Y60" s="45">
        <f t="shared" si="4"/>
        <v>1</v>
      </c>
      <c r="Z60" s="45">
        <f t="shared" si="5"/>
        <v>2</v>
      </c>
      <c r="AA60" s="431" t="s">
        <v>150</v>
      </c>
      <c r="AB60" s="11">
        <v>10</v>
      </c>
      <c r="AC60" s="7" t="s">
        <v>1031</v>
      </c>
      <c r="AD60" s="7" t="s">
        <v>1032</v>
      </c>
      <c r="AE60" s="11"/>
      <c r="AF60" s="11"/>
      <c r="AG60" s="432" t="e">
        <f t="shared" si="11"/>
        <v>#DIV/0!</v>
      </c>
      <c r="AH60" s="11" t="s">
        <v>50</v>
      </c>
      <c r="AI60" s="11"/>
      <c r="AJ60" s="7" t="s">
        <v>151</v>
      </c>
      <c r="AK60" s="7"/>
      <c r="AL60" s="11"/>
      <c r="AM60" s="11"/>
      <c r="AN60" s="11"/>
      <c r="AO60" s="11"/>
      <c r="AP60" s="11"/>
      <c r="AQ60" s="7"/>
      <c r="AR60" s="11"/>
      <c r="AS60" s="430"/>
    </row>
    <row r="61" spans="1:45" s="732" customFormat="1" ht="15" customHeight="1">
      <c r="A61" s="729" t="s">
        <v>776</v>
      </c>
      <c r="B61" s="729" t="s">
        <v>1033</v>
      </c>
      <c r="C61" s="729" t="s">
        <v>1034</v>
      </c>
      <c r="D61" s="104" t="s">
        <v>143</v>
      </c>
      <c r="E61" s="737" t="s">
        <v>249</v>
      </c>
      <c r="F61" s="104">
        <v>14.8477</v>
      </c>
      <c r="G61" s="104">
        <v>121.0722</v>
      </c>
      <c r="H61" s="104" t="str">
        <f t="shared" si="12"/>
        <v>14.8477,121.0722</v>
      </c>
      <c r="I61" s="104" t="s">
        <v>70</v>
      </c>
      <c r="J61" s="104">
        <v>2</v>
      </c>
      <c r="K61" s="104" t="s">
        <v>1035</v>
      </c>
      <c r="L61" s="104" t="s">
        <v>1036</v>
      </c>
      <c r="M61" s="104" t="s">
        <v>80</v>
      </c>
      <c r="N61" s="104" t="s">
        <v>508</v>
      </c>
      <c r="O61" s="104"/>
      <c r="P61" s="104" t="s">
        <v>201</v>
      </c>
      <c r="Q61" s="736" t="s">
        <v>1037</v>
      </c>
      <c r="R61" s="731">
        <v>45881</v>
      </c>
      <c r="S61" s="731">
        <v>45885</v>
      </c>
      <c r="T61" s="731"/>
      <c r="U61" s="731">
        <v>45887</v>
      </c>
      <c r="V61" s="731">
        <v>45888</v>
      </c>
      <c r="W61" s="45">
        <f t="shared" si="2"/>
        <v>3</v>
      </c>
      <c r="X61" s="45" t="str">
        <f t="shared" si="3"/>
        <v/>
      </c>
      <c r="Y61" s="45">
        <f t="shared" si="4"/>
        <v>1</v>
      </c>
      <c r="Z61" s="45">
        <f t="shared" si="5"/>
        <v>1</v>
      </c>
      <c r="AA61" s="104" t="s">
        <v>1038</v>
      </c>
      <c r="AB61" s="104"/>
      <c r="AC61" s="729"/>
      <c r="AD61" s="729"/>
      <c r="AE61" s="104" t="s">
        <v>1039</v>
      </c>
      <c r="AF61" s="104"/>
      <c r="AG61" s="738" t="e">
        <f t="shared" si="11"/>
        <v>#VALUE!</v>
      </c>
      <c r="AH61" s="104" t="s">
        <v>57</v>
      </c>
      <c r="AI61" s="104" t="s">
        <v>1040</v>
      </c>
      <c r="AJ61" s="729"/>
      <c r="AK61" s="729"/>
      <c r="AL61" s="104"/>
      <c r="AM61" s="104"/>
      <c r="AN61" s="104"/>
      <c r="AO61" s="104"/>
      <c r="AP61" s="104"/>
      <c r="AQ61" s="729"/>
      <c r="AR61" s="104"/>
      <c r="AS61" s="104"/>
    </row>
    <row r="62" spans="1:45" ht="15" customHeight="1">
      <c r="A62" s="7" t="s">
        <v>776</v>
      </c>
      <c r="B62" s="7" t="s">
        <v>1033</v>
      </c>
      <c r="C62" s="7" t="s">
        <v>1041</v>
      </c>
      <c r="D62" s="11" t="s">
        <v>143</v>
      </c>
      <c r="E62" s="75" t="s">
        <v>249</v>
      </c>
      <c r="F62" s="11">
        <v>14.8477</v>
      </c>
      <c r="G62" s="11">
        <v>121.0722</v>
      </c>
      <c r="H62" s="11" t="str">
        <f t="shared" si="12"/>
        <v>14.8477,121.0722</v>
      </c>
      <c r="I62" s="11" t="s">
        <v>70</v>
      </c>
      <c r="J62" s="11">
        <v>1</v>
      </c>
      <c r="K62" s="11">
        <v>2016</v>
      </c>
      <c r="L62" s="11">
        <v>270000</v>
      </c>
      <c r="M62" s="11" t="s">
        <v>80</v>
      </c>
      <c r="N62" s="11" t="s">
        <v>508</v>
      </c>
      <c r="O62" s="11"/>
      <c r="P62" s="11" t="s">
        <v>201</v>
      </c>
      <c r="Q62" s="11" t="s">
        <v>1042</v>
      </c>
      <c r="R62" s="34">
        <v>45881</v>
      </c>
      <c r="S62" s="34">
        <v>45885</v>
      </c>
      <c r="T62" s="34">
        <v>45887</v>
      </c>
      <c r="U62" s="34">
        <v>45888</v>
      </c>
      <c r="V62" s="34">
        <v>45888</v>
      </c>
      <c r="W62" s="45">
        <f t="shared" si="2"/>
        <v>3</v>
      </c>
      <c r="X62" s="45">
        <f t="shared" si="3"/>
        <v>1</v>
      </c>
      <c r="Y62" s="45">
        <f t="shared" si="4"/>
        <v>1</v>
      </c>
      <c r="Z62" s="45">
        <f t="shared" si="5"/>
        <v>1</v>
      </c>
      <c r="AA62" s="11" t="s">
        <v>150</v>
      </c>
      <c r="AB62" s="11">
        <v>59</v>
      </c>
      <c r="AC62" s="7" t="s">
        <v>1043</v>
      </c>
      <c r="AD62" s="7" t="s">
        <v>1044</v>
      </c>
      <c r="AE62" s="117">
        <v>17500</v>
      </c>
      <c r="AF62" s="117">
        <v>450000</v>
      </c>
      <c r="AG62" s="432">
        <f t="shared" si="11"/>
        <v>3.888888888888889E-2</v>
      </c>
      <c r="AH62" s="11" t="s">
        <v>50</v>
      </c>
      <c r="AI62" s="11"/>
      <c r="AJ62" s="7"/>
      <c r="AK62" s="7"/>
      <c r="AL62" s="11"/>
      <c r="AM62" s="11"/>
      <c r="AN62" s="11"/>
      <c r="AO62" s="11"/>
      <c r="AP62" s="11"/>
      <c r="AQ62" s="7"/>
      <c r="AR62" s="11"/>
      <c r="AS62" s="11"/>
    </row>
    <row r="63" spans="1:45" ht="48.75" customHeight="1">
      <c r="A63" s="7" t="s">
        <v>776</v>
      </c>
      <c r="B63" s="7" t="s">
        <v>1033</v>
      </c>
      <c r="C63" s="7" t="s">
        <v>1045</v>
      </c>
      <c r="D63" s="11" t="s">
        <v>143</v>
      </c>
      <c r="E63" s="75" t="s">
        <v>249</v>
      </c>
      <c r="F63" s="11">
        <v>14.820902999999999</v>
      </c>
      <c r="G63" s="11">
        <v>121.025722</v>
      </c>
      <c r="H63" s="11" t="str">
        <f t="shared" si="12"/>
        <v>14.820903,121.025722</v>
      </c>
      <c r="I63" s="11" t="s">
        <v>71</v>
      </c>
      <c r="J63" s="11">
        <v>1</v>
      </c>
      <c r="K63" s="11">
        <v>2017</v>
      </c>
      <c r="L63" s="117">
        <v>460000</v>
      </c>
      <c r="M63" s="11" t="s">
        <v>81</v>
      </c>
      <c r="N63" s="11" t="s">
        <v>508</v>
      </c>
      <c r="O63" s="11" t="s">
        <v>147</v>
      </c>
      <c r="P63" s="11" t="s">
        <v>201</v>
      </c>
      <c r="Q63" s="11" t="s">
        <v>1046</v>
      </c>
      <c r="R63" s="34">
        <v>45909</v>
      </c>
      <c r="S63" s="34">
        <v>45911</v>
      </c>
      <c r="T63" s="34">
        <v>45916</v>
      </c>
      <c r="U63" s="34">
        <v>45916</v>
      </c>
      <c r="V63" s="34">
        <v>45918</v>
      </c>
      <c r="W63" s="45">
        <f t="shared" si="2"/>
        <v>2</v>
      </c>
      <c r="X63" s="45">
        <f t="shared" si="3"/>
        <v>3</v>
      </c>
      <c r="Y63" s="45">
        <f>IF(
  OR(IF(T63&lt;&gt;"", T63, S63)="", U63=""),
  "",
  MAX(1,
    IF(
      NETWORKDAYS(IF(T63&lt;&gt;"", T63, S63), U63) &lt;= 0,
      1,
      NETWORKDAYS(IF(T63&lt;&gt;"", T63, S63), U63) - IF(IF(T63&lt;&gt;"", T63, S63)=U63, 0, 1)
    )
  )
)</f>
        <v>1</v>
      </c>
      <c r="Z63" s="45">
        <f t="shared" si="5"/>
        <v>2</v>
      </c>
      <c r="AA63" s="11" t="s">
        <v>150</v>
      </c>
      <c r="AB63" s="11">
        <v>1</v>
      </c>
      <c r="AC63" s="7" t="s">
        <v>1047</v>
      </c>
      <c r="AD63" s="7" t="s">
        <v>881</v>
      </c>
      <c r="AE63" s="7">
        <v>2110</v>
      </c>
      <c r="AF63" s="11">
        <v>8456</v>
      </c>
      <c r="AG63" s="432">
        <f t="shared" si="11"/>
        <v>0.24952696310312206</v>
      </c>
      <c r="AH63" s="11" t="s">
        <v>50</v>
      </c>
      <c r="AI63" s="11"/>
      <c r="AJ63" s="7"/>
      <c r="AK63" s="7"/>
      <c r="AL63" s="11"/>
      <c r="AM63" s="11"/>
      <c r="AN63" s="11"/>
      <c r="AO63" s="11"/>
      <c r="AP63" s="11"/>
      <c r="AQ63" s="7"/>
      <c r="AR63" s="11"/>
      <c r="AS63" s="11"/>
    </row>
    <row r="64" spans="1:45" ht="15" customHeight="1">
      <c r="A64" s="7" t="s">
        <v>776</v>
      </c>
      <c r="B64" s="7" t="s">
        <v>1033</v>
      </c>
      <c r="C64" s="7" t="s">
        <v>1048</v>
      </c>
      <c r="D64" s="11" t="s">
        <v>143</v>
      </c>
      <c r="E64" s="75" t="s">
        <v>249</v>
      </c>
      <c r="F64" s="11">
        <v>14.803364200000001</v>
      </c>
      <c r="G64" s="11">
        <v>121.0704497</v>
      </c>
      <c r="H64" s="11" t="str">
        <f t="shared" si="12"/>
        <v>14.8033642,121.0704497</v>
      </c>
      <c r="I64" s="11" t="s">
        <v>71</v>
      </c>
      <c r="J64" s="11">
        <v>1</v>
      </c>
      <c r="K64" s="11">
        <v>2017</v>
      </c>
      <c r="L64" s="117">
        <v>460000</v>
      </c>
      <c r="M64" s="11" t="s">
        <v>81</v>
      </c>
      <c r="N64" s="11" t="s">
        <v>508</v>
      </c>
      <c r="O64" s="11" t="s">
        <v>147</v>
      </c>
      <c r="P64" s="11" t="s">
        <v>201</v>
      </c>
      <c r="Q64" s="84" t="s">
        <v>1049</v>
      </c>
      <c r="R64" s="34">
        <v>45909</v>
      </c>
      <c r="S64" s="34">
        <v>45911</v>
      </c>
      <c r="T64" s="34">
        <v>45916</v>
      </c>
      <c r="U64" s="34">
        <v>45916</v>
      </c>
      <c r="V64" s="34">
        <v>45918</v>
      </c>
      <c r="W64" s="45">
        <f t="shared" si="2"/>
        <v>2</v>
      </c>
      <c r="X64" s="45">
        <f t="shared" si="3"/>
        <v>3</v>
      </c>
      <c r="Y64" s="45">
        <f t="shared" si="4"/>
        <v>1</v>
      </c>
      <c r="Z64" s="45">
        <f t="shared" si="5"/>
        <v>2</v>
      </c>
      <c r="AA64" s="11" t="s">
        <v>150</v>
      </c>
      <c r="AB64" s="11">
        <v>1</v>
      </c>
      <c r="AC64" s="7" t="s">
        <v>837</v>
      </c>
      <c r="AD64" s="7" t="s">
        <v>838</v>
      </c>
      <c r="AE64" s="11"/>
      <c r="AF64" s="83">
        <v>0.13089999999999999</v>
      </c>
      <c r="AG64" s="432">
        <f t="shared" si="11"/>
        <v>0</v>
      </c>
      <c r="AH64" s="11" t="s">
        <v>50</v>
      </c>
      <c r="AI64" s="11"/>
      <c r="AJ64" s="7"/>
      <c r="AK64" s="7"/>
      <c r="AL64" s="11"/>
      <c r="AM64" s="11"/>
      <c r="AN64" s="11"/>
      <c r="AO64" s="11"/>
      <c r="AP64" s="11"/>
      <c r="AQ64" s="7"/>
      <c r="AR64" s="11"/>
      <c r="AS64" s="11"/>
    </row>
    <row r="65" spans="1:45" ht="15" customHeight="1">
      <c r="A65" s="7" t="s">
        <v>776</v>
      </c>
      <c r="B65" s="7" t="s">
        <v>1050</v>
      </c>
      <c r="C65" s="7" t="s">
        <v>1051</v>
      </c>
      <c r="D65" s="11" t="s">
        <v>143</v>
      </c>
      <c r="E65" s="75" t="s">
        <v>144</v>
      </c>
      <c r="F65" s="11">
        <v>14.9831</v>
      </c>
      <c r="G65" s="11">
        <v>121.06</v>
      </c>
      <c r="H65" s="11" t="str">
        <f t="shared" si="12"/>
        <v>14.9831,121.06</v>
      </c>
      <c r="I65" s="11" t="s">
        <v>72</v>
      </c>
      <c r="J65" s="11"/>
      <c r="K65" s="11" t="s">
        <v>69</v>
      </c>
      <c r="L65" s="11" t="s">
        <v>69</v>
      </c>
      <c r="M65" s="11" t="s">
        <v>81</v>
      </c>
      <c r="N65" s="11" t="s">
        <v>200</v>
      </c>
      <c r="O65" s="11" t="s">
        <v>147</v>
      </c>
      <c r="P65" s="133" t="s">
        <v>201</v>
      </c>
      <c r="Q65" s="11" t="s">
        <v>1052</v>
      </c>
      <c r="R65" s="384">
        <v>45917</v>
      </c>
      <c r="S65" s="34">
        <v>45917</v>
      </c>
      <c r="T65" s="34">
        <v>45918</v>
      </c>
      <c r="U65" s="34">
        <v>45925</v>
      </c>
      <c r="V65" s="34">
        <v>45929</v>
      </c>
      <c r="W65" s="45">
        <f t="shared" si="2"/>
        <v>1</v>
      </c>
      <c r="X65" s="45">
        <f t="shared" si="3"/>
        <v>1</v>
      </c>
      <c r="Y65" s="45">
        <f t="shared" si="4"/>
        <v>5</v>
      </c>
      <c r="Z65" s="45">
        <f t="shared" si="5"/>
        <v>2</v>
      </c>
      <c r="AA65" s="11" t="s">
        <v>150</v>
      </c>
      <c r="AB65" s="11">
        <v>4</v>
      </c>
      <c r="AC65" s="7" t="s">
        <v>1053</v>
      </c>
      <c r="AD65" s="7" t="s">
        <v>1054</v>
      </c>
      <c r="AE65" s="11">
        <v>730</v>
      </c>
      <c r="AF65" s="11">
        <v>2500</v>
      </c>
      <c r="AG65" s="432">
        <f t="shared" si="11"/>
        <v>0.29199999999999998</v>
      </c>
      <c r="AH65" s="11" t="s">
        <v>50</v>
      </c>
      <c r="AI65" s="11"/>
      <c r="AJ65" s="7"/>
      <c r="AK65" s="7"/>
      <c r="AL65" s="11"/>
      <c r="AM65" s="11"/>
      <c r="AN65" s="11"/>
      <c r="AO65" s="11"/>
      <c r="AP65" s="11"/>
      <c r="AQ65" s="7"/>
      <c r="AR65" s="11"/>
      <c r="AS65" s="11"/>
    </row>
    <row r="66" spans="1:45" ht="15" customHeight="1">
      <c r="A66" s="7" t="s">
        <v>776</v>
      </c>
      <c r="B66" s="7" t="s">
        <v>1055</v>
      </c>
      <c r="C66" s="7" t="s">
        <v>1056</v>
      </c>
      <c r="D66" s="11" t="s">
        <v>143</v>
      </c>
      <c r="E66" s="75" t="s">
        <v>554</v>
      </c>
      <c r="F66" s="11">
        <v>14.824199999999999</v>
      </c>
      <c r="G66" s="11">
        <v>120.88</v>
      </c>
      <c r="H66" s="11" t="str">
        <f t="shared" si="12"/>
        <v>14.8242,120.88</v>
      </c>
      <c r="I66" s="11" t="s">
        <v>72</v>
      </c>
      <c r="J66" s="11"/>
      <c r="K66" s="11" t="s">
        <v>69</v>
      </c>
      <c r="L66" s="11" t="s">
        <v>69</v>
      </c>
      <c r="M66" s="11" t="s">
        <v>74</v>
      </c>
      <c r="N66" s="11" t="s">
        <v>388</v>
      </c>
      <c r="O66" s="11" t="s">
        <v>328</v>
      </c>
      <c r="P66" s="133" t="s">
        <v>201</v>
      </c>
      <c r="Q66" s="11" t="s">
        <v>1057</v>
      </c>
      <c r="R66" s="384">
        <v>45702</v>
      </c>
      <c r="S66" s="34">
        <v>45705</v>
      </c>
      <c r="T66" s="34">
        <v>45706</v>
      </c>
      <c r="U66" s="34">
        <v>45706</v>
      </c>
      <c r="V66" s="34">
        <v>45706</v>
      </c>
      <c r="W66" s="45">
        <f t="shared" si="2"/>
        <v>1</v>
      </c>
      <c r="X66" s="45">
        <f t="shared" si="3"/>
        <v>1</v>
      </c>
      <c r="Y66" s="45">
        <f t="shared" si="4"/>
        <v>1</v>
      </c>
      <c r="Z66" s="45">
        <f t="shared" si="5"/>
        <v>1</v>
      </c>
      <c r="AA66" s="11" t="s">
        <v>150</v>
      </c>
      <c r="AB66" s="11">
        <v>14</v>
      </c>
      <c r="AC66" s="7" t="s">
        <v>1058</v>
      </c>
      <c r="AD66" s="7" t="s">
        <v>916</v>
      </c>
      <c r="AE66" s="11">
        <v>5400</v>
      </c>
      <c r="AF66" s="11">
        <v>18000</v>
      </c>
      <c r="AG66" s="432">
        <f t="shared" si="11"/>
        <v>0.3</v>
      </c>
      <c r="AH66" s="11" t="s">
        <v>50</v>
      </c>
      <c r="AI66" s="11"/>
      <c r="AJ66" s="7"/>
      <c r="AK66" s="7"/>
      <c r="AL66" s="11"/>
      <c r="AM66" s="11"/>
      <c r="AN66" s="11"/>
      <c r="AO66" s="11"/>
      <c r="AP66" s="11"/>
      <c r="AQ66" s="7"/>
      <c r="AR66" s="11"/>
      <c r="AS66" s="430"/>
    </row>
    <row r="67" spans="1:45" ht="15" customHeight="1">
      <c r="A67" s="7" t="s">
        <v>776</v>
      </c>
      <c r="B67" s="7" t="s">
        <v>1055</v>
      </c>
      <c r="C67" s="7" t="s">
        <v>1059</v>
      </c>
      <c r="D67" s="11" t="s">
        <v>143</v>
      </c>
      <c r="E67" s="75" t="s">
        <v>554</v>
      </c>
      <c r="F67" s="11">
        <v>14.742096999999999</v>
      </c>
      <c r="G67" s="11">
        <v>120.912244</v>
      </c>
      <c r="H67" s="11" t="str">
        <f t="shared" si="12"/>
        <v>14.742097,120.912244</v>
      </c>
      <c r="I67" s="11" t="s">
        <v>70</v>
      </c>
      <c r="J67" s="11">
        <v>2</v>
      </c>
      <c r="K67" s="11" t="s">
        <v>1060</v>
      </c>
      <c r="L67" s="117" t="s">
        <v>1061</v>
      </c>
      <c r="M67" s="11" t="s">
        <v>74</v>
      </c>
      <c r="N67" s="11" t="s">
        <v>388</v>
      </c>
      <c r="O67" s="11" t="s">
        <v>328</v>
      </c>
      <c r="P67" s="11" t="s">
        <v>201</v>
      </c>
      <c r="Q67" s="376" t="s">
        <v>1062</v>
      </c>
      <c r="R67" s="34">
        <v>45695</v>
      </c>
      <c r="S67" s="34">
        <v>45697</v>
      </c>
      <c r="T67" s="34">
        <v>45698</v>
      </c>
      <c r="U67" s="34">
        <v>45699</v>
      </c>
      <c r="V67" s="34">
        <v>45701</v>
      </c>
      <c r="W67" s="45">
        <f t="shared" ref="W67:W130" si="13">IF(
    OR(ISBLANK(R67), ISBLANK(S67)),
    "",
    MAX(1, IF(
        NETWORKDAYS(R67, S67) &lt;= 0,
        1,
        NETWORKDAYS(R67, S67) - IF(R67 = S67, 0, 1)
    ))
)</f>
        <v>1</v>
      </c>
      <c r="X67" s="45">
        <f t="shared" ref="X67:X130" si="14">IF(
    OR(ISBLANK(S67), ISBLANK(T67)),
    "",
    MAX(1, IF(
        NETWORKDAYS(S67, T67) &lt;= 0,
        1,
        NETWORKDAYS(S67, T67) - IF(S67 = T67, 0, 1)
    ))
)</f>
        <v>1</v>
      </c>
      <c r="Y67" s="45">
        <f t="shared" ref="Y67:Y130" si="15">IF(
  OR(IF(T67&lt;&gt;"", T67, S67)="", U67=""),
  "",
  MAX(1,
    IF(
      NETWORKDAYS(IF(T67&lt;&gt;"", T67, S67), U67) &lt;= 0,
      1,
      NETWORKDAYS(IF(T67&lt;&gt;"", T67, S67), U67) - IF(IF(T67&lt;&gt;"", T67, S67)=U67, 0, 1)
    )
  )
)</f>
        <v>1</v>
      </c>
      <c r="Z67" s="45">
        <f t="shared" ref="Z67:Z130" si="16">IF(
    OR(ISBLANK(U67), ISBLANK(V67)),
    "",
    MAX(1, IF(
        NETWORKDAYS(U67, V67) &lt;= 0,
        1,
        NETWORKDAYS(U67, V67) - IF(U67 = V67, 0, 1)
    ))
)</f>
        <v>2</v>
      </c>
      <c r="AA67" s="431" t="s">
        <v>150</v>
      </c>
      <c r="AB67" s="11">
        <v>1</v>
      </c>
      <c r="AC67" s="7" t="s">
        <v>1004</v>
      </c>
      <c r="AD67" s="7" t="s">
        <v>1044</v>
      </c>
      <c r="AE67" s="11">
        <v>1630</v>
      </c>
      <c r="AF67" s="11">
        <v>5000</v>
      </c>
      <c r="AG67" s="432">
        <f t="shared" si="11"/>
        <v>0.32600000000000001</v>
      </c>
      <c r="AH67" s="11" t="s">
        <v>50</v>
      </c>
      <c r="AI67" s="11"/>
      <c r="AJ67" s="7" t="s">
        <v>151</v>
      </c>
      <c r="AK67" s="7"/>
      <c r="AL67" s="11"/>
      <c r="AM67" s="11"/>
      <c r="AN67" s="11"/>
      <c r="AO67" s="11"/>
      <c r="AP67" s="11"/>
      <c r="AQ67" s="7"/>
      <c r="AR67" s="11"/>
      <c r="AS67" s="430"/>
    </row>
    <row r="68" spans="1:45" ht="15" customHeight="1">
      <c r="A68" s="7" t="s">
        <v>776</v>
      </c>
      <c r="B68" s="7" t="s">
        <v>1063</v>
      </c>
      <c r="C68" s="7" t="s">
        <v>1064</v>
      </c>
      <c r="D68" s="11" t="s">
        <v>143</v>
      </c>
      <c r="E68" s="75" t="s">
        <v>160</v>
      </c>
      <c r="F68" s="11">
        <v>14.850300000000001</v>
      </c>
      <c r="G68" s="11">
        <v>120.765</v>
      </c>
      <c r="H68" s="11" t="str">
        <f t="shared" si="12"/>
        <v>14.8503,120.765</v>
      </c>
      <c r="I68" s="11" t="s">
        <v>72</v>
      </c>
      <c r="J68" s="11"/>
      <c r="K68" s="11" t="s">
        <v>69</v>
      </c>
      <c r="L68" s="11" t="s">
        <v>69</v>
      </c>
      <c r="M68" s="11" t="s">
        <v>75</v>
      </c>
      <c r="N68" s="11" t="s">
        <v>200</v>
      </c>
      <c r="O68" s="11"/>
      <c r="P68" s="11" t="s">
        <v>201</v>
      </c>
      <c r="Q68" s="11" t="s">
        <v>1065</v>
      </c>
      <c r="R68" s="34">
        <v>45722</v>
      </c>
      <c r="S68" s="34">
        <v>45726</v>
      </c>
      <c r="T68" s="34">
        <v>45727</v>
      </c>
      <c r="U68" s="34">
        <v>45734</v>
      </c>
      <c r="V68" s="34">
        <v>45735</v>
      </c>
      <c r="W68" s="45">
        <f t="shared" si="13"/>
        <v>2</v>
      </c>
      <c r="X68" s="45">
        <f t="shared" si="14"/>
        <v>1</v>
      </c>
      <c r="Y68" s="45">
        <f t="shared" si="15"/>
        <v>5</v>
      </c>
      <c r="Z68" s="45">
        <f t="shared" si="16"/>
        <v>1</v>
      </c>
      <c r="AA68" s="4" t="s">
        <v>150</v>
      </c>
      <c r="AB68" s="11">
        <v>6</v>
      </c>
      <c r="AC68" s="7" t="s">
        <v>1066</v>
      </c>
      <c r="AD68" s="7" t="s">
        <v>1054</v>
      </c>
      <c r="AE68" s="117">
        <v>60000</v>
      </c>
      <c r="AF68" s="11"/>
      <c r="AG68" s="432" t="e">
        <f t="shared" si="11"/>
        <v>#DIV/0!</v>
      </c>
      <c r="AH68" s="11" t="s">
        <v>50</v>
      </c>
      <c r="AI68" s="11"/>
      <c r="AJ68" s="7"/>
      <c r="AK68" s="7"/>
      <c r="AL68" s="11"/>
      <c r="AM68" s="11"/>
      <c r="AN68" s="11"/>
      <c r="AO68" s="11"/>
      <c r="AP68" s="11"/>
      <c r="AQ68" s="7"/>
      <c r="AR68" s="11"/>
      <c r="AS68" s="430"/>
    </row>
    <row r="69" spans="1:45" ht="15" customHeight="1">
      <c r="A69" s="7" t="s">
        <v>776</v>
      </c>
      <c r="B69" s="7" t="s">
        <v>1067</v>
      </c>
      <c r="C69" s="7" t="s">
        <v>885</v>
      </c>
      <c r="D69" s="11" t="s">
        <v>143</v>
      </c>
      <c r="E69" s="75" t="s">
        <v>160</v>
      </c>
      <c r="F69" s="11">
        <v>14.8081</v>
      </c>
      <c r="G69" s="11">
        <v>120.84439999999999</v>
      </c>
      <c r="H69" s="11" t="str">
        <f t="shared" si="12"/>
        <v>14.8081,120.8444</v>
      </c>
      <c r="I69" s="11" t="s">
        <v>72</v>
      </c>
      <c r="J69" s="11"/>
      <c r="K69" s="11" t="s">
        <v>69</v>
      </c>
      <c r="L69" s="11" t="s">
        <v>69</v>
      </c>
      <c r="M69" s="11" t="s">
        <v>82</v>
      </c>
      <c r="N69" s="11" t="s">
        <v>200</v>
      </c>
      <c r="O69" s="11" t="s">
        <v>147</v>
      </c>
      <c r="P69" s="11" t="s">
        <v>201</v>
      </c>
      <c r="Q69" s="11" t="s">
        <v>1068</v>
      </c>
      <c r="R69" s="34">
        <v>45931</v>
      </c>
      <c r="S69" s="34">
        <v>45936</v>
      </c>
      <c r="T69" s="34">
        <v>45944</v>
      </c>
      <c r="U69" s="34">
        <v>45949</v>
      </c>
      <c r="V69" s="34">
        <v>45950</v>
      </c>
      <c r="W69" s="45">
        <f t="shared" si="13"/>
        <v>3</v>
      </c>
      <c r="X69" s="45">
        <f t="shared" si="14"/>
        <v>6</v>
      </c>
      <c r="Y69" s="45">
        <f t="shared" si="15"/>
        <v>3</v>
      </c>
      <c r="Z69" s="45">
        <f t="shared" si="16"/>
        <v>1</v>
      </c>
      <c r="AA69" s="4" t="s">
        <v>150</v>
      </c>
      <c r="AB69" s="11">
        <v>51</v>
      </c>
      <c r="AC69" s="7"/>
      <c r="AD69" s="7" t="s">
        <v>1069</v>
      </c>
      <c r="AE69" s="117">
        <v>51132</v>
      </c>
      <c r="AF69" s="11">
        <v>69938</v>
      </c>
      <c r="AG69" s="432">
        <f t="shared" si="11"/>
        <v>0.73110469272784462</v>
      </c>
      <c r="AH69" s="11" t="s">
        <v>50</v>
      </c>
      <c r="AI69" s="11"/>
      <c r="AJ69" s="7" t="s">
        <v>151</v>
      </c>
      <c r="AK69" s="7"/>
      <c r="AL69" s="11" t="s">
        <v>1070</v>
      </c>
      <c r="AM69" s="11"/>
      <c r="AN69" s="11"/>
      <c r="AO69" s="11"/>
      <c r="AP69" s="11"/>
      <c r="AQ69" s="7"/>
      <c r="AR69" s="11"/>
      <c r="AS69" s="11"/>
    </row>
    <row r="70" spans="1:45" ht="15" customHeight="1">
      <c r="A70" s="7" t="s">
        <v>776</v>
      </c>
      <c r="B70" s="7" t="s">
        <v>1071</v>
      </c>
      <c r="C70" s="7" t="s">
        <v>1072</v>
      </c>
      <c r="D70" s="11" t="s">
        <v>143</v>
      </c>
      <c r="E70" s="75" t="s">
        <v>233</v>
      </c>
      <c r="F70" s="11">
        <v>14.770871</v>
      </c>
      <c r="G70" s="11">
        <v>120.975582</v>
      </c>
      <c r="H70" s="11" t="str">
        <f t="shared" si="12"/>
        <v>14.770871,120.975582</v>
      </c>
      <c r="I70" s="11" t="s">
        <v>71</v>
      </c>
      <c r="J70" s="11">
        <v>1</v>
      </c>
      <c r="K70" s="11">
        <v>2017</v>
      </c>
      <c r="L70" s="117">
        <v>460000</v>
      </c>
      <c r="M70" s="11" t="s">
        <v>77</v>
      </c>
      <c r="N70" s="11" t="s">
        <v>508</v>
      </c>
      <c r="O70" s="11"/>
      <c r="P70" s="11" t="s">
        <v>201</v>
      </c>
      <c r="Q70" s="11" t="s">
        <v>1073</v>
      </c>
      <c r="R70" s="34">
        <v>45792</v>
      </c>
      <c r="S70" s="34">
        <v>45796</v>
      </c>
      <c r="T70" s="34">
        <v>45796</v>
      </c>
      <c r="U70" s="34">
        <v>45797</v>
      </c>
      <c r="V70" s="34">
        <v>45797</v>
      </c>
      <c r="W70" s="45">
        <f t="shared" si="13"/>
        <v>2</v>
      </c>
      <c r="X70" s="45">
        <f t="shared" si="14"/>
        <v>1</v>
      </c>
      <c r="Y70" s="45">
        <f t="shared" si="15"/>
        <v>1</v>
      </c>
      <c r="Z70" s="45">
        <f t="shared" si="16"/>
        <v>1</v>
      </c>
      <c r="AA70" s="434" t="s">
        <v>150</v>
      </c>
      <c r="AB70" s="11">
        <v>0</v>
      </c>
      <c r="AC70" s="7" t="s">
        <v>815</v>
      </c>
      <c r="AD70" s="7" t="s">
        <v>69</v>
      </c>
      <c r="AE70" s="7" t="s">
        <v>69</v>
      </c>
      <c r="AF70" s="7" t="s">
        <v>69</v>
      </c>
      <c r="AG70" s="432" t="e">
        <f t="shared" si="11"/>
        <v>#VALUE!</v>
      </c>
      <c r="AH70" s="11" t="s">
        <v>57</v>
      </c>
      <c r="AI70" s="437" t="s">
        <v>1074</v>
      </c>
      <c r="AJ70" s="7" t="s">
        <v>809</v>
      </c>
      <c r="AK70" s="7"/>
      <c r="AL70" s="11" t="s">
        <v>56</v>
      </c>
      <c r="AM70" s="11"/>
      <c r="AN70" s="11"/>
      <c r="AO70" s="11"/>
      <c r="AP70" s="11"/>
      <c r="AQ70" s="7"/>
      <c r="AR70" s="11"/>
      <c r="AS70" s="11"/>
    </row>
    <row r="71" spans="1:45" ht="15" customHeight="1">
      <c r="A71" s="4" t="s">
        <v>776</v>
      </c>
      <c r="B71" s="4" t="s">
        <v>1071</v>
      </c>
      <c r="C71" s="4" t="s">
        <v>1075</v>
      </c>
      <c r="D71" s="9" t="s">
        <v>143</v>
      </c>
      <c r="E71" s="63" t="s">
        <v>233</v>
      </c>
      <c r="F71" s="9">
        <v>14.777778</v>
      </c>
      <c r="G71" s="9">
        <v>121.021111</v>
      </c>
      <c r="H71" s="9" t="str">
        <f t="shared" si="12"/>
        <v>14.777778,121.021111</v>
      </c>
      <c r="I71" s="9" t="s">
        <v>71</v>
      </c>
      <c r="J71" s="9">
        <v>1</v>
      </c>
      <c r="K71" s="9">
        <v>2017</v>
      </c>
      <c r="L71" s="578">
        <v>460000</v>
      </c>
      <c r="M71" s="9" t="s">
        <v>79</v>
      </c>
      <c r="N71" s="11" t="s">
        <v>508</v>
      </c>
      <c r="O71" s="9"/>
      <c r="P71" s="9" t="s">
        <v>201</v>
      </c>
      <c r="Q71" s="455" t="s">
        <v>1076</v>
      </c>
      <c r="R71" s="574">
        <v>45854</v>
      </c>
      <c r="S71" s="574">
        <v>45856</v>
      </c>
      <c r="T71" s="574">
        <v>45859</v>
      </c>
      <c r="U71" s="574">
        <v>45859</v>
      </c>
      <c r="V71" s="574">
        <v>45859</v>
      </c>
      <c r="W71" s="45">
        <f t="shared" si="13"/>
        <v>2</v>
      </c>
      <c r="X71" s="45">
        <f t="shared" si="14"/>
        <v>1</v>
      </c>
      <c r="Y71" s="45">
        <f t="shared" si="15"/>
        <v>1</v>
      </c>
      <c r="Z71" s="45">
        <f t="shared" si="16"/>
        <v>1</v>
      </c>
      <c r="AA71" s="9" t="s">
        <v>150</v>
      </c>
      <c r="AB71" s="9"/>
      <c r="AC71" s="4"/>
      <c r="AD71" s="4" t="s">
        <v>1077</v>
      </c>
      <c r="AE71" s="9" t="s">
        <v>69</v>
      </c>
      <c r="AF71" s="9" t="s">
        <v>69</v>
      </c>
      <c r="AG71" s="579" t="e">
        <f t="shared" si="11"/>
        <v>#VALUE!</v>
      </c>
      <c r="AH71" s="9" t="s">
        <v>57</v>
      </c>
      <c r="AI71" s="4" t="s">
        <v>1078</v>
      </c>
      <c r="AJ71" s="4"/>
      <c r="AK71" s="4"/>
      <c r="AL71" s="9"/>
      <c r="AM71" s="9"/>
      <c r="AN71" s="9"/>
      <c r="AO71" s="9"/>
      <c r="AP71" s="9"/>
      <c r="AQ71" s="4"/>
      <c r="AR71" s="9"/>
      <c r="AS71" s="9"/>
    </row>
    <row r="72" spans="1:45" ht="15" customHeight="1">
      <c r="A72" s="7" t="s">
        <v>776</v>
      </c>
      <c r="B72" s="7" t="s">
        <v>1071</v>
      </c>
      <c r="C72" s="7" t="s">
        <v>1079</v>
      </c>
      <c r="D72" s="11" t="s">
        <v>143</v>
      </c>
      <c r="E72" s="75" t="s">
        <v>233</v>
      </c>
      <c r="F72" s="11">
        <v>14.790699999999999</v>
      </c>
      <c r="G72" s="11">
        <v>120.98480000000001</v>
      </c>
      <c r="H72" s="11" t="str">
        <f t="shared" si="12"/>
        <v>14.7907,120.9848</v>
      </c>
      <c r="I72" s="11" t="s">
        <v>72</v>
      </c>
      <c r="J72" s="11"/>
      <c r="K72" s="11" t="s">
        <v>69</v>
      </c>
      <c r="L72" s="11" t="s">
        <v>69</v>
      </c>
      <c r="M72" s="11" t="s">
        <v>77</v>
      </c>
      <c r="N72" s="11" t="s">
        <v>508</v>
      </c>
      <c r="O72" s="11"/>
      <c r="P72" s="11" t="s">
        <v>201</v>
      </c>
      <c r="Q72" s="11" t="s">
        <v>1080</v>
      </c>
      <c r="R72" s="34">
        <v>45793</v>
      </c>
      <c r="S72" s="34">
        <v>45797</v>
      </c>
      <c r="T72" s="34">
        <v>45797</v>
      </c>
      <c r="U72" s="34"/>
      <c r="V72" s="34">
        <v>45798</v>
      </c>
      <c r="W72" s="45">
        <f t="shared" si="13"/>
        <v>2</v>
      </c>
      <c r="X72" s="45">
        <f t="shared" si="14"/>
        <v>1</v>
      </c>
      <c r="Y72" s="45" t="str">
        <f t="shared" si="15"/>
        <v/>
      </c>
      <c r="Z72" s="45" t="str">
        <f t="shared" si="16"/>
        <v/>
      </c>
      <c r="AA72" s="11" t="s">
        <v>150</v>
      </c>
      <c r="AB72" s="11">
        <v>16</v>
      </c>
      <c r="AC72" s="7" t="s">
        <v>1081</v>
      </c>
      <c r="AD72" s="7" t="s">
        <v>851</v>
      </c>
      <c r="AE72" s="117">
        <v>18075</v>
      </c>
      <c r="AF72" s="117">
        <v>90210</v>
      </c>
      <c r="AG72" s="432">
        <f t="shared" si="11"/>
        <v>0.20036581310276022</v>
      </c>
      <c r="AH72" s="11" t="s">
        <v>50</v>
      </c>
      <c r="AI72" s="11"/>
      <c r="AJ72" s="7" t="s">
        <v>151</v>
      </c>
      <c r="AK72" s="7"/>
      <c r="AL72" s="11"/>
      <c r="AM72" s="11"/>
      <c r="AN72" s="11"/>
      <c r="AO72" s="11"/>
      <c r="AP72" s="11"/>
      <c r="AQ72" s="7"/>
      <c r="AR72" s="11"/>
      <c r="AS72" s="11"/>
    </row>
    <row r="73" spans="1:45" s="732" customFormat="1" ht="41.25" customHeight="1">
      <c r="A73" s="729" t="s">
        <v>776</v>
      </c>
      <c r="B73" s="729" t="s">
        <v>1082</v>
      </c>
      <c r="C73" s="739" t="s">
        <v>1083</v>
      </c>
      <c r="D73" s="104" t="s">
        <v>143</v>
      </c>
      <c r="E73" s="737" t="s">
        <v>233</v>
      </c>
      <c r="F73" s="104">
        <v>14.725394</v>
      </c>
      <c r="G73" s="104">
        <v>120.96915199999999</v>
      </c>
      <c r="H73" s="104" t="str">
        <f t="shared" si="12"/>
        <v>14.725394,120.969152</v>
      </c>
      <c r="I73" s="104" t="s">
        <v>71</v>
      </c>
      <c r="J73" s="104">
        <v>1</v>
      </c>
      <c r="K73" s="104">
        <v>2017</v>
      </c>
      <c r="L73" s="740">
        <v>460000</v>
      </c>
      <c r="M73" s="104" t="s">
        <v>83</v>
      </c>
      <c r="N73" s="104" t="s">
        <v>508</v>
      </c>
      <c r="O73" s="104" t="s">
        <v>147</v>
      </c>
      <c r="P73" s="104" t="s">
        <v>201</v>
      </c>
      <c r="Q73" s="104" t="s">
        <v>1084</v>
      </c>
      <c r="R73" s="731">
        <v>45968</v>
      </c>
      <c r="S73" s="731">
        <v>45971</v>
      </c>
      <c r="T73" s="731">
        <v>45979</v>
      </c>
      <c r="U73" s="731">
        <v>45980</v>
      </c>
      <c r="V73" s="731">
        <v>45980</v>
      </c>
      <c r="W73" s="45">
        <f t="shared" si="13"/>
        <v>1</v>
      </c>
      <c r="X73" s="45">
        <f t="shared" si="14"/>
        <v>6</v>
      </c>
      <c r="Y73" s="45">
        <f t="shared" si="15"/>
        <v>1</v>
      </c>
      <c r="Z73" s="45">
        <f t="shared" si="16"/>
        <v>1</v>
      </c>
      <c r="AA73" s="104" t="s">
        <v>1085</v>
      </c>
      <c r="AB73" s="104">
        <v>1</v>
      </c>
      <c r="AC73" s="729" t="s">
        <v>815</v>
      </c>
      <c r="AD73" s="729" t="s">
        <v>937</v>
      </c>
      <c r="AE73" s="104"/>
      <c r="AF73" s="104"/>
      <c r="AG73" s="738"/>
      <c r="AH73" s="104" t="s">
        <v>50</v>
      </c>
      <c r="AI73" s="104" t="s">
        <v>4</v>
      </c>
      <c r="AJ73" s="729" t="s">
        <v>809</v>
      </c>
      <c r="AK73" s="729"/>
      <c r="AL73" s="104" t="s">
        <v>56</v>
      </c>
      <c r="AM73" s="104"/>
      <c r="AN73" s="104"/>
      <c r="AO73" s="104"/>
      <c r="AP73" s="104"/>
      <c r="AQ73" s="729"/>
      <c r="AR73" s="104"/>
      <c r="AS73" s="104"/>
    </row>
    <row r="74" spans="1:45" ht="15" customHeight="1">
      <c r="A74" s="7" t="s">
        <v>776</v>
      </c>
      <c r="B74" s="7" t="s">
        <v>1082</v>
      </c>
      <c r="C74" s="7" t="s">
        <v>1086</v>
      </c>
      <c r="D74" s="11" t="s">
        <v>143</v>
      </c>
      <c r="E74" s="75" t="s">
        <v>233</v>
      </c>
      <c r="F74" s="11">
        <v>14.7743</v>
      </c>
      <c r="G74" s="11">
        <v>121.0086</v>
      </c>
      <c r="H74" s="11" t="str">
        <f t="shared" si="12"/>
        <v>14.7743,121.0086</v>
      </c>
      <c r="I74" s="11" t="s">
        <v>72</v>
      </c>
      <c r="J74" s="11"/>
      <c r="K74" s="11" t="s">
        <v>69</v>
      </c>
      <c r="L74" s="11" t="s">
        <v>69</v>
      </c>
      <c r="M74" s="11" t="s">
        <v>77</v>
      </c>
      <c r="N74" s="11" t="s">
        <v>508</v>
      </c>
      <c r="O74" s="11"/>
      <c r="P74" s="11" t="s">
        <v>201</v>
      </c>
      <c r="Q74" s="11" t="s">
        <v>1087</v>
      </c>
      <c r="R74" s="34">
        <v>45792</v>
      </c>
      <c r="S74" s="34">
        <v>45796</v>
      </c>
      <c r="T74" s="34"/>
      <c r="U74" s="34">
        <v>45797</v>
      </c>
      <c r="V74" s="34">
        <v>45797</v>
      </c>
      <c r="W74" s="45">
        <f t="shared" si="13"/>
        <v>2</v>
      </c>
      <c r="X74" s="45" t="str">
        <f t="shared" si="14"/>
        <v/>
      </c>
      <c r="Y74" s="45">
        <f t="shared" si="15"/>
        <v>1</v>
      </c>
      <c r="Z74" s="45">
        <f t="shared" si="16"/>
        <v>1</v>
      </c>
      <c r="AA74" s="11" t="s">
        <v>150</v>
      </c>
      <c r="AB74" s="11">
        <v>26</v>
      </c>
      <c r="AC74" s="7" t="s">
        <v>69</v>
      </c>
      <c r="AD74" s="7" t="s">
        <v>851</v>
      </c>
      <c r="AE74" s="11">
        <v>6730</v>
      </c>
      <c r="AF74" s="11">
        <v>65900</v>
      </c>
      <c r="AG74" s="432">
        <f t="shared" ref="AG74:AG88" si="17">(AE74/AF74)</f>
        <v>0.10212443095599393</v>
      </c>
      <c r="AH74" s="11" t="s">
        <v>50</v>
      </c>
      <c r="AI74" s="11"/>
      <c r="AJ74" s="7"/>
      <c r="AK74" s="7"/>
      <c r="AL74" s="11"/>
      <c r="AM74" s="11"/>
      <c r="AN74" s="11"/>
      <c r="AO74" s="11"/>
      <c r="AP74" s="11"/>
      <c r="AQ74" s="7"/>
      <c r="AR74" s="11"/>
      <c r="AS74" s="11"/>
    </row>
    <row r="75" spans="1:45" ht="15" customHeight="1">
      <c r="A75" s="7" t="s">
        <v>776</v>
      </c>
      <c r="B75" s="7" t="s">
        <v>1082</v>
      </c>
      <c r="C75" s="7" t="s">
        <v>1088</v>
      </c>
      <c r="D75" s="11" t="s">
        <v>143</v>
      </c>
      <c r="E75" s="75" t="s">
        <v>233</v>
      </c>
      <c r="F75" s="11">
        <v>14.744464000000001</v>
      </c>
      <c r="G75" s="11">
        <v>120.95504029999999</v>
      </c>
      <c r="H75" s="11" t="str">
        <f t="shared" si="12"/>
        <v>14.744464,120.9550403</v>
      </c>
      <c r="I75" s="11" t="s">
        <v>71</v>
      </c>
      <c r="J75" s="11">
        <v>1</v>
      </c>
      <c r="K75" s="11">
        <v>2017</v>
      </c>
      <c r="L75" s="117">
        <v>460000</v>
      </c>
      <c r="M75" s="11" t="s">
        <v>77</v>
      </c>
      <c r="N75" s="11" t="s">
        <v>508</v>
      </c>
      <c r="O75" s="11"/>
      <c r="P75" s="11" t="s">
        <v>201</v>
      </c>
      <c r="Q75" s="84" t="s">
        <v>1089</v>
      </c>
      <c r="R75" s="34">
        <v>45792</v>
      </c>
      <c r="S75" s="34">
        <v>45796</v>
      </c>
      <c r="T75" s="34">
        <v>45796</v>
      </c>
      <c r="U75" s="34">
        <v>45797</v>
      </c>
      <c r="V75" s="34">
        <v>45797</v>
      </c>
      <c r="W75" s="45">
        <f t="shared" si="13"/>
        <v>2</v>
      </c>
      <c r="X75" s="45">
        <f t="shared" si="14"/>
        <v>1</v>
      </c>
      <c r="Y75" s="45">
        <f t="shared" si="15"/>
        <v>1</v>
      </c>
      <c r="Z75" s="45">
        <f t="shared" si="16"/>
        <v>1</v>
      </c>
      <c r="AA75" s="434" t="s">
        <v>150</v>
      </c>
      <c r="AB75" s="11">
        <v>1</v>
      </c>
      <c r="AC75" s="7" t="s">
        <v>815</v>
      </c>
      <c r="AD75" s="7" t="s">
        <v>851</v>
      </c>
      <c r="AE75" s="11">
        <v>140</v>
      </c>
      <c r="AF75" s="82">
        <v>3196.96</v>
      </c>
      <c r="AG75" s="432">
        <f t="shared" si="17"/>
        <v>4.3791602021920825E-2</v>
      </c>
      <c r="AH75" s="11" t="s">
        <v>50</v>
      </c>
      <c r="AI75" s="11"/>
      <c r="AJ75" s="7"/>
      <c r="AK75" s="7"/>
      <c r="AL75" s="11"/>
      <c r="AM75" s="11"/>
      <c r="AN75" s="11"/>
      <c r="AO75" s="11"/>
      <c r="AP75" s="11"/>
      <c r="AQ75" s="7"/>
      <c r="AR75" s="11"/>
      <c r="AS75" s="11"/>
    </row>
    <row r="76" spans="1:45" ht="15" customHeight="1">
      <c r="A76" s="7" t="s">
        <v>776</v>
      </c>
      <c r="B76" s="7" t="s">
        <v>1090</v>
      </c>
      <c r="C76" s="7" t="s">
        <v>1091</v>
      </c>
      <c r="D76" s="11" t="s">
        <v>143</v>
      </c>
      <c r="E76" s="75" t="s">
        <v>599</v>
      </c>
      <c r="F76" s="11">
        <v>14.876657</v>
      </c>
      <c r="G76" s="11">
        <v>121.051275</v>
      </c>
      <c r="H76" s="11" t="str">
        <f t="shared" si="12"/>
        <v>14.876657,121.051275</v>
      </c>
      <c r="I76" s="11" t="s">
        <v>71</v>
      </c>
      <c r="J76" s="11">
        <v>1</v>
      </c>
      <c r="K76" s="11">
        <v>2017</v>
      </c>
      <c r="L76" s="117">
        <v>460000</v>
      </c>
      <c r="M76" s="11" t="s">
        <v>82</v>
      </c>
      <c r="N76" s="11" t="s">
        <v>508</v>
      </c>
      <c r="O76" s="11" t="s">
        <v>147</v>
      </c>
      <c r="P76" s="133" t="s">
        <v>201</v>
      </c>
      <c r="Q76" s="11" t="s">
        <v>1092</v>
      </c>
      <c r="R76" s="384">
        <v>45945</v>
      </c>
      <c r="S76" s="34">
        <v>45946</v>
      </c>
      <c r="T76" s="34">
        <v>45947</v>
      </c>
      <c r="U76" s="34">
        <v>45947</v>
      </c>
      <c r="V76" s="34">
        <v>45950</v>
      </c>
      <c r="W76" s="45">
        <f t="shared" si="13"/>
        <v>1</v>
      </c>
      <c r="X76" s="45">
        <f t="shared" si="14"/>
        <v>1</v>
      </c>
      <c r="Y76" s="45">
        <f t="shared" si="15"/>
        <v>1</v>
      </c>
      <c r="Z76" s="45">
        <f t="shared" si="16"/>
        <v>1</v>
      </c>
      <c r="AA76" s="11" t="s">
        <v>150</v>
      </c>
      <c r="AB76" s="11">
        <v>1</v>
      </c>
      <c r="AC76" s="7" t="s">
        <v>815</v>
      </c>
      <c r="AD76" s="7"/>
      <c r="AE76" s="11" t="s">
        <v>679</v>
      </c>
      <c r="AF76" s="11"/>
      <c r="AG76" s="432" t="e">
        <f t="shared" si="17"/>
        <v>#VALUE!</v>
      </c>
      <c r="AH76" s="11" t="s">
        <v>50</v>
      </c>
      <c r="AI76" s="11"/>
      <c r="AJ76" s="7"/>
      <c r="AK76" s="7"/>
      <c r="AL76" s="11"/>
      <c r="AM76" s="11"/>
      <c r="AN76" s="11"/>
      <c r="AO76" s="11"/>
      <c r="AP76" s="11"/>
      <c r="AQ76" s="7"/>
      <c r="AR76" s="11"/>
      <c r="AS76" s="11"/>
    </row>
    <row r="77" spans="1:45" s="732" customFormat="1" ht="15" customHeight="1">
      <c r="A77" s="729" t="s">
        <v>776</v>
      </c>
      <c r="B77" s="729" t="s">
        <v>1090</v>
      </c>
      <c r="C77" s="729" t="s">
        <v>1093</v>
      </c>
      <c r="D77" s="104" t="s">
        <v>143</v>
      </c>
      <c r="E77" s="737" t="s">
        <v>599</v>
      </c>
      <c r="F77" s="104">
        <v>14.742096999999999</v>
      </c>
      <c r="G77" s="104">
        <v>120.912244</v>
      </c>
      <c r="H77" s="104" t="str">
        <f t="shared" si="12"/>
        <v>14.742097,120.912244</v>
      </c>
      <c r="I77" s="104" t="s">
        <v>70</v>
      </c>
      <c r="J77" s="104">
        <v>1</v>
      </c>
      <c r="K77" s="104">
        <v>2018</v>
      </c>
      <c r="L77" s="734">
        <v>285000</v>
      </c>
      <c r="M77" s="104" t="s">
        <v>84</v>
      </c>
      <c r="N77" s="104" t="s">
        <v>508</v>
      </c>
      <c r="O77" s="104"/>
      <c r="P77" s="104" t="s">
        <v>201</v>
      </c>
      <c r="Q77" s="741" t="s">
        <v>1094</v>
      </c>
      <c r="R77" s="731">
        <v>45945</v>
      </c>
      <c r="S77" s="731">
        <v>46013</v>
      </c>
      <c r="T77" s="731"/>
      <c r="U77" s="731">
        <v>46014</v>
      </c>
      <c r="V77" s="731">
        <v>46014</v>
      </c>
      <c r="W77" s="45">
        <f t="shared" si="13"/>
        <v>48</v>
      </c>
      <c r="X77" s="45" t="str">
        <f t="shared" si="14"/>
        <v/>
      </c>
      <c r="Y77" s="45">
        <f t="shared" si="15"/>
        <v>1</v>
      </c>
      <c r="Z77" s="45">
        <f t="shared" si="16"/>
        <v>1</v>
      </c>
      <c r="AA77" s="104" t="s">
        <v>1095</v>
      </c>
      <c r="AB77" s="104">
        <v>13</v>
      </c>
      <c r="AC77" s="729"/>
      <c r="AD77" s="742" t="s">
        <v>937</v>
      </c>
      <c r="AE77" s="104"/>
      <c r="AF77" s="734"/>
      <c r="AG77" s="738" t="e">
        <f t="shared" si="17"/>
        <v>#DIV/0!</v>
      </c>
      <c r="AH77" s="104" t="s">
        <v>50</v>
      </c>
      <c r="AI77" s="104"/>
      <c r="AJ77" s="729"/>
      <c r="AK77" s="729"/>
      <c r="AL77" s="104"/>
      <c r="AM77" s="104"/>
      <c r="AN77" s="104"/>
      <c r="AO77" s="104"/>
      <c r="AP77" s="104"/>
      <c r="AQ77" s="729"/>
      <c r="AR77" s="104"/>
      <c r="AS77" s="104"/>
    </row>
    <row r="78" spans="1:45" ht="15" customHeight="1">
      <c r="A78" s="7" t="s">
        <v>777</v>
      </c>
      <c r="B78" s="7" t="s">
        <v>1096</v>
      </c>
      <c r="C78" s="7" t="s">
        <v>1097</v>
      </c>
      <c r="D78" s="75" t="s">
        <v>159</v>
      </c>
      <c r="E78" s="75" t="s">
        <v>160</v>
      </c>
      <c r="F78" s="11">
        <v>15.8117</v>
      </c>
      <c r="G78" s="11">
        <v>120.67749999999999</v>
      </c>
      <c r="H78" s="11" t="str">
        <f t="shared" si="12"/>
        <v>15.8117,120.6775</v>
      </c>
      <c r="I78" s="11" t="s">
        <v>70</v>
      </c>
      <c r="J78" s="11">
        <v>1</v>
      </c>
      <c r="K78" s="11">
        <v>2019</v>
      </c>
      <c r="L78" s="11">
        <v>500000</v>
      </c>
      <c r="M78" s="11" t="s">
        <v>77</v>
      </c>
      <c r="N78" s="11" t="s">
        <v>29</v>
      </c>
      <c r="O78" s="11" t="s">
        <v>28</v>
      </c>
      <c r="P78" s="11" t="s">
        <v>212</v>
      </c>
      <c r="Q78" s="441" t="s">
        <v>1098</v>
      </c>
      <c r="R78" s="34">
        <v>45786</v>
      </c>
      <c r="S78" s="34">
        <v>45791</v>
      </c>
      <c r="T78" s="34">
        <v>45796</v>
      </c>
      <c r="U78" s="34">
        <v>45796</v>
      </c>
      <c r="V78" s="34">
        <v>45796</v>
      </c>
      <c r="W78" s="45">
        <f t="shared" si="13"/>
        <v>3</v>
      </c>
      <c r="X78" s="45">
        <f t="shared" si="14"/>
        <v>3</v>
      </c>
      <c r="Y78" s="45">
        <f t="shared" si="15"/>
        <v>1</v>
      </c>
      <c r="Z78" s="45">
        <f t="shared" si="16"/>
        <v>1</v>
      </c>
      <c r="AA78" s="434" t="s">
        <v>150</v>
      </c>
      <c r="AB78" s="11">
        <v>51</v>
      </c>
      <c r="AC78" s="7" t="s">
        <v>1099</v>
      </c>
      <c r="AD78" s="7" t="s">
        <v>851</v>
      </c>
      <c r="AE78" s="11">
        <v>735.6</v>
      </c>
      <c r="AF78" s="11">
        <v>38116.959999999999</v>
      </c>
      <c r="AG78" s="432">
        <f t="shared" si="17"/>
        <v>1.9298495997582179E-2</v>
      </c>
      <c r="AH78" s="11" t="s">
        <v>50</v>
      </c>
      <c r="AI78" s="11"/>
      <c r="AJ78" s="7" t="s">
        <v>151</v>
      </c>
      <c r="AK78" s="7"/>
      <c r="AL78" s="11"/>
      <c r="AM78" s="11"/>
      <c r="AN78" s="11"/>
      <c r="AO78" s="11"/>
      <c r="AP78" s="11"/>
      <c r="AQ78" s="7"/>
      <c r="AR78" s="11"/>
      <c r="AS78" s="11"/>
    </row>
    <row r="79" spans="1:45" ht="75.75" customHeight="1">
      <c r="A79" s="7" t="s">
        <v>776</v>
      </c>
      <c r="B79" s="7" t="s">
        <v>1090</v>
      </c>
      <c r="C79" s="7" t="s">
        <v>1093</v>
      </c>
      <c r="D79" s="11" t="s">
        <v>143</v>
      </c>
      <c r="E79" s="75" t="s">
        <v>599</v>
      </c>
      <c r="F79" s="11">
        <v>14.915800000000001</v>
      </c>
      <c r="G79" s="11">
        <v>121.08799999999999</v>
      </c>
      <c r="H79" s="11" t="str">
        <f t="shared" si="12"/>
        <v>14.9158,121.088</v>
      </c>
      <c r="I79" s="11" t="s">
        <v>72</v>
      </c>
      <c r="J79" s="11"/>
      <c r="K79" s="11" t="s">
        <v>69</v>
      </c>
      <c r="L79" s="11" t="s">
        <v>69</v>
      </c>
      <c r="M79" s="11" t="s">
        <v>80</v>
      </c>
      <c r="N79" s="11" t="s">
        <v>508</v>
      </c>
      <c r="O79" s="11"/>
      <c r="P79" s="11" t="s">
        <v>201</v>
      </c>
      <c r="Q79" s="438" t="s">
        <v>1100</v>
      </c>
      <c r="R79" s="34">
        <v>45883</v>
      </c>
      <c r="S79" s="34">
        <v>45885</v>
      </c>
      <c r="T79" s="34"/>
      <c r="U79" s="34">
        <v>45904</v>
      </c>
      <c r="V79" s="34">
        <v>45909</v>
      </c>
      <c r="W79" s="45">
        <f t="shared" si="13"/>
        <v>1</v>
      </c>
      <c r="X79" s="45" t="str">
        <f t="shared" si="14"/>
        <v/>
      </c>
      <c r="Y79" s="45">
        <f>IF(
  OR(IF(T79&lt;&gt;"", T79, S79)="", U79=""),
  "",
  MAX(1,
    IF(
      NETWORKDAYS(IF(T79&lt;&gt;"", T79, S79), U79) &lt;= 0,
      1,
      NETWORKDAYS(IF(T79&lt;&gt;"", T79, S79), U79) - IF(IF(T79&lt;&gt;"", T79, S79)=U79, 0, 1)
    )
  )
)</f>
        <v>13</v>
      </c>
      <c r="Z79" s="45">
        <f t="shared" si="16"/>
        <v>3</v>
      </c>
      <c r="AA79" s="11" t="s">
        <v>150</v>
      </c>
      <c r="AB79" s="11">
        <v>13</v>
      </c>
      <c r="AC79" s="7" t="s">
        <v>1101</v>
      </c>
      <c r="AD79" s="7" t="s">
        <v>945</v>
      </c>
      <c r="AE79" s="117">
        <v>4806</v>
      </c>
      <c r="AF79" s="11">
        <v>68038</v>
      </c>
      <c r="AG79" s="432">
        <f t="shared" si="17"/>
        <v>7.0636996972280194E-2</v>
      </c>
      <c r="AH79" s="11" t="s">
        <v>50</v>
      </c>
      <c r="AI79" s="11"/>
      <c r="AJ79" s="7"/>
      <c r="AK79" s="7"/>
      <c r="AL79" s="11"/>
      <c r="AM79" s="11"/>
      <c r="AN79" s="11"/>
      <c r="AO79" s="11"/>
      <c r="AP79" s="11"/>
      <c r="AQ79" s="7"/>
      <c r="AR79" s="11"/>
      <c r="AS79" s="11"/>
    </row>
    <row r="80" spans="1:45" s="62" customFormat="1" ht="15" customHeight="1">
      <c r="A80" s="7" t="s">
        <v>776</v>
      </c>
      <c r="B80" s="7" t="s">
        <v>1102</v>
      </c>
      <c r="C80" s="463" t="s">
        <v>902</v>
      </c>
      <c r="D80" s="11" t="s">
        <v>143</v>
      </c>
      <c r="E80" s="75" t="s">
        <v>233</v>
      </c>
      <c r="F80" s="11">
        <v>14.717283999999999</v>
      </c>
      <c r="G80" s="11">
        <v>120.90571199999999</v>
      </c>
      <c r="H80" s="11" t="str">
        <f t="shared" si="12"/>
        <v>14.717284,120.905712</v>
      </c>
      <c r="I80" s="11" t="s">
        <v>71</v>
      </c>
      <c r="J80" s="11">
        <v>1</v>
      </c>
      <c r="K80" s="11">
        <v>2017</v>
      </c>
      <c r="L80" s="117">
        <v>460000</v>
      </c>
      <c r="M80" s="11" t="s">
        <v>81</v>
      </c>
      <c r="N80" s="11" t="s">
        <v>508</v>
      </c>
      <c r="O80" s="11" t="s">
        <v>147</v>
      </c>
      <c r="P80" s="11" t="s">
        <v>201</v>
      </c>
      <c r="Q80" s="78" t="s">
        <v>1103</v>
      </c>
      <c r="R80" s="34">
        <v>45916</v>
      </c>
      <c r="S80" s="34">
        <v>45917</v>
      </c>
      <c r="T80" s="34">
        <v>45924</v>
      </c>
      <c r="U80" s="34">
        <v>45929</v>
      </c>
      <c r="V80" s="34">
        <v>45929</v>
      </c>
      <c r="W80" s="45">
        <f t="shared" si="13"/>
        <v>1</v>
      </c>
      <c r="X80" s="45">
        <f t="shared" si="14"/>
        <v>5</v>
      </c>
      <c r="Y80" s="45">
        <f t="shared" si="15"/>
        <v>3</v>
      </c>
      <c r="Z80" s="45">
        <f t="shared" si="16"/>
        <v>1</v>
      </c>
      <c r="AA80" s="7" t="s">
        <v>150</v>
      </c>
      <c r="AB80" s="11">
        <v>1</v>
      </c>
      <c r="AC80" s="7"/>
      <c r="AD80" s="7" t="s">
        <v>876</v>
      </c>
      <c r="AE80" s="11">
        <v>100.9</v>
      </c>
      <c r="AF80" s="11">
        <v>335</v>
      </c>
      <c r="AG80" s="432">
        <f t="shared" si="17"/>
        <v>0.30119402985074628</v>
      </c>
      <c r="AH80" s="11" t="s">
        <v>50</v>
      </c>
      <c r="AI80" s="11"/>
      <c r="AJ80" s="7"/>
      <c r="AK80" s="7"/>
      <c r="AL80" s="11"/>
      <c r="AM80" s="11"/>
      <c r="AN80" s="11"/>
      <c r="AO80" s="11"/>
      <c r="AP80" s="11"/>
      <c r="AQ80" s="7"/>
      <c r="AR80" s="11"/>
      <c r="AS80" s="430"/>
    </row>
    <row r="81" spans="1:45" ht="15" customHeight="1">
      <c r="A81" s="7" t="s">
        <v>776</v>
      </c>
      <c r="B81" s="7" t="s">
        <v>1102</v>
      </c>
      <c r="C81" s="316" t="s">
        <v>902</v>
      </c>
      <c r="D81" s="11" t="s">
        <v>143</v>
      </c>
      <c r="E81" s="75" t="s">
        <v>233</v>
      </c>
      <c r="F81" s="11">
        <v>14.904674999999999</v>
      </c>
      <c r="G81" s="11">
        <v>120.971828</v>
      </c>
      <c r="H81" s="11" t="str">
        <f t="shared" si="12"/>
        <v>14.904675,120.971828</v>
      </c>
      <c r="I81" s="11" t="s">
        <v>70</v>
      </c>
      <c r="J81" s="11">
        <v>2</v>
      </c>
      <c r="K81" s="11" t="s">
        <v>1104</v>
      </c>
      <c r="L81" s="82" t="s">
        <v>1105</v>
      </c>
      <c r="M81" s="11" t="s">
        <v>75</v>
      </c>
      <c r="N81" s="11" t="s">
        <v>508</v>
      </c>
      <c r="O81" s="11" t="s">
        <v>328</v>
      </c>
      <c r="P81" s="11" t="s">
        <v>201</v>
      </c>
      <c r="Q81" s="374" t="s">
        <v>1106</v>
      </c>
      <c r="R81" s="34">
        <v>45723</v>
      </c>
      <c r="S81" s="34">
        <v>45732</v>
      </c>
      <c r="T81" s="34">
        <v>45733</v>
      </c>
      <c r="U81" s="34">
        <v>45733</v>
      </c>
      <c r="V81" s="34">
        <v>45735</v>
      </c>
      <c r="W81" s="45">
        <f t="shared" si="13"/>
        <v>5</v>
      </c>
      <c r="X81" s="45">
        <f t="shared" si="14"/>
        <v>1</v>
      </c>
      <c r="Y81" s="45">
        <f t="shared" si="15"/>
        <v>1</v>
      </c>
      <c r="Z81" s="45">
        <f t="shared" si="16"/>
        <v>2</v>
      </c>
      <c r="AA81" s="439" t="s">
        <v>150</v>
      </c>
      <c r="AB81" s="11">
        <v>1</v>
      </c>
      <c r="AC81" s="7"/>
      <c r="AD81" s="7" t="s">
        <v>876</v>
      </c>
      <c r="AE81" s="11">
        <v>100.9</v>
      </c>
      <c r="AF81" s="11">
        <v>335</v>
      </c>
      <c r="AG81" s="432">
        <f t="shared" si="17"/>
        <v>0.30119402985074628</v>
      </c>
      <c r="AH81" s="11" t="s">
        <v>50</v>
      </c>
      <c r="AI81" s="11"/>
      <c r="AJ81" s="7"/>
      <c r="AK81" s="7"/>
      <c r="AL81" s="11"/>
      <c r="AM81" s="11"/>
      <c r="AN81" s="11"/>
      <c r="AO81" s="11"/>
      <c r="AP81" s="11"/>
      <c r="AQ81" s="7"/>
      <c r="AR81" s="11"/>
      <c r="AS81" s="430"/>
    </row>
    <row r="82" spans="1:45" ht="22.5" customHeight="1">
      <c r="A82" s="7" t="s">
        <v>776</v>
      </c>
      <c r="B82" s="7" t="s">
        <v>1102</v>
      </c>
      <c r="C82" s="7" t="s">
        <v>1107</v>
      </c>
      <c r="D82" s="11" t="s">
        <v>143</v>
      </c>
      <c r="E82" s="75" t="s">
        <v>233</v>
      </c>
      <c r="F82" s="11">
        <v>14.717024</v>
      </c>
      <c r="G82" s="11">
        <v>120.931417</v>
      </c>
      <c r="H82" s="11" t="str">
        <f t="shared" si="12"/>
        <v>14.717024,120.931417</v>
      </c>
      <c r="I82" s="11" t="s">
        <v>71</v>
      </c>
      <c r="J82" s="11">
        <v>1</v>
      </c>
      <c r="K82" s="11">
        <v>2017</v>
      </c>
      <c r="L82" s="117">
        <v>460000</v>
      </c>
      <c r="M82" s="11" t="s">
        <v>75</v>
      </c>
      <c r="N82" s="11" t="s">
        <v>508</v>
      </c>
      <c r="O82" s="11"/>
      <c r="P82" s="11" t="s">
        <v>201</v>
      </c>
      <c r="Q82" s="374" t="s">
        <v>1108</v>
      </c>
      <c r="R82" s="34">
        <v>45734</v>
      </c>
      <c r="S82" s="34">
        <v>45734</v>
      </c>
      <c r="T82" s="34">
        <v>45734</v>
      </c>
      <c r="U82" s="34">
        <v>45735</v>
      </c>
      <c r="V82" s="34">
        <v>45735</v>
      </c>
      <c r="W82" s="45">
        <f t="shared" si="13"/>
        <v>1</v>
      </c>
      <c r="X82" s="45">
        <f t="shared" si="14"/>
        <v>1</v>
      </c>
      <c r="Y82" s="45">
        <f t="shared" si="15"/>
        <v>1</v>
      </c>
      <c r="Z82" s="45">
        <f t="shared" si="16"/>
        <v>1</v>
      </c>
      <c r="AA82" s="431" t="s">
        <v>150</v>
      </c>
      <c r="AB82" s="11">
        <v>1</v>
      </c>
      <c r="AC82" s="7" t="s">
        <v>1109</v>
      </c>
      <c r="AD82" s="7" t="s">
        <v>876</v>
      </c>
      <c r="AE82" s="11">
        <v>185</v>
      </c>
      <c r="AF82" s="11">
        <v>300</v>
      </c>
      <c r="AG82" s="432">
        <f t="shared" si="17"/>
        <v>0.6166666666666667</v>
      </c>
      <c r="AH82" s="11" t="s">
        <v>50</v>
      </c>
      <c r="AI82" s="11" t="s">
        <v>171</v>
      </c>
      <c r="AJ82" s="7" t="s">
        <v>151</v>
      </c>
      <c r="AK82" s="7"/>
      <c r="AL82" s="11"/>
      <c r="AM82" s="11"/>
      <c r="AN82" s="11"/>
      <c r="AO82" s="11"/>
      <c r="AP82" s="11"/>
      <c r="AQ82" s="7"/>
      <c r="AR82" s="11"/>
      <c r="AS82" s="433" t="s">
        <v>1110</v>
      </c>
    </row>
    <row r="83" spans="1:45" ht="15" customHeight="1">
      <c r="A83" s="7" t="s">
        <v>776</v>
      </c>
      <c r="B83" s="7" t="s">
        <v>1102</v>
      </c>
      <c r="C83" s="7" t="s">
        <v>1111</v>
      </c>
      <c r="D83" s="11" t="s">
        <v>143</v>
      </c>
      <c r="E83" s="75" t="s">
        <v>233</v>
      </c>
      <c r="F83" s="11">
        <v>14.904674999999999</v>
      </c>
      <c r="G83" s="11">
        <v>120.971828</v>
      </c>
      <c r="H83" s="11" t="str">
        <f t="shared" si="12"/>
        <v>14.904675,120.971828</v>
      </c>
      <c r="I83" s="11" t="s">
        <v>70</v>
      </c>
      <c r="J83" s="11">
        <v>1</v>
      </c>
      <c r="K83" s="11">
        <v>2018</v>
      </c>
      <c r="L83" s="82">
        <v>285000</v>
      </c>
      <c r="M83" s="11" t="s">
        <v>75</v>
      </c>
      <c r="N83" s="11" t="s">
        <v>508</v>
      </c>
      <c r="O83" s="11" t="s">
        <v>328</v>
      </c>
      <c r="P83" s="11" t="s">
        <v>201</v>
      </c>
      <c r="Q83" s="11" t="s">
        <v>1112</v>
      </c>
      <c r="R83" s="34">
        <v>45723</v>
      </c>
      <c r="S83" s="34">
        <v>45733</v>
      </c>
      <c r="T83" s="34">
        <v>45733</v>
      </c>
      <c r="U83" s="34">
        <v>45733</v>
      </c>
      <c r="V83" s="34">
        <v>45734</v>
      </c>
      <c r="W83" s="45">
        <f t="shared" si="13"/>
        <v>6</v>
      </c>
      <c r="X83" s="45">
        <f t="shared" si="14"/>
        <v>1</v>
      </c>
      <c r="Y83" s="45">
        <f t="shared" si="15"/>
        <v>1</v>
      </c>
      <c r="Z83" s="45">
        <f t="shared" si="16"/>
        <v>1</v>
      </c>
      <c r="AA83" s="431" t="s">
        <v>150</v>
      </c>
      <c r="AB83" s="11">
        <v>11</v>
      </c>
      <c r="AC83" s="7" t="s">
        <v>1113</v>
      </c>
      <c r="AD83" s="7" t="s">
        <v>876</v>
      </c>
      <c r="AE83" s="82">
        <v>1199.56</v>
      </c>
      <c r="AF83" s="82">
        <v>9409</v>
      </c>
      <c r="AG83" s="432">
        <f t="shared" si="17"/>
        <v>0.12749070039324051</v>
      </c>
      <c r="AH83" s="11" t="s">
        <v>50</v>
      </c>
      <c r="AI83" s="11"/>
      <c r="AJ83" s="7"/>
      <c r="AK83" s="7"/>
      <c r="AL83" s="11"/>
      <c r="AM83" s="11"/>
      <c r="AN83" s="11"/>
      <c r="AO83" s="11"/>
      <c r="AP83" s="11"/>
      <c r="AQ83" s="7"/>
      <c r="AR83" s="11"/>
      <c r="AS83" s="430"/>
    </row>
    <row r="84" spans="1:45" ht="15" customHeight="1">
      <c r="A84" s="7" t="s">
        <v>776</v>
      </c>
      <c r="B84" s="7" t="s">
        <v>1114</v>
      </c>
      <c r="C84" s="7" t="s">
        <v>1115</v>
      </c>
      <c r="D84" s="11" t="s">
        <v>143</v>
      </c>
      <c r="E84" s="75" t="s">
        <v>554</v>
      </c>
      <c r="F84" s="11">
        <v>14.867974999999999</v>
      </c>
      <c r="G84" s="11">
        <v>120.88548299999999</v>
      </c>
      <c r="H84" s="11" t="str">
        <f t="shared" si="12"/>
        <v>14.867975,120.885483</v>
      </c>
      <c r="I84" s="11" t="s">
        <v>71</v>
      </c>
      <c r="J84" s="11">
        <v>1</v>
      </c>
      <c r="K84" s="11">
        <v>2017</v>
      </c>
      <c r="L84" s="117">
        <v>460000</v>
      </c>
      <c r="M84" s="11" t="s">
        <v>82</v>
      </c>
      <c r="N84" s="11" t="s">
        <v>200</v>
      </c>
      <c r="O84" s="11" t="s">
        <v>147</v>
      </c>
      <c r="P84" s="11" t="s">
        <v>201</v>
      </c>
      <c r="Q84" s="11" t="s">
        <v>1116</v>
      </c>
      <c r="R84" s="34">
        <v>45939</v>
      </c>
      <c r="S84" s="34">
        <v>45942</v>
      </c>
      <c r="T84" s="34">
        <v>45945</v>
      </c>
      <c r="U84" s="34">
        <v>45945</v>
      </c>
      <c r="V84" s="34">
        <v>45950</v>
      </c>
      <c r="W84" s="45">
        <f t="shared" si="13"/>
        <v>1</v>
      </c>
      <c r="X84" s="45">
        <f t="shared" si="14"/>
        <v>2</v>
      </c>
      <c r="Y84" s="45">
        <f t="shared" si="15"/>
        <v>1</v>
      </c>
      <c r="Z84" s="45">
        <f t="shared" si="16"/>
        <v>3</v>
      </c>
      <c r="AA84" s="11" t="s">
        <v>150</v>
      </c>
      <c r="AB84" s="11"/>
      <c r="AC84" s="7"/>
      <c r="AD84" s="7"/>
      <c r="AE84" s="11"/>
      <c r="AF84" s="11"/>
      <c r="AG84" s="432" t="e">
        <f t="shared" si="17"/>
        <v>#DIV/0!</v>
      </c>
      <c r="AH84" s="11" t="s">
        <v>57</v>
      </c>
      <c r="AI84" s="7" t="s">
        <v>1117</v>
      </c>
      <c r="AJ84" s="7"/>
      <c r="AK84" s="7"/>
      <c r="AL84" s="11"/>
      <c r="AM84" s="11"/>
      <c r="AN84" s="11"/>
      <c r="AO84" s="11"/>
      <c r="AP84" s="11"/>
      <c r="AQ84" s="7"/>
      <c r="AR84" s="11"/>
      <c r="AS84" s="11"/>
    </row>
    <row r="85" spans="1:45" s="732" customFormat="1" ht="54" customHeight="1">
      <c r="A85" s="729" t="s">
        <v>776</v>
      </c>
      <c r="B85" s="729" t="s">
        <v>1114</v>
      </c>
      <c r="C85" s="729" t="s">
        <v>1115</v>
      </c>
      <c r="D85" s="104" t="s">
        <v>143</v>
      </c>
      <c r="E85" s="737" t="s">
        <v>554</v>
      </c>
      <c r="F85" s="104">
        <v>14.904645</v>
      </c>
      <c r="G85" s="104">
        <v>120.971863</v>
      </c>
      <c r="H85" s="104" t="str">
        <f t="shared" si="12"/>
        <v>14.904645,120.971863</v>
      </c>
      <c r="I85" s="104" t="s">
        <v>70</v>
      </c>
      <c r="J85" s="104">
        <v>1</v>
      </c>
      <c r="K85" s="104">
        <v>2020</v>
      </c>
      <c r="L85" s="734">
        <v>190000</v>
      </c>
      <c r="M85" s="104" t="s">
        <v>82</v>
      </c>
      <c r="N85" s="104" t="s">
        <v>200</v>
      </c>
      <c r="O85" s="104" t="s">
        <v>147</v>
      </c>
      <c r="P85" s="104" t="s">
        <v>201</v>
      </c>
      <c r="Q85" s="104" t="s">
        <v>1118</v>
      </c>
      <c r="R85" s="731">
        <v>45939</v>
      </c>
      <c r="S85" s="731">
        <v>45981</v>
      </c>
      <c r="T85" s="731">
        <v>45981</v>
      </c>
      <c r="U85" s="731">
        <v>45981</v>
      </c>
      <c r="V85" s="731">
        <v>45981</v>
      </c>
      <c r="W85" s="45">
        <f t="shared" si="13"/>
        <v>30</v>
      </c>
      <c r="X85" s="45">
        <f t="shared" si="14"/>
        <v>1</v>
      </c>
      <c r="Y85" s="45">
        <f t="shared" si="15"/>
        <v>1</v>
      </c>
      <c r="Z85" s="45">
        <f t="shared" si="16"/>
        <v>1</v>
      </c>
      <c r="AA85" s="104" t="s">
        <v>1085</v>
      </c>
      <c r="AB85" s="104"/>
      <c r="AC85" s="729"/>
      <c r="AD85" s="729"/>
      <c r="AE85" s="104"/>
      <c r="AF85" s="104"/>
      <c r="AG85" s="738" t="e">
        <f t="shared" si="17"/>
        <v>#DIV/0!</v>
      </c>
      <c r="AH85" s="104" t="s">
        <v>57</v>
      </c>
      <c r="AI85" s="104"/>
      <c r="AJ85" s="729"/>
      <c r="AK85" s="729"/>
      <c r="AL85" s="104" t="s">
        <v>1119</v>
      </c>
      <c r="AM85" s="104"/>
      <c r="AN85" s="104"/>
      <c r="AO85" s="104"/>
      <c r="AP85" s="104"/>
      <c r="AQ85" s="729"/>
      <c r="AR85" s="104"/>
      <c r="AS85" s="104"/>
    </row>
    <row r="86" spans="1:45">
      <c r="A86" s="7" t="s">
        <v>777</v>
      </c>
      <c r="B86" s="7" t="s">
        <v>1120</v>
      </c>
      <c r="C86" s="7" t="s">
        <v>947</v>
      </c>
      <c r="D86" s="75" t="s">
        <v>159</v>
      </c>
      <c r="E86" s="75" t="s">
        <v>160</v>
      </c>
      <c r="F86" s="11">
        <v>15.735196999999999</v>
      </c>
      <c r="G86" s="11">
        <v>120.63252799999999</v>
      </c>
      <c r="H86" s="11" t="str">
        <f t="shared" si="12"/>
        <v>15.735197,120.632528</v>
      </c>
      <c r="I86" s="11" t="s">
        <v>70</v>
      </c>
      <c r="J86" s="11">
        <v>1</v>
      </c>
      <c r="K86" s="11">
        <v>2019</v>
      </c>
      <c r="L86" s="82">
        <v>502714.29</v>
      </c>
      <c r="M86" s="11" t="s">
        <v>74</v>
      </c>
      <c r="N86" s="11" t="s">
        <v>29</v>
      </c>
      <c r="O86" s="11" t="s">
        <v>1121</v>
      </c>
      <c r="P86" s="11" t="s">
        <v>212</v>
      </c>
      <c r="Q86" s="11" t="s">
        <v>1122</v>
      </c>
      <c r="R86" s="34">
        <v>45699</v>
      </c>
      <c r="S86" s="34">
        <v>45705</v>
      </c>
      <c r="T86" s="34">
        <v>45706</v>
      </c>
      <c r="U86" s="34">
        <v>45706</v>
      </c>
      <c r="V86" s="34">
        <v>45706</v>
      </c>
      <c r="W86" s="45">
        <f t="shared" si="13"/>
        <v>4</v>
      </c>
      <c r="X86" s="45">
        <f t="shared" si="14"/>
        <v>1</v>
      </c>
      <c r="Y86" s="45">
        <f t="shared" si="15"/>
        <v>1</v>
      </c>
      <c r="Z86" s="45">
        <f t="shared" si="16"/>
        <v>1</v>
      </c>
      <c r="AA86" s="434" t="s">
        <v>150</v>
      </c>
      <c r="AB86" s="11">
        <v>0</v>
      </c>
      <c r="AC86" s="7">
        <v>0</v>
      </c>
      <c r="AD86" s="7"/>
      <c r="AE86" s="11"/>
      <c r="AF86" s="11"/>
      <c r="AG86" s="432" t="e">
        <f t="shared" si="17"/>
        <v>#DIV/0!</v>
      </c>
      <c r="AH86" s="11" t="s">
        <v>62</v>
      </c>
      <c r="AI86" s="11"/>
      <c r="AJ86" s="7"/>
      <c r="AK86" s="7"/>
      <c r="AL86" s="11"/>
      <c r="AM86" s="11"/>
      <c r="AN86" s="11"/>
      <c r="AO86" s="11"/>
      <c r="AP86" s="11"/>
      <c r="AQ86" s="7"/>
      <c r="AR86" s="11"/>
      <c r="AS86" s="430"/>
    </row>
    <row r="87" spans="1:45" ht="15" customHeight="1">
      <c r="A87" s="7" t="s">
        <v>776</v>
      </c>
      <c r="B87" s="7" t="s">
        <v>1114</v>
      </c>
      <c r="C87" s="7" t="s">
        <v>1123</v>
      </c>
      <c r="D87" s="11" t="s">
        <v>143</v>
      </c>
      <c r="E87" s="75" t="s">
        <v>554</v>
      </c>
      <c r="F87" s="11">
        <v>14.826808</v>
      </c>
      <c r="G87" s="11">
        <v>120.76367500000001</v>
      </c>
      <c r="H87" s="11" t="str">
        <f t="shared" si="12"/>
        <v>14.826808,120.763675</v>
      </c>
      <c r="I87" s="11" t="s">
        <v>70</v>
      </c>
      <c r="J87" s="11">
        <v>1</v>
      </c>
      <c r="K87" s="11">
        <v>2016</v>
      </c>
      <c r="L87" s="82">
        <v>270000</v>
      </c>
      <c r="M87" s="11" t="s">
        <v>78</v>
      </c>
      <c r="N87" s="11" t="s">
        <v>200</v>
      </c>
      <c r="O87" s="11"/>
      <c r="P87" s="11" t="s">
        <v>201</v>
      </c>
      <c r="Q87" s="84" t="s">
        <v>1124</v>
      </c>
      <c r="R87" s="34">
        <v>45825</v>
      </c>
      <c r="S87" s="34">
        <v>45826</v>
      </c>
      <c r="T87" s="34"/>
      <c r="U87" s="34">
        <v>45827</v>
      </c>
      <c r="V87" s="34">
        <v>45827</v>
      </c>
      <c r="W87" s="45">
        <f t="shared" si="13"/>
        <v>1</v>
      </c>
      <c r="X87" s="45" t="str">
        <f t="shared" si="14"/>
        <v/>
      </c>
      <c r="Y87" s="45">
        <f t="shared" si="15"/>
        <v>1</v>
      </c>
      <c r="Z87" s="45">
        <f t="shared" si="16"/>
        <v>1</v>
      </c>
      <c r="AA87" s="431" t="s">
        <v>150</v>
      </c>
      <c r="AB87" s="11">
        <v>1</v>
      </c>
      <c r="AC87" s="7"/>
      <c r="AD87" s="7" t="s">
        <v>838</v>
      </c>
      <c r="AE87" s="11">
        <v>3030</v>
      </c>
      <c r="AF87" s="11">
        <v>4023</v>
      </c>
      <c r="AG87" s="432">
        <f t="shared" si="17"/>
        <v>0.75316927665920952</v>
      </c>
      <c r="AH87" s="11" t="s">
        <v>50</v>
      </c>
      <c r="AI87" s="11"/>
      <c r="AJ87" s="7" t="s">
        <v>151</v>
      </c>
      <c r="AK87" s="7"/>
      <c r="AL87" s="11"/>
      <c r="AM87" s="11"/>
      <c r="AN87" s="11"/>
      <c r="AO87" s="11"/>
      <c r="AP87" s="11"/>
      <c r="AQ87" s="7"/>
      <c r="AR87" s="11"/>
      <c r="AS87" s="11"/>
    </row>
    <row r="88" spans="1:45" s="62" customFormat="1" ht="15" customHeight="1">
      <c r="A88" s="7" t="s">
        <v>776</v>
      </c>
      <c r="B88" s="7" t="s">
        <v>1114</v>
      </c>
      <c r="C88" s="7" t="s">
        <v>1125</v>
      </c>
      <c r="D88" s="11" t="s">
        <v>143</v>
      </c>
      <c r="E88" s="75" t="s">
        <v>554</v>
      </c>
      <c r="F88" s="11">
        <v>14.891749000000001</v>
      </c>
      <c r="G88" s="11">
        <v>120.977345</v>
      </c>
      <c r="H88" s="11" t="str">
        <f t="shared" si="12"/>
        <v>14.891749,120.977345</v>
      </c>
      <c r="I88" s="11" t="s">
        <v>71</v>
      </c>
      <c r="J88" s="11">
        <v>1</v>
      </c>
      <c r="K88" s="11">
        <v>2017</v>
      </c>
      <c r="L88" s="117">
        <v>460000</v>
      </c>
      <c r="M88" s="11" t="s">
        <v>81</v>
      </c>
      <c r="N88" s="11" t="s">
        <v>200</v>
      </c>
      <c r="O88" s="11"/>
      <c r="P88" s="133" t="s">
        <v>201</v>
      </c>
      <c r="Q88" s="11" t="s">
        <v>1126</v>
      </c>
      <c r="R88" s="384">
        <v>45904</v>
      </c>
      <c r="S88" s="34">
        <v>45910</v>
      </c>
      <c r="T88" s="34"/>
      <c r="U88" s="34">
        <v>45911</v>
      </c>
      <c r="V88" s="34">
        <v>45917</v>
      </c>
      <c r="W88" s="45">
        <f t="shared" si="13"/>
        <v>4</v>
      </c>
      <c r="X88" s="45" t="str">
        <f t="shared" si="14"/>
        <v/>
      </c>
      <c r="Y88" s="45">
        <f t="shared" si="15"/>
        <v>1</v>
      </c>
      <c r="Z88" s="45">
        <f t="shared" si="16"/>
        <v>4</v>
      </c>
      <c r="AA88" s="11" t="s">
        <v>150</v>
      </c>
      <c r="AB88" s="11">
        <v>1</v>
      </c>
      <c r="AC88" s="7"/>
      <c r="AD88" s="7"/>
      <c r="AE88" s="11">
        <v>211</v>
      </c>
      <c r="AF88" s="11">
        <v>7332</v>
      </c>
      <c r="AG88" s="432">
        <f t="shared" si="17"/>
        <v>2.8777959629023457E-2</v>
      </c>
      <c r="AH88" s="11" t="s">
        <v>50</v>
      </c>
      <c r="AI88" s="11"/>
      <c r="AJ88" s="7" t="s">
        <v>151</v>
      </c>
      <c r="AK88" s="7"/>
      <c r="AL88" s="11"/>
      <c r="AM88" s="11"/>
      <c r="AN88" s="11"/>
      <c r="AO88" s="11"/>
      <c r="AP88" s="11"/>
      <c r="AQ88" s="7"/>
      <c r="AR88" s="11"/>
      <c r="AS88" s="11"/>
    </row>
    <row r="89" spans="1:45" ht="15" customHeight="1">
      <c r="A89" s="7" t="s">
        <v>776</v>
      </c>
      <c r="B89" s="7" t="s">
        <v>1127</v>
      </c>
      <c r="C89" s="7" t="s">
        <v>1128</v>
      </c>
      <c r="D89" s="11" t="s">
        <v>143</v>
      </c>
      <c r="E89" s="75" t="s">
        <v>160</v>
      </c>
      <c r="F89" s="11">
        <v>14.826669000000001</v>
      </c>
      <c r="G89" s="11">
        <v>120.763717</v>
      </c>
      <c r="H89" s="11" t="str">
        <f t="shared" si="12"/>
        <v>14.826669,120.763717</v>
      </c>
      <c r="I89" s="11" t="s">
        <v>70</v>
      </c>
      <c r="J89" s="11">
        <v>2</v>
      </c>
      <c r="K89" s="11" t="s">
        <v>1129</v>
      </c>
      <c r="L89" s="440" t="s">
        <v>1130</v>
      </c>
      <c r="M89" s="11" t="s">
        <v>74</v>
      </c>
      <c r="N89" s="11" t="s">
        <v>200</v>
      </c>
      <c r="O89" s="11" t="s">
        <v>328</v>
      </c>
      <c r="P89" s="11" t="s">
        <v>201</v>
      </c>
      <c r="Q89" s="721" t="s">
        <v>1131</v>
      </c>
      <c r="R89" s="34">
        <v>45699</v>
      </c>
      <c r="S89" s="34">
        <v>45699</v>
      </c>
      <c r="T89" s="34">
        <v>45705</v>
      </c>
      <c r="U89" s="34">
        <v>45705</v>
      </c>
      <c r="V89" s="34">
        <v>45706</v>
      </c>
      <c r="W89" s="45">
        <f t="shared" si="13"/>
        <v>1</v>
      </c>
      <c r="X89" s="45">
        <f t="shared" si="14"/>
        <v>4</v>
      </c>
      <c r="Y89" s="45">
        <f t="shared" si="15"/>
        <v>1</v>
      </c>
      <c r="Z89" s="45">
        <f t="shared" si="16"/>
        <v>1</v>
      </c>
      <c r="AA89" s="431" t="s">
        <v>150</v>
      </c>
      <c r="AB89" s="11">
        <v>14</v>
      </c>
      <c r="AC89" s="7" t="s">
        <v>1132</v>
      </c>
      <c r="AD89" s="7" t="s">
        <v>1133</v>
      </c>
      <c r="AE89" s="103">
        <v>2256</v>
      </c>
      <c r="AF89" s="103" t="s">
        <v>1134</v>
      </c>
      <c r="AG89" s="432">
        <v>0.12529999999999999</v>
      </c>
      <c r="AH89" s="103" t="s">
        <v>50</v>
      </c>
      <c r="AI89" s="11"/>
      <c r="AJ89" s="7" t="s">
        <v>151</v>
      </c>
      <c r="AK89" s="7"/>
      <c r="AL89" s="11"/>
      <c r="AM89" s="11"/>
      <c r="AN89" s="11"/>
      <c r="AO89" s="11"/>
      <c r="AP89" s="11"/>
      <c r="AQ89" s="7"/>
      <c r="AR89" s="11"/>
      <c r="AS89" s="430"/>
    </row>
    <row r="90" spans="1:45" s="62" customFormat="1" ht="15" customHeight="1">
      <c r="A90" s="7" t="s">
        <v>776</v>
      </c>
      <c r="B90" s="7" t="s">
        <v>1135</v>
      </c>
      <c r="C90" s="7" t="s">
        <v>1136</v>
      </c>
      <c r="D90" s="11" t="s">
        <v>143</v>
      </c>
      <c r="E90" s="75" t="s">
        <v>185</v>
      </c>
      <c r="F90" s="11">
        <v>14.856638999999999</v>
      </c>
      <c r="G90" s="11">
        <v>121.050831</v>
      </c>
      <c r="H90" s="11" t="str">
        <f t="shared" si="12"/>
        <v>14.856639,121.050831</v>
      </c>
      <c r="I90" s="11" t="s">
        <v>70</v>
      </c>
      <c r="J90" s="11">
        <v>2</v>
      </c>
      <c r="K90" s="11" t="s">
        <v>1137</v>
      </c>
      <c r="L90" s="82" t="s">
        <v>1138</v>
      </c>
      <c r="M90" s="11" t="s">
        <v>78</v>
      </c>
      <c r="N90" s="11" t="s">
        <v>388</v>
      </c>
      <c r="O90" s="11"/>
      <c r="P90" s="133" t="s">
        <v>201</v>
      </c>
      <c r="Q90" s="11" t="s">
        <v>1139</v>
      </c>
      <c r="R90" s="384">
        <v>45825</v>
      </c>
      <c r="S90" s="34">
        <v>45825</v>
      </c>
      <c r="T90" s="34"/>
      <c r="U90" s="34">
        <v>45827</v>
      </c>
      <c r="V90" s="34">
        <v>45827</v>
      </c>
      <c r="W90" s="45">
        <f t="shared" si="13"/>
        <v>1</v>
      </c>
      <c r="X90" s="45" t="str">
        <f t="shared" si="14"/>
        <v/>
      </c>
      <c r="Y90" s="45">
        <f t="shared" si="15"/>
        <v>2</v>
      </c>
      <c r="Z90" s="45">
        <f t="shared" si="16"/>
        <v>1</v>
      </c>
      <c r="AA90" s="431" t="s">
        <v>150</v>
      </c>
      <c r="AB90" s="11">
        <v>17</v>
      </c>
      <c r="AC90" s="7" t="s">
        <v>1140</v>
      </c>
      <c r="AD90" s="7" t="s">
        <v>838</v>
      </c>
      <c r="AE90" s="11">
        <v>5725</v>
      </c>
      <c r="AF90" s="722">
        <v>53000</v>
      </c>
      <c r="AG90" s="432">
        <f t="shared" ref="AG90:AG101" si="18">(AE90/AF90)</f>
        <v>0.10801886792452831</v>
      </c>
      <c r="AH90" s="11" t="s">
        <v>50</v>
      </c>
      <c r="AI90" s="11"/>
      <c r="AJ90" s="7" t="s">
        <v>151</v>
      </c>
      <c r="AK90" s="7"/>
      <c r="AL90" s="11"/>
      <c r="AM90" s="11"/>
      <c r="AN90" s="11"/>
      <c r="AO90" s="11"/>
      <c r="AP90" s="11"/>
      <c r="AQ90" s="7"/>
      <c r="AR90" s="11"/>
      <c r="AS90" s="11"/>
    </row>
    <row r="91" spans="1:45" ht="15" customHeight="1">
      <c r="A91" s="7" t="s">
        <v>776</v>
      </c>
      <c r="B91" s="7" t="s">
        <v>1141</v>
      </c>
      <c r="C91" s="7" t="s">
        <v>1142</v>
      </c>
      <c r="D91" s="11" t="s">
        <v>143</v>
      </c>
      <c r="E91" s="75" t="s">
        <v>160</v>
      </c>
      <c r="F91" s="11">
        <v>14.899800000000001</v>
      </c>
      <c r="G91" s="11">
        <v>120.866</v>
      </c>
      <c r="H91" s="11" t="str">
        <f t="shared" ref="H91:H122" si="19">CONCATENATE(F91,",",G91)</f>
        <v>14.8998,120.866</v>
      </c>
      <c r="I91" s="11" t="s">
        <v>72</v>
      </c>
      <c r="J91" s="11"/>
      <c r="K91" s="11" t="s">
        <v>69</v>
      </c>
      <c r="L91" s="11" t="s">
        <v>69</v>
      </c>
      <c r="M91" s="11" t="s">
        <v>78</v>
      </c>
      <c r="N91" s="11" t="s">
        <v>388</v>
      </c>
      <c r="O91" s="11"/>
      <c r="P91" s="11" t="s">
        <v>201</v>
      </c>
      <c r="Q91" s="85" t="s">
        <v>1143</v>
      </c>
      <c r="R91" s="34">
        <v>45826</v>
      </c>
      <c r="S91" s="34">
        <v>45827</v>
      </c>
      <c r="T91" s="34"/>
      <c r="U91" s="34">
        <v>45827</v>
      </c>
      <c r="V91" s="34">
        <v>45827</v>
      </c>
      <c r="W91" s="45">
        <f t="shared" si="13"/>
        <v>1</v>
      </c>
      <c r="X91" s="45" t="str">
        <f t="shared" si="14"/>
        <v/>
      </c>
      <c r="Y91" s="45">
        <f t="shared" si="15"/>
        <v>1</v>
      </c>
      <c r="Z91" s="45">
        <f t="shared" si="16"/>
        <v>1</v>
      </c>
      <c r="AA91" s="11" t="s">
        <v>150</v>
      </c>
      <c r="AB91" s="11">
        <v>19</v>
      </c>
      <c r="AC91" s="7" t="s">
        <v>1144</v>
      </c>
      <c r="AD91" s="7" t="s">
        <v>945</v>
      </c>
      <c r="AE91" s="11">
        <v>5490</v>
      </c>
      <c r="AF91" s="11">
        <v>30500</v>
      </c>
      <c r="AG91" s="432">
        <f t="shared" si="18"/>
        <v>0.18</v>
      </c>
      <c r="AH91" s="11" t="s">
        <v>50</v>
      </c>
      <c r="AI91" s="11"/>
      <c r="AJ91" s="7" t="s">
        <v>1145</v>
      </c>
      <c r="AK91" s="7" t="s">
        <v>1146</v>
      </c>
      <c r="AL91" s="11" t="s">
        <v>1147</v>
      </c>
      <c r="AM91" s="11"/>
      <c r="AN91" s="11"/>
      <c r="AO91" s="11"/>
      <c r="AP91" s="11"/>
      <c r="AQ91" s="7"/>
      <c r="AR91" s="11"/>
      <c r="AS91" s="11"/>
    </row>
    <row r="92" spans="1:45" ht="15" customHeight="1">
      <c r="A92" s="7" t="s">
        <v>776</v>
      </c>
      <c r="B92" s="7" t="s">
        <v>1148</v>
      </c>
      <c r="C92" s="7" t="s">
        <v>1149</v>
      </c>
      <c r="D92" s="11" t="s">
        <v>143</v>
      </c>
      <c r="E92" s="75" t="s">
        <v>144</v>
      </c>
      <c r="F92" s="11">
        <v>15.0479</v>
      </c>
      <c r="G92" s="11">
        <v>120.9543</v>
      </c>
      <c r="H92" s="11" t="str">
        <f t="shared" si="19"/>
        <v>15.0479,120.9543</v>
      </c>
      <c r="I92" s="11" t="s">
        <v>70</v>
      </c>
      <c r="J92" s="11">
        <v>1</v>
      </c>
      <c r="K92" s="11">
        <v>2019</v>
      </c>
      <c r="L92" s="82">
        <v>502714.29</v>
      </c>
      <c r="M92" s="11" t="s">
        <v>79</v>
      </c>
      <c r="N92" s="11" t="s">
        <v>200</v>
      </c>
      <c r="O92" s="11"/>
      <c r="P92" s="11" t="s">
        <v>201</v>
      </c>
      <c r="Q92" s="455" t="s">
        <v>1150</v>
      </c>
      <c r="R92" s="34">
        <v>45847</v>
      </c>
      <c r="S92" s="34">
        <v>45854</v>
      </c>
      <c r="T92" s="34"/>
      <c r="U92" s="34">
        <v>45855</v>
      </c>
      <c r="V92" s="34">
        <v>45855</v>
      </c>
      <c r="W92" s="45">
        <f t="shared" si="13"/>
        <v>5</v>
      </c>
      <c r="X92" s="45" t="str">
        <f t="shared" si="14"/>
        <v/>
      </c>
      <c r="Y92" s="45">
        <f t="shared" si="15"/>
        <v>1</v>
      </c>
      <c r="Z92" s="45">
        <f t="shared" si="16"/>
        <v>1</v>
      </c>
      <c r="AA92" s="11" t="s">
        <v>150</v>
      </c>
      <c r="AB92" s="11"/>
      <c r="AC92" s="7" t="s">
        <v>1140</v>
      </c>
      <c r="AD92" s="7" t="s">
        <v>838</v>
      </c>
      <c r="AE92" s="11"/>
      <c r="AF92" s="11"/>
      <c r="AG92" s="432" t="e">
        <f t="shared" si="18"/>
        <v>#DIV/0!</v>
      </c>
      <c r="AH92" s="11" t="s">
        <v>50</v>
      </c>
      <c r="AI92" s="11"/>
      <c r="AJ92" s="7"/>
      <c r="AK92" s="7"/>
      <c r="AL92" s="11"/>
      <c r="AM92" s="11"/>
      <c r="AN92" s="11"/>
      <c r="AO92" s="11"/>
      <c r="AP92" s="11"/>
      <c r="AQ92" s="7"/>
      <c r="AR92" s="11"/>
      <c r="AS92" s="11"/>
    </row>
    <row r="93" spans="1:45" s="573" customFormat="1" ht="15" customHeight="1">
      <c r="A93" s="7" t="s">
        <v>776</v>
      </c>
      <c r="B93" s="7" t="s">
        <v>1151</v>
      </c>
      <c r="C93" s="7" t="s">
        <v>1152</v>
      </c>
      <c r="D93" s="11" t="s">
        <v>143</v>
      </c>
      <c r="E93" s="75" t="s">
        <v>144</v>
      </c>
      <c r="F93" s="11">
        <v>15.135514000000001</v>
      </c>
      <c r="G93" s="11">
        <v>121.059628</v>
      </c>
      <c r="H93" s="11" t="str">
        <f t="shared" si="19"/>
        <v>15.135514,121.059628</v>
      </c>
      <c r="I93" s="11" t="s">
        <v>70</v>
      </c>
      <c r="J93" s="11">
        <v>1</v>
      </c>
      <c r="K93" s="11">
        <v>2019</v>
      </c>
      <c r="L93" s="117">
        <v>530000</v>
      </c>
      <c r="M93" s="11" t="s">
        <v>80</v>
      </c>
      <c r="N93" s="11" t="s">
        <v>200</v>
      </c>
      <c r="O93" s="11"/>
      <c r="P93" s="11" t="s">
        <v>201</v>
      </c>
      <c r="Q93" s="9" t="s">
        <v>1153</v>
      </c>
      <c r="R93" s="34">
        <v>45874</v>
      </c>
      <c r="S93" s="34">
        <v>45885</v>
      </c>
      <c r="T93" s="34"/>
      <c r="U93" s="34">
        <v>45887</v>
      </c>
      <c r="V93" s="34">
        <v>45888</v>
      </c>
      <c r="W93" s="45">
        <f t="shared" si="13"/>
        <v>8</v>
      </c>
      <c r="X93" s="45" t="str">
        <f t="shared" si="14"/>
        <v/>
      </c>
      <c r="Y93" s="45">
        <f t="shared" si="15"/>
        <v>1</v>
      </c>
      <c r="Z93" s="45">
        <f t="shared" si="16"/>
        <v>1</v>
      </c>
      <c r="AA93" s="11" t="s">
        <v>150</v>
      </c>
      <c r="AB93" s="11">
        <v>11</v>
      </c>
      <c r="AC93" s="7"/>
      <c r="AD93" s="7" t="s">
        <v>1154</v>
      </c>
      <c r="AE93" s="11">
        <v>5534</v>
      </c>
      <c r="AF93" s="11">
        <v>10465</v>
      </c>
      <c r="AG93" s="432">
        <f t="shared" si="18"/>
        <v>0.52881032011466789</v>
      </c>
      <c r="AH93" s="11" t="s">
        <v>50</v>
      </c>
      <c r="AI93" s="11"/>
      <c r="AJ93" s="7"/>
      <c r="AK93" s="7"/>
      <c r="AL93" s="11"/>
      <c r="AM93" s="11"/>
      <c r="AN93" s="11"/>
      <c r="AO93" s="11"/>
      <c r="AP93" s="11"/>
      <c r="AQ93" s="7"/>
      <c r="AR93" s="11"/>
      <c r="AS93" s="11"/>
    </row>
    <row r="94" spans="1:45" ht="15" customHeight="1">
      <c r="A94" s="7" t="s">
        <v>776</v>
      </c>
      <c r="B94" s="7" t="s">
        <v>1155</v>
      </c>
      <c r="C94" s="7" t="s">
        <v>1156</v>
      </c>
      <c r="D94" s="11" t="s">
        <v>143</v>
      </c>
      <c r="E94" s="75" t="s">
        <v>144</v>
      </c>
      <c r="F94" s="11">
        <v>14.980499999999999</v>
      </c>
      <c r="G94" s="11">
        <v>120.974</v>
      </c>
      <c r="H94" s="11" t="str">
        <f t="shared" si="19"/>
        <v>14.9805,120.974</v>
      </c>
      <c r="I94" s="11" t="s">
        <v>72</v>
      </c>
      <c r="J94" s="11"/>
      <c r="K94" s="11" t="s">
        <v>69</v>
      </c>
      <c r="L94" s="11" t="s">
        <v>69</v>
      </c>
      <c r="M94" s="11" t="s">
        <v>80</v>
      </c>
      <c r="N94" s="11" t="s">
        <v>200</v>
      </c>
      <c r="O94" s="11"/>
      <c r="P94" s="11" t="s">
        <v>201</v>
      </c>
      <c r="Q94" s="9" t="s">
        <v>1157</v>
      </c>
      <c r="R94" s="34">
        <v>45882</v>
      </c>
      <c r="S94" s="34">
        <v>45887</v>
      </c>
      <c r="T94" s="34"/>
      <c r="U94" s="34">
        <v>45888</v>
      </c>
      <c r="V94" s="34">
        <v>45888</v>
      </c>
      <c r="W94" s="45">
        <f t="shared" si="13"/>
        <v>3</v>
      </c>
      <c r="X94" s="45" t="str">
        <f t="shared" si="14"/>
        <v/>
      </c>
      <c r="Y94" s="45">
        <f t="shared" si="15"/>
        <v>1</v>
      </c>
      <c r="Z94" s="45">
        <f t="shared" si="16"/>
        <v>1</v>
      </c>
      <c r="AA94" s="11" t="s">
        <v>150</v>
      </c>
      <c r="AB94" s="11">
        <v>34</v>
      </c>
      <c r="AC94" s="7" t="s">
        <v>1158</v>
      </c>
      <c r="AD94" s="7" t="s">
        <v>1159</v>
      </c>
      <c r="AE94" s="11" t="s">
        <v>1039</v>
      </c>
      <c r="AF94" s="680">
        <v>51651</v>
      </c>
      <c r="AG94" s="432" t="e">
        <f t="shared" si="18"/>
        <v>#VALUE!</v>
      </c>
      <c r="AH94" s="11" t="s">
        <v>50</v>
      </c>
      <c r="AI94" s="11"/>
      <c r="AJ94" s="7"/>
      <c r="AK94" s="7"/>
      <c r="AL94" s="11"/>
      <c r="AM94" s="11"/>
      <c r="AN94" s="11"/>
      <c r="AO94" s="11"/>
      <c r="AP94" s="11"/>
      <c r="AQ94" s="7"/>
      <c r="AR94" s="11"/>
      <c r="AS94" s="11"/>
    </row>
    <row r="95" spans="1:45" ht="15" customHeight="1">
      <c r="A95" s="7" t="s">
        <v>776</v>
      </c>
      <c r="B95" s="7" t="s">
        <v>1160</v>
      </c>
      <c r="C95" s="7" t="s">
        <v>1161</v>
      </c>
      <c r="D95" s="11" t="s">
        <v>143</v>
      </c>
      <c r="E95" s="75" t="s">
        <v>599</v>
      </c>
      <c r="F95" s="11">
        <v>14.870646000000001</v>
      </c>
      <c r="G95" s="11">
        <v>120.97304200000001</v>
      </c>
      <c r="H95" s="11" t="str">
        <f t="shared" si="19"/>
        <v>14.870646,120.973042</v>
      </c>
      <c r="I95" s="11" t="s">
        <v>70</v>
      </c>
      <c r="J95" s="11">
        <v>1</v>
      </c>
      <c r="K95" s="11">
        <v>2012</v>
      </c>
      <c r="L95" s="117">
        <v>500000</v>
      </c>
      <c r="M95" s="11" t="s">
        <v>83</v>
      </c>
      <c r="N95" s="11" t="s">
        <v>508</v>
      </c>
      <c r="O95" s="11" t="s">
        <v>147</v>
      </c>
      <c r="P95" s="11" t="s">
        <v>201</v>
      </c>
      <c r="Q95" s="11" t="s">
        <v>1162</v>
      </c>
      <c r="R95" s="34">
        <v>45967</v>
      </c>
      <c r="S95" s="34">
        <v>45971</v>
      </c>
      <c r="T95" s="34">
        <v>45979</v>
      </c>
      <c r="U95" s="34">
        <v>45980</v>
      </c>
      <c r="V95" s="34">
        <v>45980</v>
      </c>
      <c r="W95" s="45">
        <f t="shared" si="13"/>
        <v>2</v>
      </c>
      <c r="X95" s="45">
        <f t="shared" si="14"/>
        <v>6</v>
      </c>
      <c r="Y95" s="45">
        <f t="shared" si="15"/>
        <v>1</v>
      </c>
      <c r="Z95" s="45">
        <f t="shared" si="16"/>
        <v>1</v>
      </c>
      <c r="AA95" s="11" t="s">
        <v>150</v>
      </c>
      <c r="AB95" s="11">
        <v>24</v>
      </c>
      <c r="AC95" s="7"/>
      <c r="AD95" s="7" t="s">
        <v>937</v>
      </c>
      <c r="AE95" s="11"/>
      <c r="AF95" s="11"/>
      <c r="AG95" s="432" t="e">
        <f t="shared" si="18"/>
        <v>#DIV/0!</v>
      </c>
      <c r="AH95" s="11" t="s">
        <v>57</v>
      </c>
      <c r="AI95" s="11" t="s">
        <v>1163</v>
      </c>
      <c r="AJ95" s="7"/>
      <c r="AK95" s="7"/>
      <c r="AL95" s="11"/>
      <c r="AM95" s="11"/>
      <c r="AN95" s="11"/>
      <c r="AO95" s="11"/>
      <c r="AP95" s="11"/>
      <c r="AQ95" s="7"/>
      <c r="AR95" s="11"/>
      <c r="AS95" s="11"/>
    </row>
    <row r="96" spans="1:45" ht="15" customHeight="1">
      <c r="A96" s="7" t="s">
        <v>776</v>
      </c>
      <c r="B96" s="7" t="s">
        <v>1160</v>
      </c>
      <c r="C96" s="7" t="s">
        <v>1164</v>
      </c>
      <c r="D96" s="11" t="s">
        <v>143</v>
      </c>
      <c r="E96" s="75" t="s">
        <v>599</v>
      </c>
      <c r="F96" s="11">
        <v>14.807207999999999</v>
      </c>
      <c r="G96" s="11">
        <v>120.987347</v>
      </c>
      <c r="H96" s="11" t="str">
        <f t="shared" si="19"/>
        <v>14.807208,120.987347</v>
      </c>
      <c r="I96" s="11" t="s">
        <v>71</v>
      </c>
      <c r="J96" s="11">
        <v>1</v>
      </c>
      <c r="K96" s="11">
        <v>2017</v>
      </c>
      <c r="L96" s="117">
        <v>460000</v>
      </c>
      <c r="M96" s="11" t="s">
        <v>83</v>
      </c>
      <c r="N96" s="11" t="s">
        <v>508</v>
      </c>
      <c r="O96" s="11" t="s">
        <v>147</v>
      </c>
      <c r="P96" s="11" t="s">
        <v>201</v>
      </c>
      <c r="Q96" s="84" t="s">
        <v>1165</v>
      </c>
      <c r="R96" s="34">
        <v>45967</v>
      </c>
      <c r="S96" s="34">
        <v>45971</v>
      </c>
      <c r="T96" s="34">
        <v>45979</v>
      </c>
      <c r="U96" s="34">
        <v>45980</v>
      </c>
      <c r="V96" s="34">
        <v>45980</v>
      </c>
      <c r="W96" s="45">
        <f t="shared" si="13"/>
        <v>2</v>
      </c>
      <c r="X96" s="45">
        <f t="shared" si="14"/>
        <v>6</v>
      </c>
      <c r="Y96" s="45">
        <f t="shared" si="15"/>
        <v>1</v>
      </c>
      <c r="Z96" s="45">
        <f t="shared" si="16"/>
        <v>1</v>
      </c>
      <c r="AA96" s="11" t="s">
        <v>150</v>
      </c>
      <c r="AB96" s="11">
        <v>1</v>
      </c>
      <c r="AC96" s="7"/>
      <c r="AD96" s="7" t="s">
        <v>937</v>
      </c>
      <c r="AE96" s="11"/>
      <c r="AG96" s="432" t="e">
        <f t="shared" si="18"/>
        <v>#DIV/0!</v>
      </c>
      <c r="AH96" s="11" t="s">
        <v>50</v>
      </c>
      <c r="AI96" s="11" t="s">
        <v>4</v>
      </c>
      <c r="AJ96" s="7"/>
      <c r="AK96" s="7"/>
      <c r="AL96" s="11"/>
      <c r="AM96" s="11"/>
      <c r="AN96" s="11"/>
      <c r="AO96" s="11"/>
      <c r="AP96" s="11"/>
      <c r="AQ96" s="7"/>
      <c r="AR96" s="11"/>
      <c r="AS96" s="11"/>
    </row>
    <row r="97" spans="1:45" s="732" customFormat="1" ht="15" customHeight="1">
      <c r="A97" s="729" t="s">
        <v>776</v>
      </c>
      <c r="B97" s="729" t="s">
        <v>1160</v>
      </c>
      <c r="C97" s="729" t="s">
        <v>1166</v>
      </c>
      <c r="D97" s="104" t="s">
        <v>143</v>
      </c>
      <c r="E97" s="737" t="s">
        <v>599</v>
      </c>
      <c r="F97" s="104">
        <v>14.805337</v>
      </c>
      <c r="G97" s="104">
        <v>121.00643599999999</v>
      </c>
      <c r="H97" s="104" t="str">
        <f t="shared" si="19"/>
        <v>14.805337,121.006436</v>
      </c>
      <c r="I97" s="104" t="s">
        <v>71</v>
      </c>
      <c r="J97" s="104">
        <v>1</v>
      </c>
      <c r="K97" s="104">
        <v>2017</v>
      </c>
      <c r="L97" s="740">
        <v>460000</v>
      </c>
      <c r="M97" s="104" t="s">
        <v>83</v>
      </c>
      <c r="N97" s="104" t="s">
        <v>508</v>
      </c>
      <c r="O97" s="104" t="s">
        <v>147</v>
      </c>
      <c r="P97" s="743" t="s">
        <v>201</v>
      </c>
      <c r="Q97" s="104" t="s">
        <v>1167</v>
      </c>
      <c r="R97" s="744">
        <v>45967</v>
      </c>
      <c r="S97" s="731">
        <v>45971</v>
      </c>
      <c r="T97" s="731">
        <v>45979</v>
      </c>
      <c r="U97" s="731">
        <v>45980</v>
      </c>
      <c r="V97" s="731">
        <v>45980</v>
      </c>
      <c r="W97" s="45">
        <f t="shared" si="13"/>
        <v>2</v>
      </c>
      <c r="X97" s="45">
        <f t="shared" si="14"/>
        <v>6</v>
      </c>
      <c r="Y97" s="45">
        <f t="shared" si="15"/>
        <v>1</v>
      </c>
      <c r="Z97" s="45">
        <f t="shared" si="16"/>
        <v>1</v>
      </c>
      <c r="AA97" s="104" t="s">
        <v>1085</v>
      </c>
      <c r="AB97" s="104">
        <v>1</v>
      </c>
      <c r="AC97" s="729" t="s">
        <v>815</v>
      </c>
      <c r="AD97" s="729" t="s">
        <v>937</v>
      </c>
      <c r="AE97" s="104"/>
      <c r="AF97" s="104"/>
      <c r="AG97" s="738" t="e">
        <f t="shared" si="18"/>
        <v>#DIV/0!</v>
      </c>
      <c r="AH97" s="104" t="s">
        <v>57</v>
      </c>
      <c r="AI97" s="104"/>
      <c r="AJ97" s="729"/>
      <c r="AK97" s="729" t="s">
        <v>1168</v>
      </c>
      <c r="AL97" s="104"/>
      <c r="AM97" s="104"/>
      <c r="AN97" s="104"/>
      <c r="AO97" s="104"/>
      <c r="AP97" s="104"/>
      <c r="AQ97" s="729"/>
      <c r="AR97" s="104"/>
      <c r="AS97" s="104"/>
    </row>
    <row r="98" spans="1:45" ht="15" customHeight="1">
      <c r="A98" s="7" t="s">
        <v>777</v>
      </c>
      <c r="B98" s="7" t="s">
        <v>1169</v>
      </c>
      <c r="C98" s="7" t="s">
        <v>1170</v>
      </c>
      <c r="D98" s="11" t="s">
        <v>143</v>
      </c>
      <c r="E98" s="75" t="s">
        <v>160</v>
      </c>
      <c r="F98" s="11">
        <v>15.4795</v>
      </c>
      <c r="G98" s="11">
        <v>120.819</v>
      </c>
      <c r="H98" s="11" t="str">
        <f t="shared" si="19"/>
        <v>15.4795,120.819</v>
      </c>
      <c r="I98" s="11" t="s">
        <v>72</v>
      </c>
      <c r="J98" s="11"/>
      <c r="K98" s="11" t="s">
        <v>69</v>
      </c>
      <c r="L98" s="11" t="s">
        <v>69</v>
      </c>
      <c r="M98" s="11" t="s">
        <v>81</v>
      </c>
      <c r="N98" s="11" t="s">
        <v>224</v>
      </c>
      <c r="O98" s="11" t="s">
        <v>1121</v>
      </c>
      <c r="P98" s="11" t="s">
        <v>212</v>
      </c>
      <c r="Q98" s="85" t="s">
        <v>1171</v>
      </c>
      <c r="R98" s="34">
        <v>45869</v>
      </c>
      <c r="S98" s="34">
        <v>45870</v>
      </c>
      <c r="T98" s="34">
        <v>45877</v>
      </c>
      <c r="U98" s="34">
        <v>45877</v>
      </c>
      <c r="V98" s="34">
        <v>45882</v>
      </c>
      <c r="W98" s="45">
        <f t="shared" si="13"/>
        <v>1</v>
      </c>
      <c r="X98" s="45">
        <f t="shared" si="14"/>
        <v>5</v>
      </c>
      <c r="Y98" s="45">
        <f t="shared" si="15"/>
        <v>1</v>
      </c>
      <c r="Z98" s="45">
        <f t="shared" si="16"/>
        <v>3</v>
      </c>
      <c r="AA98" s="11" t="s">
        <v>150</v>
      </c>
      <c r="AB98" s="11"/>
      <c r="AC98" s="7"/>
      <c r="AD98" s="7"/>
      <c r="AE98" s="11"/>
      <c r="AF98" s="11"/>
      <c r="AG98" s="432" t="e">
        <f t="shared" si="18"/>
        <v>#DIV/0!</v>
      </c>
      <c r="AH98" s="11" t="s">
        <v>50</v>
      </c>
      <c r="AI98" s="11"/>
      <c r="AJ98" s="7" t="s">
        <v>809</v>
      </c>
      <c r="AK98" s="7"/>
      <c r="AL98" s="11" t="s">
        <v>1172</v>
      </c>
      <c r="AM98" s="11"/>
      <c r="AN98" s="11"/>
      <c r="AO98" s="11"/>
      <c r="AP98" s="11"/>
      <c r="AQ98" s="7"/>
      <c r="AR98" s="11"/>
      <c r="AS98" s="11"/>
    </row>
    <row r="99" spans="1:45" ht="15" customHeight="1">
      <c r="A99" s="7" t="s">
        <v>777</v>
      </c>
      <c r="B99" s="7" t="s">
        <v>1173</v>
      </c>
      <c r="C99" s="7" t="s">
        <v>1174</v>
      </c>
      <c r="D99" s="11" t="s">
        <v>143</v>
      </c>
      <c r="E99" s="75" t="s">
        <v>144</v>
      </c>
      <c r="F99" s="11">
        <v>15.6434</v>
      </c>
      <c r="G99" s="11">
        <v>121.188</v>
      </c>
      <c r="H99" s="11" t="str">
        <f t="shared" si="19"/>
        <v>15.6434,121.188</v>
      </c>
      <c r="I99" s="11" t="s">
        <v>72</v>
      </c>
      <c r="J99" s="11"/>
      <c r="K99" s="11" t="s">
        <v>69</v>
      </c>
      <c r="L99" s="11" t="s">
        <v>69</v>
      </c>
      <c r="M99" s="11" t="s">
        <v>75</v>
      </c>
      <c r="N99" s="11" t="s">
        <v>28</v>
      </c>
      <c r="O99" s="11" t="s">
        <v>1121</v>
      </c>
      <c r="P99" s="11" t="s">
        <v>212</v>
      </c>
      <c r="Q99" s="11" t="s">
        <v>1175</v>
      </c>
      <c r="R99" s="34">
        <v>45723</v>
      </c>
      <c r="S99" s="34">
        <v>45726</v>
      </c>
      <c r="T99" s="34">
        <v>45726</v>
      </c>
      <c r="U99" s="34">
        <v>45729</v>
      </c>
      <c r="V99" s="34">
        <v>45730</v>
      </c>
      <c r="W99" s="45">
        <f t="shared" si="13"/>
        <v>1</v>
      </c>
      <c r="X99" s="45">
        <f t="shared" si="14"/>
        <v>1</v>
      </c>
      <c r="Y99" s="45">
        <f t="shared" si="15"/>
        <v>3</v>
      </c>
      <c r="Z99" s="45">
        <f t="shared" si="16"/>
        <v>1</v>
      </c>
      <c r="AA99" s="7" t="s">
        <v>150</v>
      </c>
      <c r="AB99" s="11">
        <v>28</v>
      </c>
      <c r="AC99" s="7" t="s">
        <v>875</v>
      </c>
      <c r="AD99" s="7" t="s">
        <v>876</v>
      </c>
      <c r="AE99" s="11">
        <v>1528</v>
      </c>
      <c r="AF99" s="82">
        <v>46265.553</v>
      </c>
      <c r="AG99" s="432">
        <f t="shared" si="18"/>
        <v>3.3026731572839946E-2</v>
      </c>
      <c r="AH99" s="11" t="s">
        <v>50</v>
      </c>
      <c r="AI99" s="11" t="s">
        <v>69</v>
      </c>
      <c r="AJ99" s="7" t="s">
        <v>151</v>
      </c>
      <c r="AK99" s="11" t="s">
        <v>69</v>
      </c>
      <c r="AL99" s="11" t="s">
        <v>69</v>
      </c>
      <c r="AM99" s="11" t="s">
        <v>69</v>
      </c>
      <c r="AN99" s="11" t="s">
        <v>69</v>
      </c>
      <c r="AO99" s="11" t="s">
        <v>69</v>
      </c>
      <c r="AP99" s="11" t="s">
        <v>69</v>
      </c>
      <c r="AQ99" s="11" t="s">
        <v>69</v>
      </c>
      <c r="AR99" s="11" t="s">
        <v>69</v>
      </c>
      <c r="AS99" s="430"/>
    </row>
    <row r="100" spans="1:45" ht="15" customHeight="1">
      <c r="A100" s="7" t="s">
        <v>777</v>
      </c>
      <c r="B100" s="7" t="s">
        <v>1176</v>
      </c>
      <c r="C100" s="7" t="s">
        <v>1177</v>
      </c>
      <c r="D100" s="11" t="s">
        <v>143</v>
      </c>
      <c r="E100" s="75" t="s">
        <v>144</v>
      </c>
      <c r="F100" s="11">
        <v>15.505076000000001</v>
      </c>
      <c r="G100" s="11">
        <v>120.949955</v>
      </c>
      <c r="H100" s="11" t="str">
        <f t="shared" si="19"/>
        <v>15.505076,120.949955</v>
      </c>
      <c r="I100" s="11" t="s">
        <v>70</v>
      </c>
      <c r="J100" s="11">
        <v>1</v>
      </c>
      <c r="K100" s="11">
        <v>2018</v>
      </c>
      <c r="L100" s="82">
        <v>475000</v>
      </c>
      <c r="M100" s="11" t="s">
        <v>76</v>
      </c>
      <c r="N100" s="11" t="s">
        <v>267</v>
      </c>
      <c r="O100" s="11" t="s">
        <v>28</v>
      </c>
      <c r="P100" s="11" t="s">
        <v>212</v>
      </c>
      <c r="Q100" s="11" t="s">
        <v>1178</v>
      </c>
      <c r="R100" s="34">
        <v>45755</v>
      </c>
      <c r="S100" s="34">
        <v>45761</v>
      </c>
      <c r="T100" s="34">
        <v>45762</v>
      </c>
      <c r="U100" s="34">
        <v>45762</v>
      </c>
      <c r="V100" s="34">
        <v>45762</v>
      </c>
      <c r="W100" s="45">
        <f t="shared" si="13"/>
        <v>4</v>
      </c>
      <c r="X100" s="45">
        <f t="shared" si="14"/>
        <v>1</v>
      </c>
      <c r="Y100" s="45">
        <f t="shared" si="15"/>
        <v>1</v>
      </c>
      <c r="Z100" s="45">
        <f t="shared" si="16"/>
        <v>1</v>
      </c>
      <c r="AA100" s="431" t="s">
        <v>150</v>
      </c>
      <c r="AB100" s="11">
        <v>1</v>
      </c>
      <c r="AC100" s="7" t="s">
        <v>1179</v>
      </c>
      <c r="AD100" s="7" t="s">
        <v>883</v>
      </c>
      <c r="AE100" s="11">
        <v>16.57</v>
      </c>
      <c r="AF100" s="11">
        <v>1182.57</v>
      </c>
      <c r="AG100" s="432">
        <f t="shared" si="18"/>
        <v>1.4011855534978903E-2</v>
      </c>
      <c r="AH100" s="11" t="s">
        <v>50</v>
      </c>
      <c r="AI100" s="11"/>
      <c r="AJ100" s="7"/>
      <c r="AK100" s="7"/>
      <c r="AL100" s="11"/>
      <c r="AM100" s="11"/>
      <c r="AN100" s="11"/>
      <c r="AO100" s="11"/>
      <c r="AP100" s="11"/>
      <c r="AQ100" s="7"/>
      <c r="AR100" s="11"/>
      <c r="AS100" s="430"/>
    </row>
    <row r="101" spans="1:45" ht="15" customHeight="1">
      <c r="A101" s="7" t="s">
        <v>777</v>
      </c>
      <c r="B101" s="7" t="s">
        <v>1176</v>
      </c>
      <c r="C101" s="7" t="s">
        <v>1180</v>
      </c>
      <c r="D101" s="11" t="s">
        <v>143</v>
      </c>
      <c r="E101" s="75" t="s">
        <v>144</v>
      </c>
      <c r="F101" s="11">
        <v>15.489699999999999</v>
      </c>
      <c r="G101" s="11">
        <v>120.994</v>
      </c>
      <c r="H101" s="11" t="str">
        <f t="shared" si="19"/>
        <v>15.4897,120.994</v>
      </c>
      <c r="I101" s="11" t="s">
        <v>72</v>
      </c>
      <c r="J101" s="11"/>
      <c r="K101" s="11" t="s">
        <v>69</v>
      </c>
      <c r="L101" s="11" t="s">
        <v>69</v>
      </c>
      <c r="M101" s="11" t="s">
        <v>76</v>
      </c>
      <c r="N101" s="11" t="s">
        <v>267</v>
      </c>
      <c r="O101" s="11" t="s">
        <v>28</v>
      </c>
      <c r="P101" s="11" t="s">
        <v>212</v>
      </c>
      <c r="Q101" s="11" t="s">
        <v>1181</v>
      </c>
      <c r="R101" s="34">
        <v>45751</v>
      </c>
      <c r="S101" s="34">
        <v>45755</v>
      </c>
      <c r="T101" s="34">
        <v>45757</v>
      </c>
      <c r="U101" s="34">
        <v>45757</v>
      </c>
      <c r="V101" s="34">
        <v>45758</v>
      </c>
      <c r="W101" s="45">
        <f t="shared" si="13"/>
        <v>2</v>
      </c>
      <c r="X101" s="45">
        <f t="shared" si="14"/>
        <v>2</v>
      </c>
      <c r="Y101" s="45">
        <f t="shared" si="15"/>
        <v>1</v>
      </c>
      <c r="Z101" s="45">
        <f t="shared" si="16"/>
        <v>1</v>
      </c>
      <c r="AA101" s="7" t="s">
        <v>150</v>
      </c>
      <c r="AB101" s="11"/>
      <c r="AC101" s="7" t="s">
        <v>1182</v>
      </c>
      <c r="AD101" s="7" t="s">
        <v>1183</v>
      </c>
      <c r="AE101" s="11">
        <v>1872</v>
      </c>
      <c r="AF101" s="11">
        <v>2066</v>
      </c>
      <c r="AG101" s="432">
        <f t="shared" si="18"/>
        <v>0.90609874152952563</v>
      </c>
      <c r="AH101" s="11" t="s">
        <v>50</v>
      </c>
      <c r="AI101" s="11"/>
      <c r="AJ101" s="7"/>
      <c r="AK101" s="7"/>
      <c r="AL101" s="11"/>
      <c r="AM101" s="11"/>
      <c r="AN101" s="11"/>
      <c r="AO101" s="11"/>
      <c r="AP101" s="11"/>
      <c r="AQ101" s="7"/>
      <c r="AR101" s="11"/>
      <c r="AS101" s="430"/>
    </row>
    <row r="102" spans="1:45">
      <c r="A102" s="7" t="s">
        <v>777</v>
      </c>
      <c r="B102" s="7" t="s">
        <v>1184</v>
      </c>
      <c r="C102" s="7" t="s">
        <v>1185</v>
      </c>
      <c r="D102" s="11" t="s">
        <v>143</v>
      </c>
      <c r="E102" s="75" t="s">
        <v>233</v>
      </c>
      <c r="F102" s="11">
        <v>15.812099999999999</v>
      </c>
      <c r="G102" s="11">
        <v>120.836</v>
      </c>
      <c r="H102" s="11" t="str">
        <f t="shared" si="19"/>
        <v>15.8121,120.836</v>
      </c>
      <c r="I102" s="11" t="s">
        <v>72</v>
      </c>
      <c r="J102" s="11"/>
      <c r="K102" s="11" t="s">
        <v>69</v>
      </c>
      <c r="L102" s="11" t="s">
        <v>69</v>
      </c>
      <c r="M102" s="11" t="s">
        <v>79</v>
      </c>
      <c r="N102" s="11" t="s">
        <v>30</v>
      </c>
      <c r="O102" s="11" t="s">
        <v>28</v>
      </c>
      <c r="P102" s="11" t="s">
        <v>212</v>
      </c>
      <c r="Q102" s="11" t="s">
        <v>1186</v>
      </c>
      <c r="R102" s="34">
        <v>45839</v>
      </c>
      <c r="S102" s="34">
        <v>45852</v>
      </c>
      <c r="T102" s="34">
        <v>45853</v>
      </c>
      <c r="U102" s="34">
        <v>45855</v>
      </c>
      <c r="V102" s="34">
        <v>45855</v>
      </c>
      <c r="W102" s="45">
        <f t="shared" si="13"/>
        <v>9</v>
      </c>
      <c r="X102" s="45">
        <f t="shared" si="14"/>
        <v>1</v>
      </c>
      <c r="Y102" s="45">
        <f t="shared" si="15"/>
        <v>2</v>
      </c>
      <c r="Z102" s="45">
        <f t="shared" si="16"/>
        <v>1</v>
      </c>
      <c r="AA102" s="7" t="s">
        <v>150</v>
      </c>
      <c r="AB102" s="11">
        <v>23</v>
      </c>
      <c r="AC102" s="7" t="s">
        <v>1187</v>
      </c>
      <c r="AD102" s="7" t="s">
        <v>1188</v>
      </c>
      <c r="AE102" s="11" t="s">
        <v>679</v>
      </c>
      <c r="AF102" s="11">
        <v>69212.789999999994</v>
      </c>
      <c r="AG102" s="432">
        <f>(AE101/AF102)</f>
        <v>2.7047024112161932E-2</v>
      </c>
      <c r="AH102" s="11" t="s">
        <v>50</v>
      </c>
      <c r="AI102" s="11"/>
      <c r="AJ102" s="7"/>
      <c r="AK102" s="7"/>
      <c r="AL102" s="11"/>
      <c r="AM102" s="11"/>
      <c r="AN102" s="11"/>
      <c r="AO102" s="11"/>
      <c r="AP102" s="11"/>
      <c r="AQ102" s="7"/>
      <c r="AR102" s="11"/>
      <c r="AS102" s="11"/>
    </row>
    <row r="103" spans="1:45">
      <c r="A103" s="7" t="s">
        <v>777</v>
      </c>
      <c r="B103" s="7" t="s">
        <v>1189</v>
      </c>
      <c r="C103" s="7" t="s">
        <v>1190</v>
      </c>
      <c r="D103" s="11" t="s">
        <v>143</v>
      </c>
      <c r="E103" s="75" t="s">
        <v>185</v>
      </c>
      <c r="F103" s="11">
        <v>15.956899999999999</v>
      </c>
      <c r="G103" s="11">
        <v>121.078</v>
      </c>
      <c r="H103" s="11" t="str">
        <f t="shared" si="19"/>
        <v>15.9569,121.078</v>
      </c>
      <c r="I103" s="11" t="s">
        <v>72</v>
      </c>
      <c r="J103" s="11"/>
      <c r="K103" s="11" t="s">
        <v>69</v>
      </c>
      <c r="L103" s="11" t="s">
        <v>69</v>
      </c>
      <c r="M103" s="11" t="s">
        <v>82</v>
      </c>
      <c r="N103" s="11" t="s">
        <v>29</v>
      </c>
      <c r="O103" s="11" t="s">
        <v>1121</v>
      </c>
      <c r="P103" s="11" t="s">
        <v>212</v>
      </c>
      <c r="Q103" s="11" t="s">
        <v>1191</v>
      </c>
      <c r="R103" s="34">
        <v>45944</v>
      </c>
      <c r="S103" s="34">
        <v>45946</v>
      </c>
      <c r="T103" s="34">
        <v>45947</v>
      </c>
      <c r="U103" s="34">
        <v>45947</v>
      </c>
      <c r="V103" s="34">
        <v>45950</v>
      </c>
      <c r="W103" s="45">
        <f t="shared" si="13"/>
        <v>2</v>
      </c>
      <c r="X103" s="45">
        <f t="shared" si="14"/>
        <v>1</v>
      </c>
      <c r="Y103" s="45">
        <f t="shared" si="15"/>
        <v>1</v>
      </c>
      <c r="Z103" s="45">
        <f t="shared" si="16"/>
        <v>1</v>
      </c>
      <c r="AA103" s="11" t="s">
        <v>150</v>
      </c>
      <c r="AB103" s="11">
        <v>17</v>
      </c>
      <c r="AC103" s="7"/>
      <c r="AD103" s="7" t="s">
        <v>1192</v>
      </c>
      <c r="AE103" s="11">
        <v>127.5</v>
      </c>
      <c r="AF103" s="11">
        <v>436.67</v>
      </c>
      <c r="AG103" s="432">
        <f>(AE103/AF103)</f>
        <v>0.29198250395035152</v>
      </c>
      <c r="AH103" s="11" t="s">
        <v>50</v>
      </c>
      <c r="AI103" s="11"/>
      <c r="AJ103" s="7"/>
      <c r="AK103" s="7"/>
      <c r="AL103" s="11"/>
      <c r="AM103" s="11"/>
      <c r="AN103" s="11"/>
      <c r="AO103" s="11"/>
      <c r="AP103" s="11"/>
      <c r="AQ103" s="7"/>
      <c r="AR103" s="11"/>
      <c r="AS103" s="11"/>
    </row>
    <row r="104" spans="1:45" ht="15" customHeight="1">
      <c r="A104" s="581" t="s">
        <v>777</v>
      </c>
      <c r="B104" s="581" t="s">
        <v>1193</v>
      </c>
      <c r="C104" s="581" t="s">
        <v>1185</v>
      </c>
      <c r="D104" s="464" t="s">
        <v>143</v>
      </c>
      <c r="E104" s="582" t="s">
        <v>144</v>
      </c>
      <c r="F104" s="464">
        <v>15.470800000000001</v>
      </c>
      <c r="G104" s="464">
        <v>121.34350000000001</v>
      </c>
      <c r="H104" s="464" t="str">
        <f t="shared" si="19"/>
        <v>15.4708,121.3435</v>
      </c>
      <c r="I104" s="464" t="s">
        <v>72</v>
      </c>
      <c r="J104" s="9"/>
      <c r="K104" s="9" t="s">
        <v>69</v>
      </c>
      <c r="L104" s="9" t="s">
        <v>69</v>
      </c>
      <c r="M104" s="9" t="s">
        <v>79</v>
      </c>
      <c r="N104" s="9" t="s">
        <v>267</v>
      </c>
      <c r="O104" s="11" t="s">
        <v>28</v>
      </c>
      <c r="P104" s="9" t="s">
        <v>212</v>
      </c>
      <c r="Q104" s="9"/>
      <c r="R104" s="574">
        <v>45848</v>
      </c>
      <c r="S104" s="574">
        <v>45856</v>
      </c>
      <c r="T104" s="574">
        <v>45856</v>
      </c>
      <c r="U104" s="574">
        <v>45859</v>
      </c>
      <c r="V104" s="574">
        <v>45859</v>
      </c>
      <c r="W104" s="45">
        <f t="shared" si="13"/>
        <v>6</v>
      </c>
      <c r="X104" s="45">
        <f t="shared" si="14"/>
        <v>1</v>
      </c>
      <c r="Y104" s="45">
        <f t="shared" si="15"/>
        <v>1</v>
      </c>
      <c r="Z104" s="45">
        <f t="shared" si="16"/>
        <v>1</v>
      </c>
      <c r="AA104" s="9"/>
      <c r="AB104" s="9">
        <v>17</v>
      </c>
      <c r="AC104" s="4" t="s">
        <v>1194</v>
      </c>
      <c r="AD104" s="4" t="s">
        <v>1195</v>
      </c>
      <c r="AE104" s="575">
        <v>2536.2939999999999</v>
      </c>
      <c r="AF104" s="576">
        <v>13712.165999999999</v>
      </c>
      <c r="AG104" s="577">
        <f>(AE104/AF104)</f>
        <v>0.18496669308116603</v>
      </c>
      <c r="AH104" s="9" t="s">
        <v>50</v>
      </c>
      <c r="AI104" s="581" t="s">
        <v>1196</v>
      </c>
      <c r="AJ104" s="4"/>
      <c r="AK104" s="4"/>
      <c r="AL104" s="9"/>
      <c r="AM104" s="9"/>
      <c r="AN104" s="9"/>
      <c r="AO104" s="9"/>
      <c r="AP104" s="9"/>
      <c r="AQ104" s="4"/>
      <c r="AR104" s="9"/>
      <c r="AS104" s="9"/>
    </row>
    <row r="105" spans="1:45" ht="15" customHeight="1">
      <c r="A105" s="568" t="s">
        <v>777</v>
      </c>
      <c r="B105" s="568" t="s">
        <v>1193</v>
      </c>
      <c r="C105" s="568" t="s">
        <v>1197</v>
      </c>
      <c r="D105" s="569" t="s">
        <v>143</v>
      </c>
      <c r="E105" s="570" t="s">
        <v>144</v>
      </c>
      <c r="F105" s="569">
        <v>15.4709</v>
      </c>
      <c r="G105" s="569">
        <v>121.3436</v>
      </c>
      <c r="H105" s="569" t="str">
        <f t="shared" si="19"/>
        <v>15.4709,121.3436</v>
      </c>
      <c r="I105" s="569" t="s">
        <v>70</v>
      </c>
      <c r="J105" s="569">
        <v>1</v>
      </c>
      <c r="K105" s="569">
        <v>2019</v>
      </c>
      <c r="L105" s="571">
        <v>500000</v>
      </c>
      <c r="M105" s="569" t="s">
        <v>82</v>
      </c>
      <c r="N105" s="569" t="s">
        <v>267</v>
      </c>
      <c r="O105" s="569" t="s">
        <v>1121</v>
      </c>
      <c r="P105" s="569" t="s">
        <v>212</v>
      </c>
      <c r="Q105" s="9" t="s">
        <v>1198</v>
      </c>
      <c r="R105" s="574">
        <v>45848</v>
      </c>
      <c r="S105" s="574">
        <v>45856</v>
      </c>
      <c r="T105" s="574">
        <v>45856</v>
      </c>
      <c r="U105" s="574">
        <v>45859</v>
      </c>
      <c r="V105" s="574">
        <v>45859</v>
      </c>
      <c r="W105" s="45">
        <f t="shared" si="13"/>
        <v>6</v>
      </c>
      <c r="X105" s="45">
        <f t="shared" si="14"/>
        <v>1</v>
      </c>
      <c r="Y105" s="45">
        <f t="shared" si="15"/>
        <v>1</v>
      </c>
      <c r="Z105" s="45">
        <f t="shared" si="16"/>
        <v>1</v>
      </c>
      <c r="AA105" s="11" t="s">
        <v>150</v>
      </c>
      <c r="AB105" s="9">
        <v>17</v>
      </c>
      <c r="AC105" s="4" t="s">
        <v>1194</v>
      </c>
      <c r="AD105" s="4" t="s">
        <v>1195</v>
      </c>
      <c r="AE105" s="575">
        <v>2536.2939999999999</v>
      </c>
      <c r="AF105" s="576">
        <v>13712.165999999999</v>
      </c>
      <c r="AG105" s="572">
        <f>(AE105/AF105)</f>
        <v>0.18496669308116603</v>
      </c>
      <c r="AH105" s="9" t="s">
        <v>50</v>
      </c>
      <c r="AI105" s="569"/>
      <c r="AJ105" s="568"/>
      <c r="AK105" s="568"/>
      <c r="AL105" s="569"/>
      <c r="AM105" s="569"/>
      <c r="AN105" s="569"/>
      <c r="AO105" s="569"/>
      <c r="AP105" s="569"/>
      <c r="AQ105" s="568"/>
      <c r="AR105" s="569"/>
      <c r="AS105" s="569"/>
    </row>
    <row r="106" spans="1:45" ht="15" customHeight="1">
      <c r="A106" s="7" t="s">
        <v>779</v>
      </c>
      <c r="B106" s="7" t="s">
        <v>858</v>
      </c>
      <c r="C106" s="7" t="s">
        <v>1199</v>
      </c>
      <c r="D106" s="75" t="s">
        <v>159</v>
      </c>
      <c r="E106" s="9" t="s">
        <v>185</v>
      </c>
      <c r="F106" s="11">
        <v>15.500833999999999</v>
      </c>
      <c r="G106" s="11">
        <v>120.467815</v>
      </c>
      <c r="H106" s="11" t="str">
        <f t="shared" si="19"/>
        <v>15.500834,120.467815</v>
      </c>
      <c r="I106" s="11" t="s">
        <v>70</v>
      </c>
      <c r="J106" s="11">
        <v>1</v>
      </c>
      <c r="K106" s="11">
        <v>2016</v>
      </c>
      <c r="L106" s="82">
        <v>270000</v>
      </c>
      <c r="M106" s="11" t="s">
        <v>75</v>
      </c>
      <c r="N106" s="11" t="s">
        <v>39</v>
      </c>
      <c r="O106" s="71" t="s">
        <v>163</v>
      </c>
      <c r="P106" s="11" t="s">
        <v>328</v>
      </c>
      <c r="Q106" s="11" t="s">
        <v>1200</v>
      </c>
      <c r="R106" s="34">
        <v>45723</v>
      </c>
      <c r="S106" s="34">
        <v>45733</v>
      </c>
      <c r="T106" s="34">
        <v>45733</v>
      </c>
      <c r="U106" s="34">
        <v>45734</v>
      </c>
      <c r="V106" s="34">
        <v>45734</v>
      </c>
      <c r="W106" s="45">
        <f t="shared" si="13"/>
        <v>6</v>
      </c>
      <c r="X106" s="45">
        <f t="shared" si="14"/>
        <v>1</v>
      </c>
      <c r="Y106" s="45">
        <f t="shared" si="15"/>
        <v>1</v>
      </c>
      <c r="Z106" s="45">
        <f t="shared" si="16"/>
        <v>1</v>
      </c>
      <c r="AA106" s="431" t="s">
        <v>150</v>
      </c>
      <c r="AB106" s="11">
        <v>0</v>
      </c>
      <c r="AC106" s="7" t="s">
        <v>808</v>
      </c>
      <c r="AD106" s="7" t="s">
        <v>808</v>
      </c>
      <c r="AE106" s="7" t="s">
        <v>808</v>
      </c>
      <c r="AF106" s="7" t="s">
        <v>808</v>
      </c>
      <c r="AG106" s="432" t="e">
        <f>(AE106/AF106)</f>
        <v>#VALUE!</v>
      </c>
      <c r="AH106" s="11" t="s">
        <v>57</v>
      </c>
      <c r="AI106" s="11" t="s">
        <v>1201</v>
      </c>
      <c r="AJ106" s="7"/>
      <c r="AK106" s="7"/>
      <c r="AL106" s="11"/>
      <c r="AM106" s="11"/>
      <c r="AN106" s="11"/>
      <c r="AO106" s="11"/>
      <c r="AP106" s="11"/>
      <c r="AQ106" s="7"/>
      <c r="AR106" s="11"/>
      <c r="AS106" s="430"/>
    </row>
    <row r="107" spans="1:45" ht="15" customHeight="1">
      <c r="A107" s="7" t="s">
        <v>777</v>
      </c>
      <c r="B107" s="7" t="s">
        <v>1202</v>
      </c>
      <c r="C107" s="7" t="s">
        <v>1203</v>
      </c>
      <c r="D107" s="11" t="s">
        <v>143</v>
      </c>
      <c r="E107" s="75" t="s">
        <v>233</v>
      </c>
      <c r="F107" s="11">
        <v>15.34</v>
      </c>
      <c r="G107" s="11">
        <v>120.968</v>
      </c>
      <c r="H107" s="11" t="str">
        <f t="shared" si="19"/>
        <v>15.34,120.968</v>
      </c>
      <c r="I107" s="11" t="s">
        <v>72</v>
      </c>
      <c r="J107" s="11"/>
      <c r="K107" s="11" t="s">
        <v>69</v>
      </c>
      <c r="L107" s="11" t="s">
        <v>69</v>
      </c>
      <c r="M107" s="11" t="s">
        <v>81</v>
      </c>
      <c r="N107" s="11" t="s">
        <v>30</v>
      </c>
      <c r="O107" s="11" t="s">
        <v>1121</v>
      </c>
      <c r="P107" s="11" t="s">
        <v>212</v>
      </c>
      <c r="Q107" s="488" t="s">
        <v>1204</v>
      </c>
      <c r="R107" s="34">
        <v>45912</v>
      </c>
      <c r="S107" s="34">
        <v>45918</v>
      </c>
      <c r="T107" s="34">
        <v>45918</v>
      </c>
      <c r="U107" s="34">
        <v>45918</v>
      </c>
      <c r="V107" s="34">
        <v>45918</v>
      </c>
      <c r="W107" s="45">
        <f t="shared" si="13"/>
        <v>4</v>
      </c>
      <c r="X107" s="45">
        <f t="shared" si="14"/>
        <v>1</v>
      </c>
      <c r="Y107" s="45">
        <f t="shared" si="15"/>
        <v>1</v>
      </c>
      <c r="Z107" s="45">
        <f t="shared" si="16"/>
        <v>1</v>
      </c>
      <c r="AA107" s="11" t="s">
        <v>150</v>
      </c>
      <c r="AB107" s="11">
        <v>23</v>
      </c>
      <c r="AC107" s="7" t="s">
        <v>815</v>
      </c>
      <c r="AD107" s="7" t="s">
        <v>1205</v>
      </c>
      <c r="AE107" s="82" t="s">
        <v>69</v>
      </c>
      <c r="AF107" s="11" t="s">
        <v>69</v>
      </c>
      <c r="AG107" s="432"/>
      <c r="AH107" s="11" t="s">
        <v>50</v>
      </c>
      <c r="AI107" s="11"/>
      <c r="AJ107" s="7"/>
      <c r="AK107" s="7"/>
      <c r="AL107" s="11"/>
      <c r="AM107" s="11"/>
      <c r="AN107" s="11"/>
      <c r="AO107" s="11"/>
      <c r="AP107" s="11"/>
      <c r="AQ107" s="7"/>
      <c r="AR107" s="11"/>
      <c r="AS107" s="11"/>
    </row>
    <row r="108" spans="1:45" ht="15" customHeight="1">
      <c r="A108" s="7" t="s">
        <v>777</v>
      </c>
      <c r="B108" s="7" t="s">
        <v>1206</v>
      </c>
      <c r="C108" s="7" t="s">
        <v>1207</v>
      </c>
      <c r="D108" s="11" t="s">
        <v>143</v>
      </c>
      <c r="E108" s="75" t="s">
        <v>144</v>
      </c>
      <c r="F108" s="11">
        <v>15.606325999999999</v>
      </c>
      <c r="G108" s="11">
        <v>121.110789</v>
      </c>
      <c r="H108" s="11" t="str">
        <f t="shared" si="19"/>
        <v>15.606326,121.110789</v>
      </c>
      <c r="I108" s="11" t="s">
        <v>70</v>
      </c>
      <c r="J108" s="11">
        <v>1</v>
      </c>
      <c r="K108" s="11">
        <v>2019</v>
      </c>
      <c r="L108" s="82">
        <v>530642.86</v>
      </c>
      <c r="M108" s="11" t="s">
        <v>79</v>
      </c>
      <c r="N108" s="11" t="s">
        <v>26</v>
      </c>
      <c r="O108" s="11" t="s">
        <v>1121</v>
      </c>
      <c r="P108" s="11" t="s">
        <v>212</v>
      </c>
      <c r="Q108" s="7" t="s">
        <v>1208</v>
      </c>
      <c r="R108" s="34">
        <v>45849</v>
      </c>
      <c r="S108" s="34">
        <v>45852</v>
      </c>
      <c r="T108" s="34">
        <v>45854</v>
      </c>
      <c r="U108" s="34">
        <v>45855</v>
      </c>
      <c r="V108" s="34">
        <v>45855</v>
      </c>
      <c r="W108" s="45">
        <f t="shared" si="13"/>
        <v>1</v>
      </c>
      <c r="X108" s="45">
        <f t="shared" si="14"/>
        <v>2</v>
      </c>
      <c r="Y108" s="45">
        <f t="shared" si="15"/>
        <v>1</v>
      </c>
      <c r="Z108" s="45">
        <f t="shared" si="16"/>
        <v>1</v>
      </c>
      <c r="AA108" s="11" t="s">
        <v>150</v>
      </c>
      <c r="AB108" s="11">
        <v>19</v>
      </c>
      <c r="AC108" s="7" t="s">
        <v>1209</v>
      </c>
      <c r="AD108" s="7" t="s">
        <v>904</v>
      </c>
      <c r="AE108" s="11" t="s">
        <v>622</v>
      </c>
      <c r="AF108" s="11">
        <v>11077.75</v>
      </c>
      <c r="AG108" s="432" t="e">
        <f t="shared" ref="AG108:AG128" si="20">(AE108/AF108)</f>
        <v>#VALUE!</v>
      </c>
      <c r="AH108" s="11" t="s">
        <v>50</v>
      </c>
      <c r="AI108" s="11"/>
      <c r="AJ108" s="7" t="s">
        <v>151</v>
      </c>
      <c r="AK108" s="7"/>
      <c r="AL108" s="11"/>
      <c r="AM108" s="11"/>
      <c r="AN108" s="11"/>
      <c r="AO108" s="11"/>
      <c r="AP108" s="11"/>
      <c r="AQ108" s="7"/>
      <c r="AR108" s="11"/>
      <c r="AS108" s="11"/>
    </row>
    <row r="109" spans="1:45" ht="15" customHeight="1">
      <c r="A109" s="7" t="s">
        <v>780</v>
      </c>
      <c r="B109" s="7" t="s">
        <v>1210</v>
      </c>
      <c r="C109" s="7" t="s">
        <v>1211</v>
      </c>
      <c r="D109" s="75" t="s">
        <v>159</v>
      </c>
      <c r="E109" s="63" t="s">
        <v>185</v>
      </c>
      <c r="F109" s="11">
        <v>15.224679</v>
      </c>
      <c r="G109" s="11">
        <v>120.02360899999999</v>
      </c>
      <c r="H109" s="11" t="str">
        <f t="shared" si="19"/>
        <v>15.224679,120.023609</v>
      </c>
      <c r="I109" s="11" t="s">
        <v>70</v>
      </c>
      <c r="J109" s="11">
        <v>1</v>
      </c>
      <c r="K109" s="11">
        <v>2016</v>
      </c>
      <c r="L109" s="82">
        <v>270000</v>
      </c>
      <c r="M109" s="11" t="s">
        <v>76</v>
      </c>
      <c r="N109" s="11" t="s">
        <v>1212</v>
      </c>
      <c r="O109" s="11" t="s">
        <v>163</v>
      </c>
      <c r="P109" s="11" t="s">
        <v>164</v>
      </c>
      <c r="Q109" s="11" t="s">
        <v>1213</v>
      </c>
      <c r="R109" s="34">
        <v>45750</v>
      </c>
      <c r="S109" s="34">
        <v>45754</v>
      </c>
      <c r="T109" s="34">
        <v>45754</v>
      </c>
      <c r="U109" s="34">
        <v>45755</v>
      </c>
      <c r="V109" s="34">
        <v>45755</v>
      </c>
      <c r="W109" s="45">
        <f t="shared" si="13"/>
        <v>2</v>
      </c>
      <c r="X109" s="45">
        <f t="shared" si="14"/>
        <v>1</v>
      </c>
      <c r="Y109" s="45">
        <f t="shared" si="15"/>
        <v>1</v>
      </c>
      <c r="Z109" s="45">
        <f t="shared" si="16"/>
        <v>1</v>
      </c>
      <c r="AA109" s="431" t="s">
        <v>150</v>
      </c>
      <c r="AB109" s="11">
        <v>0</v>
      </c>
      <c r="AC109" s="7" t="s">
        <v>815</v>
      </c>
      <c r="AD109" s="7" t="s">
        <v>69</v>
      </c>
      <c r="AE109" s="7" t="s">
        <v>69</v>
      </c>
      <c r="AF109" s="7" t="s">
        <v>69</v>
      </c>
      <c r="AG109" s="432" t="e">
        <f t="shared" si="20"/>
        <v>#VALUE!</v>
      </c>
      <c r="AH109" s="11" t="s">
        <v>57</v>
      </c>
      <c r="AI109" s="7" t="s">
        <v>1214</v>
      </c>
      <c r="AJ109" s="7"/>
      <c r="AK109" s="7"/>
      <c r="AL109" s="11"/>
      <c r="AM109" s="11"/>
      <c r="AN109" s="11"/>
      <c r="AO109" s="11"/>
      <c r="AP109" s="11"/>
      <c r="AQ109" s="7"/>
      <c r="AR109" s="11"/>
      <c r="AS109" s="430"/>
    </row>
    <row r="110" spans="1:45" ht="15" customHeight="1">
      <c r="A110" s="7" t="s">
        <v>780</v>
      </c>
      <c r="B110" s="7" t="s">
        <v>1215</v>
      </c>
      <c r="C110" s="7" t="s">
        <v>1216</v>
      </c>
      <c r="D110" s="75" t="s">
        <v>159</v>
      </c>
      <c r="E110" s="63" t="s">
        <v>160</v>
      </c>
      <c r="F110" s="11">
        <v>14.925186</v>
      </c>
      <c r="G110" s="11">
        <v>120.148443</v>
      </c>
      <c r="H110" s="11" t="str">
        <f t="shared" si="19"/>
        <v>14.925186,120.148443</v>
      </c>
      <c r="I110" s="11" t="s">
        <v>70</v>
      </c>
      <c r="J110" s="11">
        <v>1</v>
      </c>
      <c r="K110" s="11">
        <v>2019</v>
      </c>
      <c r="L110" s="82">
        <v>502714.29</v>
      </c>
      <c r="M110" s="11" t="s">
        <v>73</v>
      </c>
      <c r="N110" s="11" t="s">
        <v>1212</v>
      </c>
      <c r="O110" s="11" t="s">
        <v>163</v>
      </c>
      <c r="P110" s="11" t="s">
        <v>164</v>
      </c>
      <c r="Q110" s="11" t="s">
        <v>1217</v>
      </c>
      <c r="R110" s="34">
        <v>45674</v>
      </c>
      <c r="S110" s="34">
        <v>45679</v>
      </c>
      <c r="T110" s="34">
        <v>45680</v>
      </c>
      <c r="U110" s="34">
        <v>45680</v>
      </c>
      <c r="V110" s="34">
        <v>45680</v>
      </c>
      <c r="W110" s="45">
        <f t="shared" si="13"/>
        <v>3</v>
      </c>
      <c r="X110" s="45">
        <f t="shared" si="14"/>
        <v>1</v>
      </c>
      <c r="Y110" s="45">
        <f t="shared" si="15"/>
        <v>1</v>
      </c>
      <c r="Z110" s="45">
        <f t="shared" si="16"/>
        <v>1</v>
      </c>
      <c r="AA110" s="431" t="s">
        <v>150</v>
      </c>
      <c r="AB110" s="11">
        <v>0</v>
      </c>
      <c r="AC110" s="7" t="s">
        <v>69</v>
      </c>
      <c r="AD110" s="7" t="s">
        <v>69</v>
      </c>
      <c r="AE110" s="11" t="s">
        <v>69</v>
      </c>
      <c r="AF110" s="11" t="s">
        <v>69</v>
      </c>
      <c r="AG110" s="432" t="e">
        <f t="shared" si="20"/>
        <v>#VALUE!</v>
      </c>
      <c r="AH110" s="11" t="s">
        <v>57</v>
      </c>
      <c r="AI110" s="11" t="s">
        <v>1218</v>
      </c>
      <c r="AJ110" s="7" t="s">
        <v>1219</v>
      </c>
      <c r="AK110" s="7"/>
      <c r="AL110" s="11" t="s">
        <v>1220</v>
      </c>
      <c r="AM110" s="11"/>
      <c r="AN110" s="11"/>
      <c r="AO110" s="11"/>
      <c r="AP110" s="11"/>
      <c r="AQ110" s="7"/>
      <c r="AR110" s="11"/>
      <c r="AS110" s="430"/>
    </row>
    <row r="111" spans="1:45" ht="15" customHeight="1">
      <c r="A111" s="4" t="s">
        <v>780</v>
      </c>
      <c r="B111" s="4" t="s">
        <v>1221</v>
      </c>
      <c r="C111" s="4" t="s">
        <v>1222</v>
      </c>
      <c r="D111" s="63" t="s">
        <v>159</v>
      </c>
      <c r="E111" s="63" t="s">
        <v>185</v>
      </c>
      <c r="F111" s="9">
        <v>15.444043000000001</v>
      </c>
      <c r="G111" s="9">
        <v>120.016738</v>
      </c>
      <c r="H111" s="9" t="str">
        <f t="shared" si="19"/>
        <v>15.444043,120.016738</v>
      </c>
      <c r="I111" s="9" t="s">
        <v>70</v>
      </c>
      <c r="J111" s="9">
        <v>1</v>
      </c>
      <c r="K111" s="9">
        <v>2019</v>
      </c>
      <c r="L111" s="580">
        <v>502714.29</v>
      </c>
      <c r="M111" s="9" t="s">
        <v>80</v>
      </c>
      <c r="N111" s="9" t="s">
        <v>42</v>
      </c>
      <c r="O111" s="9" t="s">
        <v>163</v>
      </c>
      <c r="P111" s="9" t="s">
        <v>164</v>
      </c>
      <c r="Q111" s="9" t="s">
        <v>1223</v>
      </c>
      <c r="R111" s="574">
        <v>45867</v>
      </c>
      <c r="S111" s="574">
        <v>45873</v>
      </c>
      <c r="T111" s="574">
        <v>45876</v>
      </c>
      <c r="U111" s="574">
        <v>45882</v>
      </c>
      <c r="V111" s="574">
        <v>45882</v>
      </c>
      <c r="W111" s="45">
        <f t="shared" si="13"/>
        <v>4</v>
      </c>
      <c r="X111" s="45">
        <f t="shared" si="14"/>
        <v>3</v>
      </c>
      <c r="Y111" s="45">
        <f t="shared" si="15"/>
        <v>4</v>
      </c>
      <c r="Z111" s="45">
        <f t="shared" si="16"/>
        <v>1</v>
      </c>
      <c r="AA111" s="9" t="s">
        <v>150</v>
      </c>
      <c r="AB111" s="9">
        <v>0</v>
      </c>
      <c r="AC111" s="4" t="s">
        <v>815</v>
      </c>
      <c r="AD111" s="4" t="s">
        <v>815</v>
      </c>
      <c r="AE111" s="9" t="s">
        <v>69</v>
      </c>
      <c r="AF111" s="9" t="s">
        <v>69</v>
      </c>
      <c r="AG111" s="577" t="e">
        <f t="shared" si="20"/>
        <v>#VALUE!</v>
      </c>
      <c r="AH111" s="9" t="s">
        <v>57</v>
      </c>
      <c r="AI111" s="9"/>
      <c r="AJ111" s="4" t="s">
        <v>809</v>
      </c>
      <c r="AK111" s="4"/>
      <c r="AL111" s="4" t="s">
        <v>1224</v>
      </c>
      <c r="AM111" s="9"/>
      <c r="AN111" s="9"/>
      <c r="AO111" s="9"/>
      <c r="AP111" s="9"/>
      <c r="AQ111" s="4"/>
      <c r="AR111" s="9"/>
      <c r="AS111" s="9"/>
    </row>
    <row r="112" spans="1:45" s="62" customFormat="1" ht="40.5" customHeight="1">
      <c r="A112" s="7" t="s">
        <v>780</v>
      </c>
      <c r="B112" s="7" t="s">
        <v>1225</v>
      </c>
      <c r="C112" s="316" t="s">
        <v>1226</v>
      </c>
      <c r="D112" s="75" t="s">
        <v>159</v>
      </c>
      <c r="E112" s="63" t="s">
        <v>185</v>
      </c>
      <c r="F112" s="11">
        <v>15.042164</v>
      </c>
      <c r="G112" s="11">
        <v>120.0729913</v>
      </c>
      <c r="H112" s="11" t="str">
        <f t="shared" si="19"/>
        <v>15.042164,120.0729913</v>
      </c>
      <c r="I112" s="11" t="s">
        <v>70</v>
      </c>
      <c r="J112" s="11">
        <v>1</v>
      </c>
      <c r="K112" s="11">
        <v>2016</v>
      </c>
      <c r="L112" s="82">
        <v>270000</v>
      </c>
      <c r="M112" s="11" t="s">
        <v>74</v>
      </c>
      <c r="N112" s="11" t="s">
        <v>1212</v>
      </c>
      <c r="O112" s="11" t="s">
        <v>163</v>
      </c>
      <c r="P112" s="11" t="s">
        <v>164</v>
      </c>
      <c r="Q112" s="11" t="s">
        <v>1227</v>
      </c>
      <c r="R112" s="34">
        <v>45700</v>
      </c>
      <c r="S112" s="34">
        <v>45705</v>
      </c>
      <c r="T112" s="34">
        <v>45705</v>
      </c>
      <c r="U112" s="34">
        <v>45705</v>
      </c>
      <c r="V112" s="34">
        <v>45705</v>
      </c>
      <c r="W112" s="45">
        <f t="shared" si="13"/>
        <v>3</v>
      </c>
      <c r="X112" s="45">
        <f t="shared" si="14"/>
        <v>1</v>
      </c>
      <c r="Y112" s="45">
        <f t="shared" si="15"/>
        <v>1</v>
      </c>
      <c r="Z112" s="45">
        <f t="shared" si="16"/>
        <v>1</v>
      </c>
      <c r="AA112" s="431" t="s">
        <v>150</v>
      </c>
      <c r="AB112" s="103">
        <v>11</v>
      </c>
      <c r="AC112" s="7" t="s">
        <v>815</v>
      </c>
      <c r="AD112" s="7" t="s">
        <v>1228</v>
      </c>
      <c r="AE112" s="11" t="s">
        <v>1229</v>
      </c>
      <c r="AF112" s="11" t="s">
        <v>1229</v>
      </c>
      <c r="AG112" s="432" t="e">
        <f t="shared" si="20"/>
        <v>#VALUE!</v>
      </c>
      <c r="AH112" s="11" t="s">
        <v>57</v>
      </c>
      <c r="AI112" s="11" t="s">
        <v>1230</v>
      </c>
      <c r="AJ112" s="7" t="s">
        <v>809</v>
      </c>
      <c r="AK112" s="7" t="s">
        <v>1231</v>
      </c>
      <c r="AL112" s="11" t="s">
        <v>49</v>
      </c>
      <c r="AM112" s="11"/>
      <c r="AN112" s="11"/>
      <c r="AO112" s="11"/>
      <c r="AP112" s="11"/>
      <c r="AQ112" s="7"/>
      <c r="AR112" s="11"/>
      <c r="AS112" s="430" t="s">
        <v>1232</v>
      </c>
    </row>
    <row r="113" spans="1:45" ht="37.5" customHeight="1">
      <c r="A113" s="7" t="s">
        <v>780</v>
      </c>
      <c r="B113" s="7" t="s">
        <v>1233</v>
      </c>
      <c r="C113" s="7" t="s">
        <v>1234</v>
      </c>
      <c r="D113" s="75" t="s">
        <v>159</v>
      </c>
      <c r="E113" s="63" t="s">
        <v>185</v>
      </c>
      <c r="F113" s="11">
        <v>15.016275</v>
      </c>
      <c r="G113" s="11">
        <v>120.087317</v>
      </c>
      <c r="H113" s="11" t="str">
        <f t="shared" si="19"/>
        <v>15.016275,120.087317</v>
      </c>
      <c r="I113" s="11" t="s">
        <v>70</v>
      </c>
      <c r="J113" s="11">
        <v>2</v>
      </c>
      <c r="K113" s="11" t="s">
        <v>1235</v>
      </c>
      <c r="L113" s="82" t="s">
        <v>1236</v>
      </c>
      <c r="M113" s="11" t="s">
        <v>74</v>
      </c>
      <c r="N113" s="11" t="s">
        <v>1212</v>
      </c>
      <c r="O113" s="11" t="s">
        <v>163</v>
      </c>
      <c r="P113" s="11" t="s">
        <v>164</v>
      </c>
      <c r="Q113" s="11" t="s">
        <v>1237</v>
      </c>
      <c r="R113" s="34">
        <v>45692</v>
      </c>
      <c r="S113" s="34">
        <v>45706</v>
      </c>
      <c r="T113" s="34">
        <v>45707</v>
      </c>
      <c r="U113" s="34">
        <v>45707</v>
      </c>
      <c r="V113" s="34">
        <v>45707</v>
      </c>
      <c r="W113" s="45">
        <f t="shared" si="13"/>
        <v>10</v>
      </c>
      <c r="X113" s="45">
        <f t="shared" si="14"/>
        <v>1</v>
      </c>
      <c r="Y113" s="45">
        <f t="shared" si="15"/>
        <v>1</v>
      </c>
      <c r="Z113" s="45">
        <f t="shared" si="16"/>
        <v>1</v>
      </c>
      <c r="AA113" s="434" t="s">
        <v>150</v>
      </c>
      <c r="AB113" s="11">
        <v>16</v>
      </c>
      <c r="AC113" s="7" t="s">
        <v>1238</v>
      </c>
      <c r="AD113" s="7" t="s">
        <v>819</v>
      </c>
      <c r="AE113" s="11" t="s">
        <v>1229</v>
      </c>
      <c r="AF113" s="11" t="s">
        <v>1229</v>
      </c>
      <c r="AG113" s="432" t="e">
        <f t="shared" si="20"/>
        <v>#VALUE!</v>
      </c>
      <c r="AH113" s="11" t="s">
        <v>50</v>
      </c>
      <c r="AI113" s="11"/>
      <c r="AJ113" s="7" t="s">
        <v>809</v>
      </c>
      <c r="AK113" s="7" t="s">
        <v>1239</v>
      </c>
      <c r="AL113" s="11" t="s">
        <v>56</v>
      </c>
      <c r="AM113" s="11"/>
      <c r="AN113" s="11"/>
      <c r="AO113" s="11"/>
      <c r="AP113" s="11"/>
      <c r="AQ113" s="7"/>
      <c r="AR113" s="11"/>
      <c r="AS113" s="430" t="s">
        <v>1219</v>
      </c>
    </row>
    <row r="114" spans="1:45" ht="15" customHeight="1">
      <c r="A114" s="316" t="s">
        <v>780</v>
      </c>
      <c r="B114" s="316" t="s">
        <v>1240</v>
      </c>
      <c r="C114" s="7" t="s">
        <v>1241</v>
      </c>
      <c r="D114" s="75" t="s">
        <v>159</v>
      </c>
      <c r="E114" s="63" t="s">
        <v>185</v>
      </c>
      <c r="F114" s="11">
        <v>15.733717</v>
      </c>
      <c r="G114" s="11">
        <v>119.889397</v>
      </c>
      <c r="H114" s="11" t="str">
        <f t="shared" si="19"/>
        <v>15.733717,119.889397</v>
      </c>
      <c r="I114" s="11" t="s">
        <v>70</v>
      </c>
      <c r="J114" s="11">
        <v>1</v>
      </c>
      <c r="K114" s="11">
        <v>2019</v>
      </c>
      <c r="L114" s="82">
        <v>502714.29</v>
      </c>
      <c r="M114" s="11" t="s">
        <v>82</v>
      </c>
      <c r="N114" s="11" t="s">
        <v>42</v>
      </c>
      <c r="O114" s="11" t="s">
        <v>163</v>
      </c>
      <c r="P114" s="11" t="s">
        <v>164</v>
      </c>
      <c r="Q114" s="11" t="s">
        <v>1242</v>
      </c>
      <c r="R114" s="34">
        <v>45933</v>
      </c>
      <c r="S114" s="34">
        <v>45936</v>
      </c>
      <c r="T114" s="34">
        <v>45943</v>
      </c>
      <c r="U114" s="34">
        <v>45943</v>
      </c>
      <c r="V114" s="34">
        <v>45944</v>
      </c>
      <c r="W114" s="45">
        <f t="shared" si="13"/>
        <v>1</v>
      </c>
      <c r="X114" s="45">
        <f t="shared" si="14"/>
        <v>5</v>
      </c>
      <c r="Y114" s="45">
        <f t="shared" si="15"/>
        <v>1</v>
      </c>
      <c r="Z114" s="45">
        <f t="shared" si="16"/>
        <v>1</v>
      </c>
      <c r="AA114" s="11" t="s">
        <v>150</v>
      </c>
      <c r="AB114" s="11" t="s">
        <v>69</v>
      </c>
      <c r="AC114" s="11" t="s">
        <v>69</v>
      </c>
      <c r="AD114" s="11" t="s">
        <v>69</v>
      </c>
      <c r="AE114" s="11" t="s">
        <v>69</v>
      </c>
      <c r="AF114" s="11" t="s">
        <v>69</v>
      </c>
      <c r="AG114" s="432" t="e">
        <f t="shared" si="20"/>
        <v>#VALUE!</v>
      </c>
      <c r="AH114" s="11"/>
      <c r="AI114" s="11" t="s">
        <v>1243</v>
      </c>
      <c r="AJ114" s="7"/>
      <c r="AK114" s="7"/>
      <c r="AL114" s="11"/>
      <c r="AM114" s="11"/>
      <c r="AN114" s="11"/>
      <c r="AO114" s="11"/>
      <c r="AP114" s="11"/>
      <c r="AQ114" s="7"/>
      <c r="AR114" s="11"/>
      <c r="AS114" s="11"/>
    </row>
    <row r="115" spans="1:45" ht="15" customHeight="1">
      <c r="A115" s="7" t="s">
        <v>773</v>
      </c>
      <c r="B115" s="7" t="s">
        <v>1244</v>
      </c>
      <c r="C115" s="7" t="s">
        <v>1245</v>
      </c>
      <c r="D115" s="11" t="s">
        <v>159</v>
      </c>
      <c r="E115" s="75" t="s">
        <v>249</v>
      </c>
      <c r="F115" s="11">
        <v>16.391200000000001</v>
      </c>
      <c r="G115" s="11">
        <v>122.211</v>
      </c>
      <c r="H115" s="11" t="str">
        <f t="shared" si="19"/>
        <v>16.3912,122.211</v>
      </c>
      <c r="I115" s="11" t="s">
        <v>72</v>
      </c>
      <c r="J115" s="11"/>
      <c r="K115" s="11" t="s">
        <v>69</v>
      </c>
      <c r="L115" s="11" t="s">
        <v>69</v>
      </c>
      <c r="M115" s="377" t="s">
        <v>83</v>
      </c>
      <c r="N115" s="11" t="s">
        <v>251</v>
      </c>
      <c r="O115" s="11"/>
      <c r="P115" s="11" t="s">
        <v>163</v>
      </c>
      <c r="Q115" s="11" t="s">
        <v>1246</v>
      </c>
      <c r="R115" s="574">
        <v>45979</v>
      </c>
      <c r="S115" s="34">
        <v>45980</v>
      </c>
      <c r="T115" s="34"/>
      <c r="U115" s="34">
        <v>45980</v>
      </c>
      <c r="V115" s="34">
        <v>45980</v>
      </c>
      <c r="W115" s="45">
        <f t="shared" si="13"/>
        <v>1</v>
      </c>
      <c r="X115" s="45" t="str">
        <f t="shared" si="14"/>
        <v/>
      </c>
      <c r="Y115" s="45">
        <f t="shared" si="15"/>
        <v>1</v>
      </c>
      <c r="Z115" s="45">
        <f t="shared" si="16"/>
        <v>1</v>
      </c>
      <c r="AA115" s="11" t="s">
        <v>150</v>
      </c>
      <c r="AB115" s="11">
        <v>11</v>
      </c>
      <c r="AC115" s="7" t="s">
        <v>1247</v>
      </c>
      <c r="AD115" s="4" t="s">
        <v>1195</v>
      </c>
      <c r="AE115" s="11">
        <v>65.180000000000007</v>
      </c>
      <c r="AF115" s="11">
        <v>265</v>
      </c>
      <c r="AG115" s="432">
        <f t="shared" si="20"/>
        <v>0.24596226415094341</v>
      </c>
      <c r="AH115" s="11" t="s">
        <v>50</v>
      </c>
      <c r="AI115" s="11"/>
      <c r="AJ115" s="7"/>
      <c r="AK115" s="7"/>
      <c r="AL115" s="532">
        <v>45981</v>
      </c>
      <c r="AM115" s="11"/>
      <c r="AN115" s="11"/>
      <c r="AO115" s="11"/>
      <c r="AP115" s="11"/>
      <c r="AQ115" s="7"/>
      <c r="AR115" s="11"/>
      <c r="AS115" s="11"/>
    </row>
    <row r="116" spans="1:45" ht="15" customHeight="1">
      <c r="A116" s="7" t="s">
        <v>773</v>
      </c>
      <c r="B116" s="7" t="s">
        <v>825</v>
      </c>
      <c r="C116" s="7" t="s">
        <v>1248</v>
      </c>
      <c r="D116" s="11" t="s">
        <v>159</v>
      </c>
      <c r="E116" s="75" t="s">
        <v>249</v>
      </c>
      <c r="F116" s="11">
        <v>15.3817</v>
      </c>
      <c r="G116" s="11">
        <v>121.381</v>
      </c>
      <c r="H116" s="11" t="str">
        <f t="shared" si="19"/>
        <v>15.3817,121.381</v>
      </c>
      <c r="I116" s="11" t="s">
        <v>72</v>
      </c>
      <c r="J116" s="11"/>
      <c r="K116" s="11" t="s">
        <v>69</v>
      </c>
      <c r="L116" s="11" t="s">
        <v>69</v>
      </c>
      <c r="M116" s="11" t="s">
        <v>80</v>
      </c>
      <c r="N116" s="11" t="s">
        <v>14</v>
      </c>
      <c r="O116" s="11"/>
      <c r="P116" s="11" t="s">
        <v>163</v>
      </c>
      <c r="Q116" s="11" t="s">
        <v>1249</v>
      </c>
      <c r="R116" s="34">
        <v>45875</v>
      </c>
      <c r="S116" s="34">
        <v>45880</v>
      </c>
      <c r="T116" s="34"/>
      <c r="U116" s="34">
        <v>45882</v>
      </c>
      <c r="V116" s="34">
        <v>45882</v>
      </c>
      <c r="W116" s="45">
        <f t="shared" si="13"/>
        <v>3</v>
      </c>
      <c r="X116" s="45" t="str">
        <f t="shared" si="14"/>
        <v/>
      </c>
      <c r="Y116" s="45">
        <f t="shared" si="15"/>
        <v>2</v>
      </c>
      <c r="Z116" s="45">
        <f t="shared" si="16"/>
        <v>1</v>
      </c>
      <c r="AA116" s="11" t="s">
        <v>150</v>
      </c>
      <c r="AB116" s="11">
        <v>11</v>
      </c>
      <c r="AC116" s="7" t="s">
        <v>1250</v>
      </c>
      <c r="AD116" s="7" t="s">
        <v>1251</v>
      </c>
      <c r="AE116" s="11">
        <v>48.84</v>
      </c>
      <c r="AF116" s="11">
        <v>881</v>
      </c>
      <c r="AG116" s="432">
        <f t="shared" si="20"/>
        <v>5.5437003405221341E-2</v>
      </c>
      <c r="AH116" s="11" t="s">
        <v>50</v>
      </c>
      <c r="AI116" s="11"/>
      <c r="AJ116" s="7"/>
      <c r="AK116" s="7"/>
      <c r="AL116" s="11"/>
      <c r="AM116" s="11"/>
      <c r="AN116" s="11"/>
      <c r="AO116" s="11"/>
      <c r="AP116" s="11"/>
      <c r="AQ116" s="7"/>
      <c r="AR116" s="11"/>
      <c r="AS116" s="11"/>
    </row>
    <row r="117" spans="1:45" ht="15" customHeight="1">
      <c r="A117" s="7" t="s">
        <v>777</v>
      </c>
      <c r="B117" s="7" t="s">
        <v>1252</v>
      </c>
      <c r="C117" s="7" t="s">
        <v>1253</v>
      </c>
      <c r="D117" s="11" t="s">
        <v>143</v>
      </c>
      <c r="E117" s="75" t="s">
        <v>144</v>
      </c>
      <c r="F117" s="11">
        <v>15.388953000000001</v>
      </c>
      <c r="G117" s="11">
        <v>121.061851</v>
      </c>
      <c r="H117" s="11" t="str">
        <f t="shared" si="19"/>
        <v>15.388953,121.061851</v>
      </c>
      <c r="I117" s="11" t="s">
        <v>70</v>
      </c>
      <c r="J117" s="11">
        <v>1</v>
      </c>
      <c r="K117" s="11">
        <v>2016</v>
      </c>
      <c r="L117" s="82">
        <v>370000</v>
      </c>
      <c r="M117" s="11" t="s">
        <v>76</v>
      </c>
      <c r="N117" s="11" t="s">
        <v>267</v>
      </c>
      <c r="O117" s="11" t="s">
        <v>28</v>
      </c>
      <c r="P117" s="11" t="s">
        <v>212</v>
      </c>
      <c r="Q117" s="11" t="s">
        <v>1254</v>
      </c>
      <c r="R117" s="34">
        <v>45758</v>
      </c>
      <c r="S117" s="34">
        <v>45767</v>
      </c>
      <c r="T117" s="34">
        <v>45768</v>
      </c>
      <c r="U117" s="34">
        <v>45768</v>
      </c>
      <c r="V117" s="34">
        <v>45769</v>
      </c>
      <c r="W117" s="45">
        <f t="shared" si="13"/>
        <v>5</v>
      </c>
      <c r="X117" s="45">
        <f t="shared" si="14"/>
        <v>1</v>
      </c>
      <c r="Y117" s="45">
        <f t="shared" si="15"/>
        <v>1</v>
      </c>
      <c r="Z117" s="45">
        <f t="shared" si="16"/>
        <v>1</v>
      </c>
      <c r="AA117" s="434" t="s">
        <v>150</v>
      </c>
      <c r="AB117" s="11">
        <v>13</v>
      </c>
      <c r="AC117" s="7" t="s">
        <v>1209</v>
      </c>
      <c r="AD117" s="7" t="s">
        <v>945</v>
      </c>
      <c r="AE117" s="11">
        <v>184</v>
      </c>
      <c r="AF117" s="11">
        <v>3645</v>
      </c>
      <c r="AG117" s="432">
        <f t="shared" si="20"/>
        <v>5.0480109739368999E-2</v>
      </c>
      <c r="AH117" s="11" t="s">
        <v>50</v>
      </c>
      <c r="AI117" s="11"/>
      <c r="AJ117" s="7"/>
      <c r="AK117" s="7"/>
      <c r="AL117" s="11"/>
      <c r="AM117" s="11"/>
      <c r="AN117" s="11"/>
      <c r="AO117" s="11"/>
      <c r="AP117" s="11"/>
      <c r="AQ117" s="7"/>
      <c r="AR117" s="11"/>
      <c r="AS117" s="430"/>
    </row>
    <row r="118" spans="1:45" ht="123" customHeight="1">
      <c r="A118" s="7" t="s">
        <v>777</v>
      </c>
      <c r="B118" s="7" t="s">
        <v>1255</v>
      </c>
      <c r="C118" s="7" t="s">
        <v>1256</v>
      </c>
      <c r="D118" s="11" t="s">
        <v>143</v>
      </c>
      <c r="E118" s="75" t="s">
        <v>160</v>
      </c>
      <c r="F118" s="11">
        <v>15.6252</v>
      </c>
      <c r="G118" s="11">
        <v>120.751</v>
      </c>
      <c r="H118" s="11" t="str">
        <f t="shared" si="19"/>
        <v>15.6252,120.751</v>
      </c>
      <c r="I118" s="11" t="s">
        <v>72</v>
      </c>
      <c r="J118" s="11"/>
      <c r="K118" s="11" t="s">
        <v>69</v>
      </c>
      <c r="L118" s="11" t="s">
        <v>69</v>
      </c>
      <c r="M118" s="11" t="s">
        <v>80</v>
      </c>
      <c r="N118" s="11" t="s">
        <v>29</v>
      </c>
      <c r="O118" s="11" t="s">
        <v>28</v>
      </c>
      <c r="P118" s="11" t="s">
        <v>212</v>
      </c>
      <c r="Q118" s="11" t="s">
        <v>1257</v>
      </c>
      <c r="R118" s="34">
        <v>45877</v>
      </c>
      <c r="S118" s="34">
        <v>45883</v>
      </c>
      <c r="T118" s="34">
        <v>45883</v>
      </c>
      <c r="U118" s="34">
        <v>45887</v>
      </c>
      <c r="V118" s="34">
        <v>45887</v>
      </c>
      <c r="W118" s="45">
        <f t="shared" si="13"/>
        <v>4</v>
      </c>
      <c r="X118" s="45">
        <f t="shared" si="14"/>
        <v>1</v>
      </c>
      <c r="Y118" s="45">
        <f t="shared" si="15"/>
        <v>2</v>
      </c>
      <c r="Z118" s="45">
        <f t="shared" si="16"/>
        <v>1</v>
      </c>
      <c r="AA118" s="11" t="s">
        <v>150</v>
      </c>
      <c r="AB118" s="11">
        <v>0</v>
      </c>
      <c r="AC118" s="7" t="s">
        <v>1258</v>
      </c>
      <c r="AD118" s="7" t="s">
        <v>1229</v>
      </c>
      <c r="AE118" s="11" t="s">
        <v>1259</v>
      </c>
      <c r="AF118" s="11" t="s">
        <v>1259</v>
      </c>
      <c r="AG118" s="432" t="e">
        <f t="shared" si="20"/>
        <v>#VALUE!</v>
      </c>
      <c r="AH118" s="11" t="s">
        <v>57</v>
      </c>
      <c r="AI118" s="7" t="s">
        <v>1260</v>
      </c>
      <c r="AJ118" s="7" t="s">
        <v>1261</v>
      </c>
      <c r="AK118" s="7"/>
      <c r="AL118" s="532">
        <v>45896</v>
      </c>
      <c r="AM118" s="11"/>
      <c r="AN118" s="11"/>
      <c r="AO118" s="11"/>
      <c r="AP118" s="11"/>
      <c r="AQ118" s="7"/>
      <c r="AR118" s="11"/>
      <c r="AS118" s="11"/>
    </row>
    <row r="119" spans="1:45" ht="15" customHeight="1">
      <c r="A119" s="7" t="s">
        <v>777</v>
      </c>
      <c r="B119" s="7" t="s">
        <v>1262</v>
      </c>
      <c r="C119" s="7" t="s">
        <v>1263</v>
      </c>
      <c r="D119" s="11" t="s">
        <v>143</v>
      </c>
      <c r="E119" s="75" t="s">
        <v>233</v>
      </c>
      <c r="F119" s="11">
        <v>15.335853999999999</v>
      </c>
      <c r="G119" s="11">
        <v>120.892661</v>
      </c>
      <c r="H119" s="11" t="str">
        <f t="shared" si="19"/>
        <v>15.335854,120.892661</v>
      </c>
      <c r="I119" s="11" t="s">
        <v>70</v>
      </c>
      <c r="J119" s="11">
        <v>1</v>
      </c>
      <c r="K119" s="11">
        <v>2019</v>
      </c>
      <c r="L119" s="11">
        <v>502714.29</v>
      </c>
      <c r="M119" s="11" t="s">
        <v>81</v>
      </c>
      <c r="N119" s="11" t="s">
        <v>30</v>
      </c>
      <c r="O119" s="11" t="s">
        <v>1121</v>
      </c>
      <c r="P119" s="11" t="s">
        <v>212</v>
      </c>
      <c r="Q119" s="11" t="s">
        <v>1264</v>
      </c>
      <c r="R119" s="34">
        <v>45904</v>
      </c>
      <c r="S119" s="34">
        <v>45918</v>
      </c>
      <c r="T119" s="34">
        <v>45918</v>
      </c>
      <c r="U119" s="34">
        <v>45918</v>
      </c>
      <c r="V119" s="34">
        <v>45918</v>
      </c>
      <c r="W119" s="45">
        <f t="shared" si="13"/>
        <v>10</v>
      </c>
      <c r="X119" s="45">
        <f t="shared" si="14"/>
        <v>1</v>
      </c>
      <c r="Y119" s="45">
        <f t="shared" si="15"/>
        <v>1</v>
      </c>
      <c r="Z119" s="45">
        <f t="shared" si="16"/>
        <v>1</v>
      </c>
      <c r="AA119" s="11" t="s">
        <v>150</v>
      </c>
      <c r="AB119" s="11">
        <v>27</v>
      </c>
      <c r="AC119" s="7"/>
      <c r="AD119" s="7" t="s">
        <v>945</v>
      </c>
      <c r="AE119" s="11"/>
      <c r="AF119" s="495" t="s">
        <v>1265</v>
      </c>
      <c r="AG119" s="432" t="e">
        <f t="shared" si="20"/>
        <v>#VALUE!</v>
      </c>
      <c r="AH119" s="11" t="s">
        <v>50</v>
      </c>
      <c r="AI119" s="11"/>
      <c r="AJ119" s="7"/>
      <c r="AK119" s="7"/>
      <c r="AL119" s="11"/>
      <c r="AM119" s="11"/>
      <c r="AN119" s="11"/>
      <c r="AO119" s="11"/>
      <c r="AP119" s="11"/>
      <c r="AQ119" s="7"/>
      <c r="AR119" s="11"/>
      <c r="AS119" s="11"/>
    </row>
    <row r="120" spans="1:45" ht="15" customHeight="1">
      <c r="A120" s="7" t="s">
        <v>777</v>
      </c>
      <c r="B120" s="7" t="s">
        <v>1266</v>
      </c>
      <c r="C120" s="7" t="s">
        <v>1267</v>
      </c>
      <c r="D120" s="11" t="s">
        <v>143</v>
      </c>
      <c r="E120" s="75" t="s">
        <v>144</v>
      </c>
      <c r="F120" s="11">
        <v>15.539400000000001</v>
      </c>
      <c r="G120" s="11">
        <v>121.1551</v>
      </c>
      <c r="H120" s="11" t="str">
        <f t="shared" si="19"/>
        <v>15.5394,121.1551</v>
      </c>
      <c r="I120" s="11" t="s">
        <v>72</v>
      </c>
      <c r="J120" s="11"/>
      <c r="K120" s="11" t="s">
        <v>69</v>
      </c>
      <c r="L120" s="11" t="s">
        <v>69</v>
      </c>
      <c r="M120" s="11" t="s">
        <v>76</v>
      </c>
      <c r="N120" s="11" t="s">
        <v>267</v>
      </c>
      <c r="O120" s="11" t="s">
        <v>28</v>
      </c>
      <c r="P120" s="11" t="s">
        <v>212</v>
      </c>
      <c r="Q120" s="11" t="s">
        <v>1268</v>
      </c>
      <c r="R120" s="34">
        <v>45750</v>
      </c>
      <c r="S120" s="34">
        <v>45754</v>
      </c>
      <c r="T120" s="34">
        <v>45755</v>
      </c>
      <c r="U120" s="34">
        <v>45757</v>
      </c>
      <c r="V120" s="34">
        <v>45757</v>
      </c>
      <c r="W120" s="45">
        <f t="shared" si="13"/>
        <v>2</v>
      </c>
      <c r="X120" s="45">
        <f t="shared" si="14"/>
        <v>1</v>
      </c>
      <c r="Y120" s="45">
        <f t="shared" si="15"/>
        <v>2</v>
      </c>
      <c r="Z120" s="45">
        <f t="shared" si="16"/>
        <v>1</v>
      </c>
      <c r="AA120" s="11" t="s">
        <v>150</v>
      </c>
      <c r="AB120" s="11">
        <v>17</v>
      </c>
      <c r="AC120" s="7">
        <v>0</v>
      </c>
      <c r="AD120" s="7" t="s">
        <v>945</v>
      </c>
      <c r="AE120" s="11">
        <v>729.97</v>
      </c>
      <c r="AF120" s="11">
        <v>1508</v>
      </c>
      <c r="AG120" s="432">
        <f t="shared" si="20"/>
        <v>0.48406498673740056</v>
      </c>
      <c r="AH120" s="11" t="s">
        <v>50</v>
      </c>
      <c r="AI120" s="11"/>
      <c r="AJ120" s="7"/>
      <c r="AK120" s="7"/>
      <c r="AL120" s="11"/>
      <c r="AM120" s="11"/>
      <c r="AN120" s="11"/>
      <c r="AO120" s="11"/>
      <c r="AP120" s="11"/>
      <c r="AQ120" s="7"/>
      <c r="AR120" s="11"/>
      <c r="AS120" s="430"/>
    </row>
    <row r="121" spans="1:45" ht="15" customHeight="1">
      <c r="A121" s="7" t="s">
        <v>777</v>
      </c>
      <c r="B121" s="7" t="s">
        <v>1269</v>
      </c>
      <c r="C121" s="7" t="s">
        <v>1270</v>
      </c>
      <c r="D121" s="11" t="s">
        <v>143</v>
      </c>
      <c r="E121" s="75" t="s">
        <v>160</v>
      </c>
      <c r="F121" s="11">
        <v>15.547317</v>
      </c>
      <c r="G121" s="11">
        <v>120.753197</v>
      </c>
      <c r="H121" s="11" t="str">
        <f t="shared" si="19"/>
        <v>15.547317,120.753197</v>
      </c>
      <c r="I121" s="11" t="s">
        <v>70</v>
      </c>
      <c r="J121" s="11">
        <v>1</v>
      </c>
      <c r="K121" s="11">
        <v>2016</v>
      </c>
      <c r="L121" s="117">
        <v>270000</v>
      </c>
      <c r="M121" s="11" t="s">
        <v>80</v>
      </c>
      <c r="N121" s="11" t="s">
        <v>224</v>
      </c>
      <c r="O121" s="11" t="s">
        <v>1121</v>
      </c>
      <c r="P121" s="11" t="s">
        <v>212</v>
      </c>
      <c r="Q121" s="9" t="s">
        <v>1271</v>
      </c>
      <c r="R121" s="34">
        <v>45876</v>
      </c>
      <c r="S121" s="34">
        <v>45876</v>
      </c>
      <c r="T121" s="34">
        <v>45888</v>
      </c>
      <c r="U121" s="34">
        <v>45888</v>
      </c>
      <c r="V121" s="34">
        <v>45888</v>
      </c>
      <c r="W121" s="45">
        <f t="shared" si="13"/>
        <v>1</v>
      </c>
      <c r="X121" s="45">
        <f t="shared" si="14"/>
        <v>8</v>
      </c>
      <c r="Y121" s="45">
        <f t="shared" si="15"/>
        <v>1</v>
      </c>
      <c r="Z121" s="45">
        <f t="shared" si="16"/>
        <v>1</v>
      </c>
      <c r="AA121" s="11" t="s">
        <v>150</v>
      </c>
      <c r="AB121" s="11">
        <v>11</v>
      </c>
      <c r="AC121" s="7" t="s">
        <v>1140</v>
      </c>
      <c r="AD121" s="7" t="s">
        <v>1272</v>
      </c>
      <c r="AE121" s="11"/>
      <c r="AF121" s="11">
        <v>7436</v>
      </c>
      <c r="AG121" s="432">
        <f t="shared" si="20"/>
        <v>0</v>
      </c>
      <c r="AH121" s="11" t="s">
        <v>50</v>
      </c>
      <c r="AI121" s="11"/>
      <c r="AJ121" s="7" t="s">
        <v>809</v>
      </c>
      <c r="AK121" s="7"/>
      <c r="AL121" s="11" t="s">
        <v>1273</v>
      </c>
      <c r="AM121" s="11"/>
      <c r="AN121" s="11"/>
      <c r="AO121" s="11"/>
      <c r="AP121" s="11"/>
      <c r="AQ121" s="7"/>
      <c r="AR121" s="11"/>
      <c r="AS121" s="11"/>
    </row>
    <row r="122" spans="1:45" ht="15" customHeight="1">
      <c r="A122" s="7" t="s">
        <v>777</v>
      </c>
      <c r="B122" s="7" t="s">
        <v>1274</v>
      </c>
      <c r="C122" s="7" t="s">
        <v>1225</v>
      </c>
      <c r="D122" s="11" t="s">
        <v>143</v>
      </c>
      <c r="E122" s="75" t="s">
        <v>185</v>
      </c>
      <c r="F122" s="11">
        <v>15.704369</v>
      </c>
      <c r="G122" s="11">
        <v>121.047766</v>
      </c>
      <c r="H122" s="11" t="str">
        <f t="shared" si="19"/>
        <v>15.704369,121.047766</v>
      </c>
      <c r="I122" s="11" t="s">
        <v>70</v>
      </c>
      <c r="J122" s="11">
        <v>3</v>
      </c>
      <c r="K122" s="11" t="s">
        <v>1275</v>
      </c>
      <c r="L122" s="82" t="s">
        <v>1276</v>
      </c>
      <c r="M122" s="11" t="s">
        <v>78</v>
      </c>
      <c r="N122" s="11" t="s">
        <v>26</v>
      </c>
      <c r="O122" s="11" t="s">
        <v>1121</v>
      </c>
      <c r="P122" s="11" t="s">
        <v>212</v>
      </c>
      <c r="Q122" s="441" t="s">
        <v>1277</v>
      </c>
      <c r="R122" s="34">
        <v>45798</v>
      </c>
      <c r="S122" s="34">
        <v>45802</v>
      </c>
      <c r="T122" s="34">
        <v>45811</v>
      </c>
      <c r="U122" s="34">
        <v>45812</v>
      </c>
      <c r="V122" s="34">
        <v>45813</v>
      </c>
      <c r="W122" s="45">
        <f t="shared" si="13"/>
        <v>2</v>
      </c>
      <c r="X122" s="45">
        <f t="shared" si="14"/>
        <v>6</v>
      </c>
      <c r="Y122" s="45">
        <f t="shared" si="15"/>
        <v>1</v>
      </c>
      <c r="Z122" s="45">
        <f t="shared" si="16"/>
        <v>1</v>
      </c>
      <c r="AA122" s="434" t="s">
        <v>150</v>
      </c>
      <c r="AB122" s="11">
        <v>22</v>
      </c>
      <c r="AC122" s="7" t="s">
        <v>1140</v>
      </c>
      <c r="AD122" s="7" t="s">
        <v>1272</v>
      </c>
      <c r="AE122" s="11">
        <v>865.71</v>
      </c>
      <c r="AF122" s="11">
        <v>20428.63</v>
      </c>
      <c r="AG122" s="432">
        <f t="shared" si="20"/>
        <v>4.2377291086088495E-2</v>
      </c>
      <c r="AH122" s="11" t="s">
        <v>50</v>
      </c>
      <c r="AI122" s="11"/>
      <c r="AJ122" s="7" t="s">
        <v>151</v>
      </c>
      <c r="AK122" s="7"/>
      <c r="AL122" s="11"/>
      <c r="AM122" s="11"/>
      <c r="AN122" s="11"/>
      <c r="AO122" s="11"/>
      <c r="AP122" s="11"/>
      <c r="AQ122" s="7"/>
      <c r="AR122" s="11"/>
      <c r="AS122" s="11"/>
    </row>
    <row r="123" spans="1:45" ht="15" customHeight="1">
      <c r="A123" s="7" t="s">
        <v>777</v>
      </c>
      <c r="B123" s="7" t="s">
        <v>1278</v>
      </c>
      <c r="C123" s="7" t="s">
        <v>1279</v>
      </c>
      <c r="D123" s="11" t="s">
        <v>143</v>
      </c>
      <c r="E123" s="75" t="s">
        <v>185</v>
      </c>
      <c r="F123" s="11">
        <v>15.900700000000001</v>
      </c>
      <c r="G123" s="11">
        <v>120.914</v>
      </c>
      <c r="H123" s="11" t="str">
        <f t="shared" ref="H123:H154" si="21">CONCATENATE(F123,",",G123)</f>
        <v>15.9007,120.914</v>
      </c>
      <c r="I123" s="11" t="s">
        <v>72</v>
      </c>
      <c r="J123" s="11"/>
      <c r="K123" s="11" t="s">
        <v>69</v>
      </c>
      <c r="L123" s="11" t="s">
        <v>69</v>
      </c>
      <c r="M123" s="11" t="s">
        <v>83</v>
      </c>
      <c r="N123" s="11" t="s">
        <v>29</v>
      </c>
      <c r="O123" s="11" t="s">
        <v>1121</v>
      </c>
      <c r="P123" s="11" t="s">
        <v>212</v>
      </c>
      <c r="Q123" s="11" t="s">
        <v>1280</v>
      </c>
      <c r="R123" s="34">
        <v>45972</v>
      </c>
      <c r="S123" s="34">
        <v>45972</v>
      </c>
      <c r="T123" s="34">
        <v>45980</v>
      </c>
      <c r="U123" s="34">
        <v>45980</v>
      </c>
      <c r="V123" s="532">
        <v>45981</v>
      </c>
      <c r="W123" s="45">
        <f t="shared" si="13"/>
        <v>1</v>
      </c>
      <c r="X123" s="45">
        <f t="shared" si="14"/>
        <v>6</v>
      </c>
      <c r="Y123" s="45">
        <f t="shared" si="15"/>
        <v>1</v>
      </c>
      <c r="Z123" s="45">
        <f t="shared" si="16"/>
        <v>1</v>
      </c>
      <c r="AA123" s="11" t="s">
        <v>150</v>
      </c>
      <c r="AB123" s="11"/>
      <c r="AC123" s="7"/>
      <c r="AD123" s="7"/>
      <c r="AE123" s="11"/>
      <c r="AF123" s="11"/>
      <c r="AG123" s="432" t="e">
        <f t="shared" si="20"/>
        <v>#DIV/0!</v>
      </c>
      <c r="AH123" s="11" t="s">
        <v>57</v>
      </c>
      <c r="AI123" s="11"/>
      <c r="AJ123" s="7"/>
      <c r="AK123" s="7"/>
      <c r="AL123" s="11"/>
      <c r="AM123" s="11"/>
      <c r="AN123" s="11"/>
      <c r="AO123" s="11"/>
      <c r="AP123" s="11"/>
      <c r="AQ123" s="7"/>
      <c r="AR123" s="11"/>
      <c r="AS123" s="11"/>
    </row>
    <row r="124" spans="1:45" ht="15" customHeight="1">
      <c r="A124" s="7" t="s">
        <v>777</v>
      </c>
      <c r="B124" s="7" t="s">
        <v>1278</v>
      </c>
      <c r="C124" s="7" t="s">
        <v>914</v>
      </c>
      <c r="D124" s="11" t="s">
        <v>143</v>
      </c>
      <c r="E124" s="75" t="s">
        <v>185</v>
      </c>
      <c r="F124" s="11">
        <v>15.872605999999999</v>
      </c>
      <c r="G124" s="11">
        <v>120.896519</v>
      </c>
      <c r="H124" s="11" t="str">
        <f t="shared" si="21"/>
        <v>15.872606,120.896519</v>
      </c>
      <c r="I124" s="11" t="s">
        <v>70</v>
      </c>
      <c r="J124" s="11">
        <v>1</v>
      </c>
      <c r="K124" s="11">
        <v>2019</v>
      </c>
      <c r="L124" s="82">
        <v>502714.29</v>
      </c>
      <c r="M124" s="11" t="s">
        <v>83</v>
      </c>
      <c r="N124" s="11" t="s">
        <v>29</v>
      </c>
      <c r="O124" s="11" t="s">
        <v>1121</v>
      </c>
      <c r="P124" s="11" t="s">
        <v>212</v>
      </c>
      <c r="Q124" s="11" t="s">
        <v>1281</v>
      </c>
      <c r="R124" s="34">
        <v>45972</v>
      </c>
      <c r="S124" s="34">
        <v>45972</v>
      </c>
      <c r="T124" s="34">
        <v>45980</v>
      </c>
      <c r="U124" s="34">
        <v>45980</v>
      </c>
      <c r="V124" s="34">
        <v>45980</v>
      </c>
      <c r="W124" s="45">
        <f t="shared" si="13"/>
        <v>1</v>
      </c>
      <c r="X124" s="45">
        <f t="shared" si="14"/>
        <v>6</v>
      </c>
      <c r="Y124" s="45">
        <f t="shared" si="15"/>
        <v>1</v>
      </c>
      <c r="Z124" s="45">
        <f t="shared" si="16"/>
        <v>1</v>
      </c>
      <c r="AA124" s="11" t="s">
        <v>150</v>
      </c>
      <c r="AB124" s="11"/>
      <c r="AC124" s="7"/>
      <c r="AD124" s="7"/>
      <c r="AE124" s="11">
        <v>22.01</v>
      </c>
      <c r="AF124" s="11">
        <v>268</v>
      </c>
      <c r="AG124" s="432">
        <f t="shared" si="20"/>
        <v>8.2126865671641791E-2</v>
      </c>
      <c r="AH124" s="11" t="s">
        <v>50</v>
      </c>
      <c r="AI124" s="11"/>
      <c r="AJ124" s="7"/>
      <c r="AK124" s="7"/>
      <c r="AL124" s="11"/>
      <c r="AM124" s="11"/>
      <c r="AN124" s="11"/>
      <c r="AO124" s="11"/>
      <c r="AP124" s="11"/>
      <c r="AQ124" s="7"/>
      <c r="AR124" s="11"/>
      <c r="AS124" s="11"/>
    </row>
    <row r="125" spans="1:45" ht="15" customHeight="1">
      <c r="A125" s="7" t="s">
        <v>777</v>
      </c>
      <c r="B125" s="7" t="s">
        <v>1282</v>
      </c>
      <c r="C125" s="7" t="s">
        <v>1283</v>
      </c>
      <c r="D125" s="11" t="s">
        <v>143</v>
      </c>
      <c r="E125" s="75" t="s">
        <v>144</v>
      </c>
      <c r="F125" s="11">
        <v>15.5624</v>
      </c>
      <c r="G125" s="11">
        <v>121.098</v>
      </c>
      <c r="H125" s="11" t="str">
        <f t="shared" si="21"/>
        <v>15.5624,121.098</v>
      </c>
      <c r="I125" s="11" t="s">
        <v>72</v>
      </c>
      <c r="J125" s="11"/>
      <c r="K125" s="11" t="s">
        <v>69</v>
      </c>
      <c r="L125" s="11" t="s">
        <v>69</v>
      </c>
      <c r="M125" s="11" t="s">
        <v>76</v>
      </c>
      <c r="N125" s="11" t="s">
        <v>26</v>
      </c>
      <c r="O125" s="11" t="s">
        <v>1121</v>
      </c>
      <c r="P125" s="11" t="s">
        <v>212</v>
      </c>
      <c r="Q125" s="442" t="s">
        <v>1284</v>
      </c>
      <c r="R125" s="34">
        <v>45744</v>
      </c>
      <c r="S125" s="34">
        <v>45757</v>
      </c>
      <c r="T125" s="34">
        <v>45761</v>
      </c>
      <c r="U125" s="34">
        <v>45761</v>
      </c>
      <c r="V125" s="34">
        <v>45762</v>
      </c>
      <c r="W125" s="45">
        <f t="shared" si="13"/>
        <v>9</v>
      </c>
      <c r="X125" s="45">
        <f t="shared" si="14"/>
        <v>2</v>
      </c>
      <c r="Y125" s="45">
        <f t="shared" si="15"/>
        <v>1</v>
      </c>
      <c r="Z125" s="45">
        <f t="shared" si="16"/>
        <v>1</v>
      </c>
      <c r="AA125" s="7" t="s">
        <v>150</v>
      </c>
      <c r="AB125" s="11">
        <v>0</v>
      </c>
      <c r="AC125" s="7" t="s">
        <v>875</v>
      </c>
      <c r="AD125" s="7" t="s">
        <v>945</v>
      </c>
      <c r="AE125" s="443">
        <v>8552.35</v>
      </c>
      <c r="AF125" s="443">
        <v>10891.92</v>
      </c>
      <c r="AG125" s="432">
        <f t="shared" si="20"/>
        <v>0.78520132354993433</v>
      </c>
      <c r="AH125" s="11" t="s">
        <v>50</v>
      </c>
      <c r="AI125" s="7"/>
      <c r="AJ125" s="7"/>
      <c r="AK125" s="7"/>
      <c r="AL125" s="11"/>
      <c r="AM125" s="11"/>
      <c r="AN125" s="11"/>
      <c r="AO125" s="11"/>
      <c r="AP125" s="11"/>
      <c r="AQ125" s="7"/>
      <c r="AR125" s="11"/>
      <c r="AS125" s="430"/>
    </row>
    <row r="126" spans="1:45" ht="15" customHeight="1">
      <c r="A126" s="7" t="s">
        <v>777</v>
      </c>
      <c r="B126" s="7" t="s">
        <v>1285</v>
      </c>
      <c r="C126" s="7" t="s">
        <v>1286</v>
      </c>
      <c r="D126" s="11" t="s">
        <v>143</v>
      </c>
      <c r="E126" s="75" t="s">
        <v>185</v>
      </c>
      <c r="F126" s="11">
        <v>15.807872</v>
      </c>
      <c r="G126" s="11">
        <v>121.141914</v>
      </c>
      <c r="H126" s="11" t="str">
        <f t="shared" si="21"/>
        <v>15.807872,121.141914</v>
      </c>
      <c r="I126" s="11" t="s">
        <v>70</v>
      </c>
      <c r="J126" s="11">
        <v>2</v>
      </c>
      <c r="K126" s="11" t="s">
        <v>1235</v>
      </c>
      <c r="L126" s="11" t="s">
        <v>1287</v>
      </c>
      <c r="M126" s="11" t="s">
        <v>78</v>
      </c>
      <c r="N126" s="11" t="s">
        <v>26</v>
      </c>
      <c r="O126" s="11" t="s">
        <v>1121</v>
      </c>
      <c r="P126" s="11" t="s">
        <v>212</v>
      </c>
      <c r="Q126" s="705" t="s">
        <v>1288</v>
      </c>
      <c r="R126" s="34">
        <v>45807</v>
      </c>
      <c r="S126" s="34">
        <v>45824</v>
      </c>
      <c r="T126" s="34">
        <v>45825</v>
      </c>
      <c r="U126" s="34">
        <v>45825</v>
      </c>
      <c r="V126" s="34">
        <v>45825</v>
      </c>
      <c r="W126" s="45">
        <f t="shared" si="13"/>
        <v>11</v>
      </c>
      <c r="X126" s="45">
        <f t="shared" si="14"/>
        <v>1</v>
      </c>
      <c r="Y126" s="45">
        <f t="shared" si="15"/>
        <v>1</v>
      </c>
      <c r="Z126" s="45">
        <f t="shared" si="16"/>
        <v>1</v>
      </c>
      <c r="AA126" s="434" t="s">
        <v>150</v>
      </c>
      <c r="AB126" s="11">
        <v>14</v>
      </c>
      <c r="AC126" s="7" t="s">
        <v>1289</v>
      </c>
      <c r="AD126" s="7" t="s">
        <v>1290</v>
      </c>
      <c r="AE126" s="82">
        <v>7522.42</v>
      </c>
      <c r="AF126" s="82">
        <v>8258.3799999999992</v>
      </c>
      <c r="AG126" s="432">
        <f t="shared" si="20"/>
        <v>0.91088324828840528</v>
      </c>
      <c r="AH126" s="11" t="s">
        <v>50</v>
      </c>
      <c r="AI126" s="11"/>
      <c r="AJ126" s="7" t="s">
        <v>151</v>
      </c>
      <c r="AK126" s="7"/>
      <c r="AL126" s="11"/>
      <c r="AM126" s="11"/>
      <c r="AN126" s="11"/>
      <c r="AO126" s="11"/>
      <c r="AP126" s="11"/>
      <c r="AQ126" s="7"/>
      <c r="AR126" s="11"/>
      <c r="AS126" s="11"/>
    </row>
    <row r="127" spans="1:45" ht="15" customHeight="1">
      <c r="A127" s="7" t="s">
        <v>777</v>
      </c>
      <c r="B127" s="7" t="s">
        <v>1291</v>
      </c>
      <c r="C127" s="7" t="s">
        <v>1292</v>
      </c>
      <c r="D127" s="11" t="s">
        <v>143</v>
      </c>
      <c r="E127" s="75" t="s">
        <v>233</v>
      </c>
      <c r="F127" s="11">
        <v>15.3224</v>
      </c>
      <c r="G127" s="11">
        <v>121.075</v>
      </c>
      <c r="H127" s="11" t="str">
        <f t="shared" si="21"/>
        <v>15.3224,121.075</v>
      </c>
      <c r="I127" s="11" t="s">
        <v>72</v>
      </c>
      <c r="J127" s="11"/>
      <c r="K127" s="11" t="s">
        <v>69</v>
      </c>
      <c r="L127" s="11" t="s">
        <v>69</v>
      </c>
      <c r="M127" s="11" t="s">
        <v>76</v>
      </c>
      <c r="N127" s="11" t="s">
        <v>30</v>
      </c>
      <c r="O127" s="11" t="s">
        <v>28</v>
      </c>
      <c r="P127" s="11" t="s">
        <v>212</v>
      </c>
      <c r="Q127" s="444" t="s">
        <v>1293</v>
      </c>
      <c r="R127" s="34">
        <v>45757</v>
      </c>
      <c r="S127" s="34">
        <v>45759</v>
      </c>
      <c r="T127" s="34">
        <v>45762</v>
      </c>
      <c r="U127" s="34">
        <v>45762</v>
      </c>
      <c r="V127" s="34">
        <v>45768</v>
      </c>
      <c r="W127" s="45">
        <f t="shared" si="13"/>
        <v>1</v>
      </c>
      <c r="X127" s="45">
        <f t="shared" si="14"/>
        <v>1</v>
      </c>
      <c r="Y127" s="45">
        <f t="shared" si="15"/>
        <v>1</v>
      </c>
      <c r="Z127" s="45">
        <f t="shared" si="16"/>
        <v>4</v>
      </c>
      <c r="AA127" s="7" t="s">
        <v>150</v>
      </c>
      <c r="AB127" s="11">
        <v>10</v>
      </c>
      <c r="AC127" s="7" t="s">
        <v>1294</v>
      </c>
      <c r="AD127" s="7" t="s">
        <v>945</v>
      </c>
      <c r="AE127" s="117">
        <v>2433</v>
      </c>
      <c r="AF127" s="82">
        <v>12359.34</v>
      </c>
      <c r="AG127" s="432">
        <f t="shared" si="20"/>
        <v>0.19685517187811</v>
      </c>
      <c r="AH127" s="11" t="s">
        <v>50</v>
      </c>
      <c r="AI127" s="11"/>
      <c r="AJ127" s="7" t="s">
        <v>151</v>
      </c>
      <c r="AK127" s="7"/>
      <c r="AL127" s="11"/>
      <c r="AM127" s="11"/>
      <c r="AN127" s="11"/>
      <c r="AO127" s="11"/>
      <c r="AP127" s="11"/>
      <c r="AQ127" s="7"/>
      <c r="AR127" s="11"/>
      <c r="AS127" s="11"/>
    </row>
    <row r="128" spans="1:45" ht="48.75" customHeight="1">
      <c r="A128" s="7" t="s">
        <v>777</v>
      </c>
      <c r="B128" s="7" t="s">
        <v>1295</v>
      </c>
      <c r="C128" s="7" t="s">
        <v>1296</v>
      </c>
      <c r="D128" s="11" t="s">
        <v>143</v>
      </c>
      <c r="E128" s="75" t="s">
        <v>160</v>
      </c>
      <c r="F128" s="11">
        <v>15.54444</v>
      </c>
      <c r="G128" s="11">
        <v>120.80889000000001</v>
      </c>
      <c r="H128" s="11" t="str">
        <f t="shared" si="21"/>
        <v>15.54444,120.80889</v>
      </c>
      <c r="I128" s="11" t="s">
        <v>72</v>
      </c>
      <c r="J128" s="11"/>
      <c r="K128" s="11" t="s">
        <v>69</v>
      </c>
      <c r="L128" s="11" t="s">
        <v>69</v>
      </c>
      <c r="M128" s="11" t="s">
        <v>80</v>
      </c>
      <c r="N128" s="11" t="s">
        <v>224</v>
      </c>
      <c r="O128" s="11" t="s">
        <v>1121</v>
      </c>
      <c r="P128" s="11" t="s">
        <v>212</v>
      </c>
      <c r="Q128" s="11" t="s">
        <v>1297</v>
      </c>
      <c r="R128" s="34">
        <v>45855</v>
      </c>
      <c r="S128" s="34">
        <v>45870</v>
      </c>
      <c r="T128" s="34">
        <v>45876</v>
      </c>
      <c r="U128" s="34">
        <v>45876</v>
      </c>
      <c r="V128" s="34">
        <v>45882</v>
      </c>
      <c r="W128" s="45">
        <f t="shared" si="13"/>
        <v>11</v>
      </c>
      <c r="X128" s="45">
        <f t="shared" si="14"/>
        <v>4</v>
      </c>
      <c r="Y128" s="45">
        <f t="shared" si="15"/>
        <v>1</v>
      </c>
      <c r="Z128" s="45">
        <f t="shared" si="16"/>
        <v>4</v>
      </c>
      <c r="AA128" s="11" t="s">
        <v>150</v>
      </c>
      <c r="AC128" s="7"/>
      <c r="AD128" s="7"/>
      <c r="AE128" s="11"/>
      <c r="AF128" s="11"/>
      <c r="AG128" s="83" t="e">
        <f t="shared" si="20"/>
        <v>#DIV/0!</v>
      </c>
      <c r="AH128" s="11" t="s">
        <v>50</v>
      </c>
      <c r="AI128" s="11"/>
      <c r="AJ128" s="7" t="s">
        <v>809</v>
      </c>
      <c r="AK128" s="7"/>
      <c r="AL128" s="11" t="s">
        <v>1298</v>
      </c>
      <c r="AM128" s="11"/>
      <c r="AN128" s="11"/>
      <c r="AO128" s="11"/>
      <c r="AP128" s="11"/>
      <c r="AQ128" s="7"/>
      <c r="AR128" s="11"/>
      <c r="AS128" s="11"/>
    </row>
    <row r="129" spans="1:45" ht="15" customHeight="1">
      <c r="A129" s="7" t="s">
        <v>777</v>
      </c>
      <c r="B129" s="7" t="s">
        <v>1299</v>
      </c>
      <c r="C129" s="7" t="s">
        <v>1300</v>
      </c>
      <c r="D129" s="11" t="s">
        <v>143</v>
      </c>
      <c r="E129" s="75" t="s">
        <v>185</v>
      </c>
      <c r="F129" s="11">
        <v>15.709612</v>
      </c>
      <c r="G129" s="11">
        <v>121.124466</v>
      </c>
      <c r="H129" s="11" t="str">
        <f t="shared" si="21"/>
        <v>15.709612,121.124466</v>
      </c>
      <c r="I129" s="11" t="s">
        <v>70</v>
      </c>
      <c r="J129" s="11">
        <v>2</v>
      </c>
      <c r="K129" s="11" t="s">
        <v>1235</v>
      </c>
      <c r="L129" s="11" t="s">
        <v>1301</v>
      </c>
      <c r="M129" s="11" t="s">
        <v>83</v>
      </c>
      <c r="N129" s="11" t="s">
        <v>26</v>
      </c>
      <c r="O129" s="11" t="s">
        <v>1121</v>
      </c>
      <c r="P129" s="11" t="s">
        <v>212</v>
      </c>
      <c r="Q129" s="11" t="s">
        <v>1302</v>
      </c>
      <c r="R129" s="34">
        <v>45967</v>
      </c>
      <c r="S129" s="34">
        <v>45970</v>
      </c>
      <c r="T129" s="34">
        <v>45980</v>
      </c>
      <c r="U129" s="34">
        <v>45980</v>
      </c>
      <c r="V129" s="34">
        <v>45980</v>
      </c>
      <c r="W129" s="45">
        <f t="shared" si="13"/>
        <v>1</v>
      </c>
      <c r="X129" s="45">
        <f t="shared" si="14"/>
        <v>7</v>
      </c>
      <c r="Y129" s="45">
        <f t="shared" si="15"/>
        <v>1</v>
      </c>
      <c r="Z129" s="45">
        <f t="shared" si="16"/>
        <v>1</v>
      </c>
      <c r="AA129" s="11" t="s">
        <v>150</v>
      </c>
      <c r="AB129" s="11">
        <v>26</v>
      </c>
      <c r="AC129" s="7"/>
      <c r="AD129" s="7"/>
      <c r="AE129" s="11"/>
      <c r="AF129" s="82"/>
      <c r="AG129" s="432"/>
      <c r="AH129" s="11" t="s">
        <v>50</v>
      </c>
      <c r="AI129" s="11"/>
      <c r="AJ129" s="7"/>
      <c r="AK129" s="7"/>
      <c r="AL129" s="11"/>
      <c r="AM129" s="11"/>
      <c r="AN129" s="11"/>
      <c r="AO129" s="11"/>
      <c r="AP129" s="11"/>
      <c r="AQ129" s="7"/>
      <c r="AR129" s="11"/>
      <c r="AS129" s="11"/>
    </row>
    <row r="130" spans="1:45" ht="15" customHeight="1">
      <c r="A130" s="7" t="s">
        <v>777</v>
      </c>
      <c r="B130" s="7" t="s">
        <v>914</v>
      </c>
      <c r="C130" s="7" t="s">
        <v>1303</v>
      </c>
      <c r="D130" s="11" t="s">
        <v>143</v>
      </c>
      <c r="E130" s="75" t="s">
        <v>233</v>
      </c>
      <c r="F130" s="11">
        <v>15.309699999999999</v>
      </c>
      <c r="G130" s="11">
        <v>120.845</v>
      </c>
      <c r="H130" s="11" t="str">
        <f t="shared" si="21"/>
        <v>15.3097,120.845</v>
      </c>
      <c r="I130" s="11" t="s">
        <v>72</v>
      </c>
      <c r="J130" s="11"/>
      <c r="K130" s="11" t="s">
        <v>69</v>
      </c>
      <c r="L130" s="11" t="s">
        <v>69</v>
      </c>
      <c r="M130" s="11" t="s">
        <v>83</v>
      </c>
      <c r="N130" s="11" t="s">
        <v>30</v>
      </c>
      <c r="O130" s="11" t="s">
        <v>1121</v>
      </c>
      <c r="P130" s="11" t="s">
        <v>212</v>
      </c>
      <c r="Q130" s="11" t="s">
        <v>1304</v>
      </c>
      <c r="R130" s="34">
        <v>45966</v>
      </c>
      <c r="S130" s="34">
        <v>45978</v>
      </c>
      <c r="T130" s="34">
        <v>45980</v>
      </c>
      <c r="U130" s="34">
        <v>45980</v>
      </c>
      <c r="V130" s="34">
        <v>45981</v>
      </c>
      <c r="W130" s="45">
        <f t="shared" si="13"/>
        <v>8</v>
      </c>
      <c r="X130" s="45">
        <f t="shared" si="14"/>
        <v>2</v>
      </c>
      <c r="Y130" s="45">
        <f t="shared" si="15"/>
        <v>1</v>
      </c>
      <c r="Z130" s="45">
        <f t="shared" si="16"/>
        <v>1</v>
      </c>
      <c r="AA130" s="11" t="s">
        <v>150</v>
      </c>
      <c r="AB130" s="11">
        <v>16</v>
      </c>
      <c r="AC130" s="7"/>
      <c r="AD130" s="7"/>
      <c r="AE130" s="11"/>
      <c r="AF130" s="11"/>
      <c r="AG130" s="432" t="e">
        <f>(AE130/AF130)</f>
        <v>#DIV/0!</v>
      </c>
      <c r="AH130" s="11" t="s">
        <v>50</v>
      </c>
      <c r="AI130" s="11"/>
      <c r="AJ130" s="7"/>
      <c r="AK130" s="7"/>
      <c r="AL130" s="11"/>
      <c r="AM130" s="11"/>
      <c r="AN130" s="11"/>
      <c r="AO130" s="11"/>
      <c r="AP130" s="11"/>
      <c r="AQ130" s="7"/>
      <c r="AR130" s="11"/>
      <c r="AS130" s="11"/>
    </row>
    <row r="131" spans="1:45" ht="15" customHeight="1">
      <c r="A131" s="7" t="s">
        <v>777</v>
      </c>
      <c r="B131" s="7" t="s">
        <v>1180</v>
      </c>
      <c r="C131" s="7" t="s">
        <v>1305</v>
      </c>
      <c r="D131" s="11" t="s">
        <v>143</v>
      </c>
      <c r="E131" s="75" t="s">
        <v>233</v>
      </c>
      <c r="F131" s="11">
        <v>15.293813</v>
      </c>
      <c r="G131" s="11">
        <v>120.906358</v>
      </c>
      <c r="H131" s="11" t="str">
        <f t="shared" si="21"/>
        <v>15.293813,120.906358</v>
      </c>
      <c r="I131" s="11" t="s">
        <v>70</v>
      </c>
      <c r="J131" s="11">
        <v>1</v>
      </c>
      <c r="K131" s="11">
        <v>2019</v>
      </c>
      <c r="L131" s="82">
        <v>502714.29</v>
      </c>
      <c r="M131" s="11" t="s">
        <v>74</v>
      </c>
      <c r="N131" s="11" t="s">
        <v>30</v>
      </c>
      <c r="O131" s="11" t="s">
        <v>1121</v>
      </c>
      <c r="P131" s="11" t="s">
        <v>212</v>
      </c>
      <c r="Q131" s="11" t="s">
        <v>1306</v>
      </c>
      <c r="R131" s="34">
        <v>45693</v>
      </c>
      <c r="S131" s="34">
        <v>45695</v>
      </c>
      <c r="T131" s="34">
        <v>45701</v>
      </c>
      <c r="U131" s="34">
        <v>45701</v>
      </c>
      <c r="V131" s="34">
        <v>45702</v>
      </c>
      <c r="W131" s="45">
        <f t="shared" ref="W131:W185" si="22">IF(
    OR(ISBLANK(R131), ISBLANK(S131)),
    "",
    MAX(1, IF(
        NETWORKDAYS(R131, S131) &lt;= 0,
        1,
        NETWORKDAYS(R131, S131) - IF(R131 = S131, 0, 1)
    ))
)</f>
        <v>2</v>
      </c>
      <c r="X131" s="45">
        <f t="shared" ref="X131:X185" si="23">IF(
    OR(ISBLANK(S131), ISBLANK(T131)),
    "",
    MAX(1, IF(
        NETWORKDAYS(S131, T131) &lt;= 0,
        1,
        NETWORKDAYS(S131, T131) - IF(S131 = T131, 0, 1)
    ))
)</f>
        <v>4</v>
      </c>
      <c r="Y131" s="45">
        <f t="shared" ref="Y131:Y185" si="24">IF(
  OR(IF(T131&lt;&gt;"", T131, S131)="", U131=""),
  "",
  MAX(1,
    IF(
      NETWORKDAYS(IF(T131&lt;&gt;"", T131, S131), U131) &lt;= 0,
      1,
      NETWORKDAYS(IF(T131&lt;&gt;"", T131, S131), U131) - IF(IF(T131&lt;&gt;"", T131, S131)=U131, 0, 1)
    )
  )
)</f>
        <v>1</v>
      </c>
      <c r="Z131" s="45">
        <f t="shared" ref="Z131:Z185" si="25">IF(
    OR(ISBLANK(U131), ISBLANK(V131)),
    "",
    MAX(1, IF(
        NETWORKDAYS(U131, V131) &lt;= 0,
        1,
        NETWORKDAYS(U131, V131) - IF(U131 = V131, 0, 1)
    ))
)</f>
        <v>1</v>
      </c>
      <c r="AA131" s="431" t="s">
        <v>150</v>
      </c>
      <c r="AB131" s="11">
        <v>9</v>
      </c>
      <c r="AC131" s="7" t="s">
        <v>815</v>
      </c>
      <c r="AD131" s="7" t="s">
        <v>1290</v>
      </c>
      <c r="AE131" s="117">
        <v>28149</v>
      </c>
      <c r="AF131" s="82">
        <v>17612.439999999999</v>
      </c>
      <c r="AG131" s="432">
        <v>0.62560000000000004</v>
      </c>
      <c r="AH131" s="11" t="s">
        <v>50</v>
      </c>
      <c r="AI131" s="7" t="s">
        <v>1307</v>
      </c>
      <c r="AJ131" s="7" t="s">
        <v>1308</v>
      </c>
      <c r="AK131" s="7"/>
      <c r="AL131" s="10">
        <v>45701</v>
      </c>
      <c r="AM131" s="11"/>
      <c r="AN131" s="11"/>
      <c r="AO131" s="11"/>
      <c r="AP131" s="11"/>
      <c r="AQ131" s="7"/>
      <c r="AR131" s="11"/>
      <c r="AS131" s="430"/>
    </row>
    <row r="132" spans="1:45" ht="15" customHeight="1">
      <c r="A132" s="7" t="s">
        <v>777</v>
      </c>
      <c r="B132" s="7" t="s">
        <v>1309</v>
      </c>
      <c r="C132" s="7" t="s">
        <v>1310</v>
      </c>
      <c r="D132" s="11" t="s">
        <v>143</v>
      </c>
      <c r="E132" s="75" t="s">
        <v>185</v>
      </c>
      <c r="F132" s="11">
        <v>15.76037</v>
      </c>
      <c r="G132" s="11">
        <v>120.95538999999999</v>
      </c>
      <c r="H132" s="11" t="str">
        <f t="shared" si="21"/>
        <v>15.76037,120.95539</v>
      </c>
      <c r="I132" s="11" t="s">
        <v>70</v>
      </c>
      <c r="J132" s="11">
        <v>2</v>
      </c>
      <c r="K132" s="11" t="s">
        <v>1311</v>
      </c>
      <c r="L132" s="11" t="s">
        <v>1312</v>
      </c>
      <c r="M132" s="11" t="s">
        <v>82</v>
      </c>
      <c r="N132" s="11" t="s">
        <v>26</v>
      </c>
      <c r="O132" s="11" t="s">
        <v>1121</v>
      </c>
      <c r="P132" s="11" t="s">
        <v>212</v>
      </c>
      <c r="Q132" s="11" t="s">
        <v>1313</v>
      </c>
      <c r="R132" s="34">
        <v>45945</v>
      </c>
      <c r="S132" s="34">
        <v>45947</v>
      </c>
      <c r="T132" s="34">
        <v>45947</v>
      </c>
      <c r="U132" s="34">
        <v>45947</v>
      </c>
      <c r="V132" s="34">
        <v>45947</v>
      </c>
      <c r="W132" s="45">
        <f t="shared" si="22"/>
        <v>2</v>
      </c>
      <c r="X132" s="45">
        <f t="shared" si="23"/>
        <v>1</v>
      </c>
      <c r="Y132" s="45">
        <f t="shared" si="24"/>
        <v>1</v>
      </c>
      <c r="Z132" s="45">
        <f t="shared" si="25"/>
        <v>1</v>
      </c>
      <c r="AA132" s="11" t="s">
        <v>150</v>
      </c>
      <c r="AB132" s="11">
        <v>38</v>
      </c>
      <c r="AC132" s="7"/>
      <c r="AD132" s="4" t="s">
        <v>1195</v>
      </c>
      <c r="AE132" s="82">
        <v>10106.4</v>
      </c>
      <c r="AF132" s="82">
        <v>11115.2</v>
      </c>
      <c r="AG132" s="432">
        <f t="shared" ref="AG132:AG154" si="26">(AE132/AF132)</f>
        <v>0.90924139916510716</v>
      </c>
      <c r="AH132" s="11" t="s">
        <v>50</v>
      </c>
      <c r="AI132" s="11"/>
      <c r="AJ132" s="7"/>
      <c r="AK132" s="7"/>
      <c r="AL132" s="11"/>
      <c r="AM132" s="11"/>
      <c r="AN132" s="11"/>
      <c r="AO132" s="11"/>
      <c r="AP132" s="11"/>
      <c r="AQ132" s="7"/>
      <c r="AR132" s="11"/>
      <c r="AS132" s="11"/>
    </row>
    <row r="133" spans="1:45" ht="15" customHeight="1">
      <c r="A133" s="7" t="s">
        <v>777</v>
      </c>
      <c r="B133" s="7" t="s">
        <v>1314</v>
      </c>
      <c r="C133" s="7" t="s">
        <v>1315</v>
      </c>
      <c r="D133" s="11" t="s">
        <v>143</v>
      </c>
      <c r="E133" s="75" t="s">
        <v>233</v>
      </c>
      <c r="F133" s="11">
        <v>15.3964</v>
      </c>
      <c r="G133" s="11">
        <v>120.9709</v>
      </c>
      <c r="H133" s="11" t="str">
        <f t="shared" si="21"/>
        <v>15.3964,120.9709</v>
      </c>
      <c r="I133" s="11" t="s">
        <v>72</v>
      </c>
      <c r="J133" s="11"/>
      <c r="K133" s="11" t="s">
        <v>69</v>
      </c>
      <c r="L133" s="11" t="s">
        <v>69</v>
      </c>
      <c r="M133" s="11" t="s">
        <v>75</v>
      </c>
      <c r="N133" s="11" t="s">
        <v>28</v>
      </c>
      <c r="O133" s="11" t="s">
        <v>1121</v>
      </c>
      <c r="P133" s="11" t="s">
        <v>212</v>
      </c>
      <c r="Q133" s="445" t="s">
        <v>1316</v>
      </c>
      <c r="R133" s="34">
        <v>45730</v>
      </c>
      <c r="S133" s="34">
        <v>45734</v>
      </c>
      <c r="T133" s="34">
        <v>45734</v>
      </c>
      <c r="U133" s="34">
        <v>45763</v>
      </c>
      <c r="V133" s="34">
        <v>45775</v>
      </c>
      <c r="W133" s="45">
        <f t="shared" si="22"/>
        <v>2</v>
      </c>
      <c r="X133" s="45">
        <f t="shared" si="23"/>
        <v>1</v>
      </c>
      <c r="Y133" s="45">
        <f t="shared" si="24"/>
        <v>21</v>
      </c>
      <c r="Z133" s="45">
        <f t="shared" si="25"/>
        <v>8</v>
      </c>
      <c r="AA133" s="11" t="s">
        <v>150</v>
      </c>
      <c r="AB133" s="11">
        <v>15</v>
      </c>
      <c r="AC133" s="7" t="s">
        <v>815</v>
      </c>
      <c r="AD133" s="7" t="s">
        <v>1290</v>
      </c>
      <c r="AE133" s="7">
        <v>2348.6999999999998</v>
      </c>
      <c r="AF133" s="82">
        <v>34344.959999999999</v>
      </c>
      <c r="AG133" s="432">
        <f t="shared" si="26"/>
        <v>6.8385579718246867E-2</v>
      </c>
      <c r="AH133" s="11" t="s">
        <v>50</v>
      </c>
      <c r="AI133" s="11"/>
      <c r="AJ133" s="7" t="s">
        <v>151</v>
      </c>
      <c r="AK133" s="7"/>
      <c r="AL133" s="11"/>
      <c r="AM133" s="11"/>
      <c r="AN133" s="11"/>
      <c r="AO133" s="11"/>
      <c r="AP133" s="11"/>
      <c r="AQ133" s="7"/>
      <c r="AR133" s="11"/>
      <c r="AS133" s="11"/>
    </row>
    <row r="134" spans="1:45" ht="15" customHeight="1">
      <c r="A134" s="7" t="s">
        <v>777</v>
      </c>
      <c r="B134" s="7" t="s">
        <v>1317</v>
      </c>
      <c r="C134" s="7" t="s">
        <v>1318</v>
      </c>
      <c r="D134" s="11" t="s">
        <v>143</v>
      </c>
      <c r="E134" s="75" t="s">
        <v>144</v>
      </c>
      <c r="F134" s="11">
        <v>15.76</v>
      </c>
      <c r="G134" s="11">
        <v>120.89700000000001</v>
      </c>
      <c r="H134" s="11" t="str">
        <f t="shared" si="21"/>
        <v>15.76,120.897</v>
      </c>
      <c r="I134" s="11" t="s">
        <v>72</v>
      </c>
      <c r="J134" s="11"/>
      <c r="K134" s="11" t="s">
        <v>69</v>
      </c>
      <c r="L134" s="11" t="s">
        <v>69</v>
      </c>
      <c r="M134" s="11" t="s">
        <v>82</v>
      </c>
      <c r="N134" s="11" t="s">
        <v>29</v>
      </c>
      <c r="O134" s="11" t="s">
        <v>1121</v>
      </c>
      <c r="P134" s="11" t="s">
        <v>212</v>
      </c>
      <c r="Q134" s="11" t="s">
        <v>1319</v>
      </c>
      <c r="R134" s="34">
        <v>45945</v>
      </c>
      <c r="S134" s="34">
        <v>45946</v>
      </c>
      <c r="T134" s="34">
        <v>45947</v>
      </c>
      <c r="U134" s="34">
        <v>45947</v>
      </c>
      <c r="V134" s="34">
        <v>45950</v>
      </c>
      <c r="W134" s="45">
        <f t="shared" si="22"/>
        <v>1</v>
      </c>
      <c r="X134" s="45">
        <f t="shared" si="23"/>
        <v>1</v>
      </c>
      <c r="Y134" s="45">
        <f t="shared" si="24"/>
        <v>1</v>
      </c>
      <c r="Z134" s="45">
        <f t="shared" si="25"/>
        <v>1</v>
      </c>
      <c r="AA134" s="11" t="s">
        <v>150</v>
      </c>
      <c r="AB134" s="11">
        <v>37</v>
      </c>
      <c r="AC134" s="7"/>
      <c r="AD134" s="7" t="s">
        <v>1320</v>
      </c>
      <c r="AE134" s="11">
        <v>835</v>
      </c>
      <c r="AF134" s="11">
        <v>2570</v>
      </c>
      <c r="AG134" s="432">
        <f t="shared" si="26"/>
        <v>0.32490272373540857</v>
      </c>
      <c r="AH134" s="11" t="s">
        <v>50</v>
      </c>
      <c r="AI134" s="11"/>
      <c r="AJ134" s="7"/>
      <c r="AK134" s="7"/>
      <c r="AL134" s="11"/>
      <c r="AM134" s="11"/>
      <c r="AN134" s="11"/>
      <c r="AO134" s="11"/>
      <c r="AP134" s="11"/>
      <c r="AQ134" s="7"/>
      <c r="AR134" s="11"/>
      <c r="AS134" s="11"/>
    </row>
    <row r="135" spans="1:45" ht="15" customHeight="1">
      <c r="A135" s="7" t="s">
        <v>777</v>
      </c>
      <c r="B135" s="7" t="s">
        <v>1321</v>
      </c>
      <c r="C135" s="7" t="s">
        <v>1322</v>
      </c>
      <c r="D135" s="11" t="s">
        <v>143</v>
      </c>
      <c r="E135" s="75" t="s">
        <v>185</v>
      </c>
      <c r="F135" s="11">
        <v>15.395300000000001</v>
      </c>
      <c r="G135" s="11">
        <v>120.973</v>
      </c>
      <c r="H135" s="11" t="str">
        <f t="shared" si="21"/>
        <v>15.3953,120.973</v>
      </c>
      <c r="I135" s="11" t="s">
        <v>72</v>
      </c>
      <c r="J135" s="11"/>
      <c r="K135" s="11" t="s">
        <v>69</v>
      </c>
      <c r="L135" s="11" t="s">
        <v>69</v>
      </c>
      <c r="M135" s="11" t="s">
        <v>75</v>
      </c>
      <c r="N135" s="11" t="s">
        <v>28</v>
      </c>
      <c r="O135" s="11" t="s">
        <v>1121</v>
      </c>
      <c r="P135" s="11" t="s">
        <v>212</v>
      </c>
      <c r="Q135" s="11" t="s">
        <v>1323</v>
      </c>
      <c r="R135" s="34">
        <v>45730</v>
      </c>
      <c r="S135" s="34">
        <v>45734</v>
      </c>
      <c r="T135" s="34">
        <v>45735</v>
      </c>
      <c r="U135" s="34">
        <v>45735</v>
      </c>
      <c r="V135" s="34">
        <v>45735</v>
      </c>
      <c r="W135" s="45">
        <f t="shared" si="22"/>
        <v>2</v>
      </c>
      <c r="X135" s="45">
        <f t="shared" si="23"/>
        <v>1</v>
      </c>
      <c r="Y135" s="45">
        <f t="shared" si="24"/>
        <v>1</v>
      </c>
      <c r="Z135" s="45">
        <f t="shared" si="25"/>
        <v>1</v>
      </c>
      <c r="AA135" s="4" t="s">
        <v>150</v>
      </c>
      <c r="AB135" s="11">
        <v>33</v>
      </c>
      <c r="AC135" s="7" t="s">
        <v>1324</v>
      </c>
      <c r="AD135" s="7" t="s">
        <v>1290</v>
      </c>
      <c r="AE135" s="117">
        <v>1623</v>
      </c>
      <c r="AF135" s="82">
        <v>19836.52</v>
      </c>
      <c r="AG135" s="432">
        <f t="shared" si="26"/>
        <v>8.1818786763000764E-2</v>
      </c>
      <c r="AH135" s="11" t="s">
        <v>50</v>
      </c>
      <c r="AI135" s="11"/>
      <c r="AJ135" s="7" t="s">
        <v>151</v>
      </c>
      <c r="AK135" s="7"/>
      <c r="AL135" s="11"/>
      <c r="AM135" s="11"/>
      <c r="AN135" s="11"/>
      <c r="AO135" s="11"/>
      <c r="AP135" s="11"/>
      <c r="AQ135" s="7"/>
      <c r="AR135" s="11"/>
      <c r="AS135" s="430"/>
    </row>
    <row r="136" spans="1:45" ht="15" customHeight="1">
      <c r="A136" s="7" t="s">
        <v>777</v>
      </c>
      <c r="B136" s="7" t="s">
        <v>1325</v>
      </c>
      <c r="C136" s="7" t="s">
        <v>1326</v>
      </c>
      <c r="D136" s="11" t="s">
        <v>143</v>
      </c>
      <c r="E136" s="75" t="s">
        <v>185</v>
      </c>
      <c r="F136" s="11">
        <v>15.4377</v>
      </c>
      <c r="G136" s="11">
        <v>120.883</v>
      </c>
      <c r="H136" s="11" t="str">
        <f t="shared" si="21"/>
        <v>15.4377,120.883</v>
      </c>
      <c r="I136" s="11" t="s">
        <v>70</v>
      </c>
      <c r="J136" s="11">
        <v>1</v>
      </c>
      <c r="K136" s="11">
        <v>2019</v>
      </c>
      <c r="L136" s="82">
        <v>502714.29</v>
      </c>
      <c r="M136" s="11" t="s">
        <v>75</v>
      </c>
      <c r="N136" s="11" t="s">
        <v>28</v>
      </c>
      <c r="O136" s="11" t="s">
        <v>1121</v>
      </c>
      <c r="P136" s="11" t="s">
        <v>212</v>
      </c>
      <c r="Q136" s="11" t="s">
        <v>1327</v>
      </c>
      <c r="R136" s="34">
        <v>45730</v>
      </c>
      <c r="S136" s="34">
        <v>45734</v>
      </c>
      <c r="T136" s="34">
        <v>45734</v>
      </c>
      <c r="U136" s="34">
        <v>45734</v>
      </c>
      <c r="V136" s="34">
        <v>45735</v>
      </c>
      <c r="W136" s="45">
        <f t="shared" si="22"/>
        <v>2</v>
      </c>
      <c r="X136" s="45">
        <f t="shared" si="23"/>
        <v>1</v>
      </c>
      <c r="Y136" s="45">
        <f t="shared" si="24"/>
        <v>1</v>
      </c>
      <c r="Z136" s="45">
        <f t="shared" si="25"/>
        <v>1</v>
      </c>
      <c r="AA136" s="439" t="s">
        <v>150</v>
      </c>
      <c r="AB136" s="11">
        <v>1</v>
      </c>
      <c r="AC136" s="7" t="s">
        <v>815</v>
      </c>
      <c r="AD136" s="7" t="s">
        <v>1290</v>
      </c>
      <c r="AE136" s="7">
        <v>0</v>
      </c>
      <c r="AF136" s="11">
        <v>396.55200000000002</v>
      </c>
      <c r="AG136" s="432">
        <f t="shared" si="26"/>
        <v>0</v>
      </c>
      <c r="AH136" s="11" t="s">
        <v>50</v>
      </c>
      <c r="AI136" s="11"/>
      <c r="AJ136" s="7"/>
      <c r="AK136" s="7"/>
      <c r="AL136" s="11"/>
      <c r="AM136" s="11"/>
      <c r="AN136" s="11"/>
      <c r="AO136" s="11"/>
      <c r="AP136" s="11"/>
      <c r="AQ136" s="7"/>
      <c r="AR136" s="11"/>
      <c r="AS136" s="430"/>
    </row>
    <row r="137" spans="1:45" ht="51" customHeight="1">
      <c r="A137" s="7" t="s">
        <v>777</v>
      </c>
      <c r="B137" s="7" t="s">
        <v>1328</v>
      </c>
      <c r="C137" s="7" t="s">
        <v>1234</v>
      </c>
      <c r="D137" s="11" t="s">
        <v>143</v>
      </c>
      <c r="E137" s="75" t="s">
        <v>160</v>
      </c>
      <c r="F137" s="11">
        <v>15.589</v>
      </c>
      <c r="G137" s="11">
        <v>120.869</v>
      </c>
      <c r="H137" s="11" t="str">
        <f t="shared" si="21"/>
        <v>15.589,120.869</v>
      </c>
      <c r="I137" s="11" t="s">
        <v>72</v>
      </c>
      <c r="J137" s="11"/>
      <c r="K137" s="11" t="s">
        <v>69</v>
      </c>
      <c r="L137" s="11" t="s">
        <v>69</v>
      </c>
      <c r="M137" s="11" t="s">
        <v>78</v>
      </c>
      <c r="N137" s="11" t="s">
        <v>224</v>
      </c>
      <c r="O137" s="11" t="s">
        <v>1121</v>
      </c>
      <c r="P137" s="11" t="s">
        <v>212</v>
      </c>
      <c r="Q137" s="11" t="s">
        <v>1329</v>
      </c>
      <c r="R137" s="34">
        <v>45805</v>
      </c>
      <c r="S137" s="34">
        <v>45809</v>
      </c>
      <c r="T137" s="34">
        <v>45811</v>
      </c>
      <c r="U137" s="34">
        <v>45812</v>
      </c>
      <c r="V137" s="34">
        <v>45813</v>
      </c>
      <c r="W137" s="45">
        <f t="shared" si="22"/>
        <v>2</v>
      </c>
      <c r="X137" s="45">
        <f t="shared" si="23"/>
        <v>1</v>
      </c>
      <c r="Y137" s="45">
        <f t="shared" si="24"/>
        <v>1</v>
      </c>
      <c r="Z137" s="45">
        <f t="shared" si="25"/>
        <v>1</v>
      </c>
      <c r="AA137" s="4" t="s">
        <v>150</v>
      </c>
      <c r="AB137" s="11">
        <v>24</v>
      </c>
      <c r="AC137" s="7" t="s">
        <v>1330</v>
      </c>
      <c r="AD137" s="7" t="s">
        <v>876</v>
      </c>
      <c r="AE137" s="78">
        <v>6430</v>
      </c>
      <c r="AF137" s="368">
        <v>23092.78</v>
      </c>
      <c r="AG137" s="432">
        <f t="shared" si="26"/>
        <v>0.27844200654923318</v>
      </c>
      <c r="AH137" s="11" t="s">
        <v>50</v>
      </c>
      <c r="AI137" s="11"/>
      <c r="AJ137" s="7"/>
      <c r="AK137" s="7"/>
      <c r="AL137" s="11"/>
      <c r="AM137" s="11"/>
      <c r="AN137" s="11"/>
      <c r="AO137" s="11"/>
      <c r="AP137" s="11"/>
      <c r="AQ137" s="7"/>
      <c r="AR137" s="11"/>
      <c r="AS137" s="11"/>
    </row>
    <row r="138" spans="1:45" ht="15" customHeight="1">
      <c r="A138" s="7" t="s">
        <v>777</v>
      </c>
      <c r="B138" s="7" t="s">
        <v>1331</v>
      </c>
      <c r="C138" s="7" t="s">
        <v>1332</v>
      </c>
      <c r="D138" s="11" t="s">
        <v>143</v>
      </c>
      <c r="E138" s="75" t="s">
        <v>160</v>
      </c>
      <c r="F138" s="11">
        <v>15.6419</v>
      </c>
      <c r="G138" s="11">
        <v>120.905</v>
      </c>
      <c r="H138" s="11" t="str">
        <f t="shared" si="21"/>
        <v>15.6419,120.905</v>
      </c>
      <c r="I138" s="11" t="s">
        <v>72</v>
      </c>
      <c r="J138" s="11"/>
      <c r="K138" s="11" t="s">
        <v>69</v>
      </c>
      <c r="L138" s="11" t="s">
        <v>69</v>
      </c>
      <c r="M138" s="11" t="s">
        <v>78</v>
      </c>
      <c r="N138" s="11" t="s">
        <v>224</v>
      </c>
      <c r="O138" s="11" t="s">
        <v>1121</v>
      </c>
      <c r="P138" s="11" t="s">
        <v>212</v>
      </c>
      <c r="Q138" s="374" t="s">
        <v>1333</v>
      </c>
      <c r="R138" s="34">
        <v>45818</v>
      </c>
      <c r="S138" s="34">
        <v>45820</v>
      </c>
      <c r="T138" s="34">
        <v>45824</v>
      </c>
      <c r="U138" s="34">
        <v>45824</v>
      </c>
      <c r="V138" s="34">
        <v>45825</v>
      </c>
      <c r="W138" s="45">
        <f t="shared" si="22"/>
        <v>2</v>
      </c>
      <c r="X138" s="45">
        <f t="shared" si="23"/>
        <v>2</v>
      </c>
      <c r="Y138" s="45">
        <f t="shared" si="24"/>
        <v>1</v>
      </c>
      <c r="Z138" s="45">
        <f t="shared" si="25"/>
        <v>1</v>
      </c>
      <c r="AA138" s="4" t="s">
        <v>150</v>
      </c>
      <c r="AB138" s="11">
        <v>53</v>
      </c>
      <c r="AC138" s="7" t="s">
        <v>1334</v>
      </c>
      <c r="AD138" s="7" t="s">
        <v>945</v>
      </c>
      <c r="AE138" s="82">
        <v>9824.5</v>
      </c>
      <c r="AF138" s="82">
        <v>36657.629999999997</v>
      </c>
      <c r="AG138" s="432">
        <f t="shared" si="26"/>
        <v>0.26800696062456847</v>
      </c>
      <c r="AH138" s="11" t="s">
        <v>50</v>
      </c>
      <c r="AI138" s="11"/>
      <c r="AJ138" s="7" t="s">
        <v>151</v>
      </c>
      <c r="AK138" s="7"/>
      <c r="AL138" s="11"/>
      <c r="AM138" s="11"/>
      <c r="AN138" s="11"/>
      <c r="AO138" s="11"/>
      <c r="AP138" s="11"/>
      <c r="AQ138" s="7"/>
      <c r="AR138" s="11"/>
      <c r="AS138" s="11"/>
    </row>
    <row r="139" spans="1:45" ht="15" customHeight="1">
      <c r="A139" s="7" t="s">
        <v>777</v>
      </c>
      <c r="B139" s="7" t="s">
        <v>1335</v>
      </c>
      <c r="C139" s="7" t="s">
        <v>1336</v>
      </c>
      <c r="D139" s="11" t="s">
        <v>143</v>
      </c>
      <c r="E139" s="75" t="s">
        <v>185</v>
      </c>
      <c r="F139" s="11">
        <v>15.786199999999999</v>
      </c>
      <c r="G139" s="11">
        <v>120.81100000000001</v>
      </c>
      <c r="H139" s="11" t="str">
        <f t="shared" si="21"/>
        <v>15.7862,120.811</v>
      </c>
      <c r="I139" s="11" t="s">
        <v>72</v>
      </c>
      <c r="J139" s="11"/>
      <c r="K139" s="11" t="s">
        <v>69</v>
      </c>
      <c r="L139" s="11" t="s">
        <v>69</v>
      </c>
      <c r="M139" s="11" t="s">
        <v>83</v>
      </c>
      <c r="N139" s="11" t="s">
        <v>29</v>
      </c>
      <c r="O139" s="11" t="s">
        <v>1121</v>
      </c>
      <c r="P139" s="11" t="s">
        <v>212</v>
      </c>
      <c r="Q139" s="11" t="s">
        <v>1337</v>
      </c>
      <c r="R139" s="34">
        <v>45959</v>
      </c>
      <c r="S139" s="34">
        <v>45965</v>
      </c>
      <c r="T139" s="34">
        <v>45980</v>
      </c>
      <c r="U139" s="34">
        <v>45980</v>
      </c>
      <c r="V139" s="34">
        <v>45981</v>
      </c>
      <c r="W139" s="45">
        <f t="shared" si="22"/>
        <v>4</v>
      </c>
      <c r="X139" s="45">
        <f t="shared" si="23"/>
        <v>11</v>
      </c>
      <c r="Y139" s="45">
        <f t="shared" si="24"/>
        <v>1</v>
      </c>
      <c r="Z139" s="45">
        <f t="shared" si="25"/>
        <v>1</v>
      </c>
      <c r="AA139" s="11" t="s">
        <v>150</v>
      </c>
      <c r="AB139" s="11"/>
      <c r="AC139" s="7"/>
      <c r="AD139" s="7"/>
      <c r="AE139" s="11"/>
      <c r="AF139" s="11"/>
      <c r="AG139" s="432" t="e">
        <f t="shared" si="26"/>
        <v>#DIV/0!</v>
      </c>
      <c r="AH139" s="11" t="s">
        <v>57</v>
      </c>
      <c r="AI139" s="11"/>
      <c r="AJ139" s="7"/>
      <c r="AK139" s="7"/>
      <c r="AL139" s="11"/>
      <c r="AM139" s="11"/>
      <c r="AN139" s="11"/>
      <c r="AO139" s="11"/>
      <c r="AP139" s="11"/>
      <c r="AQ139" s="7"/>
      <c r="AR139" s="11"/>
      <c r="AS139" s="11"/>
    </row>
    <row r="140" spans="1:45" ht="15" customHeight="1">
      <c r="A140" s="7" t="s">
        <v>777</v>
      </c>
      <c r="B140" s="7" t="s">
        <v>1338</v>
      </c>
      <c r="C140" s="7" t="s">
        <v>1185</v>
      </c>
      <c r="D140" s="11" t="s">
        <v>143</v>
      </c>
      <c r="E140" s="75" t="s">
        <v>160</v>
      </c>
      <c r="F140" s="11">
        <v>15.4315</v>
      </c>
      <c r="G140" s="11">
        <v>120.803</v>
      </c>
      <c r="H140" s="11" t="str">
        <f t="shared" si="21"/>
        <v>15.4315,120.803</v>
      </c>
      <c r="I140" s="11" t="s">
        <v>72</v>
      </c>
      <c r="J140" s="11"/>
      <c r="K140" s="11" t="s">
        <v>69</v>
      </c>
      <c r="L140" s="11" t="s">
        <v>69</v>
      </c>
      <c r="M140" s="11" t="s">
        <v>81</v>
      </c>
      <c r="N140" s="11" t="s">
        <v>224</v>
      </c>
      <c r="O140" s="11" t="s">
        <v>1121</v>
      </c>
      <c r="P140" s="11" t="s">
        <v>212</v>
      </c>
      <c r="Q140" s="11" t="s">
        <v>1339</v>
      </c>
      <c r="R140" s="34">
        <v>45902</v>
      </c>
      <c r="S140" s="34">
        <v>45916</v>
      </c>
      <c r="T140" s="34">
        <v>45918</v>
      </c>
      <c r="U140" s="34">
        <v>45918</v>
      </c>
      <c r="V140" s="34">
        <v>45922</v>
      </c>
      <c r="W140" s="45">
        <f t="shared" si="22"/>
        <v>10</v>
      </c>
      <c r="X140" s="45">
        <f t="shared" si="23"/>
        <v>2</v>
      </c>
      <c r="Y140" s="45">
        <f t="shared" si="24"/>
        <v>1</v>
      </c>
      <c r="Z140" s="45">
        <f t="shared" si="25"/>
        <v>2</v>
      </c>
      <c r="AA140" s="11" t="s">
        <v>150</v>
      </c>
      <c r="AB140" s="11">
        <v>19</v>
      </c>
      <c r="AC140" s="7" t="s">
        <v>1340</v>
      </c>
      <c r="AD140" s="7" t="s">
        <v>1341</v>
      </c>
      <c r="AE140" s="82" t="s">
        <v>69</v>
      </c>
      <c r="AF140" s="11" t="s">
        <v>69</v>
      </c>
      <c r="AG140" s="432" t="e">
        <f t="shared" si="26"/>
        <v>#VALUE!</v>
      </c>
      <c r="AH140" s="11" t="s">
        <v>50</v>
      </c>
      <c r="AI140" s="11"/>
      <c r="AJ140" s="7"/>
      <c r="AK140" s="7"/>
      <c r="AL140" s="11"/>
      <c r="AM140" s="11"/>
      <c r="AN140" s="11"/>
      <c r="AO140" s="11"/>
      <c r="AP140" s="11"/>
      <c r="AQ140" s="7"/>
      <c r="AR140" s="11"/>
      <c r="AS140" s="11"/>
    </row>
    <row r="141" spans="1:45" ht="15" customHeight="1">
      <c r="A141" s="7" t="s">
        <v>777</v>
      </c>
      <c r="B141" s="7" t="s">
        <v>1096</v>
      </c>
      <c r="C141" s="7" t="s">
        <v>1097</v>
      </c>
      <c r="D141" s="11" t="s">
        <v>159</v>
      </c>
      <c r="E141" s="75" t="s">
        <v>160</v>
      </c>
      <c r="F141" s="11">
        <v>15.811753400000001</v>
      </c>
      <c r="G141" s="11">
        <v>120.6774928</v>
      </c>
      <c r="H141" s="11" t="str">
        <f t="shared" si="21"/>
        <v>15.8117534,120.6774928</v>
      </c>
      <c r="I141" s="11" t="s">
        <v>72</v>
      </c>
      <c r="J141" s="11"/>
      <c r="K141" s="11" t="s">
        <v>69</v>
      </c>
      <c r="L141" s="11" t="s">
        <v>69</v>
      </c>
      <c r="M141" s="11" t="s">
        <v>77</v>
      </c>
      <c r="N141" s="11" t="s">
        <v>29</v>
      </c>
      <c r="O141" s="11" t="s">
        <v>1121</v>
      </c>
      <c r="P141" s="11" t="s">
        <v>212</v>
      </c>
      <c r="Q141" s="374" t="s">
        <v>1342</v>
      </c>
      <c r="R141" s="34">
        <v>45786</v>
      </c>
      <c r="S141" s="34">
        <v>45791</v>
      </c>
      <c r="T141" s="34">
        <v>45793</v>
      </c>
      <c r="U141" s="34">
        <v>45793</v>
      </c>
      <c r="V141" s="34">
        <v>45793</v>
      </c>
      <c r="W141" s="45">
        <f t="shared" si="22"/>
        <v>3</v>
      </c>
      <c r="X141" s="45">
        <f t="shared" si="23"/>
        <v>2</v>
      </c>
      <c r="Y141" s="45">
        <f t="shared" si="24"/>
        <v>1</v>
      </c>
      <c r="Z141" s="45">
        <f t="shared" si="25"/>
        <v>1</v>
      </c>
      <c r="AA141" s="11" t="s">
        <v>150</v>
      </c>
      <c r="AB141" s="11">
        <v>51</v>
      </c>
      <c r="AC141" s="7" t="s">
        <v>925</v>
      </c>
      <c r="AD141" s="7" t="s">
        <v>851</v>
      </c>
      <c r="AE141" s="11">
        <v>325</v>
      </c>
      <c r="AF141" s="82">
        <v>28383.52</v>
      </c>
      <c r="AG141" s="432">
        <f t="shared" si="26"/>
        <v>1.1450306374966883E-2</v>
      </c>
      <c r="AH141" s="11" t="s">
        <v>50</v>
      </c>
      <c r="AI141" s="11"/>
      <c r="AJ141" s="7" t="s">
        <v>151</v>
      </c>
      <c r="AK141" s="7"/>
      <c r="AL141" s="11"/>
      <c r="AM141" s="11"/>
      <c r="AN141" s="11"/>
      <c r="AO141" s="11"/>
      <c r="AP141" s="11"/>
      <c r="AQ141" s="7"/>
      <c r="AR141" s="11"/>
      <c r="AS141" s="11"/>
    </row>
    <row r="142" spans="1:45" ht="15" customHeight="1">
      <c r="A142" s="7" t="s">
        <v>778</v>
      </c>
      <c r="B142" s="7" t="s">
        <v>1343</v>
      </c>
      <c r="C142" s="7" t="s">
        <v>1344</v>
      </c>
      <c r="D142" s="11" t="s">
        <v>143</v>
      </c>
      <c r="E142" s="75" t="s">
        <v>233</v>
      </c>
      <c r="F142" s="11">
        <v>14.928388999999999</v>
      </c>
      <c r="G142" s="11">
        <v>120.763319</v>
      </c>
      <c r="H142" s="11" t="str">
        <f t="shared" si="21"/>
        <v>14.928389,120.763319</v>
      </c>
      <c r="I142" s="11" t="s">
        <v>70</v>
      </c>
      <c r="J142" s="11">
        <v>1</v>
      </c>
      <c r="K142" s="11">
        <v>2019</v>
      </c>
      <c r="L142" s="11">
        <v>530642.86</v>
      </c>
      <c r="M142" s="11" t="s">
        <v>74</v>
      </c>
      <c r="N142" s="11" t="s">
        <v>1345</v>
      </c>
      <c r="O142" s="11" t="s">
        <v>147</v>
      </c>
      <c r="P142" s="11" t="s">
        <v>148</v>
      </c>
      <c r="Q142" s="11" t="s">
        <v>1346</v>
      </c>
      <c r="R142" s="34">
        <v>45694</v>
      </c>
      <c r="S142" s="34">
        <v>45697</v>
      </c>
      <c r="T142" s="34">
        <v>45699</v>
      </c>
      <c r="U142" s="34">
        <v>45699</v>
      </c>
      <c r="V142" s="34">
        <v>45701</v>
      </c>
      <c r="W142" s="45">
        <f t="shared" si="22"/>
        <v>1</v>
      </c>
      <c r="X142" s="45">
        <f t="shared" si="23"/>
        <v>1</v>
      </c>
      <c r="Y142" s="45">
        <f t="shared" si="24"/>
        <v>1</v>
      </c>
      <c r="Z142" s="45">
        <f t="shared" si="25"/>
        <v>2</v>
      </c>
      <c r="AA142" s="431" t="s">
        <v>150</v>
      </c>
      <c r="AB142" s="11">
        <v>12</v>
      </c>
      <c r="AC142" s="7" t="s">
        <v>1347</v>
      </c>
      <c r="AD142" s="7" t="s">
        <v>1341</v>
      </c>
      <c r="AE142" s="7" t="s">
        <v>69</v>
      </c>
      <c r="AF142" s="11">
        <v>28033.915000000001</v>
      </c>
      <c r="AG142" s="432" t="e">
        <f t="shared" si="26"/>
        <v>#VALUE!</v>
      </c>
      <c r="AH142" s="11" t="s">
        <v>50</v>
      </c>
      <c r="AI142" s="11"/>
      <c r="AJ142" s="7"/>
      <c r="AK142" s="7"/>
      <c r="AL142" s="11"/>
      <c r="AM142" s="11"/>
      <c r="AN142" s="11"/>
      <c r="AO142" s="11"/>
      <c r="AP142" s="11"/>
      <c r="AQ142" s="7"/>
      <c r="AR142" s="11"/>
      <c r="AS142" s="430"/>
    </row>
    <row r="143" spans="1:45" ht="15" customHeight="1">
      <c r="A143" s="7" t="s">
        <v>778</v>
      </c>
      <c r="B143" s="7" t="s">
        <v>1343</v>
      </c>
      <c r="C143" s="7" t="s">
        <v>1344</v>
      </c>
      <c r="D143" s="11" t="s">
        <v>143</v>
      </c>
      <c r="E143" s="75" t="s">
        <v>233</v>
      </c>
      <c r="F143" s="11">
        <v>14.9285</v>
      </c>
      <c r="G143" s="11">
        <v>120.7634</v>
      </c>
      <c r="H143" s="11" t="str">
        <f t="shared" si="21"/>
        <v>14.9285,120.7634</v>
      </c>
      <c r="I143" s="11" t="s">
        <v>72</v>
      </c>
      <c r="J143" s="11">
        <v>1</v>
      </c>
      <c r="K143" s="11">
        <v>2019</v>
      </c>
      <c r="L143" s="82">
        <v>530642.86</v>
      </c>
      <c r="M143" s="11" t="s">
        <v>74</v>
      </c>
      <c r="N143" s="11" t="s">
        <v>1345</v>
      </c>
      <c r="O143" s="11" t="s">
        <v>147</v>
      </c>
      <c r="P143" s="11" t="s">
        <v>148</v>
      </c>
      <c r="Q143" s="11" t="s">
        <v>1348</v>
      </c>
      <c r="R143" s="34">
        <v>45694</v>
      </c>
      <c r="S143" s="34">
        <v>45697</v>
      </c>
      <c r="T143" s="34">
        <v>45699</v>
      </c>
      <c r="U143" s="34">
        <v>45699</v>
      </c>
      <c r="V143" s="34">
        <v>45701</v>
      </c>
      <c r="W143" s="45">
        <f t="shared" si="22"/>
        <v>1</v>
      </c>
      <c r="X143" s="45">
        <f t="shared" si="23"/>
        <v>1</v>
      </c>
      <c r="Y143" s="45">
        <f t="shared" si="24"/>
        <v>1</v>
      </c>
      <c r="Z143" s="45">
        <f t="shared" si="25"/>
        <v>2</v>
      </c>
      <c r="AA143" s="11" t="s">
        <v>150</v>
      </c>
      <c r="AB143" s="11">
        <v>12</v>
      </c>
      <c r="AC143" s="7" t="s">
        <v>1347</v>
      </c>
      <c r="AD143" s="7" t="s">
        <v>1341</v>
      </c>
      <c r="AE143" s="7" t="s">
        <v>69</v>
      </c>
      <c r="AF143" s="7" t="s">
        <v>69</v>
      </c>
      <c r="AG143" s="432" t="e">
        <f t="shared" si="26"/>
        <v>#VALUE!</v>
      </c>
      <c r="AH143" s="11" t="s">
        <v>50</v>
      </c>
      <c r="AI143" s="11"/>
      <c r="AJ143" s="7"/>
      <c r="AK143" s="7"/>
      <c r="AL143" s="11"/>
      <c r="AM143" s="11"/>
      <c r="AN143" s="11"/>
      <c r="AO143" s="11"/>
      <c r="AP143" s="11"/>
      <c r="AQ143" s="7"/>
      <c r="AR143" s="11"/>
      <c r="AS143" s="430"/>
    </row>
    <row r="144" spans="1:45" ht="15" customHeight="1">
      <c r="A144" s="7" t="s">
        <v>778</v>
      </c>
      <c r="B144" s="7" t="s">
        <v>1349</v>
      </c>
      <c r="C144" s="7" t="s">
        <v>1350</v>
      </c>
      <c r="D144" s="11" t="s">
        <v>143</v>
      </c>
      <c r="E144" s="75" t="s">
        <v>144</v>
      </c>
      <c r="F144" s="11">
        <v>15.189531000000001</v>
      </c>
      <c r="G144" s="11">
        <v>120.79133899999999</v>
      </c>
      <c r="H144" s="11" t="str">
        <f t="shared" si="21"/>
        <v>15.189531,120.791339</v>
      </c>
      <c r="I144" s="11" t="s">
        <v>70</v>
      </c>
      <c r="J144" s="11">
        <v>1</v>
      </c>
      <c r="K144" s="11">
        <v>2019</v>
      </c>
      <c r="L144" s="82">
        <v>502714.29</v>
      </c>
      <c r="M144" s="11" t="s">
        <v>73</v>
      </c>
      <c r="N144" s="11" t="s">
        <v>32</v>
      </c>
      <c r="O144" s="11" t="s">
        <v>147</v>
      </c>
      <c r="P144" s="11" t="s">
        <v>148</v>
      </c>
      <c r="Q144" s="11" t="s">
        <v>1351</v>
      </c>
      <c r="R144" s="34">
        <v>45673</v>
      </c>
      <c r="S144" s="34">
        <v>45677</v>
      </c>
      <c r="T144" s="34"/>
      <c r="U144" s="34">
        <v>45681</v>
      </c>
      <c r="V144" s="34">
        <v>45681</v>
      </c>
      <c r="W144" s="45">
        <f t="shared" si="22"/>
        <v>2</v>
      </c>
      <c r="X144" s="45" t="str">
        <f t="shared" si="23"/>
        <v/>
      </c>
      <c r="Y144" s="45">
        <f t="shared" si="24"/>
        <v>4</v>
      </c>
      <c r="Z144" s="45">
        <f t="shared" si="25"/>
        <v>1</v>
      </c>
      <c r="AA144" s="431" t="s">
        <v>150</v>
      </c>
      <c r="AB144" s="11">
        <v>30</v>
      </c>
      <c r="AC144" s="7" t="s">
        <v>1340</v>
      </c>
      <c r="AD144" s="7" t="s">
        <v>1352</v>
      </c>
      <c r="AE144" s="11">
        <v>956.83</v>
      </c>
      <c r="AF144" s="11"/>
      <c r="AG144" s="432" t="e">
        <f t="shared" si="26"/>
        <v>#DIV/0!</v>
      </c>
      <c r="AH144" s="11" t="s">
        <v>50</v>
      </c>
      <c r="AI144" s="11"/>
      <c r="AJ144" s="7"/>
      <c r="AK144" s="7"/>
      <c r="AL144" s="11"/>
      <c r="AM144" s="11"/>
      <c r="AN144" s="11"/>
      <c r="AO144" s="11"/>
      <c r="AP144" s="11"/>
      <c r="AQ144" s="7"/>
      <c r="AR144" s="11"/>
      <c r="AS144" s="430"/>
    </row>
    <row r="145" spans="1:45" ht="15" customHeight="1">
      <c r="A145" s="7" t="s">
        <v>778</v>
      </c>
      <c r="B145" s="7" t="s">
        <v>1353</v>
      </c>
      <c r="C145" s="7" t="s">
        <v>1354</v>
      </c>
      <c r="D145" s="11" t="s">
        <v>143</v>
      </c>
      <c r="E145" s="75" t="s">
        <v>144</v>
      </c>
      <c r="F145" s="11">
        <v>14.993171</v>
      </c>
      <c r="G145" s="11">
        <v>120.671435</v>
      </c>
      <c r="H145" s="11" t="str">
        <f t="shared" si="21"/>
        <v>14.993171,120.671435</v>
      </c>
      <c r="I145" s="11" t="s">
        <v>72</v>
      </c>
      <c r="J145" s="11"/>
      <c r="K145" s="11" t="s">
        <v>69</v>
      </c>
      <c r="L145" s="11" t="s">
        <v>69</v>
      </c>
      <c r="M145" s="11" t="s">
        <v>75</v>
      </c>
      <c r="N145" s="11" t="s">
        <v>35</v>
      </c>
      <c r="O145" s="11"/>
      <c r="P145" s="11" t="s">
        <v>148</v>
      </c>
      <c r="Q145" s="11" t="s">
        <v>1355</v>
      </c>
      <c r="R145" s="34">
        <v>45720</v>
      </c>
      <c r="S145" s="34">
        <v>45732</v>
      </c>
      <c r="T145" s="34">
        <v>45732</v>
      </c>
      <c r="U145" s="34">
        <v>45733</v>
      </c>
      <c r="V145" s="34">
        <v>45734</v>
      </c>
      <c r="W145" s="45">
        <f t="shared" si="22"/>
        <v>8</v>
      </c>
      <c r="X145" s="45">
        <f t="shared" si="23"/>
        <v>1</v>
      </c>
      <c r="Y145" s="45">
        <f t="shared" si="24"/>
        <v>1</v>
      </c>
      <c r="Z145" s="45">
        <f t="shared" si="25"/>
        <v>1</v>
      </c>
      <c r="AA145" s="7" t="s">
        <v>150</v>
      </c>
      <c r="AB145" s="11">
        <v>21</v>
      </c>
      <c r="AC145" s="7" t="s">
        <v>1356</v>
      </c>
      <c r="AD145" s="7" t="s">
        <v>876</v>
      </c>
      <c r="AE145" s="11">
        <v>236</v>
      </c>
      <c r="AF145" s="11">
        <v>5000</v>
      </c>
      <c r="AG145" s="432">
        <f t="shared" si="26"/>
        <v>4.7199999999999999E-2</v>
      </c>
      <c r="AH145" s="11" t="s">
        <v>50</v>
      </c>
      <c r="AI145" s="11"/>
      <c r="AJ145" s="7"/>
      <c r="AK145" s="7"/>
      <c r="AL145" s="11"/>
      <c r="AM145" s="11"/>
      <c r="AN145" s="11"/>
      <c r="AO145" s="11"/>
      <c r="AP145" s="11"/>
      <c r="AQ145" s="7"/>
      <c r="AR145" s="11"/>
      <c r="AS145" s="430"/>
    </row>
    <row r="146" spans="1:45" ht="15" customHeight="1">
      <c r="A146" s="7" t="s">
        <v>778</v>
      </c>
      <c r="B146" s="7" t="s">
        <v>1357</v>
      </c>
      <c r="C146" s="7" t="s">
        <v>1358</v>
      </c>
      <c r="D146" s="11" t="s">
        <v>143</v>
      </c>
      <c r="E146" s="75" t="s">
        <v>233</v>
      </c>
      <c r="F146" s="11">
        <v>15.1265</v>
      </c>
      <c r="G146" s="11">
        <v>120.80200000000001</v>
      </c>
      <c r="H146" s="11" t="str">
        <f t="shared" si="21"/>
        <v>15.1265,120.802</v>
      </c>
      <c r="I146" s="11" t="s">
        <v>72</v>
      </c>
      <c r="J146" s="11"/>
      <c r="K146" s="11" t="s">
        <v>69</v>
      </c>
      <c r="L146" s="11" t="s">
        <v>69</v>
      </c>
      <c r="M146" s="11" t="s">
        <v>83</v>
      </c>
      <c r="N146" s="11" t="s">
        <v>32</v>
      </c>
      <c r="O146" s="11"/>
      <c r="P146" s="11" t="s">
        <v>148</v>
      </c>
      <c r="Q146" s="11" t="s">
        <v>1359</v>
      </c>
      <c r="R146" s="34">
        <v>45968</v>
      </c>
      <c r="S146" s="34">
        <v>45970</v>
      </c>
      <c r="T146" s="34"/>
      <c r="U146" s="34">
        <v>45978</v>
      </c>
      <c r="V146" s="468">
        <v>45979</v>
      </c>
      <c r="W146" s="45">
        <f t="shared" si="22"/>
        <v>1</v>
      </c>
      <c r="X146" s="45" t="str">
        <f t="shared" si="23"/>
        <v/>
      </c>
      <c r="Y146" s="45">
        <f t="shared" si="24"/>
        <v>5</v>
      </c>
      <c r="Z146" s="45">
        <f t="shared" si="25"/>
        <v>1</v>
      </c>
      <c r="AA146" s="7" t="s">
        <v>150</v>
      </c>
      <c r="AB146" s="11">
        <v>33</v>
      </c>
      <c r="AC146" s="7" t="s">
        <v>1360</v>
      </c>
      <c r="AD146" s="7" t="s">
        <v>838</v>
      </c>
      <c r="AE146" s="117">
        <v>15000</v>
      </c>
      <c r="AF146" s="82">
        <v>35248.559999999998</v>
      </c>
      <c r="AG146" s="432">
        <f t="shared" si="26"/>
        <v>0.42554929903519467</v>
      </c>
      <c r="AH146" s="11" t="s">
        <v>50</v>
      </c>
      <c r="AI146" s="11"/>
      <c r="AJ146" s="7"/>
      <c r="AK146" s="7"/>
      <c r="AL146" s="11"/>
      <c r="AM146" s="11"/>
      <c r="AN146" s="11"/>
      <c r="AO146" s="11"/>
      <c r="AP146" s="11"/>
      <c r="AQ146" s="7"/>
      <c r="AR146" s="11"/>
      <c r="AS146" s="11"/>
    </row>
    <row r="147" spans="1:45" ht="15" customHeight="1">
      <c r="A147" s="7" t="s">
        <v>777</v>
      </c>
      <c r="B147" s="7" t="s">
        <v>1120</v>
      </c>
      <c r="C147" s="7" t="s">
        <v>947</v>
      </c>
      <c r="D147" s="11" t="s">
        <v>159</v>
      </c>
      <c r="E147" s="75" t="s">
        <v>160</v>
      </c>
      <c r="F147" s="11">
        <v>15.735300000000001</v>
      </c>
      <c r="G147" s="11">
        <v>120.633</v>
      </c>
      <c r="H147" s="11" t="str">
        <f t="shared" si="21"/>
        <v>15.7353,120.633</v>
      </c>
      <c r="I147" s="11" t="s">
        <v>72</v>
      </c>
      <c r="J147" s="11">
        <v>1</v>
      </c>
      <c r="K147" s="11" t="s">
        <v>69</v>
      </c>
      <c r="L147" s="11" t="s">
        <v>69</v>
      </c>
      <c r="M147" s="11" t="s">
        <v>74</v>
      </c>
      <c r="N147" s="11" t="s">
        <v>29</v>
      </c>
      <c r="O147" s="11" t="s">
        <v>1121</v>
      </c>
      <c r="P147" s="11" t="s">
        <v>212</v>
      </c>
      <c r="Q147" s="11" t="s">
        <v>1361</v>
      </c>
      <c r="R147" s="34">
        <v>45699</v>
      </c>
      <c r="S147" s="34">
        <v>45705</v>
      </c>
      <c r="T147" s="34">
        <v>45706</v>
      </c>
      <c r="U147" s="34">
        <v>45706</v>
      </c>
      <c r="V147" s="34">
        <v>45706</v>
      </c>
      <c r="W147" s="45">
        <f t="shared" si="22"/>
        <v>4</v>
      </c>
      <c r="X147" s="45">
        <f t="shared" si="23"/>
        <v>1</v>
      </c>
      <c r="Y147" s="45">
        <f t="shared" si="24"/>
        <v>1</v>
      </c>
      <c r="Z147" s="45">
        <f t="shared" si="25"/>
        <v>1</v>
      </c>
      <c r="AA147" s="7" t="s">
        <v>150</v>
      </c>
      <c r="AB147" s="11"/>
      <c r="AC147" s="7" t="s">
        <v>815</v>
      </c>
      <c r="AD147" s="7" t="s">
        <v>69</v>
      </c>
      <c r="AE147" s="82" t="s">
        <v>69</v>
      </c>
      <c r="AF147" s="11" t="s">
        <v>69</v>
      </c>
      <c r="AG147" s="432" t="e">
        <f t="shared" si="26"/>
        <v>#VALUE!</v>
      </c>
      <c r="AH147" s="11" t="s">
        <v>57</v>
      </c>
      <c r="AI147" s="7" t="s">
        <v>1362</v>
      </c>
      <c r="AJ147" s="7" t="s">
        <v>69</v>
      </c>
      <c r="AK147" s="7"/>
      <c r="AL147" s="11"/>
      <c r="AM147" s="11"/>
      <c r="AN147" s="11"/>
      <c r="AO147" s="11"/>
      <c r="AP147" s="11"/>
      <c r="AQ147" s="7"/>
      <c r="AR147" s="11"/>
      <c r="AS147" s="430"/>
    </row>
    <row r="148" spans="1:45" ht="15" customHeight="1">
      <c r="A148" s="7" t="s">
        <v>778</v>
      </c>
      <c r="B148" s="7" t="s">
        <v>1363</v>
      </c>
      <c r="C148" s="7" t="s">
        <v>1364</v>
      </c>
      <c r="D148" s="11" t="s">
        <v>143</v>
      </c>
      <c r="E148" s="75" t="s">
        <v>144</v>
      </c>
      <c r="F148" s="11">
        <v>15.067883330000001</v>
      </c>
      <c r="G148" s="11">
        <v>120.64</v>
      </c>
      <c r="H148" s="11" t="str">
        <f t="shared" si="21"/>
        <v>15.06788333,120.64</v>
      </c>
      <c r="I148" s="11" t="s">
        <v>70</v>
      </c>
      <c r="J148" s="11">
        <v>1</v>
      </c>
      <c r="K148" s="11" t="s">
        <v>1365</v>
      </c>
      <c r="L148" s="11">
        <v>500000</v>
      </c>
      <c r="M148" s="11" t="s">
        <v>73</v>
      </c>
      <c r="N148" s="11" t="s">
        <v>33</v>
      </c>
      <c r="O148" s="11" t="s">
        <v>147</v>
      </c>
      <c r="P148" s="11" t="s">
        <v>148</v>
      </c>
      <c r="Q148" s="11" t="s">
        <v>1366</v>
      </c>
      <c r="R148" s="34">
        <v>45672</v>
      </c>
      <c r="S148" s="34">
        <v>45677</v>
      </c>
      <c r="T148" s="34"/>
      <c r="U148" s="34">
        <v>45681</v>
      </c>
      <c r="V148" s="34">
        <v>45681</v>
      </c>
      <c r="W148" s="45">
        <f t="shared" si="22"/>
        <v>3</v>
      </c>
      <c r="X148" s="45" t="str">
        <f t="shared" si="23"/>
        <v/>
      </c>
      <c r="Y148" s="45">
        <f t="shared" si="24"/>
        <v>4</v>
      </c>
      <c r="Z148" s="45">
        <f t="shared" si="25"/>
        <v>1</v>
      </c>
      <c r="AA148" s="431" t="s">
        <v>150</v>
      </c>
      <c r="AB148" s="11">
        <v>1</v>
      </c>
      <c r="AC148" s="7" t="s">
        <v>1367</v>
      </c>
      <c r="AD148" s="7" t="s">
        <v>1368</v>
      </c>
      <c r="AE148" s="7">
        <v>264</v>
      </c>
      <c r="AF148" s="7"/>
      <c r="AG148" s="432" t="e">
        <f t="shared" si="26"/>
        <v>#DIV/0!</v>
      </c>
      <c r="AH148" s="11" t="s">
        <v>50</v>
      </c>
      <c r="AI148" s="11"/>
      <c r="AJ148" s="7"/>
      <c r="AK148" s="7"/>
      <c r="AL148" s="11"/>
      <c r="AM148" s="11"/>
      <c r="AN148" s="11"/>
      <c r="AO148" s="11"/>
      <c r="AP148" s="11"/>
      <c r="AQ148" s="7"/>
      <c r="AR148" s="11"/>
      <c r="AS148" s="430"/>
    </row>
    <row r="149" spans="1:45" ht="15" customHeight="1">
      <c r="A149" s="7" t="s">
        <v>778</v>
      </c>
      <c r="B149" s="7" t="s">
        <v>1363</v>
      </c>
      <c r="C149" s="7" t="s">
        <v>1369</v>
      </c>
      <c r="D149" s="11" t="s">
        <v>143</v>
      </c>
      <c r="E149" s="75" t="s">
        <v>144</v>
      </c>
      <c r="F149" s="11">
        <v>15.082090000000001</v>
      </c>
      <c r="G149" s="11">
        <v>120.61205</v>
      </c>
      <c r="H149" s="11" t="str">
        <f t="shared" si="21"/>
        <v>15.08209,120.61205</v>
      </c>
      <c r="I149" s="11" t="s">
        <v>72</v>
      </c>
      <c r="J149" s="11"/>
      <c r="K149" s="11" t="s">
        <v>69</v>
      </c>
      <c r="L149" s="11" t="s">
        <v>69</v>
      </c>
      <c r="M149" s="11" t="s">
        <v>73</v>
      </c>
      <c r="N149" s="11" t="s">
        <v>33</v>
      </c>
      <c r="O149" s="11" t="s">
        <v>147</v>
      </c>
      <c r="P149" s="11" t="s">
        <v>148</v>
      </c>
      <c r="Q149" s="11" t="s">
        <v>1370</v>
      </c>
      <c r="R149" s="34">
        <v>45672</v>
      </c>
      <c r="S149" s="34">
        <v>45677</v>
      </c>
      <c r="T149" s="34"/>
      <c r="U149" s="34">
        <v>45677</v>
      </c>
      <c r="V149" s="34">
        <v>45681</v>
      </c>
      <c r="W149" s="45">
        <f t="shared" si="22"/>
        <v>3</v>
      </c>
      <c r="X149" s="45" t="str">
        <f t="shared" si="23"/>
        <v/>
      </c>
      <c r="Y149" s="45">
        <f t="shared" si="24"/>
        <v>1</v>
      </c>
      <c r="Z149" s="45">
        <f t="shared" si="25"/>
        <v>4</v>
      </c>
      <c r="AA149" s="7" t="s">
        <v>150</v>
      </c>
      <c r="AB149" s="11">
        <v>18</v>
      </c>
      <c r="AC149" s="7" t="s">
        <v>1371</v>
      </c>
      <c r="AD149" s="7" t="s">
        <v>1372</v>
      </c>
      <c r="AE149" s="7"/>
      <c r="AF149" s="11"/>
      <c r="AG149" s="432" t="e">
        <f t="shared" si="26"/>
        <v>#DIV/0!</v>
      </c>
      <c r="AH149" s="11" t="s">
        <v>50</v>
      </c>
      <c r="AI149" s="11"/>
      <c r="AJ149" s="7"/>
      <c r="AK149" s="7"/>
      <c r="AL149" s="11"/>
      <c r="AM149" s="11"/>
      <c r="AN149" s="11"/>
      <c r="AO149" s="11"/>
      <c r="AP149" s="11"/>
      <c r="AQ149" s="7"/>
      <c r="AR149" s="11"/>
      <c r="AS149" s="430"/>
    </row>
    <row r="150" spans="1:45" ht="15" customHeight="1">
      <c r="A150" s="7" t="s">
        <v>778</v>
      </c>
      <c r="B150" s="7" t="s">
        <v>1373</v>
      </c>
      <c r="C150" s="7" t="s">
        <v>1374</v>
      </c>
      <c r="D150" s="11" t="s">
        <v>143</v>
      </c>
      <c r="E150" s="75" t="s">
        <v>185</v>
      </c>
      <c r="F150" s="11">
        <v>14.95154</v>
      </c>
      <c r="G150" s="11">
        <v>120.47152</v>
      </c>
      <c r="H150" s="11" t="str">
        <f t="shared" si="21"/>
        <v>14.95154,120.47152</v>
      </c>
      <c r="I150" s="11" t="s">
        <v>70</v>
      </c>
      <c r="J150" s="11">
        <v>2</v>
      </c>
      <c r="K150" s="11" t="s">
        <v>1235</v>
      </c>
      <c r="L150" s="82" t="s">
        <v>1375</v>
      </c>
      <c r="M150" s="11" t="s">
        <v>76</v>
      </c>
      <c r="N150" s="11" t="s">
        <v>33</v>
      </c>
      <c r="O150" s="76"/>
      <c r="P150" s="11" t="s">
        <v>148</v>
      </c>
      <c r="Q150" s="716" t="s">
        <v>1376</v>
      </c>
      <c r="R150" s="34">
        <v>45762</v>
      </c>
      <c r="S150" s="34">
        <v>45763</v>
      </c>
      <c r="T150" s="34">
        <v>45763</v>
      </c>
      <c r="U150" s="34">
        <v>45768</v>
      </c>
      <c r="V150" s="34">
        <v>45769</v>
      </c>
      <c r="W150" s="45">
        <f t="shared" si="22"/>
        <v>1</v>
      </c>
      <c r="X150" s="45">
        <f t="shared" si="23"/>
        <v>1</v>
      </c>
      <c r="Y150" s="45">
        <f t="shared" si="24"/>
        <v>3</v>
      </c>
      <c r="Z150" s="45">
        <f t="shared" si="25"/>
        <v>1</v>
      </c>
      <c r="AA150" s="434" t="s">
        <v>150</v>
      </c>
      <c r="AB150" s="11">
        <v>1</v>
      </c>
      <c r="AC150" s="7" t="s">
        <v>815</v>
      </c>
      <c r="AD150" s="7" t="s">
        <v>1183</v>
      </c>
      <c r="AE150" s="11">
        <v>178</v>
      </c>
      <c r="AF150" s="11">
        <v>250</v>
      </c>
      <c r="AG150" s="432">
        <f t="shared" si="26"/>
        <v>0.71199999999999997</v>
      </c>
      <c r="AH150" s="11" t="s">
        <v>50</v>
      </c>
      <c r="AI150" s="11"/>
      <c r="AJ150" s="7" t="s">
        <v>151</v>
      </c>
      <c r="AK150" s="7"/>
      <c r="AL150" s="11"/>
      <c r="AM150" s="11"/>
      <c r="AN150" s="11"/>
      <c r="AO150" s="11"/>
      <c r="AP150" s="11"/>
      <c r="AQ150" s="7"/>
      <c r="AR150" s="11"/>
      <c r="AS150" s="430"/>
    </row>
    <row r="151" spans="1:45" ht="15" customHeight="1">
      <c r="A151" s="7" t="s">
        <v>778</v>
      </c>
      <c r="B151" s="7" t="s">
        <v>1373</v>
      </c>
      <c r="C151" s="7" t="s">
        <v>1377</v>
      </c>
      <c r="D151" s="11" t="s">
        <v>143</v>
      </c>
      <c r="E151" s="75" t="s">
        <v>185</v>
      </c>
      <c r="F151" s="11">
        <v>14.960470000000001</v>
      </c>
      <c r="G151" s="11">
        <v>120.46104</v>
      </c>
      <c r="H151" s="447" t="s">
        <v>1378</v>
      </c>
      <c r="I151" s="11" t="s">
        <v>72</v>
      </c>
      <c r="J151" s="11"/>
      <c r="K151" s="11" t="s">
        <v>69</v>
      </c>
      <c r="L151" s="11" t="s">
        <v>69</v>
      </c>
      <c r="M151" s="11" t="s">
        <v>76</v>
      </c>
      <c r="N151" s="11" t="s">
        <v>33</v>
      </c>
      <c r="O151" s="11"/>
      <c r="P151" s="11" t="s">
        <v>148</v>
      </c>
      <c r="Q151" s="448" t="s">
        <v>1379</v>
      </c>
      <c r="R151" s="34">
        <v>45762</v>
      </c>
      <c r="S151" s="34">
        <v>45763</v>
      </c>
      <c r="T151" s="34">
        <v>45763</v>
      </c>
      <c r="U151" s="34">
        <v>45768</v>
      </c>
      <c r="V151" s="34">
        <v>45769</v>
      </c>
      <c r="W151" s="45">
        <f t="shared" si="22"/>
        <v>1</v>
      </c>
      <c r="X151" s="45">
        <f t="shared" si="23"/>
        <v>1</v>
      </c>
      <c r="Y151" s="45">
        <f t="shared" si="24"/>
        <v>3</v>
      </c>
      <c r="Z151" s="45">
        <f t="shared" si="25"/>
        <v>1</v>
      </c>
      <c r="AA151" s="11" t="s">
        <v>150</v>
      </c>
      <c r="AB151" s="11">
        <v>30</v>
      </c>
      <c r="AC151" s="7" t="s">
        <v>1380</v>
      </c>
      <c r="AD151" s="7" t="s">
        <v>1183</v>
      </c>
      <c r="AE151" s="11">
        <v>10490</v>
      </c>
      <c r="AF151" s="11">
        <v>52454</v>
      </c>
      <c r="AG151" s="432">
        <f t="shared" si="26"/>
        <v>0.1999847485415793</v>
      </c>
      <c r="AH151" s="11" t="s">
        <v>50</v>
      </c>
      <c r="AI151" s="11"/>
      <c r="AJ151" s="7"/>
      <c r="AK151" s="7"/>
      <c r="AL151" s="11"/>
      <c r="AM151" s="11"/>
      <c r="AN151" s="11"/>
      <c r="AO151" s="11"/>
      <c r="AP151" s="11"/>
      <c r="AQ151" s="7"/>
      <c r="AR151" s="11"/>
      <c r="AS151" s="430"/>
    </row>
    <row r="152" spans="1:45" ht="15" customHeight="1">
      <c r="A152" s="7" t="s">
        <v>778</v>
      </c>
      <c r="B152" s="7" t="s">
        <v>1381</v>
      </c>
      <c r="C152" s="7" t="s">
        <v>1155</v>
      </c>
      <c r="D152" s="11" t="s">
        <v>143</v>
      </c>
      <c r="E152" s="75" t="s">
        <v>185</v>
      </c>
      <c r="F152" s="11">
        <v>14.95635</v>
      </c>
      <c r="G152" s="11">
        <v>120.64061100000001</v>
      </c>
      <c r="H152" s="11" t="str">
        <f t="shared" ref="H152:H161" si="27">CONCATENATE(F152,",",G152)</f>
        <v>14.95635,120.640611</v>
      </c>
      <c r="I152" s="11" t="s">
        <v>70</v>
      </c>
      <c r="J152" s="11">
        <v>1</v>
      </c>
      <c r="K152" s="11">
        <v>2014</v>
      </c>
      <c r="L152" s="117">
        <v>250000</v>
      </c>
      <c r="M152" s="11" t="s">
        <v>75</v>
      </c>
      <c r="N152" s="11" t="s">
        <v>35</v>
      </c>
      <c r="O152" s="76"/>
      <c r="P152" s="11" t="s">
        <v>148</v>
      </c>
      <c r="Q152" s="11" t="s">
        <v>1382</v>
      </c>
      <c r="R152" s="34">
        <v>45729</v>
      </c>
      <c r="S152" s="34">
        <v>45732</v>
      </c>
      <c r="T152" s="468">
        <v>45733</v>
      </c>
      <c r="U152" s="34">
        <v>45733</v>
      </c>
      <c r="V152" s="34">
        <v>45734</v>
      </c>
      <c r="W152" s="45">
        <f t="shared" si="22"/>
        <v>1</v>
      </c>
      <c r="X152" s="45">
        <f t="shared" si="23"/>
        <v>1</v>
      </c>
      <c r="Y152" s="45">
        <f t="shared" si="24"/>
        <v>1</v>
      </c>
      <c r="Z152" s="45">
        <f t="shared" si="25"/>
        <v>1</v>
      </c>
      <c r="AA152" s="431" t="s">
        <v>150</v>
      </c>
      <c r="AB152" s="11">
        <v>31</v>
      </c>
      <c r="AC152" s="7" t="s">
        <v>1356</v>
      </c>
      <c r="AD152" s="7" t="s">
        <v>876</v>
      </c>
      <c r="AE152" s="82">
        <v>10225.209999999999</v>
      </c>
      <c r="AF152" s="682">
        <v>30958.98</v>
      </c>
      <c r="AG152" s="446">
        <f t="shared" si="26"/>
        <v>0.33028252222779947</v>
      </c>
      <c r="AH152" s="11" t="s">
        <v>50</v>
      </c>
      <c r="AI152" s="11"/>
      <c r="AJ152" s="7"/>
      <c r="AK152" s="7"/>
      <c r="AL152" s="11"/>
      <c r="AM152" s="11"/>
      <c r="AN152" s="11"/>
      <c r="AO152" s="11"/>
      <c r="AP152" s="11"/>
      <c r="AQ152" s="7"/>
      <c r="AR152" s="11"/>
      <c r="AS152" s="430"/>
    </row>
    <row r="153" spans="1:45" ht="15" customHeight="1">
      <c r="A153" s="7" t="s">
        <v>778</v>
      </c>
      <c r="B153" s="7" t="s">
        <v>1383</v>
      </c>
      <c r="C153" s="7" t="s">
        <v>1384</v>
      </c>
      <c r="D153" s="11" t="s">
        <v>143</v>
      </c>
      <c r="E153" s="75" t="s">
        <v>185</v>
      </c>
      <c r="F153" s="11">
        <v>14.902004</v>
      </c>
      <c r="G153" s="11">
        <v>120.60343399999999</v>
      </c>
      <c r="H153" s="11" t="str">
        <f t="shared" si="27"/>
        <v>14.902004,120.603434</v>
      </c>
      <c r="I153" s="11" t="s">
        <v>70</v>
      </c>
      <c r="J153" s="11">
        <v>1</v>
      </c>
      <c r="K153" s="11">
        <v>2019</v>
      </c>
      <c r="L153" s="11">
        <v>502714.29</v>
      </c>
      <c r="M153" s="11" t="s">
        <v>79</v>
      </c>
      <c r="N153" s="11" t="s">
        <v>35</v>
      </c>
      <c r="O153" s="11" t="s">
        <v>28</v>
      </c>
      <c r="P153" s="11" t="s">
        <v>148</v>
      </c>
      <c r="Q153" s="11" t="s">
        <v>1385</v>
      </c>
      <c r="R153" s="34">
        <v>45847</v>
      </c>
      <c r="S153" s="34">
        <v>45850</v>
      </c>
      <c r="T153" s="34">
        <v>45854</v>
      </c>
      <c r="U153" s="34">
        <v>45854</v>
      </c>
      <c r="V153" s="34">
        <v>45855</v>
      </c>
      <c r="W153" s="45">
        <f t="shared" si="22"/>
        <v>2</v>
      </c>
      <c r="X153" s="45">
        <f t="shared" si="23"/>
        <v>2</v>
      </c>
      <c r="Y153" s="45">
        <f t="shared" si="24"/>
        <v>1</v>
      </c>
      <c r="Z153" s="45">
        <f t="shared" si="25"/>
        <v>1</v>
      </c>
      <c r="AA153" s="11" t="s">
        <v>150</v>
      </c>
      <c r="AB153" s="11">
        <v>44</v>
      </c>
      <c r="AC153" s="7" t="s">
        <v>1386</v>
      </c>
      <c r="AD153" s="7" t="s">
        <v>916</v>
      </c>
      <c r="AE153" s="11">
        <v>7480</v>
      </c>
      <c r="AF153" s="11">
        <v>69991.149999999994</v>
      </c>
      <c r="AG153" s="432">
        <f t="shared" si="26"/>
        <v>0.1068706543613014</v>
      </c>
      <c r="AH153" s="11" t="s">
        <v>50</v>
      </c>
      <c r="AI153" s="11"/>
      <c r="AJ153" s="7"/>
      <c r="AK153" s="7"/>
      <c r="AL153" s="11"/>
      <c r="AM153" s="11"/>
      <c r="AN153" s="11"/>
      <c r="AO153" s="11"/>
      <c r="AP153" s="11"/>
      <c r="AQ153" s="7"/>
      <c r="AR153" s="11"/>
      <c r="AS153" s="11"/>
    </row>
    <row r="154" spans="1:45" ht="15" customHeight="1">
      <c r="A154" s="7" t="s">
        <v>778</v>
      </c>
      <c r="B154" s="7" t="s">
        <v>1387</v>
      </c>
      <c r="C154" s="7" t="s">
        <v>1388</v>
      </c>
      <c r="D154" s="11" t="s">
        <v>143</v>
      </c>
      <c r="E154" s="9" t="s">
        <v>160</v>
      </c>
      <c r="F154" s="11">
        <v>15.259975000000001</v>
      </c>
      <c r="G154" s="11">
        <v>120.596369</v>
      </c>
      <c r="H154" s="11" t="str">
        <f t="shared" si="27"/>
        <v>15.259975,120.596369</v>
      </c>
      <c r="I154" s="11" t="s">
        <v>70</v>
      </c>
      <c r="J154" s="11">
        <v>1</v>
      </c>
      <c r="K154" s="11">
        <v>2013</v>
      </c>
      <c r="L154" s="11">
        <v>500000</v>
      </c>
      <c r="M154" s="11" t="s">
        <v>77</v>
      </c>
      <c r="N154" s="11" t="s">
        <v>32</v>
      </c>
      <c r="O154" s="76"/>
      <c r="P154" s="11" t="s">
        <v>148</v>
      </c>
      <c r="Q154" s="374" t="s">
        <v>1389</v>
      </c>
      <c r="R154" s="34">
        <v>45793</v>
      </c>
      <c r="S154" s="34">
        <v>45797</v>
      </c>
      <c r="T154" s="34">
        <v>45797</v>
      </c>
      <c r="U154" s="34">
        <v>45797</v>
      </c>
      <c r="V154" s="34">
        <v>45797</v>
      </c>
      <c r="W154" s="45">
        <f t="shared" si="22"/>
        <v>2</v>
      </c>
      <c r="X154" s="45">
        <f t="shared" si="23"/>
        <v>1</v>
      </c>
      <c r="Y154" s="45">
        <f t="shared" si="24"/>
        <v>1</v>
      </c>
      <c r="Z154" s="45">
        <f t="shared" si="25"/>
        <v>1</v>
      </c>
      <c r="AA154" s="434" t="s">
        <v>150</v>
      </c>
      <c r="AB154" s="11">
        <v>27</v>
      </c>
      <c r="AC154" s="7" t="s">
        <v>1390</v>
      </c>
      <c r="AD154" s="7" t="s">
        <v>1391</v>
      </c>
      <c r="AE154" s="117">
        <v>101140</v>
      </c>
      <c r="AF154" s="117">
        <v>116527.45</v>
      </c>
      <c r="AG154" s="432">
        <f t="shared" si="26"/>
        <v>0.86794999804767037</v>
      </c>
      <c r="AH154" s="11" t="s">
        <v>50</v>
      </c>
      <c r="AI154" s="11"/>
      <c r="AJ154" s="7" t="s">
        <v>151</v>
      </c>
      <c r="AK154" s="7"/>
      <c r="AL154" s="11"/>
      <c r="AM154" s="11"/>
      <c r="AN154" s="11"/>
      <c r="AO154" s="11"/>
      <c r="AP154" s="11"/>
      <c r="AQ154" s="7"/>
      <c r="AR154" s="11"/>
      <c r="AS154" s="11"/>
    </row>
    <row r="155" spans="1:45" ht="15" customHeight="1">
      <c r="A155" s="7" t="s">
        <v>778</v>
      </c>
      <c r="B155" s="7" t="s">
        <v>1392</v>
      </c>
      <c r="C155" s="7" t="s">
        <v>1166</v>
      </c>
      <c r="D155" s="11" t="s">
        <v>143</v>
      </c>
      <c r="E155" s="9" t="s">
        <v>233</v>
      </c>
      <c r="F155" s="11">
        <v>14.894500000000001</v>
      </c>
      <c r="G155" s="11">
        <v>120.72499999999999</v>
      </c>
      <c r="H155" s="11" t="str">
        <f t="shared" si="27"/>
        <v>14.8945,120.725</v>
      </c>
      <c r="I155" s="11" t="s">
        <v>72</v>
      </c>
      <c r="J155" s="11"/>
      <c r="K155" s="11" t="s">
        <v>69</v>
      </c>
      <c r="L155" s="11" t="s">
        <v>69</v>
      </c>
      <c r="M155" s="11" t="s">
        <v>83</v>
      </c>
      <c r="N155" s="11" t="s">
        <v>1345</v>
      </c>
      <c r="O155" s="11"/>
      <c r="P155" s="11" t="s">
        <v>148</v>
      </c>
      <c r="Q155" s="11" t="s">
        <v>1393</v>
      </c>
      <c r="R155" s="34">
        <v>45968</v>
      </c>
      <c r="S155" s="34">
        <v>45969</v>
      </c>
      <c r="T155" s="34"/>
      <c r="U155" s="34">
        <v>45978</v>
      </c>
      <c r="V155" s="34">
        <v>45979</v>
      </c>
      <c r="W155" s="45">
        <f t="shared" si="22"/>
        <v>1</v>
      </c>
      <c r="X155" s="45" t="str">
        <f t="shared" si="23"/>
        <v/>
      </c>
      <c r="Y155" s="45">
        <f t="shared" si="24"/>
        <v>5</v>
      </c>
      <c r="Z155" s="45">
        <f t="shared" si="25"/>
        <v>1</v>
      </c>
      <c r="AA155" s="7" t="s">
        <v>150</v>
      </c>
      <c r="AB155" s="11">
        <v>25</v>
      </c>
      <c r="AC155" s="7" t="s">
        <v>1394</v>
      </c>
      <c r="AD155" s="7" t="s">
        <v>838</v>
      </c>
      <c r="AE155" s="717">
        <v>15215.5</v>
      </c>
      <c r="AF155" s="11">
        <v>22194.883999999998</v>
      </c>
      <c r="AG155" s="432" t="e">
        <f>(AF155/#REF!)</f>
        <v>#REF!</v>
      </c>
      <c r="AH155" s="11" t="s">
        <v>50</v>
      </c>
      <c r="AI155" s="11"/>
      <c r="AJ155" s="7"/>
      <c r="AK155" s="7"/>
      <c r="AL155" s="11"/>
      <c r="AM155" s="11"/>
      <c r="AN155" s="11"/>
      <c r="AO155" s="11"/>
      <c r="AP155" s="11"/>
      <c r="AQ155" s="7"/>
      <c r="AR155" s="11"/>
      <c r="AS155" s="11"/>
    </row>
    <row r="156" spans="1:45" ht="15" customHeight="1">
      <c r="A156" s="7" t="s">
        <v>778</v>
      </c>
      <c r="B156" s="7" t="s">
        <v>1395</v>
      </c>
      <c r="C156" s="7" t="s">
        <v>1396</v>
      </c>
      <c r="D156" s="11" t="s">
        <v>143</v>
      </c>
      <c r="E156" s="9" t="s">
        <v>160</v>
      </c>
      <c r="F156" s="11">
        <v>15.2567</v>
      </c>
      <c r="G156" s="11">
        <v>120.63500000000001</v>
      </c>
      <c r="H156" s="11" t="str">
        <f t="shared" si="27"/>
        <v>15.2567,120.635</v>
      </c>
      <c r="I156" s="11" t="s">
        <v>72</v>
      </c>
      <c r="J156" s="11"/>
      <c r="K156" s="11" t="s">
        <v>69</v>
      </c>
      <c r="L156" s="11" t="s">
        <v>69</v>
      </c>
      <c r="M156" s="11" t="s">
        <v>77</v>
      </c>
      <c r="N156" s="11" t="s">
        <v>32</v>
      </c>
      <c r="O156" s="11"/>
      <c r="P156" s="11" t="s">
        <v>148</v>
      </c>
      <c r="Q156" s="363" t="s">
        <v>1397</v>
      </c>
      <c r="R156" s="34">
        <v>45793</v>
      </c>
      <c r="S156" s="34">
        <v>45796</v>
      </c>
      <c r="T156" s="34">
        <v>45796</v>
      </c>
      <c r="U156" s="34">
        <v>45796</v>
      </c>
      <c r="V156" s="34">
        <v>45797</v>
      </c>
      <c r="W156" s="45">
        <f t="shared" si="22"/>
        <v>1</v>
      </c>
      <c r="X156" s="45">
        <f t="shared" si="23"/>
        <v>1</v>
      </c>
      <c r="Y156" s="45">
        <f t="shared" si="24"/>
        <v>1</v>
      </c>
      <c r="Z156" s="45">
        <f t="shared" si="25"/>
        <v>1</v>
      </c>
      <c r="AA156" s="11" t="s">
        <v>150</v>
      </c>
      <c r="AB156" s="11">
        <v>25</v>
      </c>
      <c r="AC156" s="7" t="s">
        <v>1398</v>
      </c>
      <c r="AD156" s="7" t="s">
        <v>1399</v>
      </c>
      <c r="AE156" s="11">
        <v>2700</v>
      </c>
      <c r="AF156" s="11">
        <v>12500</v>
      </c>
      <c r="AG156" s="432">
        <f t="shared" ref="AG156:AG161" si="28">(AE156/AF156)</f>
        <v>0.216</v>
      </c>
      <c r="AH156" s="11" t="s">
        <v>50</v>
      </c>
      <c r="AI156" s="11"/>
      <c r="AJ156" s="7" t="s">
        <v>809</v>
      </c>
      <c r="AK156" s="7"/>
      <c r="AL156" s="11"/>
      <c r="AM156" s="11" t="s">
        <v>56</v>
      </c>
      <c r="AN156" s="11"/>
      <c r="AO156" s="11"/>
      <c r="AP156" s="11"/>
      <c r="AQ156" s="7"/>
      <c r="AR156" s="11"/>
      <c r="AS156" s="11"/>
    </row>
    <row r="157" spans="1:45" ht="15" customHeight="1">
      <c r="A157" s="7" t="s">
        <v>778</v>
      </c>
      <c r="B157" s="7" t="s">
        <v>1400</v>
      </c>
      <c r="C157" s="7" t="s">
        <v>1401</v>
      </c>
      <c r="D157" s="11" t="s">
        <v>143</v>
      </c>
      <c r="E157" s="9" t="s">
        <v>233</v>
      </c>
      <c r="F157" s="11">
        <v>14.8825</v>
      </c>
      <c r="G157" s="11">
        <v>120.711</v>
      </c>
      <c r="H157" s="11" t="str">
        <f t="shared" si="27"/>
        <v>14.8825,120.711</v>
      </c>
      <c r="I157" s="11" t="s">
        <v>72</v>
      </c>
      <c r="J157" s="11"/>
      <c r="K157" s="11" t="s">
        <v>69</v>
      </c>
      <c r="L157" s="11" t="s">
        <v>69</v>
      </c>
      <c r="M157" s="11" t="s">
        <v>78</v>
      </c>
      <c r="N157" s="11" t="s">
        <v>1345</v>
      </c>
      <c r="O157" s="11" t="s">
        <v>28</v>
      </c>
      <c r="P157" s="11" t="s">
        <v>148</v>
      </c>
      <c r="Q157" s="11" t="s">
        <v>1402</v>
      </c>
      <c r="R157" s="34">
        <v>45818</v>
      </c>
      <c r="S157" s="34">
        <v>45824</v>
      </c>
      <c r="T157" s="34">
        <v>45826</v>
      </c>
      <c r="U157" s="34">
        <v>45826</v>
      </c>
      <c r="V157" s="34">
        <v>45826</v>
      </c>
      <c r="W157" s="45">
        <f t="shared" si="22"/>
        <v>4</v>
      </c>
      <c r="X157" s="45">
        <f t="shared" si="23"/>
        <v>2</v>
      </c>
      <c r="Y157" s="45">
        <f t="shared" si="24"/>
        <v>1</v>
      </c>
      <c r="Z157" s="45">
        <f t="shared" si="25"/>
        <v>1</v>
      </c>
      <c r="AA157" s="11" t="s">
        <v>150</v>
      </c>
      <c r="AB157" s="11">
        <v>26</v>
      </c>
      <c r="AC157" s="7" t="s">
        <v>1144</v>
      </c>
      <c r="AD157" s="7" t="s">
        <v>945</v>
      </c>
      <c r="AE157" s="11" t="s">
        <v>679</v>
      </c>
      <c r="AF157" s="449" t="s">
        <v>1403</v>
      </c>
      <c r="AG157" s="432" t="e">
        <f t="shared" si="28"/>
        <v>#VALUE!</v>
      </c>
      <c r="AH157" s="11" t="s">
        <v>50</v>
      </c>
      <c r="AI157" s="11"/>
      <c r="AJ157" s="7" t="s">
        <v>809</v>
      </c>
      <c r="AK157" s="7"/>
      <c r="AL157" s="11"/>
      <c r="AM157" s="11"/>
      <c r="AN157" s="11"/>
      <c r="AO157" s="11"/>
      <c r="AP157" s="11"/>
      <c r="AQ157" s="7"/>
      <c r="AR157" s="11"/>
      <c r="AS157" s="11"/>
    </row>
    <row r="158" spans="1:45" ht="15" customHeight="1">
      <c r="A158" s="7" t="s">
        <v>778</v>
      </c>
      <c r="B158" s="7" t="s">
        <v>1404</v>
      </c>
      <c r="C158" s="7" t="s">
        <v>1405</v>
      </c>
      <c r="D158" s="11" t="s">
        <v>143</v>
      </c>
      <c r="E158" s="9" t="s">
        <v>144</v>
      </c>
      <c r="F158" s="11">
        <v>15.1351</v>
      </c>
      <c r="G158" s="11">
        <v>120.65</v>
      </c>
      <c r="H158" s="11" t="str">
        <f t="shared" si="27"/>
        <v>15.1351,120.65</v>
      </c>
      <c r="I158" s="11" t="s">
        <v>72</v>
      </c>
      <c r="J158" s="11"/>
      <c r="K158" s="11" t="s">
        <v>69</v>
      </c>
      <c r="L158" s="11" t="s">
        <v>69</v>
      </c>
      <c r="M158" s="11" t="s">
        <v>73</v>
      </c>
      <c r="N158" s="11" t="s">
        <v>32</v>
      </c>
      <c r="O158" s="11" t="s">
        <v>147</v>
      </c>
      <c r="P158" s="11" t="s">
        <v>148</v>
      </c>
      <c r="Q158" s="11" t="s">
        <v>1406</v>
      </c>
      <c r="R158" s="34">
        <v>45667</v>
      </c>
      <c r="S158" s="34">
        <v>45677</v>
      </c>
      <c r="T158" s="34">
        <v>45678</v>
      </c>
      <c r="U158" s="34">
        <v>45680</v>
      </c>
      <c r="V158" s="34">
        <v>45681</v>
      </c>
      <c r="W158" s="45">
        <f t="shared" si="22"/>
        <v>6</v>
      </c>
      <c r="X158" s="45">
        <f t="shared" si="23"/>
        <v>1</v>
      </c>
      <c r="Y158" s="45">
        <f t="shared" si="24"/>
        <v>2</v>
      </c>
      <c r="Z158" s="45">
        <f t="shared" si="25"/>
        <v>1</v>
      </c>
      <c r="AA158" s="7" t="s">
        <v>150</v>
      </c>
      <c r="AB158" s="11">
        <v>43</v>
      </c>
      <c r="AC158" s="7" t="s">
        <v>1407</v>
      </c>
      <c r="AD158" s="7" t="s">
        <v>1352</v>
      </c>
      <c r="AE158" s="11">
        <v>846.36</v>
      </c>
      <c r="AF158" s="11" t="s">
        <v>808</v>
      </c>
      <c r="AG158" s="432" t="e">
        <f t="shared" si="28"/>
        <v>#VALUE!</v>
      </c>
      <c r="AH158" s="11" t="s">
        <v>50</v>
      </c>
      <c r="AI158" s="11"/>
      <c r="AJ158" s="7" t="s">
        <v>809</v>
      </c>
      <c r="AK158" s="7" t="s">
        <v>1408</v>
      </c>
      <c r="AL158" s="11" t="s">
        <v>49</v>
      </c>
      <c r="AM158" s="9" t="s">
        <v>1409</v>
      </c>
      <c r="AN158" s="11"/>
      <c r="AO158" s="7" t="s">
        <v>1410</v>
      </c>
      <c r="AP158" s="11"/>
      <c r="AQ158" s="7"/>
      <c r="AR158" s="11"/>
      <c r="AS158" s="430"/>
    </row>
    <row r="159" spans="1:45" ht="15" customHeight="1">
      <c r="A159" s="7" t="s">
        <v>778</v>
      </c>
      <c r="B159" s="7" t="s">
        <v>1411</v>
      </c>
      <c r="C159" s="7" t="s">
        <v>1412</v>
      </c>
      <c r="D159" s="11" t="s">
        <v>143</v>
      </c>
      <c r="E159" s="9" t="s">
        <v>233</v>
      </c>
      <c r="F159" s="11">
        <v>14.9635</v>
      </c>
      <c r="G159" s="11">
        <v>120.663</v>
      </c>
      <c r="H159" s="11" t="str">
        <f t="shared" si="27"/>
        <v>14.9635,120.663</v>
      </c>
      <c r="I159" s="11" t="s">
        <v>72</v>
      </c>
      <c r="J159" s="11"/>
      <c r="K159" s="11" t="s">
        <v>69</v>
      </c>
      <c r="L159" s="11" t="s">
        <v>69</v>
      </c>
      <c r="M159" s="11" t="s">
        <v>80</v>
      </c>
      <c r="N159" s="11" t="s">
        <v>1345</v>
      </c>
      <c r="O159" s="78" t="s">
        <v>28</v>
      </c>
      <c r="P159" s="11" t="s">
        <v>148</v>
      </c>
      <c r="Q159" s="11" t="s">
        <v>1413</v>
      </c>
      <c r="R159" s="34">
        <v>45881</v>
      </c>
      <c r="S159" s="34">
        <v>45882</v>
      </c>
      <c r="T159" s="468"/>
      <c r="U159" s="34">
        <v>45887</v>
      </c>
      <c r="V159" s="34">
        <v>45887</v>
      </c>
      <c r="W159" s="45">
        <f t="shared" si="22"/>
        <v>1</v>
      </c>
      <c r="X159" s="45" t="str">
        <f t="shared" si="23"/>
        <v/>
      </c>
      <c r="Y159" s="45">
        <f t="shared" si="24"/>
        <v>3</v>
      </c>
      <c r="Z159" s="45">
        <f t="shared" si="25"/>
        <v>1</v>
      </c>
      <c r="AA159" s="11" t="s">
        <v>150</v>
      </c>
      <c r="AB159" s="11">
        <v>15</v>
      </c>
      <c r="AC159" s="7" t="s">
        <v>1258</v>
      </c>
      <c r="AD159" s="7" t="s">
        <v>1414</v>
      </c>
      <c r="AE159" s="11">
        <v>25014</v>
      </c>
      <c r="AF159" s="11">
        <v>25020.871999999999</v>
      </c>
      <c r="AG159" s="432">
        <f t="shared" si="28"/>
        <v>0.99972534930037615</v>
      </c>
      <c r="AH159" s="11" t="s">
        <v>50</v>
      </c>
      <c r="AI159" s="11"/>
      <c r="AJ159" s="7"/>
      <c r="AK159" s="7"/>
      <c r="AL159" s="11"/>
      <c r="AM159" s="11"/>
      <c r="AN159" s="11"/>
      <c r="AO159" s="11"/>
      <c r="AP159" s="11"/>
      <c r="AQ159" s="7"/>
      <c r="AR159" s="11"/>
      <c r="AS159" s="11"/>
    </row>
    <row r="160" spans="1:45" ht="15" customHeight="1">
      <c r="A160" s="7" t="s">
        <v>778</v>
      </c>
      <c r="B160" s="7" t="s">
        <v>1415</v>
      </c>
      <c r="C160" s="7" t="s">
        <v>1416</v>
      </c>
      <c r="D160" s="11" t="s">
        <v>143</v>
      </c>
      <c r="E160" s="9" t="s">
        <v>185</v>
      </c>
      <c r="F160" s="11">
        <v>15.067969</v>
      </c>
      <c r="G160" s="11">
        <v>120.571611</v>
      </c>
      <c r="H160" s="11" t="str">
        <f t="shared" si="27"/>
        <v>15.067969,120.571611</v>
      </c>
      <c r="I160" s="11" t="s">
        <v>72</v>
      </c>
      <c r="J160" s="11"/>
      <c r="K160" s="11" t="s">
        <v>69</v>
      </c>
      <c r="L160" s="11" t="s">
        <v>69</v>
      </c>
      <c r="M160" s="11" t="s">
        <v>76</v>
      </c>
      <c r="N160" s="11" t="s">
        <v>33</v>
      </c>
      <c r="O160" s="78" t="s">
        <v>147</v>
      </c>
      <c r="P160" s="11" t="s">
        <v>148</v>
      </c>
      <c r="Q160" s="442" t="s">
        <v>1417</v>
      </c>
      <c r="R160" s="34">
        <v>45758</v>
      </c>
      <c r="S160" s="34">
        <v>45758</v>
      </c>
      <c r="T160" s="34">
        <v>45758</v>
      </c>
      <c r="U160" s="34">
        <v>45768</v>
      </c>
      <c r="V160" s="34">
        <v>45769</v>
      </c>
      <c r="W160" s="45">
        <f t="shared" si="22"/>
        <v>1</v>
      </c>
      <c r="X160" s="45">
        <f t="shared" si="23"/>
        <v>1</v>
      </c>
      <c r="Y160" s="45">
        <f t="shared" si="24"/>
        <v>6</v>
      </c>
      <c r="Z160" s="45">
        <f t="shared" si="25"/>
        <v>1</v>
      </c>
      <c r="AA160" s="11" t="s">
        <v>150</v>
      </c>
      <c r="AB160" s="11">
        <v>29</v>
      </c>
      <c r="AC160" s="7" t="s">
        <v>1418</v>
      </c>
      <c r="AD160" s="7" t="s">
        <v>945</v>
      </c>
      <c r="AE160" s="11">
        <v>57057.3</v>
      </c>
      <c r="AF160" s="82">
        <v>92895.66</v>
      </c>
      <c r="AG160" s="432">
        <f t="shared" si="28"/>
        <v>0.61420845710122518</v>
      </c>
      <c r="AH160" s="11" t="s">
        <v>50</v>
      </c>
      <c r="AI160" s="11"/>
      <c r="AJ160" s="7"/>
      <c r="AK160" s="7"/>
      <c r="AL160" s="11"/>
      <c r="AM160" s="11"/>
      <c r="AN160" s="11"/>
      <c r="AO160" s="11"/>
      <c r="AP160" s="11"/>
      <c r="AQ160" s="7"/>
      <c r="AR160" s="11"/>
      <c r="AS160" s="430"/>
    </row>
    <row r="161" spans="1:45" ht="61.5" customHeight="1">
      <c r="A161" s="7" t="s">
        <v>778</v>
      </c>
      <c r="B161" s="7" t="s">
        <v>992</v>
      </c>
      <c r="C161" s="7" t="s">
        <v>1419</v>
      </c>
      <c r="D161" s="11" t="s">
        <v>143</v>
      </c>
      <c r="E161" s="9" t="s">
        <v>233</v>
      </c>
      <c r="F161" s="11">
        <v>15.046900000000001</v>
      </c>
      <c r="G161" s="11">
        <v>120.785</v>
      </c>
      <c r="H161" s="11" t="str">
        <f t="shared" si="27"/>
        <v>15.0469,120.785</v>
      </c>
      <c r="I161" s="11" t="s">
        <v>72</v>
      </c>
      <c r="J161" s="11"/>
      <c r="K161" s="11" t="s">
        <v>69</v>
      </c>
      <c r="L161" s="11" t="s">
        <v>69</v>
      </c>
      <c r="M161" s="11" t="s">
        <v>81</v>
      </c>
      <c r="N161" s="11" t="s">
        <v>1345</v>
      </c>
      <c r="O161" s="703" t="s">
        <v>28</v>
      </c>
      <c r="P161" s="11" t="s">
        <v>148</v>
      </c>
      <c r="Q161" s="11" t="s">
        <v>1420</v>
      </c>
      <c r="R161" s="34">
        <v>45909</v>
      </c>
      <c r="S161" s="34">
        <v>45917</v>
      </c>
      <c r="T161" s="34">
        <v>45917</v>
      </c>
      <c r="U161" s="34">
        <v>45917</v>
      </c>
      <c r="V161" s="34">
        <v>45918</v>
      </c>
      <c r="W161" s="45">
        <f t="shared" si="22"/>
        <v>6</v>
      </c>
      <c r="X161" s="45">
        <f t="shared" si="23"/>
        <v>1</v>
      </c>
      <c r="Y161" s="45">
        <f t="shared" si="24"/>
        <v>1</v>
      </c>
      <c r="Z161" s="45">
        <f>IF(
    OR(ISBLANK(U161), ISBLANK(V161)),
    "",
    MAX(1, IF(
        NETWORKDAYS(U161, V161) &lt;= 0,
        1,
        NETWORKDAYS(U161, V161) - IF(U161 = V161, 0, 1)
    ))
)</f>
        <v>1</v>
      </c>
      <c r="AA161" s="11" t="s">
        <v>150</v>
      </c>
      <c r="AB161" s="11">
        <v>17</v>
      </c>
      <c r="AC161" s="7" t="s">
        <v>1394</v>
      </c>
      <c r="AD161" s="7" t="s">
        <v>876</v>
      </c>
      <c r="AE161" s="11" t="s">
        <v>1239</v>
      </c>
      <c r="AF161" s="11" t="s">
        <v>1421</v>
      </c>
      <c r="AG161" s="432" t="e">
        <f t="shared" si="28"/>
        <v>#VALUE!</v>
      </c>
      <c r="AH161" s="11" t="s">
        <v>50</v>
      </c>
      <c r="AI161" s="11" t="s">
        <v>1422</v>
      </c>
      <c r="AJ161" s="7" t="s">
        <v>809</v>
      </c>
      <c r="AK161" s="7"/>
      <c r="AL161" s="11"/>
      <c r="AM161" s="11"/>
      <c r="AN161" s="11"/>
      <c r="AO161" s="11"/>
      <c r="AP161" s="11"/>
      <c r="AQ161" s="7"/>
      <c r="AR161" s="11"/>
      <c r="AS161" s="11"/>
    </row>
    <row r="162" spans="1:45" ht="15" customHeight="1">
      <c r="A162" s="7" t="s">
        <v>778</v>
      </c>
      <c r="B162" s="7" t="s">
        <v>1423</v>
      </c>
      <c r="C162" s="7" t="s">
        <v>1424</v>
      </c>
      <c r="D162" s="11" t="s">
        <v>143</v>
      </c>
      <c r="E162" s="9" t="s">
        <v>1425</v>
      </c>
      <c r="F162" s="11">
        <v>14.992000000000001</v>
      </c>
      <c r="G162" s="11">
        <v>120.7593</v>
      </c>
      <c r="H162" s="11" t="s">
        <v>1426</v>
      </c>
      <c r="I162" s="11" t="s">
        <v>72</v>
      </c>
      <c r="J162" s="11"/>
      <c r="K162" s="11"/>
      <c r="L162" s="11"/>
      <c r="M162" s="11" t="s">
        <v>79</v>
      </c>
      <c r="N162" s="11" t="s">
        <v>1345</v>
      </c>
      <c r="O162" s="78" t="s">
        <v>28</v>
      </c>
      <c r="P162" s="11" t="s">
        <v>148</v>
      </c>
      <c r="Q162" s="11" t="s">
        <v>1427</v>
      </c>
      <c r="R162" s="34">
        <v>45855</v>
      </c>
      <c r="S162" s="34">
        <v>45856</v>
      </c>
      <c r="T162" s="34">
        <v>45856</v>
      </c>
      <c r="U162" s="34">
        <v>45856</v>
      </c>
      <c r="V162" s="34">
        <v>45856</v>
      </c>
      <c r="W162" s="45">
        <f t="shared" si="22"/>
        <v>1</v>
      </c>
      <c r="X162" s="45">
        <f t="shared" si="23"/>
        <v>1</v>
      </c>
      <c r="Y162" s="45">
        <f t="shared" si="24"/>
        <v>1</v>
      </c>
      <c r="Z162" s="45">
        <f t="shared" si="25"/>
        <v>1</v>
      </c>
      <c r="AA162" s="11" t="s">
        <v>150</v>
      </c>
      <c r="AB162" s="11">
        <v>14</v>
      </c>
      <c r="AC162" s="7" t="s">
        <v>1394</v>
      </c>
      <c r="AD162" s="7" t="s">
        <v>838</v>
      </c>
      <c r="AE162" s="11" t="s">
        <v>1239</v>
      </c>
      <c r="AF162" s="11" t="s">
        <v>1428</v>
      </c>
      <c r="AG162" s="432"/>
      <c r="AH162" s="11" t="s">
        <v>50</v>
      </c>
      <c r="AI162" s="11"/>
      <c r="AJ162" s="7" t="s">
        <v>809</v>
      </c>
      <c r="AK162" s="7"/>
      <c r="AL162" s="11" t="s">
        <v>56</v>
      </c>
      <c r="AM162" s="11"/>
      <c r="AN162" s="11"/>
      <c r="AO162" s="11"/>
      <c r="AP162" s="11"/>
      <c r="AQ162" s="7"/>
      <c r="AR162" s="11"/>
      <c r="AS162" s="11"/>
    </row>
    <row r="163" spans="1:45" ht="15" customHeight="1">
      <c r="A163" s="7" t="s">
        <v>778</v>
      </c>
      <c r="B163" s="7" t="s">
        <v>1429</v>
      </c>
      <c r="C163" s="7" t="s">
        <v>1430</v>
      </c>
      <c r="D163" s="11" t="s">
        <v>143</v>
      </c>
      <c r="E163" s="9" t="s">
        <v>233</v>
      </c>
      <c r="F163" s="11">
        <v>14.936719</v>
      </c>
      <c r="G163" s="11">
        <v>120.617447</v>
      </c>
      <c r="H163" s="11" t="str">
        <f t="shared" ref="H163:H182" si="29">CONCATENATE(F163,",",G163)</f>
        <v>14.936719,120.617447</v>
      </c>
      <c r="I163" s="11" t="s">
        <v>70</v>
      </c>
      <c r="J163" s="11">
        <v>1</v>
      </c>
      <c r="K163" s="11">
        <v>2019</v>
      </c>
      <c r="L163" s="11">
        <v>502714.29</v>
      </c>
      <c r="M163" s="11" t="s">
        <v>75</v>
      </c>
      <c r="N163" s="11" t="s">
        <v>35</v>
      </c>
      <c r="O163" s="720"/>
      <c r="P163" s="11" t="s">
        <v>148</v>
      </c>
      <c r="Q163" s="11" t="s">
        <v>1431</v>
      </c>
      <c r="R163" s="34">
        <v>45730</v>
      </c>
      <c r="S163" s="34">
        <v>45732</v>
      </c>
      <c r="T163" s="34">
        <v>45732</v>
      </c>
      <c r="U163" s="34">
        <v>45733</v>
      </c>
      <c r="V163" s="34">
        <v>45734</v>
      </c>
      <c r="W163" s="45">
        <f t="shared" si="22"/>
        <v>1</v>
      </c>
      <c r="X163" s="45">
        <f t="shared" si="23"/>
        <v>1</v>
      </c>
      <c r="Y163" s="45">
        <f t="shared" si="24"/>
        <v>1</v>
      </c>
      <c r="Z163" s="45">
        <f t="shared" si="25"/>
        <v>1</v>
      </c>
      <c r="AA163" s="431" t="s">
        <v>150</v>
      </c>
      <c r="AB163" s="11">
        <v>2</v>
      </c>
      <c r="AC163" s="7" t="s">
        <v>1356</v>
      </c>
      <c r="AD163" s="7" t="s">
        <v>1054</v>
      </c>
      <c r="AE163" s="11">
        <v>7592.5</v>
      </c>
      <c r="AF163" s="11">
        <v>9909.8799999999992</v>
      </c>
      <c r="AG163" s="432">
        <f t="shared" ref="AG163:AG182" si="30">(AE163/AF163)</f>
        <v>0.76615458512111156</v>
      </c>
      <c r="AH163" s="11" t="s">
        <v>50</v>
      </c>
      <c r="AI163" s="11"/>
      <c r="AJ163" s="7"/>
      <c r="AK163" s="7"/>
      <c r="AL163" s="11"/>
      <c r="AM163" s="11"/>
      <c r="AN163" s="11"/>
      <c r="AO163" s="11"/>
      <c r="AP163" s="11"/>
      <c r="AQ163" s="7"/>
      <c r="AR163" s="11"/>
      <c r="AS163" s="430"/>
    </row>
    <row r="164" spans="1:45" ht="15" customHeight="1">
      <c r="A164" s="7" t="s">
        <v>778</v>
      </c>
      <c r="B164" s="7" t="s">
        <v>1432</v>
      </c>
      <c r="C164" s="7" t="s">
        <v>1433</v>
      </c>
      <c r="D164" s="11" t="s">
        <v>143</v>
      </c>
      <c r="E164" s="9" t="s">
        <v>185</v>
      </c>
      <c r="F164" s="11">
        <v>15.021699999999999</v>
      </c>
      <c r="G164" s="11">
        <v>120.568</v>
      </c>
      <c r="H164" s="11" t="str">
        <f t="shared" si="29"/>
        <v>15.0217,120.568</v>
      </c>
      <c r="I164" s="11" t="s">
        <v>72</v>
      </c>
      <c r="J164" s="11"/>
      <c r="K164" s="11" t="s">
        <v>69</v>
      </c>
      <c r="L164" s="11" t="s">
        <v>69</v>
      </c>
      <c r="M164" s="11" t="s">
        <v>82</v>
      </c>
      <c r="N164" s="11" t="s">
        <v>1434</v>
      </c>
      <c r="O164" s="78" t="s">
        <v>28</v>
      </c>
      <c r="P164" s="11" t="s">
        <v>148</v>
      </c>
      <c r="Q164" s="11" t="s">
        <v>1435</v>
      </c>
      <c r="R164" s="34">
        <v>45930</v>
      </c>
      <c r="S164" s="34">
        <v>45932</v>
      </c>
      <c r="T164" s="34">
        <v>45934</v>
      </c>
      <c r="U164" s="34">
        <v>45944</v>
      </c>
      <c r="V164" s="34">
        <v>45950</v>
      </c>
      <c r="W164" s="45">
        <f t="shared" si="22"/>
        <v>2</v>
      </c>
      <c r="X164" s="45">
        <f t="shared" si="23"/>
        <v>1</v>
      </c>
      <c r="Y164" s="45">
        <f t="shared" si="24"/>
        <v>6</v>
      </c>
      <c r="Z164" s="45">
        <f t="shared" si="25"/>
        <v>4</v>
      </c>
      <c r="AA164" s="11" t="s">
        <v>150</v>
      </c>
      <c r="AB164" s="11">
        <v>10</v>
      </c>
      <c r="AC164" s="7" t="s">
        <v>925</v>
      </c>
      <c r="AD164" s="7" t="s">
        <v>1436</v>
      </c>
      <c r="AE164" s="78" t="s">
        <v>679</v>
      </c>
      <c r="AF164" s="681">
        <v>15389.2</v>
      </c>
      <c r="AG164" s="432" t="e">
        <f t="shared" si="30"/>
        <v>#VALUE!</v>
      </c>
      <c r="AH164" s="11" t="s">
        <v>50</v>
      </c>
      <c r="AI164" s="7" t="s">
        <v>1437</v>
      </c>
      <c r="AJ164" s="7" t="s">
        <v>809</v>
      </c>
      <c r="AK164" s="7"/>
      <c r="AL164" s="11" t="s">
        <v>49</v>
      </c>
      <c r="AM164" s="11"/>
      <c r="AN164" s="11"/>
      <c r="AO164" s="11"/>
      <c r="AP164" s="11"/>
      <c r="AQ164" s="7"/>
      <c r="AR164" s="11"/>
      <c r="AS164" s="11"/>
    </row>
    <row r="165" spans="1:45" ht="15" customHeight="1">
      <c r="A165" s="7" t="s">
        <v>778</v>
      </c>
      <c r="B165" s="7" t="s">
        <v>1438</v>
      </c>
      <c r="C165" s="7" t="s">
        <v>1439</v>
      </c>
      <c r="D165" s="11" t="s">
        <v>143</v>
      </c>
      <c r="E165" s="9" t="s">
        <v>144</v>
      </c>
      <c r="F165" s="11">
        <v>15.100197</v>
      </c>
      <c r="G165" s="11">
        <v>120.777006</v>
      </c>
      <c r="H165" s="11" t="str">
        <f t="shared" si="29"/>
        <v>15.100197,120.777006</v>
      </c>
      <c r="I165" s="11" t="s">
        <v>70</v>
      </c>
      <c r="J165" s="11">
        <v>1</v>
      </c>
      <c r="K165" s="11">
        <v>2019</v>
      </c>
      <c r="L165" s="82">
        <v>530642.86</v>
      </c>
      <c r="M165" s="11" t="s">
        <v>80</v>
      </c>
      <c r="N165" s="11" t="s">
        <v>32</v>
      </c>
      <c r="O165" s="78" t="s">
        <v>28</v>
      </c>
      <c r="P165" s="11" t="s">
        <v>148</v>
      </c>
      <c r="Q165" s="11" t="s">
        <v>1440</v>
      </c>
      <c r="R165" s="34">
        <v>45877</v>
      </c>
      <c r="S165" s="34">
        <v>45883</v>
      </c>
      <c r="T165" s="34">
        <v>45884</v>
      </c>
      <c r="U165" s="34">
        <v>45887</v>
      </c>
      <c r="V165" s="34">
        <v>45888</v>
      </c>
      <c r="W165" s="45">
        <f t="shared" si="22"/>
        <v>4</v>
      </c>
      <c r="X165" s="45">
        <f t="shared" si="23"/>
        <v>1</v>
      </c>
      <c r="Y165" s="45">
        <f t="shared" si="24"/>
        <v>1</v>
      </c>
      <c r="Z165" s="45">
        <f t="shared" si="25"/>
        <v>1</v>
      </c>
      <c r="AA165" s="11" t="s">
        <v>150</v>
      </c>
      <c r="AB165" s="11">
        <v>43</v>
      </c>
      <c r="AC165" s="7" t="s">
        <v>1258</v>
      </c>
      <c r="AD165" s="7" t="s">
        <v>1414</v>
      </c>
      <c r="AE165" s="505">
        <v>5905</v>
      </c>
      <c r="AF165" s="718">
        <v>21784.1</v>
      </c>
      <c r="AG165" s="432">
        <f t="shared" si="30"/>
        <v>0.27106926611611221</v>
      </c>
      <c r="AH165" s="11" t="s">
        <v>50</v>
      </c>
      <c r="AI165" s="11"/>
      <c r="AJ165" s="7"/>
      <c r="AK165" s="7"/>
      <c r="AL165" s="11"/>
      <c r="AM165" s="11"/>
      <c r="AN165" s="11"/>
      <c r="AO165" s="11"/>
      <c r="AP165" s="11"/>
      <c r="AQ165" s="7"/>
      <c r="AR165" s="11"/>
      <c r="AS165" s="11"/>
    </row>
    <row r="166" spans="1:45">
      <c r="A166" s="7" t="s">
        <v>778</v>
      </c>
      <c r="B166" s="7" t="s">
        <v>1441</v>
      </c>
      <c r="C166" s="7" t="s">
        <v>1166</v>
      </c>
      <c r="D166" s="11" t="s">
        <v>143</v>
      </c>
      <c r="E166" s="9" t="s">
        <v>233</v>
      </c>
      <c r="F166" s="11">
        <v>15.003997</v>
      </c>
      <c r="G166" s="11">
        <v>120.697078</v>
      </c>
      <c r="H166" s="11" t="str">
        <f t="shared" si="29"/>
        <v>15.003997,120.697078</v>
      </c>
      <c r="I166" s="11" t="s">
        <v>70</v>
      </c>
      <c r="J166" s="11">
        <v>1</v>
      </c>
      <c r="K166" s="11">
        <v>2017</v>
      </c>
      <c r="L166" s="11">
        <v>270000</v>
      </c>
      <c r="M166" s="11" t="s">
        <v>73</v>
      </c>
      <c r="N166" s="11" t="s">
        <v>33</v>
      </c>
      <c r="O166" s="78" t="s">
        <v>147</v>
      </c>
      <c r="P166" s="11" t="s">
        <v>148</v>
      </c>
      <c r="Q166" s="11" t="s">
        <v>1442</v>
      </c>
      <c r="R166" s="34">
        <v>45673</v>
      </c>
      <c r="S166" s="34">
        <v>45677</v>
      </c>
      <c r="T166" s="34"/>
      <c r="U166" s="34">
        <v>45681</v>
      </c>
      <c r="V166" s="34">
        <v>45681</v>
      </c>
      <c r="W166" s="45">
        <f t="shared" si="22"/>
        <v>2</v>
      </c>
      <c r="X166" s="45" t="str">
        <f t="shared" si="23"/>
        <v/>
      </c>
      <c r="Y166" s="45">
        <f t="shared" si="24"/>
        <v>4</v>
      </c>
      <c r="Z166" s="45">
        <f t="shared" si="25"/>
        <v>1</v>
      </c>
      <c r="AA166" s="431" t="s">
        <v>150</v>
      </c>
      <c r="AB166" s="11">
        <v>7</v>
      </c>
      <c r="AC166" s="7" t="s">
        <v>1443</v>
      </c>
      <c r="AD166" s="7" t="s">
        <v>1444</v>
      </c>
      <c r="AE166" s="82">
        <v>6196.55</v>
      </c>
      <c r="AF166" s="11">
        <v>9658.52</v>
      </c>
      <c r="AG166" s="432">
        <f t="shared" si="30"/>
        <v>0.6415630966234992</v>
      </c>
      <c r="AH166" s="11" t="s">
        <v>50</v>
      </c>
      <c r="AI166" s="11"/>
      <c r="AJ166" s="7" t="s">
        <v>1219</v>
      </c>
      <c r="AK166" s="7"/>
      <c r="AL166" s="11"/>
      <c r="AM166" s="11"/>
      <c r="AN166" s="11"/>
      <c r="AO166" s="11"/>
      <c r="AP166" s="11"/>
      <c r="AQ166" s="7"/>
      <c r="AR166" s="11"/>
      <c r="AS166" s="430"/>
    </row>
    <row r="167" spans="1:45">
      <c r="A167" s="7" t="s">
        <v>779</v>
      </c>
      <c r="B167" s="7" t="s">
        <v>1445</v>
      </c>
      <c r="C167" s="7" t="s">
        <v>1439</v>
      </c>
      <c r="D167" s="11" t="s">
        <v>143</v>
      </c>
      <c r="E167" s="9" t="s">
        <v>144</v>
      </c>
      <c r="F167" s="11">
        <v>15.272779999999999</v>
      </c>
      <c r="G167" s="11">
        <v>120.56189999999999</v>
      </c>
      <c r="H167" s="11" t="str">
        <f t="shared" si="29"/>
        <v>15.27278,120.5619</v>
      </c>
      <c r="I167" s="11" t="s">
        <v>70</v>
      </c>
      <c r="J167" s="11">
        <v>1</v>
      </c>
      <c r="K167" s="11">
        <v>2019</v>
      </c>
      <c r="L167" s="82">
        <v>530642.86</v>
      </c>
      <c r="M167" s="11" t="s">
        <v>76</v>
      </c>
      <c r="N167" s="11" t="s">
        <v>39</v>
      </c>
      <c r="O167" s="719" t="s">
        <v>163</v>
      </c>
      <c r="P167" s="11" t="s">
        <v>328</v>
      </c>
      <c r="Q167" s="442" t="s">
        <v>1446</v>
      </c>
      <c r="R167" s="34">
        <v>45757</v>
      </c>
      <c r="S167" s="34">
        <v>45761</v>
      </c>
      <c r="T167" s="468">
        <v>45761</v>
      </c>
      <c r="U167" s="34">
        <v>45762</v>
      </c>
      <c r="V167" s="34">
        <v>45762</v>
      </c>
      <c r="W167" s="45">
        <f t="shared" si="22"/>
        <v>2</v>
      </c>
      <c r="X167" s="45">
        <f t="shared" si="23"/>
        <v>1</v>
      </c>
      <c r="Y167" s="45">
        <f t="shared" si="24"/>
        <v>1</v>
      </c>
      <c r="Z167" s="45">
        <f t="shared" si="25"/>
        <v>1</v>
      </c>
      <c r="AA167" s="431" t="s">
        <v>150</v>
      </c>
      <c r="AB167" s="11">
        <v>2</v>
      </c>
      <c r="AC167" s="7" t="s">
        <v>815</v>
      </c>
      <c r="AD167" s="7" t="s">
        <v>945</v>
      </c>
      <c r="AE167" s="78">
        <v>755</v>
      </c>
      <c r="AG167" s="432" t="e">
        <f t="shared" si="30"/>
        <v>#DIV/0!</v>
      </c>
      <c r="AH167" s="11" t="s">
        <v>50</v>
      </c>
      <c r="AI167" s="11"/>
      <c r="AJ167" s="7"/>
      <c r="AK167" s="7"/>
      <c r="AL167" s="11"/>
      <c r="AM167" s="11"/>
      <c r="AN167" s="11"/>
      <c r="AO167" s="11"/>
      <c r="AP167" s="11"/>
      <c r="AQ167" s="7"/>
      <c r="AR167" s="11"/>
      <c r="AS167" s="430"/>
    </row>
    <row r="168" spans="1:45" ht="15" customHeight="1">
      <c r="A168" s="7" t="s">
        <v>779</v>
      </c>
      <c r="B168" s="7" t="s">
        <v>1447</v>
      </c>
      <c r="C168" s="7" t="s">
        <v>1448</v>
      </c>
      <c r="D168" s="11" t="s">
        <v>143</v>
      </c>
      <c r="E168" s="9" t="s">
        <v>144</v>
      </c>
      <c r="F168" s="11">
        <v>15.32042229</v>
      </c>
      <c r="G168" s="11">
        <v>120.5892983</v>
      </c>
      <c r="H168" s="11" t="str">
        <f t="shared" si="29"/>
        <v>15.32042229,120.5892983</v>
      </c>
      <c r="I168" s="11" t="s">
        <v>70</v>
      </c>
      <c r="J168" s="11">
        <v>1</v>
      </c>
      <c r="K168" s="11">
        <v>2019</v>
      </c>
      <c r="L168" s="82">
        <v>502714.29</v>
      </c>
      <c r="M168" s="11" t="s">
        <v>74</v>
      </c>
      <c r="N168" s="11" t="s">
        <v>39</v>
      </c>
      <c r="O168" s="71" t="s">
        <v>163</v>
      </c>
      <c r="P168" s="11" t="s">
        <v>328</v>
      </c>
      <c r="Q168" s="11" t="s">
        <v>1449</v>
      </c>
      <c r="R168" s="34">
        <v>45694</v>
      </c>
      <c r="S168" s="34">
        <v>45698</v>
      </c>
      <c r="T168" s="34">
        <v>45699</v>
      </c>
      <c r="U168" s="34">
        <v>45700</v>
      </c>
      <c r="V168" s="34">
        <v>45701</v>
      </c>
      <c r="W168" s="45">
        <f t="shared" si="22"/>
        <v>2</v>
      </c>
      <c r="X168" s="45">
        <f t="shared" si="23"/>
        <v>1</v>
      </c>
      <c r="Y168" s="45">
        <f t="shared" si="24"/>
        <v>1</v>
      </c>
      <c r="Z168" s="45">
        <f t="shared" si="25"/>
        <v>1</v>
      </c>
      <c r="AA168" s="431" t="s">
        <v>150</v>
      </c>
      <c r="AB168" s="11">
        <v>5</v>
      </c>
      <c r="AC168" s="7" t="s">
        <v>1450</v>
      </c>
      <c r="AD168" s="7" t="s">
        <v>916</v>
      </c>
      <c r="AE168" s="11">
        <v>3180</v>
      </c>
      <c r="AF168" s="11">
        <v>6013</v>
      </c>
      <c r="AG168" s="432">
        <f t="shared" si="30"/>
        <v>0.52885414934308994</v>
      </c>
      <c r="AH168" s="11" t="s">
        <v>50</v>
      </c>
      <c r="AI168" s="11"/>
      <c r="AJ168" s="7"/>
      <c r="AK168" s="7"/>
      <c r="AL168" s="11"/>
      <c r="AM168" s="11"/>
      <c r="AN168" s="11"/>
      <c r="AO168" s="11"/>
      <c r="AP168" s="11"/>
      <c r="AQ168" s="7"/>
      <c r="AR168" s="11"/>
      <c r="AS168" s="430"/>
    </row>
    <row r="169" spans="1:45" ht="15" customHeight="1">
      <c r="A169" s="7" t="s">
        <v>779</v>
      </c>
      <c r="B169" s="7" t="s">
        <v>1185</v>
      </c>
      <c r="C169" s="7" t="s">
        <v>1432</v>
      </c>
      <c r="D169" s="11" t="s">
        <v>143</v>
      </c>
      <c r="E169" s="9" t="s">
        <v>144</v>
      </c>
      <c r="F169" s="11">
        <v>15.3026</v>
      </c>
      <c r="G169" s="11">
        <v>120.652</v>
      </c>
      <c r="H169" s="11" t="str">
        <f t="shared" si="29"/>
        <v>15.3026,120.652</v>
      </c>
      <c r="I169" s="11" t="s">
        <v>72</v>
      </c>
      <c r="J169" s="11"/>
      <c r="K169" s="11" t="s">
        <v>69</v>
      </c>
      <c r="L169" s="11" t="s">
        <v>69</v>
      </c>
      <c r="M169" s="11" t="s">
        <v>75</v>
      </c>
      <c r="N169" s="11" t="s">
        <v>39</v>
      </c>
      <c r="O169" s="11"/>
      <c r="P169" s="71" t="s">
        <v>163</v>
      </c>
      <c r="Q169" s="11" t="s">
        <v>1451</v>
      </c>
      <c r="R169" s="34">
        <v>45720</v>
      </c>
      <c r="S169" s="34">
        <v>45726</v>
      </c>
      <c r="T169" s="34">
        <v>45726</v>
      </c>
      <c r="U169" s="34">
        <v>45726</v>
      </c>
      <c r="V169" s="34">
        <v>45728</v>
      </c>
      <c r="W169" s="45">
        <f t="shared" si="22"/>
        <v>4</v>
      </c>
      <c r="X169" s="45">
        <f t="shared" si="23"/>
        <v>1</v>
      </c>
      <c r="Y169" s="45">
        <f t="shared" si="24"/>
        <v>1</v>
      </c>
      <c r="Z169" s="45">
        <f t="shared" si="25"/>
        <v>2</v>
      </c>
      <c r="AA169" s="7" t="s">
        <v>150</v>
      </c>
      <c r="AB169" s="11">
        <v>45</v>
      </c>
      <c r="AC169" s="7" t="s">
        <v>1452</v>
      </c>
      <c r="AD169" s="7" t="s">
        <v>916</v>
      </c>
      <c r="AE169" s="11"/>
      <c r="AF169" s="11"/>
      <c r="AG169" s="432" t="e">
        <f t="shared" si="30"/>
        <v>#DIV/0!</v>
      </c>
      <c r="AH169" s="11" t="s">
        <v>50</v>
      </c>
      <c r="AI169" s="11"/>
      <c r="AJ169" s="7" t="s">
        <v>1219</v>
      </c>
      <c r="AK169" s="7"/>
      <c r="AL169" s="11"/>
      <c r="AM169" s="11"/>
      <c r="AN169" s="11"/>
      <c r="AO169" s="11"/>
      <c r="AP169" s="11"/>
      <c r="AQ169" s="7"/>
      <c r="AR169" s="11"/>
      <c r="AS169" s="430"/>
    </row>
    <row r="170" spans="1:45" ht="15" customHeight="1">
      <c r="A170" s="316" t="s">
        <v>779</v>
      </c>
      <c r="B170" s="316" t="s">
        <v>1185</v>
      </c>
      <c r="C170" s="7" t="s">
        <v>957</v>
      </c>
      <c r="D170" s="11" t="s">
        <v>143</v>
      </c>
      <c r="E170" s="9" t="s">
        <v>144</v>
      </c>
      <c r="F170" s="11">
        <v>15.302671999999999</v>
      </c>
      <c r="G170" s="11">
        <v>120.652235</v>
      </c>
      <c r="H170" s="11" t="str">
        <f t="shared" si="29"/>
        <v>15.302672,120.652235</v>
      </c>
      <c r="I170" s="11" t="s">
        <v>70</v>
      </c>
      <c r="J170" s="11">
        <v>1</v>
      </c>
      <c r="K170" s="11">
        <v>2019</v>
      </c>
      <c r="L170" s="11">
        <v>502714.29</v>
      </c>
      <c r="M170" s="11" t="s">
        <v>83</v>
      </c>
      <c r="N170" s="11" t="s">
        <v>39</v>
      </c>
      <c r="O170" s="71" t="s">
        <v>1453</v>
      </c>
      <c r="P170" s="11" t="s">
        <v>28</v>
      </c>
      <c r="Q170" s="11" t="s">
        <v>1454</v>
      </c>
      <c r="R170" s="34">
        <v>45966</v>
      </c>
      <c r="S170" s="34">
        <v>45966</v>
      </c>
      <c r="T170" s="34">
        <v>45966</v>
      </c>
      <c r="U170" s="34">
        <v>45966</v>
      </c>
      <c r="V170" s="34">
        <v>45978</v>
      </c>
      <c r="W170" s="45">
        <f t="shared" si="22"/>
        <v>1</v>
      </c>
      <c r="X170" s="45">
        <f t="shared" si="23"/>
        <v>1</v>
      </c>
      <c r="Y170" s="45">
        <f t="shared" si="24"/>
        <v>1</v>
      </c>
      <c r="Z170" s="45">
        <f t="shared" si="25"/>
        <v>8</v>
      </c>
      <c r="AA170" s="11" t="s">
        <v>150</v>
      </c>
      <c r="AB170" s="11">
        <v>45</v>
      </c>
      <c r="AC170" s="7" t="s">
        <v>1455</v>
      </c>
      <c r="AD170" s="7" t="s">
        <v>838</v>
      </c>
      <c r="AE170" s="11" t="s">
        <v>1259</v>
      </c>
      <c r="AF170" s="82">
        <v>89631.13</v>
      </c>
      <c r="AG170" s="432" t="e">
        <f t="shared" si="30"/>
        <v>#VALUE!</v>
      </c>
      <c r="AH170" s="11" t="s">
        <v>50</v>
      </c>
      <c r="AI170" s="11" t="s">
        <v>1456</v>
      </c>
      <c r="AJ170" s="7"/>
      <c r="AK170" s="7"/>
      <c r="AL170" s="11"/>
      <c r="AM170" s="11"/>
      <c r="AN170" s="11"/>
      <c r="AO170" s="11"/>
      <c r="AP170" s="11"/>
      <c r="AQ170" s="7"/>
      <c r="AR170" s="11"/>
      <c r="AS170" s="11"/>
    </row>
    <row r="171" spans="1:45" ht="15" customHeight="1">
      <c r="A171" s="7" t="s">
        <v>779</v>
      </c>
      <c r="B171" s="7" t="s">
        <v>1457</v>
      </c>
      <c r="C171" s="7" t="s">
        <v>1458</v>
      </c>
      <c r="D171" s="11" t="s">
        <v>143</v>
      </c>
      <c r="E171" s="9" t="s">
        <v>144</v>
      </c>
      <c r="F171" s="11">
        <v>15.42272</v>
      </c>
      <c r="G171" s="11">
        <v>120.708189</v>
      </c>
      <c r="H171" s="11" t="str">
        <f t="shared" si="29"/>
        <v>15.42272,120.708189</v>
      </c>
      <c r="I171" s="11" t="s">
        <v>70</v>
      </c>
      <c r="J171" s="11">
        <v>1</v>
      </c>
      <c r="K171" s="11">
        <v>2019</v>
      </c>
      <c r="L171" s="82">
        <v>502714.29</v>
      </c>
      <c r="M171" s="11" t="s">
        <v>81</v>
      </c>
      <c r="N171" s="11" t="s">
        <v>39</v>
      </c>
      <c r="O171" s="71"/>
      <c r="P171" s="11" t="s">
        <v>328</v>
      </c>
      <c r="Q171" s="11" t="s">
        <v>1459</v>
      </c>
      <c r="R171" s="34">
        <v>45910</v>
      </c>
      <c r="S171" s="34">
        <v>45915</v>
      </c>
      <c r="T171" s="34"/>
      <c r="U171" s="34">
        <v>45917</v>
      </c>
      <c r="V171" s="34">
        <v>45919</v>
      </c>
      <c r="W171" s="45">
        <f t="shared" si="22"/>
        <v>3</v>
      </c>
      <c r="X171" s="45" t="str">
        <f t="shared" si="23"/>
        <v/>
      </c>
      <c r="Y171" s="45">
        <f t="shared" si="24"/>
        <v>2</v>
      </c>
      <c r="Z171" s="45">
        <f t="shared" si="25"/>
        <v>2</v>
      </c>
      <c r="AA171" s="11" t="s">
        <v>150</v>
      </c>
      <c r="AB171" s="11">
        <v>18</v>
      </c>
      <c r="AC171" s="7" t="s">
        <v>1460</v>
      </c>
      <c r="AD171" s="7" t="s">
        <v>876</v>
      </c>
      <c r="AE171" s="11">
        <v>432</v>
      </c>
      <c r="AF171" s="11">
        <v>80.97</v>
      </c>
      <c r="AG171" s="432">
        <f t="shared" si="30"/>
        <v>5.335309373842164</v>
      </c>
      <c r="AH171" s="11" t="s">
        <v>50</v>
      </c>
      <c r="AI171" s="11"/>
      <c r="AJ171" s="7"/>
      <c r="AK171" s="7"/>
      <c r="AL171" s="11"/>
      <c r="AM171" s="11"/>
      <c r="AN171" s="11"/>
      <c r="AO171" s="11"/>
      <c r="AP171" s="11"/>
      <c r="AQ171" s="7"/>
      <c r="AR171" s="11"/>
      <c r="AS171" s="11"/>
    </row>
    <row r="172" spans="1:45" ht="30" customHeight="1">
      <c r="A172" s="4" t="s">
        <v>779</v>
      </c>
      <c r="B172" s="4" t="s">
        <v>1461</v>
      </c>
      <c r="C172" s="4" t="s">
        <v>1462</v>
      </c>
      <c r="D172" s="9" t="s">
        <v>143</v>
      </c>
      <c r="E172" s="9" t="s">
        <v>185</v>
      </c>
      <c r="F172" s="9">
        <v>15.487158000000001</v>
      </c>
      <c r="G172" s="9">
        <v>120.571386</v>
      </c>
      <c r="H172" s="9" t="str">
        <f t="shared" si="29"/>
        <v>15.487158,120.571386</v>
      </c>
      <c r="I172" s="9" t="s">
        <v>70</v>
      </c>
      <c r="J172" s="9">
        <v>1</v>
      </c>
      <c r="K172" s="9">
        <v>2019</v>
      </c>
      <c r="L172" s="580">
        <v>502714.29</v>
      </c>
      <c r="M172" s="9" t="s">
        <v>80</v>
      </c>
      <c r="N172" s="9" t="s">
        <v>37</v>
      </c>
      <c r="O172" s="71"/>
      <c r="P172" s="9" t="s">
        <v>328</v>
      </c>
      <c r="Q172" s="9" t="s">
        <v>1463</v>
      </c>
      <c r="R172" s="574">
        <v>45877</v>
      </c>
      <c r="S172" s="574">
        <v>45880</v>
      </c>
      <c r="T172" s="574"/>
      <c r="U172" s="574">
        <v>45882</v>
      </c>
      <c r="V172" s="574">
        <v>45882</v>
      </c>
      <c r="W172" s="45">
        <f t="shared" si="22"/>
        <v>1</v>
      </c>
      <c r="X172" s="45" t="str">
        <f t="shared" si="23"/>
        <v/>
      </c>
      <c r="Y172" s="45">
        <f t="shared" si="24"/>
        <v>2</v>
      </c>
      <c r="Z172" s="45">
        <f t="shared" si="25"/>
        <v>1</v>
      </c>
      <c r="AA172" s="9" t="s">
        <v>150</v>
      </c>
      <c r="AB172" s="9"/>
      <c r="AC172" s="4"/>
      <c r="AD172" s="4"/>
      <c r="AE172" s="9"/>
      <c r="AF172" s="9"/>
      <c r="AG172" s="577" t="e">
        <f t="shared" si="30"/>
        <v>#DIV/0!</v>
      </c>
      <c r="AH172" s="9" t="s">
        <v>57</v>
      </c>
      <c r="AI172" s="4" t="s">
        <v>1464</v>
      </c>
      <c r="AJ172" s="4"/>
      <c r="AK172" s="4"/>
      <c r="AL172" s="9"/>
      <c r="AM172" s="9"/>
      <c r="AN172" s="9"/>
      <c r="AO172" s="9"/>
      <c r="AP172" s="9"/>
      <c r="AQ172" s="4"/>
      <c r="AR172" s="9"/>
      <c r="AS172" s="9"/>
    </row>
    <row r="173" spans="1:45" ht="42.75" customHeight="1">
      <c r="A173" s="7" t="s">
        <v>779</v>
      </c>
      <c r="B173" s="7" t="s">
        <v>1465</v>
      </c>
      <c r="C173" s="7" t="s">
        <v>1466</v>
      </c>
      <c r="D173" s="11" t="s">
        <v>159</v>
      </c>
      <c r="E173" s="9" t="s">
        <v>160</v>
      </c>
      <c r="F173" s="11">
        <v>15.706099999999999</v>
      </c>
      <c r="G173" s="11">
        <v>120.629</v>
      </c>
      <c r="H173" s="11" t="str">
        <f t="shared" si="29"/>
        <v>15.7061,120.629</v>
      </c>
      <c r="I173" s="11" t="s">
        <v>72</v>
      </c>
      <c r="J173" s="11"/>
      <c r="K173" s="11" t="s">
        <v>69</v>
      </c>
      <c r="L173" s="11" t="s">
        <v>69</v>
      </c>
      <c r="M173" s="11" t="s">
        <v>79</v>
      </c>
      <c r="N173" s="11" t="s">
        <v>38</v>
      </c>
      <c r="O173" s="11"/>
      <c r="P173" s="71"/>
      <c r="Q173" s="7" t="s">
        <v>1467</v>
      </c>
      <c r="R173" s="34">
        <v>45856</v>
      </c>
      <c r="S173" s="34">
        <v>45856</v>
      </c>
      <c r="T173" s="34"/>
      <c r="U173" s="34">
        <v>45856</v>
      </c>
      <c r="V173" s="34">
        <v>45856</v>
      </c>
      <c r="W173" s="45">
        <f t="shared" si="22"/>
        <v>1</v>
      </c>
      <c r="X173" s="45" t="str">
        <f t="shared" si="23"/>
        <v/>
      </c>
      <c r="Y173" s="45">
        <f t="shared" si="24"/>
        <v>1</v>
      </c>
      <c r="Z173" s="45">
        <f t="shared" si="25"/>
        <v>1</v>
      </c>
      <c r="AA173" s="11" t="s">
        <v>150</v>
      </c>
      <c r="AB173" s="11">
        <v>18</v>
      </c>
      <c r="AC173" s="7" t="s">
        <v>1468</v>
      </c>
      <c r="AD173" s="7" t="s">
        <v>1195</v>
      </c>
      <c r="AE173" s="11" t="s">
        <v>1239</v>
      </c>
      <c r="AF173" s="11"/>
      <c r="AG173" s="432" t="e">
        <f t="shared" si="30"/>
        <v>#VALUE!</v>
      </c>
      <c r="AH173" s="11" t="s">
        <v>50</v>
      </c>
      <c r="AI173" s="11"/>
      <c r="AJ173" s="7"/>
      <c r="AK173" s="7"/>
      <c r="AL173" s="11"/>
      <c r="AM173" s="11"/>
      <c r="AN173" s="11"/>
      <c r="AO173" s="11"/>
      <c r="AP173" s="11"/>
      <c r="AQ173" s="7"/>
      <c r="AR173" s="11"/>
      <c r="AS173" s="11"/>
    </row>
    <row r="174" spans="1:45">
      <c r="A174" s="7" t="s">
        <v>779</v>
      </c>
      <c r="B174" s="7" t="s">
        <v>1469</v>
      </c>
      <c r="C174" s="7" t="s">
        <v>1470</v>
      </c>
      <c r="D174" s="11" t="s">
        <v>159</v>
      </c>
      <c r="E174" s="9" t="s">
        <v>160</v>
      </c>
      <c r="F174" s="11">
        <v>15.629300000000001</v>
      </c>
      <c r="G174" s="11">
        <v>120.35299999999999</v>
      </c>
      <c r="H174" s="11" t="str">
        <f t="shared" si="29"/>
        <v>15.6293,120.353</v>
      </c>
      <c r="I174" s="11" t="s">
        <v>72</v>
      </c>
      <c r="J174" s="11"/>
      <c r="K174" s="11" t="s">
        <v>69</v>
      </c>
      <c r="L174" s="11" t="s">
        <v>69</v>
      </c>
      <c r="M174" s="11" t="s">
        <v>74</v>
      </c>
      <c r="N174" s="11" t="s">
        <v>38</v>
      </c>
      <c r="O174" s="11"/>
      <c r="P174" s="71" t="s">
        <v>163</v>
      </c>
      <c r="Q174" s="11" t="s">
        <v>1471</v>
      </c>
      <c r="R174" s="34">
        <v>45706</v>
      </c>
      <c r="S174" s="34">
        <v>45706</v>
      </c>
      <c r="T174" s="34">
        <v>45706</v>
      </c>
      <c r="U174" s="34">
        <v>45706</v>
      </c>
      <c r="V174" s="34">
        <v>45707</v>
      </c>
      <c r="W174" s="45">
        <f t="shared" si="22"/>
        <v>1</v>
      </c>
      <c r="X174" s="45">
        <f t="shared" si="23"/>
        <v>1</v>
      </c>
      <c r="Y174" s="45">
        <f t="shared" si="24"/>
        <v>1</v>
      </c>
      <c r="Z174" s="45">
        <f t="shared" si="25"/>
        <v>1</v>
      </c>
      <c r="AA174" s="7" t="s">
        <v>150</v>
      </c>
      <c r="AB174" s="11"/>
      <c r="AC174" s="316" t="s">
        <v>1472</v>
      </c>
      <c r="AD174" s="7" t="s">
        <v>1473</v>
      </c>
      <c r="AE174" s="316" t="s">
        <v>69</v>
      </c>
      <c r="AF174" s="316" t="s">
        <v>69</v>
      </c>
      <c r="AG174" s="432" t="e">
        <f t="shared" si="30"/>
        <v>#VALUE!</v>
      </c>
      <c r="AH174" s="11" t="s">
        <v>50</v>
      </c>
      <c r="AI174" s="11"/>
      <c r="AJ174" s="7"/>
      <c r="AK174" s="7"/>
      <c r="AL174" s="11"/>
      <c r="AM174" s="11"/>
      <c r="AN174" s="11"/>
      <c r="AO174" s="11"/>
      <c r="AP174" s="11"/>
      <c r="AQ174" s="7"/>
      <c r="AR174" s="11"/>
      <c r="AS174" s="430"/>
    </row>
    <row r="175" spans="1:45" ht="45">
      <c r="A175" s="7" t="s">
        <v>779</v>
      </c>
      <c r="B175" s="7" t="s">
        <v>1474</v>
      </c>
      <c r="C175" s="7" t="s">
        <v>1475</v>
      </c>
      <c r="D175" s="11" t="s">
        <v>143</v>
      </c>
      <c r="E175" s="9" t="s">
        <v>185</v>
      </c>
      <c r="F175" s="11">
        <v>15.619199999999999</v>
      </c>
      <c r="G175" s="11">
        <v>120.6841</v>
      </c>
      <c r="H175" s="11" t="str">
        <f t="shared" si="29"/>
        <v>15.6192,120.6841</v>
      </c>
      <c r="I175" s="11" t="s">
        <v>70</v>
      </c>
      <c r="J175" s="11">
        <v>2</v>
      </c>
      <c r="K175" s="11" t="s">
        <v>1235</v>
      </c>
      <c r="L175" s="82" t="s">
        <v>1476</v>
      </c>
      <c r="M175" s="11" t="s">
        <v>82</v>
      </c>
      <c r="N175" s="11" t="s">
        <v>37</v>
      </c>
      <c r="O175" s="11"/>
      <c r="P175" s="11" t="s">
        <v>28</v>
      </c>
      <c r="Q175" s="11" t="s">
        <v>1477</v>
      </c>
      <c r="R175" s="34">
        <v>45940</v>
      </c>
      <c r="S175" s="34">
        <v>45942</v>
      </c>
      <c r="T175" s="11"/>
      <c r="U175" s="34">
        <v>45944</v>
      </c>
      <c r="V175" s="34">
        <v>45944</v>
      </c>
      <c r="W175" s="45">
        <f t="shared" si="22"/>
        <v>1</v>
      </c>
      <c r="X175" s="45" t="str">
        <f t="shared" si="23"/>
        <v/>
      </c>
      <c r="Y175" s="45">
        <f t="shared" si="24"/>
        <v>1</v>
      </c>
      <c r="Z175" s="45">
        <f t="shared" si="25"/>
        <v>1</v>
      </c>
      <c r="AA175" s="9" t="s">
        <v>150</v>
      </c>
      <c r="AB175" s="11">
        <v>26</v>
      </c>
      <c r="AC175" s="7" t="s">
        <v>1478</v>
      </c>
      <c r="AD175" s="7" t="s">
        <v>1479</v>
      </c>
      <c r="AE175" s="11" t="s">
        <v>1239</v>
      </c>
      <c r="AF175" s="11" t="s">
        <v>1239</v>
      </c>
      <c r="AG175" s="432" t="e">
        <f t="shared" si="30"/>
        <v>#VALUE!</v>
      </c>
      <c r="AH175" s="11" t="s">
        <v>50</v>
      </c>
      <c r="AI175" s="11"/>
      <c r="AJ175" s="7"/>
      <c r="AK175" s="7"/>
      <c r="AL175" s="11"/>
      <c r="AM175" s="11"/>
      <c r="AN175" s="11"/>
      <c r="AO175" s="11"/>
      <c r="AP175" s="11"/>
      <c r="AQ175" s="7"/>
      <c r="AR175" s="11"/>
      <c r="AS175" s="11"/>
    </row>
    <row r="176" spans="1:45" ht="75">
      <c r="A176" s="7" t="s">
        <v>779</v>
      </c>
      <c r="B176" s="7" t="s">
        <v>1480</v>
      </c>
      <c r="C176" s="7" t="s">
        <v>1481</v>
      </c>
      <c r="D176" s="11" t="s">
        <v>159</v>
      </c>
      <c r="E176" s="9" t="s">
        <v>185</v>
      </c>
      <c r="F176" s="11">
        <v>15.5982</v>
      </c>
      <c r="G176" s="11">
        <v>120.556</v>
      </c>
      <c r="H176" s="11" t="str">
        <f t="shared" si="29"/>
        <v>15.5982,120.556</v>
      </c>
      <c r="I176" s="11" t="s">
        <v>72</v>
      </c>
      <c r="J176" s="11"/>
      <c r="K176" s="11" t="s">
        <v>69</v>
      </c>
      <c r="L176" s="11" t="s">
        <v>69</v>
      </c>
      <c r="M176" s="11" t="s">
        <v>77</v>
      </c>
      <c r="N176" s="11" t="s">
        <v>37</v>
      </c>
      <c r="O176" s="11"/>
      <c r="P176" s="71"/>
      <c r="Q176" s="11" t="s">
        <v>1482</v>
      </c>
      <c r="R176" s="34">
        <v>45793</v>
      </c>
      <c r="S176" s="34">
        <v>45796</v>
      </c>
      <c r="T176" s="34">
        <v>45796</v>
      </c>
      <c r="U176" s="34">
        <v>45796</v>
      </c>
      <c r="V176" s="34">
        <v>45797</v>
      </c>
      <c r="W176" s="45">
        <f t="shared" si="22"/>
        <v>1</v>
      </c>
      <c r="X176" s="45">
        <f t="shared" si="23"/>
        <v>1</v>
      </c>
      <c r="Y176" s="45">
        <f t="shared" si="24"/>
        <v>1</v>
      </c>
      <c r="Z176" s="45">
        <f t="shared" si="25"/>
        <v>1</v>
      </c>
      <c r="AA176" s="11" t="s">
        <v>150</v>
      </c>
      <c r="AB176" s="11">
        <v>44</v>
      </c>
      <c r="AC176" s="7" t="s">
        <v>1483</v>
      </c>
      <c r="AD176" s="7" t="s">
        <v>1159</v>
      </c>
      <c r="AE176" s="11" t="s">
        <v>69</v>
      </c>
      <c r="AF176" s="11" t="s">
        <v>69</v>
      </c>
      <c r="AG176" s="432" t="e">
        <f t="shared" si="30"/>
        <v>#VALUE!</v>
      </c>
      <c r="AH176" s="11" t="s">
        <v>50</v>
      </c>
      <c r="AI176" s="7" t="s">
        <v>1484</v>
      </c>
      <c r="AJ176" s="7" t="s">
        <v>809</v>
      </c>
      <c r="AK176" s="7"/>
      <c r="AL176" s="11"/>
      <c r="AM176" s="11"/>
      <c r="AN176" s="11"/>
      <c r="AO176" s="11"/>
      <c r="AP176" s="11"/>
      <c r="AQ176" s="7"/>
      <c r="AR176" s="11"/>
      <c r="AS176" s="11"/>
    </row>
    <row r="177" spans="1:45" ht="30">
      <c r="A177" s="7" t="s">
        <v>779</v>
      </c>
      <c r="B177" s="7" t="s">
        <v>1485</v>
      </c>
      <c r="C177" s="7" t="s">
        <v>1486</v>
      </c>
      <c r="D177" s="11" t="s">
        <v>159</v>
      </c>
      <c r="E177" s="9" t="s">
        <v>160</v>
      </c>
      <c r="F177" s="11">
        <v>15.6258</v>
      </c>
      <c r="G177" s="11">
        <v>120.378</v>
      </c>
      <c r="H177" s="11" t="str">
        <f t="shared" si="29"/>
        <v>15.6258,120.378</v>
      </c>
      <c r="I177" s="11" t="s">
        <v>72</v>
      </c>
      <c r="J177" s="11"/>
      <c r="K177" s="11" t="s">
        <v>69</v>
      </c>
      <c r="L177" s="11" t="s">
        <v>69</v>
      </c>
      <c r="M177" s="11" t="s">
        <v>74</v>
      </c>
      <c r="N177" s="11" t="s">
        <v>38</v>
      </c>
      <c r="O177" s="11"/>
      <c r="P177" s="71" t="s">
        <v>163</v>
      </c>
      <c r="Q177" s="11" t="s">
        <v>1487</v>
      </c>
      <c r="R177" s="34">
        <v>45706</v>
      </c>
      <c r="S177" s="34">
        <v>45706</v>
      </c>
      <c r="T177" s="34"/>
      <c r="U177" s="34">
        <v>45706</v>
      </c>
      <c r="V177" s="34">
        <v>45706</v>
      </c>
      <c r="W177" s="45">
        <f t="shared" si="22"/>
        <v>1</v>
      </c>
      <c r="X177" s="45" t="str">
        <f t="shared" si="23"/>
        <v/>
      </c>
      <c r="Y177" s="45">
        <f t="shared" si="24"/>
        <v>1</v>
      </c>
      <c r="Z177" s="45">
        <f t="shared" si="25"/>
        <v>1</v>
      </c>
      <c r="AA177" s="7" t="s">
        <v>150</v>
      </c>
      <c r="AB177" s="103"/>
      <c r="AC177" s="7" t="s">
        <v>1488</v>
      </c>
      <c r="AD177" s="7" t="s">
        <v>1399</v>
      </c>
      <c r="AE177" s="316" t="s">
        <v>69</v>
      </c>
      <c r="AF177" s="316" t="s">
        <v>69</v>
      </c>
      <c r="AG177" s="432" t="e">
        <f t="shared" si="30"/>
        <v>#VALUE!</v>
      </c>
      <c r="AH177" s="11" t="s">
        <v>50</v>
      </c>
      <c r="AI177" s="11"/>
      <c r="AJ177" s="7"/>
      <c r="AK177" s="7"/>
      <c r="AL177" s="11"/>
      <c r="AM177" s="11"/>
      <c r="AN177" s="11"/>
      <c r="AO177" s="11"/>
      <c r="AP177" s="11"/>
      <c r="AQ177" s="7"/>
      <c r="AR177" s="11"/>
      <c r="AS177" s="430"/>
    </row>
    <row r="178" spans="1:45" ht="60">
      <c r="A178" s="7" t="s">
        <v>779</v>
      </c>
      <c r="B178" s="7" t="s">
        <v>1489</v>
      </c>
      <c r="C178" s="7" t="s">
        <v>1490</v>
      </c>
      <c r="D178" s="11" t="s">
        <v>159</v>
      </c>
      <c r="E178" s="9" t="s">
        <v>160</v>
      </c>
      <c r="F178" s="11">
        <v>15.7326</v>
      </c>
      <c r="G178" s="11">
        <v>120.584</v>
      </c>
      <c r="H178" s="11" t="str">
        <f t="shared" si="29"/>
        <v>15.7326,120.584</v>
      </c>
      <c r="I178" s="11" t="s">
        <v>72</v>
      </c>
      <c r="J178" s="11"/>
      <c r="K178" s="11" t="s">
        <v>69</v>
      </c>
      <c r="L178" s="11" t="s">
        <v>69</v>
      </c>
      <c r="M178" s="11" t="s">
        <v>81</v>
      </c>
      <c r="N178" s="11" t="s">
        <v>37</v>
      </c>
      <c r="O178" s="11"/>
      <c r="P178" s="9" t="s">
        <v>328</v>
      </c>
      <c r="Q178" s="11" t="s">
        <v>1491</v>
      </c>
      <c r="R178" s="34">
        <v>45917</v>
      </c>
      <c r="S178" s="34">
        <v>45918</v>
      </c>
      <c r="T178" s="34"/>
      <c r="U178" s="34">
        <v>45918</v>
      </c>
      <c r="V178" s="34">
        <v>45918</v>
      </c>
      <c r="W178" s="45">
        <f t="shared" si="22"/>
        <v>1</v>
      </c>
      <c r="X178" s="45" t="str">
        <f t="shared" si="23"/>
        <v/>
      </c>
      <c r="Y178" s="45">
        <f t="shared" si="24"/>
        <v>1</v>
      </c>
      <c r="Z178" s="45">
        <f t="shared" si="25"/>
        <v>1</v>
      </c>
      <c r="AA178" s="11" t="s">
        <v>150</v>
      </c>
      <c r="AB178" s="11">
        <v>37</v>
      </c>
      <c r="AC178" s="7" t="s">
        <v>1492</v>
      </c>
      <c r="AD178" s="7" t="s">
        <v>1251</v>
      </c>
      <c r="AE178" s="11">
        <v>653.53</v>
      </c>
      <c r="AF178" s="11">
        <v>703.34</v>
      </c>
      <c r="AG178" s="432">
        <f t="shared" si="30"/>
        <v>0.92918076605908939</v>
      </c>
      <c r="AH178" s="11" t="s">
        <v>50</v>
      </c>
      <c r="AI178" s="11"/>
      <c r="AJ178" s="7" t="s">
        <v>151</v>
      </c>
      <c r="AK178" s="7"/>
      <c r="AL178" s="11"/>
      <c r="AM178" s="11"/>
      <c r="AN178" s="11"/>
      <c r="AO178" s="11"/>
      <c r="AP178" s="11"/>
      <c r="AQ178" s="7"/>
      <c r="AR178" s="11"/>
      <c r="AS178" s="11"/>
    </row>
    <row r="179" spans="1:45" ht="45">
      <c r="A179" s="7" t="s">
        <v>779</v>
      </c>
      <c r="B179" s="7" t="s">
        <v>1493</v>
      </c>
      <c r="C179" s="7" t="s">
        <v>1494</v>
      </c>
      <c r="D179" s="11" t="s">
        <v>159</v>
      </c>
      <c r="E179" s="9" t="s">
        <v>160</v>
      </c>
      <c r="F179" s="11">
        <v>15.6434</v>
      </c>
      <c r="G179" s="11">
        <v>120.56100000000001</v>
      </c>
      <c r="H179" s="11" t="str">
        <f t="shared" si="29"/>
        <v>15.6434,120.561</v>
      </c>
      <c r="I179" s="11" t="s">
        <v>72</v>
      </c>
      <c r="J179" s="11"/>
      <c r="K179" s="11" t="s">
        <v>69</v>
      </c>
      <c r="L179" s="11" t="s">
        <v>69</v>
      </c>
      <c r="M179" s="11" t="s">
        <v>78</v>
      </c>
      <c r="N179" s="11" t="s">
        <v>37</v>
      </c>
      <c r="O179" s="11"/>
      <c r="P179" s="71"/>
      <c r="Q179" s="11" t="s">
        <v>1495</v>
      </c>
      <c r="R179" s="34">
        <v>45825</v>
      </c>
      <c r="S179" s="34">
        <v>45826</v>
      </c>
      <c r="T179" s="34"/>
      <c r="U179" s="34">
        <v>45827</v>
      </c>
      <c r="V179" s="34">
        <v>45827</v>
      </c>
      <c r="W179" s="45">
        <f t="shared" si="22"/>
        <v>1</v>
      </c>
      <c r="X179" s="45" t="str">
        <f t="shared" si="23"/>
        <v/>
      </c>
      <c r="Y179" s="45">
        <f t="shared" si="24"/>
        <v>1</v>
      </c>
      <c r="Z179" s="45">
        <f t="shared" si="25"/>
        <v>1</v>
      </c>
      <c r="AA179" s="11" t="s">
        <v>150</v>
      </c>
      <c r="AB179" s="11">
        <v>35</v>
      </c>
      <c r="AC179" s="7" t="s">
        <v>1496</v>
      </c>
      <c r="AD179" s="7" t="s">
        <v>69</v>
      </c>
      <c r="AE179" s="7" t="s">
        <v>69</v>
      </c>
      <c r="AF179" s="11"/>
      <c r="AG179" s="432" t="e">
        <f t="shared" si="30"/>
        <v>#VALUE!</v>
      </c>
      <c r="AH179" s="11" t="s">
        <v>62</v>
      </c>
      <c r="AI179" s="7" t="s">
        <v>1497</v>
      </c>
      <c r="AJ179" s="7"/>
      <c r="AK179" s="7"/>
      <c r="AL179" s="11"/>
      <c r="AM179" s="11"/>
      <c r="AN179" s="11"/>
      <c r="AO179" s="11"/>
      <c r="AP179" s="11"/>
      <c r="AQ179" s="7"/>
      <c r="AR179" s="11"/>
      <c r="AS179" s="11"/>
    </row>
    <row r="180" spans="1:45" ht="15" customHeight="1">
      <c r="A180" s="7" t="s">
        <v>779</v>
      </c>
      <c r="B180" s="7" t="s">
        <v>1498</v>
      </c>
      <c r="C180" s="7" t="s">
        <v>1499</v>
      </c>
      <c r="D180" s="11" t="s">
        <v>159</v>
      </c>
      <c r="E180" s="9" t="s">
        <v>160</v>
      </c>
      <c r="F180" s="11">
        <v>15.616</v>
      </c>
      <c r="G180" s="11">
        <v>120.652</v>
      </c>
      <c r="H180" s="11" t="str">
        <f t="shared" si="29"/>
        <v>15.616,120.652</v>
      </c>
      <c r="I180" s="11" t="s">
        <v>72</v>
      </c>
      <c r="J180" s="11"/>
      <c r="K180" s="11" t="s">
        <v>69</v>
      </c>
      <c r="L180" s="11" t="s">
        <v>69</v>
      </c>
      <c r="M180" s="11" t="s">
        <v>82</v>
      </c>
      <c r="N180" s="11" t="s">
        <v>37</v>
      </c>
      <c r="O180" s="11"/>
      <c r="P180" s="11" t="s">
        <v>28</v>
      </c>
      <c r="Q180" s="11" t="s">
        <v>1500</v>
      </c>
      <c r="R180" s="34">
        <v>45940</v>
      </c>
      <c r="S180" s="34">
        <v>45942</v>
      </c>
      <c r="T180" s="11"/>
      <c r="U180" s="34">
        <v>45944</v>
      </c>
      <c r="V180" s="34">
        <v>45944</v>
      </c>
      <c r="W180" s="45">
        <f t="shared" si="22"/>
        <v>1</v>
      </c>
      <c r="X180" s="45" t="str">
        <f t="shared" si="23"/>
        <v/>
      </c>
      <c r="Y180" s="45">
        <f t="shared" si="24"/>
        <v>1</v>
      </c>
      <c r="Z180" s="45">
        <f t="shared" si="25"/>
        <v>1</v>
      </c>
      <c r="AA180" s="11" t="s">
        <v>150</v>
      </c>
      <c r="AB180" s="11">
        <v>16</v>
      </c>
      <c r="AC180" s="7" t="s">
        <v>1501</v>
      </c>
      <c r="AD180" s="7" t="s">
        <v>1159</v>
      </c>
      <c r="AE180" s="679">
        <v>10.34</v>
      </c>
      <c r="AF180" s="679">
        <v>1006</v>
      </c>
      <c r="AG180" s="432">
        <f t="shared" si="30"/>
        <v>1.0278330019880716E-2</v>
      </c>
      <c r="AH180" s="11" t="s">
        <v>50</v>
      </c>
      <c r="AI180" s="11"/>
      <c r="AJ180" s="7"/>
      <c r="AK180" s="7"/>
      <c r="AL180" s="11"/>
      <c r="AM180" s="11"/>
      <c r="AN180" s="11"/>
      <c r="AO180" s="11"/>
      <c r="AP180" s="11"/>
      <c r="AQ180" s="7"/>
      <c r="AR180" s="11"/>
      <c r="AS180" s="11"/>
    </row>
    <row r="181" spans="1:45" ht="15" customHeight="1">
      <c r="A181" s="7" t="s">
        <v>779</v>
      </c>
      <c r="B181" s="7" t="s">
        <v>1502</v>
      </c>
      <c r="C181" s="316" t="s">
        <v>1503</v>
      </c>
      <c r="D181" s="11" t="s">
        <v>159</v>
      </c>
      <c r="E181" s="9" t="s">
        <v>160</v>
      </c>
      <c r="F181" s="11">
        <v>15.686446</v>
      </c>
      <c r="G181" s="11">
        <v>120.630807</v>
      </c>
      <c r="H181" s="11" t="str">
        <f t="shared" si="29"/>
        <v>15.686446,120.630807</v>
      </c>
      <c r="I181" s="11" t="s">
        <v>72</v>
      </c>
      <c r="J181" s="11"/>
      <c r="K181" s="11" t="s">
        <v>69</v>
      </c>
      <c r="L181" s="11" t="s">
        <v>69</v>
      </c>
      <c r="M181" s="11" t="s">
        <v>76</v>
      </c>
      <c r="N181" s="11" t="s">
        <v>38</v>
      </c>
      <c r="O181" s="71" t="s">
        <v>163</v>
      </c>
      <c r="P181" s="11" t="s">
        <v>328</v>
      </c>
      <c r="Q181" s="11" t="s">
        <v>1504</v>
      </c>
      <c r="R181" s="34">
        <v>45750</v>
      </c>
      <c r="S181" s="34">
        <v>45754</v>
      </c>
      <c r="T181" s="34">
        <v>45754</v>
      </c>
      <c r="U181" s="34">
        <v>45754</v>
      </c>
      <c r="V181" s="34">
        <v>45757</v>
      </c>
      <c r="W181" s="45">
        <f t="shared" si="22"/>
        <v>2</v>
      </c>
      <c r="X181" s="45">
        <f t="shared" si="23"/>
        <v>1</v>
      </c>
      <c r="Y181" s="45">
        <f t="shared" si="24"/>
        <v>1</v>
      </c>
      <c r="Z181" s="45">
        <f t="shared" si="25"/>
        <v>3</v>
      </c>
      <c r="AA181" s="7" t="s">
        <v>150</v>
      </c>
      <c r="AB181" s="11">
        <v>9</v>
      </c>
      <c r="AC181" s="7" t="s">
        <v>1505</v>
      </c>
      <c r="AD181" s="7"/>
      <c r="AE181" s="11"/>
      <c r="AF181" s="11"/>
      <c r="AG181" s="432" t="e">
        <f t="shared" si="30"/>
        <v>#DIV/0!</v>
      </c>
      <c r="AH181" s="11" t="s">
        <v>50</v>
      </c>
      <c r="AI181" s="11"/>
      <c r="AJ181" s="7"/>
      <c r="AK181" s="7"/>
      <c r="AL181" s="11"/>
      <c r="AM181" s="11"/>
      <c r="AN181" s="11"/>
      <c r="AO181" s="11"/>
      <c r="AP181" s="11"/>
      <c r="AQ181" s="7"/>
      <c r="AR181" s="11"/>
      <c r="AS181" s="430"/>
    </row>
    <row r="182" spans="1:45" ht="15" customHeight="1">
      <c r="A182" s="7" t="s">
        <v>779</v>
      </c>
      <c r="B182" s="7" t="s">
        <v>1506</v>
      </c>
      <c r="C182" s="7" t="s">
        <v>1507</v>
      </c>
      <c r="D182" s="11" t="s">
        <v>159</v>
      </c>
      <c r="E182" s="9" t="s">
        <v>160</v>
      </c>
      <c r="F182" s="11">
        <v>15.6845</v>
      </c>
      <c r="G182" s="11">
        <v>120.361</v>
      </c>
      <c r="H182" s="11" t="str">
        <f t="shared" si="29"/>
        <v>15.6845,120.361</v>
      </c>
      <c r="I182" s="11" t="s">
        <v>72</v>
      </c>
      <c r="J182" s="11"/>
      <c r="K182" s="11" t="s">
        <v>69</v>
      </c>
      <c r="L182" s="11" t="s">
        <v>69</v>
      </c>
      <c r="M182" s="11" t="s">
        <v>81</v>
      </c>
      <c r="N182" s="11" t="s">
        <v>38</v>
      </c>
      <c r="O182" s="71"/>
      <c r="P182" s="133" t="s">
        <v>28</v>
      </c>
      <c r="Q182" s="11" t="s">
        <v>1508</v>
      </c>
      <c r="R182" s="34">
        <v>45903</v>
      </c>
      <c r="S182" s="34">
        <v>45918</v>
      </c>
      <c r="T182" s="34">
        <v>45925</v>
      </c>
      <c r="U182" s="34">
        <v>45940</v>
      </c>
      <c r="V182" s="34">
        <v>45940</v>
      </c>
      <c r="W182" s="45">
        <f t="shared" si="22"/>
        <v>11</v>
      </c>
      <c r="X182" s="45">
        <f t="shared" si="23"/>
        <v>5</v>
      </c>
      <c r="Y182" s="45">
        <f t="shared" si="24"/>
        <v>11</v>
      </c>
      <c r="Z182" s="45">
        <f t="shared" si="25"/>
        <v>1</v>
      </c>
      <c r="AA182" s="11" t="s">
        <v>150</v>
      </c>
      <c r="AB182" s="11">
        <v>12</v>
      </c>
      <c r="AC182" s="7" t="s">
        <v>1509</v>
      </c>
      <c r="AD182" s="7" t="s">
        <v>1510</v>
      </c>
      <c r="AE182" s="11">
        <v>0</v>
      </c>
      <c r="AF182" s="117">
        <v>6500</v>
      </c>
      <c r="AG182" s="432">
        <f t="shared" si="30"/>
        <v>0</v>
      </c>
      <c r="AH182" s="11" t="s">
        <v>50</v>
      </c>
      <c r="AI182" s="11"/>
      <c r="AJ182" s="7"/>
      <c r="AK182" s="7"/>
      <c r="AL182" s="11"/>
      <c r="AM182" s="11"/>
      <c r="AN182" s="11"/>
      <c r="AO182" s="11"/>
      <c r="AP182" s="11"/>
      <c r="AQ182" s="7"/>
      <c r="AR182" s="11"/>
      <c r="AS182" s="11"/>
    </row>
    <row r="183" spans="1:45" ht="15" customHeight="1">
      <c r="A183" s="7" t="s">
        <v>779</v>
      </c>
      <c r="B183" s="7" t="s">
        <v>1511</v>
      </c>
      <c r="C183" s="7" t="s">
        <v>1512</v>
      </c>
      <c r="D183" s="11" t="s">
        <v>159</v>
      </c>
      <c r="E183" s="9"/>
      <c r="F183" s="11">
        <v>15.78931</v>
      </c>
      <c r="G183" s="11">
        <v>120.60471</v>
      </c>
      <c r="H183" s="11" t="s">
        <v>1513</v>
      </c>
      <c r="I183" s="11" t="s">
        <v>72</v>
      </c>
      <c r="J183" s="11"/>
      <c r="K183" s="11"/>
      <c r="L183" s="11"/>
      <c r="M183" s="11" t="s">
        <v>80</v>
      </c>
      <c r="N183" s="11" t="s">
        <v>38</v>
      </c>
      <c r="O183" s="71"/>
      <c r="P183" s="11" t="s">
        <v>328</v>
      </c>
      <c r="Q183" s="11" t="s">
        <v>1514</v>
      </c>
      <c r="R183" s="34">
        <v>45876</v>
      </c>
      <c r="S183" s="34">
        <v>45887</v>
      </c>
      <c r="T183" s="34"/>
      <c r="U183" s="34">
        <v>45887</v>
      </c>
      <c r="V183" s="34">
        <v>45888</v>
      </c>
      <c r="W183" s="45">
        <f t="shared" si="22"/>
        <v>7</v>
      </c>
      <c r="X183" s="45" t="str">
        <f t="shared" si="23"/>
        <v/>
      </c>
      <c r="Y183" s="45">
        <f t="shared" si="24"/>
        <v>1</v>
      </c>
      <c r="Z183" s="45">
        <f t="shared" si="25"/>
        <v>1</v>
      </c>
      <c r="AA183" s="11" t="s">
        <v>150</v>
      </c>
      <c r="AB183" s="11"/>
      <c r="AC183" s="7"/>
      <c r="AD183" s="7"/>
      <c r="AE183" s="11"/>
      <c r="AF183" s="11"/>
      <c r="AG183" s="432"/>
      <c r="AH183" s="11" t="s">
        <v>57</v>
      </c>
      <c r="AI183" s="7" t="s">
        <v>1515</v>
      </c>
      <c r="AJ183" s="7"/>
      <c r="AK183" s="7"/>
      <c r="AL183" s="11"/>
      <c r="AM183" s="11"/>
      <c r="AN183" s="11"/>
      <c r="AO183" s="11"/>
      <c r="AP183" s="11"/>
      <c r="AQ183" s="7"/>
      <c r="AR183" s="11"/>
      <c r="AS183" s="11"/>
    </row>
    <row r="184" spans="1:45" ht="15" customHeight="1">
      <c r="A184" s="7" t="s">
        <v>779</v>
      </c>
      <c r="B184" s="7" t="s">
        <v>1516</v>
      </c>
      <c r="C184" s="7" t="s">
        <v>1517</v>
      </c>
      <c r="D184" s="11" t="s">
        <v>159</v>
      </c>
      <c r="E184" s="9" t="s">
        <v>160</v>
      </c>
      <c r="F184" s="11">
        <v>15.606</v>
      </c>
      <c r="G184" s="11">
        <v>120.437</v>
      </c>
      <c r="H184" s="11" t="str">
        <f>CONCATENATE(F184,",",G184)</f>
        <v>15.606,120.437</v>
      </c>
      <c r="I184" s="11" t="s">
        <v>72</v>
      </c>
      <c r="J184" s="11"/>
      <c r="K184" s="11" t="s">
        <v>69</v>
      </c>
      <c r="L184" s="11" t="s">
        <v>69</v>
      </c>
      <c r="M184" s="11" t="s">
        <v>83</v>
      </c>
      <c r="N184" s="11" t="s">
        <v>37</v>
      </c>
      <c r="O184" s="71" t="s">
        <v>1453</v>
      </c>
      <c r="P184" s="11" t="s">
        <v>28</v>
      </c>
      <c r="Q184" s="11" t="s">
        <v>1518</v>
      </c>
      <c r="R184" s="34">
        <v>45960</v>
      </c>
      <c r="S184" s="34">
        <v>45961</v>
      </c>
      <c r="T184" s="34">
        <v>45964</v>
      </c>
      <c r="U184" s="34">
        <v>45964</v>
      </c>
      <c r="V184" s="34">
        <v>45964</v>
      </c>
      <c r="W184" s="45">
        <f t="shared" si="22"/>
        <v>1</v>
      </c>
      <c r="X184" s="45">
        <f t="shared" si="23"/>
        <v>1</v>
      </c>
      <c r="Y184" s="45">
        <f t="shared" si="24"/>
        <v>1</v>
      </c>
      <c r="Z184" s="45">
        <f t="shared" si="25"/>
        <v>1</v>
      </c>
      <c r="AA184" s="11" t="s">
        <v>150</v>
      </c>
      <c r="AB184" s="11">
        <v>24</v>
      </c>
      <c r="AC184" s="7" t="s">
        <v>1519</v>
      </c>
      <c r="AD184" s="7" t="s">
        <v>838</v>
      </c>
      <c r="AE184" s="682">
        <v>28412.7</v>
      </c>
      <c r="AF184" s="117">
        <v>34570</v>
      </c>
      <c r="AG184" s="432">
        <f>(AE184/AF184)</f>
        <v>0.82188892102979461</v>
      </c>
      <c r="AH184" s="11" t="s">
        <v>50</v>
      </c>
      <c r="AI184" s="11"/>
      <c r="AJ184" s="7"/>
      <c r="AK184" s="7"/>
      <c r="AL184" s="11"/>
      <c r="AM184" s="11"/>
      <c r="AN184" s="11"/>
      <c r="AO184" s="11"/>
      <c r="AP184" s="11"/>
      <c r="AQ184" s="7"/>
      <c r="AR184" s="11"/>
      <c r="AS184" s="11"/>
    </row>
    <row r="185" spans="1:45" ht="15" customHeight="1">
      <c r="A185" s="7" t="s">
        <v>779</v>
      </c>
      <c r="B185" s="7" t="s">
        <v>1474</v>
      </c>
      <c r="C185" s="7" t="s">
        <v>1520</v>
      </c>
      <c r="D185" s="11" t="s">
        <v>143</v>
      </c>
      <c r="E185" s="9"/>
      <c r="F185" s="11"/>
      <c r="G185" s="11"/>
      <c r="H185" s="447" t="s">
        <v>1521</v>
      </c>
      <c r="I185" s="11" t="s">
        <v>72</v>
      </c>
      <c r="J185" s="11"/>
      <c r="K185" s="11"/>
      <c r="L185" s="82"/>
      <c r="M185" s="11" t="s">
        <v>79</v>
      </c>
      <c r="N185" s="11" t="s">
        <v>39</v>
      </c>
      <c r="O185" s="71"/>
      <c r="P185" s="11" t="s">
        <v>328</v>
      </c>
      <c r="Q185" s="11" t="s">
        <v>1522</v>
      </c>
      <c r="R185" s="34">
        <v>45856</v>
      </c>
      <c r="S185" s="34">
        <v>45856</v>
      </c>
      <c r="T185" s="34"/>
      <c r="U185" s="34">
        <v>45859</v>
      </c>
      <c r="V185" s="34">
        <v>45859</v>
      </c>
      <c r="W185" s="45">
        <f t="shared" si="22"/>
        <v>1</v>
      </c>
      <c r="X185" s="45" t="str">
        <f t="shared" si="23"/>
        <v/>
      </c>
      <c r="Y185" s="45">
        <f t="shared" si="24"/>
        <v>1</v>
      </c>
      <c r="Z185" s="45">
        <f t="shared" si="25"/>
        <v>1</v>
      </c>
      <c r="AA185" s="11" t="s">
        <v>150</v>
      </c>
      <c r="AB185" s="11">
        <v>26</v>
      </c>
      <c r="AC185" s="7" t="s">
        <v>1523</v>
      </c>
      <c r="AD185" s="7" t="s">
        <v>1195</v>
      </c>
      <c r="AE185" s="11"/>
      <c r="AF185" s="11"/>
      <c r="AG185" s="83"/>
      <c r="AH185" s="11" t="s">
        <v>50</v>
      </c>
      <c r="AI185" s="11"/>
      <c r="AJ185" s="7"/>
      <c r="AK185" s="7"/>
      <c r="AL185" s="11"/>
      <c r="AM185" s="11"/>
      <c r="AN185" s="11"/>
      <c r="AO185" s="11"/>
      <c r="AP185" s="11"/>
      <c r="AQ185" s="7"/>
      <c r="AR185" s="11"/>
      <c r="AS185" s="7" t="s">
        <v>1524</v>
      </c>
    </row>
    <row r="186" spans="1:45" ht="15" customHeight="1">
      <c r="A186" s="375" t="s">
        <v>780</v>
      </c>
      <c r="B186" s="375" t="s">
        <v>1210</v>
      </c>
      <c r="C186" s="375" t="s">
        <v>1525</v>
      </c>
      <c r="D186" s="11" t="s">
        <v>159</v>
      </c>
      <c r="E186" s="11" t="s">
        <v>185</v>
      </c>
      <c r="F186" s="11"/>
      <c r="G186" s="11"/>
      <c r="H186" s="374"/>
      <c r="I186" s="374" t="s">
        <v>72</v>
      </c>
      <c r="J186" s="11"/>
      <c r="K186" s="11"/>
      <c r="L186" s="11"/>
      <c r="M186" s="11"/>
      <c r="N186" s="11"/>
      <c r="O186" s="11"/>
      <c r="P186" s="11"/>
      <c r="Q186" s="11"/>
      <c r="R186" s="11"/>
      <c r="S186" s="11"/>
      <c r="T186" s="11"/>
      <c r="U186" s="11"/>
      <c r="V186" s="11"/>
      <c r="W186" s="11"/>
      <c r="X186" s="11"/>
      <c r="Y186" s="11"/>
      <c r="Z186" s="11"/>
      <c r="AA186" s="11"/>
      <c r="AB186" s="11"/>
      <c r="AC186" s="7"/>
      <c r="AD186" s="7"/>
      <c r="AE186" s="11"/>
      <c r="AF186" s="11"/>
      <c r="AG186" s="83" t="e">
        <f>AVERAGE(#REF!,#REF!,#REF!,#REF!,#REF!)</f>
        <v>#REF!</v>
      </c>
      <c r="AH186" s="11"/>
      <c r="AI186" s="7"/>
      <c r="AJ186" s="7"/>
      <c r="AK186" s="11"/>
      <c r="AL186" s="11"/>
      <c r="AM186" s="11"/>
      <c r="AN186" s="11"/>
      <c r="AO186" s="11"/>
      <c r="AP186" s="7"/>
      <c r="AQ186" s="11"/>
      <c r="AR186" s="11"/>
      <c r="AS186" s="430"/>
    </row>
    <row r="187" spans="1:45" ht="15" customHeight="1">
      <c r="A187" s="7" t="s">
        <v>780</v>
      </c>
      <c r="B187" s="7" t="s">
        <v>1526</v>
      </c>
      <c r="C187" s="7" t="s">
        <v>918</v>
      </c>
      <c r="D187" s="11" t="s">
        <v>159</v>
      </c>
      <c r="E187" s="63" t="s">
        <v>185</v>
      </c>
      <c r="F187" s="11">
        <v>15.160399999999999</v>
      </c>
      <c r="G187" s="11">
        <v>120.075</v>
      </c>
      <c r="H187" s="11" t="str">
        <f t="shared" ref="H187:H195" si="31">CONCATENATE(F187,",",G187)</f>
        <v>15.1604,120.075</v>
      </c>
      <c r="I187" s="11" t="s">
        <v>72</v>
      </c>
      <c r="J187" s="11"/>
      <c r="K187" s="11" t="s">
        <v>69</v>
      </c>
      <c r="L187" s="11" t="s">
        <v>69</v>
      </c>
      <c r="M187" s="11" t="s">
        <v>79</v>
      </c>
      <c r="N187" s="11" t="s">
        <v>1212</v>
      </c>
      <c r="O187" s="11" t="s">
        <v>163</v>
      </c>
      <c r="P187" s="11" t="s">
        <v>164</v>
      </c>
      <c r="Q187" s="11" t="s">
        <v>1527</v>
      </c>
      <c r="R187" s="34">
        <v>45849</v>
      </c>
      <c r="S187" s="34">
        <v>45852</v>
      </c>
      <c r="T187" s="34">
        <v>45854</v>
      </c>
      <c r="U187" s="34">
        <v>45854</v>
      </c>
      <c r="V187" s="34">
        <v>45855</v>
      </c>
      <c r="W187" s="45">
        <f t="shared" ref="W187:W195" si="32">IF(
    OR(ISBLANK(R187), ISBLANK(S187)),
    "",
    MAX(1, IF(
        NETWORKDAYS(R187, S187) &lt;= 0,
        1,
        NETWORKDAYS(R187, S187) - IF(R187 = S187, 0, 1)
    ))
)</f>
        <v>1</v>
      </c>
      <c r="X187" s="45">
        <f t="shared" ref="X187:X195" si="33">IF(
    OR(ISBLANK(S187), ISBLANK(T187)),
    "",
    MAX(1, IF(
        NETWORKDAYS(S187, T187) &lt;= 0,
        1,
        NETWORKDAYS(S187, T187) - IF(S187 = T187, 0, 1)
    ))
)</f>
        <v>2</v>
      </c>
      <c r="Y187" s="45">
        <f t="shared" ref="Y187:Y195" si="34">IF(
    OR(ISBLANK(S187), ISBLANK(U187)),
    "",
    MAX(1, IF(
        NETWORKDAYS(S187, U187) &lt;= 0,
        1,
        NETWORKDAYS(S187, U187) - IF(S187 = U187, 0, 1)
    ))
)</f>
        <v>2</v>
      </c>
      <c r="Z187" s="45">
        <f t="shared" ref="Z187:Z195" si="35">IF(
    OR(ISBLANK(U187), ISBLANK(V187)),
    "",
    MAX(1, IF(
        NETWORKDAYS(U187, V187) &lt;= 0,
        1,
        NETWORKDAYS(U187, V187) - IF(U187 = V187, 0, 1)
    ))
)</f>
        <v>1</v>
      </c>
      <c r="AA187" s="11" t="s">
        <v>150</v>
      </c>
      <c r="AB187" s="11">
        <v>22</v>
      </c>
      <c r="AC187" s="7" t="s">
        <v>1187</v>
      </c>
      <c r="AD187" s="7" t="s">
        <v>1528</v>
      </c>
      <c r="AE187" s="11" t="s">
        <v>808</v>
      </c>
      <c r="AF187" s="11" t="s">
        <v>808</v>
      </c>
      <c r="AG187" s="432" t="e">
        <f t="shared" ref="AG187:AG195" si="36">(AE187/AF187)</f>
        <v>#VALUE!</v>
      </c>
      <c r="AH187" s="11" t="s">
        <v>50</v>
      </c>
      <c r="AI187" s="11"/>
      <c r="AJ187" s="7" t="s">
        <v>809</v>
      </c>
      <c r="AK187" s="7" t="s">
        <v>1529</v>
      </c>
      <c r="AL187" s="11" t="s">
        <v>49</v>
      </c>
      <c r="AM187" s="11"/>
      <c r="AN187" s="11"/>
      <c r="AO187" s="11"/>
      <c r="AP187" s="11"/>
      <c r="AQ187" s="7"/>
      <c r="AR187" s="11"/>
      <c r="AS187" s="11" t="s">
        <v>1530</v>
      </c>
    </row>
    <row r="188" spans="1:45" ht="15" customHeight="1">
      <c r="A188" s="7" t="s">
        <v>780</v>
      </c>
      <c r="B188" s="7" t="s">
        <v>1531</v>
      </c>
      <c r="C188" s="7" t="s">
        <v>1532</v>
      </c>
      <c r="D188" s="11" t="s">
        <v>159</v>
      </c>
      <c r="E188" s="63" t="s">
        <v>185</v>
      </c>
      <c r="F188" s="11">
        <v>15.598236</v>
      </c>
      <c r="G188" s="11">
        <v>119.974841</v>
      </c>
      <c r="H188" s="11" t="str">
        <f t="shared" si="31"/>
        <v>15.598236,119.974841</v>
      </c>
      <c r="I188" s="11" t="s">
        <v>72</v>
      </c>
      <c r="J188" s="11"/>
      <c r="K188" s="11" t="s">
        <v>69</v>
      </c>
      <c r="L188" s="11" t="s">
        <v>69</v>
      </c>
      <c r="M188" s="11" t="s">
        <v>78</v>
      </c>
      <c r="N188" s="11" t="s">
        <v>42</v>
      </c>
      <c r="O188" s="11" t="s">
        <v>163</v>
      </c>
      <c r="P188" s="11" t="s">
        <v>164</v>
      </c>
      <c r="Q188" s="11" t="s">
        <v>1533</v>
      </c>
      <c r="R188" s="34">
        <v>45821</v>
      </c>
      <c r="S188" s="34">
        <v>45824</v>
      </c>
      <c r="T188" s="34">
        <v>45825</v>
      </c>
      <c r="U188" s="34">
        <v>45826</v>
      </c>
      <c r="V188" s="34">
        <v>45826</v>
      </c>
      <c r="W188" s="45">
        <f t="shared" si="32"/>
        <v>1</v>
      </c>
      <c r="X188" s="45">
        <f t="shared" si="33"/>
        <v>1</v>
      </c>
      <c r="Y188" s="45">
        <f t="shared" si="34"/>
        <v>2</v>
      </c>
      <c r="Z188" s="45">
        <f t="shared" si="35"/>
        <v>1</v>
      </c>
      <c r="AA188" s="11" t="s">
        <v>150</v>
      </c>
      <c r="AB188" s="11">
        <v>16</v>
      </c>
      <c r="AC188" s="7" t="s">
        <v>1534</v>
      </c>
      <c r="AD188" s="7" t="s">
        <v>945</v>
      </c>
      <c r="AE188" s="11" t="s">
        <v>808</v>
      </c>
      <c r="AF188" s="11" t="s">
        <v>808</v>
      </c>
      <c r="AG188" s="432" t="e">
        <f t="shared" si="36"/>
        <v>#VALUE!</v>
      </c>
      <c r="AH188" s="11" t="s">
        <v>50</v>
      </c>
      <c r="AI188" s="11"/>
      <c r="AJ188" s="7"/>
      <c r="AK188" s="7"/>
      <c r="AL188" s="11"/>
      <c r="AM188" s="11"/>
      <c r="AN188" s="11"/>
      <c r="AO188" s="11"/>
      <c r="AP188" s="11"/>
      <c r="AQ188" s="7"/>
      <c r="AR188" s="11"/>
      <c r="AS188" s="11"/>
    </row>
    <row r="189" spans="1:45" ht="15" customHeight="1">
      <c r="A189" s="7" t="s">
        <v>780</v>
      </c>
      <c r="B189" s="7" t="s">
        <v>1215</v>
      </c>
      <c r="C189" s="7" t="s">
        <v>1216</v>
      </c>
      <c r="D189" s="11" t="s">
        <v>159</v>
      </c>
      <c r="E189" s="63" t="s">
        <v>160</v>
      </c>
      <c r="F189" s="11">
        <v>14.925181</v>
      </c>
      <c r="G189" s="11">
        <v>120.14849599999999</v>
      </c>
      <c r="H189" s="11" t="str">
        <f t="shared" si="31"/>
        <v>14.925181,120.148496</v>
      </c>
      <c r="I189" s="11" t="s">
        <v>72</v>
      </c>
      <c r="J189" s="11"/>
      <c r="K189" s="11" t="s">
        <v>69</v>
      </c>
      <c r="L189" s="11" t="s">
        <v>69</v>
      </c>
      <c r="M189" s="11" t="s">
        <v>78</v>
      </c>
      <c r="N189" s="11"/>
      <c r="O189" s="11" t="s">
        <v>163</v>
      </c>
      <c r="P189" s="11" t="s">
        <v>164</v>
      </c>
      <c r="Q189" s="11" t="s">
        <v>1535</v>
      </c>
      <c r="R189" s="34">
        <v>45804</v>
      </c>
      <c r="S189" s="34">
        <v>45805</v>
      </c>
      <c r="T189" s="34">
        <v>45805</v>
      </c>
      <c r="U189" s="34">
        <v>45805</v>
      </c>
      <c r="V189" s="34">
        <v>45807</v>
      </c>
      <c r="W189" s="45">
        <f t="shared" si="32"/>
        <v>1</v>
      </c>
      <c r="X189" s="45">
        <f t="shared" si="33"/>
        <v>1</v>
      </c>
      <c r="Y189" s="45">
        <f t="shared" si="34"/>
        <v>1</v>
      </c>
      <c r="Z189" s="45">
        <f t="shared" si="35"/>
        <v>2</v>
      </c>
      <c r="AA189" s="11" t="s">
        <v>150</v>
      </c>
      <c r="AB189" s="11">
        <v>14</v>
      </c>
      <c r="AC189" s="7" t="s">
        <v>1536</v>
      </c>
      <c r="AD189" s="7" t="s">
        <v>1537</v>
      </c>
      <c r="AE189" s="11" t="s">
        <v>808</v>
      </c>
      <c r="AF189" s="11" t="s">
        <v>808</v>
      </c>
      <c r="AG189" s="432" t="e">
        <f t="shared" si="36"/>
        <v>#VALUE!</v>
      </c>
      <c r="AH189" s="11" t="s">
        <v>50</v>
      </c>
      <c r="AI189" s="11"/>
      <c r="AJ189" s="7" t="s">
        <v>809</v>
      </c>
      <c r="AK189" s="7"/>
      <c r="AL189" s="11" t="s">
        <v>49</v>
      </c>
      <c r="AM189" s="11"/>
      <c r="AN189" s="11"/>
      <c r="AO189" s="11"/>
      <c r="AP189" s="11"/>
      <c r="AQ189" s="7"/>
      <c r="AR189" s="11"/>
      <c r="AS189" s="430" t="s">
        <v>1538</v>
      </c>
    </row>
    <row r="190" spans="1:45" ht="15" customHeight="1">
      <c r="A190" s="7" t="s">
        <v>780</v>
      </c>
      <c r="B190" s="7" t="s">
        <v>1539</v>
      </c>
      <c r="C190" s="7" t="s">
        <v>1540</v>
      </c>
      <c r="D190" s="11" t="s">
        <v>159</v>
      </c>
      <c r="E190" s="63" t="s">
        <v>185</v>
      </c>
      <c r="F190" s="11">
        <v>15.3963</v>
      </c>
      <c r="G190" s="11">
        <v>120.02500000000001</v>
      </c>
      <c r="H190" s="11" t="str">
        <f t="shared" si="31"/>
        <v>15.3963,120.025</v>
      </c>
      <c r="I190" s="11" t="s">
        <v>72</v>
      </c>
      <c r="J190" s="11"/>
      <c r="K190" s="11" t="s">
        <v>69</v>
      </c>
      <c r="L190" s="11" t="s">
        <v>69</v>
      </c>
      <c r="M190" s="11" t="s">
        <v>76</v>
      </c>
      <c r="N190" s="11" t="s">
        <v>1212</v>
      </c>
      <c r="O190" s="11" t="s">
        <v>163</v>
      </c>
      <c r="P190" s="11" t="s">
        <v>164</v>
      </c>
      <c r="Q190" s="11" t="s">
        <v>1541</v>
      </c>
      <c r="R190" s="34">
        <v>45749</v>
      </c>
      <c r="S190" s="34">
        <v>45754</v>
      </c>
      <c r="T190" s="34">
        <v>45755</v>
      </c>
      <c r="U190" s="34">
        <v>45755</v>
      </c>
      <c r="V190" s="34">
        <v>45755</v>
      </c>
      <c r="W190" s="45">
        <f t="shared" si="32"/>
        <v>3</v>
      </c>
      <c r="X190" s="45">
        <f t="shared" si="33"/>
        <v>1</v>
      </c>
      <c r="Y190" s="45">
        <f t="shared" si="34"/>
        <v>1</v>
      </c>
      <c r="Z190" s="45">
        <f t="shared" si="35"/>
        <v>1</v>
      </c>
      <c r="AA190" s="7" t="s">
        <v>150</v>
      </c>
      <c r="AB190" s="11">
        <v>14</v>
      </c>
      <c r="AC190" s="7" t="s">
        <v>1542</v>
      </c>
      <c r="AD190" s="7" t="s">
        <v>819</v>
      </c>
      <c r="AE190" s="11">
        <v>2465</v>
      </c>
      <c r="AF190" s="11">
        <v>8400</v>
      </c>
      <c r="AG190" s="432">
        <f t="shared" si="36"/>
        <v>0.29345238095238096</v>
      </c>
      <c r="AH190" s="11" t="s">
        <v>50</v>
      </c>
      <c r="AI190" s="11"/>
      <c r="AJ190" s="7"/>
      <c r="AK190" s="7"/>
      <c r="AL190" s="11"/>
      <c r="AM190" s="11"/>
      <c r="AN190" s="11"/>
      <c r="AO190" s="11"/>
      <c r="AP190" s="11"/>
      <c r="AQ190" s="7"/>
      <c r="AR190" s="11"/>
      <c r="AS190" s="430"/>
    </row>
    <row r="191" spans="1:45" ht="15" customHeight="1">
      <c r="A191" s="7" t="s">
        <v>780</v>
      </c>
      <c r="B191" s="7" t="s">
        <v>942</v>
      </c>
      <c r="C191" s="7" t="s">
        <v>1543</v>
      </c>
      <c r="D191" s="11" t="s">
        <v>159</v>
      </c>
      <c r="E191" s="63" t="s">
        <v>185</v>
      </c>
      <c r="F191" s="11">
        <v>15.582169</v>
      </c>
      <c r="G191" s="11">
        <v>119.989266</v>
      </c>
      <c r="H191" s="11" t="str">
        <f t="shared" si="31"/>
        <v>15.582169,119.989266</v>
      </c>
      <c r="I191" s="11" t="s">
        <v>72</v>
      </c>
      <c r="J191" s="11"/>
      <c r="K191" s="11" t="s">
        <v>69</v>
      </c>
      <c r="L191" s="11" t="s">
        <v>69</v>
      </c>
      <c r="M191" s="11" t="s">
        <v>81</v>
      </c>
      <c r="N191" s="11" t="s">
        <v>42</v>
      </c>
      <c r="O191" s="11" t="s">
        <v>163</v>
      </c>
      <c r="P191" s="11" t="s">
        <v>164</v>
      </c>
      <c r="Q191" s="11" t="s">
        <v>1544</v>
      </c>
      <c r="R191" s="34">
        <v>45912</v>
      </c>
      <c r="S191" s="34">
        <v>45915</v>
      </c>
      <c r="T191" s="34">
        <v>45917</v>
      </c>
      <c r="U191" s="34">
        <v>45917</v>
      </c>
      <c r="V191" s="34">
        <v>45917</v>
      </c>
      <c r="W191" s="45">
        <f t="shared" si="32"/>
        <v>1</v>
      </c>
      <c r="X191" s="45">
        <f t="shared" si="33"/>
        <v>2</v>
      </c>
      <c r="Y191" s="45">
        <f t="shared" si="34"/>
        <v>2</v>
      </c>
      <c r="Z191" s="45">
        <f t="shared" si="35"/>
        <v>1</v>
      </c>
      <c r="AA191" s="11" t="s">
        <v>150</v>
      </c>
      <c r="AB191" s="11">
        <v>13</v>
      </c>
      <c r="AC191" s="7" t="s">
        <v>1545</v>
      </c>
      <c r="AD191" s="7" t="s">
        <v>1251</v>
      </c>
      <c r="AE191" s="11">
        <v>1567.6112000000001</v>
      </c>
      <c r="AF191" s="11">
        <v>2060.6111999999998</v>
      </c>
      <c r="AG191" s="432">
        <f t="shared" si="36"/>
        <v>0.76075059671615886</v>
      </c>
      <c r="AH191" s="11" t="s">
        <v>50</v>
      </c>
      <c r="AI191" s="11"/>
      <c r="AJ191" s="7"/>
      <c r="AK191" s="7"/>
      <c r="AL191" s="11"/>
      <c r="AM191" s="11"/>
      <c r="AN191" s="11"/>
      <c r="AO191" s="11"/>
      <c r="AP191" s="11"/>
      <c r="AQ191" s="7"/>
      <c r="AR191" s="11"/>
      <c r="AS191" s="11"/>
    </row>
    <row r="192" spans="1:45" ht="15" customHeight="1">
      <c r="A192" s="7" t="s">
        <v>780</v>
      </c>
      <c r="B192" s="7" t="s">
        <v>1546</v>
      </c>
      <c r="C192" s="7" t="s">
        <v>1547</v>
      </c>
      <c r="D192" s="11" t="s">
        <v>159</v>
      </c>
      <c r="E192" s="63" t="s">
        <v>160</v>
      </c>
      <c r="F192" s="11">
        <v>14.8462</v>
      </c>
      <c r="G192" s="11">
        <v>120.32899999999999</v>
      </c>
      <c r="H192" s="11" t="str">
        <f t="shared" si="31"/>
        <v>14.8462,120.329</v>
      </c>
      <c r="I192" s="11" t="s">
        <v>72</v>
      </c>
      <c r="J192" s="11"/>
      <c r="K192" s="11" t="s">
        <v>69</v>
      </c>
      <c r="L192" s="11" t="s">
        <v>69</v>
      </c>
      <c r="M192" s="11" t="s">
        <v>77</v>
      </c>
      <c r="N192" s="11"/>
      <c r="O192" s="11" t="s">
        <v>163</v>
      </c>
      <c r="P192" s="11" t="s">
        <v>164</v>
      </c>
      <c r="Q192" s="11" t="s">
        <v>1548</v>
      </c>
      <c r="R192" s="34">
        <v>45793</v>
      </c>
      <c r="S192" s="34">
        <v>45793</v>
      </c>
      <c r="T192" s="34">
        <v>45797</v>
      </c>
      <c r="U192" s="34">
        <v>45797</v>
      </c>
      <c r="V192" s="34">
        <v>45797</v>
      </c>
      <c r="W192" s="45">
        <f t="shared" si="32"/>
        <v>1</v>
      </c>
      <c r="X192" s="45">
        <f t="shared" si="33"/>
        <v>2</v>
      </c>
      <c r="Y192" s="45">
        <f t="shared" si="34"/>
        <v>2</v>
      </c>
      <c r="Z192" s="45">
        <f t="shared" si="35"/>
        <v>1</v>
      </c>
      <c r="AA192" s="11" t="s">
        <v>150</v>
      </c>
      <c r="AB192" s="11">
        <v>17</v>
      </c>
      <c r="AC192" s="7" t="s">
        <v>1483</v>
      </c>
      <c r="AD192" s="7" t="s">
        <v>851</v>
      </c>
      <c r="AE192" s="11" t="s">
        <v>808</v>
      </c>
      <c r="AF192" s="11" t="s">
        <v>808</v>
      </c>
      <c r="AG192" s="432" t="e">
        <f t="shared" si="36"/>
        <v>#VALUE!</v>
      </c>
      <c r="AH192" s="11" t="s">
        <v>50</v>
      </c>
      <c r="AI192" s="11" t="s">
        <v>1549</v>
      </c>
      <c r="AJ192" s="7" t="s">
        <v>151</v>
      </c>
      <c r="AK192" s="7"/>
      <c r="AL192" s="11"/>
      <c r="AM192" s="11"/>
      <c r="AN192" s="11"/>
      <c r="AO192" s="11"/>
      <c r="AP192" s="11"/>
      <c r="AQ192" s="7"/>
      <c r="AR192" s="11"/>
      <c r="AS192" s="11"/>
    </row>
    <row r="193" spans="1:45" ht="105">
      <c r="A193" s="7" t="s">
        <v>780</v>
      </c>
      <c r="B193" s="7" t="s">
        <v>914</v>
      </c>
      <c r="C193" s="7" t="s">
        <v>1550</v>
      </c>
      <c r="D193" s="11" t="s">
        <v>159</v>
      </c>
      <c r="E193" s="63" t="s">
        <v>185</v>
      </c>
      <c r="F193" s="11">
        <v>14.9305</v>
      </c>
      <c r="G193" s="11">
        <v>120.075</v>
      </c>
      <c r="H193" s="11" t="str">
        <f t="shared" si="31"/>
        <v>14.9305,120.075</v>
      </c>
      <c r="I193" s="11" t="s">
        <v>72</v>
      </c>
      <c r="J193" s="11"/>
      <c r="K193" s="11" t="s">
        <v>69</v>
      </c>
      <c r="L193" s="11" t="s">
        <v>69</v>
      </c>
      <c r="M193" s="11" t="s">
        <v>75</v>
      </c>
      <c r="N193" s="11" t="s">
        <v>1212</v>
      </c>
      <c r="O193" s="11" t="s">
        <v>163</v>
      </c>
      <c r="P193" s="11" t="s">
        <v>164</v>
      </c>
      <c r="Q193" s="11" t="s">
        <v>1551</v>
      </c>
      <c r="R193" s="34">
        <v>45723</v>
      </c>
      <c r="S193" s="34">
        <v>45726</v>
      </c>
      <c r="T193" s="34">
        <v>45728</v>
      </c>
      <c r="U193" s="34">
        <v>45729</v>
      </c>
      <c r="V193" s="34">
        <v>45729</v>
      </c>
      <c r="W193" s="45">
        <f t="shared" si="32"/>
        <v>1</v>
      </c>
      <c r="X193" s="45">
        <f t="shared" si="33"/>
        <v>2</v>
      </c>
      <c r="Y193" s="45">
        <f t="shared" si="34"/>
        <v>3</v>
      </c>
      <c r="Z193" s="45">
        <f t="shared" si="35"/>
        <v>1</v>
      </c>
      <c r="AA193" s="7" t="s">
        <v>150</v>
      </c>
      <c r="AB193" s="11">
        <v>14</v>
      </c>
      <c r="AC193" s="7" t="s">
        <v>1552</v>
      </c>
      <c r="AD193" s="7" t="s">
        <v>1553</v>
      </c>
      <c r="AE193" s="11" t="s">
        <v>808</v>
      </c>
      <c r="AF193" s="11" t="s">
        <v>808</v>
      </c>
      <c r="AG193" s="432" t="e">
        <f t="shared" si="36"/>
        <v>#VALUE!</v>
      </c>
      <c r="AH193" s="11" t="s">
        <v>50</v>
      </c>
      <c r="AI193" s="11"/>
      <c r="AJ193" s="7" t="s">
        <v>809</v>
      </c>
      <c r="AK193" s="7" t="s">
        <v>1554</v>
      </c>
      <c r="AL193" s="11" t="s">
        <v>49</v>
      </c>
      <c r="AM193" s="11"/>
      <c r="AN193" s="11"/>
      <c r="AO193" s="11"/>
      <c r="AP193" s="11"/>
      <c r="AQ193" s="7"/>
      <c r="AR193" s="11"/>
      <c r="AS193" s="430" t="s">
        <v>1555</v>
      </c>
    </row>
    <row r="194" spans="1:45" ht="15" customHeight="1">
      <c r="A194" s="7" t="s">
        <v>780</v>
      </c>
      <c r="B194" s="7" t="s">
        <v>1556</v>
      </c>
      <c r="C194" s="7" t="s">
        <v>1557</v>
      </c>
      <c r="D194" s="11" t="s">
        <v>159</v>
      </c>
      <c r="E194" s="63" t="s">
        <v>160</v>
      </c>
      <c r="F194" s="11">
        <v>14.9695</v>
      </c>
      <c r="G194" s="11">
        <v>120.133</v>
      </c>
      <c r="H194" s="11" t="str">
        <f t="shared" si="31"/>
        <v>14.9695,120.133</v>
      </c>
      <c r="I194" s="11" t="s">
        <v>72</v>
      </c>
      <c r="J194" s="11"/>
      <c r="K194" s="11" t="s">
        <v>69</v>
      </c>
      <c r="L194" s="11" t="s">
        <v>69</v>
      </c>
      <c r="M194" s="11" t="s">
        <v>74</v>
      </c>
      <c r="N194" s="11" t="s">
        <v>1212</v>
      </c>
      <c r="O194" s="11" t="s">
        <v>163</v>
      </c>
      <c r="P194" s="11" t="s">
        <v>164</v>
      </c>
      <c r="Q194" s="11" t="s">
        <v>1558</v>
      </c>
      <c r="R194" s="34">
        <v>45685</v>
      </c>
      <c r="S194" s="34">
        <v>45691</v>
      </c>
      <c r="T194" s="34">
        <v>45693</v>
      </c>
      <c r="U194" s="34">
        <v>45694</v>
      </c>
      <c r="V194" s="34">
        <v>45695</v>
      </c>
      <c r="W194" s="45">
        <f t="shared" si="32"/>
        <v>4</v>
      </c>
      <c r="X194" s="45">
        <f t="shared" si="33"/>
        <v>2</v>
      </c>
      <c r="Y194" s="45">
        <f t="shared" si="34"/>
        <v>3</v>
      </c>
      <c r="Z194" s="45">
        <f t="shared" si="35"/>
        <v>1</v>
      </c>
      <c r="AA194" s="11" t="s">
        <v>150</v>
      </c>
      <c r="AB194" s="11">
        <v>18</v>
      </c>
      <c r="AC194" s="7" t="s">
        <v>1559</v>
      </c>
      <c r="AD194" s="7" t="s">
        <v>819</v>
      </c>
      <c r="AE194" s="11">
        <v>104.6</v>
      </c>
      <c r="AF194" s="11">
        <v>1383.6</v>
      </c>
      <c r="AG194" s="432">
        <f t="shared" si="36"/>
        <v>7.5599884359641517E-2</v>
      </c>
      <c r="AH194" s="11" t="s">
        <v>50</v>
      </c>
      <c r="AI194" s="11"/>
      <c r="AJ194" s="7" t="s">
        <v>151</v>
      </c>
      <c r="AK194" s="7" t="s">
        <v>1560</v>
      </c>
      <c r="AL194" s="11"/>
      <c r="AM194" s="11"/>
      <c r="AN194" s="11"/>
      <c r="AO194" s="11"/>
      <c r="AP194" s="11"/>
      <c r="AQ194" s="7"/>
      <c r="AR194" s="11"/>
      <c r="AS194" s="430"/>
    </row>
    <row r="195" spans="1:45" ht="33.75" customHeight="1">
      <c r="A195" s="7" t="s">
        <v>780</v>
      </c>
      <c r="B195" s="7" t="s">
        <v>1303</v>
      </c>
      <c r="C195" s="7" t="s">
        <v>1241</v>
      </c>
      <c r="D195" s="11" t="s">
        <v>159</v>
      </c>
      <c r="E195" s="63" t="s">
        <v>185</v>
      </c>
      <c r="F195" s="11">
        <v>15.733717</v>
      </c>
      <c r="G195" s="11">
        <v>119.889397</v>
      </c>
      <c r="H195" s="11" t="str">
        <f t="shared" si="31"/>
        <v>15.733717,119.889397</v>
      </c>
      <c r="I195" s="11" t="s">
        <v>72</v>
      </c>
      <c r="J195" s="11"/>
      <c r="K195" s="11"/>
      <c r="L195" s="11"/>
      <c r="M195" s="11" t="s">
        <v>81</v>
      </c>
      <c r="N195" s="11" t="s">
        <v>42</v>
      </c>
      <c r="O195" s="11" t="s">
        <v>163</v>
      </c>
      <c r="P195" s="11" t="s">
        <v>164</v>
      </c>
      <c r="Q195" s="11" t="s">
        <v>1561</v>
      </c>
      <c r="R195" s="34">
        <v>45912</v>
      </c>
      <c r="S195" s="34">
        <v>45915</v>
      </c>
      <c r="T195" s="34">
        <v>45916</v>
      </c>
      <c r="U195" s="34">
        <v>45917</v>
      </c>
      <c r="V195" s="34">
        <v>45917</v>
      </c>
      <c r="W195" s="45">
        <f t="shared" si="32"/>
        <v>1</v>
      </c>
      <c r="X195" s="45">
        <f t="shared" si="33"/>
        <v>1</v>
      </c>
      <c r="Y195" s="45">
        <f t="shared" si="34"/>
        <v>2</v>
      </c>
      <c r="Z195" s="45">
        <f t="shared" si="35"/>
        <v>1</v>
      </c>
      <c r="AA195" s="11" t="s">
        <v>150</v>
      </c>
      <c r="AB195" s="11">
        <v>24</v>
      </c>
      <c r="AC195" s="7" t="s">
        <v>1562</v>
      </c>
      <c r="AD195" s="7" t="s">
        <v>1563</v>
      </c>
      <c r="AE195" s="82">
        <v>1581.54</v>
      </c>
      <c r="AF195" s="117">
        <v>12387</v>
      </c>
      <c r="AG195" s="432">
        <f t="shared" si="36"/>
        <v>0.12767740372971664</v>
      </c>
      <c r="AH195" s="11" t="s">
        <v>50</v>
      </c>
      <c r="AI195" s="11"/>
      <c r="AJ195" s="7"/>
      <c r="AK195" s="7"/>
      <c r="AL195" s="11"/>
      <c r="AM195" s="11"/>
      <c r="AN195" s="11"/>
      <c r="AO195" s="11"/>
      <c r="AP195" s="11"/>
      <c r="AQ195" s="7"/>
      <c r="AR195" s="11"/>
      <c r="AS195" s="11"/>
    </row>
    <row r="196" spans="1:45" ht="15" customHeight="1">
      <c r="AG196" s="613"/>
      <c r="AI196" s="81"/>
      <c r="AK196" s="78"/>
      <c r="AP196" s="81"/>
      <c r="AQ196" s="78"/>
    </row>
    <row r="197" spans="1:45" ht="15" customHeight="1">
      <c r="F197" s="78" t="s">
        <v>1564</v>
      </c>
      <c r="L197" s="361"/>
    </row>
    <row r="198" spans="1:45" ht="15" customHeight="1">
      <c r="B198" s="81" t="s">
        <v>1357</v>
      </c>
    </row>
    <row r="199" spans="1:45" ht="15" customHeight="1">
      <c r="B199" s="81" t="s">
        <v>1383</v>
      </c>
    </row>
    <row r="200" spans="1:45" ht="15" customHeight="1">
      <c r="B200" s="81" t="s">
        <v>1392</v>
      </c>
    </row>
    <row r="201" spans="1:45" ht="15" customHeight="1">
      <c r="B201" s="81" t="s">
        <v>1411</v>
      </c>
    </row>
    <row r="202" spans="1:45" ht="15" customHeight="1">
      <c r="B202" s="81" t="s">
        <v>992</v>
      </c>
    </row>
    <row r="203" spans="1:45" ht="15" customHeight="1">
      <c r="B203" s="81" t="s">
        <v>1423</v>
      </c>
    </row>
    <row r="204" spans="1:45" ht="15" customHeight="1">
      <c r="B204" s="81" t="s">
        <v>1432</v>
      </c>
    </row>
    <row r="205" spans="1:45" ht="15" customHeight="1">
      <c r="B205" s="81" t="s">
        <v>1438</v>
      </c>
    </row>
    <row r="209" spans="18:18" ht="15" customHeight="1">
      <c r="R209" s="732"/>
    </row>
  </sheetData>
  <autoFilter ref="A1:AS195" xr:uid="{F2B85C85-0ABB-474E-B5F3-7CB195D671B5}"/>
  <sortState xmlns:xlrd2="http://schemas.microsoft.com/office/spreadsheetml/2017/richdata2" ref="A3:AS194">
    <sortCondition ref="A3:A194"/>
  </sortState>
  <conditionalFormatting sqref="Q102:Q1048576 Q77:Q79 Q63:Q64 Q51:Q61 Q81:Q89 Q66:Q74 Q98:Q100 Q91:Q96 Q1:Q49">
    <cfRule type="duplicateValues" dxfId="9" priority="1"/>
  </conditionalFormatting>
  <dataValidations count="1">
    <dataValidation allowBlank="1" showInputMessage="1" showErrorMessage="1" sqref="N194:P194 F194:H194 E82 O186:O194 AC102:AF102 AM168:AM193 H186:H193 O171 N106:O106 Q104:Q114 H94:H121 R174:V189 AN159:XFD172 R103:V145 AM173:XFD173 AM159:AM165 R159:S159 U167:Z167 C186:C194 H123:H184 Q122:Q136 Q138:Q148 O77:O84 O102 N103:O103 N104:N105 AC128:AF128 C94:C184 D94:D194 F94:G193 N94:N102 N93:Z93 N173:Z173 Q116:Q120 Q77 AN174:XFD193 AE185:AE193 Q94:Q96 AJ11:XFD158 R32:V92 A94:B194 Q159:Q164 Q166:Q172 AE113:AF127 Q102:Z102 Q98:Q99 Q51:Q61 AI30:AI158 I94:L193 AF139:AF145 A195 O11:O75 F2:L93 AF95 Q91 Q66:Q74 AE95:AE111 AF110:AF111 U191:V194 Q11:V31 N174:N193 N11:N92 AI11:AI28 AE129:AF133 O184 R191:T193 O147 AI2:XFD10 Q32:Q49 Q79 A2:D93 A1:XFD2 AE135:AF136 Q64 AE32:AE92 Q81:Q89 AA165:AC193 AD191:AD193 AF91:AF92 P11:P92 N2:V10 AD166:AD189 U152:Z152 AF32:AF89 Z128:AA128 AF97:AF108 O117:O118 O120:O133 O135:O145 O149 AF147:AF151 N107:N172 R167:S167 Q150:V151 Q152:S152 U159:Z159 O168:O169 P94:P172 O152:O158 AF168:AF193 AE168:AE183 AI159:AL193 AE165:AE166 AF153:AF166 AE138:AE163 W174:Z185 R146:U146 AA129:AD164 R147:V149 AA2:AF31 AG2:AG194 AA32:AD127 W103:Y151 W3:Z92 R94:Z101 Z103:Z127 Z129:Z151 Q153:Z158 R160:Z166 R168:Z172 P174:Q193" xr:uid="{00F5EE5C-CA4D-440E-8806-E1F7E509FDC6}"/>
  </dataValidations>
  <pageMargins left="0.7" right="0.7" top="0.75" bottom="0.75" header="0.3" footer="0.3"/>
  <pageSetup paperSize="9" orientation="portrait" horizontalDpi="0" verticalDpi="0"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C2BCBB64-320A-4443-A405-D190D283363E}">
          <x14:formula1>
            <xm:f>'Data Validation'!$A$13:$A$24</xm:f>
          </x14:formula1>
          <xm:sqref>M5 M117:M194 M13:M14 M16:M18 M23:M114</xm:sqref>
        </x14:dataValidation>
        <x14:dataValidation type="list" allowBlank="1" showInputMessage="1" showErrorMessage="1" xr:uid="{849BEF9E-6E0B-4A11-B913-2333F21D4588}">
          <x14:formula1>
            <xm:f>'Data Validation'!$H$2:$H$5</xm:f>
          </x14:formula1>
          <xm:sqref>AH2:AH194</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C410E-A01E-41BE-A8D2-90B4904F1646}">
  <sheetPr codeName="Sheet5">
    <tabColor rgb="FF92D050"/>
    <pageSetUpPr fitToPage="1"/>
  </sheetPr>
  <dimension ref="A1:AW18"/>
  <sheetViews>
    <sheetView workbookViewId="0">
      <pane xSplit="2" ySplit="1" topLeftCell="C2" activePane="bottomRight" state="frozen"/>
      <selection pane="topRight"/>
      <selection pane="bottomLeft"/>
      <selection pane="bottomRight" activeCell="F15" sqref="F15"/>
    </sheetView>
  </sheetViews>
  <sheetFormatPr defaultColWidth="9.140625" defaultRowHeight="15"/>
  <cols>
    <col min="1" max="1" width="24.140625" style="78" customWidth="1"/>
    <col min="2" max="2" width="24.140625" style="81" customWidth="1"/>
    <col min="3" max="5" width="24.140625" style="78" customWidth="1"/>
    <col min="6" max="6" width="36.5703125" style="81" customWidth="1"/>
    <col min="7" max="8" width="16.140625" style="78" customWidth="1"/>
    <col min="9" max="9" width="24.85546875" style="78" customWidth="1"/>
    <col min="10" max="10" width="13.7109375" style="78" customWidth="1"/>
    <col min="11" max="11" width="12.28515625" style="78" customWidth="1"/>
    <col min="12" max="12" width="17.28515625" style="78" customWidth="1"/>
    <col min="13" max="13" width="11.140625" style="78" customWidth="1"/>
    <col min="14" max="14" width="24" style="78" customWidth="1"/>
    <col min="15" max="17" width="32.28515625" style="81" customWidth="1"/>
    <col min="18" max="18" width="18.85546875" style="78" customWidth="1"/>
    <col min="19" max="20" width="22.85546875" style="78" bestFit="1" customWidth="1"/>
    <col min="21" max="21" width="23.85546875" style="78" bestFit="1" customWidth="1"/>
    <col min="22" max="22" width="16" style="78" bestFit="1" customWidth="1"/>
    <col min="23" max="40" width="23.5703125" style="78" customWidth="1"/>
    <col min="41" max="41" width="170.85546875" style="78" customWidth="1"/>
    <col min="42" max="42" width="31" style="78" customWidth="1"/>
    <col min="43" max="43" width="23.5703125" style="78" customWidth="1"/>
    <col min="44" max="44" width="15.140625" style="78" customWidth="1"/>
    <col min="45" max="45" width="18.140625" style="78" customWidth="1"/>
    <col min="46" max="46" width="11.140625" style="78" customWidth="1"/>
    <col min="47" max="47" width="12.42578125" style="78" customWidth="1"/>
    <col min="48" max="48" width="13.85546875" style="78" customWidth="1"/>
    <col min="49" max="49" width="19.85546875" style="78" customWidth="1"/>
    <col min="50" max="16384" width="9.140625" style="78"/>
  </cols>
  <sheetData>
    <row r="1" spans="1:49" s="747" customFormat="1" ht="45">
      <c r="A1" s="748" t="s">
        <v>85</v>
      </c>
      <c r="B1" s="748" t="s">
        <v>54</v>
      </c>
      <c r="C1" s="748" t="s">
        <v>1565</v>
      </c>
      <c r="D1" s="748" t="s">
        <v>88</v>
      </c>
      <c r="E1" s="748" t="s">
        <v>89</v>
      </c>
      <c r="F1" s="748" t="s">
        <v>1566</v>
      </c>
      <c r="G1" s="748" t="s">
        <v>90</v>
      </c>
      <c r="H1" s="748" t="s">
        <v>91</v>
      </c>
      <c r="I1" s="748" t="s">
        <v>785</v>
      </c>
      <c r="J1" s="748" t="s">
        <v>1567</v>
      </c>
      <c r="K1" s="748" t="s">
        <v>1568</v>
      </c>
      <c r="L1" s="748" t="s">
        <v>1569</v>
      </c>
      <c r="M1" s="748" t="s">
        <v>1570</v>
      </c>
      <c r="N1" s="748" t="s">
        <v>1571</v>
      </c>
      <c r="O1" s="748" t="s">
        <v>1572</v>
      </c>
      <c r="P1" s="748" t="s">
        <v>1573</v>
      </c>
      <c r="Q1" s="748" t="s">
        <v>1574</v>
      </c>
      <c r="R1" s="748" t="s">
        <v>99</v>
      </c>
      <c r="S1" s="748" t="s">
        <v>2</v>
      </c>
      <c r="T1" s="748" t="s">
        <v>1575</v>
      </c>
      <c r="U1" s="748" t="s">
        <v>102</v>
      </c>
      <c r="V1" s="748" t="s">
        <v>103</v>
      </c>
      <c r="W1" s="748" t="s">
        <v>104</v>
      </c>
      <c r="X1" s="748" t="s">
        <v>105</v>
      </c>
      <c r="Y1" s="748" t="s">
        <v>106</v>
      </c>
      <c r="Z1" s="748" t="s">
        <v>107</v>
      </c>
      <c r="AA1" s="748" t="s">
        <v>108</v>
      </c>
      <c r="AB1" s="748" t="s">
        <v>109</v>
      </c>
      <c r="AC1" s="748" t="s">
        <v>1576</v>
      </c>
      <c r="AD1" s="748" t="s">
        <v>111</v>
      </c>
      <c r="AE1" s="748" t="s">
        <v>112</v>
      </c>
      <c r="AF1" s="748" t="s">
        <v>1577</v>
      </c>
      <c r="AG1" s="748" t="s">
        <v>1578</v>
      </c>
      <c r="AH1" s="748" t="s">
        <v>1579</v>
      </c>
      <c r="AI1" s="748" t="s">
        <v>1580</v>
      </c>
      <c r="AJ1" s="748" t="s">
        <v>1581</v>
      </c>
      <c r="AK1" s="748" t="s">
        <v>1582</v>
      </c>
      <c r="AL1" s="748" t="s">
        <v>1583</v>
      </c>
      <c r="AM1" s="748" t="s">
        <v>1584</v>
      </c>
      <c r="AN1" s="748" t="s">
        <v>1585</v>
      </c>
      <c r="AO1" s="748" t="s">
        <v>1586</v>
      </c>
      <c r="AP1" s="748" t="s">
        <v>118</v>
      </c>
      <c r="AQ1" s="748" t="s">
        <v>798</v>
      </c>
      <c r="AR1" s="748" t="s">
        <v>125</v>
      </c>
      <c r="AS1" s="748" t="s">
        <v>799</v>
      </c>
      <c r="AT1" s="748" t="s">
        <v>800</v>
      </c>
      <c r="AU1" s="748" t="s">
        <v>802</v>
      </c>
      <c r="AV1" s="748" t="s">
        <v>803</v>
      </c>
      <c r="AW1" s="748" t="s">
        <v>804</v>
      </c>
    </row>
    <row r="2" spans="1:49">
      <c r="A2" s="11" t="s">
        <v>773</v>
      </c>
      <c r="B2" s="7" t="s">
        <v>825</v>
      </c>
      <c r="C2" s="11" t="s">
        <v>1248</v>
      </c>
      <c r="D2" s="11" t="s">
        <v>159</v>
      </c>
      <c r="E2" s="11" t="s">
        <v>1587</v>
      </c>
      <c r="F2" s="7" t="s">
        <v>54</v>
      </c>
      <c r="G2" s="11">
        <v>121.38001939999999</v>
      </c>
      <c r="H2" s="11">
        <v>15.382611109999999</v>
      </c>
      <c r="I2" s="11" t="s">
        <v>1588</v>
      </c>
      <c r="J2" s="11">
        <v>2019</v>
      </c>
      <c r="K2" s="11">
        <v>1</v>
      </c>
      <c r="L2" s="11" t="s">
        <v>1589</v>
      </c>
      <c r="M2" s="11">
        <v>1</v>
      </c>
      <c r="N2" s="11" t="s">
        <v>1590</v>
      </c>
      <c r="O2" s="7" t="s">
        <v>69</v>
      </c>
      <c r="P2" s="7" t="s">
        <v>69</v>
      </c>
      <c r="Q2" s="7" t="s">
        <v>69</v>
      </c>
      <c r="R2" s="377" t="s">
        <v>82</v>
      </c>
      <c r="S2" s="11" t="s">
        <v>14</v>
      </c>
      <c r="T2" s="11"/>
      <c r="U2" s="11" t="s">
        <v>163</v>
      </c>
      <c r="V2" s="11" t="s">
        <v>1591</v>
      </c>
      <c r="W2" s="34">
        <v>45939</v>
      </c>
      <c r="X2" s="34">
        <v>45945</v>
      </c>
      <c r="Y2" s="34"/>
      <c r="Z2" s="34">
        <v>45946</v>
      </c>
      <c r="AA2" s="34">
        <v>45947</v>
      </c>
      <c r="AB2" s="45">
        <f t="shared" ref="AB2:AB18" si="0">IF(
    OR(ISBLANK(W2), ISBLANK(X2)),
    "",
    MAX(1, IF(
        NETWORKDAYS(W2, X2) &lt;= 0,
        1,
        NETWORKDAYS(W2, X2) - IF(W2 = X2, 0, 1)
    ))
)</f>
        <v>4</v>
      </c>
      <c r="AC2" s="45" t="str">
        <f t="shared" ref="AC2:AC18" si="1">IF(
    OR(ISBLANK(X2), ISBLANK(Y2)),
    "",
    MAX(1, IF(
        NETWORKDAYS(X2, Y2) &lt;= 0,
        1,
        NETWORKDAYS(X2, Y2) - IF(X2 = Y2, 0, 1)
    ))
)</f>
        <v/>
      </c>
      <c r="AD2" s="45">
        <f>IF(
  OR(IF(Y2&lt;&gt;"", Y2, X2)="", Z2=""),
  "",
  MAX(1,
    IF(
      NETWORKDAYS(IF(Y2&lt;&gt;"", Y2, X2), Z2) &lt;= 0,
      1,
      NETWORKDAYS(IF(Y2&lt;&gt;"", Y2, X2), Z2) - IF(IF(Y2&lt;&gt;"", Y2, X2)=Z2, 0, 1)
    )
  )
)</f>
        <v>1</v>
      </c>
      <c r="AE2" s="45">
        <f t="shared" ref="AE2:AE18" si="2">IF(
    OR(ISBLANK(Z2), ISBLANK(AA2)),
    "",
    MAX(1, IF(
        NETWORKDAYS(Z2, AA2) &lt;= 0,
        1,
        NETWORKDAYS(Z2, AA2) - IF(Z2 = AA2, 0, 1)
    ))
)</f>
        <v>1</v>
      </c>
      <c r="AF2" s="11" t="s">
        <v>150</v>
      </c>
      <c r="AG2" s="11" t="s">
        <v>847</v>
      </c>
      <c r="AH2" s="11"/>
      <c r="AI2" s="11" t="s">
        <v>1592</v>
      </c>
      <c r="AJ2" s="11">
        <v>1</v>
      </c>
      <c r="AK2" s="11"/>
      <c r="AL2" s="11">
        <v>2</v>
      </c>
      <c r="AM2" s="11" t="s">
        <v>815</v>
      </c>
      <c r="AN2" s="7" t="s">
        <v>1593</v>
      </c>
      <c r="AO2" s="11" t="s">
        <v>1594</v>
      </c>
      <c r="AP2" s="11" t="s">
        <v>809</v>
      </c>
      <c r="AQ2" s="11"/>
      <c r="AR2" s="11"/>
      <c r="AS2" s="11"/>
      <c r="AT2" s="11"/>
      <c r="AU2" s="11"/>
      <c r="AV2" s="11"/>
      <c r="AW2" s="11"/>
    </row>
    <row r="3" spans="1:49" ht="75">
      <c r="A3" s="374" t="s">
        <v>780</v>
      </c>
      <c r="B3" s="375" t="s">
        <v>1539</v>
      </c>
      <c r="C3" s="374" t="s">
        <v>1540</v>
      </c>
      <c r="D3" s="374" t="s">
        <v>159</v>
      </c>
      <c r="E3" s="374" t="s">
        <v>185</v>
      </c>
      <c r="F3" s="375" t="s">
        <v>54</v>
      </c>
      <c r="G3" s="374">
        <v>120.02509999999999</v>
      </c>
      <c r="H3" s="374">
        <v>15.396100000000001</v>
      </c>
      <c r="I3" s="374" t="s">
        <v>1595</v>
      </c>
      <c r="J3" s="374">
        <v>2021</v>
      </c>
      <c r="K3" s="374">
        <v>1</v>
      </c>
      <c r="L3" s="374" t="s">
        <v>1596</v>
      </c>
      <c r="M3" s="374">
        <v>1</v>
      </c>
      <c r="N3" s="374" t="s">
        <v>1597</v>
      </c>
      <c r="O3" s="375" t="s">
        <v>1598</v>
      </c>
      <c r="P3" s="375" t="s">
        <v>69</v>
      </c>
      <c r="Q3" s="375" t="s">
        <v>1599</v>
      </c>
      <c r="R3" s="751" t="s">
        <v>82</v>
      </c>
      <c r="S3" s="374"/>
      <c r="T3" s="374" t="s">
        <v>163</v>
      </c>
      <c r="U3" s="374" t="s">
        <v>164</v>
      </c>
      <c r="V3" s="374" t="s">
        <v>1600</v>
      </c>
      <c r="W3" s="745">
        <v>45937</v>
      </c>
      <c r="X3" s="745"/>
      <c r="Y3" s="745">
        <v>46009</v>
      </c>
      <c r="Z3" s="745">
        <v>46009</v>
      </c>
      <c r="AA3" s="745">
        <v>46009</v>
      </c>
      <c r="AB3" s="746" t="str">
        <f t="shared" si="0"/>
        <v/>
      </c>
      <c r="AC3" s="746" t="str">
        <f t="shared" si="1"/>
        <v/>
      </c>
      <c r="AD3" s="746">
        <f>IF(
  OR(IF(Y3&lt;&gt;"", Y3, X3)="", Z3=""),
  "",
  MAX(1,
    IF(
      NETWORKDAYS(IF(Y3&lt;&gt;"", Y3, X3), Z3) &lt;= 0,
      1,
      NETWORKDAYS(IF(Y3&lt;&gt;"", Y3, X3), Z3) - IF(IF(Y3&lt;&gt;"", Y3, X3)=Z3, 0, 1)
    )
  )
)</f>
        <v>1</v>
      </c>
      <c r="AE3" s="746">
        <f t="shared" si="2"/>
        <v>1</v>
      </c>
      <c r="AF3" s="374" t="s">
        <v>1601</v>
      </c>
      <c r="AG3" s="374" t="s">
        <v>847</v>
      </c>
      <c r="AH3" s="374" t="s">
        <v>1602</v>
      </c>
      <c r="AI3" s="374" t="s">
        <v>1603</v>
      </c>
      <c r="AJ3" s="374">
        <v>1</v>
      </c>
      <c r="AK3" s="374" t="s">
        <v>808</v>
      </c>
      <c r="AL3" s="374">
        <v>4</v>
      </c>
      <c r="AM3" s="374" t="s">
        <v>815</v>
      </c>
      <c r="AN3" s="374" t="s">
        <v>1593</v>
      </c>
      <c r="AO3" s="375" t="s">
        <v>1604</v>
      </c>
      <c r="AP3" s="374"/>
      <c r="AQ3" s="374"/>
      <c r="AR3" s="374"/>
      <c r="AS3" s="374"/>
      <c r="AT3" s="374"/>
      <c r="AU3" s="374"/>
      <c r="AV3" s="374"/>
      <c r="AW3" s="374"/>
    </row>
    <row r="4" spans="1:49" ht="30">
      <c r="A4" s="11" t="s">
        <v>777</v>
      </c>
      <c r="B4" s="7" t="s">
        <v>1255</v>
      </c>
      <c r="C4" s="11" t="s">
        <v>1256</v>
      </c>
      <c r="D4" s="11" t="s">
        <v>143</v>
      </c>
      <c r="E4" s="11" t="s">
        <v>160</v>
      </c>
      <c r="F4" s="7" t="s">
        <v>54</v>
      </c>
      <c r="G4" s="11">
        <v>120.7461167</v>
      </c>
      <c r="H4" s="11">
        <v>15.71451111</v>
      </c>
      <c r="I4" s="11" t="s">
        <v>1605</v>
      </c>
      <c r="J4" s="11">
        <v>2013</v>
      </c>
      <c r="K4" s="11">
        <v>1</v>
      </c>
      <c r="L4" s="11" t="s">
        <v>1606</v>
      </c>
      <c r="M4" s="11">
        <v>1</v>
      </c>
      <c r="N4" s="11" t="s">
        <v>1607</v>
      </c>
      <c r="O4" s="7" t="s">
        <v>1608</v>
      </c>
      <c r="P4" s="7" t="s">
        <v>69</v>
      </c>
      <c r="Q4" s="7" t="s">
        <v>1609</v>
      </c>
      <c r="R4" s="749" t="s">
        <v>83</v>
      </c>
      <c r="S4" s="11" t="s">
        <v>29</v>
      </c>
      <c r="T4" s="11" t="s">
        <v>1610</v>
      </c>
      <c r="U4" s="11" t="s">
        <v>212</v>
      </c>
      <c r="V4" s="11" t="s">
        <v>1611</v>
      </c>
      <c r="W4" s="34">
        <v>45958</v>
      </c>
      <c r="X4" s="34">
        <v>45979</v>
      </c>
      <c r="Y4" s="34">
        <v>45980</v>
      </c>
      <c r="Z4" s="34">
        <v>45980</v>
      </c>
      <c r="AA4" s="34">
        <v>45981</v>
      </c>
      <c r="AB4" s="45">
        <f t="shared" si="0"/>
        <v>15</v>
      </c>
      <c r="AC4" s="45">
        <f t="shared" si="1"/>
        <v>1</v>
      </c>
      <c r="AD4" s="45">
        <f>IF(
  OR(IF(Y4&lt;&gt;"", Y4, X4)="", Z4=""),
  "",
  MAX(1,
    IF(
      NETWORKDAYS(IF(Y4&lt;&gt;"", Y4, X4), Z4) &lt;= 0,
      1,
      NETWORKDAYS(IF(Y4&lt;&gt;"", Y4, X4), Z4) - IF(IF(Y4&lt;&gt;"", Y4, X4)=Z4, 0, 1)
    )
  )
)</f>
        <v>1</v>
      </c>
      <c r="AE4" s="45">
        <f t="shared" si="2"/>
        <v>1</v>
      </c>
      <c r="AF4" s="11" t="s">
        <v>150</v>
      </c>
      <c r="AG4" s="11" t="s">
        <v>847</v>
      </c>
      <c r="AH4" s="11"/>
      <c r="AI4" s="11" t="s">
        <v>1612</v>
      </c>
      <c r="AJ4" s="11">
        <v>1</v>
      </c>
      <c r="AK4" s="11"/>
      <c r="AL4" s="11">
        <v>1</v>
      </c>
      <c r="AM4" s="11"/>
      <c r="AN4" s="11" t="s">
        <v>1593</v>
      </c>
      <c r="AO4" s="11" t="s">
        <v>1594</v>
      </c>
      <c r="AP4" s="11" t="s">
        <v>809</v>
      </c>
      <c r="AQ4" s="11"/>
      <c r="AR4" s="11"/>
      <c r="AS4" s="11"/>
      <c r="AT4" s="11"/>
      <c r="AU4" s="11"/>
      <c r="AV4" s="11"/>
      <c r="AW4" s="11"/>
    </row>
    <row r="5" spans="1:49" ht="30">
      <c r="A5" s="11" t="s">
        <v>778</v>
      </c>
      <c r="B5" s="7" t="s">
        <v>1613</v>
      </c>
      <c r="C5" s="11" t="s">
        <v>1614</v>
      </c>
      <c r="D5" s="11" t="s">
        <v>143</v>
      </c>
      <c r="E5" s="11" t="s">
        <v>185</v>
      </c>
      <c r="F5" s="7" t="s">
        <v>1615</v>
      </c>
      <c r="G5" s="11">
        <v>120.48104600000001</v>
      </c>
      <c r="H5" s="11">
        <v>15.048202</v>
      </c>
      <c r="I5" s="11" t="s">
        <v>1616</v>
      </c>
      <c r="J5" s="11">
        <v>2024</v>
      </c>
      <c r="K5" s="11">
        <v>4</v>
      </c>
      <c r="L5" s="11" t="s">
        <v>1617</v>
      </c>
      <c r="M5" s="11" t="s">
        <v>69</v>
      </c>
      <c r="N5" s="11" t="s">
        <v>1618</v>
      </c>
      <c r="O5" s="7" t="s">
        <v>1619</v>
      </c>
      <c r="P5" s="7" t="s">
        <v>1620</v>
      </c>
      <c r="Q5" s="7" t="s">
        <v>1621</v>
      </c>
      <c r="R5" s="749" t="s">
        <v>83</v>
      </c>
      <c r="S5" s="11"/>
      <c r="T5" s="11"/>
      <c r="U5" s="11" t="s">
        <v>148</v>
      </c>
      <c r="V5" s="11" t="s">
        <v>1622</v>
      </c>
      <c r="W5" s="34">
        <v>45939</v>
      </c>
      <c r="X5" s="34">
        <v>45981</v>
      </c>
      <c r="Y5" s="34"/>
      <c r="Z5" s="34">
        <v>45981</v>
      </c>
      <c r="AA5" s="34">
        <v>45981</v>
      </c>
      <c r="AB5" s="45">
        <f t="shared" si="0"/>
        <v>30</v>
      </c>
      <c r="AC5" s="45" t="str">
        <f t="shared" si="1"/>
        <v/>
      </c>
      <c r="AD5" s="45">
        <f>IF(
  OR(IF(Y5&lt;&gt;"", Y5, X5)="", Z5=""),
  "",
  MAX(1,
    IF(
      NETWORKDAYS(IF(Y5&lt;&gt;"", Y5, X5), Z5) &lt;= 0,
      1,
      NETWORKDAYS(IF(Y5&lt;&gt;"", Y5, X5), Z5) - IF(IF(Y5&lt;&gt;"", Y5, X5)=Z5, 0, 1)
    )
  )
)</f>
        <v>1</v>
      </c>
      <c r="AE5" s="45">
        <f t="shared" si="2"/>
        <v>1</v>
      </c>
      <c r="AF5" s="11" t="s">
        <v>150</v>
      </c>
      <c r="AG5" s="11" t="s">
        <v>847</v>
      </c>
      <c r="AH5" s="11"/>
      <c r="AI5" s="11"/>
      <c r="AJ5" s="11"/>
      <c r="AK5" s="11"/>
      <c r="AL5" s="11">
        <v>2</v>
      </c>
      <c r="AM5" s="11">
        <v>0</v>
      </c>
      <c r="AN5" s="11" t="s">
        <v>1623</v>
      </c>
      <c r="AO5" s="11"/>
      <c r="AP5" s="11"/>
      <c r="AQ5" s="11"/>
      <c r="AR5" s="11"/>
      <c r="AS5" s="11"/>
      <c r="AT5" s="11"/>
      <c r="AU5" s="11"/>
      <c r="AV5" s="11"/>
      <c r="AW5" s="11"/>
    </row>
    <row r="6" spans="1:49">
      <c r="A6" s="11" t="s">
        <v>773</v>
      </c>
      <c r="B6" s="7" t="s">
        <v>1624</v>
      </c>
      <c r="C6" s="11" t="s">
        <v>984</v>
      </c>
      <c r="D6" s="11" t="s">
        <v>159</v>
      </c>
      <c r="E6" s="11" t="s">
        <v>1587</v>
      </c>
      <c r="F6" s="7" t="s">
        <v>54</v>
      </c>
      <c r="G6" s="11">
        <v>121.47954</v>
      </c>
      <c r="H6" s="11">
        <v>15.814234000000001</v>
      </c>
      <c r="I6" s="11" t="s">
        <v>1625</v>
      </c>
      <c r="J6" s="11">
        <v>2024</v>
      </c>
      <c r="K6" s="11">
        <v>1</v>
      </c>
      <c r="L6" s="11" t="s">
        <v>1626</v>
      </c>
      <c r="M6" s="11">
        <v>1</v>
      </c>
      <c r="N6" s="11" t="s">
        <v>1627</v>
      </c>
      <c r="O6" s="7" t="s">
        <v>1628</v>
      </c>
      <c r="P6" s="7" t="s">
        <v>1629</v>
      </c>
      <c r="Q6" s="7" t="s">
        <v>1630</v>
      </c>
      <c r="R6" s="378" t="s">
        <v>74</v>
      </c>
      <c r="S6" s="11" t="s">
        <v>14</v>
      </c>
      <c r="T6" s="11"/>
      <c r="U6" s="11" t="s">
        <v>163</v>
      </c>
      <c r="V6" s="11" t="s">
        <v>1631</v>
      </c>
      <c r="W6" s="34">
        <v>45699</v>
      </c>
      <c r="X6" s="34">
        <v>45706</v>
      </c>
      <c r="Y6" s="34">
        <v>45706</v>
      </c>
      <c r="Z6" s="34">
        <v>45707</v>
      </c>
      <c r="AA6" s="34">
        <v>45707</v>
      </c>
      <c r="AB6" s="423">
        <f t="shared" si="0"/>
        <v>5</v>
      </c>
      <c r="AC6" s="423">
        <f t="shared" si="1"/>
        <v>1</v>
      </c>
      <c r="AD6" s="423">
        <f>IF(
  OR(IF(Y6&lt;&gt;"", Y6, X6)="", Z6=""),
  "",
  MAX(1,
    IF(
      NETWORKDAYS(IF(Y6&lt;&gt;"", Y6, X6), Z6) &lt;= 0,
      1,
      NETWORKDAYS(IF(Y6&lt;&gt;"", Y6, X6), Z6) - IF(IF(Y6&lt;&gt;"", Y6, X6)=Z6, 0, 1)
    )
  )
)</f>
        <v>1</v>
      </c>
      <c r="AE6" s="423">
        <f t="shared" si="2"/>
        <v>1</v>
      </c>
      <c r="AF6" s="11" t="s">
        <v>150</v>
      </c>
      <c r="AG6" s="11" t="s">
        <v>847</v>
      </c>
      <c r="AH6" s="11"/>
      <c r="AI6" s="82">
        <v>1832.4</v>
      </c>
      <c r="AJ6" s="11">
        <v>1</v>
      </c>
      <c r="AK6" s="11"/>
      <c r="AL6" s="11"/>
      <c r="AM6" s="11"/>
      <c r="AN6" s="11" t="s">
        <v>1593</v>
      </c>
      <c r="AO6" s="11" t="s">
        <v>1632</v>
      </c>
      <c r="AP6" s="11"/>
      <c r="AQ6" s="11"/>
      <c r="AR6" s="11"/>
      <c r="AS6" s="11"/>
      <c r="AT6" s="11"/>
      <c r="AU6" s="11"/>
      <c r="AV6" s="11"/>
      <c r="AW6" s="11"/>
    </row>
    <row r="7" spans="1:49">
      <c r="A7" s="11" t="s">
        <v>774</v>
      </c>
      <c r="B7" s="7" t="s">
        <v>1633</v>
      </c>
      <c r="C7" s="11" t="s">
        <v>843</v>
      </c>
      <c r="D7" s="11" t="s">
        <v>143</v>
      </c>
      <c r="E7" s="11" t="s">
        <v>160</v>
      </c>
      <c r="F7" s="7" t="s">
        <v>1634</v>
      </c>
      <c r="G7" s="11">
        <v>120.48693900000001</v>
      </c>
      <c r="H7" s="11">
        <v>14.700714</v>
      </c>
      <c r="I7" s="11" t="s">
        <v>1635</v>
      </c>
      <c r="J7" s="103">
        <v>2024</v>
      </c>
      <c r="K7" s="11">
        <v>4</v>
      </c>
      <c r="L7" s="103" t="s">
        <v>1636</v>
      </c>
      <c r="M7" s="11">
        <v>4</v>
      </c>
      <c r="N7" s="11" t="s">
        <v>1637</v>
      </c>
      <c r="O7" s="7" t="s">
        <v>1638</v>
      </c>
      <c r="P7" s="7" t="s">
        <v>69</v>
      </c>
      <c r="Q7" s="7" t="s">
        <v>1639</v>
      </c>
      <c r="R7" s="378" t="s">
        <v>74</v>
      </c>
      <c r="S7" s="11" t="s">
        <v>188</v>
      </c>
      <c r="T7" s="11"/>
      <c r="U7" s="11" t="s">
        <v>180</v>
      </c>
      <c r="V7" s="11" t="s">
        <v>1640</v>
      </c>
      <c r="W7" s="34">
        <v>45695</v>
      </c>
      <c r="X7" s="34">
        <v>45697</v>
      </c>
      <c r="Y7" s="34">
        <v>45698</v>
      </c>
      <c r="Z7" s="34">
        <v>45708</v>
      </c>
      <c r="AA7" s="34">
        <v>45709</v>
      </c>
      <c r="AB7" s="423">
        <f t="shared" si="0"/>
        <v>1</v>
      </c>
      <c r="AC7" s="423">
        <f t="shared" si="1"/>
        <v>1</v>
      </c>
      <c r="AD7" s="423">
        <f>IF(
    OR(ISBLANK(Y7), ISBLANK(Z7)),
    "",
    MAX(1, IF(
        NETWORKDAYS(Y7,Z7) &lt;= 0,
        1,
        NETWORKDAYS(Y7, Z7) - IF(Y7 = Z7, 0, 1)
    ))
)</f>
        <v>8</v>
      </c>
      <c r="AE7" s="423">
        <f t="shared" si="2"/>
        <v>1</v>
      </c>
      <c r="AF7" s="11" t="s">
        <v>1641</v>
      </c>
      <c r="AG7" s="11" t="s">
        <v>847</v>
      </c>
      <c r="AH7" s="11"/>
      <c r="AI7" s="11" t="s">
        <v>1642</v>
      </c>
      <c r="AJ7" s="11">
        <v>3</v>
      </c>
      <c r="AK7" s="11" t="s">
        <v>1642</v>
      </c>
      <c r="AL7" s="11">
        <v>1</v>
      </c>
      <c r="AM7" s="11">
        <v>0</v>
      </c>
      <c r="AN7" s="11" t="s">
        <v>1643</v>
      </c>
      <c r="AO7" s="11" t="s">
        <v>1632</v>
      </c>
      <c r="AP7" s="11"/>
      <c r="AQ7" s="11"/>
      <c r="AR7" s="11"/>
      <c r="AS7" s="11"/>
      <c r="AT7" s="11"/>
      <c r="AU7" s="11"/>
      <c r="AV7" s="11"/>
      <c r="AW7" s="11"/>
    </row>
    <row r="8" spans="1:49">
      <c r="A8" s="11" t="s">
        <v>777</v>
      </c>
      <c r="B8" s="7" t="s">
        <v>1644</v>
      </c>
      <c r="C8" s="11" t="s">
        <v>1645</v>
      </c>
      <c r="D8" s="11" t="s">
        <v>143</v>
      </c>
      <c r="E8" s="11" t="s">
        <v>185</v>
      </c>
      <c r="F8" s="7" t="s">
        <v>54</v>
      </c>
      <c r="G8" s="11">
        <v>120.9720361</v>
      </c>
      <c r="H8" s="11">
        <v>15.397636110000001</v>
      </c>
      <c r="I8" s="11" t="s">
        <v>1646</v>
      </c>
      <c r="J8" s="11">
        <v>2019</v>
      </c>
      <c r="K8" s="11">
        <v>1</v>
      </c>
      <c r="L8" s="11" t="s">
        <v>1647</v>
      </c>
      <c r="M8" s="11">
        <v>1</v>
      </c>
      <c r="N8" s="11" t="s">
        <v>1648</v>
      </c>
      <c r="O8" s="7" t="s">
        <v>1649</v>
      </c>
      <c r="P8" s="7" t="s">
        <v>69</v>
      </c>
      <c r="Q8" s="7" t="s">
        <v>1650</v>
      </c>
      <c r="R8" s="377" t="s">
        <v>75</v>
      </c>
      <c r="S8" s="11" t="s">
        <v>28</v>
      </c>
      <c r="T8" s="11" t="s">
        <v>1610</v>
      </c>
      <c r="U8" s="11" t="s">
        <v>212</v>
      </c>
      <c r="V8" s="11" t="s">
        <v>1651</v>
      </c>
      <c r="W8" s="34">
        <v>45730</v>
      </c>
      <c r="X8" s="34">
        <v>45734</v>
      </c>
      <c r="Y8" s="34">
        <v>45735</v>
      </c>
      <c r="Z8" s="34">
        <v>45735</v>
      </c>
      <c r="AA8" s="34">
        <v>45735</v>
      </c>
      <c r="AB8" s="45">
        <f t="shared" si="0"/>
        <v>2</v>
      </c>
      <c r="AC8" s="45">
        <f t="shared" si="1"/>
        <v>1</v>
      </c>
      <c r="AD8" s="45">
        <f>IF(
  OR(IF(Y8&lt;&gt;"", Y8, X8)="", Z8=""),
  "",
  MAX(1,
    IF(
      NETWORKDAYS(IF(Y8&lt;&gt;"", Y8, X8), Z8) &lt;= 0,
      1,
      NETWORKDAYS(IF(Y8&lt;&gt;"", Y8, X8), Z8) - IF(IF(Y8&lt;&gt;"", Y8, X8)=Z8, 0, 1)
    )
  )
)</f>
        <v>1</v>
      </c>
      <c r="AE8" s="45">
        <f t="shared" si="2"/>
        <v>1</v>
      </c>
      <c r="AF8" s="11" t="s">
        <v>150</v>
      </c>
      <c r="AG8" s="11" t="s">
        <v>847</v>
      </c>
      <c r="AH8" s="11" t="s">
        <v>1652</v>
      </c>
      <c r="AI8" s="11">
        <v>3000</v>
      </c>
      <c r="AJ8" s="11">
        <v>1</v>
      </c>
      <c r="AK8" s="11"/>
      <c r="AL8" s="11">
        <v>1</v>
      </c>
      <c r="AM8" s="11">
        <v>9</v>
      </c>
      <c r="AN8" s="11" t="s">
        <v>1593</v>
      </c>
      <c r="AO8" s="11"/>
      <c r="AP8" s="11"/>
      <c r="AQ8" s="11"/>
      <c r="AR8" s="11"/>
      <c r="AS8" s="11"/>
      <c r="AT8" s="11"/>
      <c r="AU8" s="11"/>
      <c r="AV8" s="11"/>
      <c r="AW8" s="11"/>
    </row>
    <row r="9" spans="1:49">
      <c r="A9" s="11" t="s">
        <v>777</v>
      </c>
      <c r="B9" s="7" t="s">
        <v>1653</v>
      </c>
      <c r="C9" s="11" t="s">
        <v>1253</v>
      </c>
      <c r="D9" s="11" t="s">
        <v>143</v>
      </c>
      <c r="E9" s="11" t="s">
        <v>144</v>
      </c>
      <c r="F9" s="7" t="s">
        <v>54</v>
      </c>
      <c r="G9" s="11">
        <v>121.0623556</v>
      </c>
      <c r="H9" s="11">
        <v>15.389950000000001</v>
      </c>
      <c r="I9" s="11" t="s">
        <v>1654</v>
      </c>
      <c r="J9" s="11">
        <v>2018</v>
      </c>
      <c r="K9" s="11">
        <v>1</v>
      </c>
      <c r="L9" s="11" t="s">
        <v>1655</v>
      </c>
      <c r="M9" s="11">
        <v>1</v>
      </c>
      <c r="N9" s="11" t="s">
        <v>1656</v>
      </c>
      <c r="O9" s="7" t="s">
        <v>1657</v>
      </c>
      <c r="P9" s="7" t="s">
        <v>69</v>
      </c>
      <c r="Q9" s="7" t="s">
        <v>1658</v>
      </c>
      <c r="R9" s="377" t="s">
        <v>76</v>
      </c>
      <c r="S9" s="11" t="s">
        <v>1659</v>
      </c>
      <c r="T9" s="11" t="s">
        <v>28</v>
      </c>
      <c r="U9" s="11" t="s">
        <v>212</v>
      </c>
      <c r="V9" s="11" t="s">
        <v>1660</v>
      </c>
      <c r="W9" s="34">
        <v>45758</v>
      </c>
      <c r="X9" s="34">
        <v>45763</v>
      </c>
      <c r="Y9" s="34">
        <v>45768</v>
      </c>
      <c r="Z9" s="34">
        <v>45769</v>
      </c>
      <c r="AA9" s="34">
        <v>45769</v>
      </c>
      <c r="AB9" s="45">
        <f t="shared" si="0"/>
        <v>3</v>
      </c>
      <c r="AC9" s="45">
        <f t="shared" si="1"/>
        <v>3</v>
      </c>
      <c r="AD9" s="45">
        <f>IF(
  OR(IF(Y9&lt;&gt;"", Y9, X9)="", Z9=""),
  "",
  MAX(1,
    IF(
      NETWORKDAYS(IF(Y9&lt;&gt;"", Y9, X9), Z9) &lt;= 0,
      1,
      NETWORKDAYS(IF(Y9&lt;&gt;"", Y9, X9), Z9) - IF(IF(Y9&lt;&gt;"", Y9, X9)=Z9, 0, 1)
    )
  )
)</f>
        <v>1</v>
      </c>
      <c r="AE9" s="45">
        <f t="shared" si="2"/>
        <v>1</v>
      </c>
      <c r="AF9" s="11" t="s">
        <v>150</v>
      </c>
      <c r="AG9" s="11" t="s">
        <v>847</v>
      </c>
      <c r="AH9" s="11"/>
      <c r="AI9" s="11" t="s">
        <v>1661</v>
      </c>
      <c r="AJ9" s="11">
        <v>3</v>
      </c>
      <c r="AK9" s="11"/>
      <c r="AL9" s="11">
        <v>6</v>
      </c>
      <c r="AM9" s="11">
        <v>4</v>
      </c>
      <c r="AN9" s="11" t="s">
        <v>1593</v>
      </c>
      <c r="AO9" s="11" t="s">
        <v>1662</v>
      </c>
      <c r="AP9" s="11" t="s">
        <v>809</v>
      </c>
      <c r="AQ9" s="11"/>
      <c r="AR9" s="11"/>
      <c r="AS9" s="11"/>
      <c r="AT9" s="11"/>
      <c r="AU9" s="10">
        <v>45821</v>
      </c>
      <c r="AV9" s="11"/>
      <c r="AW9" s="11"/>
    </row>
    <row r="10" spans="1:49">
      <c r="A10" s="11" t="s">
        <v>780</v>
      </c>
      <c r="B10" s="7" t="s">
        <v>1546</v>
      </c>
      <c r="C10" s="11" t="s">
        <v>1547</v>
      </c>
      <c r="D10" s="11" t="s">
        <v>159</v>
      </c>
      <c r="E10" s="11" t="s">
        <v>160</v>
      </c>
      <c r="F10" s="7" t="s">
        <v>54</v>
      </c>
      <c r="G10" s="11">
        <v>120.3343139</v>
      </c>
      <c r="H10" s="11">
        <v>14.845700000000001</v>
      </c>
      <c r="I10" s="11" t="s">
        <v>1663</v>
      </c>
      <c r="J10" s="11">
        <v>2011</v>
      </c>
      <c r="K10" s="11">
        <v>4</v>
      </c>
      <c r="L10" s="11" t="s">
        <v>1664</v>
      </c>
      <c r="M10" s="11">
        <v>1</v>
      </c>
      <c r="N10" s="11" t="s">
        <v>1665</v>
      </c>
      <c r="O10" s="7" t="s">
        <v>1666</v>
      </c>
      <c r="P10" s="7" t="s">
        <v>69</v>
      </c>
      <c r="Q10" s="7" t="s">
        <v>1667</v>
      </c>
      <c r="R10" s="377" t="s">
        <v>77</v>
      </c>
      <c r="S10" s="11"/>
      <c r="T10" s="11"/>
      <c r="U10" s="11" t="s">
        <v>164</v>
      </c>
      <c r="V10" s="11" t="s">
        <v>1668</v>
      </c>
      <c r="W10" s="34">
        <v>45793</v>
      </c>
      <c r="X10" s="34">
        <v>45796</v>
      </c>
      <c r="Y10" s="34">
        <v>45796</v>
      </c>
      <c r="Z10" s="34">
        <v>45797</v>
      </c>
      <c r="AA10" s="34">
        <v>45797</v>
      </c>
      <c r="AB10" s="45">
        <f t="shared" si="0"/>
        <v>1</v>
      </c>
      <c r="AC10" s="45">
        <f t="shared" si="1"/>
        <v>1</v>
      </c>
      <c r="AD10" s="45">
        <f>IF(
  OR(IF(Y10&lt;&gt;"", Y10, X10)="", Z10=""),
  "",
  MAX(1,
    IF(
      NETWORKDAYS(IF(Y10&lt;&gt;"", Y10, X10), Z10) &lt;= 0,
      1,
      NETWORKDAYS(IF(Y10&lt;&gt;"", Y10, X10), Z10) - IF(IF(Y10&lt;&gt;"", Y10, X10)=Z10, 0, 1)
    )
  )
)</f>
        <v>1</v>
      </c>
      <c r="AE10" s="45">
        <f t="shared" si="2"/>
        <v>1</v>
      </c>
      <c r="AF10" s="11" t="s">
        <v>150</v>
      </c>
      <c r="AG10" s="11" t="s">
        <v>847</v>
      </c>
      <c r="AH10" s="11"/>
      <c r="AI10" s="11"/>
      <c r="AJ10" s="11">
        <v>8</v>
      </c>
      <c r="AK10" s="11"/>
      <c r="AL10" s="11">
        <v>1</v>
      </c>
      <c r="AM10" s="11"/>
      <c r="AN10" s="11" t="s">
        <v>1593</v>
      </c>
      <c r="AO10" s="11" t="s">
        <v>1594</v>
      </c>
      <c r="AP10" s="11"/>
      <c r="AQ10" s="11"/>
      <c r="AR10" s="11"/>
      <c r="AS10" s="11"/>
      <c r="AT10" s="11"/>
      <c r="AU10" s="11"/>
      <c r="AV10" s="11"/>
      <c r="AW10" s="11"/>
    </row>
    <row r="11" spans="1:49">
      <c r="A11" s="11" t="s">
        <v>773</v>
      </c>
      <c r="B11" s="7" t="s">
        <v>829</v>
      </c>
      <c r="C11" s="11" t="s">
        <v>979</v>
      </c>
      <c r="D11" s="11" t="s">
        <v>159</v>
      </c>
      <c r="E11" s="11" t="s">
        <v>1587</v>
      </c>
      <c r="F11" s="7" t="s">
        <v>54</v>
      </c>
      <c r="G11" s="11">
        <v>121.52559720000001</v>
      </c>
      <c r="H11" s="11">
        <v>15.876836109999999</v>
      </c>
      <c r="I11" s="11" t="s">
        <v>1669</v>
      </c>
      <c r="J11" s="11">
        <v>2009</v>
      </c>
      <c r="K11" s="11">
        <v>1</v>
      </c>
      <c r="L11" s="11" t="s">
        <v>1626</v>
      </c>
      <c r="M11" s="11">
        <v>1</v>
      </c>
      <c r="N11" s="11" t="s">
        <v>1670</v>
      </c>
      <c r="O11" s="7" t="s">
        <v>69</v>
      </c>
      <c r="P11" s="7" t="s">
        <v>69</v>
      </c>
      <c r="Q11" s="7" t="s">
        <v>69</v>
      </c>
      <c r="R11" s="749" t="s">
        <v>78</v>
      </c>
      <c r="S11" s="11" t="s">
        <v>13</v>
      </c>
      <c r="T11" s="11"/>
      <c r="U11" s="11" t="s">
        <v>163</v>
      </c>
      <c r="V11" s="11" t="s">
        <v>1671</v>
      </c>
      <c r="W11" s="34">
        <v>45819</v>
      </c>
      <c r="X11" s="34">
        <v>45821</v>
      </c>
      <c r="Y11" s="34">
        <v>45825</v>
      </c>
      <c r="Z11" s="34">
        <v>45825</v>
      </c>
      <c r="AA11" s="34">
        <v>45826</v>
      </c>
      <c r="AB11" s="45">
        <f t="shared" si="0"/>
        <v>2</v>
      </c>
      <c r="AC11" s="45">
        <f t="shared" si="1"/>
        <v>2</v>
      </c>
      <c r="AD11" s="45">
        <f>IF(
  OR(IF(Y11&lt;&gt;"", Y11, X11)="", Z11=""),
  "",
  MAX(1,
    IF(
      NETWORKDAYS(IF(Y11&lt;&gt;"", Y11, X11), Z11) &lt;= 0,
      1,
      NETWORKDAYS(IF(Y11&lt;&gt;"", Y11, X11), Z11) - IF(IF(Y11&lt;&gt;"", Y11, X11)=Z11, 0, 1)
    )
  )
)</f>
        <v>1</v>
      </c>
      <c r="AE11" s="45">
        <f t="shared" si="2"/>
        <v>1</v>
      </c>
      <c r="AF11" s="11" t="s">
        <v>150</v>
      </c>
      <c r="AG11" s="11" t="s">
        <v>847</v>
      </c>
      <c r="AH11" s="11"/>
      <c r="AI11" s="11"/>
      <c r="AJ11" s="11"/>
      <c r="AK11" s="11"/>
      <c r="AL11" s="11"/>
      <c r="AM11" s="11"/>
      <c r="AN11" s="11"/>
      <c r="AO11" s="11" t="s">
        <v>1594</v>
      </c>
      <c r="AP11" s="11"/>
      <c r="AQ11" s="11"/>
      <c r="AR11" s="11"/>
      <c r="AS11" s="11"/>
      <c r="AT11" s="11"/>
      <c r="AU11" s="11"/>
      <c r="AV11" s="11"/>
      <c r="AW11" s="11"/>
    </row>
    <row r="12" spans="1:49" ht="30">
      <c r="A12" s="11" t="s">
        <v>778</v>
      </c>
      <c r="B12" s="7" t="s">
        <v>1672</v>
      </c>
      <c r="C12" s="11" t="s">
        <v>1416</v>
      </c>
      <c r="D12" s="11" t="s">
        <v>143</v>
      </c>
      <c r="E12" s="11" t="s">
        <v>185</v>
      </c>
      <c r="F12" s="7" t="s">
        <v>1673</v>
      </c>
      <c r="G12" s="11">
        <v>120.5736417</v>
      </c>
      <c r="H12" s="11">
        <v>15.08266111</v>
      </c>
      <c r="I12" s="11" t="s">
        <v>1674</v>
      </c>
      <c r="J12" s="11">
        <v>2022</v>
      </c>
      <c r="K12" s="11">
        <v>4</v>
      </c>
      <c r="L12" s="11" t="s">
        <v>1675</v>
      </c>
      <c r="M12" s="11">
        <v>4</v>
      </c>
      <c r="N12" s="11" t="s">
        <v>1676</v>
      </c>
      <c r="O12" s="7" t="s">
        <v>1677</v>
      </c>
      <c r="P12" s="7" t="s">
        <v>1678</v>
      </c>
      <c r="Q12" s="7" t="s">
        <v>1679</v>
      </c>
      <c r="R12" s="749" t="s">
        <v>78</v>
      </c>
      <c r="S12" s="11" t="s">
        <v>33</v>
      </c>
      <c r="T12" s="11" t="s">
        <v>28</v>
      </c>
      <c r="U12" s="11" t="s">
        <v>148</v>
      </c>
      <c r="V12" s="11" t="s">
        <v>1680</v>
      </c>
      <c r="W12" s="10">
        <v>45819</v>
      </c>
      <c r="X12" s="34">
        <v>45826</v>
      </c>
      <c r="Y12" s="34">
        <v>45826</v>
      </c>
      <c r="Z12" s="34">
        <v>45826</v>
      </c>
      <c r="AA12" s="34">
        <v>45826</v>
      </c>
      <c r="AB12" s="45">
        <f t="shared" si="0"/>
        <v>5</v>
      </c>
      <c r="AC12" s="45">
        <f t="shared" si="1"/>
        <v>1</v>
      </c>
      <c r="AD12" s="45">
        <f>IF(
  OR(IF(Y12&lt;&gt;"", Y12, X12)="", Z12=""),
  "",
  MAX(1,
    IF(
      NETWORKDAYS(IF(Y12&lt;&gt;"", Y12, X12), Z12) &lt;= 0,
      1,
      NETWORKDAYS(IF(Y12&lt;&gt;"", Y12, X12), Z12) - IF(IF(Y12&lt;&gt;"", Y12, X12)=Z12, 0, 1)
    )
  )
)</f>
        <v>1</v>
      </c>
      <c r="AE12" s="45">
        <f t="shared" si="2"/>
        <v>1</v>
      </c>
      <c r="AF12" s="11" t="s">
        <v>150</v>
      </c>
      <c r="AG12" s="11" t="s">
        <v>847</v>
      </c>
      <c r="AH12" s="11"/>
      <c r="AI12" s="11"/>
      <c r="AJ12" s="11"/>
      <c r="AK12" s="11"/>
      <c r="AL12" s="11">
        <v>6</v>
      </c>
      <c r="AM12" s="11">
        <v>1</v>
      </c>
      <c r="AN12" s="11" t="s">
        <v>1643</v>
      </c>
      <c r="AO12" s="750" t="s">
        <v>1681</v>
      </c>
      <c r="AP12" s="11"/>
      <c r="AQ12" s="11"/>
      <c r="AR12" s="11"/>
      <c r="AS12" s="11"/>
      <c r="AT12" s="11"/>
      <c r="AU12" s="11"/>
      <c r="AV12" s="11"/>
      <c r="AW12" s="11"/>
    </row>
    <row r="13" spans="1:49">
      <c r="A13" s="11" t="s">
        <v>774</v>
      </c>
      <c r="B13" s="7" t="s">
        <v>842</v>
      </c>
      <c r="C13" s="11" t="s">
        <v>843</v>
      </c>
      <c r="D13" s="11" t="s">
        <v>143</v>
      </c>
      <c r="E13" s="11" t="s">
        <v>160</v>
      </c>
      <c r="F13" s="7" t="s">
        <v>54</v>
      </c>
      <c r="G13" s="11">
        <v>120.487578</v>
      </c>
      <c r="H13" s="11">
        <v>14.704069</v>
      </c>
      <c r="I13" s="11" t="s">
        <v>1682</v>
      </c>
      <c r="J13" s="11">
        <v>2017</v>
      </c>
      <c r="K13" s="11">
        <v>1</v>
      </c>
      <c r="L13" s="11" t="s">
        <v>1626</v>
      </c>
      <c r="M13" s="11">
        <v>1</v>
      </c>
      <c r="N13" s="11" t="s">
        <v>1683</v>
      </c>
      <c r="O13" s="7" t="s">
        <v>69</v>
      </c>
      <c r="P13" s="7" t="s">
        <v>69</v>
      </c>
      <c r="Q13" s="7" t="s">
        <v>69</v>
      </c>
      <c r="R13" s="749" t="s">
        <v>79</v>
      </c>
      <c r="S13" s="11" t="s">
        <v>180</v>
      </c>
      <c r="T13" s="11" t="s">
        <v>148</v>
      </c>
      <c r="U13" s="11" t="s">
        <v>164</v>
      </c>
      <c r="V13" s="11" t="s">
        <v>1684</v>
      </c>
      <c r="W13" s="34">
        <v>45847</v>
      </c>
      <c r="X13" s="34">
        <v>45853</v>
      </c>
      <c r="Y13" s="34">
        <v>45902</v>
      </c>
      <c r="Z13" s="34">
        <v>45903</v>
      </c>
      <c r="AA13" s="34">
        <v>45903</v>
      </c>
      <c r="AB13" s="45">
        <f t="shared" si="0"/>
        <v>4</v>
      </c>
      <c r="AC13" s="45">
        <f t="shared" si="1"/>
        <v>35</v>
      </c>
      <c r="AD13" s="45">
        <f>IF(
    OR(ISBLANK(Y13), ISBLANK(Z13)),
    "",
    MAX(1, IF(
        NETWORKDAYS(Y13,Z13) &lt;= 0,
        1,
        NETWORKDAYS(Y13, Z13) - IF(Y13 = Z13, 0, 1)
    ))
)</f>
        <v>1</v>
      </c>
      <c r="AE13" s="45">
        <f t="shared" si="2"/>
        <v>1</v>
      </c>
      <c r="AF13" s="11" t="s">
        <v>150</v>
      </c>
      <c r="AG13" s="11" t="s">
        <v>847</v>
      </c>
      <c r="AH13" s="11"/>
      <c r="AI13" s="11"/>
      <c r="AJ13" s="11">
        <v>6</v>
      </c>
      <c r="AK13" s="11"/>
      <c r="AL13" s="11"/>
      <c r="AM13" s="11">
        <v>2</v>
      </c>
      <c r="AN13" s="11" t="s">
        <v>1593</v>
      </c>
      <c r="AO13" s="11" t="s">
        <v>1594</v>
      </c>
      <c r="AP13" s="11" t="s">
        <v>809</v>
      </c>
      <c r="AQ13" s="11"/>
      <c r="AR13" s="11"/>
      <c r="AS13" s="11"/>
      <c r="AT13" s="11"/>
      <c r="AU13" s="11"/>
      <c r="AV13" s="11"/>
      <c r="AW13" s="11"/>
    </row>
    <row r="14" spans="1:49" ht="210">
      <c r="A14" s="11" t="s">
        <v>778</v>
      </c>
      <c r="B14" s="7" t="s">
        <v>1685</v>
      </c>
      <c r="C14" s="11" t="s">
        <v>1377</v>
      </c>
      <c r="D14" s="11" t="s">
        <v>143</v>
      </c>
      <c r="E14" s="11" t="s">
        <v>185</v>
      </c>
      <c r="F14" s="7" t="s">
        <v>1686</v>
      </c>
      <c r="G14" s="11">
        <v>120.4544667</v>
      </c>
      <c r="H14" s="11">
        <v>14.9876</v>
      </c>
      <c r="I14" s="11" t="s">
        <v>1687</v>
      </c>
      <c r="J14" s="11">
        <v>2023</v>
      </c>
      <c r="K14" s="11">
        <v>4</v>
      </c>
      <c r="L14" s="103" t="s">
        <v>1688</v>
      </c>
      <c r="M14" s="11">
        <v>9</v>
      </c>
      <c r="N14" s="11" t="s">
        <v>1689</v>
      </c>
      <c r="O14" s="7" t="s">
        <v>1690</v>
      </c>
      <c r="P14" s="7" t="s">
        <v>1691</v>
      </c>
      <c r="Q14" s="7" t="s">
        <v>1692</v>
      </c>
      <c r="R14" s="749" t="s">
        <v>80</v>
      </c>
      <c r="S14" s="11" t="s">
        <v>28</v>
      </c>
      <c r="T14" s="11"/>
      <c r="U14" s="11" t="s">
        <v>148</v>
      </c>
      <c r="V14" s="11" t="s">
        <v>1693</v>
      </c>
      <c r="W14" s="34">
        <v>45883</v>
      </c>
      <c r="X14" s="34">
        <v>45888</v>
      </c>
      <c r="Y14" s="34"/>
      <c r="Z14" s="34">
        <v>45889</v>
      </c>
      <c r="AA14" s="34">
        <v>45888</v>
      </c>
      <c r="AB14" s="45">
        <f t="shared" si="0"/>
        <v>3</v>
      </c>
      <c r="AC14" s="45" t="str">
        <f t="shared" si="1"/>
        <v/>
      </c>
      <c r="AD14" s="45">
        <f>IF(
  OR(IF(Y14&lt;&gt;"", Y14, X14)="", Z14=""),
  "",
  MAX(1,
    IF(
      NETWORKDAYS(IF(Y14&lt;&gt;"", Y14, X14), Z14) &lt;= 0,
      1,
      NETWORKDAYS(IF(Y14&lt;&gt;"", Y14, X14), Z14) - IF(IF(Y14&lt;&gt;"", Y14, X14)=Z14, 0, 1)
    )
  )
)</f>
        <v>1</v>
      </c>
      <c r="AE14" s="45">
        <f t="shared" si="2"/>
        <v>1</v>
      </c>
      <c r="AF14" s="11" t="s">
        <v>150</v>
      </c>
      <c r="AG14" s="11" t="s">
        <v>847</v>
      </c>
      <c r="AH14" s="11" t="s">
        <v>1694</v>
      </c>
      <c r="AI14" s="11" t="s">
        <v>1695</v>
      </c>
      <c r="AJ14" s="11">
        <v>2</v>
      </c>
      <c r="AK14" s="82">
        <v>256110.32</v>
      </c>
      <c r="AL14" s="11">
        <v>9</v>
      </c>
      <c r="AM14" s="11">
        <v>1</v>
      </c>
      <c r="AN14" s="11" t="s">
        <v>1643</v>
      </c>
      <c r="AO14" s="7" t="s">
        <v>1696</v>
      </c>
      <c r="AP14" s="11" t="s">
        <v>151</v>
      </c>
      <c r="AQ14" s="11"/>
      <c r="AR14" s="11"/>
      <c r="AS14" s="11"/>
      <c r="AT14" s="11"/>
      <c r="AU14" s="11"/>
      <c r="AV14" s="11"/>
      <c r="AW14" s="11"/>
    </row>
    <row r="15" spans="1:49" ht="75">
      <c r="A15" s="11" t="s">
        <v>780</v>
      </c>
      <c r="B15" s="7" t="s">
        <v>1531</v>
      </c>
      <c r="C15" s="11" t="s">
        <v>1532</v>
      </c>
      <c r="D15" s="11" t="s">
        <v>159</v>
      </c>
      <c r="E15" s="11" t="s">
        <v>185</v>
      </c>
      <c r="F15" s="7" t="s">
        <v>54</v>
      </c>
      <c r="G15" s="11">
        <v>119.975247</v>
      </c>
      <c r="H15" s="11">
        <v>15.599997</v>
      </c>
      <c r="I15" s="11" t="s">
        <v>1697</v>
      </c>
      <c r="J15" s="11">
        <v>2017</v>
      </c>
      <c r="K15" s="11">
        <v>1</v>
      </c>
      <c r="L15" s="11" t="s">
        <v>1698</v>
      </c>
      <c r="M15" s="11">
        <v>1</v>
      </c>
      <c r="N15" s="11" t="s">
        <v>1699</v>
      </c>
      <c r="O15" s="7" t="s">
        <v>69</v>
      </c>
      <c r="P15" s="7" t="s">
        <v>69</v>
      </c>
      <c r="Q15" s="7" t="s">
        <v>69</v>
      </c>
      <c r="R15" s="377" t="s">
        <v>80</v>
      </c>
      <c r="S15" s="11" t="s">
        <v>42</v>
      </c>
      <c r="T15" s="11" t="s">
        <v>163</v>
      </c>
      <c r="U15" s="11" t="s">
        <v>164</v>
      </c>
      <c r="V15" s="11" t="s">
        <v>1700</v>
      </c>
      <c r="W15" s="34">
        <v>45882</v>
      </c>
      <c r="X15" s="34">
        <v>45887</v>
      </c>
      <c r="Y15" s="34">
        <v>45888</v>
      </c>
      <c r="Z15" s="34">
        <v>45888</v>
      </c>
      <c r="AA15" s="34">
        <v>45888</v>
      </c>
      <c r="AB15" s="45">
        <f t="shared" si="0"/>
        <v>3</v>
      </c>
      <c r="AC15" s="45">
        <f t="shared" si="1"/>
        <v>1</v>
      </c>
      <c r="AD15" s="45">
        <f>IF(
  OR(IF(Y15&lt;&gt;"", Y15, X15)="", Z15=""),
  "",
  MAX(1,
    IF(
      NETWORKDAYS(IF(Y15&lt;&gt;"", Y15, X15), Z15) &lt;= 0,
      1,
      NETWORKDAYS(IF(Y15&lt;&gt;"", Y15, X15), Z15) - IF(IF(Y15&lt;&gt;"", Y15, X15)=Z15, 0, 1)
    )
  )
)</f>
        <v>1</v>
      </c>
      <c r="AE15" s="45">
        <f t="shared" si="2"/>
        <v>1</v>
      </c>
      <c r="AF15" s="11" t="s">
        <v>150</v>
      </c>
      <c r="AG15" s="11" t="s">
        <v>847</v>
      </c>
      <c r="AH15" s="11"/>
      <c r="AI15" s="11" t="s">
        <v>1701</v>
      </c>
      <c r="AJ15" s="11">
        <v>1</v>
      </c>
      <c r="AK15" s="11"/>
      <c r="AL15" s="11">
        <v>2</v>
      </c>
      <c r="AM15" s="11" t="s">
        <v>1702</v>
      </c>
      <c r="AN15" s="11" t="s">
        <v>1703</v>
      </c>
      <c r="AO15" s="7" t="s">
        <v>1704</v>
      </c>
      <c r="AP15" s="11" t="s">
        <v>809</v>
      </c>
      <c r="AQ15" s="11"/>
      <c r="AR15" s="11"/>
      <c r="AS15" s="11"/>
      <c r="AT15" s="11"/>
      <c r="AU15" s="11"/>
      <c r="AV15" s="11"/>
      <c r="AW15" s="11"/>
    </row>
    <row r="16" spans="1:49" ht="135">
      <c r="A16" s="11" t="s">
        <v>774</v>
      </c>
      <c r="B16" s="7" t="s">
        <v>865</v>
      </c>
      <c r="C16" s="11" t="s">
        <v>1705</v>
      </c>
      <c r="D16" s="11" t="s">
        <v>143</v>
      </c>
      <c r="E16" s="11" t="s">
        <v>185</v>
      </c>
      <c r="F16" s="7" t="s">
        <v>54</v>
      </c>
      <c r="G16" s="11">
        <v>120.55138890000001</v>
      </c>
      <c r="H16" s="11">
        <v>14.56944444</v>
      </c>
      <c r="I16" s="11" t="s">
        <v>1706</v>
      </c>
      <c r="J16" s="11">
        <v>2021</v>
      </c>
      <c r="K16" s="11">
        <v>2</v>
      </c>
      <c r="L16" s="11" t="s">
        <v>1707</v>
      </c>
      <c r="M16" s="11">
        <v>1</v>
      </c>
      <c r="N16" s="11" t="s">
        <v>1708</v>
      </c>
      <c r="O16" s="7" t="s">
        <v>1709</v>
      </c>
      <c r="P16" s="7" t="s">
        <v>1710</v>
      </c>
      <c r="Q16" s="7" t="s">
        <v>1711</v>
      </c>
      <c r="R16" s="749" t="s">
        <v>81</v>
      </c>
      <c r="S16" s="11" t="s">
        <v>188</v>
      </c>
      <c r="T16" s="11"/>
      <c r="U16" s="11" t="s">
        <v>1472</v>
      </c>
      <c r="V16" s="11" t="s">
        <v>1712</v>
      </c>
      <c r="W16" s="34">
        <v>45917</v>
      </c>
      <c r="X16" s="34">
        <v>45917</v>
      </c>
      <c r="Y16" s="34"/>
      <c r="Z16" s="34">
        <v>45919</v>
      </c>
      <c r="AA16" s="34">
        <v>45919</v>
      </c>
      <c r="AB16" s="45">
        <f t="shared" si="0"/>
        <v>1</v>
      </c>
      <c r="AC16" s="45" t="str">
        <f t="shared" si="1"/>
        <v/>
      </c>
      <c r="AD16" s="45">
        <f>IF(
  OR(IF(Y16&lt;&gt;"", Y16, X16)="", Z16=""),
  "",
  MAX(1,
    IF(
      NETWORKDAYS(IF(Y16&lt;&gt;"", Y16, X16), Z16) &lt;= 0,
      1,
      NETWORKDAYS(IF(Y16&lt;&gt;"", Y16, X16), Z16) - IF(IF(Y16&lt;&gt;"", Y16, X16)=Z16, 0, 1)
    )
  )
)</f>
        <v>2</v>
      </c>
      <c r="AE16" s="45">
        <f t="shared" si="2"/>
        <v>1</v>
      </c>
      <c r="AF16" s="11" t="s">
        <v>150</v>
      </c>
      <c r="AG16" s="11" t="s">
        <v>847</v>
      </c>
      <c r="AH16" s="11"/>
      <c r="AI16" s="7" t="s">
        <v>1713</v>
      </c>
      <c r="AJ16" s="11">
        <v>3</v>
      </c>
      <c r="AK16" s="11"/>
      <c r="AL16" s="11">
        <v>1</v>
      </c>
      <c r="AM16" s="11" t="s">
        <v>1702</v>
      </c>
      <c r="AN16" s="11" t="s">
        <v>1593</v>
      </c>
      <c r="AO16" s="7" t="s">
        <v>1714</v>
      </c>
      <c r="AP16" s="11" t="s">
        <v>809</v>
      </c>
      <c r="AQ16" s="11"/>
      <c r="AR16" s="11"/>
      <c r="AS16" s="11"/>
      <c r="AT16" s="11"/>
      <c r="AU16" s="11"/>
      <c r="AV16" s="11"/>
      <c r="AW16" s="11"/>
    </row>
    <row r="17" spans="1:49" ht="30">
      <c r="A17" s="11" t="s">
        <v>779</v>
      </c>
      <c r="B17" s="7" t="s">
        <v>1715</v>
      </c>
      <c r="C17" s="11" t="s">
        <v>1716</v>
      </c>
      <c r="D17" s="11" t="s">
        <v>143</v>
      </c>
      <c r="E17" s="11" t="s">
        <v>185</v>
      </c>
      <c r="F17" s="7" t="s">
        <v>1717</v>
      </c>
      <c r="G17" s="11">
        <v>120.51835800000001</v>
      </c>
      <c r="H17" s="11">
        <v>15.298821999999999</v>
      </c>
      <c r="I17" s="11" t="s">
        <v>1718</v>
      </c>
      <c r="J17" s="11">
        <v>2003</v>
      </c>
      <c r="K17" s="11">
        <v>4</v>
      </c>
      <c r="L17" s="11" t="s">
        <v>1719</v>
      </c>
      <c r="M17" s="11">
        <v>92</v>
      </c>
      <c r="N17" s="11" t="s">
        <v>1720</v>
      </c>
      <c r="O17" s="7" t="s">
        <v>1721</v>
      </c>
      <c r="P17" s="7" t="s">
        <v>1722</v>
      </c>
      <c r="Q17" s="7" t="s">
        <v>1723</v>
      </c>
      <c r="R17" s="377" t="s">
        <v>81</v>
      </c>
      <c r="S17" s="11" t="s">
        <v>39</v>
      </c>
      <c r="T17" s="11"/>
      <c r="U17" s="11" t="s">
        <v>328</v>
      </c>
      <c r="V17" s="11"/>
      <c r="W17" s="34"/>
      <c r="X17" s="34"/>
      <c r="Y17" s="34"/>
      <c r="Z17" s="34"/>
      <c r="AA17" s="34"/>
      <c r="AB17" s="45" t="str">
        <f t="shared" si="0"/>
        <v/>
      </c>
      <c r="AC17" s="45" t="str">
        <f t="shared" si="1"/>
        <v/>
      </c>
      <c r="AD17" s="45" t="str">
        <f>IF(
  OR(IF(Y17&lt;&gt;"", Y17, X17)="", Z17=""),
  "",
  MAX(1,
    IF(
      NETWORKDAYS(IF(Y17&lt;&gt;"", Y17, X17), Z17) &lt;= 0,
      1,
      NETWORKDAYS(IF(Y17&lt;&gt;"", Y17, X17), Z17) - IF(IF(Y17&lt;&gt;"", Y17, X17)=Z17, 0, 1)
    )
  )
)</f>
        <v/>
      </c>
      <c r="AE17" s="45" t="str">
        <f t="shared" si="2"/>
        <v/>
      </c>
      <c r="AF17" s="11"/>
      <c r="AG17" s="11" t="s">
        <v>847</v>
      </c>
      <c r="AH17" s="11"/>
      <c r="AI17" s="11"/>
      <c r="AJ17" s="11"/>
      <c r="AK17" s="11"/>
      <c r="AL17" s="11"/>
      <c r="AM17" s="11"/>
      <c r="AN17" s="11"/>
      <c r="AO17" s="11"/>
      <c r="AP17" s="11"/>
      <c r="AQ17" s="11"/>
      <c r="AR17" s="11"/>
      <c r="AS17" s="11"/>
      <c r="AT17" s="11"/>
      <c r="AU17" s="11"/>
      <c r="AV17" s="11"/>
      <c r="AW17" s="11"/>
    </row>
    <row r="18" spans="1:49" ht="60">
      <c r="A18" s="11" t="s">
        <v>780</v>
      </c>
      <c r="B18" s="7" t="s">
        <v>942</v>
      </c>
      <c r="C18" s="11" t="s">
        <v>1543</v>
      </c>
      <c r="D18" s="11" t="s">
        <v>159</v>
      </c>
      <c r="E18" s="11" t="s">
        <v>185</v>
      </c>
      <c r="F18" s="7" t="s">
        <v>54</v>
      </c>
      <c r="G18" s="11">
        <v>119.98900829999999</v>
      </c>
      <c r="H18" s="11">
        <v>15.58263889</v>
      </c>
      <c r="I18" s="11" t="s">
        <v>1724</v>
      </c>
      <c r="J18" s="11">
        <v>2018</v>
      </c>
      <c r="K18" s="11">
        <v>1</v>
      </c>
      <c r="L18" s="11" t="s">
        <v>1647</v>
      </c>
      <c r="M18" s="11">
        <v>1</v>
      </c>
      <c r="N18" s="11" t="s">
        <v>1725</v>
      </c>
      <c r="O18" s="7" t="s">
        <v>69</v>
      </c>
      <c r="P18" s="7" t="s">
        <v>69</v>
      </c>
      <c r="Q18" s="7" t="s">
        <v>69</v>
      </c>
      <c r="R18" s="377" t="s">
        <v>81</v>
      </c>
      <c r="S18" s="11" t="s">
        <v>42</v>
      </c>
      <c r="T18" s="11" t="s">
        <v>163</v>
      </c>
      <c r="U18" s="11" t="s">
        <v>164</v>
      </c>
      <c r="V18" s="11" t="s">
        <v>1726</v>
      </c>
      <c r="W18" s="34">
        <v>45912</v>
      </c>
      <c r="X18" s="34">
        <v>45918</v>
      </c>
      <c r="Y18" s="34">
        <v>45918</v>
      </c>
      <c r="Z18" s="34">
        <v>45918</v>
      </c>
      <c r="AA18" s="34">
        <v>45918</v>
      </c>
      <c r="AB18" s="45">
        <f t="shared" si="0"/>
        <v>4</v>
      </c>
      <c r="AC18" s="45">
        <f t="shared" si="1"/>
        <v>1</v>
      </c>
      <c r="AD18" s="45">
        <f>IF(
  OR(IF(Y18&lt;&gt;"", Y18, X18)="", Z18=""),
  "",
  MAX(1,
    IF(
      NETWORKDAYS(IF(Y18&lt;&gt;"", Y18, X18), Z18) &lt;= 0,
      1,
      NETWORKDAYS(IF(Y18&lt;&gt;"", Y18, X18), Z18) - IF(IF(Y18&lt;&gt;"", Y18, X18)=Z18, 0, 1)
    )
  )
)</f>
        <v>1</v>
      </c>
      <c r="AE18" s="45">
        <f t="shared" si="2"/>
        <v>1</v>
      </c>
      <c r="AF18" s="11" t="s">
        <v>150</v>
      </c>
      <c r="AG18" s="11" t="s">
        <v>847</v>
      </c>
      <c r="AH18" s="11"/>
      <c r="AI18" s="11">
        <v>14.5</v>
      </c>
      <c r="AJ18" s="11">
        <v>1</v>
      </c>
      <c r="AK18" s="11"/>
      <c r="AL18" s="11">
        <v>3</v>
      </c>
      <c r="AM18" s="11" t="s">
        <v>808</v>
      </c>
      <c r="AN18" s="11" t="s">
        <v>1593</v>
      </c>
      <c r="AO18" s="7" t="s">
        <v>1727</v>
      </c>
      <c r="AP18" s="11" t="s">
        <v>809</v>
      </c>
      <c r="AQ18" s="11"/>
      <c r="AR18" s="11"/>
      <c r="AS18" s="11"/>
      <c r="AT18" s="11"/>
      <c r="AU18" s="11"/>
      <c r="AV18" s="11"/>
      <c r="AW18" s="11"/>
    </row>
  </sheetData>
  <pageMargins left="0.7" right="0.7" top="0.75" bottom="0.75" header="0.3" footer="0.3"/>
  <pageSetup paperSize="5" fitToHeight="0" orientation="landscape"/>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25976-BF3E-4021-B876-9A8F4518AD7E}">
  <sheetPr codeName="Sheet7">
    <tabColor rgb="FF92D050"/>
  </sheetPr>
  <dimension ref="A1:AG136"/>
  <sheetViews>
    <sheetView workbookViewId="0">
      <pane xSplit="3" ySplit="1" topLeftCell="F2" activePane="bottomRight" state="frozen"/>
      <selection pane="topRight"/>
      <selection pane="bottomLeft"/>
      <selection pane="bottomRight" activeCell="G108" sqref="G108:H108"/>
    </sheetView>
  </sheetViews>
  <sheetFormatPr defaultColWidth="11.5703125" defaultRowHeight="15"/>
  <cols>
    <col min="1" max="1" width="21.85546875" style="81" bestFit="1" customWidth="1"/>
    <col min="2" max="2" width="30.42578125" style="81" bestFit="1" customWidth="1"/>
    <col min="3" max="3" width="13.7109375" style="81" bestFit="1" customWidth="1"/>
    <col min="4" max="4" width="24.5703125" style="81" bestFit="1" customWidth="1"/>
    <col min="5" max="5" width="14" style="81" customWidth="1"/>
    <col min="6" max="6" width="32.42578125" style="81" bestFit="1" customWidth="1"/>
    <col min="7" max="8" width="13.28515625" style="81" customWidth="1"/>
    <col min="9" max="9" width="25.5703125" style="81" bestFit="1" customWidth="1"/>
    <col min="10" max="10" width="16" style="81" bestFit="1" customWidth="1"/>
    <col min="11" max="11" width="26.42578125" style="81" customWidth="1"/>
    <col min="12" max="12" width="23.85546875" style="81" customWidth="1"/>
    <col min="13" max="13" width="24.7109375" style="81" customWidth="1"/>
    <col min="14" max="14" width="25.140625" style="81" customWidth="1"/>
    <col min="15" max="15" width="23.5703125" style="81" customWidth="1"/>
    <col min="16" max="16" width="22.85546875" style="81" customWidth="1"/>
    <col min="17" max="19" width="21" style="81" customWidth="1"/>
    <col min="20" max="23" width="15.5703125" style="81" customWidth="1"/>
    <col min="24" max="24" width="22.85546875" style="81" customWidth="1"/>
    <col min="25" max="25" width="38.85546875" style="81" customWidth="1"/>
    <col min="26" max="26" width="24.140625" style="81" customWidth="1"/>
    <col min="27" max="27" width="16.5703125" style="81" customWidth="1"/>
    <col min="28" max="28" width="20.5703125" style="81" customWidth="1"/>
    <col min="29" max="29" width="22" style="81" customWidth="1"/>
    <col min="30" max="30" width="16" style="81" customWidth="1"/>
    <col min="31" max="31" width="91.5703125" style="81" customWidth="1"/>
    <col min="32" max="32" width="16.7109375" style="81" customWidth="1"/>
    <col min="33" max="33" width="24.7109375" style="81" customWidth="1"/>
    <col min="34" max="34" width="19.42578125" style="81" customWidth="1"/>
    <col min="35" max="16384" width="11.5703125" style="81"/>
  </cols>
  <sheetData>
    <row r="1" spans="1:33" ht="57">
      <c r="A1" s="90" t="s">
        <v>85</v>
      </c>
      <c r="B1" s="90" t="s">
        <v>86</v>
      </c>
      <c r="C1" s="90" t="s">
        <v>782</v>
      </c>
      <c r="D1" s="90" t="s">
        <v>88</v>
      </c>
      <c r="E1" s="90" t="s">
        <v>89</v>
      </c>
      <c r="F1" s="90" t="s">
        <v>1728</v>
      </c>
      <c r="G1" s="90" t="s">
        <v>783</v>
      </c>
      <c r="H1" s="90" t="s">
        <v>784</v>
      </c>
      <c r="I1" s="90" t="s">
        <v>785</v>
      </c>
      <c r="J1" s="91" t="s">
        <v>99</v>
      </c>
      <c r="K1" s="91" t="s">
        <v>100</v>
      </c>
      <c r="L1" s="91" t="s">
        <v>101</v>
      </c>
      <c r="M1" s="91" t="s">
        <v>102</v>
      </c>
      <c r="N1" s="91" t="s">
        <v>103</v>
      </c>
      <c r="O1" s="91" t="s">
        <v>104</v>
      </c>
      <c r="P1" s="91" t="s">
        <v>105</v>
      </c>
      <c r="Q1" s="91" t="s">
        <v>106</v>
      </c>
      <c r="R1" s="91" t="s">
        <v>107</v>
      </c>
      <c r="S1" s="91" t="s">
        <v>108</v>
      </c>
      <c r="T1" s="91" t="s">
        <v>109</v>
      </c>
      <c r="U1" s="91" t="s">
        <v>1576</v>
      </c>
      <c r="V1" s="91" t="s">
        <v>111</v>
      </c>
      <c r="W1" s="91" t="s">
        <v>112</v>
      </c>
      <c r="X1" s="92" t="s">
        <v>1729</v>
      </c>
      <c r="Y1" s="37" t="s">
        <v>1730</v>
      </c>
      <c r="Z1" s="37" t="s">
        <v>1731</v>
      </c>
      <c r="AA1" s="37" t="s">
        <v>1732</v>
      </c>
      <c r="AB1" s="93" t="s">
        <v>1733</v>
      </c>
      <c r="AC1" s="37" t="s">
        <v>1734</v>
      </c>
      <c r="AD1" s="93" t="s">
        <v>1735</v>
      </c>
      <c r="AE1" s="37" t="s">
        <v>1736</v>
      </c>
      <c r="AF1" s="3" t="s">
        <v>1737</v>
      </c>
      <c r="AG1" s="3" t="s">
        <v>799</v>
      </c>
    </row>
    <row r="2" spans="1:33">
      <c r="A2" s="135" t="s">
        <v>773</v>
      </c>
      <c r="B2" s="135" t="s">
        <v>805</v>
      </c>
      <c r="C2" s="135" t="s">
        <v>966</v>
      </c>
      <c r="D2" s="135" t="s">
        <v>159</v>
      </c>
      <c r="E2" s="543" t="s">
        <v>249</v>
      </c>
      <c r="F2" s="135" t="s">
        <v>1738</v>
      </c>
      <c r="G2" s="135">
        <v>15.736000000000001</v>
      </c>
      <c r="H2" s="135">
        <v>121.56310000000001</v>
      </c>
      <c r="I2" s="135" t="str">
        <f t="shared" ref="I2:I33" si="0">CONCATENATE(G2,","," ",H2)</f>
        <v>15.736, 121.5631</v>
      </c>
      <c r="J2" s="544" t="s">
        <v>75</v>
      </c>
      <c r="K2" s="135" t="s">
        <v>13</v>
      </c>
      <c r="L2" s="135"/>
      <c r="M2" s="545" t="s">
        <v>163</v>
      </c>
      <c r="N2" s="135" t="s">
        <v>1739</v>
      </c>
      <c r="O2" s="546">
        <v>45722</v>
      </c>
      <c r="P2" s="546">
        <v>45726</v>
      </c>
      <c r="Q2" s="546"/>
      <c r="R2" s="546">
        <v>45728</v>
      </c>
      <c r="S2" s="546">
        <v>45728</v>
      </c>
      <c r="T2" s="45">
        <f t="shared" ref="T2:T33" si="1">IF(
    OR(ISBLANK(O2), ISBLANK(P2)),
    "",
    MAX(1, IF(
        NETWORKDAYS(O2, P2) &lt;= 0,
        1,
        NETWORKDAYS(O2, P2) - IF(O2 = P2, 0, 1)
    ))
)</f>
        <v>2</v>
      </c>
      <c r="U2" s="45" t="str">
        <f t="shared" ref="U2:U33" si="2">IF(
    OR(ISBLANK(P2), ISBLANK(Q2)),
    "",
    MAX(1, IF(
        NETWORKDAYS(P2, Q2) &lt;= 0,
        1,
        NETWORKDAYS(P2, Q2) - IF(P2 = Q2, 0, 1)
    ))
)</f>
        <v/>
      </c>
      <c r="V2" s="45">
        <f>IF(
  OR(IF(Q2&lt;&gt;"", Q2, P2)="", R2=""),
  "",
  MAX(1,
    IF(
      NETWORKDAYS(IF(Q2&lt;&gt;"", Q2, P2), R2) &lt;= 0,
      1,
      NETWORKDAYS(IF(Q2&lt;&gt;"", Q2, P2), R2) - IF(IF(Q2&lt;&gt;"", Q2, P2)=R2, 0, 1)
    )
  )
)</f>
        <v>2</v>
      </c>
      <c r="W2" s="45">
        <f t="shared" ref="W2:W33" si="3">IF(
    OR(ISBLANK(R2), ISBLANK(S2)),
    "",
    MAX(1, IF(
        NETWORKDAYS(R2, S2) &lt;= 0,
        1,
        NETWORKDAYS(R2, S2) - IF(R2 = S2, 0, 1)
    ))
)</f>
        <v>1</v>
      </c>
      <c r="X2" s="7" t="s">
        <v>150</v>
      </c>
      <c r="Y2" s="135" t="s">
        <v>57</v>
      </c>
      <c r="Z2" s="135" t="s">
        <v>50</v>
      </c>
      <c r="AA2" s="135">
        <v>500</v>
      </c>
      <c r="AB2" s="135"/>
      <c r="AC2" s="135"/>
      <c r="AD2" s="135"/>
      <c r="AE2" s="135" t="s">
        <v>1740</v>
      </c>
      <c r="AF2" s="135"/>
      <c r="AG2" s="135"/>
    </row>
    <row r="3" spans="1:33" ht="30">
      <c r="A3" s="360" t="s">
        <v>773</v>
      </c>
      <c r="B3" s="360" t="s">
        <v>969</v>
      </c>
      <c r="C3" s="360" t="s">
        <v>970</v>
      </c>
      <c r="D3" s="360" t="s">
        <v>159</v>
      </c>
      <c r="E3" s="622" t="s">
        <v>249</v>
      </c>
      <c r="F3" s="360" t="s">
        <v>1741</v>
      </c>
      <c r="G3" s="360">
        <v>16.288</v>
      </c>
      <c r="H3" s="360">
        <v>122.1223</v>
      </c>
      <c r="I3" s="360" t="str">
        <f t="shared" si="0"/>
        <v>16.288, 122.1223</v>
      </c>
      <c r="J3" s="331" t="s">
        <v>78</v>
      </c>
      <c r="K3" s="360" t="s">
        <v>15</v>
      </c>
      <c r="L3" s="360"/>
      <c r="M3" s="623" t="s">
        <v>163</v>
      </c>
      <c r="N3" s="360" t="s">
        <v>1742</v>
      </c>
      <c r="O3" s="536">
        <v>45813</v>
      </c>
      <c r="P3" s="536">
        <v>45826</v>
      </c>
      <c r="Q3" s="536"/>
      <c r="R3" s="536">
        <v>45826</v>
      </c>
      <c r="S3" s="536">
        <v>45826</v>
      </c>
      <c r="T3" s="354">
        <f t="shared" si="1"/>
        <v>9</v>
      </c>
      <c r="U3" s="354" t="str">
        <f t="shared" si="2"/>
        <v/>
      </c>
      <c r="V3" s="45">
        <f t="shared" ref="V3:V66" si="4">IF(
  OR(IF(Q3&lt;&gt;"", Q3, P3)="", R3=""),
  "",
  MAX(1,
    IF(
      NETWORKDAYS(IF(Q3&lt;&gt;"", Q3, P3), R3) &lt;= 0,
      1,
      NETWORKDAYS(IF(Q3&lt;&gt;"", Q3, P3), R3) - IF(IF(Q3&lt;&gt;"", Q3, P3)=R3, 0, 1)
    )
  )
)</f>
        <v>1</v>
      </c>
      <c r="W3" s="354">
        <f t="shared" si="3"/>
        <v>1</v>
      </c>
      <c r="X3" s="7" t="s">
        <v>150</v>
      </c>
      <c r="Y3" s="360" t="s">
        <v>57</v>
      </c>
      <c r="Z3" s="360" t="s">
        <v>57</v>
      </c>
      <c r="AA3" s="360"/>
      <c r="AB3" s="360" t="s">
        <v>57</v>
      </c>
      <c r="AC3" s="360"/>
      <c r="AD3" s="360"/>
      <c r="AE3" s="360" t="s">
        <v>1743</v>
      </c>
      <c r="AF3" s="360"/>
      <c r="AG3" s="360"/>
    </row>
    <row r="4" spans="1:33" ht="60">
      <c r="A4" s="7" t="s">
        <v>773</v>
      </c>
      <c r="B4" s="7" t="s">
        <v>1244</v>
      </c>
      <c r="C4" s="7" t="s">
        <v>1245</v>
      </c>
      <c r="D4" s="7" t="s">
        <v>159</v>
      </c>
      <c r="E4" s="95" t="s">
        <v>249</v>
      </c>
      <c r="F4" s="7" t="s">
        <v>1741</v>
      </c>
      <c r="G4" s="7">
        <v>16.3917</v>
      </c>
      <c r="H4" s="7">
        <v>122.21080000000001</v>
      </c>
      <c r="I4" s="7" t="str">
        <f t="shared" si="0"/>
        <v>16.3917, 122.2108</v>
      </c>
      <c r="J4" s="7" t="s">
        <v>81</v>
      </c>
      <c r="K4" s="7" t="s">
        <v>15</v>
      </c>
      <c r="L4" s="7"/>
      <c r="M4" s="7" t="s">
        <v>163</v>
      </c>
      <c r="N4" s="7" t="s">
        <v>1744</v>
      </c>
      <c r="O4" s="33">
        <v>45902</v>
      </c>
      <c r="P4" s="33">
        <v>45908</v>
      </c>
      <c r="Q4" s="33"/>
      <c r="R4" s="33">
        <v>45908</v>
      </c>
      <c r="S4" s="33">
        <v>45908</v>
      </c>
      <c r="T4" s="45">
        <f t="shared" si="1"/>
        <v>4</v>
      </c>
      <c r="U4" s="45" t="str">
        <f t="shared" si="2"/>
        <v/>
      </c>
      <c r="V4" s="45">
        <f t="shared" si="4"/>
        <v>1</v>
      </c>
      <c r="W4" s="45">
        <f t="shared" si="3"/>
        <v>1</v>
      </c>
      <c r="X4" s="7" t="s">
        <v>150</v>
      </c>
      <c r="Y4" s="7" t="s">
        <v>57</v>
      </c>
      <c r="Z4" s="7" t="s">
        <v>57</v>
      </c>
      <c r="AA4" s="7"/>
      <c r="AB4" s="7" t="s">
        <v>57</v>
      </c>
      <c r="AC4" s="7"/>
      <c r="AD4" s="7"/>
      <c r="AE4" s="7" t="s">
        <v>1745</v>
      </c>
      <c r="AF4" s="7"/>
      <c r="AG4" s="7"/>
    </row>
    <row r="5" spans="1:33" ht="30">
      <c r="A5" s="135" t="s">
        <v>773</v>
      </c>
      <c r="B5" s="135" t="s">
        <v>974</v>
      </c>
      <c r="C5" s="135" t="s">
        <v>1746</v>
      </c>
      <c r="D5" s="135" t="s">
        <v>159</v>
      </c>
      <c r="E5" s="543" t="s">
        <v>249</v>
      </c>
      <c r="F5" s="135" t="s">
        <v>1747</v>
      </c>
      <c r="G5" s="135">
        <v>16.1402</v>
      </c>
      <c r="H5" s="135">
        <v>121.9569</v>
      </c>
      <c r="I5" s="135" t="str">
        <f t="shared" si="0"/>
        <v>16.1402, 121.9569</v>
      </c>
      <c r="J5" s="544" t="s">
        <v>82</v>
      </c>
      <c r="K5" s="135" t="s">
        <v>15</v>
      </c>
      <c r="L5" s="135"/>
      <c r="M5" s="545" t="s">
        <v>163</v>
      </c>
      <c r="N5" s="135" t="s">
        <v>1748</v>
      </c>
      <c r="O5" s="546">
        <v>45932</v>
      </c>
      <c r="P5" s="546">
        <v>45932</v>
      </c>
      <c r="Q5" s="546"/>
      <c r="R5" s="546">
        <v>45938</v>
      </c>
      <c r="S5" s="546">
        <v>45940</v>
      </c>
      <c r="T5" s="423">
        <f t="shared" si="1"/>
        <v>1</v>
      </c>
      <c r="U5" s="423" t="str">
        <f t="shared" si="2"/>
        <v/>
      </c>
      <c r="V5" s="45">
        <f>IF(
  OR(IF(Q5&lt;&gt;"", Q5, P5)="", R5=""),
  "",
  MAX(1,
    IF(
      NETWORKDAYS(IF(Q5&lt;&gt;"", Q5, P5), R5) &lt;= 0,
      1,
      NETWORKDAYS(IF(Q5&lt;&gt;"", Q5, P5), R5) - IF(IF(Q5&lt;&gt;"", Q5, P5)=R5, 0, 1)
    )
  )
)</f>
        <v>4</v>
      </c>
      <c r="W5" s="423">
        <f t="shared" si="3"/>
        <v>2</v>
      </c>
      <c r="X5" s="7" t="s">
        <v>150</v>
      </c>
      <c r="Y5" s="7" t="s">
        <v>57</v>
      </c>
      <c r="Z5" s="7" t="s">
        <v>57</v>
      </c>
      <c r="AA5" s="135" t="s">
        <v>69</v>
      </c>
      <c r="AB5" s="135" t="s">
        <v>57</v>
      </c>
      <c r="AC5" s="7" t="s">
        <v>808</v>
      </c>
      <c r="AD5" s="7" t="s">
        <v>808</v>
      </c>
      <c r="AE5" s="135" t="s">
        <v>1749</v>
      </c>
      <c r="AF5" s="135"/>
      <c r="AG5" s="135"/>
    </row>
    <row r="6" spans="1:33" ht="30">
      <c r="A6" s="7" t="s">
        <v>773</v>
      </c>
      <c r="B6" s="7" t="s">
        <v>983</v>
      </c>
      <c r="C6" s="7" t="s">
        <v>984</v>
      </c>
      <c r="D6" s="7" t="s">
        <v>159</v>
      </c>
      <c r="E6" s="95" t="s">
        <v>249</v>
      </c>
      <c r="F6" s="7" t="s">
        <v>1738</v>
      </c>
      <c r="G6" s="7">
        <v>15.814970000000001</v>
      </c>
      <c r="H6" s="7">
        <v>121.47982</v>
      </c>
      <c r="I6" s="7" t="str">
        <f t="shared" si="0"/>
        <v>15.81497, 121.47982</v>
      </c>
      <c r="J6" s="96" t="s">
        <v>74</v>
      </c>
      <c r="K6" s="7" t="s">
        <v>14</v>
      </c>
      <c r="L6" s="7"/>
      <c r="M6" s="97" t="s">
        <v>163</v>
      </c>
      <c r="N6" s="7" t="s">
        <v>1750</v>
      </c>
      <c r="O6" s="33">
        <v>45692</v>
      </c>
      <c r="P6" s="33">
        <v>45698</v>
      </c>
      <c r="Q6" s="33">
        <v>45698</v>
      </c>
      <c r="R6" s="33">
        <v>45698</v>
      </c>
      <c r="S6" s="33">
        <v>45698</v>
      </c>
      <c r="T6" s="45">
        <f t="shared" si="1"/>
        <v>4</v>
      </c>
      <c r="U6" s="45">
        <f t="shared" si="2"/>
        <v>1</v>
      </c>
      <c r="V6" s="45">
        <f t="shared" si="4"/>
        <v>1</v>
      </c>
      <c r="W6" s="45">
        <f t="shared" si="3"/>
        <v>1</v>
      </c>
      <c r="X6" s="7" t="s">
        <v>150</v>
      </c>
      <c r="Y6" s="7" t="s">
        <v>50</v>
      </c>
      <c r="Z6" s="7" t="s">
        <v>57</v>
      </c>
      <c r="AA6" s="7" t="s">
        <v>808</v>
      </c>
      <c r="AB6" s="7" t="s">
        <v>808</v>
      </c>
      <c r="AC6" s="7" t="s">
        <v>808</v>
      </c>
      <c r="AD6" s="7" t="s">
        <v>808</v>
      </c>
      <c r="AE6" s="7" t="s">
        <v>1751</v>
      </c>
      <c r="AF6" s="7"/>
      <c r="AG6" s="7"/>
    </row>
    <row r="7" spans="1:33" ht="45">
      <c r="A7" s="7" t="s">
        <v>773</v>
      </c>
      <c r="B7" s="7" t="s">
        <v>825</v>
      </c>
      <c r="C7" s="7" t="s">
        <v>1248</v>
      </c>
      <c r="D7" s="7" t="s">
        <v>159</v>
      </c>
      <c r="E7" s="95" t="s">
        <v>249</v>
      </c>
      <c r="F7" s="7" t="s">
        <v>1741</v>
      </c>
      <c r="G7" s="7">
        <v>15.38612</v>
      </c>
      <c r="H7" s="7">
        <v>121.38070999999999</v>
      </c>
      <c r="I7" s="7" t="str">
        <f t="shared" si="0"/>
        <v>15.38612, 121.38071</v>
      </c>
      <c r="J7" s="96" t="s">
        <v>79</v>
      </c>
      <c r="K7" s="7" t="s">
        <v>14</v>
      </c>
      <c r="L7" s="7"/>
      <c r="M7" s="97" t="s">
        <v>163</v>
      </c>
      <c r="N7" s="360" t="s">
        <v>1752</v>
      </c>
      <c r="O7" s="33">
        <v>45846</v>
      </c>
      <c r="P7" s="33">
        <v>45852</v>
      </c>
      <c r="Q7" s="33"/>
      <c r="R7" s="33">
        <v>45854</v>
      </c>
      <c r="S7" s="33">
        <v>45854</v>
      </c>
      <c r="T7" s="45">
        <f t="shared" si="1"/>
        <v>4</v>
      </c>
      <c r="U7" s="45" t="str">
        <f t="shared" si="2"/>
        <v/>
      </c>
      <c r="V7" s="45">
        <f t="shared" si="4"/>
        <v>2</v>
      </c>
      <c r="W7" s="45">
        <f t="shared" si="3"/>
        <v>1</v>
      </c>
      <c r="X7" s="7" t="s">
        <v>150</v>
      </c>
      <c r="Y7" s="7" t="s">
        <v>50</v>
      </c>
      <c r="Z7" s="7" t="s">
        <v>57</v>
      </c>
      <c r="AA7" s="7" t="s">
        <v>69</v>
      </c>
      <c r="AB7" s="7" t="s">
        <v>57</v>
      </c>
      <c r="AC7" s="7" t="s">
        <v>69</v>
      </c>
      <c r="AD7" s="7" t="s">
        <v>69</v>
      </c>
      <c r="AE7" s="7" t="s">
        <v>1753</v>
      </c>
      <c r="AF7" s="7"/>
      <c r="AG7" s="7"/>
    </row>
    <row r="8" spans="1:33" ht="45">
      <c r="A8" s="7" t="s">
        <v>774</v>
      </c>
      <c r="B8" s="7" t="s">
        <v>842</v>
      </c>
      <c r="C8" s="7" t="s">
        <v>843</v>
      </c>
      <c r="D8" s="7" t="s">
        <v>143</v>
      </c>
      <c r="E8" s="98" t="s">
        <v>160</v>
      </c>
      <c r="F8" s="7" t="s">
        <v>1738</v>
      </c>
      <c r="G8" s="7">
        <v>14.70363</v>
      </c>
      <c r="H8" s="7">
        <v>120.48793000000001</v>
      </c>
      <c r="I8" s="7" t="str">
        <f t="shared" si="0"/>
        <v>14.70363, 120.48793</v>
      </c>
      <c r="J8" s="96" t="s">
        <v>76</v>
      </c>
      <c r="K8" s="7" t="s">
        <v>17</v>
      </c>
      <c r="L8" s="7"/>
      <c r="M8" s="358" t="s">
        <v>180</v>
      </c>
      <c r="N8" s="7" t="s">
        <v>1754</v>
      </c>
      <c r="O8" s="359">
        <v>45736</v>
      </c>
      <c r="P8" s="33">
        <v>45739</v>
      </c>
      <c r="Q8" s="33">
        <v>45739</v>
      </c>
      <c r="R8" s="33">
        <v>45741</v>
      </c>
      <c r="S8" s="33">
        <v>45742</v>
      </c>
      <c r="T8" s="45">
        <f t="shared" si="1"/>
        <v>1</v>
      </c>
      <c r="U8" s="45">
        <f t="shared" si="2"/>
        <v>1</v>
      </c>
      <c r="V8" s="45">
        <f t="shared" si="4"/>
        <v>1</v>
      </c>
      <c r="W8" s="45">
        <f t="shared" si="3"/>
        <v>1</v>
      </c>
      <c r="X8" s="7" t="s">
        <v>150</v>
      </c>
      <c r="Y8" s="7" t="s">
        <v>50</v>
      </c>
      <c r="Z8" s="7" t="s">
        <v>57</v>
      </c>
      <c r="AA8" s="7" t="s">
        <v>808</v>
      </c>
      <c r="AB8" s="7" t="s">
        <v>69</v>
      </c>
      <c r="AC8" s="7" t="s">
        <v>69</v>
      </c>
      <c r="AD8" s="7" t="s">
        <v>69</v>
      </c>
      <c r="AE8" s="7" t="s">
        <v>1755</v>
      </c>
      <c r="AF8" s="7"/>
      <c r="AG8" s="7"/>
    </row>
    <row r="9" spans="1:33" ht="60">
      <c r="A9" s="7" t="s">
        <v>774</v>
      </c>
      <c r="B9" s="7" t="s">
        <v>848</v>
      </c>
      <c r="C9" s="7" t="s">
        <v>1756</v>
      </c>
      <c r="D9" s="7" t="s">
        <v>143</v>
      </c>
      <c r="E9" s="98" t="s">
        <v>144</v>
      </c>
      <c r="F9" s="7" t="s">
        <v>1738</v>
      </c>
      <c r="G9" s="7">
        <v>14.6069</v>
      </c>
      <c r="H9" s="7">
        <v>120.40187</v>
      </c>
      <c r="I9" s="7" t="str">
        <f t="shared" si="0"/>
        <v>14.6069, 120.40187</v>
      </c>
      <c r="J9" s="96" t="s">
        <v>77</v>
      </c>
      <c r="K9" s="7" t="s">
        <v>19</v>
      </c>
      <c r="L9" s="7"/>
      <c r="M9" s="99" t="s">
        <v>180</v>
      </c>
      <c r="N9" s="135" t="s">
        <v>1757</v>
      </c>
      <c r="O9" s="33">
        <v>45783</v>
      </c>
      <c r="P9" s="33">
        <v>45790</v>
      </c>
      <c r="Q9" s="33">
        <v>45790</v>
      </c>
      <c r="R9" s="33">
        <v>45790</v>
      </c>
      <c r="S9" s="33">
        <v>45791</v>
      </c>
      <c r="T9" s="45">
        <f t="shared" si="1"/>
        <v>5</v>
      </c>
      <c r="U9" s="45">
        <f t="shared" si="2"/>
        <v>1</v>
      </c>
      <c r="V9" s="45">
        <f t="shared" si="4"/>
        <v>1</v>
      </c>
      <c r="W9" s="45">
        <f t="shared" si="3"/>
        <v>1</v>
      </c>
      <c r="X9" s="7" t="s">
        <v>150</v>
      </c>
      <c r="Y9" s="7" t="s">
        <v>50</v>
      </c>
      <c r="Z9" s="7" t="s">
        <v>57</v>
      </c>
      <c r="AA9" s="7" t="s">
        <v>69</v>
      </c>
      <c r="AB9" s="7" t="s">
        <v>69</v>
      </c>
      <c r="AC9" s="7" t="s">
        <v>69</v>
      </c>
      <c r="AD9" s="7" t="s">
        <v>69</v>
      </c>
      <c r="AE9" s="362" t="s">
        <v>1758</v>
      </c>
      <c r="AF9" s="7"/>
      <c r="AG9" s="7"/>
    </row>
    <row r="10" spans="1:33" ht="30">
      <c r="A10" s="7" t="s">
        <v>774</v>
      </c>
      <c r="B10" s="7" t="s">
        <v>853</v>
      </c>
      <c r="C10" s="7" t="s">
        <v>873</v>
      </c>
      <c r="D10" s="7" t="s">
        <v>143</v>
      </c>
      <c r="E10" s="98" t="s">
        <v>185</v>
      </c>
      <c r="F10" s="7" t="s">
        <v>1738</v>
      </c>
      <c r="G10" s="7">
        <v>14.677733419999999</v>
      </c>
      <c r="H10" s="7">
        <v>120.47504139</v>
      </c>
      <c r="I10" s="7" t="str">
        <f t="shared" si="0"/>
        <v>14.67773342, 120.47504139</v>
      </c>
      <c r="J10" s="96" t="s">
        <v>75</v>
      </c>
      <c r="K10" s="7" t="s">
        <v>17</v>
      </c>
      <c r="L10" s="7"/>
      <c r="M10" s="99" t="s">
        <v>180</v>
      </c>
      <c r="N10" s="7" t="s">
        <v>1759</v>
      </c>
      <c r="O10" s="33">
        <v>45715</v>
      </c>
      <c r="P10" s="33">
        <v>45718</v>
      </c>
      <c r="Q10" s="33">
        <v>45718</v>
      </c>
      <c r="R10" s="33">
        <v>45719</v>
      </c>
      <c r="S10" s="33">
        <v>45719</v>
      </c>
      <c r="T10" s="45">
        <f t="shared" si="1"/>
        <v>1</v>
      </c>
      <c r="U10" s="45">
        <f t="shared" si="2"/>
        <v>1</v>
      </c>
      <c r="V10" s="45">
        <f t="shared" si="4"/>
        <v>1</v>
      </c>
      <c r="W10" s="45">
        <f t="shared" si="3"/>
        <v>1</v>
      </c>
      <c r="X10" s="7" t="s">
        <v>150</v>
      </c>
      <c r="Y10" s="7" t="s">
        <v>50</v>
      </c>
      <c r="Z10" s="7" t="s">
        <v>50</v>
      </c>
      <c r="AA10" s="7" t="s">
        <v>808</v>
      </c>
      <c r="AB10" s="7" t="s">
        <v>69</v>
      </c>
      <c r="AC10" s="7" t="s">
        <v>69</v>
      </c>
      <c r="AD10" s="7" t="s">
        <v>69</v>
      </c>
      <c r="AE10" s="7"/>
      <c r="AF10" s="7"/>
      <c r="AG10" s="7"/>
    </row>
    <row r="11" spans="1:33" ht="135">
      <c r="A11" s="360" t="s">
        <v>774</v>
      </c>
      <c r="B11" s="360" t="s">
        <v>926</v>
      </c>
      <c r="C11" s="360" t="s">
        <v>1760</v>
      </c>
      <c r="D11" s="360" t="s">
        <v>143</v>
      </c>
      <c r="E11" s="534" t="s">
        <v>144</v>
      </c>
      <c r="F11" s="360" t="s">
        <v>1738</v>
      </c>
      <c r="G11" s="360">
        <v>14.9153903</v>
      </c>
      <c r="H11" s="360">
        <v>120.45278860000001</v>
      </c>
      <c r="I11" s="360" t="str">
        <f t="shared" si="0"/>
        <v>14.9153903, 120.4527886</v>
      </c>
      <c r="J11" s="331" t="s">
        <v>74</v>
      </c>
      <c r="K11" s="360" t="s">
        <v>18</v>
      </c>
      <c r="L11" s="360"/>
      <c r="M11" s="535" t="s">
        <v>180</v>
      </c>
      <c r="N11" s="360" t="s">
        <v>1761</v>
      </c>
      <c r="O11" s="536">
        <v>45707</v>
      </c>
      <c r="P11" s="536">
        <v>45707</v>
      </c>
      <c r="Q11" s="536">
        <v>45707</v>
      </c>
      <c r="R11" s="536">
        <v>45707</v>
      </c>
      <c r="S11" s="536">
        <v>45707</v>
      </c>
      <c r="T11" s="354">
        <f t="shared" si="1"/>
        <v>1</v>
      </c>
      <c r="U11" s="354">
        <f t="shared" si="2"/>
        <v>1</v>
      </c>
      <c r="V11" s="45">
        <f t="shared" ref="V11:V17" si="5">IF(
  OR(IF(Q11&lt;&gt;"", Q11, P11)="", R11=""),
  "",
  MAX(1,
    IF(
      NETWORKDAYS(IF(Q11&lt;&gt;"", Q11, P11), R11) &lt;= 0,
      1,
      NETWORKDAYS(IF(Q11&lt;&gt;"", Q11, P11), R11) - IF(IF(Q11&lt;&gt;"", Q11, P11)=R11, 0, 1)
    )
  )
)</f>
        <v>1</v>
      </c>
      <c r="W11" s="354">
        <f t="shared" si="3"/>
        <v>1</v>
      </c>
      <c r="X11" s="7" t="s">
        <v>150</v>
      </c>
      <c r="Y11" s="360" t="s">
        <v>57</v>
      </c>
      <c r="Z11" s="360" t="s">
        <v>57</v>
      </c>
      <c r="AA11" s="360" t="s">
        <v>808</v>
      </c>
      <c r="AB11" s="360" t="s">
        <v>69</v>
      </c>
      <c r="AC11" s="360" t="s">
        <v>69</v>
      </c>
      <c r="AD11" s="360" t="s">
        <v>69</v>
      </c>
      <c r="AE11" s="360" t="s">
        <v>1762</v>
      </c>
      <c r="AF11" s="360"/>
      <c r="AG11" s="360"/>
    </row>
    <row r="12" spans="1:33" ht="60">
      <c r="A12" s="360" t="s">
        <v>774</v>
      </c>
      <c r="B12" s="360" t="s">
        <v>865</v>
      </c>
      <c r="C12" s="360" t="s">
        <v>1763</v>
      </c>
      <c r="D12" s="360" t="s">
        <v>143</v>
      </c>
      <c r="E12" s="534" t="s">
        <v>185</v>
      </c>
      <c r="F12" s="360" t="s">
        <v>1738</v>
      </c>
      <c r="G12" s="360">
        <v>14.53316856</v>
      </c>
      <c r="H12" s="360">
        <v>120.58780304</v>
      </c>
      <c r="I12" s="360" t="str">
        <f t="shared" si="0"/>
        <v>14.53316856, 120.58780304</v>
      </c>
      <c r="J12" s="360" t="s">
        <v>81</v>
      </c>
      <c r="K12" s="360" t="s">
        <v>17</v>
      </c>
      <c r="L12" s="360"/>
      <c r="M12" s="624" t="s">
        <v>180</v>
      </c>
      <c r="N12" s="7" t="s">
        <v>1764</v>
      </c>
      <c r="O12" s="536">
        <v>45909</v>
      </c>
      <c r="P12" s="536">
        <v>45914</v>
      </c>
      <c r="Q12" s="536"/>
      <c r="R12" s="536">
        <v>45915</v>
      </c>
      <c r="S12" s="625">
        <v>45917</v>
      </c>
      <c r="T12" s="354">
        <f t="shared" si="1"/>
        <v>3</v>
      </c>
      <c r="U12" s="354" t="str">
        <f t="shared" si="2"/>
        <v/>
      </c>
      <c r="V12" s="45">
        <f t="shared" si="5"/>
        <v>1</v>
      </c>
      <c r="W12" s="354">
        <f t="shared" si="3"/>
        <v>2</v>
      </c>
      <c r="X12" s="7" t="s">
        <v>150</v>
      </c>
      <c r="Y12" s="360" t="s">
        <v>57</v>
      </c>
      <c r="Z12" s="360" t="s">
        <v>57</v>
      </c>
      <c r="AA12" s="360" t="s">
        <v>679</v>
      </c>
      <c r="AB12" s="360"/>
      <c r="AC12" s="360"/>
      <c r="AD12" s="360"/>
      <c r="AE12" s="360" t="s">
        <v>1765</v>
      </c>
      <c r="AF12" s="360" t="s">
        <v>953</v>
      </c>
      <c r="AG12" s="360"/>
    </row>
    <row r="13" spans="1:33" ht="60">
      <c r="A13" s="7" t="s">
        <v>774</v>
      </c>
      <c r="B13" s="7" t="s">
        <v>861</v>
      </c>
      <c r="C13" s="7" t="s">
        <v>938</v>
      </c>
      <c r="D13" s="7" t="s">
        <v>143</v>
      </c>
      <c r="E13" s="98" t="s">
        <v>185</v>
      </c>
      <c r="F13" s="7" t="s">
        <v>1738</v>
      </c>
      <c r="G13" s="7">
        <v>14.628104759999999</v>
      </c>
      <c r="H13" s="7">
        <v>120.57682907</v>
      </c>
      <c r="I13" s="7" t="str">
        <f t="shared" si="0"/>
        <v>14.62810476, 120.57682907</v>
      </c>
      <c r="J13" s="7" t="s">
        <v>82</v>
      </c>
      <c r="K13" s="7" t="s">
        <v>17</v>
      </c>
      <c r="L13" s="7"/>
      <c r="M13" s="70" t="s">
        <v>180</v>
      </c>
      <c r="N13" s="43" t="s">
        <v>1766</v>
      </c>
      <c r="O13" s="662">
        <v>45940</v>
      </c>
      <c r="P13" s="33">
        <v>45942</v>
      </c>
      <c r="Q13" s="33"/>
      <c r="R13" s="33">
        <v>45943</v>
      </c>
      <c r="S13" s="33">
        <v>45944</v>
      </c>
      <c r="T13" s="45">
        <f t="shared" si="1"/>
        <v>1</v>
      </c>
      <c r="U13" s="45" t="str">
        <f t="shared" si="2"/>
        <v/>
      </c>
      <c r="V13" s="45">
        <f t="shared" si="5"/>
        <v>1</v>
      </c>
      <c r="W13" s="45">
        <f t="shared" si="3"/>
        <v>1</v>
      </c>
      <c r="X13" s="7" t="s">
        <v>150</v>
      </c>
      <c r="Y13" s="7" t="s">
        <v>57</v>
      </c>
      <c r="Z13" s="7" t="s">
        <v>57</v>
      </c>
      <c r="AA13" s="7" t="s">
        <v>69</v>
      </c>
      <c r="AB13" s="134"/>
      <c r="AC13" s="7"/>
      <c r="AD13" s="7" t="s">
        <v>1767</v>
      </c>
      <c r="AE13" s="7" t="s">
        <v>1768</v>
      </c>
      <c r="AF13" s="7"/>
      <c r="AG13" s="7"/>
    </row>
    <row r="14" spans="1:33" ht="90">
      <c r="A14" s="135" t="s">
        <v>774</v>
      </c>
      <c r="B14" s="135" t="s">
        <v>895</v>
      </c>
      <c r="C14" s="135" t="s">
        <v>1056</v>
      </c>
      <c r="D14" s="135" t="s">
        <v>143</v>
      </c>
      <c r="E14" s="547" t="s">
        <v>144</v>
      </c>
      <c r="F14" s="135" t="s">
        <v>1738</v>
      </c>
      <c r="G14" s="135">
        <v>14.436640000000001</v>
      </c>
      <c r="H14" s="135">
        <v>120.48918</v>
      </c>
      <c r="I14" s="135" t="str">
        <f t="shared" si="0"/>
        <v>14.43664, 120.48918</v>
      </c>
      <c r="J14" s="544" t="s">
        <v>78</v>
      </c>
      <c r="K14" s="135" t="s">
        <v>19</v>
      </c>
      <c r="L14" s="135"/>
      <c r="M14" s="548" t="s">
        <v>180</v>
      </c>
      <c r="N14" s="135" t="s">
        <v>1769</v>
      </c>
      <c r="O14" s="546">
        <v>45821</v>
      </c>
      <c r="P14" s="546">
        <v>45824</v>
      </c>
      <c r="Q14" s="546">
        <v>45824</v>
      </c>
      <c r="R14" s="546">
        <v>45824</v>
      </c>
      <c r="S14" s="546">
        <v>45825</v>
      </c>
      <c r="T14" s="423">
        <f t="shared" si="1"/>
        <v>1</v>
      </c>
      <c r="U14" s="423">
        <f t="shared" si="2"/>
        <v>1</v>
      </c>
      <c r="V14" s="45">
        <f t="shared" si="5"/>
        <v>1</v>
      </c>
      <c r="W14" s="423">
        <f t="shared" si="3"/>
        <v>1</v>
      </c>
      <c r="X14" s="7" t="s">
        <v>150</v>
      </c>
      <c r="Y14" s="135" t="s">
        <v>57</v>
      </c>
      <c r="Z14" s="135" t="s">
        <v>57</v>
      </c>
      <c r="AA14" s="135" t="s">
        <v>69</v>
      </c>
      <c r="AB14" s="135" t="s">
        <v>69</v>
      </c>
      <c r="AC14" s="135" t="s">
        <v>69</v>
      </c>
      <c r="AD14" s="135" t="s">
        <v>69</v>
      </c>
      <c r="AE14" s="567" t="s">
        <v>1770</v>
      </c>
      <c r="AF14" s="135" t="s">
        <v>953</v>
      </c>
      <c r="AG14" s="135"/>
    </row>
    <row r="15" spans="1:33" ht="75">
      <c r="A15" s="7" t="s">
        <v>774</v>
      </c>
      <c r="B15" s="7" t="s">
        <v>884</v>
      </c>
      <c r="C15" s="7" t="s">
        <v>885</v>
      </c>
      <c r="D15" s="7" t="s">
        <v>143</v>
      </c>
      <c r="E15" s="98" t="s">
        <v>160</v>
      </c>
      <c r="F15" s="7" t="s">
        <v>1738</v>
      </c>
      <c r="G15" s="7">
        <v>14.814472670000001</v>
      </c>
      <c r="H15" s="7">
        <v>120.47924198</v>
      </c>
      <c r="I15" s="7" t="str">
        <f t="shared" si="0"/>
        <v>14.81447267, 120.47924198</v>
      </c>
      <c r="J15" s="96" t="s">
        <v>80</v>
      </c>
      <c r="K15" s="7" t="s">
        <v>18</v>
      </c>
      <c r="L15" s="7"/>
      <c r="M15" s="99" t="s">
        <v>180</v>
      </c>
      <c r="N15" s="7" t="s">
        <v>1771</v>
      </c>
      <c r="O15" s="33">
        <v>45881</v>
      </c>
      <c r="P15" s="33">
        <v>45887</v>
      </c>
      <c r="Q15" s="33"/>
      <c r="R15" s="33">
        <v>45887</v>
      </c>
      <c r="S15" s="33">
        <v>45887</v>
      </c>
      <c r="T15" s="45">
        <f t="shared" si="1"/>
        <v>4</v>
      </c>
      <c r="U15" s="45" t="str">
        <f t="shared" si="2"/>
        <v/>
      </c>
      <c r="V15" s="45">
        <f t="shared" si="5"/>
        <v>1</v>
      </c>
      <c r="W15" s="45">
        <f t="shared" si="3"/>
        <v>1</v>
      </c>
      <c r="X15" s="7" t="s">
        <v>150</v>
      </c>
      <c r="Y15" s="7" t="s">
        <v>57</v>
      </c>
      <c r="Z15" s="7" t="s">
        <v>57</v>
      </c>
      <c r="AA15" s="7" t="s">
        <v>679</v>
      </c>
      <c r="AB15" s="7"/>
      <c r="AC15" s="7"/>
      <c r="AD15" s="7"/>
      <c r="AE15" s="7" t="s">
        <v>1772</v>
      </c>
      <c r="AF15" s="7" t="s">
        <v>953</v>
      </c>
      <c r="AG15" s="7"/>
    </row>
    <row r="16" spans="1:33" ht="60">
      <c r="A16" s="7" t="s">
        <v>774</v>
      </c>
      <c r="B16" s="7" t="s">
        <v>891</v>
      </c>
      <c r="C16" s="7" t="s">
        <v>892</v>
      </c>
      <c r="D16" s="7" t="s">
        <v>143</v>
      </c>
      <c r="E16" s="98" t="s">
        <v>160</v>
      </c>
      <c r="F16" s="7" t="s">
        <v>1738</v>
      </c>
      <c r="G16" s="7">
        <v>14.80337815</v>
      </c>
      <c r="H16" s="7">
        <v>120.5254882</v>
      </c>
      <c r="I16" s="7" t="str">
        <f t="shared" si="0"/>
        <v>14.80337815, 120.5254882</v>
      </c>
      <c r="J16" s="96" t="s">
        <v>83</v>
      </c>
      <c r="K16" s="7" t="s">
        <v>18</v>
      </c>
      <c r="L16" s="7"/>
      <c r="M16" s="99" t="s">
        <v>180</v>
      </c>
      <c r="N16" s="360" t="s">
        <v>1773</v>
      </c>
      <c r="O16" s="536">
        <v>45959</v>
      </c>
      <c r="P16" s="33">
        <v>45961</v>
      </c>
      <c r="Q16" s="33"/>
      <c r="R16" s="33">
        <v>45961</v>
      </c>
      <c r="S16" s="33">
        <v>45964</v>
      </c>
      <c r="T16" s="45">
        <f t="shared" si="1"/>
        <v>2</v>
      </c>
      <c r="U16" s="45" t="str">
        <f t="shared" si="2"/>
        <v/>
      </c>
      <c r="V16" s="45">
        <f t="shared" si="5"/>
        <v>1</v>
      </c>
      <c r="W16" s="45">
        <f t="shared" si="3"/>
        <v>1</v>
      </c>
      <c r="X16" s="7" t="s">
        <v>150</v>
      </c>
      <c r="Y16" s="7" t="s">
        <v>50</v>
      </c>
      <c r="Z16" s="7" t="s">
        <v>50</v>
      </c>
      <c r="AA16" s="7" t="s">
        <v>69</v>
      </c>
      <c r="AB16" s="134"/>
      <c r="AC16" s="7"/>
      <c r="AD16" s="7"/>
      <c r="AE16" s="7" t="s">
        <v>1774</v>
      </c>
      <c r="AF16" s="7"/>
      <c r="AG16" s="7"/>
    </row>
    <row r="17" spans="1:33" ht="90">
      <c r="A17" s="7" t="s">
        <v>774</v>
      </c>
      <c r="B17" s="7" t="s">
        <v>1775</v>
      </c>
      <c r="C17" s="7" t="s">
        <v>1776</v>
      </c>
      <c r="D17" s="7" t="s">
        <v>143</v>
      </c>
      <c r="E17" s="98" t="s">
        <v>144</v>
      </c>
      <c r="F17" s="7" t="s">
        <v>1738</v>
      </c>
      <c r="G17" s="7">
        <v>14.68066</v>
      </c>
      <c r="H17" s="7">
        <v>120.27274</v>
      </c>
      <c r="I17" s="7" t="str">
        <f t="shared" si="0"/>
        <v>14.68066, 120.27274</v>
      </c>
      <c r="J17" s="96" t="s">
        <v>83</v>
      </c>
      <c r="K17" s="7" t="s">
        <v>19</v>
      </c>
      <c r="L17" s="7"/>
      <c r="M17" s="358" t="s">
        <v>180</v>
      </c>
      <c r="N17" s="7" t="s">
        <v>1777</v>
      </c>
      <c r="O17" s="33">
        <v>45954</v>
      </c>
      <c r="P17" s="359">
        <v>45957</v>
      </c>
      <c r="Q17" s="33"/>
      <c r="R17" s="33">
        <v>45957</v>
      </c>
      <c r="S17" s="33">
        <v>45959</v>
      </c>
      <c r="T17" s="354">
        <f t="shared" si="1"/>
        <v>1</v>
      </c>
      <c r="U17" s="354" t="str">
        <f t="shared" si="2"/>
        <v/>
      </c>
      <c r="V17" s="45">
        <f t="shared" si="5"/>
        <v>1</v>
      </c>
      <c r="W17" s="354">
        <f t="shared" si="3"/>
        <v>2</v>
      </c>
      <c r="X17" s="7" t="s">
        <v>150</v>
      </c>
      <c r="Y17" s="7" t="s">
        <v>57</v>
      </c>
      <c r="Z17" s="7" t="s">
        <v>57</v>
      </c>
      <c r="AA17" s="7" t="s">
        <v>69</v>
      </c>
      <c r="AB17" s="7" t="s">
        <v>69</v>
      </c>
      <c r="AC17" s="7" t="s">
        <v>69</v>
      </c>
      <c r="AD17" s="7" t="s">
        <v>69</v>
      </c>
      <c r="AE17" s="7" t="s">
        <v>1778</v>
      </c>
      <c r="AF17" s="7"/>
      <c r="AG17" s="7"/>
    </row>
    <row r="18" spans="1:33" ht="60">
      <c r="A18" s="7" t="s">
        <v>774</v>
      </c>
      <c r="B18" s="7" t="s">
        <v>877</v>
      </c>
      <c r="C18" s="7" t="s">
        <v>878</v>
      </c>
      <c r="D18" s="7" t="s">
        <v>143</v>
      </c>
      <c r="E18" s="98" t="s">
        <v>185</v>
      </c>
      <c r="F18" s="7" t="s">
        <v>1738</v>
      </c>
      <c r="G18" s="7">
        <v>14.660496800000001</v>
      </c>
      <c r="H18" s="7">
        <v>120.54375235000001</v>
      </c>
      <c r="I18" s="7" t="str">
        <f t="shared" si="0"/>
        <v>14.6604968, 120.54375235</v>
      </c>
      <c r="J18" s="96" t="s">
        <v>75</v>
      </c>
      <c r="K18" s="7" t="s">
        <v>17</v>
      </c>
      <c r="L18" s="7"/>
      <c r="M18" s="99" t="s">
        <v>180</v>
      </c>
      <c r="N18" s="43" t="s">
        <v>1779</v>
      </c>
      <c r="O18" s="662">
        <v>45729</v>
      </c>
      <c r="P18" s="33">
        <v>45732</v>
      </c>
      <c r="Q18" s="33">
        <v>45732</v>
      </c>
      <c r="R18" s="33">
        <v>45732</v>
      </c>
      <c r="S18" s="33">
        <v>45733</v>
      </c>
      <c r="T18" s="45">
        <f t="shared" si="1"/>
        <v>1</v>
      </c>
      <c r="U18" s="45">
        <f t="shared" si="2"/>
        <v>1</v>
      </c>
      <c r="V18" s="45">
        <f t="shared" si="4"/>
        <v>1</v>
      </c>
      <c r="W18" s="45">
        <f t="shared" si="3"/>
        <v>1</v>
      </c>
      <c r="X18" s="7" t="s">
        <v>150</v>
      </c>
      <c r="Y18" s="7" t="s">
        <v>57</v>
      </c>
      <c r="Z18" s="7" t="s">
        <v>57</v>
      </c>
      <c r="AA18" s="7" t="s">
        <v>808</v>
      </c>
      <c r="AB18" s="7" t="s">
        <v>69</v>
      </c>
      <c r="AC18" s="7" t="s">
        <v>69</v>
      </c>
      <c r="AD18" s="7" t="s">
        <v>69</v>
      </c>
      <c r="AE18" s="7" t="s">
        <v>1780</v>
      </c>
      <c r="AF18" s="7" t="s">
        <v>953</v>
      </c>
      <c r="AG18" s="7"/>
    </row>
    <row r="19" spans="1:33" ht="30">
      <c r="A19" s="7" t="s">
        <v>774</v>
      </c>
      <c r="B19" s="7" t="s">
        <v>917</v>
      </c>
      <c r="C19" s="7" t="s">
        <v>918</v>
      </c>
      <c r="D19" s="7" t="s">
        <v>143</v>
      </c>
      <c r="E19" s="98" t="s">
        <v>160</v>
      </c>
      <c r="F19" s="7" t="s">
        <v>1738</v>
      </c>
      <c r="G19" s="7">
        <v>14.772974619999999</v>
      </c>
      <c r="H19" s="7">
        <v>120.51674672</v>
      </c>
      <c r="I19" s="7" t="str">
        <f t="shared" si="0"/>
        <v>14.77297462, 120.51674672</v>
      </c>
      <c r="J19" s="96" t="s">
        <v>74</v>
      </c>
      <c r="K19" s="7" t="s">
        <v>18</v>
      </c>
      <c r="L19" s="7"/>
      <c r="M19" s="99" t="s">
        <v>180</v>
      </c>
      <c r="N19" s="43" t="s">
        <v>1781</v>
      </c>
      <c r="O19" s="662">
        <v>45692</v>
      </c>
      <c r="P19" s="33">
        <v>45692</v>
      </c>
      <c r="Q19" s="33">
        <v>45693</v>
      </c>
      <c r="R19" s="33">
        <v>45693</v>
      </c>
      <c r="S19" s="33">
        <v>45694</v>
      </c>
      <c r="T19" s="45">
        <f t="shared" si="1"/>
        <v>1</v>
      </c>
      <c r="U19" s="45">
        <f t="shared" si="2"/>
        <v>1</v>
      </c>
      <c r="V19" s="45">
        <f t="shared" si="4"/>
        <v>1</v>
      </c>
      <c r="W19" s="45">
        <f t="shared" si="3"/>
        <v>1</v>
      </c>
      <c r="X19" s="7" t="s">
        <v>150</v>
      </c>
      <c r="Y19" s="7" t="s">
        <v>50</v>
      </c>
      <c r="Z19" s="7" t="s">
        <v>57</v>
      </c>
      <c r="AA19" s="7">
        <v>707.52</v>
      </c>
      <c r="AB19" s="7" t="s">
        <v>808</v>
      </c>
      <c r="AC19" s="7" t="s">
        <v>808</v>
      </c>
      <c r="AD19" s="7" t="s">
        <v>808</v>
      </c>
      <c r="AE19" s="7" t="s">
        <v>1782</v>
      </c>
      <c r="AF19" s="7" t="s">
        <v>1220</v>
      </c>
      <c r="AG19" s="7"/>
    </row>
    <row r="20" spans="1:33">
      <c r="A20" s="7" t="s">
        <v>776</v>
      </c>
      <c r="B20" s="7" t="s">
        <v>666</v>
      </c>
      <c r="C20" s="7" t="s">
        <v>1093</v>
      </c>
      <c r="D20" s="7" t="s">
        <v>143</v>
      </c>
      <c r="E20" s="98" t="s">
        <v>599</v>
      </c>
      <c r="F20" s="7" t="s">
        <v>1738</v>
      </c>
      <c r="G20" s="7">
        <v>14.915900000000001</v>
      </c>
      <c r="H20" s="7">
        <v>121.0874</v>
      </c>
      <c r="I20" s="7" t="str">
        <f t="shared" si="0"/>
        <v>14.9159, 121.0874</v>
      </c>
      <c r="J20" s="96" t="s">
        <v>79</v>
      </c>
      <c r="K20" s="7" t="s">
        <v>24</v>
      </c>
      <c r="L20" s="7"/>
      <c r="M20" s="99" t="s">
        <v>201</v>
      </c>
      <c r="N20" s="360" t="s">
        <v>1783</v>
      </c>
      <c r="O20" s="33">
        <v>45848</v>
      </c>
      <c r="P20" s="33">
        <v>45855</v>
      </c>
      <c r="Q20" s="33"/>
      <c r="R20" s="33">
        <v>45856</v>
      </c>
      <c r="S20" s="33">
        <v>45856</v>
      </c>
      <c r="T20" s="354">
        <f t="shared" si="1"/>
        <v>5</v>
      </c>
      <c r="U20" s="354" t="str">
        <f t="shared" si="2"/>
        <v/>
      </c>
      <c r="V20" s="45">
        <f t="shared" si="4"/>
        <v>1</v>
      </c>
      <c r="W20" s="354">
        <f t="shared" si="3"/>
        <v>1</v>
      </c>
      <c r="X20" s="7" t="s">
        <v>150</v>
      </c>
      <c r="Y20" s="7" t="s">
        <v>50</v>
      </c>
      <c r="Z20" s="7" t="s">
        <v>50</v>
      </c>
      <c r="AA20" s="7" t="s">
        <v>1784</v>
      </c>
      <c r="AB20" s="7"/>
      <c r="AC20" s="7"/>
      <c r="AD20" s="7"/>
      <c r="AE20" s="7"/>
      <c r="AF20" s="7"/>
      <c r="AG20" s="7"/>
    </row>
    <row r="21" spans="1:33">
      <c r="A21" s="360" t="s">
        <v>776</v>
      </c>
      <c r="B21" s="360" t="s">
        <v>597</v>
      </c>
      <c r="C21" s="360" t="s">
        <v>935</v>
      </c>
      <c r="D21" s="360" t="s">
        <v>143</v>
      </c>
      <c r="E21" s="534" t="s">
        <v>599</v>
      </c>
      <c r="F21" s="360" t="s">
        <v>1738</v>
      </c>
      <c r="G21" s="360">
        <v>14.937799999999999</v>
      </c>
      <c r="H21" s="360">
        <v>120.9739</v>
      </c>
      <c r="I21" s="360" t="str">
        <f t="shared" si="0"/>
        <v>14.9378, 120.9739</v>
      </c>
      <c r="J21" s="331" t="s">
        <v>83</v>
      </c>
      <c r="K21" s="360" t="s">
        <v>200</v>
      </c>
      <c r="L21" s="360" t="s">
        <v>147</v>
      </c>
      <c r="M21" s="537" t="s">
        <v>201</v>
      </c>
      <c r="N21" s="360" t="s">
        <v>1785</v>
      </c>
      <c r="O21" s="538">
        <v>45968</v>
      </c>
      <c r="P21" s="536">
        <v>45969</v>
      </c>
      <c r="Q21" s="536">
        <v>45969</v>
      </c>
      <c r="R21" s="33">
        <v>45980</v>
      </c>
      <c r="S21" s="33">
        <v>45980</v>
      </c>
      <c r="T21" s="354">
        <f t="shared" si="1"/>
        <v>1</v>
      </c>
      <c r="U21" s="354">
        <f t="shared" si="2"/>
        <v>1</v>
      </c>
      <c r="V21" s="45">
        <f t="shared" si="4"/>
        <v>7</v>
      </c>
      <c r="W21" s="354">
        <f t="shared" si="3"/>
        <v>1</v>
      </c>
      <c r="X21" s="7" t="s">
        <v>150</v>
      </c>
      <c r="Y21" s="360" t="s">
        <v>57</v>
      </c>
      <c r="Z21" s="360" t="s">
        <v>57</v>
      </c>
      <c r="AA21" s="360"/>
      <c r="AB21" s="360"/>
      <c r="AC21" s="360"/>
      <c r="AD21" s="360"/>
      <c r="AE21" s="360"/>
      <c r="AF21" s="360"/>
      <c r="AG21" s="360"/>
    </row>
    <row r="22" spans="1:33" ht="30">
      <c r="A22" s="7" t="s">
        <v>776</v>
      </c>
      <c r="B22" s="7" t="s">
        <v>1786</v>
      </c>
      <c r="C22" s="7" t="s">
        <v>1787</v>
      </c>
      <c r="D22" s="7" t="s">
        <v>143</v>
      </c>
      <c r="E22" s="98" t="s">
        <v>185</v>
      </c>
      <c r="F22" s="7" t="s">
        <v>1738</v>
      </c>
      <c r="G22" s="7">
        <v>14.9491</v>
      </c>
      <c r="H22" s="7">
        <v>120.8862</v>
      </c>
      <c r="I22" s="7" t="str">
        <f t="shared" si="0"/>
        <v>14.9491, 120.8862</v>
      </c>
      <c r="J22" s="7" t="s">
        <v>83</v>
      </c>
      <c r="K22" s="7" t="s">
        <v>22</v>
      </c>
      <c r="L22" s="7" t="s">
        <v>147</v>
      </c>
      <c r="M22" s="70" t="s">
        <v>201</v>
      </c>
      <c r="N22" s="7" t="s">
        <v>1788</v>
      </c>
      <c r="O22" s="33">
        <v>45966</v>
      </c>
      <c r="P22" s="33">
        <v>45968</v>
      </c>
      <c r="Q22" s="33">
        <v>45969</v>
      </c>
      <c r="R22" s="33">
        <v>45980</v>
      </c>
      <c r="S22" s="33">
        <v>45980</v>
      </c>
      <c r="T22" s="45">
        <f t="shared" si="1"/>
        <v>2</v>
      </c>
      <c r="U22" s="45">
        <f t="shared" si="2"/>
        <v>1</v>
      </c>
      <c r="V22" s="45">
        <f t="shared" si="4"/>
        <v>7</v>
      </c>
      <c r="W22" s="45">
        <f t="shared" si="3"/>
        <v>1</v>
      </c>
      <c r="X22" s="7" t="s">
        <v>150</v>
      </c>
      <c r="Y22" s="7" t="s">
        <v>57</v>
      </c>
      <c r="Z22" s="7" t="s">
        <v>57</v>
      </c>
      <c r="AA22" s="7"/>
      <c r="AB22" s="7"/>
      <c r="AC22" s="7"/>
      <c r="AD22" s="7"/>
      <c r="AE22" s="7"/>
      <c r="AF22" s="7"/>
      <c r="AG22" s="7"/>
    </row>
    <row r="23" spans="1:33" ht="63">
      <c r="A23" s="549" t="s">
        <v>776</v>
      </c>
      <c r="B23" s="549" t="s">
        <v>1789</v>
      </c>
      <c r="C23" s="549" t="s">
        <v>1790</v>
      </c>
      <c r="D23" s="549" t="s">
        <v>143</v>
      </c>
      <c r="E23" s="550" t="s">
        <v>554</v>
      </c>
      <c r="F23" s="549" t="s">
        <v>1738</v>
      </c>
      <c r="G23" s="549">
        <v>14.791753</v>
      </c>
      <c r="H23" s="549">
        <v>120.93874700000001</v>
      </c>
      <c r="I23" s="549" t="str">
        <f t="shared" si="0"/>
        <v>14.791753, 120.938747</v>
      </c>
      <c r="J23" s="551" t="s">
        <v>80</v>
      </c>
      <c r="K23" s="549" t="s">
        <v>21</v>
      </c>
      <c r="L23" s="549"/>
      <c r="M23" s="552" t="s">
        <v>201</v>
      </c>
      <c r="N23" s="650" t="s">
        <v>1791</v>
      </c>
      <c r="O23" s="553">
        <v>45883</v>
      </c>
      <c r="P23" s="553">
        <v>45887</v>
      </c>
      <c r="Q23" s="553"/>
      <c r="R23" s="553">
        <v>45887</v>
      </c>
      <c r="S23" s="553">
        <v>45888</v>
      </c>
      <c r="T23" s="554">
        <f t="shared" si="1"/>
        <v>2</v>
      </c>
      <c r="U23" s="554" t="str">
        <f t="shared" si="2"/>
        <v/>
      </c>
      <c r="V23" s="45">
        <f t="shared" si="4"/>
        <v>1</v>
      </c>
      <c r="W23" s="554">
        <f t="shared" si="3"/>
        <v>1</v>
      </c>
      <c r="X23" s="7" t="s">
        <v>150</v>
      </c>
      <c r="Y23" s="549" t="s">
        <v>57</v>
      </c>
      <c r="Z23" s="549" t="s">
        <v>57</v>
      </c>
      <c r="AA23" s="549"/>
      <c r="AB23" s="549"/>
      <c r="AC23" s="549"/>
      <c r="AD23" s="549"/>
      <c r="AE23" s="610" t="s">
        <v>1792</v>
      </c>
      <c r="AF23" s="549" t="s">
        <v>953</v>
      </c>
      <c r="AG23" s="549"/>
    </row>
    <row r="24" spans="1:33" ht="30">
      <c r="A24" s="7" t="s">
        <v>776</v>
      </c>
      <c r="B24" s="7" t="s">
        <v>1793</v>
      </c>
      <c r="C24" s="7" t="s">
        <v>1051</v>
      </c>
      <c r="D24" s="7" t="s">
        <v>143</v>
      </c>
      <c r="E24" s="98" t="s">
        <v>144</v>
      </c>
      <c r="F24" s="7" t="s">
        <v>1738</v>
      </c>
      <c r="G24" s="7">
        <v>14.9831</v>
      </c>
      <c r="H24" s="7">
        <v>121.0604</v>
      </c>
      <c r="I24" s="7" t="str">
        <f t="shared" si="0"/>
        <v>14.9831, 121.0604</v>
      </c>
      <c r="J24" s="7" t="s">
        <v>81</v>
      </c>
      <c r="K24" s="7" t="s">
        <v>22</v>
      </c>
      <c r="L24" s="7" t="s">
        <v>147</v>
      </c>
      <c r="M24" s="70" t="s">
        <v>201</v>
      </c>
      <c r="N24" s="7" t="s">
        <v>1794</v>
      </c>
      <c r="O24" s="33">
        <v>45917</v>
      </c>
      <c r="P24" s="33">
        <v>45917</v>
      </c>
      <c r="Q24" s="33">
        <v>45918</v>
      </c>
      <c r="R24" s="33">
        <v>45923</v>
      </c>
      <c r="S24" s="33">
        <v>45923</v>
      </c>
      <c r="T24" s="45">
        <f t="shared" si="1"/>
        <v>1</v>
      </c>
      <c r="U24" s="45">
        <f t="shared" si="2"/>
        <v>1</v>
      </c>
      <c r="V24" s="45">
        <f t="shared" si="4"/>
        <v>3</v>
      </c>
      <c r="W24" s="45">
        <f t="shared" si="3"/>
        <v>1</v>
      </c>
      <c r="X24" s="7" t="s">
        <v>150</v>
      </c>
      <c r="Y24" s="7" t="s">
        <v>50</v>
      </c>
      <c r="Z24" s="7" t="s">
        <v>57</v>
      </c>
      <c r="AA24" s="7"/>
      <c r="AB24" s="7"/>
      <c r="AC24" s="7"/>
      <c r="AD24" s="7"/>
      <c r="AE24" s="7" t="s">
        <v>1795</v>
      </c>
      <c r="AF24" s="7" t="s">
        <v>953</v>
      </c>
      <c r="AG24" s="7"/>
    </row>
    <row r="25" spans="1:33" ht="47.25">
      <c r="A25" s="135" t="s">
        <v>776</v>
      </c>
      <c r="B25" s="135" t="s">
        <v>1796</v>
      </c>
      <c r="C25" s="135" t="s">
        <v>885</v>
      </c>
      <c r="D25" s="135" t="s">
        <v>143</v>
      </c>
      <c r="E25" s="547" t="s">
        <v>160</v>
      </c>
      <c r="F25" s="135" t="s">
        <v>1738</v>
      </c>
      <c r="G25" s="135">
        <v>14.808199999999999</v>
      </c>
      <c r="H25" s="135">
        <v>120.8443</v>
      </c>
      <c r="I25" s="135" t="str">
        <f t="shared" si="0"/>
        <v>14.8082, 120.8443</v>
      </c>
      <c r="J25" s="544" t="s">
        <v>80</v>
      </c>
      <c r="K25" s="135" t="s">
        <v>22</v>
      </c>
      <c r="L25" s="135"/>
      <c r="M25" s="555" t="s">
        <v>201</v>
      </c>
      <c r="N25" s="7" t="s">
        <v>1797</v>
      </c>
      <c r="O25" s="556">
        <v>45882</v>
      </c>
      <c r="P25" s="546">
        <v>45887</v>
      </c>
      <c r="Q25" s="546"/>
      <c r="R25" s="546">
        <v>45888</v>
      </c>
      <c r="S25" s="546">
        <v>45888</v>
      </c>
      <c r="T25" s="423">
        <f t="shared" si="1"/>
        <v>3</v>
      </c>
      <c r="U25" s="423" t="str">
        <f t="shared" si="2"/>
        <v/>
      </c>
      <c r="V25" s="45">
        <f t="shared" si="4"/>
        <v>1</v>
      </c>
      <c r="W25" s="423">
        <f t="shared" si="3"/>
        <v>1</v>
      </c>
      <c r="X25" s="7" t="s">
        <v>150</v>
      </c>
      <c r="Y25" s="135" t="s">
        <v>57</v>
      </c>
      <c r="Z25" s="135" t="s">
        <v>57</v>
      </c>
      <c r="AA25" s="135"/>
      <c r="AB25" s="135"/>
      <c r="AC25" s="135"/>
      <c r="AD25" s="135"/>
      <c r="AE25" s="611" t="s">
        <v>1798</v>
      </c>
      <c r="AF25" s="135" t="s">
        <v>953</v>
      </c>
      <c r="AG25" s="135"/>
    </row>
    <row r="26" spans="1:33" ht="15.75">
      <c r="A26" s="7" t="s">
        <v>776</v>
      </c>
      <c r="B26" s="7" t="s">
        <v>325</v>
      </c>
      <c r="C26" s="7" t="s">
        <v>1799</v>
      </c>
      <c r="D26" s="7" t="s">
        <v>143</v>
      </c>
      <c r="E26" s="98" t="s">
        <v>160</v>
      </c>
      <c r="F26" s="7" t="s">
        <v>1738</v>
      </c>
      <c r="G26" s="7">
        <v>14.909125</v>
      </c>
      <c r="H26" s="7">
        <v>120.753732</v>
      </c>
      <c r="I26" s="7" t="str">
        <f t="shared" si="0"/>
        <v>14.909125, 120.753732</v>
      </c>
      <c r="J26" s="96" t="s">
        <v>74</v>
      </c>
      <c r="K26" s="7" t="s">
        <v>1800</v>
      </c>
      <c r="L26" s="7" t="s">
        <v>328</v>
      </c>
      <c r="M26" s="99" t="s">
        <v>201</v>
      </c>
      <c r="N26" s="7" t="s">
        <v>1801</v>
      </c>
      <c r="O26" s="33">
        <v>45693</v>
      </c>
      <c r="P26" s="33">
        <v>45695</v>
      </c>
      <c r="Q26" s="33">
        <v>45698</v>
      </c>
      <c r="R26" s="33">
        <v>45699</v>
      </c>
      <c r="S26" s="33">
        <v>45701</v>
      </c>
      <c r="T26" s="45">
        <f t="shared" si="1"/>
        <v>2</v>
      </c>
      <c r="U26" s="45">
        <f t="shared" si="2"/>
        <v>1</v>
      </c>
      <c r="V26" s="45">
        <f t="shared" si="4"/>
        <v>1</v>
      </c>
      <c r="W26" s="45">
        <f t="shared" si="3"/>
        <v>2</v>
      </c>
      <c r="X26" s="7" t="s">
        <v>150</v>
      </c>
      <c r="Y26" s="7" t="s">
        <v>50</v>
      </c>
      <c r="Z26" s="7" t="s">
        <v>50</v>
      </c>
      <c r="AA26" s="7" t="s">
        <v>1802</v>
      </c>
      <c r="AB26" s="7" t="s">
        <v>808</v>
      </c>
      <c r="AC26" s="7" t="s">
        <v>808</v>
      </c>
      <c r="AD26" s="7" t="s">
        <v>808</v>
      </c>
      <c r="AE26" s="510" t="s">
        <v>1803</v>
      </c>
      <c r="AF26" s="7"/>
      <c r="AG26" s="7"/>
    </row>
    <row r="27" spans="1:33" ht="15.75">
      <c r="A27" s="7" t="s">
        <v>776</v>
      </c>
      <c r="B27" s="7" t="s">
        <v>552</v>
      </c>
      <c r="C27" s="7" t="s">
        <v>1056</v>
      </c>
      <c r="D27" s="7" t="s">
        <v>143</v>
      </c>
      <c r="E27" s="98" t="s">
        <v>554</v>
      </c>
      <c r="F27" s="7" t="s">
        <v>1738</v>
      </c>
      <c r="G27" s="7">
        <v>14.824400000000001</v>
      </c>
      <c r="H27" s="7">
        <v>120.8805</v>
      </c>
      <c r="I27" s="7" t="str">
        <f t="shared" si="0"/>
        <v>14.8244, 120.8805</v>
      </c>
      <c r="J27" s="96" t="s">
        <v>74</v>
      </c>
      <c r="K27" s="7" t="s">
        <v>21</v>
      </c>
      <c r="L27" s="7" t="s">
        <v>328</v>
      </c>
      <c r="M27" s="99" t="s">
        <v>201</v>
      </c>
      <c r="N27" s="7" t="s">
        <v>1804</v>
      </c>
      <c r="O27" s="33">
        <v>45702</v>
      </c>
      <c r="P27" s="33">
        <v>45705</v>
      </c>
      <c r="Q27" s="33">
        <v>45705</v>
      </c>
      <c r="R27" s="33">
        <v>45705</v>
      </c>
      <c r="S27" s="33">
        <v>45706</v>
      </c>
      <c r="T27" s="45">
        <f t="shared" si="1"/>
        <v>1</v>
      </c>
      <c r="U27" s="45">
        <f t="shared" si="2"/>
        <v>1</v>
      </c>
      <c r="V27" s="45">
        <f t="shared" si="4"/>
        <v>1</v>
      </c>
      <c r="W27" s="45">
        <f t="shared" si="3"/>
        <v>1</v>
      </c>
      <c r="X27" s="7" t="s">
        <v>150</v>
      </c>
      <c r="Y27" s="7" t="s">
        <v>50</v>
      </c>
      <c r="Z27" s="7" t="s">
        <v>57</v>
      </c>
      <c r="AA27" s="7" t="s">
        <v>1805</v>
      </c>
      <c r="AB27" s="7" t="s">
        <v>808</v>
      </c>
      <c r="AC27" s="7" t="s">
        <v>808</v>
      </c>
      <c r="AD27" s="7" t="s">
        <v>808</v>
      </c>
      <c r="AE27" s="451" t="s">
        <v>1806</v>
      </c>
      <c r="AF27" s="7"/>
      <c r="AG27" s="7"/>
    </row>
    <row r="28" spans="1:33">
      <c r="A28" s="7" t="s">
        <v>776</v>
      </c>
      <c r="B28" s="7" t="s">
        <v>395</v>
      </c>
      <c r="C28" s="7" t="s">
        <v>1128</v>
      </c>
      <c r="D28" s="7" t="s">
        <v>143</v>
      </c>
      <c r="E28" s="98" t="s">
        <v>160</v>
      </c>
      <c r="F28" s="7" t="s">
        <v>1738</v>
      </c>
      <c r="G28" s="7">
        <v>14.8268</v>
      </c>
      <c r="H28" s="7">
        <v>120.7637</v>
      </c>
      <c r="I28" s="7" t="str">
        <f t="shared" si="0"/>
        <v>14.8268, 120.7637</v>
      </c>
      <c r="J28" s="96" t="s">
        <v>74</v>
      </c>
      <c r="K28" s="7" t="s">
        <v>22</v>
      </c>
      <c r="L28" s="7"/>
      <c r="M28" s="99" t="s">
        <v>201</v>
      </c>
      <c r="N28" s="4" t="s">
        <v>1807</v>
      </c>
      <c r="O28" s="33">
        <v>45699</v>
      </c>
      <c r="P28" s="33">
        <v>45704</v>
      </c>
      <c r="Q28" s="33">
        <v>45704</v>
      </c>
      <c r="R28" s="33">
        <v>45705</v>
      </c>
      <c r="S28" s="33">
        <v>45706</v>
      </c>
      <c r="T28" s="45">
        <f t="shared" si="1"/>
        <v>3</v>
      </c>
      <c r="U28" s="45">
        <f t="shared" si="2"/>
        <v>1</v>
      </c>
      <c r="V28" s="45">
        <f t="shared" si="4"/>
        <v>1</v>
      </c>
      <c r="W28" s="45">
        <f t="shared" si="3"/>
        <v>1</v>
      </c>
      <c r="X28" s="7" t="s">
        <v>150</v>
      </c>
      <c r="Y28" s="7" t="s">
        <v>50</v>
      </c>
      <c r="Z28" s="7" t="s">
        <v>57</v>
      </c>
      <c r="AA28" s="7" t="s">
        <v>1808</v>
      </c>
      <c r="AB28" s="7"/>
      <c r="AC28" s="7"/>
      <c r="AD28" s="7"/>
      <c r="AE28" s="7" t="s">
        <v>1809</v>
      </c>
      <c r="AF28" s="7"/>
      <c r="AG28" s="7"/>
    </row>
    <row r="29" spans="1:33" ht="30">
      <c r="A29" s="7" t="s">
        <v>776</v>
      </c>
      <c r="B29" s="7" t="s">
        <v>386</v>
      </c>
      <c r="C29" s="7" t="s">
        <v>858</v>
      </c>
      <c r="D29" s="7" t="s">
        <v>143</v>
      </c>
      <c r="E29" s="98" t="s">
        <v>160</v>
      </c>
      <c r="F29" s="7" t="s">
        <v>1738</v>
      </c>
      <c r="G29" s="7">
        <v>14.702999999999999</v>
      </c>
      <c r="H29" s="7">
        <v>120.88039999999999</v>
      </c>
      <c r="I29" s="7" t="str">
        <f t="shared" si="0"/>
        <v>14.703, 120.8804</v>
      </c>
      <c r="J29" s="96" t="s">
        <v>75</v>
      </c>
      <c r="K29" s="7" t="s">
        <v>21</v>
      </c>
      <c r="L29" s="7" t="s">
        <v>328</v>
      </c>
      <c r="M29" s="99" t="s">
        <v>201</v>
      </c>
      <c r="N29" s="7" t="s">
        <v>1810</v>
      </c>
      <c r="O29" s="33">
        <v>45729</v>
      </c>
      <c r="P29" s="33">
        <v>45732</v>
      </c>
      <c r="Q29" s="33">
        <v>45733</v>
      </c>
      <c r="R29" s="33">
        <v>45733</v>
      </c>
      <c r="S29" s="33">
        <v>45734</v>
      </c>
      <c r="T29" s="45">
        <f t="shared" si="1"/>
        <v>1</v>
      </c>
      <c r="U29" s="45">
        <f t="shared" si="2"/>
        <v>1</v>
      </c>
      <c r="V29" s="45">
        <f t="shared" si="4"/>
        <v>1</v>
      </c>
      <c r="W29" s="45">
        <f t="shared" si="3"/>
        <v>1</v>
      </c>
      <c r="X29" s="7" t="s">
        <v>150</v>
      </c>
      <c r="Y29" s="7" t="s">
        <v>57</v>
      </c>
      <c r="Z29" s="7" t="s">
        <v>57</v>
      </c>
      <c r="AA29" s="7" t="s">
        <v>808</v>
      </c>
      <c r="AB29" s="7" t="s">
        <v>69</v>
      </c>
      <c r="AC29" s="7" t="s">
        <v>69</v>
      </c>
      <c r="AD29" s="7" t="s">
        <v>69</v>
      </c>
      <c r="AE29" s="7" t="s">
        <v>1811</v>
      </c>
      <c r="AF29" s="7" t="s">
        <v>953</v>
      </c>
      <c r="AG29" s="7"/>
    </row>
    <row r="30" spans="1:33" ht="45">
      <c r="A30" s="7" t="s">
        <v>776</v>
      </c>
      <c r="B30" s="7" t="s">
        <v>391</v>
      </c>
      <c r="C30" s="7" t="s">
        <v>1064</v>
      </c>
      <c r="D30" s="7" t="s">
        <v>143</v>
      </c>
      <c r="E30" s="98" t="s">
        <v>160</v>
      </c>
      <c r="F30" s="7" t="s">
        <v>1738</v>
      </c>
      <c r="G30" s="7">
        <v>14.850863</v>
      </c>
      <c r="H30" s="7">
        <v>120.76495300000001</v>
      </c>
      <c r="I30" s="7" t="str">
        <f t="shared" si="0"/>
        <v>14.850863, 120.764953</v>
      </c>
      <c r="J30" s="96" t="s">
        <v>75</v>
      </c>
      <c r="K30" s="7" t="s">
        <v>1800</v>
      </c>
      <c r="L30" s="7" t="s">
        <v>328</v>
      </c>
      <c r="M30" s="99" t="s">
        <v>201</v>
      </c>
      <c r="N30" s="7" t="s">
        <v>1812</v>
      </c>
      <c r="O30" s="33">
        <v>45722</v>
      </c>
      <c r="P30" s="33">
        <v>45724</v>
      </c>
      <c r="Q30" s="33">
        <v>45727</v>
      </c>
      <c r="R30" s="33">
        <v>45727</v>
      </c>
      <c r="S30" s="33">
        <v>45730</v>
      </c>
      <c r="T30" s="45">
        <f t="shared" si="1"/>
        <v>1</v>
      </c>
      <c r="U30" s="45">
        <f t="shared" si="2"/>
        <v>1</v>
      </c>
      <c r="V30" s="45">
        <f t="shared" si="4"/>
        <v>1</v>
      </c>
      <c r="W30" s="45">
        <f t="shared" si="3"/>
        <v>3</v>
      </c>
      <c r="X30" s="7" t="s">
        <v>150</v>
      </c>
      <c r="Y30" s="7" t="s">
        <v>57</v>
      </c>
      <c r="Z30" s="7" t="s">
        <v>57</v>
      </c>
      <c r="AA30" s="7" t="s">
        <v>808</v>
      </c>
      <c r="AB30" s="7" t="s">
        <v>808</v>
      </c>
      <c r="AC30" s="7" t="s">
        <v>808</v>
      </c>
      <c r="AD30" s="7" t="s">
        <v>808</v>
      </c>
      <c r="AE30" s="7" t="s">
        <v>1813</v>
      </c>
      <c r="AF30" s="7"/>
      <c r="AG30" s="7"/>
    </row>
    <row r="31" spans="1:33">
      <c r="A31" s="7" t="s">
        <v>776</v>
      </c>
      <c r="B31" s="7" t="s">
        <v>731</v>
      </c>
      <c r="C31" s="7" t="s">
        <v>1111</v>
      </c>
      <c r="D31" s="7" t="s">
        <v>143</v>
      </c>
      <c r="E31" s="98" t="s">
        <v>233</v>
      </c>
      <c r="F31" s="7" t="s">
        <v>1738</v>
      </c>
      <c r="G31" s="7">
        <v>14.7418</v>
      </c>
      <c r="H31" s="7">
        <v>120.9122</v>
      </c>
      <c r="I31" s="7" t="str">
        <f t="shared" si="0"/>
        <v>14.7418, 120.9122</v>
      </c>
      <c r="J31" s="96" t="s">
        <v>75</v>
      </c>
      <c r="K31" s="7" t="s">
        <v>24</v>
      </c>
      <c r="L31" s="7" t="s">
        <v>328</v>
      </c>
      <c r="M31" s="99" t="s">
        <v>201</v>
      </c>
      <c r="N31" s="7" t="s">
        <v>1814</v>
      </c>
      <c r="O31" s="33">
        <v>45723</v>
      </c>
      <c r="P31" s="33">
        <v>45732</v>
      </c>
      <c r="Q31" s="33">
        <v>45733</v>
      </c>
      <c r="R31" s="33">
        <v>45733</v>
      </c>
      <c r="S31" s="33">
        <v>45734</v>
      </c>
      <c r="T31" s="45">
        <f t="shared" si="1"/>
        <v>5</v>
      </c>
      <c r="U31" s="45">
        <f t="shared" si="2"/>
        <v>1</v>
      </c>
      <c r="V31" s="45">
        <f t="shared" si="4"/>
        <v>1</v>
      </c>
      <c r="W31" s="45">
        <f t="shared" si="3"/>
        <v>1</v>
      </c>
      <c r="X31" s="7" t="s">
        <v>150</v>
      </c>
      <c r="Y31" s="7" t="s">
        <v>57</v>
      </c>
      <c r="Z31" s="7" t="s">
        <v>57</v>
      </c>
      <c r="AA31" s="7" t="s">
        <v>808</v>
      </c>
      <c r="AB31" s="7" t="s">
        <v>808</v>
      </c>
      <c r="AC31" s="7" t="s">
        <v>808</v>
      </c>
      <c r="AD31" s="7" t="s">
        <v>808</v>
      </c>
      <c r="AE31" s="7" t="s">
        <v>1815</v>
      </c>
      <c r="AF31" s="7" t="s">
        <v>953</v>
      </c>
      <c r="AG31" s="7"/>
    </row>
    <row r="32" spans="1:33" ht="45">
      <c r="A32" s="7" t="s">
        <v>776</v>
      </c>
      <c r="B32" s="7" t="s">
        <v>1816</v>
      </c>
      <c r="C32" s="7" t="s">
        <v>996</v>
      </c>
      <c r="D32" s="7" t="s">
        <v>143</v>
      </c>
      <c r="E32" s="98" t="s">
        <v>554</v>
      </c>
      <c r="F32" s="7" t="s">
        <v>1738</v>
      </c>
      <c r="G32" s="7">
        <v>14.847977</v>
      </c>
      <c r="H32" s="7">
        <v>120.91888899999999</v>
      </c>
      <c r="I32" s="7" t="str">
        <f t="shared" si="0"/>
        <v>14.847977, 120.918889</v>
      </c>
      <c r="J32" s="96" t="s">
        <v>76</v>
      </c>
      <c r="K32" s="7" t="s">
        <v>21</v>
      </c>
      <c r="L32" s="7"/>
      <c r="M32" s="99" t="s">
        <v>201</v>
      </c>
      <c r="N32" s="7" t="s">
        <v>1817</v>
      </c>
      <c r="O32" s="33">
        <v>45758</v>
      </c>
      <c r="P32" s="33">
        <v>45762</v>
      </c>
      <c r="Q32" s="33">
        <v>45762</v>
      </c>
      <c r="R32" s="33">
        <v>45762</v>
      </c>
      <c r="S32" s="33">
        <v>45762</v>
      </c>
      <c r="T32" s="45">
        <f t="shared" si="1"/>
        <v>2</v>
      </c>
      <c r="U32" s="45">
        <f t="shared" si="2"/>
        <v>1</v>
      </c>
      <c r="V32" s="45">
        <f t="shared" si="4"/>
        <v>1</v>
      </c>
      <c r="W32" s="45">
        <f t="shared" si="3"/>
        <v>1</v>
      </c>
      <c r="X32" s="7" t="s">
        <v>150</v>
      </c>
      <c r="Y32" s="7" t="s">
        <v>57</v>
      </c>
      <c r="Z32" s="7" t="s">
        <v>57</v>
      </c>
      <c r="AA32" s="7" t="s">
        <v>808</v>
      </c>
      <c r="AB32" s="7" t="s">
        <v>69</v>
      </c>
      <c r="AC32" s="7" t="s">
        <v>69</v>
      </c>
      <c r="AD32" s="7" t="s">
        <v>69</v>
      </c>
      <c r="AE32" s="7" t="s">
        <v>1818</v>
      </c>
      <c r="AF32" s="7"/>
      <c r="AG32" s="7"/>
    </row>
    <row r="33" spans="1:33" ht="60">
      <c r="A33" s="7" t="s">
        <v>776</v>
      </c>
      <c r="B33" s="7" t="s">
        <v>465</v>
      </c>
      <c r="C33" s="7" t="s">
        <v>1819</v>
      </c>
      <c r="D33" s="7" t="s">
        <v>143</v>
      </c>
      <c r="E33" s="98" t="s">
        <v>185</v>
      </c>
      <c r="F33" s="7" t="s">
        <v>1738</v>
      </c>
      <c r="G33" s="7">
        <v>14.955033</v>
      </c>
      <c r="H33" s="7">
        <v>120.922296</v>
      </c>
      <c r="I33" s="7" t="str">
        <f t="shared" si="0"/>
        <v>14.955033, 120.922296</v>
      </c>
      <c r="J33" s="96" t="s">
        <v>76</v>
      </c>
      <c r="K33" s="7" t="s">
        <v>1800</v>
      </c>
      <c r="L33" s="7"/>
      <c r="M33" s="99" t="s">
        <v>201</v>
      </c>
      <c r="N33" s="7" t="s">
        <v>1820</v>
      </c>
      <c r="O33" s="33">
        <v>45762</v>
      </c>
      <c r="P33" s="33">
        <v>45762</v>
      </c>
      <c r="Q33" s="33">
        <v>45762</v>
      </c>
      <c r="R33" s="33">
        <v>45768</v>
      </c>
      <c r="S33" s="33">
        <v>45768</v>
      </c>
      <c r="T33" s="45">
        <f t="shared" si="1"/>
        <v>1</v>
      </c>
      <c r="U33" s="45">
        <f t="shared" si="2"/>
        <v>1</v>
      </c>
      <c r="V33" s="45">
        <f t="shared" si="4"/>
        <v>4</v>
      </c>
      <c r="W33" s="45">
        <f t="shared" si="3"/>
        <v>1</v>
      </c>
      <c r="X33" s="7" t="s">
        <v>150</v>
      </c>
      <c r="Y33" s="7" t="s">
        <v>57</v>
      </c>
      <c r="Z33" s="7" t="s">
        <v>57</v>
      </c>
      <c r="AA33" s="7" t="s">
        <v>808</v>
      </c>
      <c r="AB33" s="7" t="s">
        <v>69</v>
      </c>
      <c r="AC33" s="7" t="s">
        <v>69</v>
      </c>
      <c r="AD33" s="7" t="s">
        <v>69</v>
      </c>
      <c r="AE33" s="7" t="s">
        <v>1821</v>
      </c>
      <c r="AF33" s="7"/>
      <c r="AG33" s="7"/>
    </row>
    <row r="34" spans="1:33">
      <c r="A34" s="7" t="s">
        <v>776</v>
      </c>
      <c r="B34" s="7" t="s">
        <v>504</v>
      </c>
      <c r="C34" s="7" t="s">
        <v>1822</v>
      </c>
      <c r="D34" s="7" t="s">
        <v>143</v>
      </c>
      <c r="E34" s="98" t="s">
        <v>233</v>
      </c>
      <c r="F34" s="7" t="s">
        <v>1738</v>
      </c>
      <c r="G34" s="7">
        <v>14.7902</v>
      </c>
      <c r="H34" s="7">
        <v>120.9851</v>
      </c>
      <c r="I34" s="7" t="str">
        <f t="shared" ref="I34:I65" si="6">CONCATENATE(G34,","," ",H34)</f>
        <v>14.7902, 120.9851</v>
      </c>
      <c r="J34" s="96" t="s">
        <v>77</v>
      </c>
      <c r="K34" s="7" t="s">
        <v>21</v>
      </c>
      <c r="L34" s="7"/>
      <c r="M34" s="99" t="s">
        <v>201</v>
      </c>
      <c r="N34" s="7" t="s">
        <v>1823</v>
      </c>
      <c r="O34" s="33">
        <v>45793</v>
      </c>
      <c r="P34" s="33">
        <v>45794</v>
      </c>
      <c r="Q34" s="33">
        <v>45794</v>
      </c>
      <c r="R34" s="33">
        <v>45796</v>
      </c>
      <c r="S34" s="33">
        <v>45796</v>
      </c>
      <c r="T34" s="45">
        <f t="shared" ref="T34:T65" si="7">IF(
    OR(ISBLANK(O34), ISBLANK(P34)),
    "",
    MAX(1, IF(
        NETWORKDAYS(O34, P34) &lt;= 0,
        1,
        NETWORKDAYS(O34, P34) - IF(O34 = P34, 0, 1)
    ))
)</f>
        <v>1</v>
      </c>
      <c r="U34" s="45">
        <f t="shared" ref="U34:U65" si="8">IF(
    OR(ISBLANK(P34), ISBLANK(Q34)),
    "",
    MAX(1, IF(
        NETWORKDAYS(P34, Q34) &lt;= 0,
        1,
        NETWORKDAYS(P34, Q34) - IF(P34 = Q34, 0, 1)
    ))
)</f>
        <v>1</v>
      </c>
      <c r="V34" s="45">
        <f t="shared" si="4"/>
        <v>1</v>
      </c>
      <c r="W34" s="45">
        <f t="shared" ref="W34:W65" si="9">IF(
    OR(ISBLANK(R34), ISBLANK(S34)),
    "",
    MAX(1, IF(
        NETWORKDAYS(R34, S34) &lt;= 0,
        1,
        NETWORKDAYS(R34, S34) - IF(R34 = S34, 0, 1)
    ))
)</f>
        <v>1</v>
      </c>
      <c r="X34" s="7" t="s">
        <v>150</v>
      </c>
      <c r="Y34" s="7" t="s">
        <v>50</v>
      </c>
      <c r="Z34" s="7" t="s">
        <v>50</v>
      </c>
      <c r="AA34" s="7">
        <v>1000</v>
      </c>
      <c r="AB34" s="7" t="s">
        <v>808</v>
      </c>
      <c r="AC34" s="7" t="s">
        <v>808</v>
      </c>
      <c r="AD34" s="7" t="s">
        <v>808</v>
      </c>
      <c r="AE34" s="7"/>
      <c r="AF34" s="7"/>
      <c r="AG34" s="7"/>
    </row>
    <row r="35" spans="1:33">
      <c r="A35" s="7" t="s">
        <v>776</v>
      </c>
      <c r="B35" s="7" t="s">
        <v>1824</v>
      </c>
      <c r="C35" s="7" t="s">
        <v>1086</v>
      </c>
      <c r="D35" s="7" t="s">
        <v>143</v>
      </c>
      <c r="E35" s="98" t="s">
        <v>233</v>
      </c>
      <c r="F35" s="7" t="s">
        <v>1738</v>
      </c>
      <c r="G35" s="7">
        <v>14.7745</v>
      </c>
      <c r="H35" s="7">
        <v>121.0081</v>
      </c>
      <c r="I35" s="7" t="str">
        <f t="shared" si="6"/>
        <v>14.7745, 121.0081</v>
      </c>
      <c r="J35" s="96" t="s">
        <v>77</v>
      </c>
      <c r="K35" s="7" t="s">
        <v>21</v>
      </c>
      <c r="L35" s="7"/>
      <c r="M35" s="99" t="s">
        <v>201</v>
      </c>
      <c r="N35" s="7" t="s">
        <v>1825</v>
      </c>
      <c r="O35" s="33">
        <v>45792</v>
      </c>
      <c r="P35" s="33">
        <v>45794</v>
      </c>
      <c r="Q35" s="33">
        <v>45794</v>
      </c>
      <c r="R35" s="33">
        <v>45796</v>
      </c>
      <c r="S35" s="33">
        <v>45796</v>
      </c>
      <c r="T35" s="45">
        <f t="shared" si="7"/>
        <v>1</v>
      </c>
      <c r="U35" s="45">
        <f t="shared" si="8"/>
        <v>1</v>
      </c>
      <c r="V35" s="45">
        <f t="shared" si="4"/>
        <v>1</v>
      </c>
      <c r="W35" s="45">
        <f t="shared" si="9"/>
        <v>1</v>
      </c>
      <c r="X35" s="7" t="s">
        <v>150</v>
      </c>
      <c r="Y35" s="7" t="s">
        <v>50</v>
      </c>
      <c r="Z35" s="7" t="s">
        <v>50</v>
      </c>
      <c r="AA35" s="7">
        <v>800</v>
      </c>
      <c r="AB35" s="7" t="s">
        <v>808</v>
      </c>
      <c r="AC35" s="7" t="s">
        <v>808</v>
      </c>
      <c r="AD35" s="7" t="s">
        <v>808</v>
      </c>
      <c r="AE35" s="7"/>
      <c r="AF35" s="7"/>
      <c r="AG35" s="7"/>
    </row>
    <row r="36" spans="1:33">
      <c r="A36" s="7" t="s">
        <v>776</v>
      </c>
      <c r="B36" s="7" t="s">
        <v>603</v>
      </c>
      <c r="C36" s="7" t="s">
        <v>1056</v>
      </c>
      <c r="D36" s="7" t="s">
        <v>143</v>
      </c>
      <c r="E36" s="98" t="s">
        <v>554</v>
      </c>
      <c r="F36" s="7" t="s">
        <v>1738</v>
      </c>
      <c r="G36" s="7">
        <v>14.876568000000001</v>
      </c>
      <c r="H36" s="7">
        <v>120.96017399999999</v>
      </c>
      <c r="I36" s="7" t="str">
        <f t="shared" si="6"/>
        <v>14.876568, 120.960174</v>
      </c>
      <c r="J36" s="96" t="s">
        <v>78</v>
      </c>
      <c r="K36" s="7" t="s">
        <v>1826</v>
      </c>
      <c r="L36" s="7"/>
      <c r="M36" s="99" t="s">
        <v>201</v>
      </c>
      <c r="N36" s="81" t="s">
        <v>1827</v>
      </c>
      <c r="O36" s="33">
        <v>45819</v>
      </c>
      <c r="P36" s="33">
        <v>45823</v>
      </c>
      <c r="Q36" s="33">
        <v>45823</v>
      </c>
      <c r="R36" s="33">
        <v>45825</v>
      </c>
      <c r="S36" s="33">
        <v>45825</v>
      </c>
      <c r="T36" s="45">
        <f t="shared" si="7"/>
        <v>2</v>
      </c>
      <c r="U36" s="45">
        <f t="shared" si="8"/>
        <v>1</v>
      </c>
      <c r="V36" s="45">
        <f t="shared" si="4"/>
        <v>1</v>
      </c>
      <c r="W36" s="45">
        <f t="shared" si="9"/>
        <v>1</v>
      </c>
      <c r="X36" s="7" t="s">
        <v>150</v>
      </c>
      <c r="Y36" s="7" t="s">
        <v>50</v>
      </c>
      <c r="Z36" s="7" t="s">
        <v>57</v>
      </c>
      <c r="AA36" s="7"/>
      <c r="AB36" s="7"/>
      <c r="AC36" s="7"/>
      <c r="AD36" s="7"/>
      <c r="AE36" s="81" t="s">
        <v>1828</v>
      </c>
      <c r="AF36" s="7" t="s">
        <v>953</v>
      </c>
      <c r="AG36" s="7"/>
    </row>
    <row r="37" spans="1:33" ht="45">
      <c r="A37" s="7" t="s">
        <v>776</v>
      </c>
      <c r="B37" s="7" t="s">
        <v>557</v>
      </c>
      <c r="C37" s="7" t="s">
        <v>1136</v>
      </c>
      <c r="D37" s="7" t="s">
        <v>143</v>
      </c>
      <c r="E37" s="98" t="s">
        <v>185</v>
      </c>
      <c r="F37" s="7" t="s">
        <v>1738</v>
      </c>
      <c r="G37" s="7">
        <v>14.8682</v>
      </c>
      <c r="H37" s="7">
        <v>120.8861</v>
      </c>
      <c r="I37" s="7" t="str">
        <f t="shared" si="6"/>
        <v>14.8682, 120.8861</v>
      </c>
      <c r="J37" s="96" t="s">
        <v>78</v>
      </c>
      <c r="K37" s="7" t="s">
        <v>21</v>
      </c>
      <c r="L37" s="7"/>
      <c r="M37" s="99" t="s">
        <v>201</v>
      </c>
      <c r="N37" s="7" t="s">
        <v>1829</v>
      </c>
      <c r="O37" s="33">
        <v>45825</v>
      </c>
      <c r="P37" s="33">
        <v>45825</v>
      </c>
      <c r="Q37" s="33">
        <v>45827</v>
      </c>
      <c r="R37" s="33">
        <v>45827</v>
      </c>
      <c r="S37" s="33">
        <v>45827</v>
      </c>
      <c r="T37" s="45">
        <f t="shared" si="7"/>
        <v>1</v>
      </c>
      <c r="U37" s="45">
        <f t="shared" si="8"/>
        <v>2</v>
      </c>
      <c r="V37" s="45">
        <f t="shared" si="4"/>
        <v>1</v>
      </c>
      <c r="W37" s="45">
        <f t="shared" si="9"/>
        <v>1</v>
      </c>
      <c r="X37" s="7" t="s">
        <v>150</v>
      </c>
      <c r="Y37" s="7" t="s">
        <v>50</v>
      </c>
      <c r="Z37" s="7" t="s">
        <v>57</v>
      </c>
      <c r="AA37" s="7"/>
      <c r="AB37" s="7"/>
      <c r="AC37" s="7"/>
      <c r="AD37" s="7"/>
      <c r="AE37" s="7" t="s">
        <v>1830</v>
      </c>
      <c r="AF37" s="7" t="s">
        <v>953</v>
      </c>
      <c r="AG37" s="7"/>
    </row>
    <row r="38" spans="1:33" ht="30">
      <c r="A38" s="360" t="s">
        <v>776</v>
      </c>
      <c r="B38" s="360" t="s">
        <v>561</v>
      </c>
      <c r="C38" s="360" t="s">
        <v>1831</v>
      </c>
      <c r="D38" s="360" t="s">
        <v>143</v>
      </c>
      <c r="E38" s="534" t="s">
        <v>160</v>
      </c>
      <c r="F38" s="360" t="s">
        <v>1738</v>
      </c>
      <c r="G38" s="360">
        <v>14.899699999999999</v>
      </c>
      <c r="H38" s="360">
        <v>120.8665</v>
      </c>
      <c r="I38" s="360" t="str">
        <f t="shared" si="6"/>
        <v>14.8997, 120.8665</v>
      </c>
      <c r="J38" s="331" t="s">
        <v>78</v>
      </c>
      <c r="K38" s="360" t="s">
        <v>21</v>
      </c>
      <c r="L38" s="360"/>
      <c r="M38" s="535" t="s">
        <v>201</v>
      </c>
      <c r="N38" s="360" t="s">
        <v>1832</v>
      </c>
      <c r="O38" s="536">
        <v>45818</v>
      </c>
      <c r="P38" s="536">
        <v>45823</v>
      </c>
      <c r="Q38" s="536">
        <v>45827</v>
      </c>
      <c r="R38" s="536">
        <v>45827</v>
      </c>
      <c r="S38" s="536">
        <v>45827</v>
      </c>
      <c r="T38" s="354">
        <f t="shared" si="7"/>
        <v>3</v>
      </c>
      <c r="U38" s="354">
        <f t="shared" si="8"/>
        <v>3</v>
      </c>
      <c r="V38" s="45">
        <f t="shared" si="4"/>
        <v>1</v>
      </c>
      <c r="W38" s="354">
        <f t="shared" si="9"/>
        <v>1</v>
      </c>
      <c r="X38" s="7" t="s">
        <v>150</v>
      </c>
      <c r="Y38" s="360" t="s">
        <v>57</v>
      </c>
      <c r="Z38" s="360" t="s">
        <v>57</v>
      </c>
      <c r="AA38" s="360"/>
      <c r="AB38" s="360"/>
      <c r="AC38" s="360"/>
      <c r="AD38" s="360" t="s">
        <v>622</v>
      </c>
      <c r="AE38" s="360" t="s">
        <v>1833</v>
      </c>
      <c r="AF38" s="360" t="s">
        <v>953</v>
      </c>
      <c r="AG38" s="360"/>
    </row>
    <row r="39" spans="1:33">
      <c r="A39" s="7" t="s">
        <v>776</v>
      </c>
      <c r="B39" s="7" t="s">
        <v>197</v>
      </c>
      <c r="C39" s="7" t="s">
        <v>1834</v>
      </c>
      <c r="D39" s="7" t="s">
        <v>143</v>
      </c>
      <c r="E39" s="98" t="s">
        <v>144</v>
      </c>
      <c r="F39" s="7" t="s">
        <v>1738</v>
      </c>
      <c r="G39" s="7">
        <v>15.047700000000001</v>
      </c>
      <c r="H39" s="7">
        <v>120.9541</v>
      </c>
      <c r="I39" s="7" t="str">
        <f t="shared" si="6"/>
        <v>15.0477, 120.9541</v>
      </c>
      <c r="J39" s="7" t="s">
        <v>81</v>
      </c>
      <c r="K39" s="7" t="s">
        <v>22</v>
      </c>
      <c r="L39" s="7" t="s">
        <v>147</v>
      </c>
      <c r="M39" s="70" t="s">
        <v>201</v>
      </c>
      <c r="N39" s="7" t="s">
        <v>1835</v>
      </c>
      <c r="O39" s="5">
        <v>45917</v>
      </c>
      <c r="P39" s="5">
        <v>45917</v>
      </c>
      <c r="Q39" s="5">
        <v>45918</v>
      </c>
      <c r="R39" s="33">
        <v>45923</v>
      </c>
      <c r="S39" s="33">
        <v>45923</v>
      </c>
      <c r="T39" s="45">
        <f t="shared" si="7"/>
        <v>1</v>
      </c>
      <c r="U39" s="45">
        <f t="shared" si="8"/>
        <v>1</v>
      </c>
      <c r="V39" s="45">
        <f t="shared" si="4"/>
        <v>3</v>
      </c>
      <c r="W39" s="45">
        <f t="shared" si="9"/>
        <v>1</v>
      </c>
      <c r="X39" s="7" t="s">
        <v>150</v>
      </c>
      <c r="Y39" s="7" t="s">
        <v>50</v>
      </c>
      <c r="Z39" s="7" t="s">
        <v>57</v>
      </c>
      <c r="AA39" s="7" t="s">
        <v>69</v>
      </c>
      <c r="AB39" s="7" t="s">
        <v>69</v>
      </c>
      <c r="AC39" s="7" t="s">
        <v>69</v>
      </c>
      <c r="AD39" s="7"/>
      <c r="AE39" s="7" t="s">
        <v>1836</v>
      </c>
      <c r="AF39" s="360" t="s">
        <v>953</v>
      </c>
      <c r="AG39" s="7"/>
    </row>
    <row r="40" spans="1:33" ht="30">
      <c r="A40" s="135" t="s">
        <v>776</v>
      </c>
      <c r="B40" s="135" t="s">
        <v>1837</v>
      </c>
      <c r="C40" s="135" t="s">
        <v>1041</v>
      </c>
      <c r="D40" s="135" t="s">
        <v>143</v>
      </c>
      <c r="E40" s="547" t="s">
        <v>249</v>
      </c>
      <c r="F40" s="135" t="s">
        <v>1738</v>
      </c>
      <c r="G40" s="135">
        <v>14.843999999999999</v>
      </c>
      <c r="H40" s="135">
        <v>121.08929999999999</v>
      </c>
      <c r="I40" s="135" t="str">
        <f t="shared" si="6"/>
        <v>14.844, 121.0893</v>
      </c>
      <c r="J40" s="544" t="s">
        <v>82</v>
      </c>
      <c r="K40" s="135" t="s">
        <v>24</v>
      </c>
      <c r="L40" s="135" t="s">
        <v>1838</v>
      </c>
      <c r="M40" s="548" t="s">
        <v>201</v>
      </c>
      <c r="N40" s="135" t="s">
        <v>1839</v>
      </c>
      <c r="O40" s="546">
        <v>45946</v>
      </c>
      <c r="P40" s="546">
        <v>45946</v>
      </c>
      <c r="Q40" s="546">
        <v>45946</v>
      </c>
      <c r="R40" s="546">
        <v>45947</v>
      </c>
      <c r="S40" s="546">
        <v>45950</v>
      </c>
      <c r="T40" s="423">
        <f t="shared" si="7"/>
        <v>1</v>
      </c>
      <c r="U40" s="423">
        <f t="shared" si="8"/>
        <v>1</v>
      </c>
      <c r="V40" s="45">
        <f t="shared" si="4"/>
        <v>1</v>
      </c>
      <c r="W40" s="423">
        <f t="shared" si="9"/>
        <v>1</v>
      </c>
      <c r="X40" s="7" t="s">
        <v>150</v>
      </c>
      <c r="Y40" s="135" t="s">
        <v>50</v>
      </c>
      <c r="Z40" s="135" t="s">
        <v>57</v>
      </c>
      <c r="AA40" s="135" t="s">
        <v>69</v>
      </c>
      <c r="AB40" s="135"/>
      <c r="AC40" s="135"/>
      <c r="AD40" s="135"/>
      <c r="AE40" s="135" t="s">
        <v>1828</v>
      </c>
      <c r="AF40" s="135"/>
      <c r="AG40" s="135"/>
    </row>
    <row r="41" spans="1:33">
      <c r="A41" s="360" t="s">
        <v>776</v>
      </c>
      <c r="B41" s="360" t="s">
        <v>260</v>
      </c>
      <c r="C41" s="360" t="s">
        <v>1152</v>
      </c>
      <c r="D41" s="360" t="s">
        <v>143</v>
      </c>
      <c r="E41" s="534" t="s">
        <v>144</v>
      </c>
      <c r="F41" s="360" t="s">
        <v>1738</v>
      </c>
      <c r="G41" s="360">
        <v>15.1349</v>
      </c>
      <c r="H41" s="360">
        <v>121.0595</v>
      </c>
      <c r="I41" s="360" t="str">
        <f t="shared" si="6"/>
        <v>15.1349, 121.0595</v>
      </c>
      <c r="J41" s="331" t="s">
        <v>83</v>
      </c>
      <c r="K41" s="360" t="s">
        <v>22</v>
      </c>
      <c r="L41" s="360" t="s">
        <v>147</v>
      </c>
      <c r="M41" s="535" t="s">
        <v>201</v>
      </c>
      <c r="N41" s="360" t="s">
        <v>1840</v>
      </c>
      <c r="O41" s="536">
        <v>45965</v>
      </c>
      <c r="P41" s="536">
        <v>45969</v>
      </c>
      <c r="Q41" s="536">
        <v>45979</v>
      </c>
      <c r="R41" s="536">
        <v>45981</v>
      </c>
      <c r="S41" s="536">
        <v>45981</v>
      </c>
      <c r="T41" s="354">
        <f t="shared" si="7"/>
        <v>3</v>
      </c>
      <c r="U41" s="354">
        <f t="shared" si="8"/>
        <v>6</v>
      </c>
      <c r="V41" s="45">
        <f t="shared" si="4"/>
        <v>2</v>
      </c>
      <c r="W41" s="354">
        <f t="shared" si="9"/>
        <v>1</v>
      </c>
      <c r="X41" s="360" t="s">
        <v>150</v>
      </c>
      <c r="Y41" s="360" t="s">
        <v>50</v>
      </c>
      <c r="Z41" s="360" t="s">
        <v>50</v>
      </c>
      <c r="AA41" s="360"/>
      <c r="AB41" s="360"/>
      <c r="AC41" s="360"/>
      <c r="AD41" s="360"/>
      <c r="AE41" s="360"/>
      <c r="AF41" s="360"/>
      <c r="AG41" s="360"/>
    </row>
    <row r="42" spans="1:33" ht="15.75">
      <c r="A42" s="7" t="s">
        <v>776</v>
      </c>
      <c r="B42" s="7" t="s">
        <v>205</v>
      </c>
      <c r="C42" s="7" t="s">
        <v>1841</v>
      </c>
      <c r="D42" s="7" t="s">
        <v>143</v>
      </c>
      <c r="E42" s="98" t="s">
        <v>144</v>
      </c>
      <c r="F42" s="7" t="s">
        <v>1738</v>
      </c>
      <c r="G42" s="7">
        <v>14.9794</v>
      </c>
      <c r="H42" s="7">
        <v>120.9738</v>
      </c>
      <c r="I42" s="7" t="str">
        <f t="shared" si="6"/>
        <v>14.9794, 120.9738</v>
      </c>
      <c r="J42" s="7" t="s">
        <v>80</v>
      </c>
      <c r="K42" s="7" t="s">
        <v>22</v>
      </c>
      <c r="L42" s="7"/>
      <c r="M42" s="70" t="s">
        <v>201</v>
      </c>
      <c r="N42" s="7" t="s">
        <v>1842</v>
      </c>
      <c r="O42" s="33">
        <v>45882</v>
      </c>
      <c r="P42" s="33">
        <v>45884</v>
      </c>
      <c r="Q42" s="33"/>
      <c r="R42" s="33">
        <v>45887</v>
      </c>
      <c r="S42" s="33">
        <v>45888</v>
      </c>
      <c r="T42" s="45">
        <f t="shared" si="7"/>
        <v>2</v>
      </c>
      <c r="U42" s="45" t="str">
        <f t="shared" si="8"/>
        <v/>
      </c>
      <c r="V42" s="45">
        <f t="shared" si="4"/>
        <v>1</v>
      </c>
      <c r="W42" s="45">
        <f t="shared" si="9"/>
        <v>1</v>
      </c>
      <c r="X42" s="7" t="s">
        <v>150</v>
      </c>
      <c r="Y42" s="7" t="s">
        <v>50</v>
      </c>
      <c r="Z42" s="7" t="s">
        <v>57</v>
      </c>
      <c r="AA42" s="7"/>
      <c r="AB42" s="7"/>
      <c r="AC42" s="7"/>
      <c r="AD42" s="7"/>
      <c r="AE42" s="533" t="s">
        <v>1843</v>
      </c>
      <c r="AF42" s="7" t="s">
        <v>953</v>
      </c>
      <c r="AG42" s="7"/>
    </row>
    <row r="43" spans="1:33" ht="30">
      <c r="A43" s="135" t="s">
        <v>776</v>
      </c>
      <c r="B43" s="135" t="s">
        <v>1844</v>
      </c>
      <c r="C43" s="135" t="s">
        <v>1845</v>
      </c>
      <c r="D43" s="135" t="s">
        <v>143</v>
      </c>
      <c r="E43" s="547" t="s">
        <v>599</v>
      </c>
      <c r="F43" s="135" t="s">
        <v>1738</v>
      </c>
      <c r="G43" s="135">
        <v>14.870710000000001</v>
      </c>
      <c r="H43" s="135">
        <v>120.97342999999999</v>
      </c>
      <c r="I43" s="135" t="str">
        <f t="shared" si="6"/>
        <v>14.87071, 120.97343</v>
      </c>
      <c r="J43" s="544" t="s">
        <v>82</v>
      </c>
      <c r="K43" s="135" t="s">
        <v>24</v>
      </c>
      <c r="L43" s="135" t="s">
        <v>1838</v>
      </c>
      <c r="M43" s="548" t="s">
        <v>201</v>
      </c>
      <c r="N43" s="135" t="s">
        <v>1846</v>
      </c>
      <c r="O43" s="546">
        <v>45939</v>
      </c>
      <c r="P43" s="546">
        <v>45946</v>
      </c>
      <c r="Q43" s="546">
        <v>45947</v>
      </c>
      <c r="R43" s="546">
        <v>45947</v>
      </c>
      <c r="S43" s="546">
        <v>45950</v>
      </c>
      <c r="T43" s="423">
        <f t="shared" si="7"/>
        <v>5</v>
      </c>
      <c r="U43" s="423">
        <f t="shared" si="8"/>
        <v>1</v>
      </c>
      <c r="V43" s="45">
        <f t="shared" si="4"/>
        <v>1</v>
      </c>
      <c r="W43" s="423">
        <f t="shared" si="9"/>
        <v>1</v>
      </c>
      <c r="X43" s="7" t="s">
        <v>150</v>
      </c>
      <c r="Y43" s="135" t="s">
        <v>57</v>
      </c>
      <c r="Z43" s="135" t="s">
        <v>57</v>
      </c>
      <c r="AA43" s="135"/>
      <c r="AB43" s="135"/>
      <c r="AC43" s="135"/>
      <c r="AD43" s="135"/>
      <c r="AE43" s="135" t="s">
        <v>1847</v>
      </c>
      <c r="AF43" s="135" t="s">
        <v>56</v>
      </c>
      <c r="AG43" s="135"/>
    </row>
    <row r="44" spans="1:33" ht="30">
      <c r="A44" s="360" t="s">
        <v>777</v>
      </c>
      <c r="B44" s="360" t="s">
        <v>1848</v>
      </c>
      <c r="C44" s="360" t="s">
        <v>947</v>
      </c>
      <c r="D44" s="360" t="s">
        <v>143</v>
      </c>
      <c r="E44" s="534" t="s">
        <v>144</v>
      </c>
      <c r="F44" s="360" t="s">
        <v>1738</v>
      </c>
      <c r="G44" s="360">
        <v>15.4732</v>
      </c>
      <c r="H44" s="360">
        <v>120.3361</v>
      </c>
      <c r="I44" s="360" t="str">
        <f t="shared" si="6"/>
        <v>15.4732, 120.3361</v>
      </c>
      <c r="J44" s="331" t="s">
        <v>79</v>
      </c>
      <c r="K44" s="360" t="s">
        <v>267</v>
      </c>
      <c r="L44" s="360" t="s">
        <v>1610</v>
      </c>
      <c r="M44" s="623" t="s">
        <v>212</v>
      </c>
      <c r="N44" s="360" t="s">
        <v>1849</v>
      </c>
      <c r="O44" s="536">
        <v>45848</v>
      </c>
      <c r="P44" s="536">
        <v>45856</v>
      </c>
      <c r="Q44" s="536">
        <v>45856</v>
      </c>
      <c r="R44" s="536">
        <v>45856</v>
      </c>
      <c r="S44" s="536">
        <v>45856</v>
      </c>
      <c r="T44" s="354">
        <f t="shared" si="7"/>
        <v>6</v>
      </c>
      <c r="U44" s="354">
        <f t="shared" si="8"/>
        <v>1</v>
      </c>
      <c r="V44" s="45">
        <f t="shared" si="4"/>
        <v>1</v>
      </c>
      <c r="W44" s="354">
        <f t="shared" si="9"/>
        <v>1</v>
      </c>
      <c r="X44" s="7" t="s">
        <v>150</v>
      </c>
      <c r="Y44" s="360" t="s">
        <v>50</v>
      </c>
      <c r="Z44" s="360" t="s">
        <v>57</v>
      </c>
      <c r="AA44" s="360" t="s">
        <v>1239</v>
      </c>
      <c r="AB44" s="360"/>
      <c r="AC44" s="360"/>
      <c r="AD44" s="360"/>
      <c r="AE44" s="360" t="s">
        <v>1850</v>
      </c>
      <c r="AF44" s="360"/>
      <c r="AG44" s="360"/>
    </row>
    <row r="45" spans="1:33" ht="30">
      <c r="A45" s="7" t="s">
        <v>777</v>
      </c>
      <c r="B45" s="7" t="s">
        <v>1169</v>
      </c>
      <c r="C45" s="7" t="s">
        <v>1170</v>
      </c>
      <c r="D45" s="7" t="s">
        <v>143</v>
      </c>
      <c r="E45" s="98" t="s">
        <v>160</v>
      </c>
      <c r="F45" s="7" t="s">
        <v>1747</v>
      </c>
      <c r="G45" s="7">
        <v>15.4796</v>
      </c>
      <c r="H45" s="7">
        <v>120.81870000000001</v>
      </c>
      <c r="I45" s="7" t="str">
        <f t="shared" si="6"/>
        <v>15.4796, 120.8187</v>
      </c>
      <c r="J45" s="7" t="s">
        <v>81</v>
      </c>
      <c r="K45" s="7" t="s">
        <v>27</v>
      </c>
      <c r="L45" s="7" t="s">
        <v>1610</v>
      </c>
      <c r="M45" s="96" t="s">
        <v>212</v>
      </c>
      <c r="N45" s="7" t="s">
        <v>1851</v>
      </c>
      <c r="O45" s="359">
        <v>45916</v>
      </c>
      <c r="P45" s="359">
        <v>45917</v>
      </c>
      <c r="Q45" s="33">
        <v>45918</v>
      </c>
      <c r="R45" s="33">
        <v>45918</v>
      </c>
      <c r="S45" s="33">
        <v>45918</v>
      </c>
      <c r="T45" s="45">
        <f t="shared" si="7"/>
        <v>1</v>
      </c>
      <c r="U45" s="45">
        <f t="shared" si="8"/>
        <v>1</v>
      </c>
      <c r="V45" s="45">
        <f t="shared" si="4"/>
        <v>1</v>
      </c>
      <c r="W45" s="45">
        <f t="shared" si="9"/>
        <v>1</v>
      </c>
      <c r="X45" s="7" t="s">
        <v>150</v>
      </c>
      <c r="Y45" s="7" t="s">
        <v>57</v>
      </c>
      <c r="Z45" s="7" t="s">
        <v>57</v>
      </c>
      <c r="AA45" s="7" t="s">
        <v>69</v>
      </c>
      <c r="AB45" s="7" t="s">
        <v>57</v>
      </c>
      <c r="AC45" s="7" t="s">
        <v>69</v>
      </c>
      <c r="AD45" s="7" t="s">
        <v>69</v>
      </c>
      <c r="AE45" s="7" t="s">
        <v>1852</v>
      </c>
      <c r="AF45" s="7" t="s">
        <v>953</v>
      </c>
      <c r="AG45" s="7"/>
    </row>
    <row r="46" spans="1:33">
      <c r="A46" s="135" t="s">
        <v>777</v>
      </c>
      <c r="B46" s="135" t="s">
        <v>410</v>
      </c>
      <c r="C46" s="135" t="s">
        <v>1174</v>
      </c>
      <c r="D46" s="135" t="s">
        <v>143</v>
      </c>
      <c r="E46" s="547" t="s">
        <v>144</v>
      </c>
      <c r="F46" s="135" t="s">
        <v>1738</v>
      </c>
      <c r="G46" s="135">
        <v>15.643420000000001</v>
      </c>
      <c r="H46" s="135">
        <v>121.18844</v>
      </c>
      <c r="I46" s="135" t="str">
        <f t="shared" si="6"/>
        <v>15.64342, 121.18844</v>
      </c>
      <c r="J46" s="135" t="s">
        <v>75</v>
      </c>
      <c r="K46" s="135" t="s">
        <v>28</v>
      </c>
      <c r="L46" s="135" t="s">
        <v>1610</v>
      </c>
      <c r="M46" s="545" t="s">
        <v>212</v>
      </c>
      <c r="N46" s="382" t="s">
        <v>1853</v>
      </c>
      <c r="O46" s="546">
        <v>45723</v>
      </c>
      <c r="P46" s="546">
        <v>45723</v>
      </c>
      <c r="Q46" s="546">
        <v>45723</v>
      </c>
      <c r="R46" s="546">
        <v>45729</v>
      </c>
      <c r="S46" s="546">
        <v>45730</v>
      </c>
      <c r="T46" s="423">
        <f t="shared" si="7"/>
        <v>1</v>
      </c>
      <c r="U46" s="423">
        <f t="shared" si="8"/>
        <v>1</v>
      </c>
      <c r="V46" s="45">
        <f t="shared" si="4"/>
        <v>4</v>
      </c>
      <c r="W46" s="423">
        <f t="shared" si="9"/>
        <v>1</v>
      </c>
      <c r="X46" s="7" t="s">
        <v>150</v>
      </c>
      <c r="Y46" s="135" t="s">
        <v>50</v>
      </c>
      <c r="Z46" s="135" t="s">
        <v>50</v>
      </c>
      <c r="AA46" s="135" t="s">
        <v>1854</v>
      </c>
      <c r="AB46" s="135" t="s">
        <v>808</v>
      </c>
      <c r="AC46" s="135" t="s">
        <v>808</v>
      </c>
      <c r="AD46" s="135" t="s">
        <v>808</v>
      </c>
      <c r="AE46" s="135"/>
      <c r="AF46" s="135"/>
      <c r="AG46" s="135"/>
    </row>
    <row r="47" spans="1:33">
      <c r="A47" s="7" t="s">
        <v>777</v>
      </c>
      <c r="B47" s="7" t="s">
        <v>1855</v>
      </c>
      <c r="C47" s="7" t="s">
        <v>1180</v>
      </c>
      <c r="D47" s="7" t="s">
        <v>143</v>
      </c>
      <c r="E47" s="98" t="s">
        <v>144</v>
      </c>
      <c r="F47" s="7" t="s">
        <v>1738</v>
      </c>
      <c r="G47" s="7">
        <v>15.489800000000001</v>
      </c>
      <c r="H47" s="7">
        <v>120.9939</v>
      </c>
      <c r="I47" s="7" t="str">
        <f t="shared" si="6"/>
        <v>15.4898, 120.9939</v>
      </c>
      <c r="J47" s="7" t="s">
        <v>83</v>
      </c>
      <c r="K47" s="101" t="s">
        <v>267</v>
      </c>
      <c r="L47" s="7" t="s">
        <v>1610</v>
      </c>
      <c r="M47" s="97" t="s">
        <v>212</v>
      </c>
      <c r="N47" s="7" t="s">
        <v>1856</v>
      </c>
      <c r="O47" s="33">
        <v>45972</v>
      </c>
      <c r="P47" s="33">
        <v>45972</v>
      </c>
      <c r="Q47" s="33">
        <v>45980</v>
      </c>
      <c r="R47" s="33">
        <v>45980</v>
      </c>
      <c r="S47" s="33">
        <v>45980</v>
      </c>
      <c r="T47" s="45">
        <f t="shared" si="7"/>
        <v>1</v>
      </c>
      <c r="U47" s="45">
        <f t="shared" si="8"/>
        <v>6</v>
      </c>
      <c r="V47" s="45">
        <f t="shared" si="4"/>
        <v>1</v>
      </c>
      <c r="W47" s="45">
        <f t="shared" si="9"/>
        <v>1</v>
      </c>
      <c r="X47" s="7" t="s">
        <v>150</v>
      </c>
      <c r="Y47" s="7" t="s">
        <v>50</v>
      </c>
      <c r="Z47" s="7" t="s">
        <v>50</v>
      </c>
      <c r="AA47" s="7"/>
      <c r="AB47" s="7"/>
      <c r="AC47" s="7"/>
      <c r="AD47" s="7"/>
      <c r="AE47" s="7"/>
      <c r="AF47" s="7"/>
      <c r="AG47" s="7"/>
    </row>
    <row r="48" spans="1:33">
      <c r="A48" s="7" t="s">
        <v>777</v>
      </c>
      <c r="B48" s="7" t="s">
        <v>336</v>
      </c>
      <c r="C48" s="7" t="s">
        <v>1185</v>
      </c>
      <c r="D48" s="7" t="s">
        <v>143</v>
      </c>
      <c r="E48" s="98" t="s">
        <v>233</v>
      </c>
      <c r="F48" s="7" t="s">
        <v>1738</v>
      </c>
      <c r="G48" s="7">
        <v>15.142721999999999</v>
      </c>
      <c r="H48" s="7">
        <v>120.817814</v>
      </c>
      <c r="I48" s="7" t="str">
        <f t="shared" si="6"/>
        <v>15.142722, 120.817814</v>
      </c>
      <c r="J48" s="7" t="s">
        <v>74</v>
      </c>
      <c r="K48" s="101" t="s">
        <v>30</v>
      </c>
      <c r="L48" s="7" t="s">
        <v>1610</v>
      </c>
      <c r="M48" s="97" t="s">
        <v>212</v>
      </c>
      <c r="N48" s="7" t="s">
        <v>1857</v>
      </c>
      <c r="O48" s="33">
        <v>45692</v>
      </c>
      <c r="P48" s="33">
        <v>45693</v>
      </c>
      <c r="Q48" s="33">
        <v>45701</v>
      </c>
      <c r="R48" s="33">
        <v>45701</v>
      </c>
      <c r="S48" s="33">
        <v>45701</v>
      </c>
      <c r="T48" s="45">
        <f t="shared" si="7"/>
        <v>1</v>
      </c>
      <c r="U48" s="45">
        <f t="shared" si="8"/>
        <v>6</v>
      </c>
      <c r="V48" s="45">
        <f t="shared" si="4"/>
        <v>1</v>
      </c>
      <c r="W48" s="45">
        <f t="shared" si="9"/>
        <v>1</v>
      </c>
      <c r="X48" s="7" t="s">
        <v>150</v>
      </c>
      <c r="Y48" s="7" t="s">
        <v>57</v>
      </c>
      <c r="Z48" s="7" t="s">
        <v>57</v>
      </c>
      <c r="AA48" s="7" t="s">
        <v>808</v>
      </c>
      <c r="AB48" s="134" t="s">
        <v>808</v>
      </c>
      <c r="AC48" s="7" t="s">
        <v>808</v>
      </c>
      <c r="AD48" s="7" t="s">
        <v>808</v>
      </c>
      <c r="AE48" s="7" t="s">
        <v>1858</v>
      </c>
      <c r="AF48" s="7" t="s">
        <v>1220</v>
      </c>
      <c r="AG48" s="7"/>
    </row>
    <row r="49" spans="1:33">
      <c r="A49" s="7" t="s">
        <v>777</v>
      </c>
      <c r="B49" s="7" t="s">
        <v>209</v>
      </c>
      <c r="C49" s="7" t="s">
        <v>1190</v>
      </c>
      <c r="D49" s="7" t="s">
        <v>143</v>
      </c>
      <c r="E49" s="98" t="s">
        <v>185</v>
      </c>
      <c r="F49" s="7" t="s">
        <v>1738</v>
      </c>
      <c r="G49" s="7">
        <v>15.962387870000001</v>
      </c>
      <c r="H49" s="7">
        <v>121.06738254</v>
      </c>
      <c r="I49" s="7" t="str">
        <f t="shared" si="6"/>
        <v>15.96238787, 121.06738254</v>
      </c>
      <c r="J49" s="7" t="s">
        <v>82</v>
      </c>
      <c r="K49" s="101" t="s">
        <v>29</v>
      </c>
      <c r="L49" s="7" t="s">
        <v>1610</v>
      </c>
      <c r="M49" s="97" t="s">
        <v>212</v>
      </c>
      <c r="N49" s="7" t="s">
        <v>1859</v>
      </c>
      <c r="O49" s="33">
        <v>45944</v>
      </c>
      <c r="P49" s="33">
        <v>45946</v>
      </c>
      <c r="Q49" s="33">
        <v>45947</v>
      </c>
      <c r="R49" s="33">
        <v>45947</v>
      </c>
      <c r="S49" s="33">
        <v>45947</v>
      </c>
      <c r="T49" s="45">
        <f t="shared" si="7"/>
        <v>2</v>
      </c>
      <c r="U49" s="45">
        <f t="shared" si="8"/>
        <v>1</v>
      </c>
      <c r="V49" s="45">
        <f t="shared" si="4"/>
        <v>1</v>
      </c>
      <c r="W49" s="45">
        <f t="shared" si="9"/>
        <v>1</v>
      </c>
      <c r="X49" s="7" t="s">
        <v>150</v>
      </c>
      <c r="Y49" s="7" t="s">
        <v>50</v>
      </c>
      <c r="Z49" s="7" t="s">
        <v>50</v>
      </c>
      <c r="AA49" s="7"/>
      <c r="AB49" s="7"/>
      <c r="AC49" s="7"/>
      <c r="AD49" s="7"/>
      <c r="AE49" s="7"/>
      <c r="AF49" s="7"/>
      <c r="AG49" s="7"/>
    </row>
    <row r="50" spans="1:33" ht="30">
      <c r="A50" s="7" t="s">
        <v>777</v>
      </c>
      <c r="B50" s="7" t="s">
        <v>1096</v>
      </c>
      <c r="C50" s="7" t="s">
        <v>1097</v>
      </c>
      <c r="D50" s="7" t="s">
        <v>159</v>
      </c>
      <c r="E50" s="98" t="s">
        <v>160</v>
      </c>
      <c r="F50" s="7" t="s">
        <v>1741</v>
      </c>
      <c r="G50" s="7">
        <v>15.81180694</v>
      </c>
      <c r="H50" s="7">
        <v>120.67721433</v>
      </c>
      <c r="I50" s="7" t="str">
        <f t="shared" si="6"/>
        <v>15.81180694, 120.67721433</v>
      </c>
      <c r="J50" s="7" t="s">
        <v>77</v>
      </c>
      <c r="K50" s="7" t="s">
        <v>29</v>
      </c>
      <c r="L50" s="7" t="s">
        <v>1610</v>
      </c>
      <c r="M50" s="97" t="s">
        <v>212</v>
      </c>
      <c r="N50" s="7" t="s">
        <v>1860</v>
      </c>
      <c r="O50" s="33">
        <v>45786</v>
      </c>
      <c r="P50" s="33">
        <v>45791</v>
      </c>
      <c r="Q50" s="33">
        <v>45792</v>
      </c>
      <c r="R50" s="33">
        <v>45793</v>
      </c>
      <c r="S50" s="33">
        <v>45793</v>
      </c>
      <c r="T50" s="45">
        <f t="shared" si="7"/>
        <v>3</v>
      </c>
      <c r="U50" s="45">
        <f t="shared" si="8"/>
        <v>1</v>
      </c>
      <c r="V50" s="45">
        <f t="shared" si="4"/>
        <v>1</v>
      </c>
      <c r="W50" s="45">
        <f t="shared" si="9"/>
        <v>1</v>
      </c>
      <c r="X50" s="7" t="s">
        <v>150</v>
      </c>
      <c r="Y50" s="7" t="s">
        <v>50</v>
      </c>
      <c r="Z50" s="7" t="s">
        <v>50</v>
      </c>
      <c r="AA50" s="7"/>
      <c r="AB50" s="7" t="s">
        <v>57</v>
      </c>
      <c r="AC50" s="316" t="s">
        <v>50</v>
      </c>
      <c r="AD50" s="7" t="s">
        <v>1421</v>
      </c>
      <c r="AE50" s="7" t="s">
        <v>1861</v>
      </c>
      <c r="AF50" s="7"/>
      <c r="AG50" s="7"/>
    </row>
    <row r="51" spans="1:33" ht="30">
      <c r="A51" s="7" t="s">
        <v>777</v>
      </c>
      <c r="B51" s="7" t="s">
        <v>1862</v>
      </c>
      <c r="C51" s="7" t="s">
        <v>1207</v>
      </c>
      <c r="D51" s="7" t="s">
        <v>143</v>
      </c>
      <c r="E51" s="98" t="s">
        <v>144</v>
      </c>
      <c r="F51" s="7" t="s">
        <v>1738</v>
      </c>
      <c r="G51" s="7">
        <v>15.60618</v>
      </c>
      <c r="H51" s="7">
        <v>121.11087000000001</v>
      </c>
      <c r="I51" s="7" t="str">
        <f t="shared" si="6"/>
        <v>15.60618, 121.11087</v>
      </c>
      <c r="J51" s="7" t="s">
        <v>79</v>
      </c>
      <c r="K51" s="101" t="s">
        <v>26</v>
      </c>
      <c r="L51" s="7" t="s">
        <v>1610</v>
      </c>
      <c r="M51" s="97" t="s">
        <v>212</v>
      </c>
      <c r="N51" s="62" t="s">
        <v>1863</v>
      </c>
      <c r="O51" s="33">
        <v>45849</v>
      </c>
      <c r="P51" s="33">
        <v>45852</v>
      </c>
      <c r="Q51" s="33">
        <v>45853</v>
      </c>
      <c r="R51" s="33">
        <v>45854</v>
      </c>
      <c r="S51" s="33">
        <v>45855</v>
      </c>
      <c r="T51" s="45">
        <f t="shared" si="7"/>
        <v>1</v>
      </c>
      <c r="U51" s="45">
        <f t="shared" si="8"/>
        <v>1</v>
      </c>
      <c r="V51" s="45">
        <f t="shared" si="4"/>
        <v>1</v>
      </c>
      <c r="W51" s="45">
        <f t="shared" si="9"/>
        <v>1</v>
      </c>
      <c r="X51" s="7" t="s">
        <v>150</v>
      </c>
      <c r="Y51" s="7" t="s">
        <v>57</v>
      </c>
      <c r="Z51" s="7" t="s">
        <v>50</v>
      </c>
      <c r="AA51" s="7"/>
      <c r="AB51" s="7"/>
      <c r="AC51" s="7"/>
      <c r="AD51" s="7"/>
      <c r="AE51" s="7" t="s">
        <v>1864</v>
      </c>
      <c r="AF51" s="7" t="s">
        <v>953</v>
      </c>
      <c r="AG51" s="7"/>
    </row>
    <row r="52" spans="1:33" ht="30">
      <c r="A52" s="7" t="s">
        <v>777</v>
      </c>
      <c r="B52" s="7" t="s">
        <v>340</v>
      </c>
      <c r="C52" s="7" t="s">
        <v>1203</v>
      </c>
      <c r="D52" s="7" t="s">
        <v>143</v>
      </c>
      <c r="E52" s="98" t="s">
        <v>233</v>
      </c>
      <c r="F52" s="7" t="s">
        <v>1738</v>
      </c>
      <c r="G52" s="7">
        <v>15.334293000000001</v>
      </c>
      <c r="H52" s="7">
        <v>120.97338499999999</v>
      </c>
      <c r="I52" s="7" t="str">
        <f t="shared" si="6"/>
        <v>15.334293, 120.973385</v>
      </c>
      <c r="J52" s="7" t="s">
        <v>75</v>
      </c>
      <c r="K52" s="101" t="s">
        <v>30</v>
      </c>
      <c r="L52" s="7" t="s">
        <v>1610</v>
      </c>
      <c r="M52" s="97" t="s">
        <v>212</v>
      </c>
      <c r="N52" s="62" t="s">
        <v>1865</v>
      </c>
      <c r="O52" s="33">
        <v>45721</v>
      </c>
      <c r="P52" s="33">
        <v>45721</v>
      </c>
      <c r="Q52" s="33">
        <v>45722</v>
      </c>
      <c r="R52" s="33">
        <v>45729</v>
      </c>
      <c r="S52" s="33">
        <v>45730</v>
      </c>
      <c r="T52" s="45">
        <f t="shared" si="7"/>
        <v>1</v>
      </c>
      <c r="U52" s="45">
        <f t="shared" si="8"/>
        <v>1</v>
      </c>
      <c r="V52" s="45">
        <f t="shared" si="4"/>
        <v>5</v>
      </c>
      <c r="W52" s="45">
        <f t="shared" si="9"/>
        <v>1</v>
      </c>
      <c r="X52" s="7" t="s">
        <v>150</v>
      </c>
      <c r="Y52" s="7" t="s">
        <v>57</v>
      </c>
      <c r="Z52" s="7" t="s">
        <v>57</v>
      </c>
      <c r="AA52" s="7" t="s">
        <v>808</v>
      </c>
      <c r="AB52" s="7" t="s">
        <v>808</v>
      </c>
      <c r="AC52" s="7" t="s">
        <v>808</v>
      </c>
      <c r="AD52" s="7" t="s">
        <v>808</v>
      </c>
      <c r="AE52" s="7" t="s">
        <v>1866</v>
      </c>
      <c r="AF52" s="7" t="s">
        <v>953</v>
      </c>
      <c r="AG52" s="7"/>
    </row>
    <row r="53" spans="1:33">
      <c r="A53" s="360" t="s">
        <v>777</v>
      </c>
      <c r="B53" s="360" t="s">
        <v>574</v>
      </c>
      <c r="C53" s="360" t="s">
        <v>1867</v>
      </c>
      <c r="D53" s="360" t="s">
        <v>143</v>
      </c>
      <c r="E53" s="534" t="s">
        <v>185</v>
      </c>
      <c r="F53" s="360" t="s">
        <v>1738</v>
      </c>
      <c r="G53" s="360">
        <v>15.821400000000001</v>
      </c>
      <c r="H53" s="360">
        <v>120.99290000000001</v>
      </c>
      <c r="I53" s="360" t="str">
        <f t="shared" si="6"/>
        <v>15.8214, 120.9929</v>
      </c>
      <c r="J53" s="360" t="s">
        <v>79</v>
      </c>
      <c r="K53" s="360" t="s">
        <v>26</v>
      </c>
      <c r="L53" s="360" t="s">
        <v>1610</v>
      </c>
      <c r="M53" s="539" t="s">
        <v>212</v>
      </c>
      <c r="N53" s="360" t="s">
        <v>1868</v>
      </c>
      <c r="O53" s="538">
        <v>45854</v>
      </c>
      <c r="P53" s="536">
        <v>45855</v>
      </c>
      <c r="Q53" s="536">
        <v>45856</v>
      </c>
      <c r="R53" s="536">
        <v>45856</v>
      </c>
      <c r="S53" s="536">
        <v>45856</v>
      </c>
      <c r="T53" s="354">
        <f t="shared" si="7"/>
        <v>1</v>
      </c>
      <c r="U53" s="354">
        <f t="shared" si="8"/>
        <v>1</v>
      </c>
      <c r="V53" s="45">
        <f t="shared" si="4"/>
        <v>1</v>
      </c>
      <c r="W53" s="354">
        <f t="shared" si="9"/>
        <v>1</v>
      </c>
      <c r="X53" s="7" t="s">
        <v>150</v>
      </c>
      <c r="Y53" s="360" t="s">
        <v>50</v>
      </c>
      <c r="Z53" s="360" t="s">
        <v>50</v>
      </c>
      <c r="AA53" s="360"/>
      <c r="AB53" s="360"/>
      <c r="AC53" s="360"/>
      <c r="AD53" s="360"/>
      <c r="AE53" s="360" t="s">
        <v>1869</v>
      </c>
      <c r="AF53" s="360"/>
      <c r="AG53" s="360"/>
    </row>
    <row r="54" spans="1:33">
      <c r="A54" s="7" t="s">
        <v>777</v>
      </c>
      <c r="B54" s="7" t="s">
        <v>1870</v>
      </c>
      <c r="C54" s="7" t="s">
        <v>1253</v>
      </c>
      <c r="D54" s="7" t="s">
        <v>143</v>
      </c>
      <c r="E54" s="98" t="s">
        <v>144</v>
      </c>
      <c r="F54" s="7" t="s">
        <v>1738</v>
      </c>
      <c r="G54" s="7">
        <v>15.3888</v>
      </c>
      <c r="H54" s="7">
        <v>121.06189999999999</v>
      </c>
      <c r="I54" s="7" t="str">
        <f t="shared" si="6"/>
        <v>15.3888, 121.0619</v>
      </c>
      <c r="J54" s="7" t="s">
        <v>76</v>
      </c>
      <c r="K54" s="7" t="s">
        <v>1659</v>
      </c>
      <c r="L54" s="7" t="s">
        <v>28</v>
      </c>
      <c r="M54" s="7" t="s">
        <v>212</v>
      </c>
      <c r="N54" s="540" t="s">
        <v>1871</v>
      </c>
      <c r="O54" s="536">
        <v>45758</v>
      </c>
      <c r="P54" s="33">
        <v>45767</v>
      </c>
      <c r="Q54" s="33">
        <v>45768</v>
      </c>
      <c r="R54" s="33">
        <v>45768</v>
      </c>
      <c r="S54" s="33">
        <v>45769</v>
      </c>
      <c r="T54" s="45">
        <f t="shared" si="7"/>
        <v>5</v>
      </c>
      <c r="U54" s="45">
        <f t="shared" si="8"/>
        <v>1</v>
      </c>
      <c r="V54" s="45">
        <f t="shared" si="4"/>
        <v>1</v>
      </c>
      <c r="W54" s="45">
        <f t="shared" si="9"/>
        <v>1</v>
      </c>
      <c r="X54" s="7" t="s">
        <v>150</v>
      </c>
      <c r="Y54" s="7" t="s">
        <v>50</v>
      </c>
      <c r="Z54" s="7" t="s">
        <v>50</v>
      </c>
      <c r="AA54" s="7" t="s">
        <v>808</v>
      </c>
      <c r="AB54" s="7"/>
      <c r="AC54" s="7"/>
      <c r="AD54" s="7"/>
      <c r="AE54" s="7"/>
      <c r="AF54" s="7"/>
      <c r="AG54" s="7"/>
    </row>
    <row r="55" spans="1:33">
      <c r="A55" s="549" t="s">
        <v>777</v>
      </c>
      <c r="B55" s="549" t="s">
        <v>676</v>
      </c>
      <c r="C55" s="549" t="s">
        <v>1256</v>
      </c>
      <c r="D55" s="549" t="s">
        <v>143</v>
      </c>
      <c r="E55" s="550" t="s">
        <v>160</v>
      </c>
      <c r="F55" s="549" t="s">
        <v>1738</v>
      </c>
      <c r="G55" s="549">
        <v>15.71306669</v>
      </c>
      <c r="H55" s="549">
        <v>120.74638505</v>
      </c>
      <c r="I55" s="549" t="str">
        <f t="shared" si="6"/>
        <v>15.71306669, 120.74638505</v>
      </c>
      <c r="J55" s="549" t="s">
        <v>80</v>
      </c>
      <c r="K55" s="541" t="s">
        <v>29</v>
      </c>
      <c r="L55" s="549" t="s">
        <v>28</v>
      </c>
      <c r="M55" s="81" t="s">
        <v>212</v>
      </c>
      <c r="N55" s="7" t="s">
        <v>1872</v>
      </c>
      <c r="O55" s="359">
        <v>45877</v>
      </c>
      <c r="P55" s="651">
        <v>45883</v>
      </c>
      <c r="Q55" s="553">
        <v>45883</v>
      </c>
      <c r="R55" s="553">
        <v>45887</v>
      </c>
      <c r="S55" s="553">
        <v>45887</v>
      </c>
      <c r="T55" s="554">
        <f t="shared" si="7"/>
        <v>4</v>
      </c>
      <c r="U55" s="554">
        <f t="shared" si="8"/>
        <v>1</v>
      </c>
      <c r="V55" s="45">
        <f t="shared" si="4"/>
        <v>2</v>
      </c>
      <c r="W55" s="554">
        <f t="shared" si="9"/>
        <v>1</v>
      </c>
      <c r="X55" s="7" t="s">
        <v>150</v>
      </c>
      <c r="Y55" s="549" t="s">
        <v>57</v>
      </c>
      <c r="Z55" s="549" t="s">
        <v>57</v>
      </c>
      <c r="AA55" s="549" t="s">
        <v>679</v>
      </c>
      <c r="AB55" s="360" t="s">
        <v>69</v>
      </c>
      <c r="AC55" s="360" t="s">
        <v>69</v>
      </c>
      <c r="AD55" s="360" t="s">
        <v>69</v>
      </c>
      <c r="AE55" s="566" t="s">
        <v>1873</v>
      </c>
      <c r="AF55" s="549" t="s">
        <v>953</v>
      </c>
      <c r="AG55" s="549"/>
    </row>
    <row r="56" spans="1:33">
      <c r="A56" s="7" t="s">
        <v>777</v>
      </c>
      <c r="B56" s="7" t="s">
        <v>738</v>
      </c>
      <c r="C56" s="7" t="s">
        <v>1874</v>
      </c>
      <c r="D56" s="7" t="s">
        <v>143</v>
      </c>
      <c r="E56" s="98" t="s">
        <v>233</v>
      </c>
      <c r="F56" s="7" t="s">
        <v>1738</v>
      </c>
      <c r="G56" s="7">
        <v>15.337645999999999</v>
      </c>
      <c r="H56" s="7">
        <v>120.90553300000001</v>
      </c>
      <c r="I56" s="7" t="str">
        <f t="shared" si="6"/>
        <v>15.337646, 120.905533</v>
      </c>
      <c r="J56" s="7" t="s">
        <v>81</v>
      </c>
      <c r="K56" s="7" t="s">
        <v>30</v>
      </c>
      <c r="L56" s="7" t="s">
        <v>1610</v>
      </c>
      <c r="M56" s="7" t="s">
        <v>212</v>
      </c>
      <c r="N56" s="135" t="s">
        <v>1875</v>
      </c>
      <c r="O56" s="546">
        <v>45904</v>
      </c>
      <c r="P56" s="33">
        <v>45918</v>
      </c>
      <c r="Q56" s="33">
        <v>45918</v>
      </c>
      <c r="R56" s="33">
        <v>45918</v>
      </c>
      <c r="S56" s="33">
        <v>45918</v>
      </c>
      <c r="T56" s="45">
        <f t="shared" si="7"/>
        <v>10</v>
      </c>
      <c r="U56" s="45">
        <f t="shared" si="8"/>
        <v>1</v>
      </c>
      <c r="V56" s="45">
        <f t="shared" si="4"/>
        <v>1</v>
      </c>
      <c r="W56" s="45">
        <f t="shared" si="9"/>
        <v>1</v>
      </c>
      <c r="X56" s="7" t="s">
        <v>150</v>
      </c>
      <c r="Y56" s="7" t="s">
        <v>57</v>
      </c>
      <c r="Z56" s="7" t="s">
        <v>57</v>
      </c>
      <c r="AA56" s="7"/>
      <c r="AB56" s="7"/>
      <c r="AC56" s="7"/>
      <c r="AD56" s="7"/>
      <c r="AE56" s="7" t="s">
        <v>1876</v>
      </c>
      <c r="AF56" s="7" t="s">
        <v>953</v>
      </c>
      <c r="AG56" s="7"/>
    </row>
    <row r="57" spans="1:33" ht="45">
      <c r="A57" s="135" t="s">
        <v>777</v>
      </c>
      <c r="B57" s="135" t="s">
        <v>623</v>
      </c>
      <c r="C57" s="135" t="s">
        <v>1267</v>
      </c>
      <c r="D57" s="135" t="s">
        <v>143</v>
      </c>
      <c r="E57" s="547" t="s">
        <v>144</v>
      </c>
      <c r="F57" s="135" t="s">
        <v>1738</v>
      </c>
      <c r="G57" s="135">
        <v>15.5722</v>
      </c>
      <c r="H57" s="135">
        <v>121.1682</v>
      </c>
      <c r="I57" s="135" t="str">
        <f t="shared" si="6"/>
        <v>15.5722, 121.1682</v>
      </c>
      <c r="J57" s="135" t="s">
        <v>76</v>
      </c>
      <c r="K57" s="135" t="s">
        <v>1659</v>
      </c>
      <c r="L57" s="135" t="s">
        <v>28</v>
      </c>
      <c r="M57" s="135" t="s">
        <v>212</v>
      </c>
      <c r="N57" s="549" t="s">
        <v>1877</v>
      </c>
      <c r="O57" s="553">
        <v>45750</v>
      </c>
      <c r="P57" s="546">
        <v>45755</v>
      </c>
      <c r="Q57" s="546">
        <v>45756</v>
      </c>
      <c r="R57" s="546">
        <v>45757</v>
      </c>
      <c r="S57" s="546">
        <v>45757</v>
      </c>
      <c r="T57" s="423">
        <f t="shared" si="7"/>
        <v>3</v>
      </c>
      <c r="U57" s="423">
        <f t="shared" si="8"/>
        <v>1</v>
      </c>
      <c r="V57" s="45">
        <f t="shared" si="4"/>
        <v>1</v>
      </c>
      <c r="W57" s="423">
        <f t="shared" si="9"/>
        <v>1</v>
      </c>
      <c r="X57" s="7" t="s">
        <v>150</v>
      </c>
      <c r="Y57" s="135" t="s">
        <v>57</v>
      </c>
      <c r="Z57" s="135" t="s">
        <v>57</v>
      </c>
      <c r="AA57" s="135" t="s">
        <v>808</v>
      </c>
      <c r="AB57" s="135"/>
      <c r="AC57" s="135"/>
      <c r="AD57" s="135"/>
      <c r="AE57" s="135" t="s">
        <v>1878</v>
      </c>
      <c r="AF57" s="135"/>
      <c r="AG57" s="135"/>
    </row>
    <row r="58" spans="1:33" ht="15.75">
      <c r="A58" s="135" t="s">
        <v>777</v>
      </c>
      <c r="B58" s="135" t="s">
        <v>681</v>
      </c>
      <c r="C58" s="135" t="s">
        <v>1263</v>
      </c>
      <c r="D58" s="135" t="s">
        <v>143</v>
      </c>
      <c r="E58" s="547" t="s">
        <v>160</v>
      </c>
      <c r="F58" s="135" t="s">
        <v>1738</v>
      </c>
      <c r="G58" s="135">
        <v>15.337645999999999</v>
      </c>
      <c r="H58" s="135">
        <v>120.90553300000001</v>
      </c>
      <c r="I58" s="135" t="str">
        <f t="shared" si="6"/>
        <v>15.337646, 120.905533</v>
      </c>
      <c r="J58" s="135" t="s">
        <v>80</v>
      </c>
      <c r="K58" s="101" t="s">
        <v>27</v>
      </c>
      <c r="L58" s="135" t="s">
        <v>1610</v>
      </c>
      <c r="M58" s="652" t="s">
        <v>212</v>
      </c>
      <c r="N58" s="7" t="s">
        <v>1879</v>
      </c>
      <c r="O58" s="359">
        <v>45876</v>
      </c>
      <c r="P58" s="556">
        <v>45883</v>
      </c>
      <c r="Q58" s="546">
        <v>45883</v>
      </c>
      <c r="R58" s="546">
        <v>45887</v>
      </c>
      <c r="S58" s="546">
        <v>45887</v>
      </c>
      <c r="T58" s="423">
        <f t="shared" si="7"/>
        <v>5</v>
      </c>
      <c r="U58" s="423">
        <f t="shared" si="8"/>
        <v>1</v>
      </c>
      <c r="V58" s="45">
        <f t="shared" si="4"/>
        <v>2</v>
      </c>
      <c r="W58" s="423">
        <f t="shared" si="9"/>
        <v>1</v>
      </c>
      <c r="X58" s="7" t="s">
        <v>150</v>
      </c>
      <c r="Y58" s="135" t="s">
        <v>57</v>
      </c>
      <c r="Z58" s="135" t="s">
        <v>57</v>
      </c>
      <c r="AA58" s="135"/>
      <c r="AB58" s="7" t="s">
        <v>69</v>
      </c>
      <c r="AC58" s="7" t="s">
        <v>69</v>
      </c>
      <c r="AD58" s="7" t="s">
        <v>69</v>
      </c>
      <c r="AE58" s="565" t="s">
        <v>1880</v>
      </c>
      <c r="AF58" s="135" t="s">
        <v>953</v>
      </c>
      <c r="AG58" s="135"/>
    </row>
    <row r="59" spans="1:33" ht="75">
      <c r="A59" s="7" t="s">
        <v>777</v>
      </c>
      <c r="B59" s="7" t="s">
        <v>565</v>
      </c>
      <c r="C59" s="7" t="s">
        <v>1881</v>
      </c>
      <c r="D59" s="7" t="s">
        <v>143</v>
      </c>
      <c r="E59" s="98" t="s">
        <v>185</v>
      </c>
      <c r="F59" s="7" t="s">
        <v>1738</v>
      </c>
      <c r="G59" s="7">
        <v>15.66072</v>
      </c>
      <c r="H59" s="7">
        <v>121.0218</v>
      </c>
      <c r="I59" s="7" t="str">
        <f t="shared" si="6"/>
        <v>15.66072, 121.0218</v>
      </c>
      <c r="J59" s="7" t="s">
        <v>78</v>
      </c>
      <c r="K59" s="101" t="s">
        <v>26</v>
      </c>
      <c r="L59" s="7" t="s">
        <v>1610</v>
      </c>
      <c r="M59" s="97" t="s">
        <v>212</v>
      </c>
      <c r="N59" s="654" t="s">
        <v>1882</v>
      </c>
      <c r="O59" s="546">
        <v>45798</v>
      </c>
      <c r="P59" s="33">
        <v>45803</v>
      </c>
      <c r="Q59" s="33">
        <v>45805</v>
      </c>
      <c r="R59" s="33">
        <v>45806</v>
      </c>
      <c r="S59" s="33">
        <v>45807</v>
      </c>
      <c r="T59" s="45">
        <f t="shared" si="7"/>
        <v>3</v>
      </c>
      <c r="U59" s="45">
        <f t="shared" si="8"/>
        <v>2</v>
      </c>
      <c r="V59" s="45">
        <f t="shared" si="4"/>
        <v>1</v>
      </c>
      <c r="W59" s="45">
        <f t="shared" si="9"/>
        <v>1</v>
      </c>
      <c r="X59" s="7" t="s">
        <v>150</v>
      </c>
      <c r="Y59" s="7" t="s">
        <v>57</v>
      </c>
      <c r="Z59" s="7" t="s">
        <v>57</v>
      </c>
      <c r="AA59" s="7"/>
      <c r="AB59" s="7"/>
      <c r="AC59" s="7"/>
      <c r="AD59" s="7"/>
      <c r="AE59" s="7" t="s">
        <v>1883</v>
      </c>
      <c r="AF59" s="7"/>
      <c r="AG59" s="7"/>
    </row>
    <row r="60" spans="1:33" ht="30">
      <c r="A60" s="7" t="s">
        <v>777</v>
      </c>
      <c r="B60" s="7" t="s">
        <v>270</v>
      </c>
      <c r="C60" s="7" t="s">
        <v>1884</v>
      </c>
      <c r="D60" s="7" t="s">
        <v>143</v>
      </c>
      <c r="E60" s="98" t="s">
        <v>185</v>
      </c>
      <c r="F60" s="7" t="s">
        <v>1738</v>
      </c>
      <c r="G60" s="7">
        <v>15.872199999999999</v>
      </c>
      <c r="H60" s="7">
        <v>120.8969</v>
      </c>
      <c r="I60" s="7" t="str">
        <f t="shared" si="6"/>
        <v>15.8722, 120.8969</v>
      </c>
      <c r="J60" s="7" t="s">
        <v>83</v>
      </c>
      <c r="K60" s="101" t="s">
        <v>29</v>
      </c>
      <c r="L60" s="7" t="s">
        <v>1610</v>
      </c>
      <c r="M60" s="97" t="s">
        <v>212</v>
      </c>
      <c r="N60" s="7" t="s">
        <v>1885</v>
      </c>
      <c r="O60" s="33">
        <v>45972</v>
      </c>
      <c r="P60" s="33">
        <v>45972</v>
      </c>
      <c r="Q60" s="33">
        <v>45980</v>
      </c>
      <c r="R60" s="33">
        <v>45980</v>
      </c>
      <c r="S60" s="33">
        <v>45980</v>
      </c>
      <c r="T60" s="45">
        <f t="shared" si="7"/>
        <v>1</v>
      </c>
      <c r="U60" s="45">
        <f t="shared" si="8"/>
        <v>6</v>
      </c>
      <c r="V60" s="45">
        <f t="shared" si="4"/>
        <v>1</v>
      </c>
      <c r="W60" s="45">
        <f t="shared" si="9"/>
        <v>1</v>
      </c>
      <c r="X60" s="7" t="s">
        <v>150</v>
      </c>
      <c r="Y60" s="7" t="s">
        <v>57</v>
      </c>
      <c r="Z60" s="7" t="s">
        <v>57</v>
      </c>
      <c r="AA60" s="7"/>
      <c r="AB60" s="7"/>
      <c r="AC60" s="7"/>
      <c r="AD60" s="7"/>
      <c r="AE60" s="7" t="s">
        <v>1852</v>
      </c>
      <c r="AF60" s="7" t="s">
        <v>953</v>
      </c>
      <c r="AG60" s="7"/>
    </row>
    <row r="61" spans="1:33" ht="30">
      <c r="A61" s="7" t="s">
        <v>777</v>
      </c>
      <c r="B61" s="7" t="s">
        <v>349</v>
      </c>
      <c r="C61" s="7" t="s">
        <v>947</v>
      </c>
      <c r="D61" s="7" t="s">
        <v>159</v>
      </c>
      <c r="E61" s="98" t="s">
        <v>160</v>
      </c>
      <c r="F61" s="7" t="s">
        <v>1738</v>
      </c>
      <c r="G61" s="7">
        <v>15.73542205</v>
      </c>
      <c r="H61" s="7">
        <v>120.63237801</v>
      </c>
      <c r="I61" s="7" t="str">
        <f t="shared" si="6"/>
        <v>15.73542205, 120.63237801</v>
      </c>
      <c r="J61" s="7" t="s">
        <v>74</v>
      </c>
      <c r="K61" s="101" t="s">
        <v>29</v>
      </c>
      <c r="L61" s="7" t="s">
        <v>1610</v>
      </c>
      <c r="M61" s="97" t="s">
        <v>212</v>
      </c>
      <c r="N61" s="81" t="s">
        <v>1886</v>
      </c>
      <c r="O61" s="33">
        <v>45699</v>
      </c>
      <c r="P61" s="33">
        <v>45704</v>
      </c>
      <c r="Q61" s="33">
        <v>45705</v>
      </c>
      <c r="R61" s="33">
        <v>45705</v>
      </c>
      <c r="S61" s="33">
        <v>45706</v>
      </c>
      <c r="T61" s="45">
        <f t="shared" si="7"/>
        <v>3</v>
      </c>
      <c r="U61" s="45">
        <f t="shared" si="8"/>
        <v>1</v>
      </c>
      <c r="V61" s="45">
        <f t="shared" si="4"/>
        <v>1</v>
      </c>
      <c r="W61" s="45">
        <f t="shared" si="9"/>
        <v>1</v>
      </c>
      <c r="X61" s="7" t="s">
        <v>150</v>
      </c>
      <c r="Y61" s="7" t="s">
        <v>57</v>
      </c>
      <c r="Z61" s="7" t="s">
        <v>57</v>
      </c>
      <c r="AA61" s="7" t="s">
        <v>808</v>
      </c>
      <c r="AB61" s="7" t="s">
        <v>808</v>
      </c>
      <c r="AC61" s="7" t="s">
        <v>808</v>
      </c>
      <c r="AD61" s="7" t="s">
        <v>808</v>
      </c>
      <c r="AE61" s="7" t="s">
        <v>1887</v>
      </c>
      <c r="AF61" s="316" t="s">
        <v>1220</v>
      </c>
      <c r="AG61" s="7"/>
    </row>
    <row r="62" spans="1:33">
      <c r="A62" s="7" t="s">
        <v>777</v>
      </c>
      <c r="B62" s="7" t="s">
        <v>1888</v>
      </c>
      <c r="C62" s="7" t="s">
        <v>1283</v>
      </c>
      <c r="D62" s="7" t="s">
        <v>143</v>
      </c>
      <c r="E62" s="98" t="s">
        <v>144</v>
      </c>
      <c r="F62" s="7" t="s">
        <v>1738</v>
      </c>
      <c r="G62" s="7">
        <v>15.56236</v>
      </c>
      <c r="H62" s="7">
        <v>121.09817</v>
      </c>
      <c r="I62" s="7" t="str">
        <f t="shared" si="6"/>
        <v>15.56236, 121.09817</v>
      </c>
      <c r="J62" s="7" t="s">
        <v>77</v>
      </c>
      <c r="K62" s="101" t="s">
        <v>26</v>
      </c>
      <c r="L62" s="7" t="s">
        <v>28</v>
      </c>
      <c r="M62" s="97" t="s">
        <v>212</v>
      </c>
      <c r="N62" s="540" t="s">
        <v>1889</v>
      </c>
      <c r="O62" s="33">
        <v>45792</v>
      </c>
      <c r="P62" s="33">
        <v>45796</v>
      </c>
      <c r="Q62" s="33">
        <v>45796</v>
      </c>
      <c r="R62" s="33">
        <v>45796</v>
      </c>
      <c r="S62" s="33">
        <v>45797</v>
      </c>
      <c r="T62" s="45">
        <f t="shared" si="7"/>
        <v>2</v>
      </c>
      <c r="U62" s="45">
        <f t="shared" si="8"/>
        <v>1</v>
      </c>
      <c r="V62" s="45">
        <f t="shared" si="4"/>
        <v>1</v>
      </c>
      <c r="W62" s="45">
        <f t="shared" si="9"/>
        <v>1</v>
      </c>
      <c r="X62" s="7" t="s">
        <v>150</v>
      </c>
      <c r="Y62" s="7" t="s">
        <v>50</v>
      </c>
      <c r="Z62" s="7" t="s">
        <v>57</v>
      </c>
      <c r="AA62" s="7"/>
      <c r="AB62" s="7" t="s">
        <v>69</v>
      </c>
      <c r="AC62" s="7" t="s">
        <v>69</v>
      </c>
      <c r="AD62" s="7" t="s">
        <v>69</v>
      </c>
      <c r="AF62" s="7" t="s">
        <v>953</v>
      </c>
      <c r="AG62" s="7"/>
    </row>
    <row r="63" spans="1:33">
      <c r="A63" s="360" t="s">
        <v>777</v>
      </c>
      <c r="B63" s="360" t="s">
        <v>569</v>
      </c>
      <c r="C63" s="360" t="s">
        <v>1056</v>
      </c>
      <c r="D63" s="360" t="s">
        <v>143</v>
      </c>
      <c r="E63" s="534" t="s">
        <v>185</v>
      </c>
      <c r="F63" s="360" t="s">
        <v>1738</v>
      </c>
      <c r="G63" s="360">
        <v>15.807740000000001</v>
      </c>
      <c r="H63" s="360">
        <v>121.14201</v>
      </c>
      <c r="I63" s="360" t="str">
        <f t="shared" si="6"/>
        <v>15.80774, 121.14201</v>
      </c>
      <c r="J63" s="360" t="s">
        <v>78</v>
      </c>
      <c r="K63" s="541" t="s">
        <v>26</v>
      </c>
      <c r="L63" s="360" t="s">
        <v>1610</v>
      </c>
      <c r="M63" s="539" t="s">
        <v>212</v>
      </c>
      <c r="N63" s="360" t="s">
        <v>1890</v>
      </c>
      <c r="O63" s="538">
        <v>45807</v>
      </c>
      <c r="P63" s="536">
        <v>45818</v>
      </c>
      <c r="Q63" s="536">
        <v>45819</v>
      </c>
      <c r="R63" s="536">
        <v>45824</v>
      </c>
      <c r="S63" s="536">
        <v>45824</v>
      </c>
      <c r="T63" s="354">
        <f t="shared" si="7"/>
        <v>7</v>
      </c>
      <c r="U63" s="354">
        <f t="shared" si="8"/>
        <v>1</v>
      </c>
      <c r="V63" s="45">
        <f t="shared" si="4"/>
        <v>3</v>
      </c>
      <c r="W63" s="354">
        <f t="shared" si="9"/>
        <v>1</v>
      </c>
      <c r="X63" s="7" t="s">
        <v>150</v>
      </c>
      <c r="Y63" s="360" t="s">
        <v>50</v>
      </c>
      <c r="Z63" s="360" t="s">
        <v>50</v>
      </c>
      <c r="AA63" s="360"/>
      <c r="AB63" s="360"/>
      <c r="AC63" s="360"/>
      <c r="AD63" s="360"/>
      <c r="AE63" s="360"/>
      <c r="AF63" s="360"/>
      <c r="AG63" s="360"/>
    </row>
    <row r="64" spans="1:33">
      <c r="A64" s="7" t="s">
        <v>777</v>
      </c>
      <c r="B64" s="7" t="s">
        <v>1891</v>
      </c>
      <c r="C64" s="7" t="s">
        <v>1292</v>
      </c>
      <c r="D64" s="7" t="s">
        <v>143</v>
      </c>
      <c r="E64" s="98" t="s">
        <v>233</v>
      </c>
      <c r="F64" s="7" t="s">
        <v>1738</v>
      </c>
      <c r="G64" s="7">
        <v>15.322247000000001</v>
      </c>
      <c r="H64" s="7">
        <v>121.07476800000001</v>
      </c>
      <c r="I64" s="7" t="str">
        <f t="shared" si="6"/>
        <v>15.322247, 121.074768</v>
      </c>
      <c r="J64" s="7" t="s">
        <v>76</v>
      </c>
      <c r="K64" s="7" t="s">
        <v>30</v>
      </c>
      <c r="L64" s="7" t="s">
        <v>28</v>
      </c>
      <c r="M64" s="7" t="s">
        <v>212</v>
      </c>
      <c r="N64" s="653" t="s">
        <v>1892</v>
      </c>
      <c r="O64" s="536">
        <v>45757</v>
      </c>
      <c r="P64" s="33">
        <v>45759</v>
      </c>
      <c r="Q64" s="33">
        <v>45762</v>
      </c>
      <c r="R64" s="33">
        <v>45762</v>
      </c>
      <c r="S64" s="33">
        <v>45762</v>
      </c>
      <c r="T64" s="45">
        <f t="shared" si="7"/>
        <v>1</v>
      </c>
      <c r="U64" s="45">
        <f t="shared" si="8"/>
        <v>1</v>
      </c>
      <c r="V64" s="45">
        <f t="shared" si="4"/>
        <v>1</v>
      </c>
      <c r="W64" s="45">
        <f t="shared" si="9"/>
        <v>1</v>
      </c>
      <c r="X64" s="7" t="s">
        <v>150</v>
      </c>
      <c r="Y64" s="7" t="s">
        <v>57</v>
      </c>
      <c r="Z64" s="7" t="s">
        <v>57</v>
      </c>
      <c r="AA64" s="7" t="s">
        <v>808</v>
      </c>
      <c r="AB64" s="7" t="s">
        <v>808</v>
      </c>
      <c r="AC64" s="7"/>
      <c r="AD64" s="7"/>
      <c r="AE64" s="7" t="s">
        <v>1893</v>
      </c>
      <c r="AF64" s="7"/>
      <c r="AG64" s="7"/>
    </row>
    <row r="65" spans="1:33">
      <c r="A65" s="549" t="s">
        <v>777</v>
      </c>
      <c r="B65" s="549" t="s">
        <v>685</v>
      </c>
      <c r="C65" s="549" t="s">
        <v>1894</v>
      </c>
      <c r="D65" s="549" t="s">
        <v>143</v>
      </c>
      <c r="E65" s="550" t="s">
        <v>160</v>
      </c>
      <c r="F65" s="549" t="s">
        <v>1738</v>
      </c>
      <c r="G65" s="549">
        <v>15.544499999999999</v>
      </c>
      <c r="H65" s="549">
        <v>120.8091</v>
      </c>
      <c r="I65" s="549" t="str">
        <f t="shared" si="6"/>
        <v>15.5445, 120.8091</v>
      </c>
      <c r="J65" s="549" t="s">
        <v>80</v>
      </c>
      <c r="K65" s="541" t="s">
        <v>27</v>
      </c>
      <c r="L65" s="549" t="s">
        <v>1610</v>
      </c>
      <c r="M65" s="81" t="s">
        <v>212</v>
      </c>
      <c r="N65" s="7" t="s">
        <v>1895</v>
      </c>
      <c r="O65" s="359">
        <v>45855</v>
      </c>
      <c r="P65" s="651">
        <v>45883</v>
      </c>
      <c r="Q65" s="553">
        <v>45888</v>
      </c>
      <c r="R65" s="553">
        <v>45888</v>
      </c>
      <c r="S65" s="553">
        <v>45888</v>
      </c>
      <c r="T65" s="554">
        <f t="shared" si="7"/>
        <v>20</v>
      </c>
      <c r="U65" s="554">
        <f t="shared" si="8"/>
        <v>3</v>
      </c>
      <c r="V65" s="45">
        <f t="shared" si="4"/>
        <v>1</v>
      </c>
      <c r="W65" s="554">
        <f t="shared" si="9"/>
        <v>1</v>
      </c>
      <c r="X65" s="7" t="s">
        <v>150</v>
      </c>
      <c r="Y65" s="549" t="s">
        <v>57</v>
      </c>
      <c r="Z65" s="549" t="s">
        <v>57</v>
      </c>
      <c r="AA65" s="549"/>
      <c r="AB65" s="549"/>
      <c r="AC65" s="549"/>
      <c r="AD65" s="549"/>
      <c r="AE65" s="566" t="s">
        <v>1896</v>
      </c>
      <c r="AF65" s="549" t="s">
        <v>953</v>
      </c>
      <c r="AG65" s="549"/>
    </row>
    <row r="66" spans="1:33">
      <c r="A66" s="7" t="s">
        <v>777</v>
      </c>
      <c r="B66" s="7" t="s">
        <v>274</v>
      </c>
      <c r="C66" s="7" t="s">
        <v>1300</v>
      </c>
      <c r="D66" s="7" t="s">
        <v>143</v>
      </c>
      <c r="E66" s="98" t="s">
        <v>185</v>
      </c>
      <c r="F66" s="7" t="s">
        <v>1738</v>
      </c>
      <c r="G66" s="7">
        <v>15.718769999999999</v>
      </c>
      <c r="H66" s="7">
        <v>121.10781</v>
      </c>
      <c r="I66" s="7" t="str">
        <f t="shared" ref="I66:I97" si="10">CONCATENATE(G66,","," ",H66)</f>
        <v>15.71877, 121.10781</v>
      </c>
      <c r="J66" s="7" t="s">
        <v>83</v>
      </c>
      <c r="K66" s="7" t="s">
        <v>26</v>
      </c>
      <c r="L66" s="7" t="s">
        <v>1610</v>
      </c>
      <c r="M66" s="7" t="s">
        <v>212</v>
      </c>
      <c r="N66" s="549" t="s">
        <v>1897</v>
      </c>
      <c r="O66" s="553">
        <v>45967</v>
      </c>
      <c r="P66" s="33">
        <v>45970</v>
      </c>
      <c r="Q66" s="33">
        <v>45980</v>
      </c>
      <c r="R66" s="33">
        <v>45980</v>
      </c>
      <c r="S66" s="33">
        <v>45980</v>
      </c>
      <c r="T66" s="45">
        <f t="shared" ref="T66:T97" si="11">IF(
    OR(ISBLANK(O66), ISBLANK(P66)),
    "",
    MAX(1, IF(
        NETWORKDAYS(O66, P66) &lt;= 0,
        1,
        NETWORKDAYS(O66, P66) - IF(O66 = P66, 0, 1)
    ))
)</f>
        <v>1</v>
      </c>
      <c r="U66" s="45">
        <f t="shared" ref="U66:U97" si="12">IF(
    OR(ISBLANK(P66), ISBLANK(Q66)),
    "",
    MAX(1, IF(
        NETWORKDAYS(P66, Q66) &lt;= 0,
        1,
        NETWORKDAYS(P66, Q66) - IF(P66 = Q66, 0, 1)
    ))
)</f>
        <v>7</v>
      </c>
      <c r="V66" s="45">
        <f t="shared" si="4"/>
        <v>1</v>
      </c>
      <c r="W66" s="45">
        <f t="shared" ref="W66:W91" si="13">IF(
    OR(ISBLANK(R66), ISBLANK(S66)),
    "",
    MAX(1, IF(
        NETWORKDAYS(R66, S66) &lt;= 0,
        1,
        NETWORKDAYS(R66, S66) - IF(R66 = S66, 0, 1)
    ))
)</f>
        <v>1</v>
      </c>
      <c r="X66" s="7" t="s">
        <v>150</v>
      </c>
      <c r="Y66" s="7" t="s">
        <v>50</v>
      </c>
      <c r="Z66" s="7" t="s">
        <v>57</v>
      </c>
      <c r="AA66" s="7"/>
      <c r="AB66" s="7"/>
      <c r="AC66" s="7"/>
      <c r="AD66" s="7"/>
      <c r="AE66" s="7" t="s">
        <v>1898</v>
      </c>
      <c r="AF66" s="7"/>
      <c r="AG66" s="7"/>
    </row>
    <row r="67" spans="1:33" ht="15.75">
      <c r="A67" s="135" t="s">
        <v>777</v>
      </c>
      <c r="B67" s="135" t="s">
        <v>278</v>
      </c>
      <c r="C67" s="135" t="s">
        <v>1899</v>
      </c>
      <c r="D67" s="135" t="s">
        <v>143</v>
      </c>
      <c r="E67" s="547" t="s">
        <v>233</v>
      </c>
      <c r="F67" s="135" t="s">
        <v>1738</v>
      </c>
      <c r="G67" s="135">
        <v>15.310642</v>
      </c>
      <c r="H67" s="135">
        <v>120.84886400000001</v>
      </c>
      <c r="I67" s="135" t="str">
        <f t="shared" si="10"/>
        <v>15.310642, 120.848864</v>
      </c>
      <c r="J67" s="135" t="s">
        <v>80</v>
      </c>
      <c r="K67" s="101" t="s">
        <v>30</v>
      </c>
      <c r="L67" s="135" t="s">
        <v>1610</v>
      </c>
      <c r="M67" s="652" t="s">
        <v>212</v>
      </c>
      <c r="N67" s="7" t="s">
        <v>1900</v>
      </c>
      <c r="O67" s="359">
        <v>45877</v>
      </c>
      <c r="P67" s="556">
        <v>45877</v>
      </c>
      <c r="Q67" s="546">
        <v>45881</v>
      </c>
      <c r="R67" s="546">
        <v>45882</v>
      </c>
      <c r="S67" s="546">
        <v>45882</v>
      </c>
      <c r="T67" s="423">
        <f t="shared" si="11"/>
        <v>1</v>
      </c>
      <c r="U67" s="423">
        <f t="shared" si="12"/>
        <v>2</v>
      </c>
      <c r="V67" s="45">
        <f t="shared" ref="V67:V130" si="14">IF(
  OR(IF(Q67&lt;&gt;"", Q67, P67)="", R67=""),
  "",
  MAX(1,
    IF(
      NETWORKDAYS(IF(Q67&lt;&gt;"", Q67, P67), R67) &lt;= 0,
      1,
      NETWORKDAYS(IF(Q67&lt;&gt;"", Q67, P67), R67) - IF(IF(Q67&lt;&gt;"", Q67, P67)=R67, 0, 1)
    )
  )
)</f>
        <v>1</v>
      </c>
      <c r="W67" s="423">
        <f t="shared" si="13"/>
        <v>1</v>
      </c>
      <c r="X67" s="7" t="s">
        <v>150</v>
      </c>
      <c r="Y67" s="135" t="s">
        <v>57</v>
      </c>
      <c r="Z67" s="135" t="s">
        <v>57</v>
      </c>
      <c r="AA67" s="135"/>
      <c r="AB67" s="135"/>
      <c r="AC67" s="135"/>
      <c r="AD67" s="135"/>
      <c r="AE67" s="565" t="s">
        <v>1901</v>
      </c>
      <c r="AF67" s="135" t="s">
        <v>953</v>
      </c>
      <c r="AG67" s="135"/>
    </row>
    <row r="68" spans="1:33" ht="75">
      <c r="A68" s="7" t="s">
        <v>777</v>
      </c>
      <c r="B68" s="7" t="s">
        <v>344</v>
      </c>
      <c r="C68" s="7" t="s">
        <v>1305</v>
      </c>
      <c r="D68" s="7" t="s">
        <v>143</v>
      </c>
      <c r="E68" s="98" t="s">
        <v>233</v>
      </c>
      <c r="F68" s="7" t="s">
        <v>1738</v>
      </c>
      <c r="G68" s="7">
        <v>15.270087</v>
      </c>
      <c r="H68" s="7">
        <v>120.9132</v>
      </c>
      <c r="I68" s="7" t="str">
        <f t="shared" si="10"/>
        <v>15.270087, 120.9132</v>
      </c>
      <c r="J68" s="7" t="s">
        <v>74</v>
      </c>
      <c r="K68" s="101" t="s">
        <v>30</v>
      </c>
      <c r="L68" s="7" t="s">
        <v>1610</v>
      </c>
      <c r="M68" s="97" t="s">
        <v>212</v>
      </c>
      <c r="N68" s="135" t="s">
        <v>1902</v>
      </c>
      <c r="O68" s="546">
        <v>45693</v>
      </c>
      <c r="P68" s="33">
        <v>45698</v>
      </c>
      <c r="Q68" s="33">
        <v>45699</v>
      </c>
      <c r="R68" s="33">
        <v>45700</v>
      </c>
      <c r="S68" s="33">
        <v>45701</v>
      </c>
      <c r="T68" s="45">
        <f t="shared" si="11"/>
        <v>3</v>
      </c>
      <c r="U68" s="45">
        <f t="shared" si="12"/>
        <v>1</v>
      </c>
      <c r="V68" s="45">
        <f t="shared" si="14"/>
        <v>1</v>
      </c>
      <c r="W68" s="45">
        <f t="shared" si="13"/>
        <v>1</v>
      </c>
      <c r="X68" s="7" t="s">
        <v>150</v>
      </c>
      <c r="Y68" s="7" t="s">
        <v>57</v>
      </c>
      <c r="Z68" s="7" t="s">
        <v>57</v>
      </c>
      <c r="AA68" s="7" t="s">
        <v>808</v>
      </c>
      <c r="AB68" s="7" t="s">
        <v>808</v>
      </c>
      <c r="AC68" s="7" t="s">
        <v>808</v>
      </c>
      <c r="AD68" s="7" t="s">
        <v>808</v>
      </c>
      <c r="AE68" s="7" t="s">
        <v>1903</v>
      </c>
      <c r="AF68" s="7"/>
      <c r="AG68" s="7"/>
    </row>
    <row r="69" spans="1:33">
      <c r="A69" s="7" t="s">
        <v>777</v>
      </c>
      <c r="B69" s="7" t="s">
        <v>399</v>
      </c>
      <c r="C69" s="7" t="s">
        <v>1315</v>
      </c>
      <c r="D69" s="7" t="s">
        <v>143</v>
      </c>
      <c r="E69" s="98" t="s">
        <v>233</v>
      </c>
      <c r="F69" s="7" t="s">
        <v>1738</v>
      </c>
      <c r="G69" s="7">
        <v>15.3964</v>
      </c>
      <c r="H69" s="7">
        <v>120.971</v>
      </c>
      <c r="I69" s="7" t="str">
        <f t="shared" si="10"/>
        <v>15.3964, 120.971</v>
      </c>
      <c r="J69" s="7" t="s">
        <v>75</v>
      </c>
      <c r="K69" s="7" t="s">
        <v>28</v>
      </c>
      <c r="L69" s="7" t="s">
        <v>1610</v>
      </c>
      <c r="M69" s="97" t="s">
        <v>212</v>
      </c>
      <c r="N69" s="7" t="s">
        <v>1904</v>
      </c>
      <c r="O69" s="33">
        <v>45730</v>
      </c>
      <c r="P69" s="33">
        <v>45734</v>
      </c>
      <c r="Q69" s="33">
        <v>45734</v>
      </c>
      <c r="R69" s="33">
        <v>45734</v>
      </c>
      <c r="S69" s="33">
        <v>45735</v>
      </c>
      <c r="T69" s="45">
        <f t="shared" si="11"/>
        <v>2</v>
      </c>
      <c r="U69" s="45">
        <f t="shared" si="12"/>
        <v>1</v>
      </c>
      <c r="V69" s="45">
        <f t="shared" si="14"/>
        <v>1</v>
      </c>
      <c r="W69" s="45">
        <f t="shared" si="13"/>
        <v>1</v>
      </c>
      <c r="X69" s="7" t="s">
        <v>150</v>
      </c>
      <c r="Y69" s="7" t="s">
        <v>50</v>
      </c>
      <c r="Z69" s="7" t="s">
        <v>50</v>
      </c>
      <c r="AA69" s="7" t="s">
        <v>808</v>
      </c>
      <c r="AB69" s="7" t="s">
        <v>808</v>
      </c>
      <c r="AC69" s="7" t="s">
        <v>808</v>
      </c>
      <c r="AD69" s="7" t="s">
        <v>808</v>
      </c>
      <c r="AE69" s="7"/>
      <c r="AF69" s="7"/>
      <c r="AG69" s="7"/>
    </row>
    <row r="70" spans="1:33">
      <c r="A70" s="7" t="s">
        <v>777</v>
      </c>
      <c r="B70" s="7" t="s">
        <v>405</v>
      </c>
      <c r="C70" s="7" t="s">
        <v>1905</v>
      </c>
      <c r="D70" s="7" t="s">
        <v>143</v>
      </c>
      <c r="E70" s="98" t="s">
        <v>185</v>
      </c>
      <c r="F70" s="7" t="s">
        <v>1738</v>
      </c>
      <c r="G70" s="7">
        <v>15.3954</v>
      </c>
      <c r="H70" s="7">
        <v>120.973</v>
      </c>
      <c r="I70" s="7" t="str">
        <f t="shared" si="10"/>
        <v>15.3954, 120.973</v>
      </c>
      <c r="J70" s="7" t="s">
        <v>75</v>
      </c>
      <c r="K70" s="7" t="s">
        <v>28</v>
      </c>
      <c r="L70" s="7" t="s">
        <v>1610</v>
      </c>
      <c r="M70" s="97" t="s">
        <v>212</v>
      </c>
      <c r="N70" s="7" t="s">
        <v>1906</v>
      </c>
      <c r="O70" s="33">
        <v>45728</v>
      </c>
      <c r="P70" s="33">
        <v>45731</v>
      </c>
      <c r="Q70" s="33">
        <v>45734</v>
      </c>
      <c r="R70" s="33">
        <v>45734</v>
      </c>
      <c r="S70" s="33">
        <v>45735</v>
      </c>
      <c r="T70" s="45">
        <f t="shared" si="11"/>
        <v>2</v>
      </c>
      <c r="U70" s="45">
        <f t="shared" si="12"/>
        <v>1</v>
      </c>
      <c r="V70" s="45">
        <f t="shared" si="14"/>
        <v>1</v>
      </c>
      <c r="W70" s="45">
        <f t="shared" si="13"/>
        <v>1</v>
      </c>
      <c r="X70" s="7" t="s">
        <v>150</v>
      </c>
      <c r="Y70" s="7" t="s">
        <v>50</v>
      </c>
      <c r="Z70" s="7" t="s">
        <v>50</v>
      </c>
      <c r="AA70" s="7" t="s">
        <v>808</v>
      </c>
      <c r="AB70" s="7" t="s">
        <v>808</v>
      </c>
      <c r="AC70" s="7" t="s">
        <v>808</v>
      </c>
      <c r="AD70" s="7" t="s">
        <v>808</v>
      </c>
      <c r="AE70" s="7"/>
      <c r="AF70" s="7"/>
      <c r="AG70" s="7"/>
    </row>
    <row r="71" spans="1:33" ht="30">
      <c r="A71" s="7" t="s">
        <v>777</v>
      </c>
      <c r="B71" s="7" t="s">
        <v>1907</v>
      </c>
      <c r="C71" s="7" t="s">
        <v>1234</v>
      </c>
      <c r="D71" s="7" t="s">
        <v>143</v>
      </c>
      <c r="E71" s="98" t="s">
        <v>160</v>
      </c>
      <c r="F71" s="7" t="s">
        <v>1738</v>
      </c>
      <c r="G71" s="7">
        <v>15.5891</v>
      </c>
      <c r="H71" s="7">
        <v>120.8691</v>
      </c>
      <c r="I71" s="7" t="str">
        <f t="shared" si="10"/>
        <v>15.5891, 120.8691</v>
      </c>
      <c r="J71" s="7" t="s">
        <v>82</v>
      </c>
      <c r="K71" s="101" t="s">
        <v>27</v>
      </c>
      <c r="L71" s="7" t="s">
        <v>1610</v>
      </c>
      <c r="M71" s="97" t="s">
        <v>212</v>
      </c>
      <c r="N71" s="7" t="s">
        <v>1908</v>
      </c>
      <c r="O71" s="33">
        <v>45945</v>
      </c>
      <c r="P71" s="33">
        <v>45946</v>
      </c>
      <c r="Q71" s="33">
        <v>45947</v>
      </c>
      <c r="R71" s="33">
        <v>45947</v>
      </c>
      <c r="S71" s="33">
        <v>45947</v>
      </c>
      <c r="T71" s="45">
        <f t="shared" si="11"/>
        <v>1</v>
      </c>
      <c r="U71" s="45">
        <f t="shared" si="12"/>
        <v>1</v>
      </c>
      <c r="V71" s="45">
        <f t="shared" si="14"/>
        <v>1</v>
      </c>
      <c r="W71" s="45">
        <f t="shared" si="13"/>
        <v>1</v>
      </c>
      <c r="X71" s="7" t="s">
        <v>150</v>
      </c>
      <c r="Y71" s="7" t="s">
        <v>50</v>
      </c>
      <c r="Z71" s="7" t="s">
        <v>57</v>
      </c>
      <c r="AA71" s="7" t="s">
        <v>808</v>
      </c>
      <c r="AB71" s="7"/>
      <c r="AC71" s="7"/>
      <c r="AD71" s="7"/>
      <c r="AE71" s="7" t="s">
        <v>1909</v>
      </c>
      <c r="AF71" s="7"/>
      <c r="AG71" s="7"/>
    </row>
    <row r="72" spans="1:33" ht="16.5">
      <c r="A72" s="7" t="s">
        <v>777</v>
      </c>
      <c r="B72" s="7" t="s">
        <v>1910</v>
      </c>
      <c r="C72" s="7" t="s">
        <v>1318</v>
      </c>
      <c r="D72" s="7" t="s">
        <v>143</v>
      </c>
      <c r="E72" s="98" t="s">
        <v>185</v>
      </c>
      <c r="F72" s="7" t="s">
        <v>1738</v>
      </c>
      <c r="G72" s="7">
        <v>15.7598</v>
      </c>
      <c r="H72" s="7">
        <v>120.8967</v>
      </c>
      <c r="I72" s="7" t="s">
        <v>956</v>
      </c>
      <c r="J72" s="7" t="s">
        <v>82</v>
      </c>
      <c r="K72" s="101" t="s">
        <v>29</v>
      </c>
      <c r="L72" s="7" t="s">
        <v>1610</v>
      </c>
      <c r="M72" s="97" t="s">
        <v>212</v>
      </c>
      <c r="N72" s="675" t="s">
        <v>1911</v>
      </c>
      <c r="O72" s="33">
        <v>45945</v>
      </c>
      <c r="P72" s="33">
        <v>45946</v>
      </c>
      <c r="Q72" s="33">
        <v>45947</v>
      </c>
      <c r="R72" s="33">
        <v>45947</v>
      </c>
      <c r="S72" s="33">
        <v>45947</v>
      </c>
      <c r="T72" s="45">
        <f t="shared" si="11"/>
        <v>1</v>
      </c>
      <c r="U72" s="45">
        <f t="shared" si="12"/>
        <v>1</v>
      </c>
      <c r="V72" s="45">
        <f t="shared" si="14"/>
        <v>1</v>
      </c>
      <c r="W72" s="45">
        <f t="shared" si="13"/>
        <v>1</v>
      </c>
      <c r="X72" s="7" t="s">
        <v>150</v>
      </c>
      <c r="Y72" s="81" t="s">
        <v>50</v>
      </c>
      <c r="Z72" s="81" t="s">
        <v>50</v>
      </c>
      <c r="AA72" s="7"/>
      <c r="AB72" s="7"/>
      <c r="AC72" s="7"/>
      <c r="AD72" s="7"/>
      <c r="AE72" s="360"/>
      <c r="AF72" s="7"/>
      <c r="AG72" s="7"/>
    </row>
    <row r="73" spans="1:33">
      <c r="A73" s="360" t="s">
        <v>777</v>
      </c>
      <c r="B73" s="360" t="s">
        <v>226</v>
      </c>
      <c r="C73" s="360" t="s">
        <v>1332</v>
      </c>
      <c r="D73" s="360" t="s">
        <v>143</v>
      </c>
      <c r="E73" s="534" t="s">
        <v>160</v>
      </c>
      <c r="F73" s="360" t="s">
        <v>1738</v>
      </c>
      <c r="G73" s="360">
        <v>15.641999999999999</v>
      </c>
      <c r="H73" s="360">
        <v>120.90470000000001</v>
      </c>
      <c r="I73" s="360" t="str">
        <f t="shared" ref="I73:I104" si="15">CONCATENATE(G73,","," ",H73)</f>
        <v>15.642, 120.9047</v>
      </c>
      <c r="J73" s="360" t="s">
        <v>82</v>
      </c>
      <c r="K73" s="541" t="s">
        <v>27</v>
      </c>
      <c r="L73" s="360" t="s">
        <v>1610</v>
      </c>
      <c r="M73" s="623" t="s">
        <v>212</v>
      </c>
      <c r="N73" s="360" t="s">
        <v>1912</v>
      </c>
      <c r="O73" s="536">
        <v>45937</v>
      </c>
      <c r="P73" s="536">
        <v>45947</v>
      </c>
      <c r="Q73" s="536">
        <v>45947</v>
      </c>
      <c r="R73" s="536">
        <v>45947</v>
      </c>
      <c r="S73" s="536">
        <v>45950</v>
      </c>
      <c r="T73" s="354">
        <f t="shared" si="11"/>
        <v>8</v>
      </c>
      <c r="U73" s="354">
        <f t="shared" si="12"/>
        <v>1</v>
      </c>
      <c r="V73" s="45">
        <f t="shared" si="14"/>
        <v>1</v>
      </c>
      <c r="W73" s="354">
        <f t="shared" si="13"/>
        <v>1</v>
      </c>
      <c r="X73" s="7" t="s">
        <v>150</v>
      </c>
      <c r="Y73" s="360" t="s">
        <v>57</v>
      </c>
      <c r="Z73" s="360" t="s">
        <v>50</v>
      </c>
      <c r="AA73" s="360"/>
      <c r="AB73" s="360"/>
      <c r="AC73" s="360"/>
      <c r="AD73" s="331"/>
      <c r="AE73" s="7" t="s">
        <v>1913</v>
      </c>
      <c r="AF73" s="623"/>
      <c r="AG73" s="360"/>
    </row>
    <row r="74" spans="1:33">
      <c r="A74" s="7" t="s">
        <v>777</v>
      </c>
      <c r="B74" s="7" t="s">
        <v>283</v>
      </c>
      <c r="C74" s="7" t="s">
        <v>1336</v>
      </c>
      <c r="D74" s="7" t="s">
        <v>143</v>
      </c>
      <c r="E74" s="98" t="s">
        <v>185</v>
      </c>
      <c r="F74" s="7" t="s">
        <v>1738</v>
      </c>
      <c r="G74" s="7">
        <v>15.7863091</v>
      </c>
      <c r="H74" s="7">
        <v>120.8106354</v>
      </c>
      <c r="I74" s="7" t="str">
        <f t="shared" si="15"/>
        <v>15.7863091, 120.8106354</v>
      </c>
      <c r="J74" s="7" t="s">
        <v>81</v>
      </c>
      <c r="K74" s="7" t="s">
        <v>29</v>
      </c>
      <c r="L74" s="7" t="s">
        <v>1610</v>
      </c>
      <c r="M74" s="7" t="s">
        <v>212</v>
      </c>
      <c r="N74" s="7" t="s">
        <v>1914</v>
      </c>
      <c r="O74" s="33">
        <v>45902</v>
      </c>
      <c r="P74" s="33">
        <v>45914</v>
      </c>
      <c r="Q74" s="33">
        <v>45916</v>
      </c>
      <c r="R74" s="33">
        <v>45916</v>
      </c>
      <c r="S74" s="33">
        <v>45918</v>
      </c>
      <c r="T74" s="45">
        <f t="shared" si="11"/>
        <v>8</v>
      </c>
      <c r="U74" s="45">
        <f t="shared" si="12"/>
        <v>1</v>
      </c>
      <c r="V74" s="45">
        <f t="shared" si="14"/>
        <v>1</v>
      </c>
      <c r="W74" s="45">
        <f t="shared" si="13"/>
        <v>2</v>
      </c>
      <c r="X74" s="7" t="s">
        <v>150</v>
      </c>
      <c r="Y74" s="7" t="s">
        <v>57</v>
      </c>
      <c r="Z74" s="7" t="s">
        <v>57</v>
      </c>
      <c r="AA74" s="7"/>
      <c r="AB74" s="7"/>
      <c r="AC74" s="7"/>
      <c r="AD74" s="7"/>
      <c r="AE74" s="135" t="s">
        <v>1876</v>
      </c>
      <c r="AF74" s="7" t="s">
        <v>953</v>
      </c>
      <c r="AG74" s="7"/>
    </row>
    <row r="75" spans="1:33">
      <c r="A75" s="7" t="s">
        <v>777</v>
      </c>
      <c r="B75" s="7" t="s">
        <v>743</v>
      </c>
      <c r="C75" s="7" t="s">
        <v>1185</v>
      </c>
      <c r="D75" s="7" t="s">
        <v>143</v>
      </c>
      <c r="E75" s="98" t="s">
        <v>160</v>
      </c>
      <c r="F75" s="7" t="s">
        <v>1738</v>
      </c>
      <c r="G75" s="7">
        <v>15.4315</v>
      </c>
      <c r="H75" s="7">
        <v>120.8028</v>
      </c>
      <c r="I75" s="7" t="str">
        <f t="shared" si="15"/>
        <v>15.4315, 120.8028</v>
      </c>
      <c r="J75" s="7" t="s">
        <v>81</v>
      </c>
      <c r="K75" s="7" t="s">
        <v>27</v>
      </c>
      <c r="L75" s="7" t="s">
        <v>1610</v>
      </c>
      <c r="M75" s="7" t="s">
        <v>212</v>
      </c>
      <c r="N75" s="7" t="s">
        <v>1915</v>
      </c>
      <c r="O75" s="33">
        <v>45902</v>
      </c>
      <c r="P75" s="33">
        <v>45906</v>
      </c>
      <c r="Q75" s="33">
        <v>45916</v>
      </c>
      <c r="R75" s="33">
        <v>45916</v>
      </c>
      <c r="S75" s="33">
        <v>45918</v>
      </c>
      <c r="T75" s="45">
        <f t="shared" si="11"/>
        <v>3</v>
      </c>
      <c r="U75" s="45">
        <f t="shared" si="12"/>
        <v>6</v>
      </c>
      <c r="V75" s="45">
        <f t="shared" si="14"/>
        <v>1</v>
      </c>
      <c r="W75" s="45">
        <f t="shared" si="13"/>
        <v>2</v>
      </c>
      <c r="X75" s="7" t="s">
        <v>150</v>
      </c>
      <c r="Y75" s="7" t="s">
        <v>57</v>
      </c>
      <c r="Z75" s="7" t="s">
        <v>57</v>
      </c>
      <c r="AA75" s="7"/>
      <c r="AB75" s="7"/>
      <c r="AC75" s="7"/>
      <c r="AD75" s="7"/>
      <c r="AE75" s="7"/>
      <c r="AF75" s="7" t="s">
        <v>953</v>
      </c>
      <c r="AG75" s="7"/>
    </row>
    <row r="76" spans="1:33">
      <c r="A76" s="135" t="s">
        <v>778</v>
      </c>
      <c r="B76" s="135" t="s">
        <v>1916</v>
      </c>
      <c r="C76" s="135" t="s">
        <v>1917</v>
      </c>
      <c r="D76" s="135" t="s">
        <v>143</v>
      </c>
      <c r="E76" s="547" t="s">
        <v>160</v>
      </c>
      <c r="F76" s="135" t="s">
        <v>1738</v>
      </c>
      <c r="G76" s="135">
        <v>15.147360000000001</v>
      </c>
      <c r="H76" s="135">
        <v>120.58368</v>
      </c>
      <c r="I76" s="135" t="str">
        <f t="shared" si="15"/>
        <v>15.14736, 120.58368</v>
      </c>
      <c r="J76" s="135" t="s">
        <v>79</v>
      </c>
      <c r="K76" s="101" t="s">
        <v>33</v>
      </c>
      <c r="L76" s="135" t="s">
        <v>28</v>
      </c>
      <c r="M76" s="135" t="s">
        <v>148</v>
      </c>
      <c r="N76" s="135" t="s">
        <v>1918</v>
      </c>
      <c r="O76" s="546">
        <v>45848</v>
      </c>
      <c r="P76" s="546">
        <v>45850</v>
      </c>
      <c r="Q76" s="546">
        <v>45854</v>
      </c>
      <c r="R76" s="546">
        <v>45854</v>
      </c>
      <c r="S76" s="546">
        <v>45855</v>
      </c>
      <c r="T76" s="423">
        <f t="shared" si="11"/>
        <v>1</v>
      </c>
      <c r="U76" s="423">
        <f t="shared" si="12"/>
        <v>2</v>
      </c>
      <c r="V76" s="45">
        <f t="shared" si="14"/>
        <v>1</v>
      </c>
      <c r="W76" s="423">
        <f t="shared" si="13"/>
        <v>1</v>
      </c>
      <c r="X76" s="7" t="s">
        <v>150</v>
      </c>
      <c r="Y76" s="135" t="s">
        <v>57</v>
      </c>
      <c r="Z76" s="135" t="s">
        <v>57</v>
      </c>
      <c r="AA76" s="135" t="s">
        <v>69</v>
      </c>
      <c r="AB76" s="135" t="s">
        <v>69</v>
      </c>
      <c r="AC76" s="135" t="s">
        <v>69</v>
      </c>
      <c r="AD76" s="135" t="s">
        <v>69</v>
      </c>
      <c r="AE76" s="135" t="s">
        <v>1919</v>
      </c>
      <c r="AF76" s="135" t="s">
        <v>953</v>
      </c>
      <c r="AG76" s="135"/>
    </row>
    <row r="77" spans="1:33" ht="15.75">
      <c r="A77" s="7" t="s">
        <v>778</v>
      </c>
      <c r="B77" s="7" t="s">
        <v>1438</v>
      </c>
      <c r="C77" s="7" t="s">
        <v>1439</v>
      </c>
      <c r="D77" s="7" t="s">
        <v>143</v>
      </c>
      <c r="E77" s="100" t="s">
        <v>144</v>
      </c>
      <c r="F77" s="7" t="s">
        <v>1738</v>
      </c>
      <c r="G77" s="7">
        <v>15.09998</v>
      </c>
      <c r="H77" s="7">
        <v>120.77719999999999</v>
      </c>
      <c r="I77" s="7" t="str">
        <f t="shared" si="15"/>
        <v>15.09998, 120.7772</v>
      </c>
      <c r="J77" s="7" t="s">
        <v>79</v>
      </c>
      <c r="K77" s="101" t="s">
        <v>32</v>
      </c>
      <c r="L77" s="7" t="s">
        <v>28</v>
      </c>
      <c r="M77" s="7" t="s">
        <v>148</v>
      </c>
      <c r="N77" s="7" t="s">
        <v>1920</v>
      </c>
      <c r="O77" s="33">
        <v>45848</v>
      </c>
      <c r="P77" s="563">
        <v>45849</v>
      </c>
      <c r="Q77" s="563">
        <v>45854</v>
      </c>
      <c r="R77" s="563">
        <v>45854</v>
      </c>
      <c r="S77" s="33">
        <v>45855</v>
      </c>
      <c r="T77" s="45">
        <f t="shared" si="11"/>
        <v>1</v>
      </c>
      <c r="U77" s="45">
        <f t="shared" si="12"/>
        <v>3</v>
      </c>
      <c r="V77" s="45">
        <f t="shared" si="14"/>
        <v>1</v>
      </c>
      <c r="W77" s="45">
        <f t="shared" si="13"/>
        <v>1</v>
      </c>
      <c r="X77" s="7" t="s">
        <v>150</v>
      </c>
      <c r="Y77" s="7" t="s">
        <v>57</v>
      </c>
      <c r="Z77" s="7" t="s">
        <v>57</v>
      </c>
      <c r="AA77" s="7" t="s">
        <v>69</v>
      </c>
      <c r="AB77" s="7" t="s">
        <v>69</v>
      </c>
      <c r="AC77" s="7" t="s">
        <v>69</v>
      </c>
      <c r="AD77" s="7" t="s">
        <v>69</v>
      </c>
      <c r="AE77" s="451" t="s">
        <v>1921</v>
      </c>
      <c r="AF77" s="7" t="s">
        <v>953</v>
      </c>
      <c r="AG77" s="7"/>
    </row>
    <row r="78" spans="1:33">
      <c r="A78" s="360" t="s">
        <v>778</v>
      </c>
      <c r="B78" s="360" t="s">
        <v>1343</v>
      </c>
      <c r="C78" s="360" t="s">
        <v>1344</v>
      </c>
      <c r="D78" s="360" t="s">
        <v>143</v>
      </c>
      <c r="E78" s="534" t="s">
        <v>233</v>
      </c>
      <c r="F78" s="360" t="s">
        <v>1738</v>
      </c>
      <c r="G78" s="360">
        <v>14.92827065</v>
      </c>
      <c r="H78" s="360">
        <v>120.76341854</v>
      </c>
      <c r="I78" s="360" t="str">
        <f t="shared" si="15"/>
        <v>14.92827065, 120.76341854</v>
      </c>
      <c r="J78" s="360" t="s">
        <v>74</v>
      </c>
      <c r="K78" s="541" t="s">
        <v>34</v>
      </c>
      <c r="L78" s="360" t="s">
        <v>1838</v>
      </c>
      <c r="M78" s="360" t="s">
        <v>148</v>
      </c>
      <c r="N78" s="360" t="s">
        <v>1922</v>
      </c>
      <c r="O78" s="536">
        <v>45694</v>
      </c>
      <c r="P78" s="562">
        <v>45697</v>
      </c>
      <c r="Q78" s="360"/>
      <c r="R78" s="562">
        <v>45699</v>
      </c>
      <c r="S78" s="536">
        <v>45701</v>
      </c>
      <c r="T78" s="354">
        <f t="shared" si="11"/>
        <v>1</v>
      </c>
      <c r="U78" s="354" t="str">
        <f t="shared" si="12"/>
        <v/>
      </c>
      <c r="V78" s="45">
        <f t="shared" si="14"/>
        <v>1</v>
      </c>
      <c r="W78" s="354">
        <f t="shared" si="13"/>
        <v>2</v>
      </c>
      <c r="X78" s="7" t="s">
        <v>150</v>
      </c>
      <c r="Y78" s="360" t="s">
        <v>57</v>
      </c>
      <c r="Z78" s="360" t="s">
        <v>57</v>
      </c>
      <c r="AA78" s="360" t="s">
        <v>808</v>
      </c>
      <c r="AB78" s="360" t="s">
        <v>808</v>
      </c>
      <c r="AC78" s="360" t="s">
        <v>808</v>
      </c>
      <c r="AD78" s="360" t="s">
        <v>808</v>
      </c>
      <c r="AE78" s="564"/>
      <c r="AF78" s="360"/>
      <c r="AG78" s="360"/>
    </row>
    <row r="79" spans="1:33" ht="30">
      <c r="A79" s="7" t="s">
        <v>778</v>
      </c>
      <c r="B79" s="7" t="s">
        <v>1349</v>
      </c>
      <c r="C79" s="7" t="s">
        <v>1923</v>
      </c>
      <c r="D79" s="7" t="s">
        <v>143</v>
      </c>
      <c r="E79" s="98" t="s">
        <v>144</v>
      </c>
      <c r="F79" s="7" t="s">
        <v>1738</v>
      </c>
      <c r="G79" s="7">
        <v>15.189450000000001</v>
      </c>
      <c r="H79" s="7">
        <v>120.79130000000001</v>
      </c>
      <c r="I79" s="7" t="str">
        <f t="shared" si="15"/>
        <v>15.18945, 120.7913</v>
      </c>
      <c r="J79" s="7" t="s">
        <v>81</v>
      </c>
      <c r="K79" s="7" t="s">
        <v>32</v>
      </c>
      <c r="L79" s="7" t="s">
        <v>28</v>
      </c>
      <c r="M79" s="7" t="s">
        <v>148</v>
      </c>
      <c r="N79" s="7" t="s">
        <v>1924</v>
      </c>
      <c r="O79" s="33">
        <v>45916</v>
      </c>
      <c r="P79" s="33">
        <v>45917</v>
      </c>
      <c r="Q79" s="33">
        <v>45917</v>
      </c>
      <c r="R79" s="33">
        <v>45917</v>
      </c>
      <c r="S79" s="33">
        <v>45918</v>
      </c>
      <c r="T79" s="45">
        <f t="shared" si="11"/>
        <v>1</v>
      </c>
      <c r="U79" s="45">
        <f t="shared" si="12"/>
        <v>1</v>
      </c>
      <c r="V79" s="45">
        <f t="shared" si="14"/>
        <v>1</v>
      </c>
      <c r="W79" s="45">
        <f t="shared" si="13"/>
        <v>1</v>
      </c>
      <c r="X79" s="7" t="s">
        <v>150</v>
      </c>
      <c r="Y79" s="7" t="s">
        <v>57</v>
      </c>
      <c r="Z79" s="7" t="s">
        <v>57</v>
      </c>
      <c r="AA79" s="7" t="s">
        <v>69</v>
      </c>
      <c r="AB79" s="7" t="s">
        <v>69</v>
      </c>
      <c r="AC79" s="7" t="s">
        <v>69</v>
      </c>
      <c r="AD79" s="7" t="s">
        <v>69</v>
      </c>
      <c r="AE79" s="7" t="s">
        <v>1925</v>
      </c>
      <c r="AF79" s="7" t="s">
        <v>953</v>
      </c>
      <c r="AG79" s="7"/>
    </row>
    <row r="80" spans="1:33" ht="30">
      <c r="A80" s="549" t="s">
        <v>778</v>
      </c>
      <c r="B80" s="549" t="s">
        <v>1353</v>
      </c>
      <c r="C80" s="549" t="s">
        <v>1354</v>
      </c>
      <c r="D80" s="549" t="s">
        <v>143</v>
      </c>
      <c r="E80" s="550" t="s">
        <v>144</v>
      </c>
      <c r="F80" s="549" t="s">
        <v>1738</v>
      </c>
      <c r="G80" s="549">
        <v>14.993252010000001</v>
      </c>
      <c r="H80" s="549">
        <v>120.67140138000001</v>
      </c>
      <c r="I80" s="549" t="str">
        <f t="shared" si="15"/>
        <v>14.99325201, 120.67140138</v>
      </c>
      <c r="J80" s="549" t="s">
        <v>80</v>
      </c>
      <c r="K80" s="541" t="s">
        <v>35</v>
      </c>
      <c r="L80" s="549" t="s">
        <v>28</v>
      </c>
      <c r="M80" s="549" t="s">
        <v>148</v>
      </c>
      <c r="N80" s="549" t="s">
        <v>1926</v>
      </c>
      <c r="O80" s="553">
        <v>45881</v>
      </c>
      <c r="P80" s="553">
        <v>45884</v>
      </c>
      <c r="Q80" s="553">
        <v>45884</v>
      </c>
      <c r="R80" s="553">
        <v>45884</v>
      </c>
      <c r="S80" s="553">
        <v>45888</v>
      </c>
      <c r="T80" s="554">
        <f t="shared" si="11"/>
        <v>3</v>
      </c>
      <c r="U80" s="554">
        <f t="shared" si="12"/>
        <v>1</v>
      </c>
      <c r="V80" s="45">
        <f t="shared" si="14"/>
        <v>1</v>
      </c>
      <c r="W80" s="554">
        <f t="shared" si="13"/>
        <v>2</v>
      </c>
      <c r="X80" s="7" t="s">
        <v>150</v>
      </c>
      <c r="Y80" s="549" t="s">
        <v>50</v>
      </c>
      <c r="Z80" s="549" t="s">
        <v>57</v>
      </c>
      <c r="AA80" s="549" t="s">
        <v>679</v>
      </c>
      <c r="AB80" s="549"/>
      <c r="AC80" s="549"/>
      <c r="AD80" s="549"/>
      <c r="AE80" s="626" t="s">
        <v>1927</v>
      </c>
      <c r="AF80" s="549" t="s">
        <v>953</v>
      </c>
      <c r="AG80" s="549"/>
    </row>
    <row r="81" spans="1:33" ht="15.75">
      <c r="A81" s="7" t="s">
        <v>778</v>
      </c>
      <c r="B81" s="7" t="s">
        <v>1357</v>
      </c>
      <c r="C81" s="7" t="s">
        <v>1928</v>
      </c>
      <c r="D81" s="7" t="s">
        <v>143</v>
      </c>
      <c r="E81" s="98" t="s">
        <v>233</v>
      </c>
      <c r="F81" s="7" t="s">
        <v>1738</v>
      </c>
      <c r="G81" s="7">
        <v>15.09286</v>
      </c>
      <c r="H81" s="7">
        <v>120.8129</v>
      </c>
      <c r="I81" s="7" t="str">
        <f t="shared" si="15"/>
        <v>15.09286, 120.8129</v>
      </c>
      <c r="J81" s="7" t="s">
        <v>81</v>
      </c>
      <c r="K81" s="7" t="s">
        <v>32</v>
      </c>
      <c r="L81" s="7" t="s">
        <v>28</v>
      </c>
      <c r="M81" s="7" t="s">
        <v>148</v>
      </c>
      <c r="N81" s="7" t="s">
        <v>1929</v>
      </c>
      <c r="O81" s="33">
        <v>45916</v>
      </c>
      <c r="P81" s="33">
        <v>45917</v>
      </c>
      <c r="Q81" s="33">
        <v>45917</v>
      </c>
      <c r="R81" s="33">
        <v>45917</v>
      </c>
      <c r="S81" s="33">
        <v>45918</v>
      </c>
      <c r="T81" s="45">
        <f t="shared" si="11"/>
        <v>1</v>
      </c>
      <c r="U81" s="45">
        <f t="shared" si="12"/>
        <v>1</v>
      </c>
      <c r="V81" s="45">
        <f t="shared" si="14"/>
        <v>1</v>
      </c>
      <c r="W81" s="45">
        <f t="shared" si="13"/>
        <v>1</v>
      </c>
      <c r="X81" s="7" t="s">
        <v>150</v>
      </c>
      <c r="Y81" s="7" t="s">
        <v>57</v>
      </c>
      <c r="Z81" s="7" t="s">
        <v>57</v>
      </c>
      <c r="AA81" s="7" t="s">
        <v>69</v>
      </c>
      <c r="AB81" s="7" t="s">
        <v>69</v>
      </c>
      <c r="AC81" s="7" t="s">
        <v>69</v>
      </c>
      <c r="AD81" s="7" t="s">
        <v>69</v>
      </c>
      <c r="AE81" s="451" t="s">
        <v>1930</v>
      </c>
      <c r="AF81" s="7" t="s">
        <v>953</v>
      </c>
      <c r="AG81" s="7"/>
    </row>
    <row r="82" spans="1:33" ht="30">
      <c r="A82" s="135" t="s">
        <v>778</v>
      </c>
      <c r="B82" s="135" t="s">
        <v>1373</v>
      </c>
      <c r="C82" s="135" t="s">
        <v>1931</v>
      </c>
      <c r="D82" s="135" t="s">
        <v>143</v>
      </c>
      <c r="E82" s="547" t="s">
        <v>185</v>
      </c>
      <c r="F82" s="135" t="s">
        <v>1738</v>
      </c>
      <c r="G82" s="135">
        <v>14.981299999999999</v>
      </c>
      <c r="H82" s="135">
        <v>120.53530000000001</v>
      </c>
      <c r="I82" s="135" t="str">
        <f t="shared" si="15"/>
        <v>14.9813, 120.5353</v>
      </c>
      <c r="J82" s="135" t="s">
        <v>76</v>
      </c>
      <c r="K82" s="101" t="s">
        <v>33</v>
      </c>
      <c r="L82" s="135"/>
      <c r="M82" s="135" t="s">
        <v>148</v>
      </c>
      <c r="N82" s="561" t="s">
        <v>1932</v>
      </c>
      <c r="O82" s="546">
        <v>45762</v>
      </c>
      <c r="P82" s="546">
        <v>45763</v>
      </c>
      <c r="Q82" s="546">
        <v>45763</v>
      </c>
      <c r="R82" s="546">
        <v>45768</v>
      </c>
      <c r="S82" s="546">
        <v>45768</v>
      </c>
      <c r="T82" s="423">
        <f t="shared" si="11"/>
        <v>1</v>
      </c>
      <c r="U82" s="423">
        <f t="shared" si="12"/>
        <v>1</v>
      </c>
      <c r="V82" s="45">
        <f t="shared" si="14"/>
        <v>3</v>
      </c>
      <c r="W82" s="423">
        <f t="shared" si="13"/>
        <v>1</v>
      </c>
      <c r="X82" s="7" t="s">
        <v>150</v>
      </c>
      <c r="Y82" s="135" t="s">
        <v>57</v>
      </c>
      <c r="Z82" s="135" t="s">
        <v>57</v>
      </c>
      <c r="AA82" s="135" t="s">
        <v>808</v>
      </c>
      <c r="AB82" s="135"/>
      <c r="AC82" s="135"/>
      <c r="AD82" s="135"/>
      <c r="AE82" s="135" t="s">
        <v>1933</v>
      </c>
      <c r="AF82" s="135" t="s">
        <v>953</v>
      </c>
      <c r="AG82" s="135"/>
    </row>
    <row r="83" spans="1:33">
      <c r="A83" s="7" t="s">
        <v>778</v>
      </c>
      <c r="B83" s="7" t="s">
        <v>1381</v>
      </c>
      <c r="C83" s="7" t="s">
        <v>1155</v>
      </c>
      <c r="D83" s="7" t="s">
        <v>143</v>
      </c>
      <c r="E83" s="98" t="s">
        <v>185</v>
      </c>
      <c r="F83" s="7" t="s">
        <v>1738</v>
      </c>
      <c r="G83" s="7">
        <v>14.956096110000001</v>
      </c>
      <c r="H83" s="7">
        <v>120.64060747000001</v>
      </c>
      <c r="I83" s="7" t="str">
        <f t="shared" si="15"/>
        <v>14.95609611, 120.64060747</v>
      </c>
      <c r="J83" s="7" t="s">
        <v>75</v>
      </c>
      <c r="K83" s="101" t="s">
        <v>35</v>
      </c>
      <c r="L83" s="7"/>
      <c r="M83" s="7" t="s">
        <v>148</v>
      </c>
      <c r="N83" s="7" t="s">
        <v>1934</v>
      </c>
      <c r="O83" s="33">
        <v>45729</v>
      </c>
      <c r="P83" s="33">
        <v>45732</v>
      </c>
      <c r="Q83" s="33">
        <v>45732</v>
      </c>
      <c r="R83" s="33">
        <v>45733</v>
      </c>
      <c r="S83" s="33">
        <v>45734</v>
      </c>
      <c r="T83" s="45">
        <f t="shared" si="11"/>
        <v>1</v>
      </c>
      <c r="U83" s="45">
        <f t="shared" si="12"/>
        <v>1</v>
      </c>
      <c r="V83" s="45">
        <f t="shared" si="14"/>
        <v>1</v>
      </c>
      <c r="W83" s="45">
        <f t="shared" si="13"/>
        <v>1</v>
      </c>
      <c r="X83" s="7" t="s">
        <v>150</v>
      </c>
      <c r="Y83" s="7" t="s">
        <v>57</v>
      </c>
      <c r="Z83" s="7" t="s">
        <v>57</v>
      </c>
      <c r="AA83" s="7" t="s">
        <v>808</v>
      </c>
      <c r="AB83" s="7" t="s">
        <v>69</v>
      </c>
      <c r="AC83" s="7" t="s">
        <v>808</v>
      </c>
      <c r="AD83" s="7" t="s">
        <v>808</v>
      </c>
      <c r="AE83" s="360" t="s">
        <v>1935</v>
      </c>
      <c r="AF83" s="7" t="s">
        <v>953</v>
      </c>
      <c r="AG83" s="7"/>
    </row>
    <row r="84" spans="1:33">
      <c r="A84" s="7" t="s">
        <v>778</v>
      </c>
      <c r="B84" s="7" t="s">
        <v>1383</v>
      </c>
      <c r="C84" s="7" t="s">
        <v>1412</v>
      </c>
      <c r="D84" s="7" t="s">
        <v>143</v>
      </c>
      <c r="E84" s="98" t="s">
        <v>185</v>
      </c>
      <c r="F84" s="7" t="s">
        <v>1738</v>
      </c>
      <c r="G84" s="7">
        <v>14.901999999999999</v>
      </c>
      <c r="H84" s="7">
        <v>120.6032</v>
      </c>
      <c r="I84" s="7" t="str">
        <f t="shared" si="15"/>
        <v>14.902, 120.6032</v>
      </c>
      <c r="J84" s="7" t="s">
        <v>82</v>
      </c>
      <c r="K84" s="101" t="s">
        <v>35</v>
      </c>
      <c r="L84" s="7"/>
      <c r="M84" s="7" t="s">
        <v>148</v>
      </c>
      <c r="N84" s="7" t="s">
        <v>1936</v>
      </c>
      <c r="O84" s="33">
        <v>45938</v>
      </c>
      <c r="P84" s="33">
        <v>45939</v>
      </c>
      <c r="Q84" s="33">
        <v>45945</v>
      </c>
      <c r="R84" s="33">
        <v>45945</v>
      </c>
      <c r="S84" s="33">
        <v>45947</v>
      </c>
      <c r="T84" s="45">
        <f t="shared" si="11"/>
        <v>1</v>
      </c>
      <c r="U84" s="45">
        <f t="shared" si="12"/>
        <v>4</v>
      </c>
      <c r="V84" s="45">
        <f t="shared" si="14"/>
        <v>1</v>
      </c>
      <c r="W84" s="45">
        <f t="shared" si="13"/>
        <v>2</v>
      </c>
      <c r="X84" s="7" t="s">
        <v>150</v>
      </c>
      <c r="Y84" s="7" t="s">
        <v>57</v>
      </c>
      <c r="Z84" s="7" t="s">
        <v>57</v>
      </c>
      <c r="AA84" s="7"/>
      <c r="AB84" s="7"/>
      <c r="AC84" s="7"/>
      <c r="AD84" s="96"/>
      <c r="AE84" s="7" t="s">
        <v>1937</v>
      </c>
      <c r="AF84" s="97" t="s">
        <v>953</v>
      </c>
      <c r="AG84" s="7"/>
    </row>
    <row r="85" spans="1:33" ht="30">
      <c r="A85" s="7" t="s">
        <v>778</v>
      </c>
      <c r="B85" s="7" t="s">
        <v>1938</v>
      </c>
      <c r="C85" s="7" t="s">
        <v>1305</v>
      </c>
      <c r="D85" s="7" t="s">
        <v>143</v>
      </c>
      <c r="E85" s="100" t="s">
        <v>160</v>
      </c>
      <c r="F85" s="7" t="s">
        <v>1738</v>
      </c>
      <c r="G85" s="7">
        <v>15.240790000000001</v>
      </c>
      <c r="H85" s="7">
        <v>120.56075</v>
      </c>
      <c r="I85" s="7" t="str">
        <f t="shared" si="15"/>
        <v>15.24079, 120.56075</v>
      </c>
      <c r="J85" s="7" t="s">
        <v>74</v>
      </c>
      <c r="K85" s="101" t="s">
        <v>32</v>
      </c>
      <c r="L85" s="7" t="s">
        <v>1838</v>
      </c>
      <c r="M85" s="7" t="s">
        <v>148</v>
      </c>
      <c r="N85" s="7" t="s">
        <v>1939</v>
      </c>
      <c r="O85" s="33">
        <v>45695</v>
      </c>
      <c r="P85" s="33">
        <v>45697</v>
      </c>
      <c r="Q85" s="33">
        <v>45699</v>
      </c>
      <c r="R85" s="33">
        <v>45699</v>
      </c>
      <c r="S85" s="33">
        <v>45701</v>
      </c>
      <c r="T85" s="45">
        <f t="shared" si="11"/>
        <v>1</v>
      </c>
      <c r="U85" s="45">
        <f t="shared" si="12"/>
        <v>1</v>
      </c>
      <c r="V85" s="45">
        <f t="shared" si="14"/>
        <v>1</v>
      </c>
      <c r="W85" s="45">
        <f t="shared" si="13"/>
        <v>2</v>
      </c>
      <c r="X85" s="7" t="s">
        <v>150</v>
      </c>
      <c r="Y85" s="7" t="s">
        <v>57</v>
      </c>
      <c r="Z85" s="7" t="s">
        <v>57</v>
      </c>
      <c r="AA85" s="7" t="s">
        <v>808</v>
      </c>
      <c r="AB85" s="7" t="s">
        <v>808</v>
      </c>
      <c r="AC85" s="7" t="s">
        <v>808</v>
      </c>
      <c r="AD85" s="7" t="s">
        <v>808</v>
      </c>
      <c r="AE85" s="549" t="s">
        <v>1940</v>
      </c>
      <c r="AF85" s="7"/>
      <c r="AG85" s="7"/>
    </row>
    <row r="86" spans="1:33" ht="30">
      <c r="A86" s="7" t="s">
        <v>778</v>
      </c>
      <c r="B86" s="7" t="s">
        <v>1392</v>
      </c>
      <c r="C86" s="7" t="s">
        <v>1166</v>
      </c>
      <c r="D86" s="7" t="s">
        <v>143</v>
      </c>
      <c r="E86" s="98" t="s">
        <v>233</v>
      </c>
      <c r="F86" s="7" t="s">
        <v>1738</v>
      </c>
      <c r="G86" s="7">
        <v>14.897500000000001</v>
      </c>
      <c r="H86" s="7">
        <v>120.7183333</v>
      </c>
      <c r="I86" s="7" t="str">
        <f t="shared" si="15"/>
        <v>14.8975, 120.7183333</v>
      </c>
      <c r="J86" s="7" t="s">
        <v>82</v>
      </c>
      <c r="K86" s="101" t="s">
        <v>34</v>
      </c>
      <c r="L86" s="7"/>
      <c r="M86" s="7" t="s">
        <v>148</v>
      </c>
      <c r="N86" s="7" t="s">
        <v>1941</v>
      </c>
      <c r="O86" s="33">
        <v>45940</v>
      </c>
      <c r="P86" s="33">
        <v>45945</v>
      </c>
      <c r="Q86" s="33"/>
      <c r="R86" s="33">
        <v>45945</v>
      </c>
      <c r="S86" s="33">
        <v>45945</v>
      </c>
      <c r="T86" s="45">
        <f t="shared" si="11"/>
        <v>3</v>
      </c>
      <c r="U86" s="45" t="str">
        <f t="shared" si="12"/>
        <v/>
      </c>
      <c r="V86" s="45">
        <f t="shared" si="14"/>
        <v>1</v>
      </c>
      <c r="W86" s="45">
        <f t="shared" si="13"/>
        <v>1</v>
      </c>
      <c r="X86" s="7" t="s">
        <v>150</v>
      </c>
      <c r="Y86" s="7" t="s">
        <v>57</v>
      </c>
      <c r="Z86" s="7" t="s">
        <v>57</v>
      </c>
      <c r="AA86" s="7" t="s">
        <v>69</v>
      </c>
      <c r="AB86" s="7" t="s">
        <v>69</v>
      </c>
      <c r="AC86" s="7" t="s">
        <v>69</v>
      </c>
      <c r="AD86" s="7" t="s">
        <v>69</v>
      </c>
      <c r="AE86" s="7" t="s">
        <v>1942</v>
      </c>
      <c r="AF86" s="97" t="s">
        <v>953</v>
      </c>
      <c r="AG86" s="7"/>
    </row>
    <row r="87" spans="1:33">
      <c r="A87" s="7" t="s">
        <v>778</v>
      </c>
      <c r="B87" s="7" t="s">
        <v>1395</v>
      </c>
      <c r="C87" s="7" t="s">
        <v>1396</v>
      </c>
      <c r="D87" s="7" t="s">
        <v>143</v>
      </c>
      <c r="E87" s="100" t="s">
        <v>160</v>
      </c>
      <c r="F87" s="7" t="s">
        <v>1738</v>
      </c>
      <c r="G87" s="7">
        <v>15.256629999999999</v>
      </c>
      <c r="H87" s="7">
        <v>120.63491999999999</v>
      </c>
      <c r="I87" s="7" t="str">
        <f t="shared" si="15"/>
        <v>15.25663, 120.63492</v>
      </c>
      <c r="J87" s="7" t="s">
        <v>77</v>
      </c>
      <c r="K87" s="101" t="s">
        <v>32</v>
      </c>
      <c r="L87" s="7" t="s">
        <v>1838</v>
      </c>
      <c r="M87" s="7" t="s">
        <v>148</v>
      </c>
      <c r="N87" s="7" t="s">
        <v>1943</v>
      </c>
      <c r="O87" s="33">
        <v>45793</v>
      </c>
      <c r="P87" s="33">
        <v>45797</v>
      </c>
      <c r="Q87" s="33">
        <v>45797</v>
      </c>
      <c r="R87" s="33">
        <v>45797</v>
      </c>
      <c r="S87" s="33">
        <v>45797</v>
      </c>
      <c r="T87" s="45">
        <f t="shared" si="11"/>
        <v>2</v>
      </c>
      <c r="U87" s="45">
        <f t="shared" si="12"/>
        <v>1</v>
      </c>
      <c r="V87" s="45">
        <f t="shared" si="14"/>
        <v>1</v>
      </c>
      <c r="W87" s="45">
        <f t="shared" si="13"/>
        <v>1</v>
      </c>
      <c r="X87" s="7" t="s">
        <v>150</v>
      </c>
      <c r="Y87" s="7" t="s">
        <v>57</v>
      </c>
      <c r="Z87" s="7" t="s">
        <v>57</v>
      </c>
      <c r="AA87" s="7" t="s">
        <v>69</v>
      </c>
      <c r="AB87" s="7" t="s">
        <v>69</v>
      </c>
      <c r="AC87" s="7" t="s">
        <v>69</v>
      </c>
      <c r="AD87" s="7" t="s">
        <v>69</v>
      </c>
      <c r="AE87" s="135" t="s">
        <v>1944</v>
      </c>
      <c r="AF87" s="7" t="s">
        <v>953</v>
      </c>
      <c r="AG87" s="7"/>
    </row>
    <row r="88" spans="1:33">
      <c r="A88" s="7" t="s">
        <v>778</v>
      </c>
      <c r="B88" s="7" t="s">
        <v>1400</v>
      </c>
      <c r="C88" s="7" t="s">
        <v>1945</v>
      </c>
      <c r="D88" s="7" t="s">
        <v>143</v>
      </c>
      <c r="E88" s="100" t="s">
        <v>233</v>
      </c>
      <c r="F88" s="7" t="s">
        <v>1738</v>
      </c>
      <c r="G88" s="7">
        <v>14.882400000000001</v>
      </c>
      <c r="H88" s="7">
        <v>120.7111</v>
      </c>
      <c r="I88" s="7" t="str">
        <f t="shared" si="15"/>
        <v>14.8824, 120.7111</v>
      </c>
      <c r="J88" s="7" t="s">
        <v>83</v>
      </c>
      <c r="K88" s="101" t="s">
        <v>34</v>
      </c>
      <c r="L88" s="7"/>
      <c r="M88" s="7" t="s">
        <v>148</v>
      </c>
      <c r="N88" s="7" t="s">
        <v>1946</v>
      </c>
      <c r="O88" s="33">
        <v>45967</v>
      </c>
      <c r="P88" s="33">
        <v>45969</v>
      </c>
      <c r="Q88" s="33"/>
      <c r="R88" s="33">
        <v>45978</v>
      </c>
      <c r="S88" s="33">
        <v>45979</v>
      </c>
      <c r="T88" s="45">
        <f t="shared" si="11"/>
        <v>1</v>
      </c>
      <c r="U88" s="45" t="str">
        <f t="shared" si="12"/>
        <v/>
      </c>
      <c r="V88" s="45">
        <f t="shared" si="14"/>
        <v>5</v>
      </c>
      <c r="W88" s="45">
        <f t="shared" si="13"/>
        <v>1</v>
      </c>
      <c r="X88" s="7" t="s">
        <v>150</v>
      </c>
      <c r="Y88" s="7" t="s">
        <v>57</v>
      </c>
      <c r="Z88" s="7" t="s">
        <v>57</v>
      </c>
      <c r="AA88" s="7" t="s">
        <v>1947</v>
      </c>
      <c r="AB88" s="7" t="s">
        <v>69</v>
      </c>
      <c r="AC88" s="7" t="s">
        <v>69</v>
      </c>
      <c r="AD88" s="7" t="s">
        <v>69</v>
      </c>
      <c r="AE88" s="7" t="s">
        <v>1948</v>
      </c>
      <c r="AF88" s="7"/>
      <c r="AG88" s="7"/>
    </row>
    <row r="89" spans="1:33">
      <c r="A89" s="7" t="s">
        <v>778</v>
      </c>
      <c r="B89" s="7" t="s">
        <v>1411</v>
      </c>
      <c r="C89" s="7" t="s">
        <v>1412</v>
      </c>
      <c r="D89" s="7" t="s">
        <v>143</v>
      </c>
      <c r="E89" s="100" t="s">
        <v>233</v>
      </c>
      <c r="F89" s="7" t="s">
        <v>1738</v>
      </c>
      <c r="G89" s="7">
        <v>14.963290000000001</v>
      </c>
      <c r="H89" s="7">
        <v>120.66292</v>
      </c>
      <c r="I89" s="7" t="str">
        <f t="shared" si="15"/>
        <v>14.96329, 120.66292</v>
      </c>
      <c r="J89" s="7" t="s">
        <v>74</v>
      </c>
      <c r="K89" s="101" t="s">
        <v>34</v>
      </c>
      <c r="L89" s="7" t="s">
        <v>1838</v>
      </c>
      <c r="M89" s="7" t="s">
        <v>148</v>
      </c>
      <c r="N89" s="7" t="s">
        <v>1949</v>
      </c>
      <c r="O89" s="33">
        <v>45699</v>
      </c>
      <c r="P89" s="33">
        <v>45701</v>
      </c>
      <c r="Q89" s="33">
        <v>45705</v>
      </c>
      <c r="R89" s="33">
        <v>45705</v>
      </c>
      <c r="S89" s="33">
        <v>45706</v>
      </c>
      <c r="T89" s="45">
        <f t="shared" si="11"/>
        <v>2</v>
      </c>
      <c r="U89" s="45">
        <f t="shared" si="12"/>
        <v>2</v>
      </c>
      <c r="V89" s="45">
        <f t="shared" si="14"/>
        <v>1</v>
      </c>
      <c r="W89" s="45">
        <f t="shared" si="13"/>
        <v>1</v>
      </c>
      <c r="X89" s="7" t="s">
        <v>150</v>
      </c>
      <c r="Y89" s="7" t="s">
        <v>57</v>
      </c>
      <c r="Z89" s="7" t="s">
        <v>57</v>
      </c>
      <c r="AA89" s="7" t="s">
        <v>808</v>
      </c>
      <c r="AB89" s="7" t="s">
        <v>808</v>
      </c>
      <c r="AC89" s="7" t="s">
        <v>808</v>
      </c>
      <c r="AD89" s="7" t="s">
        <v>808</v>
      </c>
      <c r="AE89" s="7" t="s">
        <v>1950</v>
      </c>
      <c r="AF89" s="7"/>
      <c r="AG89" s="7"/>
    </row>
    <row r="90" spans="1:33" ht="30">
      <c r="A90" s="360" t="s">
        <v>778</v>
      </c>
      <c r="B90" s="360" t="s">
        <v>1415</v>
      </c>
      <c r="C90" s="360" t="s">
        <v>1416</v>
      </c>
      <c r="D90" s="360" t="s">
        <v>143</v>
      </c>
      <c r="E90" s="542" t="s">
        <v>185</v>
      </c>
      <c r="F90" s="360" t="s">
        <v>1738</v>
      </c>
      <c r="G90" s="360">
        <v>15.0678</v>
      </c>
      <c r="H90" s="360">
        <v>120.56019999999999</v>
      </c>
      <c r="I90" s="360" t="str">
        <f t="shared" si="15"/>
        <v>15.0678, 120.5602</v>
      </c>
      <c r="J90" s="360" t="s">
        <v>76</v>
      </c>
      <c r="K90" s="541" t="s">
        <v>33</v>
      </c>
      <c r="L90" s="360"/>
      <c r="M90" s="360" t="s">
        <v>148</v>
      </c>
      <c r="N90" s="360" t="s">
        <v>1951</v>
      </c>
      <c r="O90" s="536">
        <v>45763</v>
      </c>
      <c r="P90" s="536">
        <v>45763</v>
      </c>
      <c r="Q90" s="536">
        <v>45763</v>
      </c>
      <c r="R90" s="536">
        <v>45768</v>
      </c>
      <c r="S90" s="536">
        <v>45768</v>
      </c>
      <c r="T90" s="354">
        <f t="shared" si="11"/>
        <v>1</v>
      </c>
      <c r="U90" s="354">
        <f t="shared" si="12"/>
        <v>1</v>
      </c>
      <c r="V90" s="45">
        <f t="shared" si="14"/>
        <v>3</v>
      </c>
      <c r="W90" s="354">
        <f t="shared" si="13"/>
        <v>1</v>
      </c>
      <c r="X90" s="7" t="s">
        <v>150</v>
      </c>
      <c r="Y90" s="360" t="s">
        <v>57</v>
      </c>
      <c r="Z90" s="360" t="s">
        <v>57</v>
      </c>
      <c r="AA90" s="360" t="s">
        <v>808</v>
      </c>
      <c r="AB90" s="360" t="s">
        <v>69</v>
      </c>
      <c r="AC90" s="360" t="s">
        <v>69</v>
      </c>
      <c r="AD90" s="360" t="s">
        <v>69</v>
      </c>
      <c r="AE90" s="360" t="s">
        <v>1952</v>
      </c>
      <c r="AF90" s="360"/>
      <c r="AG90" s="360"/>
    </row>
    <row r="91" spans="1:33" ht="45">
      <c r="A91" s="7" t="s">
        <v>778</v>
      </c>
      <c r="B91" s="7" t="s">
        <v>1953</v>
      </c>
      <c r="C91" s="7" t="s">
        <v>1369</v>
      </c>
      <c r="D91" s="7" t="s">
        <v>143</v>
      </c>
      <c r="E91" s="98" t="s">
        <v>144</v>
      </c>
      <c r="F91" s="7" t="s">
        <v>1738</v>
      </c>
      <c r="G91" s="7">
        <v>15.081951719999999</v>
      </c>
      <c r="H91" s="7">
        <v>120.61186542</v>
      </c>
      <c r="I91" s="7" t="str">
        <f t="shared" si="15"/>
        <v>15.08195172, 120.61186542</v>
      </c>
      <c r="J91" s="7" t="s">
        <v>73</v>
      </c>
      <c r="K91" s="7" t="s">
        <v>33</v>
      </c>
      <c r="L91" s="7" t="s">
        <v>1838</v>
      </c>
      <c r="M91" s="7" t="s">
        <v>148</v>
      </c>
      <c r="N91" s="7" t="s">
        <v>1954</v>
      </c>
      <c r="O91" s="33">
        <v>45672</v>
      </c>
      <c r="P91" s="33">
        <v>45677</v>
      </c>
      <c r="Q91" s="33">
        <v>45681</v>
      </c>
      <c r="R91" s="33">
        <v>45681</v>
      </c>
      <c r="S91" s="33">
        <v>45681</v>
      </c>
      <c r="T91" s="45">
        <f t="shared" si="11"/>
        <v>3</v>
      </c>
      <c r="U91" s="45">
        <f t="shared" si="12"/>
        <v>4</v>
      </c>
      <c r="V91" s="45">
        <f t="shared" si="14"/>
        <v>1</v>
      </c>
      <c r="W91" s="45">
        <f t="shared" si="13"/>
        <v>1</v>
      </c>
      <c r="X91" s="7" t="s">
        <v>150</v>
      </c>
      <c r="Y91" s="7" t="s">
        <v>57</v>
      </c>
      <c r="Z91" s="7" t="s">
        <v>57</v>
      </c>
      <c r="AA91" s="7"/>
      <c r="AB91" s="7"/>
      <c r="AC91" s="7"/>
      <c r="AD91" s="7"/>
      <c r="AE91" s="7" t="s">
        <v>1955</v>
      </c>
      <c r="AF91" s="7"/>
      <c r="AG91" s="7"/>
    </row>
    <row r="92" spans="1:33" ht="30">
      <c r="A92" s="549" t="s">
        <v>778</v>
      </c>
      <c r="B92" s="549" t="s">
        <v>992</v>
      </c>
      <c r="C92" s="549" t="s">
        <v>1441</v>
      </c>
      <c r="D92" s="549" t="s">
        <v>143</v>
      </c>
      <c r="E92" s="627" t="s">
        <v>233</v>
      </c>
      <c r="F92" s="549" t="s">
        <v>1738</v>
      </c>
      <c r="G92" s="549">
        <v>15.047000000000001</v>
      </c>
      <c r="H92" s="549">
        <v>120.7854</v>
      </c>
      <c r="I92" s="549" t="str">
        <f t="shared" si="15"/>
        <v>15.047, 120.7854</v>
      </c>
      <c r="J92" s="549" t="s">
        <v>80</v>
      </c>
      <c r="K92" s="541" t="s">
        <v>1345</v>
      </c>
      <c r="L92" s="549" t="s">
        <v>28</v>
      </c>
      <c r="M92" s="549" t="s">
        <v>148</v>
      </c>
      <c r="N92" s="549" t="s">
        <v>1956</v>
      </c>
      <c r="O92" s="553">
        <v>45875</v>
      </c>
      <c r="P92" s="553">
        <v>45881</v>
      </c>
      <c r="Q92" s="553">
        <v>45881</v>
      </c>
      <c r="R92" s="628">
        <v>45884</v>
      </c>
      <c r="S92" s="553">
        <v>45888</v>
      </c>
      <c r="T92" s="554">
        <f t="shared" si="11"/>
        <v>4</v>
      </c>
      <c r="U92" s="354">
        <f t="shared" si="12"/>
        <v>1</v>
      </c>
      <c r="V92" s="45">
        <f t="shared" si="14"/>
        <v>3</v>
      </c>
      <c r="W92" s="554">
        <f>IF(
    OR(ISBLANK(Q92), ISBLANK(S92)),
    "",
    MAX(1, IF(
        NETWORKDAYS(Q92, S92) &lt;= 0,
        1,
        NETWORKDAYS(Q92, S92) - IF(Q92 = S92, 0, 1)
    ))
)</f>
        <v>5</v>
      </c>
      <c r="X92" s="7" t="s">
        <v>150</v>
      </c>
      <c r="Y92" s="549" t="s">
        <v>57</v>
      </c>
      <c r="Z92" s="549" t="s">
        <v>57</v>
      </c>
      <c r="AA92" s="549" t="s">
        <v>679</v>
      </c>
      <c r="AB92" s="549"/>
      <c r="AC92" s="549"/>
      <c r="AD92" s="549"/>
      <c r="AE92" s="629" t="s">
        <v>1957</v>
      </c>
      <c r="AF92" s="549" t="s">
        <v>953</v>
      </c>
      <c r="AG92" s="549"/>
    </row>
    <row r="93" spans="1:33">
      <c r="A93" s="7" t="s">
        <v>778</v>
      </c>
      <c r="B93" s="7" t="s">
        <v>1423</v>
      </c>
      <c r="C93" s="7" t="s">
        <v>1958</v>
      </c>
      <c r="D93" s="7" t="s">
        <v>143</v>
      </c>
      <c r="E93" s="100" t="s">
        <v>233</v>
      </c>
      <c r="F93" s="7" t="s">
        <v>1738</v>
      </c>
      <c r="G93" s="7">
        <v>14.996600000000001</v>
      </c>
      <c r="H93" s="7">
        <v>120.76139999999999</v>
      </c>
      <c r="I93" s="7" t="str">
        <f t="shared" si="15"/>
        <v>14.9966, 120.7614</v>
      </c>
      <c r="J93" s="7" t="s">
        <v>81</v>
      </c>
      <c r="K93" s="7" t="s">
        <v>34</v>
      </c>
      <c r="L93" s="7" t="s">
        <v>28</v>
      </c>
      <c r="M93" s="7" t="s">
        <v>148</v>
      </c>
      <c r="N93" s="7" t="s">
        <v>1959</v>
      </c>
      <c r="O93" s="33">
        <v>45903</v>
      </c>
      <c r="P93" s="33">
        <v>45916</v>
      </c>
      <c r="Q93" s="33">
        <v>45917</v>
      </c>
      <c r="R93" s="33">
        <v>45917</v>
      </c>
      <c r="S93" s="33">
        <v>45918</v>
      </c>
      <c r="T93" s="45">
        <f t="shared" si="11"/>
        <v>9</v>
      </c>
      <c r="U93" s="45">
        <f t="shared" si="12"/>
        <v>1</v>
      </c>
      <c r="V93" s="45">
        <f t="shared" si="14"/>
        <v>1</v>
      </c>
      <c r="W93" s="45">
        <f t="shared" ref="W93:W136" si="16">IF(
    OR(ISBLANK(R93), ISBLANK(S93)),
    "",
    MAX(1, IF(
        NETWORKDAYS(R93, S93) &lt;= 0,
        1,
        NETWORKDAYS(R93, S93) - IF(R93 = S93, 0, 1)
    ))
)</f>
        <v>1</v>
      </c>
      <c r="X93" s="7" t="s">
        <v>150</v>
      </c>
      <c r="Y93" s="7" t="s">
        <v>57</v>
      </c>
      <c r="Z93" s="7" t="s">
        <v>57</v>
      </c>
      <c r="AA93" s="7" t="s">
        <v>69</v>
      </c>
      <c r="AB93" s="7" t="s">
        <v>69</v>
      </c>
      <c r="AC93" s="7" t="s">
        <v>69</v>
      </c>
      <c r="AD93" s="7" t="s">
        <v>69</v>
      </c>
      <c r="AE93" s="7" t="s">
        <v>1960</v>
      </c>
      <c r="AF93" s="7" t="s">
        <v>953</v>
      </c>
      <c r="AG93" s="7"/>
    </row>
    <row r="94" spans="1:33">
      <c r="A94" s="135" t="s">
        <v>778</v>
      </c>
      <c r="B94" s="135" t="s">
        <v>1429</v>
      </c>
      <c r="C94" s="135" t="s">
        <v>1430</v>
      </c>
      <c r="D94" s="135" t="s">
        <v>143</v>
      </c>
      <c r="E94" s="557" t="s">
        <v>185</v>
      </c>
      <c r="F94" s="135" t="s">
        <v>1738</v>
      </c>
      <c r="G94" s="135">
        <v>14.93694444</v>
      </c>
      <c r="H94" s="135">
        <v>120.61750000000001</v>
      </c>
      <c r="I94" s="135" t="str">
        <f t="shared" si="15"/>
        <v>14.93694444, 120.6175</v>
      </c>
      <c r="J94" s="135" t="s">
        <v>75</v>
      </c>
      <c r="K94" s="101" t="s">
        <v>35</v>
      </c>
      <c r="L94" s="135"/>
      <c r="M94" s="135" t="s">
        <v>148</v>
      </c>
      <c r="N94" s="135" t="s">
        <v>1961</v>
      </c>
      <c r="O94" s="546">
        <v>45730</v>
      </c>
      <c r="P94" s="546">
        <v>45732</v>
      </c>
      <c r="Q94" s="546">
        <v>45732</v>
      </c>
      <c r="R94" s="546">
        <v>45733</v>
      </c>
      <c r="S94" s="546">
        <v>45734</v>
      </c>
      <c r="T94" s="423">
        <f t="shared" si="11"/>
        <v>1</v>
      </c>
      <c r="U94" s="423">
        <f t="shared" si="12"/>
        <v>1</v>
      </c>
      <c r="V94" s="45">
        <f t="shared" si="14"/>
        <v>1</v>
      </c>
      <c r="W94" s="423">
        <f t="shared" si="16"/>
        <v>1</v>
      </c>
      <c r="X94" s="7" t="s">
        <v>150</v>
      </c>
      <c r="Y94" s="135" t="s">
        <v>57</v>
      </c>
      <c r="Z94" s="135" t="s">
        <v>57</v>
      </c>
      <c r="AA94" s="135" t="s">
        <v>808</v>
      </c>
      <c r="AB94" s="135" t="s">
        <v>808</v>
      </c>
      <c r="AC94" s="135" t="s">
        <v>808</v>
      </c>
      <c r="AD94" s="135" t="s">
        <v>808</v>
      </c>
      <c r="AE94" s="663" t="s">
        <v>1962</v>
      </c>
      <c r="AF94" s="135"/>
      <c r="AG94" s="135"/>
    </row>
    <row r="95" spans="1:33" ht="30">
      <c r="A95" s="7" t="s">
        <v>778</v>
      </c>
      <c r="B95" s="7" t="s">
        <v>1432</v>
      </c>
      <c r="C95" s="7" t="s">
        <v>1963</v>
      </c>
      <c r="D95" s="7" t="s">
        <v>143</v>
      </c>
      <c r="E95" s="100" t="s">
        <v>185</v>
      </c>
      <c r="F95" s="7" t="s">
        <v>1738</v>
      </c>
      <c r="G95" s="7">
        <v>15.02195</v>
      </c>
      <c r="H95" s="7">
        <v>120.56746</v>
      </c>
      <c r="I95" s="7" t="str">
        <f t="shared" si="15"/>
        <v>15.02195, 120.56746</v>
      </c>
      <c r="J95" s="7" t="s">
        <v>82</v>
      </c>
      <c r="K95" s="101" t="s">
        <v>35</v>
      </c>
      <c r="L95" s="7" t="s">
        <v>1838</v>
      </c>
      <c r="M95" s="7" t="s">
        <v>148</v>
      </c>
      <c r="N95" s="7" t="s">
        <v>1964</v>
      </c>
      <c r="O95" s="33">
        <v>45938</v>
      </c>
      <c r="P95" s="33">
        <v>45939</v>
      </c>
      <c r="Q95" s="33">
        <v>45945</v>
      </c>
      <c r="R95" s="33">
        <v>45945</v>
      </c>
      <c r="S95" s="33">
        <v>45947</v>
      </c>
      <c r="T95" s="45">
        <f t="shared" si="11"/>
        <v>1</v>
      </c>
      <c r="U95" s="45">
        <f t="shared" si="12"/>
        <v>4</v>
      </c>
      <c r="V95" s="45">
        <f t="shared" si="14"/>
        <v>1</v>
      </c>
      <c r="W95" s="45">
        <f t="shared" si="16"/>
        <v>2</v>
      </c>
      <c r="X95" s="7" t="s">
        <v>150</v>
      </c>
      <c r="Y95" s="135" t="s">
        <v>57</v>
      </c>
      <c r="Z95" s="135" t="s">
        <v>57</v>
      </c>
      <c r="AA95" s="7"/>
      <c r="AB95" s="7"/>
      <c r="AC95" s="7"/>
      <c r="AD95" s="96"/>
      <c r="AE95" s="7" t="s">
        <v>1965</v>
      </c>
      <c r="AF95" s="97"/>
      <c r="AG95" s="7"/>
    </row>
    <row r="96" spans="1:33" ht="30">
      <c r="A96" s="7" t="s">
        <v>778</v>
      </c>
      <c r="B96" s="7" t="s">
        <v>1966</v>
      </c>
      <c r="C96" s="7" t="s">
        <v>1166</v>
      </c>
      <c r="D96" s="7" t="s">
        <v>143</v>
      </c>
      <c r="E96" s="100" t="s">
        <v>233</v>
      </c>
      <c r="F96" s="7" t="s">
        <v>1738</v>
      </c>
      <c r="G96" s="7">
        <v>15.003913000000001</v>
      </c>
      <c r="H96" s="7">
        <v>120.697005</v>
      </c>
      <c r="I96" s="7" t="str">
        <f t="shared" si="15"/>
        <v>15.003913, 120.697005</v>
      </c>
      <c r="J96" s="7" t="s">
        <v>73</v>
      </c>
      <c r="K96" s="101" t="s">
        <v>33</v>
      </c>
      <c r="L96" s="7" t="s">
        <v>1838</v>
      </c>
      <c r="M96" s="7" t="s">
        <v>148</v>
      </c>
      <c r="N96" s="7" t="s">
        <v>1967</v>
      </c>
      <c r="O96" s="33">
        <v>45673</v>
      </c>
      <c r="P96" s="33">
        <v>45677</v>
      </c>
      <c r="Q96" s="33">
        <v>45681</v>
      </c>
      <c r="R96" s="33">
        <v>45681</v>
      </c>
      <c r="S96" s="33">
        <v>45681</v>
      </c>
      <c r="T96" s="45">
        <f t="shared" si="11"/>
        <v>2</v>
      </c>
      <c r="U96" s="45">
        <f t="shared" si="12"/>
        <v>4</v>
      </c>
      <c r="V96" s="45">
        <f t="shared" si="14"/>
        <v>1</v>
      </c>
      <c r="W96" s="45">
        <f t="shared" si="16"/>
        <v>1</v>
      </c>
      <c r="X96" s="7" t="s">
        <v>150</v>
      </c>
      <c r="Y96" s="7" t="s">
        <v>57</v>
      </c>
      <c r="Z96" s="7" t="s">
        <v>57</v>
      </c>
      <c r="AA96" s="7"/>
      <c r="AB96" s="7"/>
      <c r="AC96" s="7"/>
      <c r="AD96" s="7"/>
      <c r="AE96" s="135" t="s">
        <v>1968</v>
      </c>
      <c r="AF96" s="7"/>
      <c r="AG96" s="7"/>
    </row>
    <row r="97" spans="1:33">
      <c r="A97" s="7" t="s">
        <v>778</v>
      </c>
      <c r="B97" s="7" t="s">
        <v>1404</v>
      </c>
      <c r="C97" s="7" t="s">
        <v>1405</v>
      </c>
      <c r="D97" s="7" t="s">
        <v>143</v>
      </c>
      <c r="E97" s="100" t="s">
        <v>144</v>
      </c>
      <c r="F97" s="7" t="s">
        <v>1738</v>
      </c>
      <c r="G97" s="7">
        <v>15.135300000000001</v>
      </c>
      <c r="H97" s="7">
        <v>120.64998</v>
      </c>
      <c r="I97" s="7" t="str">
        <f t="shared" si="15"/>
        <v>15.1353, 120.64998</v>
      </c>
      <c r="J97" s="7" t="s">
        <v>78</v>
      </c>
      <c r="K97" s="101" t="s">
        <v>32</v>
      </c>
      <c r="L97" s="7" t="s">
        <v>1838</v>
      </c>
      <c r="M97" s="7" t="s">
        <v>148</v>
      </c>
      <c r="N97" s="7" t="s">
        <v>1969</v>
      </c>
      <c r="O97" s="33">
        <v>45798</v>
      </c>
      <c r="P97" s="33">
        <v>45827</v>
      </c>
      <c r="Q97" s="33">
        <v>45827</v>
      </c>
      <c r="R97" s="33">
        <v>45827</v>
      </c>
      <c r="S97" s="33">
        <v>45827</v>
      </c>
      <c r="T97" s="45">
        <f t="shared" si="11"/>
        <v>21</v>
      </c>
      <c r="U97" s="45">
        <f t="shared" si="12"/>
        <v>1</v>
      </c>
      <c r="V97" s="45">
        <f t="shared" si="14"/>
        <v>1</v>
      </c>
      <c r="W97" s="45">
        <f t="shared" si="16"/>
        <v>1</v>
      </c>
      <c r="X97" s="7" t="s">
        <v>150</v>
      </c>
      <c r="Y97" s="7" t="s">
        <v>57</v>
      </c>
      <c r="Z97" s="7" t="s">
        <v>57</v>
      </c>
      <c r="AA97" s="7" t="s">
        <v>1039</v>
      </c>
      <c r="AB97" s="7" t="s">
        <v>1229</v>
      </c>
      <c r="AC97" s="7" t="s">
        <v>1229</v>
      </c>
      <c r="AD97" s="7" t="s">
        <v>1229</v>
      </c>
      <c r="AE97" s="7" t="s">
        <v>1970</v>
      </c>
      <c r="AF97" s="7" t="s">
        <v>953</v>
      </c>
      <c r="AG97" s="7"/>
    </row>
    <row r="98" spans="1:33" ht="30">
      <c r="A98" s="7" t="s">
        <v>1971</v>
      </c>
      <c r="B98" s="7" t="s">
        <v>805</v>
      </c>
      <c r="C98" s="7" t="s">
        <v>1972</v>
      </c>
      <c r="D98" s="7" t="s">
        <v>159</v>
      </c>
      <c r="E98" s="7"/>
      <c r="F98" s="7" t="s">
        <v>1973</v>
      </c>
      <c r="G98" s="80">
        <v>15.75</v>
      </c>
      <c r="H98" s="80">
        <v>121.53</v>
      </c>
      <c r="I98" s="7" t="str">
        <f t="shared" si="15"/>
        <v>15.75, 121.53</v>
      </c>
      <c r="J98" s="7" t="s">
        <v>76</v>
      </c>
      <c r="K98" s="101" t="s">
        <v>13</v>
      </c>
      <c r="L98" s="7"/>
      <c r="M98" s="7" t="s">
        <v>163</v>
      </c>
      <c r="N98" s="7" t="s">
        <v>1974</v>
      </c>
      <c r="O98" s="33">
        <v>45751</v>
      </c>
      <c r="P98" s="33">
        <v>45753</v>
      </c>
      <c r="Q98" s="33">
        <v>45753</v>
      </c>
      <c r="R98" s="33">
        <v>45755</v>
      </c>
      <c r="S98" s="33">
        <v>45755</v>
      </c>
      <c r="T98" s="45">
        <f t="shared" ref="T98:T129" si="17">IF(
    OR(ISBLANK(O98), ISBLANK(P98)),
    "",
    MAX(1, IF(
        NETWORKDAYS(O98, P98) &lt;= 0,
        1,
        NETWORKDAYS(O98, P98) - IF(O98 = P98, 0, 1)
    ))
)</f>
        <v>1</v>
      </c>
      <c r="U98" s="45">
        <f t="shared" ref="U98:U129" si="18">IF(
    OR(ISBLANK(P98), ISBLANK(Q98)),
    "",
    MAX(1, IF(
        NETWORKDAYS(P98, Q98) &lt;= 0,
        1,
        NETWORKDAYS(P98, Q98) - IF(P98 = Q98, 0, 1)
    ))
)</f>
        <v>1</v>
      </c>
      <c r="V98" s="45">
        <f t="shared" si="14"/>
        <v>1</v>
      </c>
      <c r="W98" s="45">
        <f t="shared" si="16"/>
        <v>1</v>
      </c>
      <c r="X98" s="7" t="s">
        <v>150</v>
      </c>
      <c r="Y98" s="7"/>
      <c r="Z98" s="7"/>
      <c r="AA98" s="7"/>
      <c r="AB98" s="7"/>
      <c r="AC98" s="7" t="s">
        <v>50</v>
      </c>
      <c r="AD98" s="7" t="s">
        <v>1975</v>
      </c>
      <c r="AE98" s="7" t="s">
        <v>1976</v>
      </c>
      <c r="AF98" s="7"/>
      <c r="AG98" s="7"/>
    </row>
    <row r="99" spans="1:33" ht="90">
      <c r="A99" s="7" t="s">
        <v>1977</v>
      </c>
      <c r="B99" s="7" t="s">
        <v>842</v>
      </c>
      <c r="C99" s="7" t="s">
        <v>843</v>
      </c>
      <c r="D99" s="7" t="s">
        <v>143</v>
      </c>
      <c r="E99" s="7"/>
      <c r="F99" s="7" t="s">
        <v>1973</v>
      </c>
      <c r="G99" s="80">
        <v>14.7034</v>
      </c>
      <c r="H99" s="80">
        <v>120.488</v>
      </c>
      <c r="I99" s="7" t="str">
        <f t="shared" si="15"/>
        <v>14.7034, 120.488</v>
      </c>
      <c r="J99" s="7" t="s">
        <v>79</v>
      </c>
      <c r="K99" s="101" t="s">
        <v>17</v>
      </c>
      <c r="L99" s="7"/>
      <c r="M99" s="7" t="s">
        <v>180</v>
      </c>
      <c r="N99" s="7" t="s">
        <v>1978</v>
      </c>
      <c r="O99" s="33">
        <v>45847</v>
      </c>
      <c r="P99" s="33">
        <v>45852</v>
      </c>
      <c r="Q99" s="33"/>
      <c r="R99" s="33">
        <v>45853</v>
      </c>
      <c r="S99" s="33">
        <v>45854</v>
      </c>
      <c r="T99" s="45">
        <f t="shared" si="17"/>
        <v>3</v>
      </c>
      <c r="U99" s="45" t="str">
        <f t="shared" si="18"/>
        <v/>
      </c>
      <c r="V99" s="45">
        <f t="shared" si="14"/>
        <v>1</v>
      </c>
      <c r="W99" s="45">
        <f t="shared" si="16"/>
        <v>1</v>
      </c>
      <c r="X99" s="7" t="s">
        <v>150</v>
      </c>
      <c r="Y99" s="7" t="s">
        <v>69</v>
      </c>
      <c r="Z99" s="7" t="s">
        <v>69</v>
      </c>
      <c r="AA99" s="7"/>
      <c r="AB99" s="7"/>
      <c r="AC99" s="7" t="s">
        <v>57</v>
      </c>
      <c r="AD99" s="7"/>
      <c r="AE99" s="7" t="s">
        <v>1979</v>
      </c>
      <c r="AF99" s="7"/>
      <c r="AG99" s="7"/>
    </row>
    <row r="100" spans="1:33" ht="30">
      <c r="A100" s="7" t="s">
        <v>1980</v>
      </c>
      <c r="B100" s="7" t="s">
        <v>1981</v>
      </c>
      <c r="C100" s="7" t="s">
        <v>885</v>
      </c>
      <c r="D100" s="7" t="s">
        <v>143</v>
      </c>
      <c r="E100" s="7"/>
      <c r="F100" s="7" t="s">
        <v>1973</v>
      </c>
      <c r="G100" s="80">
        <v>14.808299999999999</v>
      </c>
      <c r="H100" s="80">
        <v>120.84439999999999</v>
      </c>
      <c r="I100" s="7" t="str">
        <f t="shared" si="15"/>
        <v>14.8083, 120.8444</v>
      </c>
      <c r="J100" s="7" t="s">
        <v>79</v>
      </c>
      <c r="K100" s="101" t="s">
        <v>22</v>
      </c>
      <c r="L100" s="7"/>
      <c r="M100" s="7" t="s">
        <v>1982</v>
      </c>
      <c r="N100" s="7" t="s">
        <v>1983</v>
      </c>
      <c r="O100" s="33">
        <v>45859</v>
      </c>
      <c r="P100" s="33">
        <v>45859</v>
      </c>
      <c r="Q100" s="33">
        <v>45869</v>
      </c>
      <c r="R100" s="33">
        <v>45869</v>
      </c>
      <c r="S100" s="33">
        <v>45869</v>
      </c>
      <c r="T100" s="333">
        <f t="shared" si="17"/>
        <v>1</v>
      </c>
      <c r="U100" s="333">
        <f t="shared" si="18"/>
        <v>8</v>
      </c>
      <c r="V100" s="45">
        <f>IF(
  OR(IF(Q100&lt;&gt;"", Q100, P100)="", R100=""),
  "",
  MAX(1,
    IF(
      NETWORKDAYS(IF(Q100&lt;&gt;"", Q100, P100), R100) &lt;= 0,
      1,
      NETWORKDAYS(IF(Q100&lt;&gt;"", Q100, P100), R100) - IF(IF(Q100&lt;&gt;"", Q100, P100)=R100, 0, 1)
    )
  )
)</f>
        <v>1</v>
      </c>
      <c r="W100" s="333">
        <f t="shared" si="16"/>
        <v>1</v>
      </c>
      <c r="X100" s="7" t="s">
        <v>150</v>
      </c>
      <c r="Y100" s="7"/>
      <c r="Z100" s="7"/>
      <c r="AA100" s="7"/>
      <c r="AB100" s="7"/>
      <c r="AC100" s="7" t="s">
        <v>57</v>
      </c>
      <c r="AD100" s="7"/>
      <c r="AE100" s="7" t="s">
        <v>1984</v>
      </c>
      <c r="AF100" s="7" t="s">
        <v>953</v>
      </c>
      <c r="AG100" s="7"/>
    </row>
    <row r="101" spans="1:33" ht="75">
      <c r="A101" s="7" t="s">
        <v>1985</v>
      </c>
      <c r="B101" s="7" t="s">
        <v>1317</v>
      </c>
      <c r="C101" s="72" t="s">
        <v>1318</v>
      </c>
      <c r="D101" s="7" t="s">
        <v>143</v>
      </c>
      <c r="E101" s="7" t="s">
        <v>185</v>
      </c>
      <c r="F101" s="7" t="s">
        <v>1973</v>
      </c>
      <c r="G101" s="80">
        <v>15.74173</v>
      </c>
      <c r="H101" s="80">
        <v>120.94629999999999</v>
      </c>
      <c r="I101" s="7" t="str">
        <f t="shared" si="15"/>
        <v>15.74173, 120.9463</v>
      </c>
      <c r="J101" s="7" t="s">
        <v>79</v>
      </c>
      <c r="K101" s="101" t="s">
        <v>29</v>
      </c>
      <c r="L101" s="7" t="s">
        <v>1610</v>
      </c>
      <c r="M101" s="7" t="s">
        <v>212</v>
      </c>
      <c r="N101" s="7" t="s">
        <v>1986</v>
      </c>
      <c r="O101" s="33">
        <v>45849</v>
      </c>
      <c r="P101" s="33">
        <v>45853</v>
      </c>
      <c r="Q101" s="33">
        <v>45854</v>
      </c>
      <c r="R101" s="33">
        <v>45854</v>
      </c>
      <c r="S101" s="33">
        <v>45855</v>
      </c>
      <c r="T101" s="45">
        <f t="shared" si="17"/>
        <v>2</v>
      </c>
      <c r="U101" s="45">
        <f t="shared" si="18"/>
        <v>1</v>
      </c>
      <c r="V101" s="45">
        <f>IF(
  OR(IF(Q101&lt;&gt;"", Q101, P101)="", R101=""),
  "",
  MAX(1,
    IF(
      NETWORKDAYS(IF(Q101&lt;&gt;"", Q101, P101), R101) &lt;= 0,
      1,
      NETWORKDAYS(IF(Q101&lt;&gt;"", Q101, P101), R101) - IF(IF(Q101&lt;&gt;"", Q101, P101)=R101, 0, 1)
    )
  )
)</f>
        <v>1</v>
      </c>
      <c r="W101" s="45">
        <f t="shared" si="16"/>
        <v>1</v>
      </c>
      <c r="X101" s="7" t="s">
        <v>150</v>
      </c>
      <c r="Y101" s="7"/>
      <c r="Z101" s="7"/>
      <c r="AA101" s="7"/>
      <c r="AB101" s="7"/>
      <c r="AC101" s="7" t="s">
        <v>57</v>
      </c>
      <c r="AD101" s="7"/>
      <c r="AE101" s="7" t="s">
        <v>1987</v>
      </c>
      <c r="AF101" s="7"/>
      <c r="AG101" s="7"/>
    </row>
    <row r="102" spans="1:33" ht="75">
      <c r="A102" s="7" t="s">
        <v>1985</v>
      </c>
      <c r="B102" s="7" t="s">
        <v>1282</v>
      </c>
      <c r="C102" s="7" t="s">
        <v>1283</v>
      </c>
      <c r="D102" s="7" t="s">
        <v>143</v>
      </c>
      <c r="E102" s="7" t="s">
        <v>144</v>
      </c>
      <c r="F102" s="7" t="s">
        <v>1973</v>
      </c>
      <c r="G102" s="80">
        <v>15.556570000000001</v>
      </c>
      <c r="H102" s="80">
        <v>121.0951</v>
      </c>
      <c r="I102" s="7" t="str">
        <f t="shared" si="15"/>
        <v>15.55657, 121.0951</v>
      </c>
      <c r="J102" s="7" t="s">
        <v>77</v>
      </c>
      <c r="K102" s="101" t="s">
        <v>26</v>
      </c>
      <c r="L102" s="7" t="s">
        <v>1610</v>
      </c>
      <c r="M102" s="7" t="s">
        <v>212</v>
      </c>
      <c r="N102" s="7" t="s">
        <v>1988</v>
      </c>
      <c r="O102" s="33">
        <v>45792</v>
      </c>
      <c r="P102" s="33">
        <v>45796</v>
      </c>
      <c r="Q102" s="33">
        <v>45796</v>
      </c>
      <c r="R102" s="33">
        <v>45796</v>
      </c>
      <c r="S102" s="33">
        <v>45797</v>
      </c>
      <c r="T102" s="45">
        <f t="shared" si="17"/>
        <v>2</v>
      </c>
      <c r="U102" s="45">
        <f t="shared" si="18"/>
        <v>1</v>
      </c>
      <c r="V102" s="45">
        <f t="shared" si="14"/>
        <v>1</v>
      </c>
      <c r="W102" s="45">
        <f t="shared" si="16"/>
        <v>1</v>
      </c>
      <c r="X102" s="7" t="s">
        <v>150</v>
      </c>
      <c r="Y102" s="7" t="s">
        <v>69</v>
      </c>
      <c r="Z102" s="7" t="s">
        <v>69</v>
      </c>
      <c r="AA102" s="7" t="s">
        <v>69</v>
      </c>
      <c r="AB102" s="7" t="s">
        <v>69</v>
      </c>
      <c r="AC102" s="7" t="s">
        <v>57</v>
      </c>
      <c r="AD102" s="7" t="s">
        <v>69</v>
      </c>
      <c r="AE102" s="7" t="s">
        <v>1989</v>
      </c>
      <c r="AF102" s="7"/>
      <c r="AG102" s="7"/>
    </row>
    <row r="103" spans="1:33" ht="30">
      <c r="A103" s="7" t="s">
        <v>1990</v>
      </c>
      <c r="B103" s="7" t="s">
        <v>1953</v>
      </c>
      <c r="C103" s="7" t="s">
        <v>1991</v>
      </c>
      <c r="D103" s="7" t="s">
        <v>143</v>
      </c>
      <c r="E103" s="7"/>
      <c r="F103" s="7" t="s">
        <v>1973</v>
      </c>
      <c r="G103" s="80">
        <v>15.0823</v>
      </c>
      <c r="H103" s="80">
        <v>120.6123</v>
      </c>
      <c r="I103" s="7" t="str">
        <f t="shared" si="15"/>
        <v>15.0823, 120.6123</v>
      </c>
      <c r="J103" s="7" t="s">
        <v>78</v>
      </c>
      <c r="K103" s="101" t="s">
        <v>33</v>
      </c>
      <c r="L103" s="7" t="s">
        <v>28</v>
      </c>
      <c r="M103" s="7" t="s">
        <v>148</v>
      </c>
      <c r="N103" s="7" t="s">
        <v>1992</v>
      </c>
      <c r="O103" s="33">
        <v>45811</v>
      </c>
      <c r="P103" s="33">
        <v>45813</v>
      </c>
      <c r="Q103" s="33">
        <v>45818</v>
      </c>
      <c r="R103" s="33">
        <v>45826</v>
      </c>
      <c r="S103" s="33">
        <v>45826</v>
      </c>
      <c r="T103" s="45">
        <f t="shared" si="17"/>
        <v>2</v>
      </c>
      <c r="U103" s="45">
        <f t="shared" si="18"/>
        <v>3</v>
      </c>
      <c r="V103" s="45">
        <f>IF(
  OR(IF(Q103&lt;&gt;"", Q103, P103)="", R103=""),
  "",
  MAX(1,
    IF(
      NETWORKDAYS(IF(Q103&lt;&gt;"", Q103, P103), R103) &lt;= 0,
      1,
      NETWORKDAYS(IF(Q103&lt;&gt;"", Q103, P103), R103) - IF(IF(Q103&lt;&gt;"", Q103, P103)=R103, 0, 1)
    )
  )
)</f>
        <v>6</v>
      </c>
      <c r="W103" s="45">
        <f t="shared" si="16"/>
        <v>1</v>
      </c>
      <c r="X103" s="7" t="s">
        <v>150</v>
      </c>
      <c r="Y103" s="7" t="s">
        <v>69</v>
      </c>
      <c r="Z103" s="7" t="s">
        <v>69</v>
      </c>
      <c r="AA103" s="7" t="s">
        <v>69</v>
      </c>
      <c r="AB103" s="7" t="s">
        <v>69</v>
      </c>
      <c r="AC103" s="7" t="s">
        <v>66</v>
      </c>
      <c r="AD103" s="7">
        <v>0</v>
      </c>
      <c r="AE103" s="7" t="s">
        <v>1993</v>
      </c>
      <c r="AF103" s="7"/>
      <c r="AG103" s="7"/>
    </row>
    <row r="104" spans="1:33" ht="30">
      <c r="A104" s="7" t="s">
        <v>1994</v>
      </c>
      <c r="B104" s="7" t="s">
        <v>1447</v>
      </c>
      <c r="C104" s="7" t="s">
        <v>1995</v>
      </c>
      <c r="D104" s="7" t="s">
        <v>143</v>
      </c>
      <c r="E104" s="7" t="s">
        <v>144</v>
      </c>
      <c r="F104" s="7" t="s">
        <v>1973</v>
      </c>
      <c r="G104" s="80">
        <v>15.3704</v>
      </c>
      <c r="H104" s="80">
        <v>120.5457</v>
      </c>
      <c r="I104" s="7" t="str">
        <f t="shared" si="15"/>
        <v>15.3704, 120.5457</v>
      </c>
      <c r="J104" s="7" t="s">
        <v>76</v>
      </c>
      <c r="K104" s="101" t="s">
        <v>39</v>
      </c>
      <c r="L104" s="7"/>
      <c r="M104" s="7" t="s">
        <v>328</v>
      </c>
      <c r="N104" s="7" t="s">
        <v>1996</v>
      </c>
      <c r="O104" s="33">
        <v>45755</v>
      </c>
      <c r="P104" s="33">
        <v>45762</v>
      </c>
      <c r="Q104" s="33">
        <v>45762</v>
      </c>
      <c r="R104" s="33">
        <v>45768</v>
      </c>
      <c r="S104" s="33">
        <v>45768</v>
      </c>
      <c r="T104" s="45">
        <f t="shared" si="17"/>
        <v>5</v>
      </c>
      <c r="U104" s="45">
        <f t="shared" si="18"/>
        <v>1</v>
      </c>
      <c r="V104" s="45">
        <f t="shared" si="14"/>
        <v>4</v>
      </c>
      <c r="W104" s="45">
        <f t="shared" si="16"/>
        <v>1</v>
      </c>
      <c r="X104" s="7" t="s">
        <v>150</v>
      </c>
      <c r="Y104" s="7" t="s">
        <v>69</v>
      </c>
      <c r="Z104" s="7" t="s">
        <v>69</v>
      </c>
      <c r="AA104" s="7"/>
      <c r="AB104" s="7" t="s">
        <v>69</v>
      </c>
      <c r="AC104" s="7" t="s">
        <v>57</v>
      </c>
      <c r="AD104" s="7"/>
      <c r="AE104" s="7" t="s">
        <v>1997</v>
      </c>
      <c r="AF104" s="7"/>
      <c r="AG104" s="7"/>
    </row>
    <row r="105" spans="1:33" ht="45">
      <c r="A105" s="7" t="s">
        <v>1998</v>
      </c>
      <c r="B105" s="7" t="s">
        <v>1215</v>
      </c>
      <c r="C105" s="7" t="s">
        <v>1216</v>
      </c>
      <c r="D105" s="7" t="s">
        <v>159</v>
      </c>
      <c r="E105" s="7" t="s">
        <v>160</v>
      </c>
      <c r="F105" s="7" t="s">
        <v>1973</v>
      </c>
      <c r="G105" s="80">
        <v>14.92318</v>
      </c>
      <c r="H105" s="80">
        <v>120.1478</v>
      </c>
      <c r="I105" s="7" t="str">
        <f t="shared" ref="I105:I136" si="19">CONCATENATE(G105,","," ",H105)</f>
        <v>14.92318, 120.1478</v>
      </c>
      <c r="J105" s="7" t="s">
        <v>79</v>
      </c>
      <c r="K105" s="101"/>
      <c r="L105" s="7" t="s">
        <v>163</v>
      </c>
      <c r="M105" s="7" t="s">
        <v>164</v>
      </c>
      <c r="N105" s="7" t="s">
        <v>1999</v>
      </c>
      <c r="O105" s="33">
        <v>45856</v>
      </c>
      <c r="P105" s="33">
        <v>45859</v>
      </c>
      <c r="Q105" s="33">
        <v>45859</v>
      </c>
      <c r="R105" s="33">
        <v>45859</v>
      </c>
      <c r="S105" s="33">
        <v>45859</v>
      </c>
      <c r="T105" s="45">
        <f t="shared" si="17"/>
        <v>1</v>
      </c>
      <c r="U105" s="45">
        <f t="shared" si="18"/>
        <v>1</v>
      </c>
      <c r="V105" s="45">
        <f t="shared" si="14"/>
        <v>1</v>
      </c>
      <c r="W105" s="45">
        <f t="shared" si="16"/>
        <v>1</v>
      </c>
      <c r="X105" s="7" t="s">
        <v>150</v>
      </c>
      <c r="Y105" s="7"/>
      <c r="Z105" s="7"/>
      <c r="AA105" s="7"/>
      <c r="AB105" s="7"/>
      <c r="AC105" s="7" t="s">
        <v>57</v>
      </c>
      <c r="AD105" s="7" t="s">
        <v>69</v>
      </c>
      <c r="AE105" s="7" t="s">
        <v>2000</v>
      </c>
      <c r="AF105" s="7"/>
      <c r="AG105" s="7"/>
    </row>
    <row r="106" spans="1:33" ht="30">
      <c r="A106" s="7" t="s">
        <v>779</v>
      </c>
      <c r="B106" s="7" t="s">
        <v>1465</v>
      </c>
      <c r="C106" s="7" t="s">
        <v>1466</v>
      </c>
      <c r="D106" s="7" t="s">
        <v>159</v>
      </c>
      <c r="E106" s="100" t="s">
        <v>160</v>
      </c>
      <c r="F106" s="7" t="s">
        <v>1747</v>
      </c>
      <c r="G106" s="7">
        <v>15.706300000000001</v>
      </c>
      <c r="H106" s="7">
        <v>120.629</v>
      </c>
      <c r="I106" s="7" t="str">
        <f t="shared" si="19"/>
        <v>15.7063, 120.629</v>
      </c>
      <c r="J106" s="7" t="s">
        <v>79</v>
      </c>
      <c r="K106" s="101" t="s">
        <v>38</v>
      </c>
      <c r="L106" s="7"/>
      <c r="M106" s="7" t="s">
        <v>328</v>
      </c>
      <c r="N106" s="7" t="s">
        <v>2001</v>
      </c>
      <c r="O106" s="33">
        <v>45856</v>
      </c>
      <c r="P106" s="33">
        <v>45859</v>
      </c>
      <c r="Q106" s="33"/>
      <c r="R106" s="33">
        <v>45859</v>
      </c>
      <c r="S106" s="33">
        <v>45859</v>
      </c>
      <c r="T106" s="45">
        <f t="shared" si="17"/>
        <v>1</v>
      </c>
      <c r="U106" s="45" t="str">
        <f t="shared" si="18"/>
        <v/>
      </c>
      <c r="V106" s="45">
        <f t="shared" si="14"/>
        <v>1</v>
      </c>
      <c r="W106" s="45">
        <f t="shared" si="16"/>
        <v>1</v>
      </c>
      <c r="X106" s="7" t="s">
        <v>150</v>
      </c>
      <c r="Y106" s="7" t="s">
        <v>50</v>
      </c>
      <c r="Z106" s="7" t="s">
        <v>50</v>
      </c>
      <c r="AA106" s="7" t="s">
        <v>69</v>
      </c>
      <c r="AB106" s="7" t="s">
        <v>57</v>
      </c>
      <c r="AC106" s="7" t="s">
        <v>69</v>
      </c>
      <c r="AD106" s="7" t="s">
        <v>69</v>
      </c>
      <c r="AE106" s="7"/>
      <c r="AF106" s="7" t="s">
        <v>953</v>
      </c>
      <c r="AG106" s="7"/>
    </row>
    <row r="107" spans="1:33" ht="30">
      <c r="A107" s="7" t="s">
        <v>779</v>
      </c>
      <c r="B107" s="7" t="s">
        <v>299</v>
      </c>
      <c r="C107" s="7" t="s">
        <v>1494</v>
      </c>
      <c r="D107" s="7" t="s">
        <v>143</v>
      </c>
      <c r="E107" s="100" t="s">
        <v>144</v>
      </c>
      <c r="F107" s="7" t="s">
        <v>1738</v>
      </c>
      <c r="G107" s="7">
        <v>15.293799999999999</v>
      </c>
      <c r="H107" s="7">
        <v>120.52290000000001</v>
      </c>
      <c r="I107" s="7" t="str">
        <f t="shared" si="19"/>
        <v>15.2938, 120.5229</v>
      </c>
      <c r="J107" s="7" t="s">
        <v>76</v>
      </c>
      <c r="K107" s="101" t="s">
        <v>39</v>
      </c>
      <c r="L107" s="7"/>
      <c r="M107" s="7" t="s">
        <v>328</v>
      </c>
      <c r="N107" s="7" t="s">
        <v>2002</v>
      </c>
      <c r="O107" s="33">
        <v>45757</v>
      </c>
      <c r="P107" s="33">
        <v>45758</v>
      </c>
      <c r="Q107" s="33">
        <v>45758</v>
      </c>
      <c r="R107" s="33">
        <v>45761</v>
      </c>
      <c r="S107" s="33">
        <v>45761</v>
      </c>
      <c r="T107" s="45">
        <f t="shared" si="17"/>
        <v>1</v>
      </c>
      <c r="U107" s="45">
        <f t="shared" si="18"/>
        <v>1</v>
      </c>
      <c r="V107" s="45">
        <f t="shared" si="14"/>
        <v>1</v>
      </c>
      <c r="W107" s="45">
        <f t="shared" si="16"/>
        <v>1</v>
      </c>
      <c r="X107" s="7" t="s">
        <v>150</v>
      </c>
      <c r="Y107" s="7" t="s">
        <v>57</v>
      </c>
      <c r="Z107" s="7" t="s">
        <v>57</v>
      </c>
      <c r="AA107" s="7" t="s">
        <v>808</v>
      </c>
      <c r="AB107" s="7" t="s">
        <v>69</v>
      </c>
      <c r="AC107" s="7"/>
      <c r="AD107" s="7"/>
      <c r="AE107" s="7" t="s">
        <v>2003</v>
      </c>
      <c r="AF107" s="7"/>
      <c r="AG107" s="7"/>
    </row>
    <row r="108" spans="1:33" ht="45">
      <c r="A108" s="7" t="s">
        <v>779</v>
      </c>
      <c r="B108" s="7" t="s">
        <v>1469</v>
      </c>
      <c r="C108" s="7" t="s">
        <v>1470</v>
      </c>
      <c r="D108" s="7" t="s">
        <v>159</v>
      </c>
      <c r="E108" s="100" t="s">
        <v>160</v>
      </c>
      <c r="F108" s="7" t="s">
        <v>1747</v>
      </c>
      <c r="G108" s="7">
        <v>15.6291424574178</v>
      </c>
      <c r="H108" s="7">
        <v>120.35300109811899</v>
      </c>
      <c r="I108" s="7" t="str">
        <f t="shared" si="19"/>
        <v>15.6291424574178, 120.353001098119</v>
      </c>
      <c r="J108" s="7" t="s">
        <v>74</v>
      </c>
      <c r="K108" s="101" t="s">
        <v>38</v>
      </c>
      <c r="L108" s="7" t="s">
        <v>163</v>
      </c>
      <c r="M108" s="7" t="s">
        <v>328</v>
      </c>
      <c r="N108" s="7" t="s">
        <v>2004</v>
      </c>
      <c r="O108" s="33">
        <v>45706</v>
      </c>
      <c r="P108" s="33">
        <v>45706</v>
      </c>
      <c r="Q108" s="33">
        <v>45707</v>
      </c>
      <c r="R108" s="33">
        <v>45707</v>
      </c>
      <c r="S108" s="33">
        <v>45707</v>
      </c>
      <c r="T108" s="45">
        <f t="shared" si="17"/>
        <v>1</v>
      </c>
      <c r="U108" s="45">
        <f t="shared" si="18"/>
        <v>1</v>
      </c>
      <c r="V108" s="45">
        <f t="shared" si="14"/>
        <v>1</v>
      </c>
      <c r="W108" s="45">
        <f t="shared" si="16"/>
        <v>1</v>
      </c>
      <c r="X108" s="7" t="s">
        <v>150</v>
      </c>
      <c r="Y108" s="316" t="s">
        <v>50</v>
      </c>
      <c r="Z108" s="7" t="s">
        <v>57</v>
      </c>
      <c r="AA108" s="7" t="s">
        <v>808</v>
      </c>
      <c r="AB108" s="316" t="s">
        <v>808</v>
      </c>
      <c r="AC108" s="316" t="s">
        <v>50</v>
      </c>
      <c r="AD108" s="7" t="s">
        <v>808</v>
      </c>
      <c r="AE108" s="7" t="s">
        <v>2005</v>
      </c>
      <c r="AF108" s="7"/>
      <c r="AG108" s="7"/>
    </row>
    <row r="109" spans="1:33" ht="30">
      <c r="A109" s="7" t="s">
        <v>779</v>
      </c>
      <c r="B109" s="7" t="s">
        <v>368</v>
      </c>
      <c r="C109" s="7" t="s">
        <v>1448</v>
      </c>
      <c r="D109" s="7" t="s">
        <v>143</v>
      </c>
      <c r="E109" s="100" t="s">
        <v>144</v>
      </c>
      <c r="F109" s="7" t="s">
        <v>1738</v>
      </c>
      <c r="G109" s="7">
        <v>15.320499999999999</v>
      </c>
      <c r="H109" s="7">
        <v>120.58929999999999</v>
      </c>
      <c r="I109" s="7" t="str">
        <f t="shared" si="19"/>
        <v>15.3205, 120.5893</v>
      </c>
      <c r="J109" s="7" t="s">
        <v>74</v>
      </c>
      <c r="K109" s="101" t="s">
        <v>39</v>
      </c>
      <c r="L109" s="7" t="s">
        <v>163</v>
      </c>
      <c r="M109" s="7" t="s">
        <v>328</v>
      </c>
      <c r="N109" s="7" t="s">
        <v>2006</v>
      </c>
      <c r="O109" s="33">
        <v>45694</v>
      </c>
      <c r="P109" s="33">
        <v>45698</v>
      </c>
      <c r="Q109" s="33">
        <v>45700</v>
      </c>
      <c r="R109" s="33">
        <v>45700</v>
      </c>
      <c r="S109" s="33">
        <v>45701</v>
      </c>
      <c r="T109" s="45">
        <f t="shared" si="17"/>
        <v>2</v>
      </c>
      <c r="U109" s="45">
        <f t="shared" si="18"/>
        <v>2</v>
      </c>
      <c r="V109" s="45">
        <f t="shared" si="14"/>
        <v>1</v>
      </c>
      <c r="W109" s="45">
        <f t="shared" si="16"/>
        <v>1</v>
      </c>
      <c r="X109" s="7" t="s">
        <v>150</v>
      </c>
      <c r="Y109" s="7" t="s">
        <v>50</v>
      </c>
      <c r="Z109" s="7" t="s">
        <v>66</v>
      </c>
      <c r="AA109" s="7" t="s">
        <v>808</v>
      </c>
      <c r="AB109" s="7" t="s">
        <v>808</v>
      </c>
      <c r="AC109" s="7" t="s">
        <v>808</v>
      </c>
      <c r="AD109" s="7" t="s">
        <v>808</v>
      </c>
      <c r="AE109" s="7" t="s">
        <v>2007</v>
      </c>
      <c r="AF109" s="7"/>
      <c r="AG109" s="7"/>
    </row>
    <row r="110" spans="1:33" ht="30">
      <c r="A110" s="360" t="s">
        <v>779</v>
      </c>
      <c r="B110" s="360" t="s">
        <v>422</v>
      </c>
      <c r="C110" s="360" t="s">
        <v>957</v>
      </c>
      <c r="D110" s="360" t="s">
        <v>143</v>
      </c>
      <c r="E110" s="542" t="s">
        <v>144</v>
      </c>
      <c r="F110" s="360" t="s">
        <v>1738</v>
      </c>
      <c r="G110" s="360">
        <v>15.3027</v>
      </c>
      <c r="H110" s="360">
        <v>120.652</v>
      </c>
      <c r="I110" s="360" t="str">
        <f t="shared" si="19"/>
        <v>15.3027, 120.652</v>
      </c>
      <c r="J110" s="360" t="s">
        <v>75</v>
      </c>
      <c r="K110" s="541"/>
      <c r="L110" s="360" t="s">
        <v>163</v>
      </c>
      <c r="M110" s="360" t="s">
        <v>328</v>
      </c>
      <c r="N110" s="360" t="s">
        <v>2008</v>
      </c>
      <c r="O110" s="536">
        <v>45720</v>
      </c>
      <c r="P110" s="536">
        <v>45723</v>
      </c>
      <c r="Q110" s="536">
        <v>45723</v>
      </c>
      <c r="R110" s="536">
        <v>45726</v>
      </c>
      <c r="S110" s="536">
        <v>45728</v>
      </c>
      <c r="T110" s="354">
        <f t="shared" si="17"/>
        <v>3</v>
      </c>
      <c r="U110" s="354">
        <f t="shared" si="18"/>
        <v>1</v>
      </c>
      <c r="V110" s="45">
        <f t="shared" si="14"/>
        <v>1</v>
      </c>
      <c r="W110" s="354">
        <f t="shared" si="16"/>
        <v>2</v>
      </c>
      <c r="X110" s="7" t="s">
        <v>150</v>
      </c>
      <c r="Y110" s="360" t="s">
        <v>57</v>
      </c>
      <c r="Z110" s="360" t="s">
        <v>57</v>
      </c>
      <c r="AA110" s="360" t="s">
        <v>69</v>
      </c>
      <c r="AB110" s="360" t="s">
        <v>69</v>
      </c>
      <c r="AC110" s="360" t="s">
        <v>69</v>
      </c>
      <c r="AD110" s="360" t="s">
        <v>69</v>
      </c>
      <c r="AE110" s="360" t="s">
        <v>2009</v>
      </c>
      <c r="AF110" s="360"/>
      <c r="AG110" s="360"/>
    </row>
    <row r="111" spans="1:33">
      <c r="A111" s="7" t="s">
        <v>779</v>
      </c>
      <c r="B111" s="7" t="s">
        <v>2010</v>
      </c>
      <c r="C111" s="7" t="s">
        <v>1481</v>
      </c>
      <c r="D111" s="7" t="s">
        <v>159</v>
      </c>
      <c r="E111" s="100" t="s">
        <v>185</v>
      </c>
      <c r="F111" s="7" t="s">
        <v>1738</v>
      </c>
      <c r="G111" s="7">
        <v>15.59802</v>
      </c>
      <c r="H111" s="7">
        <v>120.55574</v>
      </c>
      <c r="I111" s="7" t="str">
        <f t="shared" si="19"/>
        <v>15.59802, 120.55574</v>
      </c>
      <c r="J111" s="7" t="s">
        <v>74</v>
      </c>
      <c r="K111" s="7" t="s">
        <v>37</v>
      </c>
      <c r="L111" s="7" t="s">
        <v>163</v>
      </c>
      <c r="M111" s="7" t="s">
        <v>328</v>
      </c>
      <c r="N111" s="7" t="s">
        <v>2011</v>
      </c>
      <c r="O111" s="33">
        <v>45680</v>
      </c>
      <c r="P111" s="33">
        <v>45682</v>
      </c>
      <c r="Q111" s="33"/>
      <c r="R111" s="33">
        <v>45684</v>
      </c>
      <c r="S111" s="33">
        <v>45685</v>
      </c>
      <c r="T111" s="45">
        <f t="shared" si="17"/>
        <v>1</v>
      </c>
      <c r="U111" s="45" t="str">
        <f t="shared" si="18"/>
        <v/>
      </c>
      <c r="V111" s="45">
        <f t="shared" si="14"/>
        <v>1</v>
      </c>
      <c r="W111" s="45">
        <f t="shared" si="16"/>
        <v>1</v>
      </c>
      <c r="X111" s="7" t="s">
        <v>150</v>
      </c>
      <c r="Y111" s="7" t="s">
        <v>57</v>
      </c>
      <c r="Z111" s="7" t="s">
        <v>50</v>
      </c>
      <c r="AA111" s="7" t="s">
        <v>808</v>
      </c>
      <c r="AB111" s="7" t="s">
        <v>808</v>
      </c>
      <c r="AC111" s="7" t="s">
        <v>808</v>
      </c>
      <c r="AD111" s="7" t="s">
        <v>808</v>
      </c>
      <c r="AE111" s="7" t="s">
        <v>2012</v>
      </c>
      <c r="AF111" s="7"/>
      <c r="AG111" s="7"/>
    </row>
    <row r="112" spans="1:33" ht="30">
      <c r="A112" s="7" t="s">
        <v>779</v>
      </c>
      <c r="B112" s="7" t="s">
        <v>2013</v>
      </c>
      <c r="C112" s="7" t="s">
        <v>1458</v>
      </c>
      <c r="D112" s="7" t="s">
        <v>143</v>
      </c>
      <c r="E112" s="100" t="s">
        <v>144</v>
      </c>
      <c r="F112" s="7" t="s">
        <v>1738</v>
      </c>
      <c r="G112" s="7">
        <v>15.422700000000001</v>
      </c>
      <c r="H112" s="7">
        <v>120.70820000000001</v>
      </c>
      <c r="I112" s="7" t="str">
        <f t="shared" si="19"/>
        <v>15.4227, 120.7082</v>
      </c>
      <c r="J112" s="7" t="s">
        <v>80</v>
      </c>
      <c r="K112" s="7" t="s">
        <v>39</v>
      </c>
      <c r="L112" s="7"/>
      <c r="M112" s="7" t="s">
        <v>328</v>
      </c>
      <c r="N112" s="7" t="s">
        <v>2014</v>
      </c>
      <c r="O112" s="33">
        <v>45870</v>
      </c>
      <c r="P112" s="33">
        <v>45883</v>
      </c>
      <c r="Q112" s="33"/>
      <c r="R112" s="33">
        <v>45887</v>
      </c>
      <c r="S112" s="33">
        <v>45888</v>
      </c>
      <c r="T112" s="45">
        <f t="shared" si="17"/>
        <v>9</v>
      </c>
      <c r="U112" s="45" t="str">
        <f t="shared" si="18"/>
        <v/>
      </c>
      <c r="V112" s="45">
        <f t="shared" si="14"/>
        <v>2</v>
      </c>
      <c r="W112" s="45">
        <f t="shared" si="16"/>
        <v>1</v>
      </c>
      <c r="X112" s="7" t="s">
        <v>150</v>
      </c>
      <c r="Y112" s="7" t="s">
        <v>50</v>
      </c>
      <c r="Z112" s="7" t="s">
        <v>57</v>
      </c>
      <c r="AA112" s="7" t="s">
        <v>679</v>
      </c>
      <c r="AB112" s="7"/>
      <c r="AC112" s="7"/>
      <c r="AD112" s="7"/>
      <c r="AE112" s="362" t="s">
        <v>2015</v>
      </c>
      <c r="AF112" s="7"/>
      <c r="AG112" s="7"/>
    </row>
    <row r="113" spans="1:33" ht="30">
      <c r="A113" s="549" t="s">
        <v>779</v>
      </c>
      <c r="B113" s="549" t="s">
        <v>1485</v>
      </c>
      <c r="C113" s="549" t="s">
        <v>1486</v>
      </c>
      <c r="D113" s="549" t="s">
        <v>159</v>
      </c>
      <c r="E113" s="627" t="s">
        <v>160</v>
      </c>
      <c r="F113" s="549" t="s">
        <v>1741</v>
      </c>
      <c r="G113" s="549">
        <v>15.62434</v>
      </c>
      <c r="H113" s="549">
        <v>120.37879</v>
      </c>
      <c r="I113" s="549" t="str">
        <f t="shared" si="19"/>
        <v>15.62434, 120.37879</v>
      </c>
      <c r="J113" s="549" t="s">
        <v>80</v>
      </c>
      <c r="K113" s="541" t="s">
        <v>38</v>
      </c>
      <c r="L113" s="549"/>
      <c r="M113" s="549" t="s">
        <v>328</v>
      </c>
      <c r="N113" s="549" t="s">
        <v>2016</v>
      </c>
      <c r="O113" s="553">
        <v>45876</v>
      </c>
      <c r="P113" s="553">
        <v>45880</v>
      </c>
      <c r="Q113" s="553"/>
      <c r="R113" s="553">
        <v>45880</v>
      </c>
      <c r="S113" s="553">
        <v>45882</v>
      </c>
      <c r="T113" s="554">
        <f t="shared" si="17"/>
        <v>2</v>
      </c>
      <c r="U113" s="554" t="str">
        <f t="shared" si="18"/>
        <v/>
      </c>
      <c r="V113" s="45">
        <f t="shared" si="14"/>
        <v>1</v>
      </c>
      <c r="W113" s="554">
        <f t="shared" si="16"/>
        <v>2</v>
      </c>
      <c r="X113" s="7" t="s">
        <v>150</v>
      </c>
      <c r="Y113" s="549" t="s">
        <v>50</v>
      </c>
      <c r="Z113" s="549" t="s">
        <v>57</v>
      </c>
      <c r="AA113" s="360" t="s">
        <v>69</v>
      </c>
      <c r="AB113" s="360" t="s">
        <v>69</v>
      </c>
      <c r="AC113" s="360" t="s">
        <v>69</v>
      </c>
      <c r="AD113" s="360" t="s">
        <v>69</v>
      </c>
      <c r="AE113" s="566"/>
      <c r="AF113" s="549" t="s">
        <v>953</v>
      </c>
      <c r="AG113" s="549"/>
    </row>
    <row r="114" spans="1:33">
      <c r="A114" s="7" t="s">
        <v>779</v>
      </c>
      <c r="B114" s="7" t="s">
        <v>2017</v>
      </c>
      <c r="C114" s="7" t="s">
        <v>1490</v>
      </c>
      <c r="D114" s="7" t="s">
        <v>159</v>
      </c>
      <c r="E114" s="100" t="s">
        <v>160</v>
      </c>
      <c r="F114" s="7" t="s">
        <v>1738</v>
      </c>
      <c r="G114" s="7">
        <v>15.732620000000001</v>
      </c>
      <c r="H114" s="7">
        <v>120.58458</v>
      </c>
      <c r="I114" s="7" t="str">
        <f t="shared" si="19"/>
        <v>15.73262, 120.58458</v>
      </c>
      <c r="J114" s="7" t="s">
        <v>81</v>
      </c>
      <c r="K114" s="7" t="s">
        <v>37</v>
      </c>
      <c r="L114" s="7"/>
      <c r="M114" s="7" t="s">
        <v>328</v>
      </c>
      <c r="N114" s="7" t="s">
        <v>2018</v>
      </c>
      <c r="O114" s="33">
        <v>45917</v>
      </c>
      <c r="P114" s="33">
        <v>45918</v>
      </c>
      <c r="Q114" s="33"/>
      <c r="R114" s="33">
        <v>45918</v>
      </c>
      <c r="S114" s="33">
        <v>45918</v>
      </c>
      <c r="T114" s="45">
        <f t="shared" si="17"/>
        <v>1</v>
      </c>
      <c r="U114" s="45" t="str">
        <f t="shared" si="18"/>
        <v/>
      </c>
      <c r="V114" s="45">
        <f t="shared" si="14"/>
        <v>1</v>
      </c>
      <c r="W114" s="45">
        <f t="shared" si="16"/>
        <v>1</v>
      </c>
      <c r="X114" s="7" t="s">
        <v>150</v>
      </c>
      <c r="Y114" s="7" t="s">
        <v>50</v>
      </c>
      <c r="Z114" s="7" t="s">
        <v>50</v>
      </c>
      <c r="AA114" s="7" t="s">
        <v>69</v>
      </c>
      <c r="AB114" s="7" t="s">
        <v>69</v>
      </c>
      <c r="AC114" s="7" t="s">
        <v>69</v>
      </c>
      <c r="AD114" s="7" t="s">
        <v>69</v>
      </c>
      <c r="AE114" s="360"/>
      <c r="AF114" s="7"/>
      <c r="AG114" s="7"/>
    </row>
    <row r="115" spans="1:33">
      <c r="A115" s="135" t="s">
        <v>779</v>
      </c>
      <c r="B115" s="135" t="s">
        <v>2019</v>
      </c>
      <c r="C115" s="135" t="s">
        <v>1494</v>
      </c>
      <c r="D115" s="135" t="s">
        <v>159</v>
      </c>
      <c r="E115" s="557" t="s">
        <v>160</v>
      </c>
      <c r="F115" s="135" t="s">
        <v>1738</v>
      </c>
      <c r="G115" s="135">
        <v>15.64289</v>
      </c>
      <c r="H115" s="135">
        <v>120.56054</v>
      </c>
      <c r="I115" s="135" t="str">
        <f t="shared" si="19"/>
        <v>15.64289, 120.56054</v>
      </c>
      <c r="J115" s="135" t="s">
        <v>82</v>
      </c>
      <c r="K115" s="101" t="s">
        <v>37</v>
      </c>
      <c r="L115" s="135"/>
      <c r="M115" s="135" t="s">
        <v>28</v>
      </c>
      <c r="N115" s="135" t="s">
        <v>2020</v>
      </c>
      <c r="O115" s="546">
        <v>45944</v>
      </c>
      <c r="P115" s="546">
        <v>45945</v>
      </c>
      <c r="Q115" s="546"/>
      <c r="R115" s="546">
        <v>45945</v>
      </c>
      <c r="S115" s="546">
        <v>45945</v>
      </c>
      <c r="T115" s="423">
        <f t="shared" si="17"/>
        <v>1</v>
      </c>
      <c r="U115" s="423" t="str">
        <f t="shared" si="18"/>
        <v/>
      </c>
      <c r="V115" s="45">
        <f t="shared" si="14"/>
        <v>1</v>
      </c>
      <c r="W115" s="423">
        <f t="shared" si="16"/>
        <v>1</v>
      </c>
      <c r="X115" s="7" t="s">
        <v>150</v>
      </c>
      <c r="Y115" s="135" t="s">
        <v>50</v>
      </c>
      <c r="Z115" s="135" t="s">
        <v>50</v>
      </c>
      <c r="AA115" s="135" t="s">
        <v>2021</v>
      </c>
      <c r="AB115" s="135" t="s">
        <v>69</v>
      </c>
      <c r="AC115" s="135" t="s">
        <v>69</v>
      </c>
      <c r="AD115" s="544" t="s">
        <v>69</v>
      </c>
      <c r="AE115" s="7" t="s">
        <v>2022</v>
      </c>
      <c r="AF115" s="545"/>
      <c r="AG115" s="135"/>
    </row>
    <row r="116" spans="1:33" ht="30">
      <c r="A116" s="360" t="s">
        <v>779</v>
      </c>
      <c r="B116" s="360" t="s">
        <v>1498</v>
      </c>
      <c r="C116" s="360" t="s">
        <v>1499</v>
      </c>
      <c r="D116" s="360" t="s">
        <v>159</v>
      </c>
      <c r="E116" s="542" t="s">
        <v>160</v>
      </c>
      <c r="F116" s="360" t="s">
        <v>1747</v>
      </c>
      <c r="G116" s="360">
        <v>15.6158</v>
      </c>
      <c r="H116" s="360">
        <v>120.6521</v>
      </c>
      <c r="I116" s="360" t="str">
        <f t="shared" si="19"/>
        <v>15.6158, 120.6521</v>
      </c>
      <c r="J116" s="360" t="s">
        <v>79</v>
      </c>
      <c r="K116" s="541" t="s">
        <v>37</v>
      </c>
      <c r="L116" s="360"/>
      <c r="M116" s="360" t="s">
        <v>328</v>
      </c>
      <c r="N116" s="360" t="s">
        <v>2023</v>
      </c>
      <c r="O116" s="536">
        <v>45855</v>
      </c>
      <c r="P116" s="536">
        <v>45856</v>
      </c>
      <c r="Q116" s="536"/>
      <c r="R116" s="536">
        <v>45856</v>
      </c>
      <c r="S116" s="536">
        <v>45856</v>
      </c>
      <c r="T116" s="354">
        <f t="shared" si="17"/>
        <v>1</v>
      </c>
      <c r="U116" s="354" t="str">
        <f t="shared" si="18"/>
        <v/>
      </c>
      <c r="V116" s="45">
        <f t="shared" si="14"/>
        <v>1</v>
      </c>
      <c r="W116" s="354">
        <f t="shared" si="16"/>
        <v>1</v>
      </c>
      <c r="X116" s="7" t="s">
        <v>150</v>
      </c>
      <c r="Y116" s="360" t="s">
        <v>57</v>
      </c>
      <c r="Z116" s="360" t="s">
        <v>57</v>
      </c>
      <c r="AA116" s="360" t="s">
        <v>69</v>
      </c>
      <c r="AB116" s="360" t="s">
        <v>69</v>
      </c>
      <c r="AC116" s="360" t="s">
        <v>69</v>
      </c>
      <c r="AD116" s="360" t="s">
        <v>69</v>
      </c>
      <c r="AE116" s="549" t="s">
        <v>2024</v>
      </c>
      <c r="AF116" s="360" t="s">
        <v>953</v>
      </c>
      <c r="AG116" s="360"/>
    </row>
    <row r="117" spans="1:33" ht="30">
      <c r="A117" s="7" t="s">
        <v>779</v>
      </c>
      <c r="B117" s="7" t="s">
        <v>1502</v>
      </c>
      <c r="C117" s="7" t="s">
        <v>2025</v>
      </c>
      <c r="D117" s="7" t="s">
        <v>159</v>
      </c>
      <c r="E117" s="100" t="s">
        <v>160</v>
      </c>
      <c r="F117" s="7" t="s">
        <v>1747</v>
      </c>
      <c r="G117" s="7">
        <v>15.687609999999999</v>
      </c>
      <c r="H117" s="7">
        <v>120.63420000000001</v>
      </c>
      <c r="I117" s="7" t="str">
        <f t="shared" si="19"/>
        <v>15.68761, 120.6342</v>
      </c>
      <c r="J117" s="7" t="s">
        <v>81</v>
      </c>
      <c r="K117" s="7" t="s">
        <v>38</v>
      </c>
      <c r="L117" s="7"/>
      <c r="M117" s="7" t="s">
        <v>328</v>
      </c>
      <c r="N117" s="7" t="s">
        <v>2026</v>
      </c>
      <c r="O117" s="33">
        <v>45917</v>
      </c>
      <c r="P117" s="33">
        <v>45918</v>
      </c>
      <c r="Q117" s="33"/>
      <c r="R117" s="33">
        <v>45918</v>
      </c>
      <c r="S117" s="33">
        <v>45918</v>
      </c>
      <c r="T117" s="45">
        <f t="shared" si="17"/>
        <v>1</v>
      </c>
      <c r="U117" s="45" t="str">
        <f t="shared" si="18"/>
        <v/>
      </c>
      <c r="V117" s="45">
        <f t="shared" si="14"/>
        <v>1</v>
      </c>
      <c r="W117" s="45">
        <f t="shared" si="16"/>
        <v>1</v>
      </c>
      <c r="X117" s="7" t="s">
        <v>150</v>
      </c>
      <c r="Y117" s="7" t="s">
        <v>50</v>
      </c>
      <c r="Z117" s="7" t="s">
        <v>57</v>
      </c>
      <c r="AA117" s="7" t="s">
        <v>69</v>
      </c>
      <c r="AB117" s="7" t="s">
        <v>50</v>
      </c>
      <c r="AC117" s="7" t="s">
        <v>69</v>
      </c>
      <c r="AD117" s="7" t="s">
        <v>69</v>
      </c>
      <c r="AE117" s="360" t="s">
        <v>2027</v>
      </c>
      <c r="AF117" s="7"/>
      <c r="AG117" s="7"/>
    </row>
    <row r="118" spans="1:33" ht="75">
      <c r="A118" s="135" t="s">
        <v>779</v>
      </c>
      <c r="B118" s="135" t="s">
        <v>1506</v>
      </c>
      <c r="C118" s="135" t="s">
        <v>2028</v>
      </c>
      <c r="D118" s="135" t="s">
        <v>159</v>
      </c>
      <c r="E118" s="557" t="s">
        <v>160</v>
      </c>
      <c r="F118" s="135" t="s">
        <v>1747</v>
      </c>
      <c r="G118" s="135">
        <v>15.68412</v>
      </c>
      <c r="H118" s="135">
        <v>120.3616</v>
      </c>
      <c r="I118" s="135" t="str">
        <f t="shared" si="19"/>
        <v>15.68412, 120.3616</v>
      </c>
      <c r="J118" s="135" t="s">
        <v>82</v>
      </c>
      <c r="K118" s="101" t="s">
        <v>38</v>
      </c>
      <c r="L118" s="135"/>
      <c r="M118" s="135" t="s">
        <v>28</v>
      </c>
      <c r="N118" s="135" t="s">
        <v>2029</v>
      </c>
      <c r="O118" s="546">
        <v>45946</v>
      </c>
      <c r="P118" s="546">
        <v>45946</v>
      </c>
      <c r="Q118" s="546"/>
      <c r="R118" s="546">
        <v>45946</v>
      </c>
      <c r="S118" s="33">
        <v>45947</v>
      </c>
      <c r="T118" s="423">
        <f t="shared" si="17"/>
        <v>1</v>
      </c>
      <c r="U118" s="423" t="str">
        <f t="shared" si="18"/>
        <v/>
      </c>
      <c r="V118" s="45">
        <f>IF(
  OR(IF(Q118&lt;&gt;"", Q118, P118)="", R118=""),
  "",
  MAX(1,
    IF(
      NETWORKDAYS(IF(Q118&lt;&gt;"", Q118, P118), R118) &lt;= 0,
      1,
      NETWORKDAYS(IF(Q118&lt;&gt;"", Q118, P118), R118) - IF(IF(Q118&lt;&gt;"", Q118, P118)=R118, 0, 1)
    )
  )
)</f>
        <v>1</v>
      </c>
      <c r="W118" s="423">
        <f t="shared" si="16"/>
        <v>1</v>
      </c>
      <c r="X118" s="7" t="s">
        <v>150</v>
      </c>
      <c r="Y118" s="81" t="s">
        <v>50</v>
      </c>
      <c r="Z118" s="135" t="s">
        <v>57</v>
      </c>
      <c r="AA118" s="135" t="s">
        <v>69</v>
      </c>
      <c r="AB118" s="135" t="s">
        <v>69</v>
      </c>
      <c r="AC118" s="135" t="s">
        <v>69</v>
      </c>
      <c r="AD118" s="544" t="s">
        <v>69</v>
      </c>
      <c r="AE118" s="7" t="s">
        <v>2030</v>
      </c>
      <c r="AF118" s="545" t="s">
        <v>953</v>
      </c>
      <c r="AG118" s="135"/>
    </row>
    <row r="119" spans="1:33" ht="30">
      <c r="A119" s="7" t="s">
        <v>779</v>
      </c>
      <c r="B119" s="7" t="s">
        <v>858</v>
      </c>
      <c r="C119" s="7" t="s">
        <v>1199</v>
      </c>
      <c r="D119" s="7" t="s">
        <v>159</v>
      </c>
      <c r="E119" s="100" t="s">
        <v>185</v>
      </c>
      <c r="F119" s="7" t="s">
        <v>1741</v>
      </c>
      <c r="G119" s="7">
        <v>15.5009</v>
      </c>
      <c r="H119" s="7">
        <v>120.4768</v>
      </c>
      <c r="I119" s="7" t="str">
        <f t="shared" si="19"/>
        <v>15.5009, 120.4768</v>
      </c>
      <c r="J119" s="7" t="s">
        <v>75</v>
      </c>
      <c r="K119" s="101" t="s">
        <v>39</v>
      </c>
      <c r="L119" s="7" t="s">
        <v>163</v>
      </c>
      <c r="M119" s="7" t="s">
        <v>328</v>
      </c>
      <c r="N119" s="7" t="s">
        <v>2031</v>
      </c>
      <c r="O119" s="33">
        <v>45723</v>
      </c>
      <c r="P119" s="33">
        <v>45733</v>
      </c>
      <c r="Q119" s="33">
        <v>45733</v>
      </c>
      <c r="R119" s="33">
        <v>45734</v>
      </c>
      <c r="S119" s="33">
        <v>45734</v>
      </c>
      <c r="T119" s="45">
        <f t="shared" si="17"/>
        <v>6</v>
      </c>
      <c r="U119" s="45">
        <f t="shared" si="18"/>
        <v>1</v>
      </c>
      <c r="V119" s="45">
        <f t="shared" si="14"/>
        <v>1</v>
      </c>
      <c r="W119" s="45">
        <f t="shared" si="16"/>
        <v>1</v>
      </c>
      <c r="X119" s="7" t="s">
        <v>150</v>
      </c>
      <c r="Y119" s="7" t="s">
        <v>57</v>
      </c>
      <c r="Z119" s="7" t="s">
        <v>57</v>
      </c>
      <c r="AA119" s="7" t="s">
        <v>69</v>
      </c>
      <c r="AB119" s="7" t="s">
        <v>57</v>
      </c>
      <c r="AC119" s="7" t="s">
        <v>69</v>
      </c>
      <c r="AD119" s="7" t="s">
        <v>69</v>
      </c>
      <c r="AE119" s="135" t="s">
        <v>2032</v>
      </c>
      <c r="AF119" s="7" t="s">
        <v>953</v>
      </c>
      <c r="AG119" s="7"/>
    </row>
    <row r="120" spans="1:33" ht="75">
      <c r="A120" s="7" t="s">
        <v>779</v>
      </c>
      <c r="B120" s="7" t="s">
        <v>1511</v>
      </c>
      <c r="C120" s="7" t="s">
        <v>1512</v>
      </c>
      <c r="D120" s="7" t="s">
        <v>159</v>
      </c>
      <c r="E120" s="100" t="s">
        <v>160</v>
      </c>
      <c r="F120" s="7" t="s">
        <v>1741</v>
      </c>
      <c r="G120" s="7">
        <v>15.803900000000001</v>
      </c>
      <c r="H120" s="7">
        <v>120.6087</v>
      </c>
      <c r="I120" s="7" t="str">
        <f t="shared" si="19"/>
        <v>15.8039, 120.6087</v>
      </c>
      <c r="J120" s="7" t="s">
        <v>83</v>
      </c>
      <c r="K120" s="101" t="s">
        <v>38</v>
      </c>
      <c r="L120" s="7" t="s">
        <v>1453</v>
      </c>
      <c r="M120" s="7" t="s">
        <v>28</v>
      </c>
      <c r="N120" s="7" t="s">
        <v>2033</v>
      </c>
      <c r="O120" s="33">
        <v>45960</v>
      </c>
      <c r="P120" s="33">
        <v>45960</v>
      </c>
      <c r="Q120" s="33">
        <v>45964</v>
      </c>
      <c r="R120" s="33">
        <v>45964</v>
      </c>
      <c r="S120" s="33">
        <v>45964</v>
      </c>
      <c r="T120" s="45">
        <f t="shared" si="17"/>
        <v>1</v>
      </c>
      <c r="U120" s="45">
        <f t="shared" si="18"/>
        <v>2</v>
      </c>
      <c r="V120" s="45">
        <f t="shared" si="14"/>
        <v>1</v>
      </c>
      <c r="W120" s="45">
        <f t="shared" si="16"/>
        <v>1</v>
      </c>
      <c r="X120" s="7" t="s">
        <v>150</v>
      </c>
      <c r="Y120" s="7" t="s">
        <v>57</v>
      </c>
      <c r="Z120" s="7" t="s">
        <v>57</v>
      </c>
      <c r="AA120" s="7" t="s">
        <v>69</v>
      </c>
      <c r="AB120" s="7" t="s">
        <v>57</v>
      </c>
      <c r="AC120" s="7" t="s">
        <v>69</v>
      </c>
      <c r="AD120" s="7" t="s">
        <v>69</v>
      </c>
      <c r="AE120" s="7" t="s">
        <v>2034</v>
      </c>
      <c r="AF120" s="7"/>
      <c r="AG120" s="7"/>
    </row>
    <row r="121" spans="1:33" ht="30">
      <c r="A121" s="7" t="s">
        <v>779</v>
      </c>
      <c r="B121" s="7" t="s">
        <v>2035</v>
      </c>
      <c r="C121" s="7" t="s">
        <v>2036</v>
      </c>
      <c r="D121" s="7" t="s">
        <v>159</v>
      </c>
      <c r="E121" s="100" t="s">
        <v>160</v>
      </c>
      <c r="F121" s="7" t="s">
        <v>1738</v>
      </c>
      <c r="G121" s="7">
        <v>15.56831</v>
      </c>
      <c r="H121" s="7">
        <v>120.42989</v>
      </c>
      <c r="I121" s="7" t="str">
        <f t="shared" si="19"/>
        <v>15.56831, 120.42989</v>
      </c>
      <c r="J121" s="7" t="s">
        <v>83</v>
      </c>
      <c r="K121" s="101" t="s">
        <v>37</v>
      </c>
      <c r="L121" s="7" t="s">
        <v>1453</v>
      </c>
      <c r="M121" s="7" t="s">
        <v>28</v>
      </c>
      <c r="N121" s="7" t="s">
        <v>2037</v>
      </c>
      <c r="O121" s="33">
        <v>45958</v>
      </c>
      <c r="P121" s="33">
        <v>45961</v>
      </c>
      <c r="Q121" s="33">
        <v>45964</v>
      </c>
      <c r="R121" s="33">
        <v>45964</v>
      </c>
      <c r="S121" s="33">
        <v>45964</v>
      </c>
      <c r="T121" s="45">
        <f t="shared" si="17"/>
        <v>3</v>
      </c>
      <c r="U121" s="45">
        <f t="shared" si="18"/>
        <v>1</v>
      </c>
      <c r="V121" s="45">
        <f t="shared" si="14"/>
        <v>1</v>
      </c>
      <c r="W121" s="45">
        <f t="shared" si="16"/>
        <v>1</v>
      </c>
      <c r="X121" s="7" t="s">
        <v>150</v>
      </c>
      <c r="Y121" s="7" t="s">
        <v>50</v>
      </c>
      <c r="Z121" s="7" t="s">
        <v>50</v>
      </c>
      <c r="AA121" s="7" t="s">
        <v>69</v>
      </c>
      <c r="AB121" s="7" t="s">
        <v>69</v>
      </c>
      <c r="AC121" s="7" t="s">
        <v>69</v>
      </c>
      <c r="AD121" s="7" t="s">
        <v>69</v>
      </c>
      <c r="AE121" s="7"/>
      <c r="AF121" s="7"/>
      <c r="AG121" s="7"/>
    </row>
    <row r="122" spans="1:33" ht="45">
      <c r="A122" s="360" t="s">
        <v>779</v>
      </c>
      <c r="B122" s="360" t="s">
        <v>645</v>
      </c>
      <c r="C122" s="360" t="s">
        <v>1462</v>
      </c>
      <c r="D122" s="360" t="s">
        <v>143</v>
      </c>
      <c r="E122" s="542" t="s">
        <v>185</v>
      </c>
      <c r="F122" s="360" t="s">
        <v>1738</v>
      </c>
      <c r="G122" s="360">
        <v>15.48678</v>
      </c>
      <c r="H122" s="360">
        <v>120.57129</v>
      </c>
      <c r="I122" s="360" t="str">
        <f t="shared" si="19"/>
        <v>15.48678, 120.57129</v>
      </c>
      <c r="J122" s="360" t="s">
        <v>77</v>
      </c>
      <c r="K122" s="541" t="s">
        <v>37</v>
      </c>
      <c r="L122" s="360" t="s">
        <v>163</v>
      </c>
      <c r="M122" s="360" t="s">
        <v>328</v>
      </c>
      <c r="N122" s="360" t="s">
        <v>2038</v>
      </c>
      <c r="O122" s="536">
        <v>45793</v>
      </c>
      <c r="P122" s="536">
        <v>45796</v>
      </c>
      <c r="Q122" s="536">
        <v>45796</v>
      </c>
      <c r="R122" s="536">
        <v>45796</v>
      </c>
      <c r="S122" s="536">
        <v>45797</v>
      </c>
      <c r="T122" s="354">
        <f t="shared" si="17"/>
        <v>1</v>
      </c>
      <c r="U122" s="354">
        <f t="shared" si="18"/>
        <v>1</v>
      </c>
      <c r="V122" s="45">
        <f t="shared" si="14"/>
        <v>1</v>
      </c>
      <c r="W122" s="354">
        <f t="shared" si="16"/>
        <v>1</v>
      </c>
      <c r="X122" s="7" t="s">
        <v>150</v>
      </c>
      <c r="Y122" s="360" t="s">
        <v>57</v>
      </c>
      <c r="Z122" s="360" t="s">
        <v>50</v>
      </c>
      <c r="AA122" s="360" t="s">
        <v>69</v>
      </c>
      <c r="AB122" s="360" t="s">
        <v>69</v>
      </c>
      <c r="AC122" s="360" t="s">
        <v>69</v>
      </c>
      <c r="AD122" s="360" t="s">
        <v>69</v>
      </c>
      <c r="AE122" s="360" t="s">
        <v>2039</v>
      </c>
      <c r="AF122" s="360"/>
      <c r="AG122" s="360"/>
    </row>
    <row r="123" spans="1:33" ht="60">
      <c r="A123" s="7" t="s">
        <v>779</v>
      </c>
      <c r="B123" s="7" t="s">
        <v>707</v>
      </c>
      <c r="C123" s="7" t="s">
        <v>1475</v>
      </c>
      <c r="D123" s="7" t="s">
        <v>143</v>
      </c>
      <c r="E123" s="100" t="s">
        <v>185</v>
      </c>
      <c r="F123" s="7" t="s">
        <v>1738</v>
      </c>
      <c r="G123" s="7">
        <v>15.6196</v>
      </c>
      <c r="H123" s="7">
        <v>120.6844</v>
      </c>
      <c r="I123" s="7" t="str">
        <f t="shared" si="19"/>
        <v>15.6196, 120.6844</v>
      </c>
      <c r="J123" s="7" t="s">
        <v>77</v>
      </c>
      <c r="K123" s="7" t="s">
        <v>39</v>
      </c>
      <c r="L123" s="7" t="s">
        <v>163</v>
      </c>
      <c r="M123" s="7" t="s">
        <v>328</v>
      </c>
      <c r="N123" s="7" t="s">
        <v>2040</v>
      </c>
      <c r="O123" s="33">
        <v>45791</v>
      </c>
      <c r="P123" s="33">
        <v>45796</v>
      </c>
      <c r="Q123" s="33">
        <v>45796</v>
      </c>
      <c r="R123" s="33">
        <v>45796</v>
      </c>
      <c r="S123" s="33">
        <v>45797</v>
      </c>
      <c r="T123" s="45">
        <f t="shared" si="17"/>
        <v>3</v>
      </c>
      <c r="U123" s="45">
        <f t="shared" si="18"/>
        <v>1</v>
      </c>
      <c r="V123" s="45">
        <f t="shared" si="14"/>
        <v>1</v>
      </c>
      <c r="W123" s="45">
        <f t="shared" si="16"/>
        <v>1</v>
      </c>
      <c r="X123" s="7" t="s">
        <v>150</v>
      </c>
      <c r="Y123" s="7" t="s">
        <v>57</v>
      </c>
      <c r="Z123" s="7" t="s">
        <v>57</v>
      </c>
      <c r="AA123" s="7" t="s">
        <v>69</v>
      </c>
      <c r="AB123" s="7" t="s">
        <v>69</v>
      </c>
      <c r="AC123" s="7" t="s">
        <v>69</v>
      </c>
      <c r="AD123" s="7" t="s">
        <v>69</v>
      </c>
      <c r="AE123" s="7" t="s">
        <v>2041</v>
      </c>
      <c r="AF123" s="7" t="s">
        <v>953</v>
      </c>
      <c r="AG123" s="7"/>
    </row>
    <row r="124" spans="1:33">
      <c r="A124" s="549" t="s">
        <v>780</v>
      </c>
      <c r="B124" s="549" t="s">
        <v>1210</v>
      </c>
      <c r="C124" s="549" t="s">
        <v>2042</v>
      </c>
      <c r="D124" s="549" t="s">
        <v>159</v>
      </c>
      <c r="E124" s="550" t="s">
        <v>185</v>
      </c>
      <c r="F124" s="549" t="s">
        <v>1738</v>
      </c>
      <c r="G124" s="549">
        <v>15.3109</v>
      </c>
      <c r="H124" s="549">
        <v>120.04559999999999</v>
      </c>
      <c r="I124" s="549" t="str">
        <f t="shared" si="19"/>
        <v>15.3109, 120.0456</v>
      </c>
      <c r="J124" s="549" t="s">
        <v>80</v>
      </c>
      <c r="K124" s="541" t="s">
        <v>41</v>
      </c>
      <c r="L124" s="549" t="s">
        <v>163</v>
      </c>
      <c r="M124" s="549" t="s">
        <v>164</v>
      </c>
      <c r="N124" s="549" t="s">
        <v>2043</v>
      </c>
      <c r="O124" s="553">
        <v>45875</v>
      </c>
      <c r="P124" s="553">
        <v>45880</v>
      </c>
      <c r="Q124" s="553">
        <v>45882</v>
      </c>
      <c r="R124" s="553">
        <v>45882</v>
      </c>
      <c r="S124" s="553">
        <v>45882</v>
      </c>
      <c r="T124" s="45">
        <f t="shared" si="17"/>
        <v>3</v>
      </c>
      <c r="U124" s="554">
        <f t="shared" si="18"/>
        <v>2</v>
      </c>
      <c r="V124" s="45">
        <f t="shared" si="14"/>
        <v>1</v>
      </c>
      <c r="W124" s="554">
        <f t="shared" si="16"/>
        <v>1</v>
      </c>
      <c r="X124" s="7" t="s">
        <v>150</v>
      </c>
      <c r="Y124" s="549" t="s">
        <v>57</v>
      </c>
      <c r="Z124" s="549" t="s">
        <v>57</v>
      </c>
      <c r="AA124" s="549" t="s">
        <v>69</v>
      </c>
      <c r="AB124" s="549"/>
      <c r="AC124" s="549"/>
      <c r="AD124" s="549"/>
      <c r="AE124" s="566" t="s">
        <v>2044</v>
      </c>
      <c r="AF124" s="549" t="s">
        <v>953</v>
      </c>
      <c r="AG124" s="549"/>
    </row>
    <row r="125" spans="1:33" ht="45">
      <c r="A125" s="7" t="s">
        <v>780</v>
      </c>
      <c r="B125" s="7" t="s">
        <v>1526</v>
      </c>
      <c r="C125" s="7" t="s">
        <v>918</v>
      </c>
      <c r="D125" s="7" t="s">
        <v>159</v>
      </c>
      <c r="E125" s="98" t="s">
        <v>185</v>
      </c>
      <c r="F125" s="7" t="s">
        <v>1747</v>
      </c>
      <c r="G125" s="7">
        <v>15.160500000000001</v>
      </c>
      <c r="H125" s="7">
        <v>120.07550000000001</v>
      </c>
      <c r="I125" s="7" t="str">
        <f t="shared" si="19"/>
        <v>15.1605, 120.0755</v>
      </c>
      <c r="J125" s="7" t="s">
        <v>81</v>
      </c>
      <c r="K125" s="7" t="s">
        <v>41</v>
      </c>
      <c r="L125" s="7" t="s">
        <v>163</v>
      </c>
      <c r="M125" s="7" t="s">
        <v>164</v>
      </c>
      <c r="N125" s="7" t="s">
        <v>2045</v>
      </c>
      <c r="O125" s="33">
        <v>45911</v>
      </c>
      <c r="P125" s="33">
        <v>45916</v>
      </c>
      <c r="Q125" s="33">
        <v>45917</v>
      </c>
      <c r="R125" s="33">
        <v>45917</v>
      </c>
      <c r="S125" s="33">
        <v>45917</v>
      </c>
      <c r="T125" s="45">
        <f t="shared" si="17"/>
        <v>3</v>
      </c>
      <c r="U125" s="45">
        <f t="shared" si="18"/>
        <v>1</v>
      </c>
      <c r="V125" s="45">
        <f t="shared" si="14"/>
        <v>1</v>
      </c>
      <c r="W125" s="45">
        <f t="shared" si="16"/>
        <v>1</v>
      </c>
      <c r="X125" s="7" t="s">
        <v>150</v>
      </c>
      <c r="Y125" s="7" t="s">
        <v>57</v>
      </c>
      <c r="Z125" s="7" t="s">
        <v>57</v>
      </c>
      <c r="AA125" s="7"/>
      <c r="AB125" s="7" t="s">
        <v>57</v>
      </c>
      <c r="AC125" s="7"/>
      <c r="AD125" s="7"/>
      <c r="AE125" s="7" t="s">
        <v>2046</v>
      </c>
      <c r="AF125" s="7" t="s">
        <v>953</v>
      </c>
      <c r="AG125" s="7"/>
    </row>
    <row r="126" spans="1:33" ht="45">
      <c r="A126" s="135" t="s">
        <v>780</v>
      </c>
      <c r="B126" s="135" t="s">
        <v>1531</v>
      </c>
      <c r="C126" s="135" t="s">
        <v>1532</v>
      </c>
      <c r="D126" s="135" t="s">
        <v>159</v>
      </c>
      <c r="E126" s="547" t="s">
        <v>185</v>
      </c>
      <c r="F126" s="135" t="s">
        <v>1741</v>
      </c>
      <c r="G126" s="135">
        <v>15.5982</v>
      </c>
      <c r="H126" s="135">
        <v>119.9748</v>
      </c>
      <c r="I126" s="135" t="str">
        <f t="shared" si="19"/>
        <v>15.5982, 119.9748</v>
      </c>
      <c r="J126" s="135" t="s">
        <v>83</v>
      </c>
      <c r="K126" s="101" t="s">
        <v>42</v>
      </c>
      <c r="L126" s="135" t="s">
        <v>163</v>
      </c>
      <c r="M126" s="135" t="s">
        <v>164</v>
      </c>
      <c r="N126" s="135" t="s">
        <v>2047</v>
      </c>
      <c r="O126" s="33">
        <v>45967</v>
      </c>
      <c r="P126" s="33">
        <v>45972</v>
      </c>
      <c r="Q126" s="33">
        <v>45972</v>
      </c>
      <c r="R126" s="33">
        <v>45972</v>
      </c>
      <c r="S126" s="33">
        <v>45972</v>
      </c>
      <c r="T126" s="423">
        <f t="shared" si="17"/>
        <v>3</v>
      </c>
      <c r="U126" s="423">
        <f t="shared" si="18"/>
        <v>1</v>
      </c>
      <c r="V126" s="45">
        <f t="shared" si="14"/>
        <v>1</v>
      </c>
      <c r="W126" s="423">
        <f t="shared" si="16"/>
        <v>1</v>
      </c>
      <c r="X126" s="7" t="s">
        <v>150</v>
      </c>
      <c r="Y126" s="135" t="s">
        <v>57</v>
      </c>
      <c r="Z126" s="135" t="s">
        <v>57</v>
      </c>
      <c r="AA126" s="135" t="s">
        <v>69</v>
      </c>
      <c r="AB126" s="135" t="s">
        <v>57</v>
      </c>
      <c r="AC126" s="7" t="s">
        <v>69</v>
      </c>
      <c r="AD126" s="7" t="s">
        <v>69</v>
      </c>
      <c r="AE126" s="135" t="s">
        <v>2048</v>
      </c>
      <c r="AF126" s="135" t="s">
        <v>56</v>
      </c>
      <c r="AG126" s="135"/>
    </row>
    <row r="127" spans="1:33">
      <c r="A127" s="7" t="s">
        <v>780</v>
      </c>
      <c r="B127" s="7" t="s">
        <v>1215</v>
      </c>
      <c r="C127" s="7" t="s">
        <v>1216</v>
      </c>
      <c r="D127" s="7" t="s">
        <v>159</v>
      </c>
      <c r="E127" s="98" t="s">
        <v>160</v>
      </c>
      <c r="F127" s="7" t="s">
        <v>1738</v>
      </c>
      <c r="G127" s="7">
        <v>14.9231</v>
      </c>
      <c r="H127" s="7">
        <v>120.1478</v>
      </c>
      <c r="I127" s="7" t="str">
        <f t="shared" si="19"/>
        <v>14.9231, 120.1478</v>
      </c>
      <c r="J127" s="7" t="s">
        <v>73</v>
      </c>
      <c r="K127" s="101" t="s">
        <v>41</v>
      </c>
      <c r="L127" s="7" t="s">
        <v>163</v>
      </c>
      <c r="M127" s="7" t="s">
        <v>164</v>
      </c>
      <c r="N127" s="7" t="s">
        <v>2049</v>
      </c>
      <c r="O127" s="33">
        <v>45674</v>
      </c>
      <c r="P127" s="33">
        <v>45679</v>
      </c>
      <c r="Q127" s="33">
        <v>45679</v>
      </c>
      <c r="R127" s="33">
        <v>45680</v>
      </c>
      <c r="S127" s="33">
        <v>45680</v>
      </c>
      <c r="T127" s="45">
        <f t="shared" si="17"/>
        <v>3</v>
      </c>
      <c r="U127" s="45">
        <f t="shared" si="18"/>
        <v>1</v>
      </c>
      <c r="V127" s="45">
        <f t="shared" si="14"/>
        <v>1</v>
      </c>
      <c r="W127" s="45">
        <f t="shared" si="16"/>
        <v>1</v>
      </c>
      <c r="X127" s="7" t="s">
        <v>150</v>
      </c>
      <c r="Y127" s="7" t="s">
        <v>57</v>
      </c>
      <c r="Z127" s="7" t="s">
        <v>57</v>
      </c>
      <c r="AA127" s="7"/>
      <c r="AB127" s="7"/>
      <c r="AC127" s="7"/>
      <c r="AD127" s="7"/>
      <c r="AE127" s="7" t="s">
        <v>2050</v>
      </c>
      <c r="AF127" s="7"/>
      <c r="AG127" s="7"/>
    </row>
    <row r="128" spans="1:33" ht="30">
      <c r="A128" s="7" t="s">
        <v>780</v>
      </c>
      <c r="B128" s="7" t="s">
        <v>1539</v>
      </c>
      <c r="C128" s="7" t="s">
        <v>2051</v>
      </c>
      <c r="D128" s="7" t="s">
        <v>159</v>
      </c>
      <c r="E128" s="98" t="s">
        <v>185</v>
      </c>
      <c r="F128" s="7" t="s">
        <v>1738</v>
      </c>
      <c r="G128" s="7">
        <v>15.337199999999999</v>
      </c>
      <c r="H128" s="7">
        <v>119.9748</v>
      </c>
      <c r="I128" s="7" t="str">
        <f t="shared" si="19"/>
        <v>15.3372, 119.9748</v>
      </c>
      <c r="J128" s="7" t="s">
        <v>76</v>
      </c>
      <c r="K128" s="101" t="s">
        <v>41</v>
      </c>
      <c r="L128" s="7" t="s">
        <v>163</v>
      </c>
      <c r="M128" s="7" t="s">
        <v>164</v>
      </c>
      <c r="N128" s="7" t="s">
        <v>2052</v>
      </c>
      <c r="O128" s="33">
        <v>45737</v>
      </c>
      <c r="P128" s="33">
        <v>45737</v>
      </c>
      <c r="Q128" s="33">
        <v>45747</v>
      </c>
      <c r="R128" s="33">
        <v>45747</v>
      </c>
      <c r="S128" s="33">
        <v>45749</v>
      </c>
      <c r="T128" s="45">
        <f t="shared" si="17"/>
        <v>1</v>
      </c>
      <c r="U128" s="45">
        <f t="shared" si="18"/>
        <v>6</v>
      </c>
      <c r="V128" s="45">
        <f t="shared" si="14"/>
        <v>1</v>
      </c>
      <c r="W128" s="45">
        <f t="shared" si="16"/>
        <v>2</v>
      </c>
      <c r="X128" s="7" t="s">
        <v>150</v>
      </c>
      <c r="Y128" s="7" t="s">
        <v>57</v>
      </c>
      <c r="Z128" s="7" t="s">
        <v>57</v>
      </c>
      <c r="AA128" s="7"/>
      <c r="AB128" s="7"/>
      <c r="AC128" s="7"/>
      <c r="AD128" s="7"/>
      <c r="AE128" s="7" t="s">
        <v>2053</v>
      </c>
      <c r="AF128" s="7"/>
      <c r="AG128" s="7"/>
    </row>
    <row r="129" spans="1:33" ht="30">
      <c r="A129" s="7" t="s">
        <v>780</v>
      </c>
      <c r="B129" s="7" t="s">
        <v>942</v>
      </c>
      <c r="C129" s="7" t="s">
        <v>1543</v>
      </c>
      <c r="D129" s="7" t="s">
        <v>159</v>
      </c>
      <c r="E129" s="98" t="s">
        <v>185</v>
      </c>
      <c r="F129" s="7" t="s">
        <v>1738</v>
      </c>
      <c r="G129" s="7">
        <v>15.582100000000001</v>
      </c>
      <c r="H129" s="7">
        <v>119.9893</v>
      </c>
      <c r="I129" s="7" t="str">
        <f t="shared" si="19"/>
        <v>15.5821, 119.9893</v>
      </c>
      <c r="J129" s="7" t="s">
        <v>78</v>
      </c>
      <c r="K129" s="101" t="s">
        <v>42</v>
      </c>
      <c r="L129" s="7" t="s">
        <v>163</v>
      </c>
      <c r="M129" s="7" t="s">
        <v>164</v>
      </c>
      <c r="N129" s="7" t="s">
        <v>2054</v>
      </c>
      <c r="O129" s="33">
        <v>45819</v>
      </c>
      <c r="P129" s="33">
        <v>45824</v>
      </c>
      <c r="Q129" s="33">
        <v>45825</v>
      </c>
      <c r="R129" s="33">
        <v>45825</v>
      </c>
      <c r="S129" s="33">
        <v>45825</v>
      </c>
      <c r="T129" s="45">
        <f t="shared" si="17"/>
        <v>3</v>
      </c>
      <c r="U129" s="45">
        <f t="shared" si="18"/>
        <v>1</v>
      </c>
      <c r="V129" s="45">
        <f t="shared" si="14"/>
        <v>1</v>
      </c>
      <c r="W129" s="45">
        <f t="shared" si="16"/>
        <v>1</v>
      </c>
      <c r="X129" s="7" t="s">
        <v>150</v>
      </c>
      <c r="Y129" s="7" t="s">
        <v>50</v>
      </c>
      <c r="Z129" s="7" t="s">
        <v>57</v>
      </c>
      <c r="AA129" s="7"/>
      <c r="AB129" s="7"/>
      <c r="AC129" s="7"/>
      <c r="AD129" s="7"/>
      <c r="AE129" s="7" t="s">
        <v>2055</v>
      </c>
      <c r="AF129" s="7" t="s">
        <v>953</v>
      </c>
      <c r="AG129" s="7"/>
    </row>
    <row r="130" spans="1:33" ht="75">
      <c r="A130" s="7" t="s">
        <v>780</v>
      </c>
      <c r="B130" s="7" t="s">
        <v>2056</v>
      </c>
      <c r="C130" s="652" t="s">
        <v>1547</v>
      </c>
      <c r="D130" s="7" t="s">
        <v>159</v>
      </c>
      <c r="E130" s="98" t="s">
        <v>160</v>
      </c>
      <c r="F130" s="7" t="s">
        <v>1738</v>
      </c>
      <c r="G130" s="7">
        <v>14.8459</v>
      </c>
      <c r="H130" s="7">
        <v>120.3293348</v>
      </c>
      <c r="I130" s="7" t="str">
        <f t="shared" si="19"/>
        <v>14.8459, 120.3293348</v>
      </c>
      <c r="J130" s="7" t="s">
        <v>82</v>
      </c>
      <c r="K130" s="101"/>
      <c r="L130" s="7" t="s">
        <v>163</v>
      </c>
      <c r="M130" s="7" t="s">
        <v>164</v>
      </c>
      <c r="N130" s="7" t="s">
        <v>2057</v>
      </c>
      <c r="O130" s="33">
        <v>45937</v>
      </c>
      <c r="P130" s="33">
        <v>45940</v>
      </c>
      <c r="Q130" s="33">
        <v>45940</v>
      </c>
      <c r="R130" s="33">
        <v>45940</v>
      </c>
      <c r="S130" s="33">
        <v>45946</v>
      </c>
      <c r="T130" s="45">
        <f t="shared" ref="T130:T136" si="20">IF(
    OR(ISBLANK(O130), ISBLANK(P130)),
    "",
    MAX(1, IF(
        NETWORKDAYS(O130, P130) &lt;= 0,
        1,
        NETWORKDAYS(O130, P130) - IF(O130 = P130, 0, 1)
    ))
)</f>
        <v>3</v>
      </c>
      <c r="U130" s="45">
        <f t="shared" ref="U130:U136" si="21">IF(
    OR(ISBLANK(P130), ISBLANK(Q130)),
    "",
    MAX(1, IF(
        NETWORKDAYS(P130, Q130) &lt;= 0,
        1,
        NETWORKDAYS(P130, Q130) - IF(P130 = Q130, 0, 1)
    ))
)</f>
        <v>1</v>
      </c>
      <c r="V130" s="45">
        <f t="shared" si="14"/>
        <v>1</v>
      </c>
      <c r="W130" s="45">
        <f t="shared" si="16"/>
        <v>4</v>
      </c>
      <c r="X130" s="7" t="s">
        <v>150</v>
      </c>
      <c r="Y130" s="7" t="s">
        <v>57</v>
      </c>
      <c r="Z130" s="7" t="s">
        <v>57</v>
      </c>
      <c r="AA130" s="7"/>
      <c r="AB130" s="7"/>
      <c r="AC130" s="7"/>
      <c r="AD130" s="7"/>
      <c r="AE130" s="7" t="s">
        <v>2058</v>
      </c>
      <c r="AF130" s="7" t="s">
        <v>953</v>
      </c>
      <c r="AG130" s="7"/>
    </row>
    <row r="131" spans="1:33">
      <c r="A131" s="7" t="s">
        <v>780</v>
      </c>
      <c r="B131" s="7" t="s">
        <v>914</v>
      </c>
      <c r="C131" s="135" t="s">
        <v>2059</v>
      </c>
      <c r="D131" s="7" t="s">
        <v>159</v>
      </c>
      <c r="E131" s="98" t="s">
        <v>185</v>
      </c>
      <c r="F131" s="7" t="s">
        <v>1738</v>
      </c>
      <c r="G131" s="7">
        <v>14.93018934</v>
      </c>
      <c r="H131" s="7">
        <v>120.07476672</v>
      </c>
      <c r="I131" s="7" t="str">
        <f t="shared" si="19"/>
        <v>14.93018934, 120.07476672</v>
      </c>
      <c r="J131" s="7" t="s">
        <v>74</v>
      </c>
      <c r="K131" s="101" t="s">
        <v>1212</v>
      </c>
      <c r="L131" s="7" t="s">
        <v>163</v>
      </c>
      <c r="M131" s="7" t="s">
        <v>164</v>
      </c>
      <c r="N131" s="7" t="s">
        <v>2060</v>
      </c>
      <c r="O131" s="33">
        <v>45694</v>
      </c>
      <c r="P131" s="33">
        <v>45698</v>
      </c>
      <c r="Q131" s="33">
        <v>45699</v>
      </c>
      <c r="R131" s="33">
        <v>45701</v>
      </c>
      <c r="S131" s="33">
        <v>45702</v>
      </c>
      <c r="T131" s="45">
        <f t="shared" si="20"/>
        <v>2</v>
      </c>
      <c r="U131" s="45">
        <f t="shared" si="21"/>
        <v>1</v>
      </c>
      <c r="V131" s="45">
        <f t="shared" ref="V131:V136" si="22">IF(
  OR(IF(Q131&lt;&gt;"", Q131, P131)="", R131=""),
  "",
  MAX(1,
    IF(
      NETWORKDAYS(IF(Q131&lt;&gt;"", Q131, P131), R131) &lt;= 0,
      1,
      NETWORKDAYS(IF(Q131&lt;&gt;"", Q131, P131), R131) - IF(IF(Q131&lt;&gt;"", Q131, P131)=R131, 0, 1)
    )
  )
)</f>
        <v>2</v>
      </c>
      <c r="W131" s="45">
        <f t="shared" si="16"/>
        <v>1</v>
      </c>
      <c r="X131" s="7" t="s">
        <v>150</v>
      </c>
      <c r="Y131" s="7" t="s">
        <v>50</v>
      </c>
      <c r="Z131" s="7" t="s">
        <v>50</v>
      </c>
      <c r="AA131" s="7">
        <v>239</v>
      </c>
      <c r="AB131" s="7" t="s">
        <v>808</v>
      </c>
      <c r="AC131" s="7" t="s">
        <v>808</v>
      </c>
      <c r="AD131" s="7" t="s">
        <v>808</v>
      </c>
      <c r="AE131" s="7"/>
      <c r="AF131" s="7"/>
      <c r="AG131" s="7"/>
    </row>
    <row r="132" spans="1:33" ht="30">
      <c r="A132" s="7" t="s">
        <v>780</v>
      </c>
      <c r="B132" s="7" t="s">
        <v>1225</v>
      </c>
      <c r="C132" s="7" t="s">
        <v>2061</v>
      </c>
      <c r="D132" s="7" t="s">
        <v>159</v>
      </c>
      <c r="E132" s="98" t="s">
        <v>185</v>
      </c>
      <c r="F132" s="7" t="s">
        <v>1747</v>
      </c>
      <c r="G132" s="7">
        <v>15.0519</v>
      </c>
      <c r="H132" s="7">
        <v>120.0715</v>
      </c>
      <c r="I132" s="7" t="str">
        <f t="shared" si="19"/>
        <v>15.0519, 120.0715</v>
      </c>
      <c r="J132" s="7" t="s">
        <v>75</v>
      </c>
      <c r="K132" s="101" t="s">
        <v>41</v>
      </c>
      <c r="L132" s="7" t="s">
        <v>163</v>
      </c>
      <c r="M132" s="7" t="s">
        <v>164</v>
      </c>
      <c r="N132" s="7" t="s">
        <v>2062</v>
      </c>
      <c r="O132" s="33">
        <v>45730</v>
      </c>
      <c r="P132" s="33">
        <v>45733</v>
      </c>
      <c r="Q132" s="33">
        <v>45733</v>
      </c>
      <c r="R132" s="33">
        <v>45733</v>
      </c>
      <c r="S132" s="33">
        <v>45733</v>
      </c>
      <c r="T132" s="45">
        <f t="shared" si="20"/>
        <v>1</v>
      </c>
      <c r="U132" s="45">
        <f t="shared" si="21"/>
        <v>1</v>
      </c>
      <c r="V132" s="45">
        <f t="shared" si="22"/>
        <v>1</v>
      </c>
      <c r="W132" s="45">
        <f t="shared" si="16"/>
        <v>1</v>
      </c>
      <c r="X132" s="7" t="s">
        <v>150</v>
      </c>
      <c r="Y132" s="7" t="s">
        <v>57</v>
      </c>
      <c r="Z132" s="7" t="s">
        <v>57</v>
      </c>
      <c r="AA132" s="7"/>
      <c r="AB132" s="7" t="s">
        <v>57</v>
      </c>
      <c r="AC132" s="7"/>
      <c r="AD132" s="7"/>
      <c r="AE132" s="7"/>
      <c r="AF132" s="7" t="s">
        <v>953</v>
      </c>
      <c r="AG132" s="7"/>
    </row>
    <row r="133" spans="1:33">
      <c r="A133" s="7" t="s">
        <v>780</v>
      </c>
      <c r="B133" s="7" t="s">
        <v>1556</v>
      </c>
      <c r="C133" s="7" t="s">
        <v>1557</v>
      </c>
      <c r="D133" s="7" t="s">
        <v>159</v>
      </c>
      <c r="E133" s="98" t="s">
        <v>160</v>
      </c>
      <c r="F133" s="7" t="s">
        <v>1738</v>
      </c>
      <c r="G133" s="7">
        <v>14.9694</v>
      </c>
      <c r="H133" s="7">
        <v>120.1332</v>
      </c>
      <c r="I133" s="7" t="str">
        <f t="shared" si="19"/>
        <v>14.9694, 120.1332</v>
      </c>
      <c r="J133" s="7" t="s">
        <v>74</v>
      </c>
      <c r="K133" s="101" t="s">
        <v>41</v>
      </c>
      <c r="L133" s="7" t="s">
        <v>163</v>
      </c>
      <c r="M133" s="7" t="s">
        <v>164</v>
      </c>
      <c r="N133" s="7" t="s">
        <v>2063</v>
      </c>
      <c r="O133" s="33">
        <v>45693</v>
      </c>
      <c r="P133" s="33">
        <v>45698</v>
      </c>
      <c r="Q133" s="33">
        <v>45699</v>
      </c>
      <c r="R133" s="33">
        <v>45701</v>
      </c>
      <c r="S133" s="33">
        <v>45702</v>
      </c>
      <c r="T133" s="45">
        <f t="shared" si="20"/>
        <v>3</v>
      </c>
      <c r="U133" s="45">
        <f t="shared" si="21"/>
        <v>1</v>
      </c>
      <c r="V133" s="45">
        <f t="shared" si="22"/>
        <v>2</v>
      </c>
      <c r="W133" s="45">
        <f t="shared" si="16"/>
        <v>1</v>
      </c>
      <c r="X133" s="7" t="s">
        <v>150</v>
      </c>
      <c r="Y133" s="7" t="s">
        <v>50</v>
      </c>
      <c r="Z133" s="7" t="s">
        <v>57</v>
      </c>
      <c r="AA133" s="7"/>
      <c r="AB133" s="7"/>
      <c r="AC133" s="7"/>
      <c r="AD133" s="7"/>
      <c r="AE133" s="7" t="s">
        <v>2064</v>
      </c>
      <c r="AF133" s="7"/>
      <c r="AG133" s="7"/>
    </row>
    <row r="134" spans="1:33" ht="30">
      <c r="A134" s="7" t="s">
        <v>780</v>
      </c>
      <c r="B134" s="7" t="s">
        <v>1233</v>
      </c>
      <c r="C134" s="7" t="s">
        <v>1234</v>
      </c>
      <c r="D134" s="7" t="s">
        <v>159</v>
      </c>
      <c r="E134" s="98" t="s">
        <v>185</v>
      </c>
      <c r="F134" s="7" t="s">
        <v>1741</v>
      </c>
      <c r="G134" s="7">
        <v>15.016299999999999</v>
      </c>
      <c r="H134" s="7">
        <v>120.0873</v>
      </c>
      <c r="I134" s="7" t="str">
        <f t="shared" si="19"/>
        <v>15.0163, 120.0873</v>
      </c>
      <c r="J134" s="7" t="s">
        <v>75</v>
      </c>
      <c r="K134" s="101" t="s">
        <v>41</v>
      </c>
      <c r="L134" s="7" t="s">
        <v>163</v>
      </c>
      <c r="M134" s="7" t="s">
        <v>164</v>
      </c>
      <c r="N134" s="7" t="s">
        <v>2065</v>
      </c>
      <c r="O134" s="33">
        <v>45730</v>
      </c>
      <c r="P134" s="33">
        <v>45733</v>
      </c>
      <c r="Q134" s="33">
        <v>45733</v>
      </c>
      <c r="R134" s="33">
        <v>45733</v>
      </c>
      <c r="S134" s="33">
        <v>45733</v>
      </c>
      <c r="T134" s="45">
        <f t="shared" si="20"/>
        <v>1</v>
      </c>
      <c r="U134" s="45">
        <f t="shared" si="21"/>
        <v>1</v>
      </c>
      <c r="V134" s="45">
        <f t="shared" si="22"/>
        <v>1</v>
      </c>
      <c r="W134" s="45">
        <f t="shared" si="16"/>
        <v>1</v>
      </c>
      <c r="X134" s="7" t="s">
        <v>150</v>
      </c>
      <c r="Y134" s="7" t="s">
        <v>57</v>
      </c>
      <c r="Z134" s="7" t="s">
        <v>57</v>
      </c>
      <c r="AA134" s="7" t="s">
        <v>2066</v>
      </c>
      <c r="AB134" s="7" t="s">
        <v>57</v>
      </c>
      <c r="AC134" s="7"/>
      <c r="AD134" s="7"/>
      <c r="AE134" s="7" t="s">
        <v>2067</v>
      </c>
      <c r="AF134" s="7" t="s">
        <v>953</v>
      </c>
      <c r="AG134" s="7"/>
    </row>
    <row r="135" spans="1:33" ht="75">
      <c r="A135" s="7" t="s">
        <v>780</v>
      </c>
      <c r="B135" s="7" t="s">
        <v>1899</v>
      </c>
      <c r="C135" s="7" t="s">
        <v>2068</v>
      </c>
      <c r="D135" s="7" t="s">
        <v>159</v>
      </c>
      <c r="E135" s="98" t="s">
        <v>185</v>
      </c>
      <c r="F135" s="7" t="s">
        <v>1738</v>
      </c>
      <c r="G135" s="7">
        <v>15.7621</v>
      </c>
      <c r="H135" s="7">
        <v>119.9091</v>
      </c>
      <c r="I135" s="7" t="str">
        <f t="shared" si="19"/>
        <v>15.7621, 119.9091</v>
      </c>
      <c r="J135" s="7" t="s">
        <v>77</v>
      </c>
      <c r="K135" s="101" t="s">
        <v>42</v>
      </c>
      <c r="L135" s="7" t="s">
        <v>163</v>
      </c>
      <c r="M135" s="7" t="s">
        <v>164</v>
      </c>
      <c r="N135" s="7" t="s">
        <v>2069</v>
      </c>
      <c r="O135" s="33">
        <v>45793</v>
      </c>
      <c r="P135" s="33">
        <v>45796</v>
      </c>
      <c r="Q135" s="33">
        <v>45796</v>
      </c>
      <c r="R135" s="33">
        <v>45796</v>
      </c>
      <c r="S135" s="33">
        <v>45797</v>
      </c>
      <c r="T135" s="45">
        <f t="shared" si="20"/>
        <v>1</v>
      </c>
      <c r="U135" s="45">
        <f t="shared" si="21"/>
        <v>1</v>
      </c>
      <c r="V135" s="45">
        <f>IF(
  OR(IF(Q135&lt;&gt;"", Q135, P135)="", R135=""),
  "",
  MAX(1,
    IF(
      NETWORKDAYS(IF(Q135&lt;&gt;"", Q135, P135), R135) &lt;= 0,
      1,
      NETWORKDAYS(IF(Q135&lt;&gt;"", Q135, P135), R135) - IF(IF(Q135&lt;&gt;"", Q135, P135)=R135, 0, 1)
    )
  )
)</f>
        <v>1</v>
      </c>
      <c r="W135" s="45">
        <f t="shared" si="16"/>
        <v>1</v>
      </c>
      <c r="X135" s="7" t="s">
        <v>150</v>
      </c>
      <c r="Y135" s="7" t="s">
        <v>57</v>
      </c>
      <c r="Z135" s="7" t="s">
        <v>57</v>
      </c>
      <c r="AA135" s="7"/>
      <c r="AB135" s="7" t="s">
        <v>69</v>
      </c>
      <c r="AC135" s="7" t="s">
        <v>69</v>
      </c>
      <c r="AD135" s="7" t="s">
        <v>69</v>
      </c>
      <c r="AE135" s="7" t="s">
        <v>2070</v>
      </c>
      <c r="AF135" s="7" t="s">
        <v>953</v>
      </c>
      <c r="AG135" s="7"/>
    </row>
    <row r="136" spans="1:33">
      <c r="A136" s="7" t="s">
        <v>780</v>
      </c>
      <c r="B136" s="7" t="s">
        <v>2071</v>
      </c>
      <c r="C136" s="7" t="s">
        <v>2072</v>
      </c>
      <c r="D136" s="7" t="s">
        <v>159</v>
      </c>
      <c r="E136" s="98" t="s">
        <v>160</v>
      </c>
      <c r="F136" s="7" t="s">
        <v>1738</v>
      </c>
      <c r="G136" s="7">
        <v>14.901856860000001</v>
      </c>
      <c r="H136" s="7">
        <v>120.23227224999999</v>
      </c>
      <c r="I136" s="7" t="str">
        <f t="shared" si="19"/>
        <v>14.90185686, 120.23227225</v>
      </c>
      <c r="J136" s="7" t="s">
        <v>83</v>
      </c>
      <c r="K136" s="101" t="s">
        <v>2073</v>
      </c>
      <c r="L136" s="7" t="s">
        <v>163</v>
      </c>
      <c r="M136" s="7" t="s">
        <v>164</v>
      </c>
      <c r="N136" s="7" t="s">
        <v>2074</v>
      </c>
      <c r="O136" s="33">
        <v>45965</v>
      </c>
      <c r="P136" s="33">
        <v>45972</v>
      </c>
      <c r="Q136" s="33">
        <v>45972</v>
      </c>
      <c r="R136" s="33">
        <v>45973</v>
      </c>
      <c r="S136" s="33">
        <v>45975</v>
      </c>
      <c r="T136" s="45">
        <f t="shared" si="20"/>
        <v>5</v>
      </c>
      <c r="U136" s="45">
        <f t="shared" si="21"/>
        <v>1</v>
      </c>
      <c r="V136" s="45">
        <f t="shared" si="22"/>
        <v>1</v>
      </c>
      <c r="W136" s="45">
        <f t="shared" si="16"/>
        <v>2</v>
      </c>
      <c r="X136" s="7" t="s">
        <v>150</v>
      </c>
      <c r="Y136" s="7" t="s">
        <v>57</v>
      </c>
      <c r="Z136" s="7" t="s">
        <v>57</v>
      </c>
      <c r="AA136" s="135" t="s">
        <v>69</v>
      </c>
      <c r="AB136" s="135" t="s">
        <v>69</v>
      </c>
      <c r="AC136" s="135" t="s">
        <v>69</v>
      </c>
      <c r="AD136" s="135" t="s">
        <v>69</v>
      </c>
      <c r="AE136" s="7" t="s">
        <v>2075</v>
      </c>
      <c r="AF136" s="7" t="s">
        <v>953</v>
      </c>
      <c r="AG136" s="7"/>
    </row>
  </sheetData>
  <conditionalFormatting sqref="B1:D1">
    <cfRule type="duplicateValues" dxfId="8" priority="1"/>
  </conditionalFormatting>
  <dataValidations count="1">
    <dataValidation allowBlank="1" showInputMessage="1" showErrorMessage="1" sqref="K56:L56 K53:L53 K57:K134 K54:K55 K136 K2:K52" xr:uid="{9C256361-1657-4801-BD2F-347AD42153E3}"/>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47259A95-FF99-4C63-ABE3-477516590F4C}">
          <x14:formula1>
            <xm:f>'Data Validation'!$K$2:$K$5</xm:f>
          </x14:formula1>
          <xm:sqref>AB90:AC92 AB62:AC62 AB68:AC68 AB27:AC27 AB83:AC83 Y40:Z71 AB130:AC133 AB121 AB48:AC50 AB101 AB22:AC23 AB78:AC81 AC2:AC4 AB16:AC17 AB107:AB108 AB104:AB105 AB110:AC113 AB64:AC66 AB20:AC20 AB96:AB99 Y104:Z134 AB33:AC33 AC106:AC108 AB30:AC30 Y136:Z136 AC127:AC128 AB12:AC13 AB71:AC75 Y101:Z101 AB7:AC7 AB94:AC94 Y73:Z99 AC96:AC104 AB52:AC59 AC116 AB40:AC46 AB35:AC38 AB2:AB5 AB116:AB117 Y2:Z38 AB119:AC120 AB123:AB128 AC123:AC125 AB85:AC87</xm:sqref>
        </x14:dataValidation>
        <x14:dataValidation type="list" allowBlank="1" showInputMessage="1" showErrorMessage="1" xr:uid="{0BFED77F-9EA9-4814-9393-6CEB30B1268A}">
          <x14:formula1>
            <xm:f>'Data Validation'!$A$13:$A$24</xm:f>
          </x14:formula1>
          <xm:sqref>J136 J2:J134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0B040-7C18-41BB-B9D4-64798A493DCF}">
  <sheetPr codeName="Sheet6">
    <tabColor rgb="FF92D050"/>
  </sheetPr>
  <dimension ref="A1:AQ67"/>
  <sheetViews>
    <sheetView workbookViewId="0">
      <pane xSplit="3" ySplit="1" topLeftCell="H2" activePane="bottomRight" state="frozen"/>
      <selection pane="topRight"/>
      <selection pane="bottomLeft"/>
      <selection pane="bottomRight" activeCell="N58" sqref="N58"/>
    </sheetView>
  </sheetViews>
  <sheetFormatPr defaultColWidth="9.140625" defaultRowHeight="15" customHeight="1"/>
  <cols>
    <col min="1" max="1" width="13.85546875" style="78" customWidth="1"/>
    <col min="2" max="3" width="18.28515625" style="81" customWidth="1"/>
    <col min="4" max="4" width="23" style="78" customWidth="1"/>
    <col min="5" max="5" width="13.85546875" style="81" customWidth="1"/>
    <col min="6" max="7" width="13.85546875" style="78" customWidth="1"/>
    <col min="8" max="8" width="24.85546875" style="78" customWidth="1"/>
    <col min="9" max="12" width="13.85546875" style="78" customWidth="1"/>
    <col min="13" max="13" width="24.5703125" style="78" bestFit="1" customWidth="1"/>
    <col min="14" max="14" width="13.85546875" style="78" customWidth="1"/>
    <col min="15" max="15" width="23.5703125" style="78" bestFit="1" customWidth="1"/>
    <col min="16" max="16" width="22.85546875" style="78" bestFit="1" customWidth="1"/>
    <col min="17" max="17" width="26.85546875" style="78" customWidth="1"/>
    <col min="18" max="18" width="17" style="78" bestFit="1" customWidth="1"/>
    <col min="19" max="19" width="23.5703125" style="78" customWidth="1"/>
    <col min="20" max="20" width="21.5703125" style="78" customWidth="1"/>
    <col min="21" max="21" width="19" style="78" bestFit="1" customWidth="1"/>
    <col min="22" max="22" width="17.28515625" style="78" customWidth="1"/>
    <col min="23" max="23" width="19" style="78" bestFit="1" customWidth="1"/>
    <col min="24" max="24" width="16.7109375" style="78" customWidth="1"/>
    <col min="25" max="27" width="19.85546875" style="78" customWidth="1"/>
    <col min="28" max="28" width="24.7109375" style="78" customWidth="1"/>
    <col min="29" max="29" width="36" style="81" customWidth="1"/>
    <col min="30" max="38" width="16.7109375" style="81" customWidth="1"/>
    <col min="39" max="39" width="79.42578125" style="81" customWidth="1"/>
    <col min="40" max="40" width="20.7109375" style="78" customWidth="1"/>
    <col min="41" max="43" width="18.140625" style="78" customWidth="1"/>
    <col min="44" max="16384" width="9.140625" style="78"/>
  </cols>
  <sheetData>
    <row r="1" spans="1:43" ht="57">
      <c r="A1" s="89" t="s">
        <v>85</v>
      </c>
      <c r="B1" s="90" t="s">
        <v>86</v>
      </c>
      <c r="C1" s="90" t="s">
        <v>782</v>
      </c>
      <c r="D1" s="89" t="s">
        <v>88</v>
      </c>
      <c r="E1" s="90" t="s">
        <v>89</v>
      </c>
      <c r="F1" s="90" t="s">
        <v>91</v>
      </c>
      <c r="G1" s="90" t="s">
        <v>90</v>
      </c>
      <c r="H1" s="90" t="s">
        <v>785</v>
      </c>
      <c r="I1" s="90" t="s">
        <v>1567</v>
      </c>
      <c r="J1" s="90" t="s">
        <v>2076</v>
      </c>
      <c r="K1" s="90" t="s">
        <v>2077</v>
      </c>
      <c r="L1" s="90" t="s">
        <v>787</v>
      </c>
      <c r="M1" s="90" t="s">
        <v>788</v>
      </c>
      <c r="N1" s="102" t="s">
        <v>99</v>
      </c>
      <c r="O1" s="102" t="s">
        <v>2</v>
      </c>
      <c r="P1" s="102" t="s">
        <v>2078</v>
      </c>
      <c r="Q1" s="102" t="s">
        <v>102</v>
      </c>
      <c r="R1" s="102" t="s">
        <v>103</v>
      </c>
      <c r="S1" s="102" t="s">
        <v>104</v>
      </c>
      <c r="T1" s="102" t="s">
        <v>105</v>
      </c>
      <c r="U1" s="102" t="s">
        <v>106</v>
      </c>
      <c r="V1" s="102" t="s">
        <v>107</v>
      </c>
      <c r="W1" s="102" t="s">
        <v>108</v>
      </c>
      <c r="X1" s="102" t="s">
        <v>109</v>
      </c>
      <c r="Y1" s="102" t="s">
        <v>1576</v>
      </c>
      <c r="Z1" s="102" t="s">
        <v>111</v>
      </c>
      <c r="AA1" s="102" t="s">
        <v>112</v>
      </c>
      <c r="AB1" s="102" t="s">
        <v>2079</v>
      </c>
      <c r="AC1" s="37" t="s">
        <v>2080</v>
      </c>
      <c r="AD1" s="37" t="s">
        <v>2081</v>
      </c>
      <c r="AE1" s="37" t="s">
        <v>2082</v>
      </c>
      <c r="AF1" s="37" t="s">
        <v>2083</v>
      </c>
      <c r="AG1" s="37" t="s">
        <v>2084</v>
      </c>
      <c r="AH1" s="37" t="s">
        <v>2085</v>
      </c>
      <c r="AI1" s="37" t="s">
        <v>2086</v>
      </c>
      <c r="AJ1" s="37" t="s">
        <v>2087</v>
      </c>
      <c r="AK1" s="37" t="s">
        <v>2088</v>
      </c>
      <c r="AL1" s="37" t="s">
        <v>2089</v>
      </c>
      <c r="AM1" s="37" t="s">
        <v>2090</v>
      </c>
      <c r="AN1" s="3" t="s">
        <v>800</v>
      </c>
      <c r="AO1" s="3" t="s">
        <v>802</v>
      </c>
      <c r="AP1" s="3" t="s">
        <v>803</v>
      </c>
      <c r="AQ1" s="3" t="s">
        <v>804</v>
      </c>
    </row>
    <row r="2" spans="1:43" ht="30">
      <c r="A2" s="11" t="s">
        <v>778</v>
      </c>
      <c r="B2" s="7" t="s">
        <v>2091</v>
      </c>
      <c r="C2" s="7" t="s">
        <v>1369</v>
      </c>
      <c r="D2" s="11" t="s">
        <v>143</v>
      </c>
      <c r="E2" s="63" t="s">
        <v>144</v>
      </c>
      <c r="F2" s="11">
        <v>15.08325278</v>
      </c>
      <c r="G2" s="11">
        <v>120.6193694</v>
      </c>
      <c r="H2" s="11" t="s">
        <v>2092</v>
      </c>
      <c r="I2" s="11"/>
      <c r="J2" s="11">
        <v>2019</v>
      </c>
      <c r="K2" s="11">
        <v>2018</v>
      </c>
      <c r="L2" s="11" t="s">
        <v>2093</v>
      </c>
      <c r="M2" s="82" t="s">
        <v>2094</v>
      </c>
      <c r="N2" s="377" t="s">
        <v>73</v>
      </c>
      <c r="O2" s="11" t="s">
        <v>33</v>
      </c>
      <c r="P2" s="11" t="s">
        <v>1838</v>
      </c>
      <c r="Q2" s="11" t="s">
        <v>148</v>
      </c>
      <c r="R2" s="11" t="s">
        <v>2095</v>
      </c>
      <c r="S2" s="34">
        <v>45678</v>
      </c>
      <c r="T2" s="34">
        <v>45681</v>
      </c>
      <c r="U2" s="34"/>
      <c r="V2" s="34">
        <v>45684</v>
      </c>
      <c r="W2" s="34">
        <v>45685</v>
      </c>
      <c r="X2" s="45">
        <f t="shared" ref="X2:X33" si="0">IF(
    OR(ISBLANK(S2), ISBLANK(T2)),
    "",
    MAX(1, IF(
        NETWORKDAYS(S2, T2) &lt;= 0,
        1,
        NETWORKDAYS(S2, T2) - IF(S2 = T2, 0, 1)
    ))
)</f>
        <v>3</v>
      </c>
      <c r="Y2" s="45" t="str">
        <f t="shared" ref="Y2:Y33" si="1">IF(
    OR(ISBLANK(T2), ISBLANK(U2)),
    "",
    MAX(1, IF(
        NETWORKDAYS(T2, U2) &lt;= 0,
        1,
        NETWORKDAYS(T2, U2) - IF(T2 = U2, 0, 1)
    ))
)</f>
        <v/>
      </c>
      <c r="Z2" s="45">
        <f t="shared" ref="Z2:Z33" si="2">IF(
  OR(IF(U2&lt;&gt;"", U2, T2)="", V2=""),
  "",
  MAX(1,
    IF(
      NETWORKDAYS(IF(U2&lt;&gt;"", U2, T2), V2) &lt;= 0,
      1,
      NETWORKDAYS(IF(U2&lt;&gt;"", U2, T2), V2) - IF(IF(U2&lt;&gt;"", U2, T2)=V2, 0, 1)
    )
  )
)</f>
        <v>1</v>
      </c>
      <c r="AA2" s="45">
        <f t="shared" ref="AA2:AA33" si="3">IF(
    OR(ISBLANK(V2), ISBLANK(W2)),
    "",
    MAX(1, IF(
        NETWORKDAYS(V2, W2) &lt;= 0,
        1,
        NETWORKDAYS(V2, W2) - IF(V2 = W2, 0, 1)
    ))
)</f>
        <v>1</v>
      </c>
      <c r="AB2" s="11" t="s">
        <v>150</v>
      </c>
      <c r="AC2" s="7" t="s">
        <v>51</v>
      </c>
      <c r="AD2" s="7" t="s">
        <v>52</v>
      </c>
      <c r="AE2" s="7" t="s">
        <v>52</v>
      </c>
      <c r="AF2" s="7" t="s">
        <v>52</v>
      </c>
      <c r="AG2" s="7" t="s">
        <v>52</v>
      </c>
      <c r="AH2" s="7" t="s">
        <v>52</v>
      </c>
      <c r="AI2" s="7" t="s">
        <v>52</v>
      </c>
      <c r="AJ2" s="7" t="s">
        <v>52</v>
      </c>
      <c r="AK2" s="7" t="s">
        <v>52</v>
      </c>
      <c r="AL2" s="7" t="s">
        <v>52</v>
      </c>
      <c r="AM2" s="7" t="s">
        <v>2096</v>
      </c>
      <c r="AN2" s="11"/>
      <c r="AO2" s="11"/>
      <c r="AP2" s="11"/>
      <c r="AQ2" s="11"/>
    </row>
    <row r="3" spans="1:43" ht="30">
      <c r="A3" s="11" t="s">
        <v>774</v>
      </c>
      <c r="B3" s="7" t="s">
        <v>861</v>
      </c>
      <c r="C3" s="7" t="s">
        <v>862</v>
      </c>
      <c r="D3" s="11" t="s">
        <v>143</v>
      </c>
      <c r="E3" s="63" t="s">
        <v>185</v>
      </c>
      <c r="F3" s="11">
        <v>14.58803056</v>
      </c>
      <c r="G3" s="11">
        <v>120.5265667</v>
      </c>
      <c r="H3" s="11" t="s">
        <v>2097</v>
      </c>
      <c r="I3" s="11">
        <v>2003</v>
      </c>
      <c r="J3" s="11">
        <v>2020</v>
      </c>
      <c r="K3" s="11">
        <v>2018</v>
      </c>
      <c r="L3" s="11">
        <v>2018</v>
      </c>
      <c r="M3" s="82">
        <v>1746823.05</v>
      </c>
      <c r="N3" s="378" t="s">
        <v>79</v>
      </c>
      <c r="O3" s="11" t="s">
        <v>17</v>
      </c>
      <c r="P3" s="11"/>
      <c r="Q3" s="11" t="s">
        <v>180</v>
      </c>
      <c r="R3" s="11" t="s">
        <v>2098</v>
      </c>
      <c r="S3" s="34">
        <v>45848</v>
      </c>
      <c r="T3" s="34">
        <v>45852</v>
      </c>
      <c r="U3" s="34"/>
      <c r="V3" s="34">
        <v>45853</v>
      </c>
      <c r="W3" s="34">
        <v>45854</v>
      </c>
      <c r="X3" s="45">
        <f t="shared" si="0"/>
        <v>2</v>
      </c>
      <c r="Y3" s="45" t="str">
        <f t="shared" si="1"/>
        <v/>
      </c>
      <c r="Z3" s="45">
        <f t="shared" si="2"/>
        <v>1</v>
      </c>
      <c r="AA3" s="45">
        <f t="shared" si="3"/>
        <v>1</v>
      </c>
      <c r="AB3" s="11" t="s">
        <v>150</v>
      </c>
      <c r="AC3" s="7" t="s">
        <v>51</v>
      </c>
      <c r="AD3" s="7" t="s">
        <v>52</v>
      </c>
      <c r="AE3" s="7" t="s">
        <v>52</v>
      </c>
      <c r="AF3" s="7" t="s">
        <v>52</v>
      </c>
      <c r="AG3" s="7" t="s">
        <v>52</v>
      </c>
      <c r="AH3" s="7" t="s">
        <v>52</v>
      </c>
      <c r="AI3" s="7" t="s">
        <v>52</v>
      </c>
      <c r="AJ3" s="7" t="s">
        <v>52</v>
      </c>
      <c r="AK3" s="7" t="s">
        <v>52</v>
      </c>
      <c r="AL3" s="7" t="s">
        <v>52</v>
      </c>
      <c r="AM3" s="7" t="s">
        <v>2099</v>
      </c>
      <c r="AN3" s="11"/>
      <c r="AO3" s="11"/>
      <c r="AP3" s="11"/>
      <c r="AQ3" s="11"/>
    </row>
    <row r="4" spans="1:43">
      <c r="A4" s="11" t="s">
        <v>776</v>
      </c>
      <c r="B4" s="7" t="s">
        <v>1148</v>
      </c>
      <c r="C4" s="7" t="s">
        <v>2100</v>
      </c>
      <c r="D4" s="11" t="s">
        <v>143</v>
      </c>
      <c r="E4" s="63" t="s">
        <v>144</v>
      </c>
      <c r="F4" s="11">
        <v>15.042716670000001</v>
      </c>
      <c r="G4" s="11">
        <v>121.0575139</v>
      </c>
      <c r="H4" s="11" t="s">
        <v>2101</v>
      </c>
      <c r="I4" s="11">
        <v>1996</v>
      </c>
      <c r="J4" s="11">
        <v>2015</v>
      </c>
      <c r="K4" s="11">
        <v>2018</v>
      </c>
      <c r="L4" s="11">
        <v>2018</v>
      </c>
      <c r="M4" s="82">
        <v>1410492.15</v>
      </c>
      <c r="N4" s="387" t="s">
        <v>82</v>
      </c>
      <c r="O4" s="11" t="s">
        <v>22</v>
      </c>
      <c r="P4" s="11" t="s">
        <v>1838</v>
      </c>
      <c r="Q4" s="11" t="s">
        <v>1982</v>
      </c>
      <c r="R4" s="11" t="s">
        <v>2102</v>
      </c>
      <c r="S4" s="34">
        <v>45944</v>
      </c>
      <c r="T4" s="34">
        <v>45945</v>
      </c>
      <c r="U4" s="34">
        <v>45946</v>
      </c>
      <c r="V4" s="34">
        <v>45946</v>
      </c>
      <c r="W4" s="34">
        <v>45950</v>
      </c>
      <c r="X4" s="45">
        <f t="shared" si="0"/>
        <v>1</v>
      </c>
      <c r="Y4" s="45">
        <f t="shared" si="1"/>
        <v>1</v>
      </c>
      <c r="Z4" s="45">
        <f t="shared" si="2"/>
        <v>1</v>
      </c>
      <c r="AA4" s="45">
        <f t="shared" si="3"/>
        <v>2</v>
      </c>
      <c r="AB4" s="11" t="s">
        <v>150</v>
      </c>
      <c r="AC4" s="7" t="s">
        <v>51</v>
      </c>
      <c r="AD4" s="7" t="s">
        <v>52</v>
      </c>
      <c r="AE4" s="7" t="s">
        <v>52</v>
      </c>
      <c r="AF4" s="7" t="s">
        <v>52</v>
      </c>
      <c r="AG4" s="7" t="s">
        <v>52</v>
      </c>
      <c r="AH4" s="7" t="s">
        <v>52</v>
      </c>
      <c r="AI4" s="7" t="s">
        <v>52</v>
      </c>
      <c r="AJ4" s="7" t="s">
        <v>52</v>
      </c>
      <c r="AK4" s="7" t="s">
        <v>52</v>
      </c>
      <c r="AL4" s="7" t="s">
        <v>52</v>
      </c>
      <c r="AM4" s="7"/>
      <c r="AN4" s="11"/>
      <c r="AO4" s="11"/>
      <c r="AP4" s="11"/>
      <c r="AQ4" s="11"/>
    </row>
    <row r="5" spans="1:43">
      <c r="A5" s="11" t="s">
        <v>777</v>
      </c>
      <c r="B5" s="7" t="s">
        <v>1328</v>
      </c>
      <c r="C5" s="7" t="s">
        <v>1234</v>
      </c>
      <c r="D5" s="11" t="s">
        <v>143</v>
      </c>
      <c r="E5" s="63" t="s">
        <v>160</v>
      </c>
      <c r="F5" s="11">
        <v>15.589195</v>
      </c>
      <c r="G5" s="11">
        <v>120.869075</v>
      </c>
      <c r="H5" s="11" t="s">
        <v>2103</v>
      </c>
      <c r="I5" s="11"/>
      <c r="J5" s="11">
        <v>2015</v>
      </c>
      <c r="K5" s="11">
        <v>2016</v>
      </c>
      <c r="L5" s="11">
        <v>2016</v>
      </c>
      <c r="M5" s="82">
        <v>3838815.58</v>
      </c>
      <c r="N5" s="387" t="s">
        <v>82</v>
      </c>
      <c r="O5" s="11" t="s">
        <v>27</v>
      </c>
      <c r="P5" s="11" t="s">
        <v>1610</v>
      </c>
      <c r="Q5" s="11" t="s">
        <v>212</v>
      </c>
      <c r="R5" s="11" t="s">
        <v>2104</v>
      </c>
      <c r="S5" s="34">
        <v>45945</v>
      </c>
      <c r="T5" s="34">
        <v>45946</v>
      </c>
      <c r="U5" s="34">
        <v>45947</v>
      </c>
      <c r="V5" s="34">
        <v>45947</v>
      </c>
      <c r="W5" s="34">
        <v>45950</v>
      </c>
      <c r="X5" s="45">
        <f t="shared" si="0"/>
        <v>1</v>
      </c>
      <c r="Y5" s="45">
        <f t="shared" si="1"/>
        <v>1</v>
      </c>
      <c r="Z5" s="45">
        <f t="shared" si="2"/>
        <v>1</v>
      </c>
      <c r="AA5" s="45">
        <f t="shared" si="3"/>
        <v>1</v>
      </c>
      <c r="AB5" s="11" t="s">
        <v>150</v>
      </c>
      <c r="AC5" s="7" t="s">
        <v>51</v>
      </c>
      <c r="AD5" s="7" t="s">
        <v>52</v>
      </c>
      <c r="AE5" s="7" t="s">
        <v>52</v>
      </c>
      <c r="AF5" s="7" t="s">
        <v>52</v>
      </c>
      <c r="AG5" s="7" t="s">
        <v>52</v>
      </c>
      <c r="AH5" s="7" t="s">
        <v>52</v>
      </c>
      <c r="AI5" s="7" t="s">
        <v>52</v>
      </c>
      <c r="AJ5" s="7" t="s">
        <v>52</v>
      </c>
      <c r="AK5" s="7" t="s">
        <v>52</v>
      </c>
      <c r="AL5" s="7" t="s">
        <v>52</v>
      </c>
      <c r="AM5" s="7"/>
      <c r="AN5" s="11"/>
      <c r="AO5" s="11"/>
      <c r="AP5" s="11"/>
      <c r="AQ5" s="11"/>
    </row>
    <row r="6" spans="1:43" s="732" customFormat="1">
      <c r="A6" s="104" t="s">
        <v>778</v>
      </c>
      <c r="B6" s="729" t="s">
        <v>1357</v>
      </c>
      <c r="C6" s="729" t="s">
        <v>2105</v>
      </c>
      <c r="D6" s="104" t="s">
        <v>143</v>
      </c>
      <c r="E6" s="733" t="s">
        <v>233</v>
      </c>
      <c r="F6" s="104">
        <v>15.01660833</v>
      </c>
      <c r="G6" s="104">
        <v>120.88668610000001</v>
      </c>
      <c r="H6" s="104" t="s">
        <v>2106</v>
      </c>
      <c r="I6" s="104"/>
      <c r="J6" s="104">
        <v>2015</v>
      </c>
      <c r="K6" s="104">
        <v>2015</v>
      </c>
      <c r="L6" s="104">
        <v>2018</v>
      </c>
      <c r="M6" s="734">
        <v>426302.2</v>
      </c>
      <c r="N6" s="735" t="s">
        <v>82</v>
      </c>
      <c r="O6" s="104" t="s">
        <v>32</v>
      </c>
      <c r="P6" s="104"/>
      <c r="Q6" s="104" t="s">
        <v>148</v>
      </c>
      <c r="R6" s="104" t="s">
        <v>2107</v>
      </c>
      <c r="S6" s="731">
        <v>45946</v>
      </c>
      <c r="T6" s="731">
        <v>45946</v>
      </c>
      <c r="U6" s="731"/>
      <c r="V6" s="731">
        <v>45947</v>
      </c>
      <c r="W6" s="731">
        <v>45950</v>
      </c>
      <c r="X6" s="45">
        <f t="shared" si="0"/>
        <v>1</v>
      </c>
      <c r="Y6" s="45" t="str">
        <f t="shared" si="1"/>
        <v/>
      </c>
      <c r="Z6" s="45">
        <f t="shared" si="2"/>
        <v>1</v>
      </c>
      <c r="AA6" s="45">
        <f t="shared" si="3"/>
        <v>1</v>
      </c>
      <c r="AB6" s="729" t="s">
        <v>1085</v>
      </c>
      <c r="AC6" s="729" t="s">
        <v>51</v>
      </c>
      <c r="AD6" s="729"/>
      <c r="AE6" s="729"/>
      <c r="AF6" s="729" t="s">
        <v>52</v>
      </c>
      <c r="AG6" s="729" t="s">
        <v>52</v>
      </c>
      <c r="AH6" s="729" t="s">
        <v>52</v>
      </c>
      <c r="AI6" s="729" t="s">
        <v>52</v>
      </c>
      <c r="AJ6" s="729" t="s">
        <v>52</v>
      </c>
      <c r="AK6" s="729" t="s">
        <v>52</v>
      </c>
      <c r="AL6" s="729" t="s">
        <v>52</v>
      </c>
      <c r="AM6" s="729"/>
      <c r="AN6" s="104"/>
      <c r="AO6" s="104"/>
      <c r="AP6" s="104"/>
      <c r="AQ6" s="104"/>
    </row>
    <row r="7" spans="1:43">
      <c r="A7" s="11" t="s">
        <v>780</v>
      </c>
      <c r="B7" s="7" t="s">
        <v>1526</v>
      </c>
      <c r="C7" s="7" t="s">
        <v>918</v>
      </c>
      <c r="D7" s="11" t="s">
        <v>159</v>
      </c>
      <c r="E7" s="63" t="s">
        <v>185</v>
      </c>
      <c r="F7" s="11">
        <v>15.16056</v>
      </c>
      <c r="G7" s="11">
        <v>120.07454</v>
      </c>
      <c r="H7" s="11" t="s">
        <v>2108</v>
      </c>
      <c r="I7" s="11">
        <v>2015</v>
      </c>
      <c r="J7" s="11">
        <v>2019</v>
      </c>
      <c r="K7" s="11">
        <v>2019</v>
      </c>
      <c r="L7" s="11">
        <v>2019</v>
      </c>
      <c r="M7" s="82">
        <v>1683493.46</v>
      </c>
      <c r="N7" s="387" t="s">
        <v>82</v>
      </c>
      <c r="O7" s="11" t="s">
        <v>42</v>
      </c>
      <c r="P7" s="11" t="s">
        <v>163</v>
      </c>
      <c r="Q7" s="11" t="s">
        <v>164</v>
      </c>
      <c r="R7" s="11" t="s">
        <v>2109</v>
      </c>
      <c r="S7" s="34">
        <v>45944</v>
      </c>
      <c r="T7" s="34">
        <v>45946</v>
      </c>
      <c r="U7" s="34">
        <v>45946</v>
      </c>
      <c r="V7" s="34">
        <v>45946</v>
      </c>
      <c r="W7" s="34">
        <v>45947</v>
      </c>
      <c r="X7" s="45">
        <f t="shared" si="0"/>
        <v>2</v>
      </c>
      <c r="Y7" s="45">
        <f t="shared" si="1"/>
        <v>1</v>
      </c>
      <c r="Z7" s="45">
        <f t="shared" si="2"/>
        <v>1</v>
      </c>
      <c r="AA7" s="45">
        <f t="shared" si="3"/>
        <v>1</v>
      </c>
      <c r="AB7" s="11" t="s">
        <v>150</v>
      </c>
      <c r="AC7" s="7" t="s">
        <v>51</v>
      </c>
      <c r="AD7" s="7" t="s">
        <v>52</v>
      </c>
      <c r="AE7" s="7" t="s">
        <v>52</v>
      </c>
      <c r="AF7" s="7" t="s">
        <v>52</v>
      </c>
      <c r="AG7" s="7" t="s">
        <v>52</v>
      </c>
      <c r="AH7" s="7" t="s">
        <v>52</v>
      </c>
      <c r="AI7" s="7" t="s">
        <v>52</v>
      </c>
      <c r="AJ7" s="7" t="s">
        <v>52</v>
      </c>
      <c r="AK7" s="7" t="s">
        <v>52</v>
      </c>
      <c r="AL7" s="7" t="s">
        <v>52</v>
      </c>
      <c r="AM7" s="7" t="s">
        <v>2110</v>
      </c>
      <c r="AN7" s="11"/>
      <c r="AO7" s="11"/>
      <c r="AP7" s="11"/>
      <c r="AQ7" s="11"/>
    </row>
    <row r="8" spans="1:43" ht="30">
      <c r="A8" s="11" t="s">
        <v>776</v>
      </c>
      <c r="B8" s="7" t="s">
        <v>1160</v>
      </c>
      <c r="C8" s="7" t="s">
        <v>1161</v>
      </c>
      <c r="D8" s="11" t="s">
        <v>143</v>
      </c>
      <c r="E8" s="63" t="s">
        <v>599</v>
      </c>
      <c r="F8" s="11">
        <v>14.871143999999999</v>
      </c>
      <c r="G8" s="11">
        <v>120.972808</v>
      </c>
      <c r="H8" s="11" t="s">
        <v>2111</v>
      </c>
      <c r="I8" s="11">
        <v>2008</v>
      </c>
      <c r="J8" s="11">
        <v>2010</v>
      </c>
      <c r="K8" s="11">
        <v>2018</v>
      </c>
      <c r="L8" s="11">
        <v>2018</v>
      </c>
      <c r="M8" s="82">
        <v>1061965.01</v>
      </c>
      <c r="N8" s="378" t="s">
        <v>83</v>
      </c>
      <c r="O8" s="11" t="s">
        <v>24</v>
      </c>
      <c r="P8" s="11" t="s">
        <v>1838</v>
      </c>
      <c r="Q8" s="11" t="s">
        <v>1982</v>
      </c>
      <c r="R8" s="11" t="s">
        <v>2112</v>
      </c>
      <c r="S8" s="34">
        <v>45967</v>
      </c>
      <c r="T8" s="34">
        <v>45971</v>
      </c>
      <c r="U8" s="34">
        <v>45979</v>
      </c>
      <c r="V8" s="34">
        <v>45980</v>
      </c>
      <c r="W8" s="34">
        <v>45980</v>
      </c>
      <c r="X8" s="45">
        <f t="shared" si="0"/>
        <v>2</v>
      </c>
      <c r="Y8" s="45">
        <f t="shared" si="1"/>
        <v>6</v>
      </c>
      <c r="Z8" s="45">
        <f t="shared" si="2"/>
        <v>1</v>
      </c>
      <c r="AA8" s="45">
        <f t="shared" si="3"/>
        <v>1</v>
      </c>
      <c r="AB8" s="11" t="s">
        <v>150</v>
      </c>
      <c r="AC8" s="7" t="s">
        <v>58</v>
      </c>
      <c r="AD8" s="7" t="s">
        <v>59</v>
      </c>
      <c r="AE8" s="7" t="s">
        <v>59</v>
      </c>
      <c r="AF8" s="7" t="s">
        <v>59</v>
      </c>
      <c r="AG8" s="7" t="s">
        <v>59</v>
      </c>
      <c r="AH8" s="7" t="s">
        <v>59</v>
      </c>
      <c r="AI8" s="7" t="s">
        <v>59</v>
      </c>
      <c r="AJ8" s="7"/>
      <c r="AK8" s="7"/>
      <c r="AL8" s="7"/>
      <c r="AM8" s="7" t="s">
        <v>2113</v>
      </c>
      <c r="AN8" s="11"/>
      <c r="AO8" s="11"/>
      <c r="AP8" s="11"/>
      <c r="AQ8" s="11"/>
    </row>
    <row r="9" spans="1:43" ht="15" customHeight="1">
      <c r="A9" s="11" t="s">
        <v>777</v>
      </c>
      <c r="B9" s="7" t="s">
        <v>1331</v>
      </c>
      <c r="C9" s="7" t="s">
        <v>1332</v>
      </c>
      <c r="D9" s="11" t="s">
        <v>143</v>
      </c>
      <c r="E9" s="63" t="s">
        <v>160</v>
      </c>
      <c r="F9" s="11">
        <v>15.644071</v>
      </c>
      <c r="G9" s="11">
        <v>120.90362</v>
      </c>
      <c r="H9" s="11" t="s">
        <v>2114</v>
      </c>
      <c r="I9" s="11"/>
      <c r="J9" s="11">
        <v>2017</v>
      </c>
      <c r="K9" s="11">
        <v>2017</v>
      </c>
      <c r="L9" s="11">
        <v>2017</v>
      </c>
      <c r="M9" s="82">
        <v>3710638.03</v>
      </c>
      <c r="N9" s="378" t="s">
        <v>83</v>
      </c>
      <c r="O9" s="11" t="s">
        <v>27</v>
      </c>
      <c r="P9" s="11" t="s">
        <v>1610</v>
      </c>
      <c r="Q9" s="11" t="s">
        <v>212</v>
      </c>
      <c r="R9" s="11" t="s">
        <v>2115</v>
      </c>
      <c r="S9" s="34">
        <v>45965</v>
      </c>
      <c r="T9" s="34">
        <v>45966</v>
      </c>
      <c r="U9" s="34">
        <v>45980</v>
      </c>
      <c r="V9" s="34">
        <v>45980</v>
      </c>
      <c r="W9" s="34">
        <v>45980</v>
      </c>
      <c r="X9" s="45">
        <f t="shared" si="0"/>
        <v>1</v>
      </c>
      <c r="Y9" s="45">
        <f t="shared" si="1"/>
        <v>10</v>
      </c>
      <c r="Z9" s="45">
        <f t="shared" si="2"/>
        <v>1</v>
      </c>
      <c r="AA9" s="45">
        <f t="shared" si="3"/>
        <v>1</v>
      </c>
      <c r="AB9" s="11" t="s">
        <v>150</v>
      </c>
      <c r="AC9" s="7" t="s">
        <v>51</v>
      </c>
      <c r="AD9" s="7"/>
      <c r="AE9" s="7"/>
      <c r="AF9" s="7"/>
      <c r="AG9" s="7"/>
      <c r="AH9" s="7"/>
      <c r="AI9" s="7"/>
      <c r="AJ9" s="7"/>
      <c r="AK9" s="7"/>
      <c r="AL9" s="7"/>
      <c r="AM9" s="7"/>
      <c r="AN9" s="11"/>
      <c r="AO9" s="11"/>
      <c r="AP9" s="11"/>
      <c r="AQ9" s="11"/>
    </row>
    <row r="10" spans="1:43" ht="15" customHeight="1">
      <c r="A10" s="9" t="s">
        <v>777</v>
      </c>
      <c r="B10" s="4" t="s">
        <v>1331</v>
      </c>
      <c r="C10" s="4" t="s">
        <v>2116</v>
      </c>
      <c r="D10" s="11" t="s">
        <v>143</v>
      </c>
      <c r="E10" s="63" t="s">
        <v>160</v>
      </c>
      <c r="F10" s="9">
        <v>15.538690000000001</v>
      </c>
      <c r="G10" s="9">
        <v>120.9434</v>
      </c>
      <c r="H10" s="9" t="s">
        <v>2117</v>
      </c>
      <c r="I10" s="11"/>
      <c r="J10" s="11">
        <v>2021</v>
      </c>
      <c r="K10" s="11"/>
      <c r="L10" s="11" t="s">
        <v>69</v>
      </c>
      <c r="M10" s="11" t="s">
        <v>69</v>
      </c>
      <c r="N10" s="378" t="s">
        <v>83</v>
      </c>
      <c r="O10" s="11" t="s">
        <v>27</v>
      </c>
      <c r="P10" s="11" t="s">
        <v>1610</v>
      </c>
      <c r="Q10" s="11" t="s">
        <v>212</v>
      </c>
      <c r="R10" s="11" t="s">
        <v>2118</v>
      </c>
      <c r="S10" s="34">
        <v>45965</v>
      </c>
      <c r="T10" s="34">
        <v>45966</v>
      </c>
      <c r="U10" s="34">
        <v>45980</v>
      </c>
      <c r="V10" s="34">
        <v>45980</v>
      </c>
      <c r="W10" s="34">
        <v>45980</v>
      </c>
      <c r="X10" s="45">
        <f t="shared" si="0"/>
        <v>1</v>
      </c>
      <c r="Y10" s="45">
        <f t="shared" si="1"/>
        <v>10</v>
      </c>
      <c r="Z10" s="45">
        <f t="shared" si="2"/>
        <v>1</v>
      </c>
      <c r="AA10" s="45">
        <f t="shared" si="3"/>
        <v>1</v>
      </c>
      <c r="AB10" s="11" t="s">
        <v>150</v>
      </c>
      <c r="AC10" s="7" t="s">
        <v>51</v>
      </c>
      <c r="AD10" s="7" t="s">
        <v>52</v>
      </c>
      <c r="AE10" s="7" t="s">
        <v>52</v>
      </c>
      <c r="AF10" s="7" t="s">
        <v>52</v>
      </c>
      <c r="AG10" s="7" t="s">
        <v>52</v>
      </c>
      <c r="AH10" s="7" t="s">
        <v>52</v>
      </c>
      <c r="AI10" s="7" t="s">
        <v>52</v>
      </c>
      <c r="AJ10" s="7" t="s">
        <v>52</v>
      </c>
      <c r="AK10" s="7" t="s">
        <v>52</v>
      </c>
      <c r="AL10" s="7" t="s">
        <v>52</v>
      </c>
      <c r="AM10" s="7"/>
      <c r="AN10" s="11"/>
      <c r="AO10" s="11"/>
      <c r="AP10" s="11"/>
      <c r="AQ10" s="11"/>
    </row>
    <row r="11" spans="1:43" ht="15" customHeight="1">
      <c r="A11" s="11" t="s">
        <v>778</v>
      </c>
      <c r="B11" s="7" t="s">
        <v>1343</v>
      </c>
      <c r="C11" s="7" t="s">
        <v>2119</v>
      </c>
      <c r="D11" s="11" t="s">
        <v>143</v>
      </c>
      <c r="E11" s="63" t="s">
        <v>233</v>
      </c>
      <c r="F11" s="11">
        <v>14.928211109999999</v>
      </c>
      <c r="G11" s="11">
        <v>120.7636167</v>
      </c>
      <c r="H11" s="11" t="s">
        <v>2120</v>
      </c>
      <c r="I11" s="11">
        <v>2016</v>
      </c>
      <c r="J11" s="11">
        <v>2017</v>
      </c>
      <c r="K11" s="11">
        <v>2017</v>
      </c>
      <c r="L11" s="11">
        <v>2018</v>
      </c>
      <c r="M11" s="82">
        <v>240992.41</v>
      </c>
      <c r="N11" s="378" t="s">
        <v>83</v>
      </c>
      <c r="O11" s="11" t="s">
        <v>34</v>
      </c>
      <c r="P11" s="11"/>
      <c r="Q11" s="11" t="s">
        <v>148</v>
      </c>
      <c r="R11" s="11" t="s">
        <v>2121</v>
      </c>
      <c r="S11" s="34">
        <v>45960</v>
      </c>
      <c r="T11" s="34">
        <v>45961</v>
      </c>
      <c r="U11" s="34"/>
      <c r="V11" s="34">
        <v>45972</v>
      </c>
      <c r="W11" s="34">
        <v>45980</v>
      </c>
      <c r="X11" s="45">
        <f t="shared" si="0"/>
        <v>1</v>
      </c>
      <c r="Y11" s="45" t="str">
        <f t="shared" si="1"/>
        <v/>
      </c>
      <c r="Z11" s="45">
        <f t="shared" si="2"/>
        <v>7</v>
      </c>
      <c r="AA11" s="45">
        <f t="shared" si="3"/>
        <v>6</v>
      </c>
      <c r="AB11" s="11" t="s">
        <v>150</v>
      </c>
      <c r="AC11" s="7" t="s">
        <v>51</v>
      </c>
      <c r="AD11" s="7" t="s">
        <v>52</v>
      </c>
      <c r="AE11" s="7" t="s">
        <v>52</v>
      </c>
      <c r="AF11" s="7" t="s">
        <v>52</v>
      </c>
      <c r="AG11" s="7" t="s">
        <v>52</v>
      </c>
      <c r="AH11" s="7" t="s">
        <v>52</v>
      </c>
      <c r="AI11" s="7" t="s">
        <v>52</v>
      </c>
      <c r="AJ11" s="7" t="s">
        <v>52</v>
      </c>
      <c r="AK11" s="7" t="s">
        <v>52</v>
      </c>
      <c r="AL11" s="7" t="s">
        <v>52</v>
      </c>
      <c r="AM11" s="7"/>
      <c r="AN11" s="11"/>
      <c r="AO11" s="11"/>
      <c r="AP11" s="11"/>
      <c r="AQ11" s="11"/>
    </row>
    <row r="12" spans="1:43" ht="15" customHeight="1">
      <c r="A12" s="11" t="s">
        <v>780</v>
      </c>
      <c r="B12" s="7" t="s">
        <v>2071</v>
      </c>
      <c r="C12" s="7" t="s">
        <v>2122</v>
      </c>
      <c r="D12" s="11" t="s">
        <v>159</v>
      </c>
      <c r="E12" s="63" t="s">
        <v>160</v>
      </c>
      <c r="F12" s="11">
        <v>14.878166670000001</v>
      </c>
      <c r="G12" s="11">
        <v>120.2512972</v>
      </c>
      <c r="H12" s="11" t="s">
        <v>2123</v>
      </c>
      <c r="I12" s="11">
        <v>1997</v>
      </c>
      <c r="J12" s="11">
        <v>2018</v>
      </c>
      <c r="K12" s="11">
        <v>2019</v>
      </c>
      <c r="L12" s="11">
        <v>2019</v>
      </c>
      <c r="M12" s="82">
        <v>3040094.77</v>
      </c>
      <c r="N12" s="378" t="s">
        <v>83</v>
      </c>
      <c r="O12" s="11"/>
      <c r="P12" s="11" t="s">
        <v>163</v>
      </c>
      <c r="Q12" s="11" t="s">
        <v>164</v>
      </c>
      <c r="R12" s="78" t="s">
        <v>2124</v>
      </c>
      <c r="S12" s="34"/>
      <c r="T12" s="34">
        <v>45965</v>
      </c>
      <c r="U12" s="34">
        <v>45975</v>
      </c>
      <c r="V12" s="34">
        <v>45977</v>
      </c>
      <c r="W12" s="34">
        <v>45979</v>
      </c>
      <c r="X12" s="45" t="str">
        <f t="shared" si="0"/>
        <v/>
      </c>
      <c r="Y12" s="45">
        <f t="shared" si="1"/>
        <v>8</v>
      </c>
      <c r="Z12" s="45">
        <f t="shared" si="2"/>
        <v>1</v>
      </c>
      <c r="AA12" s="45">
        <f t="shared" si="3"/>
        <v>1</v>
      </c>
      <c r="AB12" s="11" t="s">
        <v>150</v>
      </c>
      <c r="AC12" s="7" t="s">
        <v>51</v>
      </c>
      <c r="AD12" s="7" t="s">
        <v>52</v>
      </c>
      <c r="AE12" s="7" t="s">
        <v>52</v>
      </c>
      <c r="AF12" s="7" t="s">
        <v>52</v>
      </c>
      <c r="AG12" s="7" t="s">
        <v>59</v>
      </c>
      <c r="AH12" s="7" t="s">
        <v>59</v>
      </c>
      <c r="AI12" s="7" t="s">
        <v>59</v>
      </c>
      <c r="AJ12" s="7" t="s">
        <v>52</v>
      </c>
      <c r="AK12" s="7" t="s">
        <v>59</v>
      </c>
      <c r="AL12" s="7" t="s">
        <v>52</v>
      </c>
      <c r="AM12" s="7" t="s">
        <v>1456</v>
      </c>
      <c r="AN12" s="11"/>
      <c r="AO12" s="11"/>
      <c r="AP12" s="11"/>
      <c r="AQ12" s="11"/>
    </row>
    <row r="13" spans="1:43" ht="15" customHeight="1">
      <c r="A13" s="11" t="s">
        <v>774</v>
      </c>
      <c r="B13" s="7" t="s">
        <v>884</v>
      </c>
      <c r="C13" s="7" t="s">
        <v>885</v>
      </c>
      <c r="D13" s="11" t="s">
        <v>143</v>
      </c>
      <c r="E13" s="63" t="s">
        <v>160</v>
      </c>
      <c r="F13" s="11">
        <v>14.815472</v>
      </c>
      <c r="G13" s="11">
        <v>120.479834</v>
      </c>
      <c r="H13" s="11" t="s">
        <v>2125</v>
      </c>
      <c r="I13" s="11">
        <v>2016</v>
      </c>
      <c r="J13" s="11">
        <v>2017</v>
      </c>
      <c r="K13" s="11">
        <v>2017</v>
      </c>
      <c r="L13" s="11">
        <v>2017</v>
      </c>
      <c r="M13" s="82">
        <v>799316.63</v>
      </c>
      <c r="N13" s="378" t="s">
        <v>74</v>
      </c>
      <c r="O13" s="11" t="s">
        <v>18</v>
      </c>
      <c r="P13" s="11"/>
      <c r="Q13" s="11" t="s">
        <v>180</v>
      </c>
      <c r="R13" s="7" t="s">
        <v>2126</v>
      </c>
      <c r="S13" s="34">
        <v>45688</v>
      </c>
      <c r="T13" s="34">
        <v>45689</v>
      </c>
      <c r="U13" s="34">
        <v>45689</v>
      </c>
      <c r="V13" s="34">
        <v>45691</v>
      </c>
      <c r="W13" s="34">
        <v>45692</v>
      </c>
      <c r="X13" s="45">
        <f t="shared" si="0"/>
        <v>1</v>
      </c>
      <c r="Y13" s="45">
        <f t="shared" si="1"/>
        <v>1</v>
      </c>
      <c r="Z13" s="45">
        <f t="shared" si="2"/>
        <v>1</v>
      </c>
      <c r="AA13" s="45">
        <f t="shared" si="3"/>
        <v>1</v>
      </c>
      <c r="AB13" s="11" t="s">
        <v>150</v>
      </c>
      <c r="AC13" s="7" t="s">
        <v>58</v>
      </c>
      <c r="AD13" s="7" t="s">
        <v>59</v>
      </c>
      <c r="AE13" s="7" t="s">
        <v>52</v>
      </c>
      <c r="AF13" s="7" t="s">
        <v>52</v>
      </c>
      <c r="AG13" s="7" t="s">
        <v>59</v>
      </c>
      <c r="AH13" s="7" t="s">
        <v>52</v>
      </c>
      <c r="AI13" s="7" t="s">
        <v>52</v>
      </c>
      <c r="AJ13" s="7" t="s">
        <v>52</v>
      </c>
      <c r="AK13" s="7" t="s">
        <v>59</v>
      </c>
      <c r="AL13" s="7" t="s">
        <v>59</v>
      </c>
      <c r="AM13" s="7" t="s">
        <v>2127</v>
      </c>
      <c r="AN13" s="11"/>
      <c r="AO13" s="11"/>
      <c r="AP13" s="11"/>
      <c r="AQ13" s="11"/>
    </row>
    <row r="14" spans="1:43" ht="15" customHeight="1">
      <c r="A14" s="11" t="s">
        <v>776</v>
      </c>
      <c r="B14" s="7" t="s">
        <v>1028</v>
      </c>
      <c r="C14" s="7" t="s">
        <v>2128</v>
      </c>
      <c r="D14" s="11" t="s">
        <v>143</v>
      </c>
      <c r="E14" s="63" t="s">
        <v>160</v>
      </c>
      <c r="F14" s="11">
        <v>14.927519</v>
      </c>
      <c r="G14" s="11">
        <v>120.78780999999999</v>
      </c>
      <c r="H14" s="11" t="s">
        <v>2129</v>
      </c>
      <c r="I14" s="11">
        <v>2005</v>
      </c>
      <c r="J14" s="11">
        <v>2017</v>
      </c>
      <c r="K14" s="11">
        <v>2019</v>
      </c>
      <c r="L14" s="11">
        <v>2018</v>
      </c>
      <c r="M14" s="82">
        <v>593191.76</v>
      </c>
      <c r="N14" s="378" t="s">
        <v>74</v>
      </c>
      <c r="O14" s="11" t="s">
        <v>22</v>
      </c>
      <c r="P14" s="11" t="s">
        <v>2130</v>
      </c>
      <c r="Q14" s="11" t="s">
        <v>1982</v>
      </c>
      <c r="R14" s="11" t="s">
        <v>2131</v>
      </c>
      <c r="S14" s="34">
        <v>45702</v>
      </c>
      <c r="T14" s="34">
        <v>45704</v>
      </c>
      <c r="U14" s="34">
        <v>45705</v>
      </c>
      <c r="V14" s="34">
        <v>45705</v>
      </c>
      <c r="W14" s="34">
        <v>45706</v>
      </c>
      <c r="X14" s="45">
        <f t="shared" si="0"/>
        <v>1</v>
      </c>
      <c r="Y14" s="45">
        <f t="shared" si="1"/>
        <v>1</v>
      </c>
      <c r="Z14" s="45">
        <f t="shared" si="2"/>
        <v>1</v>
      </c>
      <c r="AA14" s="45">
        <f t="shared" si="3"/>
        <v>1</v>
      </c>
      <c r="AB14" s="11" t="s">
        <v>150</v>
      </c>
      <c r="AC14" s="7" t="s">
        <v>51</v>
      </c>
      <c r="AD14" s="7" t="s">
        <v>52</v>
      </c>
      <c r="AE14" s="7" t="s">
        <v>52</v>
      </c>
      <c r="AF14" s="7" t="s">
        <v>52</v>
      </c>
      <c r="AG14" s="7" t="s">
        <v>59</v>
      </c>
      <c r="AH14" s="7" t="s">
        <v>59</v>
      </c>
      <c r="AI14" s="7" t="s">
        <v>52</v>
      </c>
      <c r="AJ14" s="7" t="s">
        <v>52</v>
      </c>
      <c r="AK14" s="7" t="s">
        <v>52</v>
      </c>
      <c r="AL14" s="7" t="s">
        <v>52</v>
      </c>
      <c r="AM14" s="7" t="s">
        <v>2132</v>
      </c>
      <c r="AN14" s="11"/>
      <c r="AO14" s="11"/>
      <c r="AP14" s="11"/>
      <c r="AQ14" s="11"/>
    </row>
    <row r="15" spans="1:43" ht="15" customHeight="1">
      <c r="A15" s="11" t="s">
        <v>777</v>
      </c>
      <c r="B15" s="7" t="s">
        <v>1184</v>
      </c>
      <c r="C15" s="7" t="s">
        <v>1185</v>
      </c>
      <c r="D15" s="11" t="s">
        <v>143</v>
      </c>
      <c r="E15" s="63" t="s">
        <v>233</v>
      </c>
      <c r="F15" s="11">
        <v>15.204658</v>
      </c>
      <c r="G15" s="11">
        <v>120.836305</v>
      </c>
      <c r="H15" s="11" t="s">
        <v>2133</v>
      </c>
      <c r="I15" s="11">
        <v>1984</v>
      </c>
      <c r="J15" s="11">
        <v>2018</v>
      </c>
      <c r="K15" s="11">
        <v>2018</v>
      </c>
      <c r="L15" s="11">
        <v>2018</v>
      </c>
      <c r="M15" s="82">
        <v>204865.69</v>
      </c>
      <c r="N15" s="378" t="s">
        <v>74</v>
      </c>
      <c r="O15" s="11" t="s">
        <v>30</v>
      </c>
      <c r="P15" s="11" t="s">
        <v>1610</v>
      </c>
      <c r="Q15" s="11" t="s">
        <v>212</v>
      </c>
      <c r="R15" s="9" t="s">
        <v>2134</v>
      </c>
      <c r="S15" s="34">
        <v>45692</v>
      </c>
      <c r="T15" s="34">
        <v>45693</v>
      </c>
      <c r="U15" s="34">
        <v>45694</v>
      </c>
      <c r="V15" s="34">
        <v>45698</v>
      </c>
      <c r="W15" s="34">
        <v>45699</v>
      </c>
      <c r="X15" s="45">
        <f t="shared" si="0"/>
        <v>1</v>
      </c>
      <c r="Y15" s="45">
        <f t="shared" si="1"/>
        <v>1</v>
      </c>
      <c r="Z15" s="45">
        <f t="shared" si="2"/>
        <v>2</v>
      </c>
      <c r="AA15" s="45">
        <f t="shared" si="3"/>
        <v>1</v>
      </c>
      <c r="AB15" s="11" t="s">
        <v>150</v>
      </c>
      <c r="AC15" s="7" t="s">
        <v>51</v>
      </c>
      <c r="AD15" s="7" t="s">
        <v>52</v>
      </c>
      <c r="AE15" s="7" t="s">
        <v>52</v>
      </c>
      <c r="AF15" s="7" t="s">
        <v>52</v>
      </c>
      <c r="AG15" s="7" t="s">
        <v>52</v>
      </c>
      <c r="AH15" s="7" t="s">
        <v>52</v>
      </c>
      <c r="AI15" s="7" t="s">
        <v>52</v>
      </c>
      <c r="AJ15" s="7" t="s">
        <v>52</v>
      </c>
      <c r="AK15" s="7" t="s">
        <v>52</v>
      </c>
      <c r="AL15" s="7" t="s">
        <v>52</v>
      </c>
      <c r="AM15" s="7" t="s">
        <v>2132</v>
      </c>
      <c r="AN15" s="11"/>
      <c r="AO15" s="11"/>
      <c r="AP15" s="11"/>
      <c r="AQ15" s="11"/>
    </row>
    <row r="16" spans="1:43" ht="15" customHeight="1">
      <c r="A16" s="11" t="s">
        <v>777</v>
      </c>
      <c r="B16" s="7" t="s">
        <v>1202</v>
      </c>
      <c r="C16" s="7" t="s">
        <v>2135</v>
      </c>
      <c r="D16" s="11" t="s">
        <v>143</v>
      </c>
      <c r="E16" s="63" t="s">
        <v>233</v>
      </c>
      <c r="F16" s="11">
        <v>15.291963000000001</v>
      </c>
      <c r="G16" s="11">
        <v>121.037785</v>
      </c>
      <c r="H16" s="11" t="s">
        <v>2136</v>
      </c>
      <c r="I16" s="11">
        <v>2007</v>
      </c>
      <c r="J16" s="11">
        <v>2018</v>
      </c>
      <c r="K16" s="11">
        <v>2018</v>
      </c>
      <c r="L16" s="11">
        <v>2018</v>
      </c>
      <c r="M16" s="82">
        <v>476437.69</v>
      </c>
      <c r="N16" s="378" t="s">
        <v>74</v>
      </c>
      <c r="O16" s="11" t="s">
        <v>30</v>
      </c>
      <c r="P16" s="11" t="s">
        <v>1610</v>
      </c>
      <c r="Q16" s="11" t="s">
        <v>212</v>
      </c>
      <c r="R16" s="11" t="s">
        <v>2137</v>
      </c>
      <c r="S16" s="34">
        <v>45693</v>
      </c>
      <c r="T16" s="34">
        <v>45698</v>
      </c>
      <c r="U16" s="34">
        <v>45701</v>
      </c>
      <c r="V16" s="34">
        <v>45704</v>
      </c>
      <c r="W16" s="34">
        <v>45705</v>
      </c>
      <c r="X16" s="45">
        <f t="shared" si="0"/>
        <v>3</v>
      </c>
      <c r="Y16" s="45">
        <f t="shared" si="1"/>
        <v>3</v>
      </c>
      <c r="Z16" s="45">
        <f t="shared" si="2"/>
        <v>1</v>
      </c>
      <c r="AA16" s="45">
        <f t="shared" si="3"/>
        <v>1</v>
      </c>
      <c r="AB16" s="11" t="s">
        <v>150</v>
      </c>
      <c r="AC16" s="7" t="s">
        <v>58</v>
      </c>
      <c r="AD16" s="7" t="s">
        <v>59</v>
      </c>
      <c r="AE16" s="7" t="s">
        <v>59</v>
      </c>
      <c r="AF16" s="7" t="s">
        <v>52</v>
      </c>
      <c r="AG16" s="7" t="s">
        <v>52</v>
      </c>
      <c r="AH16" s="7" t="s">
        <v>52</v>
      </c>
      <c r="AI16" s="7" t="s">
        <v>59</v>
      </c>
      <c r="AJ16" s="7" t="s">
        <v>52</v>
      </c>
      <c r="AK16" s="7" t="s">
        <v>52</v>
      </c>
      <c r="AL16" s="7" t="s">
        <v>59</v>
      </c>
      <c r="AM16" s="7" t="s">
        <v>2138</v>
      </c>
      <c r="AN16" s="11" t="s">
        <v>2139</v>
      </c>
      <c r="AO16" s="11"/>
      <c r="AP16" s="11"/>
      <c r="AQ16" s="11"/>
    </row>
    <row r="17" spans="1:43">
      <c r="A17" s="11" t="s">
        <v>778</v>
      </c>
      <c r="B17" s="7" t="s">
        <v>1411</v>
      </c>
      <c r="C17" s="7" t="s">
        <v>2140</v>
      </c>
      <c r="D17" s="11" t="s">
        <v>143</v>
      </c>
      <c r="E17" s="9" t="s">
        <v>233</v>
      </c>
      <c r="F17" s="11">
        <v>14.963733</v>
      </c>
      <c r="G17" s="11">
        <v>120.663186</v>
      </c>
      <c r="H17" s="11" t="s">
        <v>2141</v>
      </c>
      <c r="I17" s="11">
        <v>2007</v>
      </c>
      <c r="J17" s="11">
        <v>2017</v>
      </c>
      <c r="K17" s="11">
        <v>2018</v>
      </c>
      <c r="L17" s="11">
        <v>2018</v>
      </c>
      <c r="M17" s="82">
        <v>908320.52</v>
      </c>
      <c r="N17" s="378" t="s">
        <v>74</v>
      </c>
      <c r="O17" s="11" t="s">
        <v>34</v>
      </c>
      <c r="P17" s="11" t="s">
        <v>1838</v>
      </c>
      <c r="Q17" s="11" t="s">
        <v>148</v>
      </c>
      <c r="R17" s="11" t="s">
        <v>2142</v>
      </c>
      <c r="S17" s="34">
        <v>45699</v>
      </c>
      <c r="T17" s="34">
        <v>45701</v>
      </c>
      <c r="U17" s="468">
        <v>45705</v>
      </c>
      <c r="V17" s="34">
        <v>45705</v>
      </c>
      <c r="W17" s="34">
        <v>45706</v>
      </c>
      <c r="X17" s="45">
        <f t="shared" si="0"/>
        <v>2</v>
      </c>
      <c r="Y17" s="45">
        <f t="shared" si="1"/>
        <v>2</v>
      </c>
      <c r="Z17" s="45">
        <f t="shared" si="2"/>
        <v>1</v>
      </c>
      <c r="AA17" s="45">
        <f t="shared" si="3"/>
        <v>1</v>
      </c>
      <c r="AB17" s="11" t="s">
        <v>150</v>
      </c>
      <c r="AC17" s="7" t="s">
        <v>58</v>
      </c>
      <c r="AD17" s="7" t="s">
        <v>52</v>
      </c>
      <c r="AE17" s="7" t="s">
        <v>52</v>
      </c>
      <c r="AF17" s="7" t="s">
        <v>52</v>
      </c>
      <c r="AG17" s="7" t="s">
        <v>52</v>
      </c>
      <c r="AH17" s="7" t="s">
        <v>52</v>
      </c>
      <c r="AI17" s="7" t="s">
        <v>52</v>
      </c>
      <c r="AJ17" s="7" t="s">
        <v>52</v>
      </c>
      <c r="AK17" s="7" t="s">
        <v>52</v>
      </c>
      <c r="AL17" s="7" t="s">
        <v>52</v>
      </c>
      <c r="AM17" s="316" t="s">
        <v>2096</v>
      </c>
      <c r="AN17" s="11"/>
      <c r="AO17" s="11"/>
      <c r="AP17" s="11"/>
      <c r="AQ17" s="11"/>
    </row>
    <row r="18" spans="1:43" ht="15" customHeight="1">
      <c r="A18" s="11" t="s">
        <v>780</v>
      </c>
      <c r="B18" s="7" t="s">
        <v>2143</v>
      </c>
      <c r="C18" s="7" t="s">
        <v>1557</v>
      </c>
      <c r="D18" s="11" t="s">
        <v>159</v>
      </c>
      <c r="E18" s="63" t="s">
        <v>160</v>
      </c>
      <c r="F18" s="11">
        <v>14.969268</v>
      </c>
      <c r="G18" s="11">
        <v>120.132488</v>
      </c>
      <c r="H18" s="11" t="s">
        <v>2144</v>
      </c>
      <c r="I18" s="11">
        <v>2009</v>
      </c>
      <c r="J18" s="11">
        <v>2021</v>
      </c>
      <c r="K18" s="11">
        <v>2019</v>
      </c>
      <c r="L18" s="11">
        <v>2019</v>
      </c>
      <c r="M18" s="82">
        <v>1046687.94</v>
      </c>
      <c r="N18" s="378" t="s">
        <v>74</v>
      </c>
      <c r="O18" s="11" t="s">
        <v>41</v>
      </c>
      <c r="P18" s="11" t="s">
        <v>163</v>
      </c>
      <c r="Q18" s="11" t="s">
        <v>164</v>
      </c>
      <c r="R18" s="11" t="s">
        <v>2145</v>
      </c>
      <c r="S18" s="34">
        <v>45700</v>
      </c>
      <c r="T18" s="34">
        <v>45705</v>
      </c>
      <c r="U18" s="34">
        <v>45705</v>
      </c>
      <c r="V18" s="34">
        <v>45705</v>
      </c>
      <c r="W18" s="34">
        <v>45705</v>
      </c>
      <c r="X18" s="45">
        <f t="shared" si="0"/>
        <v>3</v>
      </c>
      <c r="Y18" s="45">
        <f t="shared" si="1"/>
        <v>1</v>
      </c>
      <c r="Z18" s="45">
        <f t="shared" si="2"/>
        <v>1</v>
      </c>
      <c r="AA18" s="45">
        <f t="shared" si="3"/>
        <v>1</v>
      </c>
      <c r="AB18" s="11" t="s">
        <v>150</v>
      </c>
      <c r="AC18" s="7" t="s">
        <v>51</v>
      </c>
      <c r="AD18" s="7" t="s">
        <v>52</v>
      </c>
      <c r="AE18" s="7" t="s">
        <v>52</v>
      </c>
      <c r="AF18" s="7" t="s">
        <v>52</v>
      </c>
      <c r="AG18" s="7" t="s">
        <v>52</v>
      </c>
      <c r="AH18" s="7" t="s">
        <v>52</v>
      </c>
      <c r="AI18" s="7" t="s">
        <v>52</v>
      </c>
      <c r="AJ18" s="7" t="s">
        <v>52</v>
      </c>
      <c r="AK18" s="7" t="s">
        <v>52</v>
      </c>
      <c r="AL18" s="7" t="s">
        <v>52</v>
      </c>
      <c r="AM18" s="7" t="s">
        <v>2096</v>
      </c>
      <c r="AN18" s="11"/>
      <c r="AO18" s="11"/>
      <c r="AP18" s="11"/>
      <c r="AQ18" s="11"/>
    </row>
    <row r="19" spans="1:43" ht="15" customHeight="1">
      <c r="A19" s="11" t="s">
        <v>774</v>
      </c>
      <c r="B19" s="7" t="s">
        <v>917</v>
      </c>
      <c r="C19" s="7" t="s">
        <v>918</v>
      </c>
      <c r="D19" s="11" t="s">
        <v>143</v>
      </c>
      <c r="E19" s="9" t="s">
        <v>160</v>
      </c>
      <c r="F19" s="11">
        <v>14.77468333</v>
      </c>
      <c r="G19" s="11">
        <v>120.50823889999999</v>
      </c>
      <c r="H19" s="11" t="s">
        <v>2146</v>
      </c>
      <c r="I19" s="11">
        <v>2005</v>
      </c>
      <c r="J19" s="11">
        <v>2015</v>
      </c>
      <c r="K19" s="11">
        <v>2018</v>
      </c>
      <c r="L19" s="11">
        <v>2018</v>
      </c>
      <c r="M19" s="82">
        <v>1060394.8999999999</v>
      </c>
      <c r="N19" s="378" t="s">
        <v>75</v>
      </c>
      <c r="O19" s="11" t="s">
        <v>18</v>
      </c>
      <c r="P19" s="11"/>
      <c r="Q19" s="11" t="s">
        <v>180</v>
      </c>
      <c r="R19" s="11" t="s">
        <v>2147</v>
      </c>
      <c r="S19" s="34">
        <v>45728</v>
      </c>
      <c r="T19" s="34">
        <v>45732</v>
      </c>
      <c r="U19" s="34">
        <v>45732</v>
      </c>
      <c r="V19" s="34">
        <v>45732</v>
      </c>
      <c r="W19" s="34">
        <v>45733</v>
      </c>
      <c r="X19" s="45">
        <f t="shared" si="0"/>
        <v>2</v>
      </c>
      <c r="Y19" s="45">
        <f t="shared" si="1"/>
        <v>1</v>
      </c>
      <c r="Z19" s="45">
        <f t="shared" si="2"/>
        <v>1</v>
      </c>
      <c r="AA19" s="45">
        <f t="shared" si="3"/>
        <v>1</v>
      </c>
      <c r="AB19" s="11" t="s">
        <v>150</v>
      </c>
      <c r="AC19" s="7" t="s">
        <v>51</v>
      </c>
      <c r="AD19" s="7" t="s">
        <v>52</v>
      </c>
      <c r="AE19" s="7" t="s">
        <v>52</v>
      </c>
      <c r="AF19" s="7" t="s">
        <v>52</v>
      </c>
      <c r="AG19" s="7" t="s">
        <v>52</v>
      </c>
      <c r="AH19" s="7" t="s">
        <v>52</v>
      </c>
      <c r="AI19" s="7" t="s">
        <v>52</v>
      </c>
      <c r="AJ19" s="7" t="s">
        <v>52</v>
      </c>
      <c r="AK19" s="7" t="s">
        <v>52</v>
      </c>
      <c r="AL19" s="7" t="s">
        <v>52</v>
      </c>
      <c r="AM19" s="7" t="s">
        <v>2132</v>
      </c>
      <c r="AN19" s="11"/>
      <c r="AO19" s="11"/>
      <c r="AP19" s="11"/>
      <c r="AQ19" s="11"/>
    </row>
    <row r="20" spans="1:43" ht="15" customHeight="1">
      <c r="A20" s="11" t="s">
        <v>776</v>
      </c>
      <c r="B20" s="7" t="s">
        <v>1063</v>
      </c>
      <c r="C20" s="7" t="s">
        <v>1064</v>
      </c>
      <c r="D20" s="11" t="s">
        <v>143</v>
      </c>
      <c r="E20" s="63" t="s">
        <v>160</v>
      </c>
      <c r="F20" s="11">
        <v>14.85065556</v>
      </c>
      <c r="G20" s="11">
        <v>120.764675</v>
      </c>
      <c r="H20" s="11" t="s">
        <v>2148</v>
      </c>
      <c r="I20" s="11">
        <v>1990</v>
      </c>
      <c r="J20" s="11">
        <v>2016</v>
      </c>
      <c r="K20" s="11">
        <v>2016</v>
      </c>
      <c r="L20" s="11">
        <v>2017</v>
      </c>
      <c r="M20" s="82">
        <v>5130000</v>
      </c>
      <c r="N20" s="378" t="s">
        <v>75</v>
      </c>
      <c r="O20" s="11" t="s">
        <v>22</v>
      </c>
      <c r="P20" s="11" t="s">
        <v>2130</v>
      </c>
      <c r="Q20" s="11" t="s">
        <v>1982</v>
      </c>
      <c r="R20" s="11" t="s">
        <v>2149</v>
      </c>
      <c r="S20" s="34">
        <v>45722</v>
      </c>
      <c r="T20" s="34">
        <v>45726</v>
      </c>
      <c r="U20" s="34">
        <v>45727</v>
      </c>
      <c r="V20" s="34">
        <v>45727</v>
      </c>
      <c r="W20" s="34">
        <v>45735</v>
      </c>
      <c r="X20" s="45">
        <f t="shared" si="0"/>
        <v>2</v>
      </c>
      <c r="Y20" s="45">
        <f t="shared" si="1"/>
        <v>1</v>
      </c>
      <c r="Z20" s="45">
        <f t="shared" si="2"/>
        <v>1</v>
      </c>
      <c r="AA20" s="45">
        <f t="shared" si="3"/>
        <v>6</v>
      </c>
      <c r="AB20" s="11" t="s">
        <v>150</v>
      </c>
      <c r="AC20" s="7" t="s">
        <v>51</v>
      </c>
      <c r="AD20" s="7" t="s">
        <v>52</v>
      </c>
      <c r="AE20" s="7" t="s">
        <v>52</v>
      </c>
      <c r="AF20" s="7" t="s">
        <v>52</v>
      </c>
      <c r="AG20" s="7" t="s">
        <v>52</v>
      </c>
      <c r="AH20" s="7" t="s">
        <v>52</v>
      </c>
      <c r="AI20" s="7" t="s">
        <v>52</v>
      </c>
      <c r="AJ20" s="7" t="s">
        <v>52</v>
      </c>
      <c r="AK20" s="7" t="s">
        <v>52</v>
      </c>
      <c r="AL20" s="7" t="s">
        <v>52</v>
      </c>
      <c r="AM20" s="7" t="s">
        <v>2132</v>
      </c>
      <c r="AN20" s="11"/>
      <c r="AO20" s="11"/>
      <c r="AP20" s="11"/>
      <c r="AQ20" s="11"/>
    </row>
    <row r="21" spans="1:43" ht="15" customHeight="1">
      <c r="A21" s="11" t="s">
        <v>776</v>
      </c>
      <c r="B21" s="7" t="s">
        <v>1127</v>
      </c>
      <c r="C21" s="7" t="s">
        <v>1128</v>
      </c>
      <c r="D21" s="11" t="s">
        <v>143</v>
      </c>
      <c r="E21" s="63" t="s">
        <v>160</v>
      </c>
      <c r="F21" s="11">
        <v>14.827323</v>
      </c>
      <c r="G21" s="11">
        <v>120.763233</v>
      </c>
      <c r="H21" s="11" t="s">
        <v>2150</v>
      </c>
      <c r="I21" s="11">
        <v>2008</v>
      </c>
      <c r="J21" s="11">
        <v>2016</v>
      </c>
      <c r="K21" s="11">
        <v>2017</v>
      </c>
      <c r="L21" s="11">
        <v>2017</v>
      </c>
      <c r="M21" s="82">
        <v>1332850</v>
      </c>
      <c r="N21" s="378" t="s">
        <v>75</v>
      </c>
      <c r="O21" s="11" t="s">
        <v>22</v>
      </c>
      <c r="P21" s="11" t="s">
        <v>2130</v>
      </c>
      <c r="Q21" s="11" t="s">
        <v>1982</v>
      </c>
      <c r="R21" s="11" t="s">
        <v>2151</v>
      </c>
      <c r="S21" s="34">
        <v>45727</v>
      </c>
      <c r="T21" s="34">
        <v>45734</v>
      </c>
      <c r="U21" s="34">
        <v>45734</v>
      </c>
      <c r="V21" s="34">
        <v>45734</v>
      </c>
      <c r="W21" s="34">
        <v>45735</v>
      </c>
      <c r="X21" s="45">
        <f t="shared" si="0"/>
        <v>5</v>
      </c>
      <c r="Y21" s="45">
        <f t="shared" si="1"/>
        <v>1</v>
      </c>
      <c r="Z21" s="45">
        <f t="shared" si="2"/>
        <v>1</v>
      </c>
      <c r="AA21" s="45">
        <f t="shared" si="3"/>
        <v>1</v>
      </c>
      <c r="AB21" s="11" t="s">
        <v>150</v>
      </c>
      <c r="AC21" s="7" t="s">
        <v>51</v>
      </c>
      <c r="AD21" s="7" t="s">
        <v>52</v>
      </c>
      <c r="AE21" s="7" t="s">
        <v>52</v>
      </c>
      <c r="AF21" s="7" t="s">
        <v>52</v>
      </c>
      <c r="AG21" s="7" t="s">
        <v>52</v>
      </c>
      <c r="AH21" s="7" t="s">
        <v>52</v>
      </c>
      <c r="AI21" s="7" t="s">
        <v>52</v>
      </c>
      <c r="AJ21" s="7" t="s">
        <v>52</v>
      </c>
      <c r="AK21" s="7" t="s">
        <v>52</v>
      </c>
      <c r="AL21" s="7" t="s">
        <v>52</v>
      </c>
      <c r="AM21" s="7" t="s">
        <v>2132</v>
      </c>
      <c r="AN21" s="11"/>
      <c r="AO21" s="11"/>
      <c r="AP21" s="11"/>
      <c r="AQ21" s="11"/>
    </row>
    <row r="22" spans="1:43" ht="15" customHeight="1">
      <c r="A22" s="11" t="s">
        <v>777</v>
      </c>
      <c r="B22" s="7" t="s">
        <v>1314</v>
      </c>
      <c r="C22" s="7" t="s">
        <v>1315</v>
      </c>
      <c r="D22" s="11" t="s">
        <v>143</v>
      </c>
      <c r="E22" s="63" t="s">
        <v>233</v>
      </c>
      <c r="F22" s="11">
        <v>15.39692222</v>
      </c>
      <c r="G22" s="11">
        <v>120.9704722</v>
      </c>
      <c r="H22" s="11" t="s">
        <v>2152</v>
      </c>
      <c r="I22" s="11">
        <v>2021</v>
      </c>
      <c r="J22" s="11">
        <v>2021</v>
      </c>
      <c r="K22" s="11">
        <v>2021</v>
      </c>
      <c r="L22" s="11">
        <v>2016</v>
      </c>
      <c r="M22" s="82">
        <v>3831970.4</v>
      </c>
      <c r="N22" s="378" t="s">
        <v>75</v>
      </c>
      <c r="O22" s="11" t="s">
        <v>28</v>
      </c>
      <c r="P22" s="11" t="s">
        <v>1610</v>
      </c>
      <c r="Q22" s="11" t="s">
        <v>212</v>
      </c>
      <c r="R22" s="11" t="s">
        <v>2153</v>
      </c>
      <c r="S22" s="34">
        <v>45730</v>
      </c>
      <c r="T22" s="34">
        <v>45734</v>
      </c>
      <c r="U22" s="34">
        <v>45734</v>
      </c>
      <c r="V22" s="34">
        <v>45734</v>
      </c>
      <c r="W22" s="34">
        <v>45735</v>
      </c>
      <c r="X22" s="45">
        <f t="shared" si="0"/>
        <v>2</v>
      </c>
      <c r="Y22" s="45">
        <f t="shared" si="1"/>
        <v>1</v>
      </c>
      <c r="Z22" s="45">
        <f t="shared" si="2"/>
        <v>1</v>
      </c>
      <c r="AA22" s="45">
        <f t="shared" si="3"/>
        <v>1</v>
      </c>
      <c r="AB22" s="11" t="s">
        <v>150</v>
      </c>
      <c r="AC22" s="7" t="s">
        <v>51</v>
      </c>
      <c r="AD22" s="7" t="s">
        <v>52</v>
      </c>
      <c r="AE22" s="7" t="s">
        <v>52</v>
      </c>
      <c r="AF22" s="7" t="s">
        <v>52</v>
      </c>
      <c r="AG22" s="7" t="s">
        <v>52</v>
      </c>
      <c r="AH22" s="7" t="s">
        <v>52</v>
      </c>
      <c r="AI22" s="7" t="s">
        <v>52</v>
      </c>
      <c r="AJ22" s="7" t="s">
        <v>52</v>
      </c>
      <c r="AK22" s="7" t="s">
        <v>52</v>
      </c>
      <c r="AL22" s="7" t="s">
        <v>52</v>
      </c>
      <c r="AM22" s="7" t="s">
        <v>2132</v>
      </c>
      <c r="AN22" s="11"/>
      <c r="AO22" s="11"/>
      <c r="AP22" s="11"/>
      <c r="AQ22" s="11"/>
    </row>
    <row r="23" spans="1:43" ht="15" customHeight="1">
      <c r="A23" s="11" t="s">
        <v>778</v>
      </c>
      <c r="B23" s="7" t="s">
        <v>1429</v>
      </c>
      <c r="C23" s="7" t="s">
        <v>2154</v>
      </c>
      <c r="D23" s="11" t="s">
        <v>143</v>
      </c>
      <c r="E23" s="9" t="s">
        <v>185</v>
      </c>
      <c r="F23" s="11">
        <v>14.93701667</v>
      </c>
      <c r="G23" s="11">
        <v>120.61741670000001</v>
      </c>
      <c r="H23" s="11" t="s">
        <v>2155</v>
      </c>
      <c r="I23" s="11">
        <v>2018</v>
      </c>
      <c r="J23" s="11">
        <v>2019</v>
      </c>
      <c r="K23" s="11">
        <v>2019</v>
      </c>
      <c r="L23" s="11">
        <v>2018</v>
      </c>
      <c r="M23" s="82">
        <v>549937.18000000005</v>
      </c>
      <c r="N23" s="378" t="s">
        <v>75</v>
      </c>
      <c r="O23" s="11" t="s">
        <v>35</v>
      </c>
      <c r="P23" s="11" t="s">
        <v>1838</v>
      </c>
      <c r="Q23" s="11" t="s">
        <v>148</v>
      </c>
      <c r="R23" s="78" t="s">
        <v>2156</v>
      </c>
      <c r="S23" s="34">
        <v>45730</v>
      </c>
      <c r="T23" s="34">
        <v>45733</v>
      </c>
      <c r="U23" s="34">
        <v>45733</v>
      </c>
      <c r="V23" s="34">
        <v>45733</v>
      </c>
      <c r="W23" s="34">
        <v>45733</v>
      </c>
      <c r="X23" s="45">
        <f t="shared" si="0"/>
        <v>1</v>
      </c>
      <c r="Y23" s="45">
        <f t="shared" si="1"/>
        <v>1</v>
      </c>
      <c r="Z23" s="45">
        <f t="shared" si="2"/>
        <v>1</v>
      </c>
      <c r="AA23" s="45">
        <f t="shared" si="3"/>
        <v>1</v>
      </c>
      <c r="AB23" s="11" t="s">
        <v>150</v>
      </c>
      <c r="AC23" s="7" t="s">
        <v>51</v>
      </c>
      <c r="AD23" s="7" t="s">
        <v>52</v>
      </c>
      <c r="AE23" s="7" t="s">
        <v>52</v>
      </c>
      <c r="AF23" s="7" t="s">
        <v>52</v>
      </c>
      <c r="AG23" s="7" t="s">
        <v>52</v>
      </c>
      <c r="AH23" s="7" t="s">
        <v>52</v>
      </c>
      <c r="AI23" s="7" t="s">
        <v>52</v>
      </c>
      <c r="AJ23" s="7" t="s">
        <v>52</v>
      </c>
      <c r="AK23" s="7" t="s">
        <v>52</v>
      </c>
      <c r="AL23" s="7" t="s">
        <v>52</v>
      </c>
      <c r="AM23" s="7" t="s">
        <v>2132</v>
      </c>
      <c r="AN23" s="11"/>
      <c r="AO23" s="11"/>
      <c r="AP23" s="11"/>
      <c r="AQ23" s="11"/>
    </row>
    <row r="24" spans="1:43" ht="15" customHeight="1">
      <c r="A24" s="11" t="s">
        <v>774</v>
      </c>
      <c r="B24" s="7" t="s">
        <v>891</v>
      </c>
      <c r="C24" s="7" t="s">
        <v>892</v>
      </c>
      <c r="D24" s="11" t="s">
        <v>143</v>
      </c>
      <c r="E24" s="63" t="s">
        <v>160</v>
      </c>
      <c r="F24" s="11">
        <v>14.78626667</v>
      </c>
      <c r="G24" s="11">
        <v>120.47525280000001</v>
      </c>
      <c r="H24" s="11" t="s">
        <v>2157</v>
      </c>
      <c r="I24" s="11">
        <v>2006</v>
      </c>
      <c r="J24" s="11">
        <v>2017</v>
      </c>
      <c r="K24" s="11">
        <v>2016</v>
      </c>
      <c r="L24" s="11">
        <v>2016</v>
      </c>
      <c r="M24" s="82">
        <v>6408481.4800000004</v>
      </c>
      <c r="N24" s="378" t="s">
        <v>76</v>
      </c>
      <c r="O24" s="11" t="s">
        <v>18</v>
      </c>
      <c r="P24" s="11"/>
      <c r="Q24" s="11" t="s">
        <v>180</v>
      </c>
      <c r="R24" s="78" t="s">
        <v>2158</v>
      </c>
      <c r="S24" s="34">
        <v>45757</v>
      </c>
      <c r="T24" s="34">
        <v>45758</v>
      </c>
      <c r="U24" s="34">
        <v>45758</v>
      </c>
      <c r="V24" s="34">
        <v>45760</v>
      </c>
      <c r="W24" s="34">
        <v>45761</v>
      </c>
      <c r="X24" s="45">
        <f t="shared" si="0"/>
        <v>1</v>
      </c>
      <c r="Y24" s="45">
        <f t="shared" si="1"/>
        <v>1</v>
      </c>
      <c r="Z24" s="45">
        <f t="shared" si="2"/>
        <v>1</v>
      </c>
      <c r="AA24" s="45">
        <f t="shared" si="3"/>
        <v>1</v>
      </c>
      <c r="AB24" s="11" t="s">
        <v>150</v>
      </c>
      <c r="AC24" s="7" t="s">
        <v>51</v>
      </c>
      <c r="AD24" s="7" t="s">
        <v>52</v>
      </c>
      <c r="AE24" s="7" t="s">
        <v>52</v>
      </c>
      <c r="AF24" s="7" t="s">
        <v>52</v>
      </c>
      <c r="AG24" s="7" t="s">
        <v>52</v>
      </c>
      <c r="AH24" s="7" t="s">
        <v>52</v>
      </c>
      <c r="AI24" s="7" t="s">
        <v>52</v>
      </c>
      <c r="AJ24" s="7" t="s">
        <v>52</v>
      </c>
      <c r="AK24" s="7" t="s">
        <v>52</v>
      </c>
      <c r="AL24" s="7" t="s">
        <v>52</v>
      </c>
      <c r="AM24" s="7" t="s">
        <v>2132</v>
      </c>
      <c r="AN24" s="11"/>
      <c r="AO24" s="11"/>
      <c r="AP24" s="11"/>
      <c r="AQ24" s="11"/>
    </row>
    <row r="25" spans="1:43" ht="29.25" customHeight="1">
      <c r="A25" s="11" t="s">
        <v>776</v>
      </c>
      <c r="B25" s="7" t="s">
        <v>1023</v>
      </c>
      <c r="C25" s="7" t="s">
        <v>2159</v>
      </c>
      <c r="D25" s="11" t="s">
        <v>143</v>
      </c>
      <c r="E25" s="63" t="s">
        <v>185</v>
      </c>
      <c r="F25" s="11">
        <v>14.95895833</v>
      </c>
      <c r="G25" s="11">
        <v>120.93370830000001</v>
      </c>
      <c r="H25" s="11" t="s">
        <v>2160</v>
      </c>
      <c r="I25" s="11"/>
      <c r="J25" s="11">
        <v>2017</v>
      </c>
      <c r="K25" s="11">
        <v>2019</v>
      </c>
      <c r="L25" s="11">
        <v>2018</v>
      </c>
      <c r="M25" s="82">
        <v>299446.61</v>
      </c>
      <c r="N25" s="378" t="s">
        <v>76</v>
      </c>
      <c r="O25" s="11" t="s">
        <v>22</v>
      </c>
      <c r="P25" s="11"/>
      <c r="Q25" s="11" t="s">
        <v>1982</v>
      </c>
      <c r="R25" s="11" t="s">
        <v>2161</v>
      </c>
      <c r="S25" s="34">
        <v>45755</v>
      </c>
      <c r="T25" s="34">
        <v>45759</v>
      </c>
      <c r="U25" s="34">
        <v>45762</v>
      </c>
      <c r="V25" s="34">
        <v>45762</v>
      </c>
      <c r="W25" s="34">
        <v>45762</v>
      </c>
      <c r="X25" s="45">
        <f t="shared" si="0"/>
        <v>3</v>
      </c>
      <c r="Y25" s="45">
        <f t="shared" si="1"/>
        <v>1</v>
      </c>
      <c r="Z25" s="45">
        <f t="shared" si="2"/>
        <v>1</v>
      </c>
      <c r="AA25" s="45">
        <f t="shared" si="3"/>
        <v>1</v>
      </c>
      <c r="AB25" s="11" t="s">
        <v>150</v>
      </c>
      <c r="AC25" s="7" t="s">
        <v>51</v>
      </c>
      <c r="AD25" s="7" t="s">
        <v>52</v>
      </c>
      <c r="AE25" s="7" t="s">
        <v>52</v>
      </c>
      <c r="AF25" s="7" t="s">
        <v>52</v>
      </c>
      <c r="AG25" s="7" t="s">
        <v>52</v>
      </c>
      <c r="AH25" s="7" t="s">
        <v>52</v>
      </c>
      <c r="AI25" s="7" t="s">
        <v>52</v>
      </c>
      <c r="AJ25" s="7" t="s">
        <v>52</v>
      </c>
      <c r="AK25" s="7" t="s">
        <v>52</v>
      </c>
      <c r="AL25" s="7" t="s">
        <v>52</v>
      </c>
      <c r="AM25" s="7" t="s">
        <v>2132</v>
      </c>
      <c r="AN25" s="11"/>
      <c r="AO25" s="11"/>
      <c r="AP25" s="11"/>
      <c r="AQ25" s="11"/>
    </row>
    <row r="26" spans="1:43" ht="15" customHeight="1">
      <c r="A26" s="11" t="s">
        <v>777</v>
      </c>
      <c r="B26" s="7" t="s">
        <v>1176</v>
      </c>
      <c r="C26" s="7" t="s">
        <v>2162</v>
      </c>
      <c r="D26" s="11" t="s">
        <v>143</v>
      </c>
      <c r="E26" s="63" t="s">
        <v>144</v>
      </c>
      <c r="F26" s="11">
        <v>15.489001999999999</v>
      </c>
      <c r="G26" s="11">
        <v>120.99226299999999</v>
      </c>
      <c r="H26" s="11" t="s">
        <v>2163</v>
      </c>
      <c r="I26" s="11"/>
      <c r="J26" s="11">
        <v>2020</v>
      </c>
      <c r="K26" s="11">
        <v>2020</v>
      </c>
      <c r="L26" s="11">
        <v>2019</v>
      </c>
      <c r="M26" s="82">
        <v>9000000</v>
      </c>
      <c r="N26" s="378" t="s">
        <v>76</v>
      </c>
      <c r="O26" s="11" t="s">
        <v>2164</v>
      </c>
      <c r="P26" s="11" t="s">
        <v>28</v>
      </c>
      <c r="Q26" s="11" t="s">
        <v>212</v>
      </c>
      <c r="R26" s="43" t="s">
        <v>2165</v>
      </c>
      <c r="S26" s="34">
        <v>45757</v>
      </c>
      <c r="T26" s="34">
        <v>45757</v>
      </c>
      <c r="U26" s="34">
        <v>45761</v>
      </c>
      <c r="V26" s="34">
        <v>45761</v>
      </c>
      <c r="W26" s="34">
        <v>45762</v>
      </c>
      <c r="X26" s="45">
        <f t="shared" si="0"/>
        <v>1</v>
      </c>
      <c r="Y26" s="45">
        <f t="shared" si="1"/>
        <v>2</v>
      </c>
      <c r="Z26" s="45">
        <f t="shared" si="2"/>
        <v>1</v>
      </c>
      <c r="AA26" s="45">
        <f t="shared" si="3"/>
        <v>1</v>
      </c>
      <c r="AB26" s="11" t="s">
        <v>150</v>
      </c>
      <c r="AC26" s="7" t="s">
        <v>51</v>
      </c>
      <c r="AD26" s="7" t="s">
        <v>52</v>
      </c>
      <c r="AE26" s="7" t="s">
        <v>52</v>
      </c>
      <c r="AF26" s="7" t="s">
        <v>52</v>
      </c>
      <c r="AG26" s="7" t="s">
        <v>59</v>
      </c>
      <c r="AH26" s="7" t="s">
        <v>59</v>
      </c>
      <c r="AI26" s="7" t="s">
        <v>52</v>
      </c>
      <c r="AJ26" s="7" t="s">
        <v>59</v>
      </c>
      <c r="AK26" s="7" t="s">
        <v>52</v>
      </c>
      <c r="AL26" s="7" t="s">
        <v>52</v>
      </c>
      <c r="AM26" s="7" t="s">
        <v>2166</v>
      </c>
      <c r="AN26" s="11"/>
      <c r="AO26" s="11"/>
      <c r="AP26" s="11"/>
      <c r="AQ26" s="11"/>
    </row>
    <row r="27" spans="1:43" ht="15" customHeight="1">
      <c r="A27" s="11" t="s">
        <v>777</v>
      </c>
      <c r="B27" s="7" t="s">
        <v>2167</v>
      </c>
      <c r="C27" s="7" t="s">
        <v>2168</v>
      </c>
      <c r="D27" s="11" t="s">
        <v>143</v>
      </c>
      <c r="E27" s="63" t="s">
        <v>233</v>
      </c>
      <c r="F27" s="11">
        <v>15.37093056</v>
      </c>
      <c r="G27" s="11">
        <v>121.024525</v>
      </c>
      <c r="H27" s="11" t="s">
        <v>2169</v>
      </c>
      <c r="I27" s="11">
        <v>2012</v>
      </c>
      <c r="J27" s="11">
        <v>2016</v>
      </c>
      <c r="K27" s="11">
        <v>2016</v>
      </c>
      <c r="L27" s="11">
        <v>2016</v>
      </c>
      <c r="M27" s="82">
        <v>7226815.3499999996</v>
      </c>
      <c r="N27" s="378" t="s">
        <v>76</v>
      </c>
      <c r="O27" s="11" t="s">
        <v>30</v>
      </c>
      <c r="P27" s="11" t="s">
        <v>28</v>
      </c>
      <c r="Q27" s="11" t="s">
        <v>212</v>
      </c>
      <c r="R27" s="11" t="s">
        <v>2170</v>
      </c>
      <c r="S27" s="34">
        <v>45757</v>
      </c>
      <c r="T27" s="34">
        <v>45759</v>
      </c>
      <c r="U27" s="34">
        <v>45762</v>
      </c>
      <c r="V27" s="34">
        <v>45762</v>
      </c>
      <c r="W27" s="34">
        <v>45768</v>
      </c>
      <c r="X27" s="45">
        <f t="shared" si="0"/>
        <v>1</v>
      </c>
      <c r="Y27" s="45">
        <f t="shared" si="1"/>
        <v>1</v>
      </c>
      <c r="Z27" s="45">
        <f t="shared" si="2"/>
        <v>1</v>
      </c>
      <c r="AA27" s="45">
        <f t="shared" si="3"/>
        <v>4</v>
      </c>
      <c r="AB27" s="11" t="s">
        <v>150</v>
      </c>
      <c r="AC27" s="7" t="s">
        <v>51</v>
      </c>
      <c r="AD27" s="7" t="s">
        <v>52</v>
      </c>
      <c r="AE27" s="7" t="s">
        <v>52</v>
      </c>
      <c r="AF27" s="7" t="s">
        <v>52</v>
      </c>
      <c r="AG27" s="7" t="s">
        <v>52</v>
      </c>
      <c r="AH27" s="7" t="s">
        <v>52</v>
      </c>
      <c r="AI27" s="7" t="s">
        <v>52</v>
      </c>
      <c r="AJ27" s="7" t="s">
        <v>52</v>
      </c>
      <c r="AK27" s="7" t="s">
        <v>52</v>
      </c>
      <c r="AL27" s="7" t="s">
        <v>52</v>
      </c>
      <c r="AM27" s="7" t="s">
        <v>2171</v>
      </c>
      <c r="AN27" s="11"/>
      <c r="AO27" s="11"/>
      <c r="AP27" s="11"/>
      <c r="AQ27" s="11"/>
    </row>
    <row r="28" spans="1:43" ht="15" customHeight="1">
      <c r="A28" s="9" t="s">
        <v>778</v>
      </c>
      <c r="B28" s="4" t="s">
        <v>2172</v>
      </c>
      <c r="C28" s="4" t="s">
        <v>2173</v>
      </c>
      <c r="D28" s="11" t="s">
        <v>143</v>
      </c>
      <c r="E28" s="9" t="s">
        <v>160</v>
      </c>
      <c r="F28" s="11">
        <v>15.148899999999999</v>
      </c>
      <c r="G28" s="11">
        <v>120.5831562</v>
      </c>
      <c r="H28" s="11" t="s">
        <v>2174</v>
      </c>
      <c r="I28" s="11"/>
      <c r="J28" s="11">
        <v>2021</v>
      </c>
      <c r="K28" s="11"/>
      <c r="L28" s="11" t="s">
        <v>69</v>
      </c>
      <c r="M28" s="11" t="s">
        <v>69</v>
      </c>
      <c r="N28" s="378" t="s">
        <v>76</v>
      </c>
      <c r="O28" s="11" t="s">
        <v>33</v>
      </c>
      <c r="P28" s="11"/>
      <c r="Q28" s="11" t="s">
        <v>148</v>
      </c>
      <c r="R28" s="11" t="s">
        <v>2175</v>
      </c>
      <c r="S28" s="34">
        <v>45762</v>
      </c>
      <c r="T28" s="34">
        <v>45769</v>
      </c>
      <c r="U28" s="34">
        <v>45769</v>
      </c>
      <c r="V28" s="34">
        <v>45769</v>
      </c>
      <c r="W28" s="34">
        <v>45769</v>
      </c>
      <c r="X28" s="45">
        <f t="shared" si="0"/>
        <v>5</v>
      </c>
      <c r="Y28" s="45">
        <f t="shared" si="1"/>
        <v>1</v>
      </c>
      <c r="Z28" s="45">
        <f t="shared" si="2"/>
        <v>1</v>
      </c>
      <c r="AA28" s="45">
        <f t="shared" si="3"/>
        <v>1</v>
      </c>
      <c r="AB28" s="11" t="s">
        <v>150</v>
      </c>
      <c r="AC28" s="7" t="s">
        <v>51</v>
      </c>
      <c r="AD28" s="7" t="s">
        <v>52</v>
      </c>
      <c r="AE28" s="7" t="s">
        <v>52</v>
      </c>
      <c r="AF28" s="7" t="s">
        <v>52</v>
      </c>
      <c r="AG28" s="7" t="s">
        <v>52</v>
      </c>
      <c r="AH28" s="7" t="s">
        <v>52</v>
      </c>
      <c r="AI28" s="7" t="s">
        <v>52</v>
      </c>
      <c r="AJ28" s="7" t="s">
        <v>52</v>
      </c>
      <c r="AK28" s="7" t="s">
        <v>52</v>
      </c>
      <c r="AL28" s="7" t="s">
        <v>52</v>
      </c>
      <c r="AM28" s="7" t="s">
        <v>2176</v>
      </c>
      <c r="AN28" s="11"/>
      <c r="AO28" s="11"/>
      <c r="AP28" s="11"/>
      <c r="AQ28" s="11"/>
    </row>
    <row r="29" spans="1:43" ht="15" customHeight="1">
      <c r="A29" s="11" t="s">
        <v>780</v>
      </c>
      <c r="B29" s="7" t="s">
        <v>1539</v>
      </c>
      <c r="C29" s="7" t="s">
        <v>2177</v>
      </c>
      <c r="D29" s="11" t="s">
        <v>159</v>
      </c>
      <c r="E29" s="63" t="s">
        <v>185</v>
      </c>
      <c r="F29" s="11">
        <v>15.343745999999999</v>
      </c>
      <c r="G29" s="11">
        <v>119.981228</v>
      </c>
      <c r="H29" s="11" t="s">
        <v>2178</v>
      </c>
      <c r="I29" s="11">
        <v>2000</v>
      </c>
      <c r="J29" s="11">
        <v>2015</v>
      </c>
      <c r="K29" s="11">
        <v>2019</v>
      </c>
      <c r="L29" s="11">
        <v>2019</v>
      </c>
      <c r="M29" s="82">
        <v>5753297.3899999997</v>
      </c>
      <c r="N29" s="378" t="s">
        <v>76</v>
      </c>
      <c r="O29" s="11" t="s">
        <v>41</v>
      </c>
      <c r="P29" s="11" t="s">
        <v>163</v>
      </c>
      <c r="Q29" s="11" t="s">
        <v>164</v>
      </c>
      <c r="R29" s="11" t="s">
        <v>2179</v>
      </c>
      <c r="S29" s="34">
        <v>45749</v>
      </c>
      <c r="T29" s="34">
        <v>45754</v>
      </c>
      <c r="U29" s="34">
        <v>45754</v>
      </c>
      <c r="V29" s="34">
        <v>45755</v>
      </c>
      <c r="W29" s="34">
        <v>45755</v>
      </c>
      <c r="X29" s="45">
        <f t="shared" si="0"/>
        <v>3</v>
      </c>
      <c r="Y29" s="45">
        <f t="shared" si="1"/>
        <v>1</v>
      </c>
      <c r="Z29" s="45">
        <f t="shared" si="2"/>
        <v>1</v>
      </c>
      <c r="AA29" s="45">
        <f t="shared" si="3"/>
        <v>1</v>
      </c>
      <c r="AB29" s="11" t="s">
        <v>150</v>
      </c>
      <c r="AC29" s="7" t="s">
        <v>51</v>
      </c>
      <c r="AD29" s="7" t="s">
        <v>52</v>
      </c>
      <c r="AE29" s="7" t="s">
        <v>52</v>
      </c>
      <c r="AF29" s="7" t="s">
        <v>52</v>
      </c>
      <c r="AG29" s="7" t="s">
        <v>52</v>
      </c>
      <c r="AH29" s="7" t="s">
        <v>52</v>
      </c>
      <c r="AI29" s="7" t="s">
        <v>52</v>
      </c>
      <c r="AJ29" s="7" t="s">
        <v>52</v>
      </c>
      <c r="AK29" s="7" t="s">
        <v>52</v>
      </c>
      <c r="AL29" s="7" t="s">
        <v>52</v>
      </c>
      <c r="AM29" s="7" t="s">
        <v>2096</v>
      </c>
      <c r="AN29" s="11"/>
      <c r="AO29" s="11"/>
      <c r="AP29" s="11"/>
      <c r="AQ29" s="11"/>
    </row>
    <row r="30" spans="1:43" ht="15" customHeight="1">
      <c r="A30" s="11" t="s">
        <v>774</v>
      </c>
      <c r="B30" s="7" t="s">
        <v>1775</v>
      </c>
      <c r="C30" s="7" t="s">
        <v>2180</v>
      </c>
      <c r="D30" s="11" t="s">
        <v>143</v>
      </c>
      <c r="E30" s="63" t="s">
        <v>144</v>
      </c>
      <c r="F30" s="11">
        <v>14.73439722</v>
      </c>
      <c r="G30" s="11">
        <v>120.316425</v>
      </c>
      <c r="H30" s="11" t="s">
        <v>2181</v>
      </c>
      <c r="I30" s="11">
        <v>2007</v>
      </c>
      <c r="J30" s="11">
        <v>2015</v>
      </c>
      <c r="K30" s="11">
        <v>2016</v>
      </c>
      <c r="L30" s="11">
        <v>2016</v>
      </c>
      <c r="M30" s="82">
        <v>7222145.2199999997</v>
      </c>
      <c r="N30" s="378" t="s">
        <v>77</v>
      </c>
      <c r="O30" s="11" t="s">
        <v>19</v>
      </c>
      <c r="P30" s="11"/>
      <c r="Q30" s="11" t="s">
        <v>180</v>
      </c>
      <c r="R30" s="11" t="s">
        <v>2182</v>
      </c>
      <c r="S30" s="34">
        <v>45793</v>
      </c>
      <c r="T30" s="34">
        <v>45794</v>
      </c>
      <c r="U30" s="34">
        <v>45794</v>
      </c>
      <c r="V30" s="34">
        <v>45796</v>
      </c>
      <c r="W30" s="34">
        <v>45796</v>
      </c>
      <c r="X30" s="45">
        <f t="shared" si="0"/>
        <v>1</v>
      </c>
      <c r="Y30" s="45">
        <f t="shared" si="1"/>
        <v>1</v>
      </c>
      <c r="Z30" s="45">
        <f t="shared" si="2"/>
        <v>1</v>
      </c>
      <c r="AA30" s="45">
        <f t="shared" si="3"/>
        <v>1</v>
      </c>
      <c r="AB30" s="11" t="s">
        <v>150</v>
      </c>
      <c r="AC30" s="7" t="s">
        <v>51</v>
      </c>
      <c r="AD30" s="7" t="s">
        <v>52</v>
      </c>
      <c r="AE30" s="7" t="s">
        <v>52</v>
      </c>
      <c r="AF30" s="7" t="s">
        <v>52</v>
      </c>
      <c r="AG30" s="7" t="s">
        <v>52</v>
      </c>
      <c r="AH30" s="7" t="s">
        <v>52</v>
      </c>
      <c r="AI30" s="7" t="s">
        <v>52</v>
      </c>
      <c r="AJ30" s="7" t="s">
        <v>52</v>
      </c>
      <c r="AK30" s="7" t="s">
        <v>52</v>
      </c>
      <c r="AL30" s="7" t="s">
        <v>52</v>
      </c>
      <c r="AM30" s="7"/>
      <c r="AN30" s="11"/>
      <c r="AO30" s="11"/>
      <c r="AP30" s="11"/>
      <c r="AQ30" s="11"/>
    </row>
    <row r="31" spans="1:43" ht="15" customHeight="1">
      <c r="A31" s="11" t="s">
        <v>776</v>
      </c>
      <c r="B31" s="7" t="s">
        <v>1071</v>
      </c>
      <c r="C31" s="7" t="s">
        <v>2183</v>
      </c>
      <c r="D31" s="11" t="s">
        <v>143</v>
      </c>
      <c r="E31" s="63" t="s">
        <v>233</v>
      </c>
      <c r="F31" s="11">
        <v>15.447848</v>
      </c>
      <c r="G31" s="11">
        <v>121.08678500000001</v>
      </c>
      <c r="H31" s="11" t="s">
        <v>2184</v>
      </c>
      <c r="I31" s="11">
        <v>2007</v>
      </c>
      <c r="J31" s="11">
        <v>2015</v>
      </c>
      <c r="K31" s="11">
        <v>2016</v>
      </c>
      <c r="L31" s="11">
        <v>2016</v>
      </c>
      <c r="M31" s="82">
        <v>8492135.6500000004</v>
      </c>
      <c r="N31" s="378" t="s">
        <v>77</v>
      </c>
      <c r="O31" s="11" t="s">
        <v>24</v>
      </c>
      <c r="P31" s="11" t="s">
        <v>2130</v>
      </c>
      <c r="Q31" s="11" t="s">
        <v>1982</v>
      </c>
      <c r="R31" s="11" t="s">
        <v>2185</v>
      </c>
      <c r="S31" s="34">
        <v>45792</v>
      </c>
      <c r="T31" s="34">
        <v>45796</v>
      </c>
      <c r="U31" s="11"/>
      <c r="V31" s="34"/>
      <c r="W31" s="34"/>
      <c r="X31" s="45">
        <f t="shared" si="0"/>
        <v>2</v>
      </c>
      <c r="Y31" s="45" t="str">
        <f t="shared" si="1"/>
        <v/>
      </c>
      <c r="Z31" s="45" t="str">
        <f t="shared" si="2"/>
        <v/>
      </c>
      <c r="AA31" s="45" t="str">
        <f t="shared" si="3"/>
        <v/>
      </c>
      <c r="AB31" s="11" t="s">
        <v>150</v>
      </c>
      <c r="AC31" s="7" t="s">
        <v>65</v>
      </c>
      <c r="AD31" s="7" t="s">
        <v>59</v>
      </c>
      <c r="AE31" s="7" t="s">
        <v>59</v>
      </c>
      <c r="AF31" s="7" t="s">
        <v>59</v>
      </c>
      <c r="AG31" s="7" t="s">
        <v>59</v>
      </c>
      <c r="AH31" s="7" t="s">
        <v>59</v>
      </c>
      <c r="AI31" s="7" t="s">
        <v>59</v>
      </c>
      <c r="AJ31" s="7" t="s">
        <v>59</v>
      </c>
      <c r="AK31" s="7" t="s">
        <v>59</v>
      </c>
      <c r="AL31" s="7"/>
      <c r="AM31" s="7" t="s">
        <v>2186</v>
      </c>
      <c r="AN31" s="11"/>
      <c r="AO31" s="11"/>
      <c r="AP31" s="11"/>
      <c r="AQ31" s="11"/>
    </row>
    <row r="32" spans="1:43" ht="15" customHeight="1">
      <c r="A32" s="11" t="s">
        <v>777</v>
      </c>
      <c r="B32" s="7" t="s">
        <v>1255</v>
      </c>
      <c r="C32" s="7" t="s">
        <v>2187</v>
      </c>
      <c r="D32" s="11" t="s">
        <v>143</v>
      </c>
      <c r="E32" s="63" t="s">
        <v>160</v>
      </c>
      <c r="F32" s="11">
        <v>15.656574000000001</v>
      </c>
      <c r="G32" s="11">
        <v>120.84767600000001</v>
      </c>
      <c r="H32" s="11" t="s">
        <v>2188</v>
      </c>
      <c r="I32" s="11">
        <v>1998</v>
      </c>
      <c r="J32" s="11">
        <v>2017</v>
      </c>
      <c r="K32" s="11">
        <v>2018</v>
      </c>
      <c r="L32" s="11">
        <v>2018</v>
      </c>
      <c r="M32" s="82">
        <v>1034688.27</v>
      </c>
      <c r="N32" s="378" t="s">
        <v>77</v>
      </c>
      <c r="O32" s="11" t="s">
        <v>29</v>
      </c>
      <c r="P32" s="11" t="s">
        <v>1610</v>
      </c>
      <c r="Q32" s="11" t="s">
        <v>212</v>
      </c>
      <c r="R32" s="11" t="s">
        <v>2189</v>
      </c>
      <c r="S32" s="34">
        <v>45792</v>
      </c>
      <c r="T32" s="34">
        <v>45793</v>
      </c>
      <c r="U32" s="34">
        <v>45793</v>
      </c>
      <c r="V32" s="34">
        <v>45793</v>
      </c>
      <c r="W32" s="34">
        <v>45793</v>
      </c>
      <c r="X32" s="45">
        <f t="shared" si="0"/>
        <v>1</v>
      </c>
      <c r="Y32" s="45">
        <f t="shared" si="1"/>
        <v>1</v>
      </c>
      <c r="Z32" s="45">
        <f t="shared" si="2"/>
        <v>1</v>
      </c>
      <c r="AA32" s="45">
        <f t="shared" si="3"/>
        <v>1</v>
      </c>
      <c r="AB32" s="11" t="s">
        <v>150</v>
      </c>
      <c r="AC32" s="7" t="s">
        <v>51</v>
      </c>
      <c r="AD32" s="7" t="s">
        <v>52</v>
      </c>
      <c r="AE32" s="7" t="s">
        <v>52</v>
      </c>
      <c r="AF32" s="7" t="s">
        <v>52</v>
      </c>
      <c r="AG32" s="7" t="s">
        <v>52</v>
      </c>
      <c r="AH32" s="7" t="s">
        <v>52</v>
      </c>
      <c r="AI32" s="7" t="s">
        <v>52</v>
      </c>
      <c r="AJ32" s="7" t="s">
        <v>52</v>
      </c>
      <c r="AK32" s="7" t="s">
        <v>52</v>
      </c>
      <c r="AL32" s="7" t="s">
        <v>52</v>
      </c>
      <c r="AM32" s="7"/>
      <c r="AN32" s="11"/>
      <c r="AO32" s="11"/>
      <c r="AP32" s="11"/>
      <c r="AQ32" s="11"/>
    </row>
    <row r="33" spans="1:43" ht="15" customHeight="1">
      <c r="A33" s="11" t="s">
        <v>777</v>
      </c>
      <c r="B33" s="7" t="s">
        <v>1282</v>
      </c>
      <c r="C33" s="7" t="s">
        <v>2190</v>
      </c>
      <c r="D33" s="11" t="s">
        <v>143</v>
      </c>
      <c r="E33" s="63" t="s">
        <v>144</v>
      </c>
      <c r="F33" s="11">
        <v>15.564444440000001</v>
      </c>
      <c r="G33" s="11">
        <v>121.11450000000001</v>
      </c>
      <c r="H33" s="11" t="s">
        <v>2191</v>
      </c>
      <c r="I33" s="11">
        <v>1997</v>
      </c>
      <c r="J33" s="11">
        <v>2016</v>
      </c>
      <c r="K33" s="11">
        <v>2018</v>
      </c>
      <c r="L33" s="11">
        <v>2018</v>
      </c>
      <c r="M33" s="82">
        <v>563511.97</v>
      </c>
      <c r="N33" s="378" t="s">
        <v>77</v>
      </c>
      <c r="O33" s="11" t="s">
        <v>26</v>
      </c>
      <c r="P33" s="11" t="s">
        <v>1610</v>
      </c>
      <c r="Q33" s="11" t="s">
        <v>212</v>
      </c>
      <c r="R33" s="11" t="s">
        <v>2192</v>
      </c>
      <c r="S33" s="34">
        <v>45792</v>
      </c>
      <c r="T33" s="34">
        <v>45796</v>
      </c>
      <c r="U33" s="34">
        <v>45796</v>
      </c>
      <c r="V33" s="34">
        <v>45796</v>
      </c>
      <c r="W33" s="34">
        <v>45797</v>
      </c>
      <c r="X33" s="45">
        <f t="shared" si="0"/>
        <v>2</v>
      </c>
      <c r="Y33" s="45">
        <f t="shared" si="1"/>
        <v>1</v>
      </c>
      <c r="Z33" s="45">
        <f t="shared" si="2"/>
        <v>1</v>
      </c>
      <c r="AA33" s="45">
        <f t="shared" si="3"/>
        <v>1</v>
      </c>
      <c r="AB33" s="11" t="s">
        <v>150</v>
      </c>
      <c r="AC33" s="7" t="s">
        <v>51</v>
      </c>
      <c r="AD33" s="7" t="s">
        <v>52</v>
      </c>
      <c r="AE33" s="7" t="s">
        <v>52</v>
      </c>
      <c r="AF33" s="7" t="s">
        <v>52</v>
      </c>
      <c r="AG33" s="7" t="s">
        <v>52</v>
      </c>
      <c r="AH33" s="7" t="s">
        <v>52</v>
      </c>
      <c r="AI33" s="7" t="s">
        <v>52</v>
      </c>
      <c r="AJ33" s="7" t="s">
        <v>52</v>
      </c>
      <c r="AK33" s="7" t="s">
        <v>52</v>
      </c>
      <c r="AL33" s="7" t="s">
        <v>52</v>
      </c>
      <c r="AM33" s="7" t="s">
        <v>2096</v>
      </c>
      <c r="AN33" s="11"/>
      <c r="AO33" s="11"/>
      <c r="AP33" s="11"/>
      <c r="AQ33" s="11"/>
    </row>
    <row r="34" spans="1:43" ht="15" customHeight="1">
      <c r="A34" s="11" t="s">
        <v>778</v>
      </c>
      <c r="B34" s="7" t="s">
        <v>1353</v>
      </c>
      <c r="C34" s="7" t="s">
        <v>2193</v>
      </c>
      <c r="D34" s="11" t="s">
        <v>143</v>
      </c>
      <c r="E34" s="63" t="s">
        <v>144</v>
      </c>
      <c r="F34" s="11">
        <v>15.08459167</v>
      </c>
      <c r="G34" s="11">
        <v>120.60569169999999</v>
      </c>
      <c r="H34" s="11" t="s">
        <v>2194</v>
      </c>
      <c r="I34" s="11">
        <v>2014</v>
      </c>
      <c r="J34" s="11">
        <v>2019</v>
      </c>
      <c r="K34" s="11">
        <v>2019</v>
      </c>
      <c r="L34" s="11">
        <v>2018</v>
      </c>
      <c r="M34" s="82">
        <v>455221</v>
      </c>
      <c r="N34" s="378" t="s">
        <v>77</v>
      </c>
      <c r="O34" s="11" t="s">
        <v>35</v>
      </c>
      <c r="P34" s="11"/>
      <c r="Q34" s="11" t="s">
        <v>148</v>
      </c>
      <c r="R34" s="9" t="s">
        <v>2195</v>
      </c>
      <c r="S34" s="34">
        <v>45793</v>
      </c>
      <c r="T34" s="34">
        <v>45796</v>
      </c>
      <c r="U34" s="34">
        <v>45796</v>
      </c>
      <c r="V34" s="34">
        <v>45796</v>
      </c>
      <c r="W34" s="34">
        <v>45797</v>
      </c>
      <c r="X34" s="45">
        <f t="shared" ref="X34:X55" si="4">IF(
    OR(ISBLANK(S34), ISBLANK(T34)),
    "",
    MAX(1, IF(
        NETWORKDAYS(S34, T34) &lt;= 0,
        1,
        NETWORKDAYS(S34, T34) - IF(S34 = T34, 0, 1)
    ))
)</f>
        <v>1</v>
      </c>
      <c r="Y34" s="45">
        <f t="shared" ref="Y34:Y55" si="5">IF(
    OR(ISBLANK(T34), ISBLANK(U34)),
    "",
    MAX(1, IF(
        NETWORKDAYS(T34, U34) &lt;= 0,
        1,
        NETWORKDAYS(T34, U34) - IF(T34 = U34, 0, 1)
    ))
)</f>
        <v>1</v>
      </c>
      <c r="Z34" s="45">
        <f t="shared" ref="Z34:Z55" si="6">IF(
  OR(IF(U34&lt;&gt;"", U34, T34)="", V34=""),
  "",
  MAX(1,
    IF(
      NETWORKDAYS(IF(U34&lt;&gt;"", U34, T34), V34) &lt;= 0,
      1,
      NETWORKDAYS(IF(U34&lt;&gt;"", U34, T34), V34) - IF(IF(U34&lt;&gt;"", U34, T34)=V34, 0, 1)
    )
  )
)</f>
        <v>1</v>
      </c>
      <c r="AA34" s="45">
        <f t="shared" ref="AA34:AA55" si="7">IF(
    OR(ISBLANK(V34), ISBLANK(W34)),
    "",
    MAX(1, IF(
        NETWORKDAYS(V34, W34) &lt;= 0,
        1,
        NETWORKDAYS(V34, W34) - IF(V34 = W34, 0, 1)
    ))
)</f>
        <v>1</v>
      </c>
      <c r="AB34" s="11" t="s">
        <v>150</v>
      </c>
      <c r="AC34" s="7" t="s">
        <v>51</v>
      </c>
      <c r="AD34" s="7" t="s">
        <v>52</v>
      </c>
      <c r="AE34" s="7" t="s">
        <v>52</v>
      </c>
      <c r="AF34" s="7" t="s">
        <v>52</v>
      </c>
      <c r="AG34" s="7" t="s">
        <v>52</v>
      </c>
      <c r="AH34" s="7" t="s">
        <v>52</v>
      </c>
      <c r="AI34" s="7" t="s">
        <v>52</v>
      </c>
      <c r="AJ34" s="7" t="s">
        <v>52</v>
      </c>
      <c r="AK34" s="7" t="s">
        <v>52</v>
      </c>
      <c r="AL34" s="7" t="s">
        <v>52</v>
      </c>
      <c r="AM34" s="7" t="s">
        <v>2096</v>
      </c>
      <c r="AN34" s="11"/>
      <c r="AO34" s="11"/>
      <c r="AP34" s="11"/>
      <c r="AQ34" s="11"/>
    </row>
    <row r="35" spans="1:43" ht="15" customHeight="1">
      <c r="A35" s="11" t="s">
        <v>2196</v>
      </c>
      <c r="B35" s="4" t="s">
        <v>829</v>
      </c>
      <c r="C35" s="4" t="s">
        <v>979</v>
      </c>
      <c r="D35" s="11" t="s">
        <v>159</v>
      </c>
      <c r="E35" s="7" t="s">
        <v>249</v>
      </c>
      <c r="F35" s="9">
        <v>15.875389999999999</v>
      </c>
      <c r="G35" s="9">
        <v>121.52549999999999</v>
      </c>
      <c r="H35" s="11" t="s">
        <v>2197</v>
      </c>
      <c r="I35" s="11">
        <v>2000</v>
      </c>
      <c r="J35" s="11">
        <v>2021</v>
      </c>
      <c r="K35" s="11"/>
      <c r="L35" s="11" t="s">
        <v>69</v>
      </c>
      <c r="M35" s="11" t="s">
        <v>69</v>
      </c>
      <c r="N35" s="378" t="s">
        <v>78</v>
      </c>
      <c r="O35" s="11" t="s">
        <v>13</v>
      </c>
      <c r="P35" s="11"/>
      <c r="Q35" s="11" t="s">
        <v>163</v>
      </c>
      <c r="R35" s="11" t="s">
        <v>2198</v>
      </c>
      <c r="S35" s="34">
        <v>45819</v>
      </c>
      <c r="T35" s="34">
        <v>45821</v>
      </c>
      <c r="U35" s="34">
        <v>45821</v>
      </c>
      <c r="V35" s="34">
        <v>45825</v>
      </c>
      <c r="W35" s="34">
        <v>45825</v>
      </c>
      <c r="X35" s="45">
        <f t="shared" si="4"/>
        <v>2</v>
      </c>
      <c r="Y35" s="45">
        <f t="shared" si="5"/>
        <v>1</v>
      </c>
      <c r="Z35" s="45">
        <f t="shared" si="6"/>
        <v>2</v>
      </c>
      <c r="AA35" s="45">
        <f t="shared" si="7"/>
        <v>1</v>
      </c>
      <c r="AB35" s="11" t="s">
        <v>150</v>
      </c>
      <c r="AC35" s="7" t="s">
        <v>51</v>
      </c>
      <c r="AD35" s="7" t="s">
        <v>52</v>
      </c>
      <c r="AE35" s="7" t="s">
        <v>52</v>
      </c>
      <c r="AF35" s="7" t="s">
        <v>52</v>
      </c>
      <c r="AG35" s="7" t="s">
        <v>52</v>
      </c>
      <c r="AH35" s="7" t="s">
        <v>52</v>
      </c>
      <c r="AI35" s="7" t="s">
        <v>52</v>
      </c>
      <c r="AJ35" s="7" t="s">
        <v>52</v>
      </c>
      <c r="AK35" s="7" t="s">
        <v>59</v>
      </c>
      <c r="AL35" s="7" t="s">
        <v>52</v>
      </c>
      <c r="AM35" s="7" t="s">
        <v>2110</v>
      </c>
      <c r="AN35" s="11"/>
      <c r="AO35" s="11"/>
      <c r="AP35" s="11"/>
      <c r="AQ35" s="11"/>
    </row>
    <row r="36" spans="1:43" ht="15" customHeight="1">
      <c r="A36" s="11" t="s">
        <v>776</v>
      </c>
      <c r="B36" s="7" t="s">
        <v>1981</v>
      </c>
      <c r="C36" s="7" t="s">
        <v>885</v>
      </c>
      <c r="D36" s="11" t="s">
        <v>143</v>
      </c>
      <c r="E36" s="63" t="s">
        <v>160</v>
      </c>
      <c r="F36" s="11">
        <v>14.808448</v>
      </c>
      <c r="G36" s="11">
        <v>120.84390500000001</v>
      </c>
      <c r="H36" s="11" t="s">
        <v>2199</v>
      </c>
      <c r="I36" s="11"/>
      <c r="J36" s="11"/>
      <c r="K36" s="11">
        <v>2016</v>
      </c>
      <c r="L36" s="11">
        <v>2016</v>
      </c>
      <c r="M36" s="82">
        <v>6456787.4800000004</v>
      </c>
      <c r="N36" s="378" t="s">
        <v>78</v>
      </c>
      <c r="O36" s="11" t="s">
        <v>1826</v>
      </c>
      <c r="P36" s="11"/>
      <c r="Q36" s="11" t="s">
        <v>1982</v>
      </c>
      <c r="R36" s="11" t="s">
        <v>2200</v>
      </c>
      <c r="S36" s="34">
        <v>45818</v>
      </c>
      <c r="T36" s="34">
        <v>45822</v>
      </c>
      <c r="U36" s="34">
        <v>45822</v>
      </c>
      <c r="V36" s="34">
        <v>45825</v>
      </c>
      <c r="W36" s="34">
        <v>45825</v>
      </c>
      <c r="X36" s="45">
        <f t="shared" si="4"/>
        <v>3</v>
      </c>
      <c r="Y36" s="45">
        <f t="shared" si="5"/>
        <v>1</v>
      </c>
      <c r="Z36" s="45">
        <f t="shared" si="6"/>
        <v>1</v>
      </c>
      <c r="AA36" s="45">
        <f t="shared" si="7"/>
        <v>1</v>
      </c>
      <c r="AB36" s="11" t="s">
        <v>150</v>
      </c>
      <c r="AC36" s="7" t="s">
        <v>51</v>
      </c>
      <c r="AD36" s="7" t="s">
        <v>52</v>
      </c>
      <c r="AE36" s="7" t="s">
        <v>52</v>
      </c>
      <c r="AF36" s="7" t="s">
        <v>52</v>
      </c>
      <c r="AG36" s="7" t="s">
        <v>52</v>
      </c>
      <c r="AH36" s="7"/>
      <c r="AI36" s="7" t="s">
        <v>59</v>
      </c>
      <c r="AJ36" s="7" t="s">
        <v>52</v>
      </c>
      <c r="AK36" s="7" t="s">
        <v>59</v>
      </c>
      <c r="AL36" s="7" t="s">
        <v>52</v>
      </c>
      <c r="AM36" s="7" t="s">
        <v>2110</v>
      </c>
      <c r="AN36" s="11"/>
      <c r="AO36" s="11"/>
      <c r="AP36" s="11"/>
      <c r="AQ36" s="11"/>
    </row>
    <row r="37" spans="1:43" ht="15" customHeight="1">
      <c r="A37" s="11" t="s">
        <v>777</v>
      </c>
      <c r="B37" s="7" t="s">
        <v>1274</v>
      </c>
      <c r="C37" s="7" t="s">
        <v>1225</v>
      </c>
      <c r="D37" s="11" t="s">
        <v>143</v>
      </c>
      <c r="E37" s="63" t="s">
        <v>185</v>
      </c>
      <c r="F37" s="11">
        <v>15.704369</v>
      </c>
      <c r="G37" s="11">
        <v>121.047128</v>
      </c>
      <c r="H37" s="11" t="s">
        <v>2201</v>
      </c>
      <c r="I37" s="11">
        <v>2016</v>
      </c>
      <c r="J37" s="11">
        <v>2017</v>
      </c>
      <c r="K37" s="11">
        <v>2018</v>
      </c>
      <c r="L37" s="11">
        <v>2018</v>
      </c>
      <c r="M37" s="82">
        <v>1404666.05</v>
      </c>
      <c r="N37" s="378" t="s">
        <v>78</v>
      </c>
      <c r="O37" s="11" t="s">
        <v>26</v>
      </c>
      <c r="P37" s="11" t="s">
        <v>1610</v>
      </c>
      <c r="Q37" s="11" t="s">
        <v>212</v>
      </c>
      <c r="R37" s="11" t="s">
        <v>2202</v>
      </c>
      <c r="S37" s="34">
        <v>45825</v>
      </c>
      <c r="T37" s="34">
        <v>45826</v>
      </c>
      <c r="U37" s="34">
        <v>45826</v>
      </c>
      <c r="V37" s="34">
        <v>45826</v>
      </c>
      <c r="W37" s="34">
        <v>45827</v>
      </c>
      <c r="X37" s="45">
        <f t="shared" si="4"/>
        <v>1</v>
      </c>
      <c r="Y37" s="45">
        <f t="shared" si="5"/>
        <v>1</v>
      </c>
      <c r="Z37" s="45">
        <f t="shared" si="6"/>
        <v>1</v>
      </c>
      <c r="AA37" s="45">
        <f t="shared" si="7"/>
        <v>1</v>
      </c>
      <c r="AB37" s="11" t="s">
        <v>150</v>
      </c>
      <c r="AC37" s="7" t="s">
        <v>51</v>
      </c>
      <c r="AD37" s="7" t="s">
        <v>52</v>
      </c>
      <c r="AE37" s="7" t="s">
        <v>52</v>
      </c>
      <c r="AF37" s="7" t="s">
        <v>52</v>
      </c>
      <c r="AG37" s="7" t="s">
        <v>52</v>
      </c>
      <c r="AH37" s="7" t="s">
        <v>52</v>
      </c>
      <c r="AI37" s="7" t="s">
        <v>52</v>
      </c>
      <c r="AJ37" s="7" t="s">
        <v>52</v>
      </c>
      <c r="AK37" s="7" t="s">
        <v>59</v>
      </c>
      <c r="AL37" s="7" t="s">
        <v>52</v>
      </c>
      <c r="AM37" s="7" t="s">
        <v>2110</v>
      </c>
      <c r="AN37" s="11"/>
      <c r="AO37" s="11"/>
      <c r="AP37" s="11"/>
      <c r="AQ37" s="11"/>
    </row>
    <row r="38" spans="1:43" ht="15" customHeight="1">
      <c r="A38" s="11" t="s">
        <v>778</v>
      </c>
      <c r="B38" s="7" t="s">
        <v>1400</v>
      </c>
      <c r="C38" s="7" t="s">
        <v>2203</v>
      </c>
      <c r="D38" s="11" t="s">
        <v>143</v>
      </c>
      <c r="E38" s="9" t="s">
        <v>233</v>
      </c>
      <c r="F38" s="11">
        <v>14.88279722</v>
      </c>
      <c r="G38" s="11">
        <v>120.7110806</v>
      </c>
      <c r="H38" s="11" t="s">
        <v>2204</v>
      </c>
      <c r="I38" s="11">
        <v>1988</v>
      </c>
      <c r="J38" s="11">
        <v>2016</v>
      </c>
      <c r="K38" s="11">
        <v>2016</v>
      </c>
      <c r="L38" s="11">
        <v>2016</v>
      </c>
      <c r="M38" s="82">
        <v>5535751.2300000004</v>
      </c>
      <c r="N38" s="378" t="s">
        <v>78</v>
      </c>
      <c r="O38" s="11" t="s">
        <v>34</v>
      </c>
      <c r="P38" s="11" t="s">
        <v>1838</v>
      </c>
      <c r="Q38" s="11" t="s">
        <v>148</v>
      </c>
      <c r="R38" s="11" t="s">
        <v>2205</v>
      </c>
      <c r="S38" s="34">
        <v>45818</v>
      </c>
      <c r="T38" s="34">
        <v>45824</v>
      </c>
      <c r="U38" s="34">
        <v>45826</v>
      </c>
      <c r="V38" s="34">
        <v>45826</v>
      </c>
      <c r="W38" s="34">
        <v>45826</v>
      </c>
      <c r="X38" s="45">
        <f t="shared" si="4"/>
        <v>4</v>
      </c>
      <c r="Y38" s="45">
        <f t="shared" si="5"/>
        <v>2</v>
      </c>
      <c r="Z38" s="45">
        <f t="shared" si="6"/>
        <v>1</v>
      </c>
      <c r="AA38" s="45">
        <f t="shared" si="7"/>
        <v>1</v>
      </c>
      <c r="AB38" s="11" t="s">
        <v>150</v>
      </c>
      <c r="AC38" s="7" t="s">
        <v>51</v>
      </c>
      <c r="AD38" s="7" t="s">
        <v>52</v>
      </c>
      <c r="AE38" s="7" t="s">
        <v>52</v>
      </c>
      <c r="AF38" s="7" t="s">
        <v>52</v>
      </c>
      <c r="AG38" s="7"/>
      <c r="AH38" s="7"/>
      <c r="AI38" s="7"/>
      <c r="AJ38" s="7" t="s">
        <v>52</v>
      </c>
      <c r="AK38" s="7"/>
      <c r="AL38" s="7" t="s">
        <v>52</v>
      </c>
      <c r="AM38" s="7" t="s">
        <v>2110</v>
      </c>
      <c r="AN38" s="11"/>
      <c r="AO38" s="11"/>
      <c r="AP38" s="11"/>
      <c r="AQ38" s="11"/>
    </row>
    <row r="39" spans="1:43" s="732" customFormat="1" ht="15" customHeight="1">
      <c r="A39" s="104" t="s">
        <v>779</v>
      </c>
      <c r="B39" s="729" t="s">
        <v>2206</v>
      </c>
      <c r="C39" s="729" t="s">
        <v>1494</v>
      </c>
      <c r="D39" s="104" t="s">
        <v>159</v>
      </c>
      <c r="E39" s="736" t="s">
        <v>160</v>
      </c>
      <c r="F39" s="104">
        <v>15.643311110000001</v>
      </c>
      <c r="G39" s="104">
        <v>120.5605056</v>
      </c>
      <c r="H39" s="732" t="s">
        <v>2207</v>
      </c>
      <c r="I39" s="104">
        <v>2000</v>
      </c>
      <c r="J39" s="104">
        <v>2017</v>
      </c>
      <c r="K39" s="104">
        <v>2017</v>
      </c>
      <c r="L39" s="104">
        <v>2017</v>
      </c>
      <c r="M39" s="734">
        <v>3689551.76</v>
      </c>
      <c r="N39" s="730" t="s">
        <v>78</v>
      </c>
      <c r="O39" s="104" t="s">
        <v>37</v>
      </c>
      <c r="P39" s="104" t="s">
        <v>163</v>
      </c>
      <c r="Q39" s="104" t="s">
        <v>328</v>
      </c>
      <c r="R39" s="104" t="s">
        <v>2208</v>
      </c>
      <c r="S39" s="731">
        <v>45825</v>
      </c>
      <c r="T39" s="731">
        <v>45826</v>
      </c>
      <c r="U39" s="731">
        <v>45826</v>
      </c>
      <c r="V39" s="731">
        <v>45827</v>
      </c>
      <c r="W39" s="731">
        <v>45827</v>
      </c>
      <c r="X39" s="45">
        <f t="shared" si="4"/>
        <v>1</v>
      </c>
      <c r="Y39" s="45">
        <f t="shared" si="5"/>
        <v>1</v>
      </c>
      <c r="Z39" s="45">
        <f t="shared" si="6"/>
        <v>1</v>
      </c>
      <c r="AA39" s="45">
        <f t="shared" si="7"/>
        <v>1</v>
      </c>
      <c r="AB39" s="729" t="s">
        <v>150</v>
      </c>
      <c r="AC39" s="729" t="s">
        <v>51</v>
      </c>
      <c r="AD39" s="729" t="s">
        <v>52</v>
      </c>
      <c r="AE39" s="729" t="s">
        <v>52</v>
      </c>
      <c r="AF39" s="729" t="s">
        <v>52</v>
      </c>
      <c r="AG39" s="729" t="s">
        <v>52</v>
      </c>
      <c r="AH39" s="729" t="s">
        <v>52</v>
      </c>
      <c r="AI39" s="729" t="s">
        <v>52</v>
      </c>
      <c r="AJ39" s="729" t="s">
        <v>52</v>
      </c>
      <c r="AK39" s="729" t="s">
        <v>52</v>
      </c>
      <c r="AL39" s="729" t="s">
        <v>52</v>
      </c>
      <c r="AM39" s="729" t="s">
        <v>2110</v>
      </c>
      <c r="AN39" s="104"/>
      <c r="AO39" s="104"/>
      <c r="AP39" s="104"/>
      <c r="AQ39" s="104"/>
    </row>
    <row r="40" spans="1:43" ht="15" customHeight="1">
      <c r="A40" s="11" t="s">
        <v>774</v>
      </c>
      <c r="B40" s="7" t="s">
        <v>865</v>
      </c>
      <c r="C40" s="7" t="s">
        <v>1763</v>
      </c>
      <c r="D40" s="11" t="s">
        <v>143</v>
      </c>
      <c r="E40" s="63" t="s">
        <v>185</v>
      </c>
      <c r="F40" s="11">
        <v>14.569827780000001</v>
      </c>
      <c r="G40" s="11">
        <v>120.5517167</v>
      </c>
      <c r="H40" s="11" t="s">
        <v>2209</v>
      </c>
      <c r="I40" s="11">
        <v>2005</v>
      </c>
      <c r="J40" s="11">
        <v>2015</v>
      </c>
      <c r="K40" s="11">
        <v>2015</v>
      </c>
      <c r="L40" s="11">
        <v>2018</v>
      </c>
      <c r="M40" s="82">
        <v>1086828.54</v>
      </c>
      <c r="N40" s="378" t="s">
        <v>81</v>
      </c>
      <c r="O40" s="11" t="s">
        <v>17</v>
      </c>
      <c r="P40" s="11"/>
      <c r="Q40" s="11" t="s">
        <v>180</v>
      </c>
      <c r="R40" s="11" t="s">
        <v>2210</v>
      </c>
      <c r="S40" s="34">
        <v>45917</v>
      </c>
      <c r="T40" s="34">
        <v>45917</v>
      </c>
      <c r="U40" s="34"/>
      <c r="V40" s="34">
        <v>45917</v>
      </c>
      <c r="W40" s="34">
        <v>45918</v>
      </c>
      <c r="X40" s="45">
        <f t="shared" si="4"/>
        <v>1</v>
      </c>
      <c r="Y40" s="45" t="str">
        <f t="shared" si="5"/>
        <v/>
      </c>
      <c r="Z40" s="45">
        <f t="shared" si="6"/>
        <v>1</v>
      </c>
      <c r="AA40" s="45">
        <f t="shared" si="7"/>
        <v>1</v>
      </c>
      <c r="AB40" s="11" t="s">
        <v>150</v>
      </c>
      <c r="AC40" s="7" t="s">
        <v>64</v>
      </c>
      <c r="AD40" s="7" t="s">
        <v>59</v>
      </c>
      <c r="AE40" s="7" t="s">
        <v>59</v>
      </c>
      <c r="AF40" s="7" t="s">
        <v>59</v>
      </c>
      <c r="AG40" s="7" t="s">
        <v>59</v>
      </c>
      <c r="AH40" s="7" t="s">
        <v>59</v>
      </c>
      <c r="AI40" s="7" t="s">
        <v>59</v>
      </c>
      <c r="AJ40" s="7" t="s">
        <v>59</v>
      </c>
      <c r="AK40" s="7" t="s">
        <v>59</v>
      </c>
      <c r="AL40" s="7" t="s">
        <v>52</v>
      </c>
      <c r="AM40" s="7"/>
      <c r="AN40" s="11"/>
      <c r="AO40" s="11"/>
      <c r="AP40" s="11"/>
      <c r="AQ40" s="11"/>
    </row>
    <row r="41" spans="1:43" ht="15" customHeight="1">
      <c r="A41" s="9" t="s">
        <v>776</v>
      </c>
      <c r="B41" s="4" t="s">
        <v>1981</v>
      </c>
      <c r="C41" s="4" t="s">
        <v>885</v>
      </c>
      <c r="D41" s="11" t="s">
        <v>143</v>
      </c>
      <c r="E41" s="63" t="s">
        <v>160</v>
      </c>
      <c r="F41" s="11">
        <v>14.8070755</v>
      </c>
      <c r="G41" s="11">
        <v>120.8471741</v>
      </c>
      <c r="H41" s="11" t="s">
        <v>2211</v>
      </c>
      <c r="I41" s="11"/>
      <c r="J41" s="11">
        <v>2021</v>
      </c>
      <c r="K41" s="11"/>
      <c r="L41" s="11" t="s">
        <v>69</v>
      </c>
      <c r="M41" s="11" t="s">
        <v>69</v>
      </c>
      <c r="N41" s="378" t="s">
        <v>79</v>
      </c>
      <c r="O41" s="11" t="s">
        <v>22</v>
      </c>
      <c r="P41" s="11"/>
      <c r="Q41" s="11" t="s">
        <v>1982</v>
      </c>
      <c r="R41" s="78" t="s">
        <v>2212</v>
      </c>
      <c r="S41" s="34">
        <v>45848</v>
      </c>
      <c r="T41" s="34">
        <v>45849</v>
      </c>
      <c r="U41" s="34">
        <v>45854</v>
      </c>
      <c r="V41" s="34">
        <v>45855</v>
      </c>
      <c r="W41" s="34">
        <v>45856</v>
      </c>
      <c r="X41" s="45">
        <f t="shared" si="4"/>
        <v>1</v>
      </c>
      <c r="Y41" s="45">
        <f t="shared" si="5"/>
        <v>3</v>
      </c>
      <c r="Z41" s="45">
        <f t="shared" si="6"/>
        <v>1</v>
      </c>
      <c r="AA41" s="45">
        <f t="shared" si="7"/>
        <v>1</v>
      </c>
      <c r="AB41" s="11" t="s">
        <v>150</v>
      </c>
      <c r="AC41" s="7" t="s">
        <v>51</v>
      </c>
      <c r="AD41" s="7" t="s">
        <v>52</v>
      </c>
      <c r="AE41" s="7" t="s">
        <v>52</v>
      </c>
      <c r="AF41" s="7" t="s">
        <v>52</v>
      </c>
      <c r="AG41" s="7" t="s">
        <v>52</v>
      </c>
      <c r="AH41" s="7" t="s">
        <v>52</v>
      </c>
      <c r="AI41" s="7" t="s">
        <v>52</v>
      </c>
      <c r="AJ41" s="7" t="s">
        <v>52</v>
      </c>
      <c r="AK41" s="7" t="s">
        <v>52</v>
      </c>
      <c r="AL41" s="7" t="s">
        <v>52</v>
      </c>
      <c r="AM41" s="7" t="s">
        <v>2132</v>
      </c>
      <c r="AN41" s="11"/>
      <c r="AO41" s="11"/>
      <c r="AP41" s="11"/>
      <c r="AQ41" s="11"/>
    </row>
    <row r="42" spans="1:43" ht="15" customHeight="1">
      <c r="A42" s="11" t="s">
        <v>777</v>
      </c>
      <c r="B42" s="7" t="s">
        <v>2213</v>
      </c>
      <c r="C42" s="7" t="s">
        <v>1207</v>
      </c>
      <c r="D42" s="11" t="s">
        <v>143</v>
      </c>
      <c r="E42" s="63" t="s">
        <v>144</v>
      </c>
      <c r="F42" s="11">
        <v>15.606367000000001</v>
      </c>
      <c r="G42" s="11">
        <v>121.110737</v>
      </c>
      <c r="H42" s="11" t="s">
        <v>2214</v>
      </c>
      <c r="I42" s="11">
        <v>1999</v>
      </c>
      <c r="J42" s="11">
        <v>2015</v>
      </c>
      <c r="K42" s="11">
        <v>2018</v>
      </c>
      <c r="L42" s="11">
        <v>2018</v>
      </c>
      <c r="M42" s="82">
        <v>799316.63</v>
      </c>
      <c r="N42" s="378" t="s">
        <v>79</v>
      </c>
      <c r="O42" s="11" t="s">
        <v>26</v>
      </c>
      <c r="P42" s="11" t="s">
        <v>1610</v>
      </c>
      <c r="Q42" s="11" t="s">
        <v>212</v>
      </c>
      <c r="R42" s="11" t="s">
        <v>2215</v>
      </c>
      <c r="S42" s="34">
        <v>45849</v>
      </c>
      <c r="T42" s="34">
        <v>45852</v>
      </c>
      <c r="U42" s="34">
        <v>45853</v>
      </c>
      <c r="V42" s="34">
        <v>45854</v>
      </c>
      <c r="W42" s="34">
        <v>45855</v>
      </c>
      <c r="X42" s="45">
        <f t="shared" si="4"/>
        <v>1</v>
      </c>
      <c r="Y42" s="45">
        <f t="shared" si="5"/>
        <v>1</v>
      </c>
      <c r="Z42" s="45">
        <f t="shared" si="6"/>
        <v>1</v>
      </c>
      <c r="AA42" s="45">
        <f t="shared" si="7"/>
        <v>1</v>
      </c>
      <c r="AB42" s="11" t="s">
        <v>150</v>
      </c>
      <c r="AC42" s="7" t="s">
        <v>51</v>
      </c>
      <c r="AD42" s="7" t="s">
        <v>52</v>
      </c>
      <c r="AE42" s="7" t="s">
        <v>52</v>
      </c>
      <c r="AF42" s="7" t="s">
        <v>52</v>
      </c>
      <c r="AG42" s="7" t="s">
        <v>52</v>
      </c>
      <c r="AH42" s="7" t="s">
        <v>52</v>
      </c>
      <c r="AI42" s="7" t="s">
        <v>52</v>
      </c>
      <c r="AJ42" s="7" t="s">
        <v>52</v>
      </c>
      <c r="AK42" s="7" t="s">
        <v>52</v>
      </c>
      <c r="AL42" s="7" t="s">
        <v>52</v>
      </c>
      <c r="AM42" s="7"/>
      <c r="AN42" s="11"/>
      <c r="AO42" s="11"/>
      <c r="AP42" s="11"/>
      <c r="AQ42" s="11"/>
    </row>
    <row r="43" spans="1:43" ht="23.25" customHeight="1">
      <c r="A43" s="9" t="s">
        <v>778</v>
      </c>
      <c r="B43" s="4" t="s">
        <v>1438</v>
      </c>
      <c r="C43" s="4" t="s">
        <v>1439</v>
      </c>
      <c r="D43" s="11" t="s">
        <v>143</v>
      </c>
      <c r="E43" s="9" t="s">
        <v>144</v>
      </c>
      <c r="F43" s="11">
        <v>15.100111</v>
      </c>
      <c r="G43" s="11">
        <v>120.777356</v>
      </c>
      <c r="H43" s="11" t="s">
        <v>2216</v>
      </c>
      <c r="I43" s="11"/>
      <c r="J43" s="11">
        <v>2021</v>
      </c>
      <c r="K43" s="11"/>
      <c r="L43" s="11" t="s">
        <v>69</v>
      </c>
      <c r="M43" s="11" t="s">
        <v>69</v>
      </c>
      <c r="N43" s="378" t="s">
        <v>79</v>
      </c>
      <c r="O43" s="11" t="s">
        <v>32</v>
      </c>
      <c r="P43" s="11" t="s">
        <v>28</v>
      </c>
      <c r="Q43" s="11" t="s">
        <v>148</v>
      </c>
      <c r="R43" s="78" t="s">
        <v>2217</v>
      </c>
      <c r="S43" s="34">
        <v>45848</v>
      </c>
      <c r="T43" s="34">
        <v>45849</v>
      </c>
      <c r="U43" s="34">
        <v>45856</v>
      </c>
      <c r="V43" s="34">
        <v>45856</v>
      </c>
      <c r="W43" s="34">
        <v>45856</v>
      </c>
      <c r="X43" s="45">
        <f t="shared" si="4"/>
        <v>1</v>
      </c>
      <c r="Y43" s="45">
        <f t="shared" si="5"/>
        <v>5</v>
      </c>
      <c r="Z43" s="45">
        <f t="shared" si="6"/>
        <v>1</v>
      </c>
      <c r="AA43" s="45">
        <f t="shared" si="7"/>
        <v>1</v>
      </c>
      <c r="AB43" s="11" t="s">
        <v>150</v>
      </c>
      <c r="AC43" s="7" t="s">
        <v>51</v>
      </c>
      <c r="AD43" s="7" t="s">
        <v>52</v>
      </c>
      <c r="AE43" s="7" t="s">
        <v>52</v>
      </c>
      <c r="AF43" s="7" t="s">
        <v>52</v>
      </c>
      <c r="AG43" s="7" t="s">
        <v>52</v>
      </c>
      <c r="AH43" s="7" t="s">
        <v>52</v>
      </c>
      <c r="AI43" s="7" t="s">
        <v>52</v>
      </c>
      <c r="AJ43" s="7" t="s">
        <v>52</v>
      </c>
      <c r="AK43" s="7" t="s">
        <v>52</v>
      </c>
      <c r="AL43" s="7" t="s">
        <v>52</v>
      </c>
      <c r="AM43" s="7" t="s">
        <v>2132</v>
      </c>
      <c r="AN43" s="11"/>
      <c r="AO43" s="11"/>
      <c r="AP43" s="11"/>
      <c r="AQ43" s="11"/>
    </row>
    <row r="44" spans="1:43" ht="15" customHeight="1">
      <c r="A44" s="11" t="s">
        <v>780</v>
      </c>
      <c r="B44" s="7" t="s">
        <v>1221</v>
      </c>
      <c r="C44" s="7" t="s">
        <v>1222</v>
      </c>
      <c r="D44" s="11" t="s">
        <v>159</v>
      </c>
      <c r="E44" s="63" t="s">
        <v>185</v>
      </c>
      <c r="F44" s="11">
        <v>15.44514167</v>
      </c>
      <c r="G44" s="11">
        <v>120.01627499999999</v>
      </c>
      <c r="H44" s="11" t="s">
        <v>2218</v>
      </c>
      <c r="I44" s="11">
        <v>2015</v>
      </c>
      <c r="J44" s="11"/>
      <c r="K44" s="11" t="s">
        <v>2219</v>
      </c>
      <c r="L44" s="11">
        <v>2019</v>
      </c>
      <c r="M44" s="82">
        <v>925569.64</v>
      </c>
      <c r="N44" s="378" t="s">
        <v>79</v>
      </c>
      <c r="O44" s="11" t="s">
        <v>42</v>
      </c>
      <c r="P44" s="11" t="s">
        <v>163</v>
      </c>
      <c r="Q44" s="11" t="s">
        <v>164</v>
      </c>
      <c r="R44" s="11" t="s">
        <v>2220</v>
      </c>
      <c r="S44" s="34">
        <v>45839</v>
      </c>
      <c r="T44" s="34">
        <v>45854</v>
      </c>
      <c r="U44" s="34">
        <v>45855</v>
      </c>
      <c r="V44" s="34">
        <v>45855</v>
      </c>
      <c r="W44" s="34">
        <v>45855</v>
      </c>
      <c r="X44" s="45">
        <f t="shared" si="4"/>
        <v>11</v>
      </c>
      <c r="Y44" s="45">
        <f t="shared" si="5"/>
        <v>1</v>
      </c>
      <c r="Z44" s="45">
        <f t="shared" si="6"/>
        <v>1</v>
      </c>
      <c r="AA44" s="45">
        <f t="shared" si="7"/>
        <v>1</v>
      </c>
      <c r="AB44" s="11" t="s">
        <v>150</v>
      </c>
      <c r="AC44" s="7" t="s">
        <v>65</v>
      </c>
      <c r="AD44" s="7"/>
      <c r="AE44" s="7"/>
      <c r="AF44" s="7"/>
      <c r="AG44" s="7"/>
      <c r="AH44" s="7"/>
      <c r="AI44" s="7"/>
      <c r="AJ44" s="7"/>
      <c r="AK44" s="7"/>
      <c r="AL44" s="7"/>
      <c r="AM44" s="7" t="s">
        <v>2221</v>
      </c>
      <c r="AN44" s="11"/>
      <c r="AO44" s="11"/>
      <c r="AP44" s="11"/>
      <c r="AQ44" s="11"/>
    </row>
    <row r="45" spans="1:43" ht="15" customHeight="1">
      <c r="A45" s="11" t="s">
        <v>774</v>
      </c>
      <c r="B45" s="7" t="s">
        <v>926</v>
      </c>
      <c r="C45" s="7" t="s">
        <v>1760</v>
      </c>
      <c r="D45" s="11" t="s">
        <v>143</v>
      </c>
      <c r="E45" s="63" t="s">
        <v>144</v>
      </c>
      <c r="F45" s="11">
        <v>14.915929</v>
      </c>
      <c r="G45" s="11">
        <v>120.451488</v>
      </c>
      <c r="H45" s="11" t="s">
        <v>2222</v>
      </c>
      <c r="I45" s="11">
        <v>2015</v>
      </c>
      <c r="J45" s="11">
        <v>2015</v>
      </c>
      <c r="K45" s="11">
        <v>2018</v>
      </c>
      <c r="L45" s="11">
        <v>2018</v>
      </c>
      <c r="M45" s="82">
        <v>1705208.82</v>
      </c>
      <c r="N45" s="378" t="s">
        <v>80</v>
      </c>
      <c r="O45" s="11" t="s">
        <v>18</v>
      </c>
      <c r="P45" s="11"/>
      <c r="Q45" s="11" t="s">
        <v>180</v>
      </c>
      <c r="R45" s="11" t="s">
        <v>2223</v>
      </c>
      <c r="S45" s="34">
        <v>45882</v>
      </c>
      <c r="T45" s="34">
        <v>45887</v>
      </c>
      <c r="U45" s="34"/>
      <c r="V45" s="34">
        <v>45887</v>
      </c>
      <c r="W45" s="34">
        <v>45887</v>
      </c>
      <c r="X45" s="45">
        <f t="shared" si="4"/>
        <v>3</v>
      </c>
      <c r="Y45" s="45" t="str">
        <f t="shared" si="5"/>
        <v/>
      </c>
      <c r="Z45" s="45">
        <f t="shared" si="6"/>
        <v>1</v>
      </c>
      <c r="AA45" s="45">
        <f t="shared" si="7"/>
        <v>1</v>
      </c>
      <c r="AB45" s="11" t="s">
        <v>150</v>
      </c>
      <c r="AC45" s="7" t="s">
        <v>51</v>
      </c>
      <c r="AD45" s="7" t="s">
        <v>52</v>
      </c>
      <c r="AE45" s="7" t="s">
        <v>52</v>
      </c>
      <c r="AF45" s="7" t="s">
        <v>52</v>
      </c>
      <c r="AG45" s="7" t="s">
        <v>52</v>
      </c>
      <c r="AH45" s="7" t="s">
        <v>52</v>
      </c>
      <c r="AI45" s="7" t="s">
        <v>52</v>
      </c>
      <c r="AJ45" s="7" t="s">
        <v>52</v>
      </c>
      <c r="AK45" s="7" t="s">
        <v>52</v>
      </c>
      <c r="AL45" s="7" t="s">
        <v>52</v>
      </c>
      <c r="AM45" s="7" t="s">
        <v>2132</v>
      </c>
      <c r="AN45" s="11"/>
      <c r="AO45" s="11"/>
      <c r="AP45" s="11"/>
      <c r="AQ45" s="11"/>
    </row>
    <row r="46" spans="1:43" ht="15" customHeight="1">
      <c r="A46" s="11" t="s">
        <v>776</v>
      </c>
      <c r="B46" s="7" t="s">
        <v>934</v>
      </c>
      <c r="C46" s="7" t="s">
        <v>935</v>
      </c>
      <c r="D46" s="11" t="s">
        <v>143</v>
      </c>
      <c r="E46" s="63" t="s">
        <v>599</v>
      </c>
      <c r="F46" s="11">
        <v>14.932413889999999</v>
      </c>
      <c r="G46" s="11">
        <v>121.043125</v>
      </c>
      <c r="H46" s="11" t="s">
        <v>2224</v>
      </c>
      <c r="I46" s="11">
        <v>2013</v>
      </c>
      <c r="J46" s="11">
        <v>2017</v>
      </c>
      <c r="K46" s="11">
        <v>2018</v>
      </c>
      <c r="L46" s="11">
        <v>2018</v>
      </c>
      <c r="M46" s="82">
        <v>843614.43</v>
      </c>
      <c r="N46" s="378" t="s">
        <v>80</v>
      </c>
      <c r="O46" s="11" t="s">
        <v>22</v>
      </c>
      <c r="P46" s="11"/>
      <c r="Q46" s="11" t="s">
        <v>1982</v>
      </c>
      <c r="R46" s="9" t="s">
        <v>2225</v>
      </c>
      <c r="S46" s="34">
        <v>45881</v>
      </c>
      <c r="T46" s="34">
        <v>45886</v>
      </c>
      <c r="U46" s="34"/>
      <c r="V46" s="34">
        <v>45887</v>
      </c>
      <c r="W46" s="34">
        <v>45888</v>
      </c>
      <c r="X46" s="45">
        <f t="shared" si="4"/>
        <v>3</v>
      </c>
      <c r="Y46" s="45" t="str">
        <f t="shared" si="5"/>
        <v/>
      </c>
      <c r="Z46" s="45">
        <f t="shared" si="6"/>
        <v>1</v>
      </c>
      <c r="AA46" s="45">
        <f t="shared" si="7"/>
        <v>1</v>
      </c>
      <c r="AB46" s="11" t="s">
        <v>150</v>
      </c>
      <c r="AC46" s="7" t="s">
        <v>51</v>
      </c>
      <c r="AD46" s="7" t="s">
        <v>52</v>
      </c>
      <c r="AE46" s="7" t="s">
        <v>52</v>
      </c>
      <c r="AF46" s="7" t="s">
        <v>52</v>
      </c>
      <c r="AG46" s="7" t="s">
        <v>59</v>
      </c>
      <c r="AH46" s="7" t="s">
        <v>52</v>
      </c>
      <c r="AI46" s="7" t="s">
        <v>59</v>
      </c>
      <c r="AJ46" s="7" t="s">
        <v>52</v>
      </c>
      <c r="AK46" s="7" t="s">
        <v>59</v>
      </c>
      <c r="AL46" s="7" t="s">
        <v>52</v>
      </c>
      <c r="AM46" s="7" t="s">
        <v>2132</v>
      </c>
      <c r="AN46" s="11"/>
      <c r="AO46" s="11"/>
      <c r="AP46" s="11"/>
      <c r="AQ46" s="11"/>
    </row>
    <row r="47" spans="1:43" ht="15" customHeight="1">
      <c r="A47" s="11" t="s">
        <v>777</v>
      </c>
      <c r="B47" s="7" t="s">
        <v>914</v>
      </c>
      <c r="C47" s="7" t="s">
        <v>2226</v>
      </c>
      <c r="D47" s="11" t="s">
        <v>143</v>
      </c>
      <c r="E47" s="63" t="s">
        <v>233</v>
      </c>
      <c r="F47" s="11">
        <v>15.27068611</v>
      </c>
      <c r="G47" s="11">
        <v>120.8432</v>
      </c>
      <c r="H47" s="11" t="s">
        <v>2227</v>
      </c>
      <c r="I47" s="11">
        <v>1997</v>
      </c>
      <c r="J47" s="11">
        <v>2016</v>
      </c>
      <c r="K47" s="11">
        <v>2016</v>
      </c>
      <c r="L47" s="11">
        <v>2016</v>
      </c>
      <c r="M47" s="82">
        <v>4197308.76</v>
      </c>
      <c r="N47" s="378" t="s">
        <v>80</v>
      </c>
      <c r="O47" s="11" t="s">
        <v>30</v>
      </c>
      <c r="P47" s="11" t="s">
        <v>28</v>
      </c>
      <c r="Q47" s="11" t="s">
        <v>212</v>
      </c>
      <c r="R47" s="11" t="s">
        <v>2228</v>
      </c>
      <c r="S47" s="34">
        <v>45867</v>
      </c>
      <c r="T47" s="34">
        <v>45872</v>
      </c>
      <c r="U47" s="34">
        <v>45874</v>
      </c>
      <c r="V47" s="34">
        <v>45888</v>
      </c>
      <c r="W47" s="34">
        <v>45888</v>
      </c>
      <c r="X47" s="45">
        <f t="shared" si="4"/>
        <v>3</v>
      </c>
      <c r="Y47" s="45">
        <f t="shared" si="5"/>
        <v>1</v>
      </c>
      <c r="Z47" s="45">
        <f t="shared" si="6"/>
        <v>10</v>
      </c>
      <c r="AA47" s="45">
        <f t="shared" si="7"/>
        <v>1</v>
      </c>
      <c r="AB47" s="11" t="s">
        <v>150</v>
      </c>
      <c r="AC47" s="7" t="s">
        <v>51</v>
      </c>
      <c r="AD47" s="7" t="s">
        <v>52</v>
      </c>
      <c r="AE47" s="7" t="s">
        <v>52</v>
      </c>
      <c r="AF47" s="7" t="s">
        <v>52</v>
      </c>
      <c r="AG47" s="7" t="s">
        <v>52</v>
      </c>
      <c r="AH47" s="7" t="s">
        <v>52</v>
      </c>
      <c r="AI47" s="7" t="s">
        <v>52</v>
      </c>
      <c r="AJ47" s="7" t="s">
        <v>52</v>
      </c>
      <c r="AK47" s="7" t="s">
        <v>52</v>
      </c>
      <c r="AL47" s="7" t="s">
        <v>52</v>
      </c>
      <c r="AM47" s="7" t="s">
        <v>2132</v>
      </c>
      <c r="AN47" s="11"/>
      <c r="AO47" s="11"/>
      <c r="AP47" s="11"/>
      <c r="AQ47" s="11"/>
    </row>
    <row r="48" spans="1:43" ht="15" customHeight="1">
      <c r="A48" s="11" t="s">
        <v>778</v>
      </c>
      <c r="B48" s="7" t="s">
        <v>1441</v>
      </c>
      <c r="C48" s="7" t="s">
        <v>1166</v>
      </c>
      <c r="D48" s="11" t="s">
        <v>143</v>
      </c>
      <c r="E48" s="9" t="s">
        <v>233</v>
      </c>
      <c r="F48" s="11">
        <v>15.003648</v>
      </c>
      <c r="G48" s="11">
        <v>120.697344</v>
      </c>
      <c r="H48" s="11" t="s">
        <v>2229</v>
      </c>
      <c r="I48" s="11">
        <v>2013</v>
      </c>
      <c r="J48" s="11">
        <v>2017</v>
      </c>
      <c r="K48" s="11">
        <v>2016</v>
      </c>
      <c r="L48" s="11">
        <v>2016</v>
      </c>
      <c r="M48" s="82">
        <v>4137180.13</v>
      </c>
      <c r="N48" s="378" t="s">
        <v>80</v>
      </c>
      <c r="O48" s="11" t="s">
        <v>33</v>
      </c>
      <c r="P48" s="11" t="s">
        <v>28</v>
      </c>
      <c r="Q48" s="11" t="s">
        <v>148</v>
      </c>
      <c r="R48" s="11" t="s">
        <v>2230</v>
      </c>
      <c r="S48" s="34">
        <v>45881</v>
      </c>
      <c r="T48" s="34">
        <v>45884</v>
      </c>
      <c r="U48" s="34">
        <v>45884</v>
      </c>
      <c r="V48" s="34">
        <v>45884</v>
      </c>
      <c r="W48" s="34">
        <v>45888</v>
      </c>
      <c r="X48" s="45">
        <f t="shared" si="4"/>
        <v>3</v>
      </c>
      <c r="Y48" s="45">
        <f t="shared" si="5"/>
        <v>1</v>
      </c>
      <c r="Z48" s="45">
        <f t="shared" si="6"/>
        <v>1</v>
      </c>
      <c r="AA48" s="45">
        <f t="shared" si="7"/>
        <v>2</v>
      </c>
      <c r="AB48" s="11" t="s">
        <v>150</v>
      </c>
      <c r="AC48" s="7" t="s">
        <v>51</v>
      </c>
      <c r="AD48" s="7" t="s">
        <v>52</v>
      </c>
      <c r="AE48" s="7" t="s">
        <v>52</v>
      </c>
      <c r="AF48" s="7" t="s">
        <v>52</v>
      </c>
      <c r="AG48" s="7" t="s">
        <v>52</v>
      </c>
      <c r="AH48" s="7" t="s">
        <v>52</v>
      </c>
      <c r="AI48" s="7" t="s">
        <v>52</v>
      </c>
      <c r="AJ48" s="7" t="s">
        <v>52</v>
      </c>
      <c r="AK48" s="7" t="s">
        <v>59</v>
      </c>
      <c r="AL48" s="7" t="s">
        <v>52</v>
      </c>
      <c r="AM48" s="7" t="s">
        <v>2132</v>
      </c>
      <c r="AN48" s="11"/>
      <c r="AO48" s="11"/>
      <c r="AP48" s="11"/>
      <c r="AQ48" s="11"/>
    </row>
    <row r="49" spans="1:43" ht="15" customHeight="1">
      <c r="A49" s="11" t="s">
        <v>779</v>
      </c>
      <c r="B49" s="7" t="s">
        <v>1469</v>
      </c>
      <c r="C49" s="7" t="s">
        <v>1470</v>
      </c>
      <c r="D49" s="11" t="s">
        <v>159</v>
      </c>
      <c r="E49" s="9" t="s">
        <v>160</v>
      </c>
      <c r="F49" s="11">
        <v>15.63233333</v>
      </c>
      <c r="G49" s="11">
        <v>120.3527611</v>
      </c>
      <c r="H49" s="11" t="s">
        <v>2231</v>
      </c>
      <c r="I49" s="11">
        <v>2015</v>
      </c>
      <c r="J49" s="11">
        <v>2017</v>
      </c>
      <c r="K49" s="11">
        <v>2018</v>
      </c>
      <c r="L49" s="11">
        <v>2018</v>
      </c>
      <c r="M49" s="82">
        <v>270750</v>
      </c>
      <c r="N49" s="378" t="s">
        <v>80</v>
      </c>
      <c r="O49" s="11" t="s">
        <v>38</v>
      </c>
      <c r="P49" s="11"/>
      <c r="Q49" s="11" t="s">
        <v>328</v>
      </c>
      <c r="R49" s="11" t="s">
        <v>2232</v>
      </c>
      <c r="S49" s="34">
        <v>45874</v>
      </c>
      <c r="T49" s="34">
        <v>45880</v>
      </c>
      <c r="U49" s="34"/>
      <c r="V49" s="34">
        <v>45881</v>
      </c>
      <c r="W49" s="34">
        <v>45881</v>
      </c>
      <c r="X49" s="45">
        <f t="shared" si="4"/>
        <v>4</v>
      </c>
      <c r="Y49" s="45" t="str">
        <f t="shared" si="5"/>
        <v/>
      </c>
      <c r="Z49" s="45">
        <f t="shared" si="6"/>
        <v>1</v>
      </c>
      <c r="AA49" s="45">
        <f t="shared" si="7"/>
        <v>1</v>
      </c>
      <c r="AB49" s="11" t="s">
        <v>150</v>
      </c>
      <c r="AC49" s="7" t="s">
        <v>65</v>
      </c>
      <c r="AD49" s="7" t="s">
        <v>59</v>
      </c>
      <c r="AE49" s="7" t="s">
        <v>52</v>
      </c>
      <c r="AF49" s="7" t="s">
        <v>59</v>
      </c>
      <c r="AG49" s="7" t="s">
        <v>59</v>
      </c>
      <c r="AH49" s="7" t="s">
        <v>59</v>
      </c>
      <c r="AI49" s="7" t="s">
        <v>59</v>
      </c>
      <c r="AJ49" s="7" t="s">
        <v>52</v>
      </c>
      <c r="AK49" s="7" t="s">
        <v>59</v>
      </c>
      <c r="AL49" s="7" t="s">
        <v>52</v>
      </c>
      <c r="AM49" s="7" t="s">
        <v>2233</v>
      </c>
      <c r="AN49" s="11"/>
      <c r="AO49" s="11"/>
      <c r="AP49" s="10">
        <v>45909</v>
      </c>
      <c r="AQ49" s="11"/>
    </row>
    <row r="50" spans="1:43" ht="15" customHeight="1">
      <c r="A50" s="11" t="s">
        <v>774</v>
      </c>
      <c r="B50" s="7" t="s">
        <v>895</v>
      </c>
      <c r="C50" s="7" t="s">
        <v>905</v>
      </c>
      <c r="D50" s="11" t="s">
        <v>143</v>
      </c>
      <c r="E50" s="63" t="s">
        <v>144</v>
      </c>
      <c r="F50" s="11">
        <v>14.424244</v>
      </c>
      <c r="G50" s="11">
        <v>120.47919899999999</v>
      </c>
      <c r="H50" s="11" t="s">
        <v>2234</v>
      </c>
      <c r="I50" s="11">
        <v>1990</v>
      </c>
      <c r="J50" s="11">
        <v>2015</v>
      </c>
      <c r="K50" s="11">
        <v>2016</v>
      </c>
      <c r="L50" s="11">
        <v>2016</v>
      </c>
      <c r="M50" s="82">
        <v>7067828.4800000004</v>
      </c>
      <c r="N50" s="387" t="s">
        <v>82</v>
      </c>
      <c r="O50" s="11" t="s">
        <v>19</v>
      </c>
      <c r="P50" s="11"/>
      <c r="Q50" s="11" t="s">
        <v>180</v>
      </c>
      <c r="R50" s="11" t="s">
        <v>2235</v>
      </c>
      <c r="S50" s="34">
        <v>45944</v>
      </c>
      <c r="T50" s="34">
        <v>45945</v>
      </c>
      <c r="U50" s="34"/>
      <c r="V50" s="34">
        <v>45945</v>
      </c>
      <c r="W50" s="34">
        <v>45945</v>
      </c>
      <c r="X50" s="45">
        <f t="shared" si="4"/>
        <v>1</v>
      </c>
      <c r="Y50" s="45" t="str">
        <f t="shared" si="5"/>
        <v/>
      </c>
      <c r="Z50" s="45">
        <f t="shared" si="6"/>
        <v>1</v>
      </c>
      <c r="AA50" s="45">
        <f t="shared" si="7"/>
        <v>1</v>
      </c>
      <c r="AB50" s="11" t="s">
        <v>150</v>
      </c>
      <c r="AC50" s="7" t="s">
        <v>51</v>
      </c>
      <c r="AD50" s="7" t="s">
        <v>52</v>
      </c>
      <c r="AE50" s="7" t="s">
        <v>52</v>
      </c>
      <c r="AF50" s="7" t="s">
        <v>52</v>
      </c>
      <c r="AG50" s="7" t="s">
        <v>52</v>
      </c>
      <c r="AH50" s="7" t="s">
        <v>52</v>
      </c>
      <c r="AI50" s="7" t="s">
        <v>52</v>
      </c>
      <c r="AJ50" s="7" t="s">
        <v>52</v>
      </c>
      <c r="AK50" s="7" t="s">
        <v>52</v>
      </c>
      <c r="AL50" s="7" t="s">
        <v>52</v>
      </c>
      <c r="AM50" s="7"/>
      <c r="AN50" s="11"/>
      <c r="AO50" s="11"/>
      <c r="AP50" s="11"/>
      <c r="AQ50" s="11"/>
    </row>
    <row r="51" spans="1:43" ht="15" customHeight="1">
      <c r="A51" s="11" t="s">
        <v>776</v>
      </c>
      <c r="B51" s="7" t="s">
        <v>1151</v>
      </c>
      <c r="C51" s="7" t="s">
        <v>2236</v>
      </c>
      <c r="D51" s="11" t="s">
        <v>143</v>
      </c>
      <c r="E51" s="63" t="s">
        <v>144</v>
      </c>
      <c r="F51" s="11">
        <v>15.13490833</v>
      </c>
      <c r="G51" s="11">
        <v>121.0599028</v>
      </c>
      <c r="H51" s="11" t="s">
        <v>2237</v>
      </c>
      <c r="I51" s="11">
        <v>2017</v>
      </c>
      <c r="J51" s="11">
        <v>2018</v>
      </c>
      <c r="K51" s="11">
        <v>2018</v>
      </c>
      <c r="L51" s="11">
        <v>2018</v>
      </c>
      <c r="M51" s="82">
        <v>427290.43</v>
      </c>
      <c r="N51" s="378" t="s">
        <v>81</v>
      </c>
      <c r="O51" s="11" t="s">
        <v>22</v>
      </c>
      <c r="P51" s="11" t="s">
        <v>1838</v>
      </c>
      <c r="Q51" s="11" t="s">
        <v>1982</v>
      </c>
      <c r="R51" s="11" t="s">
        <v>2238</v>
      </c>
      <c r="S51" s="34">
        <v>45903</v>
      </c>
      <c r="T51" s="34">
        <v>45909</v>
      </c>
      <c r="U51" s="34">
        <v>45909</v>
      </c>
      <c r="V51" s="34">
        <v>45910</v>
      </c>
      <c r="W51" s="34">
        <v>45910</v>
      </c>
      <c r="X51" s="45">
        <f t="shared" si="4"/>
        <v>4</v>
      </c>
      <c r="Y51" s="45">
        <f t="shared" si="5"/>
        <v>1</v>
      </c>
      <c r="Z51" s="45">
        <f t="shared" si="6"/>
        <v>1</v>
      </c>
      <c r="AA51" s="45">
        <f t="shared" si="7"/>
        <v>1</v>
      </c>
      <c r="AB51" s="11" t="s">
        <v>150</v>
      </c>
      <c r="AC51" s="7" t="s">
        <v>51</v>
      </c>
      <c r="AD51" s="7" t="s">
        <v>52</v>
      </c>
      <c r="AE51" s="7" t="s">
        <v>52</v>
      </c>
      <c r="AF51" s="7" t="s">
        <v>52</v>
      </c>
      <c r="AG51" s="7" t="s">
        <v>52</v>
      </c>
      <c r="AH51" s="7" t="s">
        <v>52</v>
      </c>
      <c r="AI51" s="7" t="s">
        <v>52</v>
      </c>
      <c r="AJ51" s="7" t="s">
        <v>52</v>
      </c>
      <c r="AK51" s="7" t="s">
        <v>52</v>
      </c>
      <c r="AL51" s="7" t="s">
        <v>52</v>
      </c>
      <c r="AM51" s="7"/>
      <c r="AN51" s="11"/>
      <c r="AO51" s="11"/>
      <c r="AP51" s="11"/>
      <c r="AQ51" s="11"/>
    </row>
    <row r="52" spans="1:43" ht="15" customHeight="1">
      <c r="A52" s="11" t="s">
        <v>777</v>
      </c>
      <c r="B52" s="7" t="s">
        <v>1169</v>
      </c>
      <c r="C52" s="7" t="s">
        <v>1170</v>
      </c>
      <c r="D52" s="11" t="s">
        <v>143</v>
      </c>
      <c r="E52" s="63" t="s">
        <v>160</v>
      </c>
      <c r="F52" s="11">
        <v>15.479856</v>
      </c>
      <c r="G52" s="11">
        <v>120.818611</v>
      </c>
      <c r="H52" s="11" t="s">
        <v>2239</v>
      </c>
      <c r="I52" s="11">
        <v>2001</v>
      </c>
      <c r="J52" s="11">
        <v>2015</v>
      </c>
      <c r="K52" s="11">
        <v>2017</v>
      </c>
      <c r="L52" s="11">
        <v>2017</v>
      </c>
      <c r="M52" s="82">
        <v>531789.1</v>
      </c>
      <c r="N52" s="378" t="s">
        <v>81</v>
      </c>
      <c r="O52" s="11" t="s">
        <v>27</v>
      </c>
      <c r="P52" s="11" t="s">
        <v>1610</v>
      </c>
      <c r="Q52" s="11" t="s">
        <v>212</v>
      </c>
      <c r="R52" s="11" t="s">
        <v>2240</v>
      </c>
      <c r="S52" s="34">
        <v>45916</v>
      </c>
      <c r="T52" s="34">
        <v>45919</v>
      </c>
      <c r="U52" s="34">
        <v>45919</v>
      </c>
      <c r="V52" s="34">
        <v>45919</v>
      </c>
      <c r="W52" s="34">
        <v>45919</v>
      </c>
      <c r="X52" s="45">
        <f t="shared" si="4"/>
        <v>3</v>
      </c>
      <c r="Y52" s="45">
        <f t="shared" si="5"/>
        <v>1</v>
      </c>
      <c r="Z52" s="45">
        <f t="shared" si="6"/>
        <v>1</v>
      </c>
      <c r="AA52" s="45">
        <f t="shared" si="7"/>
        <v>1</v>
      </c>
      <c r="AB52" s="11" t="s">
        <v>150</v>
      </c>
      <c r="AC52" s="7" t="s">
        <v>51</v>
      </c>
      <c r="AD52" s="7" t="s">
        <v>52</v>
      </c>
      <c r="AE52" s="7" t="s">
        <v>52</v>
      </c>
      <c r="AF52" s="7" t="s">
        <v>52</v>
      </c>
      <c r="AG52" s="7" t="s">
        <v>52</v>
      </c>
      <c r="AH52" s="7" t="s">
        <v>52</v>
      </c>
      <c r="AI52" s="7" t="s">
        <v>52</v>
      </c>
      <c r="AJ52" s="7" t="s">
        <v>52</v>
      </c>
      <c r="AK52" s="7" t="s">
        <v>52</v>
      </c>
      <c r="AL52" s="7" t="s">
        <v>52</v>
      </c>
      <c r="AM52" s="7" t="s">
        <v>2132</v>
      </c>
      <c r="AN52" s="11"/>
      <c r="AO52" s="11"/>
      <c r="AP52" s="11"/>
      <c r="AQ52" s="11"/>
    </row>
    <row r="53" spans="1:43" ht="15" customHeight="1">
      <c r="A53" s="11" t="s">
        <v>777</v>
      </c>
      <c r="B53" s="7" t="s">
        <v>1295</v>
      </c>
      <c r="C53" s="7" t="s">
        <v>2241</v>
      </c>
      <c r="D53" s="11" t="s">
        <v>143</v>
      </c>
      <c r="E53" s="63" t="s">
        <v>160</v>
      </c>
      <c r="F53" s="11">
        <v>15.544650000000001</v>
      </c>
      <c r="G53" s="11">
        <v>120.808993</v>
      </c>
      <c r="H53" s="11" t="s">
        <v>2242</v>
      </c>
      <c r="I53" s="11">
        <v>2016</v>
      </c>
      <c r="J53" s="11">
        <v>2019</v>
      </c>
      <c r="K53" s="11">
        <v>2018</v>
      </c>
      <c r="L53" s="11">
        <v>2018</v>
      </c>
      <c r="M53" s="82">
        <v>785553.37</v>
      </c>
      <c r="N53" s="378" t="s">
        <v>81</v>
      </c>
      <c r="O53" s="11" t="s">
        <v>27</v>
      </c>
      <c r="P53" s="11" t="s">
        <v>1610</v>
      </c>
      <c r="Q53" s="11" t="s">
        <v>212</v>
      </c>
      <c r="R53" s="11" t="s">
        <v>2243</v>
      </c>
      <c r="S53" s="34">
        <v>45916</v>
      </c>
      <c r="T53" s="34">
        <v>45919</v>
      </c>
      <c r="U53" s="34">
        <v>45919</v>
      </c>
      <c r="V53" s="34">
        <v>45919</v>
      </c>
      <c r="W53" s="34">
        <v>45919</v>
      </c>
      <c r="X53" s="45">
        <f t="shared" si="4"/>
        <v>3</v>
      </c>
      <c r="Y53" s="45">
        <f t="shared" si="5"/>
        <v>1</v>
      </c>
      <c r="Z53" s="45">
        <f t="shared" si="6"/>
        <v>1</v>
      </c>
      <c r="AA53" s="45">
        <f t="shared" si="7"/>
        <v>1</v>
      </c>
      <c r="AB53" s="11" t="s">
        <v>150</v>
      </c>
      <c r="AC53" s="7" t="s">
        <v>51</v>
      </c>
      <c r="AD53" s="7" t="s">
        <v>52</v>
      </c>
      <c r="AE53" s="7" t="s">
        <v>52</v>
      </c>
      <c r="AF53" s="7" t="s">
        <v>52</v>
      </c>
      <c r="AG53" s="7" t="s">
        <v>52</v>
      </c>
      <c r="AH53" s="7" t="s">
        <v>52</v>
      </c>
      <c r="AI53" s="7" t="s">
        <v>52</v>
      </c>
      <c r="AJ53" s="7" t="s">
        <v>52</v>
      </c>
      <c r="AK53" s="7" t="s">
        <v>52</v>
      </c>
      <c r="AL53" s="7" t="s">
        <v>52</v>
      </c>
      <c r="AM53" s="7"/>
      <c r="AN53" s="11"/>
      <c r="AO53" s="11"/>
      <c r="AP53" s="11"/>
      <c r="AQ53" s="11"/>
    </row>
    <row r="54" spans="1:43" ht="15" customHeight="1">
      <c r="A54" s="11" t="s">
        <v>777</v>
      </c>
      <c r="B54" s="7" t="s">
        <v>1299</v>
      </c>
      <c r="C54" s="7" t="s">
        <v>1300</v>
      </c>
      <c r="D54" s="11" t="s">
        <v>143</v>
      </c>
      <c r="E54" s="63" t="s">
        <v>185</v>
      </c>
      <c r="F54" s="11">
        <v>15.709440000000001</v>
      </c>
      <c r="G54" s="11">
        <v>121.12451</v>
      </c>
      <c r="H54" s="11" t="s">
        <v>2244</v>
      </c>
      <c r="I54" s="11"/>
      <c r="J54" s="11">
        <v>2018</v>
      </c>
      <c r="K54" s="11">
        <v>2018</v>
      </c>
      <c r="L54" s="11">
        <v>2018</v>
      </c>
      <c r="M54" s="82">
        <v>532877.76</v>
      </c>
      <c r="N54" s="378" t="s">
        <v>81</v>
      </c>
      <c r="O54" s="11" t="s">
        <v>26</v>
      </c>
      <c r="P54" s="11"/>
      <c r="Q54" s="11" t="s">
        <v>212</v>
      </c>
      <c r="R54" s="11" t="s">
        <v>2245</v>
      </c>
      <c r="S54" s="34">
        <v>45910</v>
      </c>
      <c r="T54" s="34">
        <v>45917</v>
      </c>
      <c r="U54" s="34"/>
      <c r="V54" s="34">
        <v>45918</v>
      </c>
      <c r="W54" s="34">
        <v>45918</v>
      </c>
      <c r="X54" s="45">
        <f t="shared" si="4"/>
        <v>5</v>
      </c>
      <c r="Y54" s="45" t="str">
        <f t="shared" si="5"/>
        <v/>
      </c>
      <c r="Z54" s="45">
        <f t="shared" si="6"/>
        <v>1</v>
      </c>
      <c r="AA54" s="45">
        <f t="shared" si="7"/>
        <v>1</v>
      </c>
      <c r="AB54" s="11" t="s">
        <v>150</v>
      </c>
      <c r="AC54" s="7" t="s">
        <v>51</v>
      </c>
      <c r="AD54" s="7" t="s">
        <v>52</v>
      </c>
      <c r="AE54" s="7" t="s">
        <v>52</v>
      </c>
      <c r="AF54" s="7" t="s">
        <v>52</v>
      </c>
      <c r="AG54" s="7" t="s">
        <v>52</v>
      </c>
      <c r="AH54" s="7" t="s">
        <v>52</v>
      </c>
      <c r="AI54" s="7" t="s">
        <v>52</v>
      </c>
      <c r="AJ54" s="7" t="s">
        <v>52</v>
      </c>
      <c r="AK54" s="7" t="s">
        <v>52</v>
      </c>
      <c r="AL54" s="7" t="s">
        <v>52</v>
      </c>
      <c r="AM54" s="7" t="s">
        <v>2246</v>
      </c>
      <c r="AN54" s="11"/>
      <c r="AO54" s="11"/>
      <c r="AP54" s="11"/>
      <c r="AQ54" s="11"/>
    </row>
    <row r="55" spans="1:43" ht="15" customHeight="1">
      <c r="A55" s="11" t="s">
        <v>778</v>
      </c>
      <c r="B55" s="7" t="s">
        <v>1392</v>
      </c>
      <c r="C55" s="7" t="s">
        <v>1166</v>
      </c>
      <c r="D55" s="11" t="s">
        <v>143</v>
      </c>
      <c r="E55" s="63" t="s">
        <v>233</v>
      </c>
      <c r="F55" s="7">
        <v>14.8955</v>
      </c>
      <c r="G55" s="11">
        <v>120.724323</v>
      </c>
      <c r="H55" s="9" t="s">
        <v>2247</v>
      </c>
      <c r="I55" s="11">
        <v>2007</v>
      </c>
      <c r="J55" s="11">
        <v>2017</v>
      </c>
      <c r="K55" s="11">
        <v>2018</v>
      </c>
      <c r="L55" s="11">
        <v>2018</v>
      </c>
      <c r="M55" s="82">
        <v>1291852.33</v>
      </c>
      <c r="N55" s="378" t="s">
        <v>81</v>
      </c>
      <c r="O55" s="11" t="s">
        <v>34</v>
      </c>
      <c r="P55" s="11" t="s">
        <v>28</v>
      </c>
      <c r="Q55" s="11" t="s">
        <v>148</v>
      </c>
      <c r="R55" s="11" t="s">
        <v>2248</v>
      </c>
      <c r="S55" s="34">
        <v>45904</v>
      </c>
      <c r="T55" s="34">
        <v>45916</v>
      </c>
      <c r="U55" s="34">
        <v>45917</v>
      </c>
      <c r="V55" s="34">
        <v>45917</v>
      </c>
      <c r="W55" s="34">
        <v>45918</v>
      </c>
      <c r="X55" s="45">
        <f t="shared" si="4"/>
        <v>8</v>
      </c>
      <c r="Y55" s="45">
        <f t="shared" si="5"/>
        <v>1</v>
      </c>
      <c r="Z55" s="45">
        <f t="shared" si="6"/>
        <v>1</v>
      </c>
      <c r="AA55" s="45">
        <f t="shared" si="7"/>
        <v>1</v>
      </c>
      <c r="AB55" s="11" t="s">
        <v>150</v>
      </c>
      <c r="AC55" s="7" t="s">
        <v>51</v>
      </c>
      <c r="AD55" s="7" t="s">
        <v>59</v>
      </c>
      <c r="AE55" s="7" t="s">
        <v>52</v>
      </c>
      <c r="AF55" s="7" t="s">
        <v>52</v>
      </c>
      <c r="AG55" s="7" t="s">
        <v>52</v>
      </c>
      <c r="AH55" s="7" t="s">
        <v>52</v>
      </c>
      <c r="AI55" s="7" t="s">
        <v>52</v>
      </c>
      <c r="AJ55" s="7" t="s">
        <v>52</v>
      </c>
      <c r="AK55" s="7" t="s">
        <v>52</v>
      </c>
      <c r="AL55" s="7" t="s">
        <v>52</v>
      </c>
      <c r="AM55" s="7" t="s">
        <v>2249</v>
      </c>
      <c r="AN55" s="11"/>
      <c r="AO55" s="11"/>
      <c r="AP55" s="11"/>
      <c r="AQ55" s="11"/>
    </row>
    <row r="56" spans="1:43" ht="15" customHeight="1">
      <c r="E56" s="466"/>
      <c r="M56" s="368"/>
      <c r="N56" s="467"/>
      <c r="S56" s="468"/>
      <c r="T56" s="468"/>
      <c r="U56" s="468"/>
      <c r="V56" s="468"/>
      <c r="W56" s="468"/>
      <c r="X56" s="469"/>
      <c r="Y56" s="469"/>
      <c r="Z56" s="469"/>
      <c r="AA56" s="469"/>
    </row>
    <row r="65" spans="2:13" ht="15" customHeight="1">
      <c r="B65" s="81" t="s">
        <v>1469</v>
      </c>
    </row>
    <row r="66" spans="2:13" ht="15" customHeight="1">
      <c r="M66" s="361"/>
    </row>
    <row r="67" spans="2:13" ht="15" customHeight="1">
      <c r="M67" s="361"/>
    </row>
  </sheetData>
  <autoFilter ref="A1:AQ55" xr:uid="{6600B040-7C18-41BB-B9D4-64798A493DCF}"/>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452AB1DF-FC0F-4790-A7BE-1B2ED284A156}">
          <x14:formula1>
            <xm:f>'Data Validation'!$M$2:$M$5</xm:f>
          </x14:formula1>
          <xm:sqref>AC2:AC56</xm:sqref>
        </x14:dataValidation>
        <x14:dataValidation type="list" allowBlank="1" showInputMessage="1" showErrorMessage="1" xr:uid="{C6E99830-8A9B-4DC8-9953-543DF7631ECB}">
          <x14:formula1>
            <xm:f>'Data Validation'!$N$2:$N$3</xm:f>
          </x14:formula1>
          <xm:sqref>AD2:AL56</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79E6D-B13F-405F-95A7-1A0BDA30A0A0}">
  <sheetPr codeName="Sheet11"/>
  <dimension ref="A1:AM48"/>
  <sheetViews>
    <sheetView workbookViewId="0">
      <pane xSplit="3" ySplit="1" topLeftCell="D2" activePane="bottomRight" state="frozen"/>
      <selection pane="topRight"/>
      <selection pane="bottomLeft"/>
      <selection pane="bottomRight" activeCell="H58" sqref="H58"/>
    </sheetView>
  </sheetViews>
  <sheetFormatPr defaultColWidth="9.140625" defaultRowHeight="15"/>
  <cols>
    <col min="1" max="1" width="16.85546875" style="78" customWidth="1"/>
    <col min="2" max="2" width="20.28515625" style="73" customWidth="1"/>
    <col min="3" max="3" width="28.28515625" style="73" customWidth="1"/>
    <col min="4" max="4" width="21.5703125" style="73" customWidth="1"/>
    <col min="5" max="5" width="12.42578125" style="73" customWidth="1"/>
    <col min="6" max="7" width="13.7109375" style="73" customWidth="1"/>
    <col min="8" max="8" width="25.42578125" style="73" bestFit="1" customWidth="1"/>
    <col min="9" max="9" width="17.85546875" style="73" customWidth="1"/>
    <col min="10" max="12" width="24" style="73" customWidth="1"/>
    <col min="13" max="14" width="17.85546875" style="73" customWidth="1"/>
    <col min="15" max="15" width="23.42578125" style="73" customWidth="1"/>
    <col min="16" max="16" width="24" style="73" customWidth="1"/>
    <col min="17" max="17" width="22" style="73" customWidth="1"/>
    <col min="18" max="18" width="20.28515625" style="73" customWidth="1"/>
    <col min="19" max="23" width="17.140625" style="73" customWidth="1"/>
    <col min="24" max="24" width="30" style="73" bestFit="1" customWidth="1"/>
    <col min="25" max="26" width="11.85546875" style="73" customWidth="1"/>
    <col min="27" max="27" width="23" style="73" customWidth="1"/>
    <col min="28" max="28" width="17.5703125" style="73" customWidth="1"/>
    <col min="29" max="29" width="22.85546875" style="73" customWidth="1"/>
    <col min="30" max="30" width="24.5703125" style="73" customWidth="1"/>
    <col min="31" max="31" width="35.140625" style="73" customWidth="1"/>
    <col min="32" max="39" width="25.7109375" style="73" customWidth="1"/>
    <col min="40" max="16384" width="9.140625" style="73"/>
  </cols>
  <sheetData>
    <row r="1" spans="1:39" ht="57">
      <c r="A1" s="89" t="s">
        <v>85</v>
      </c>
      <c r="B1" s="89" t="s">
        <v>86</v>
      </c>
      <c r="C1" s="89" t="s">
        <v>782</v>
      </c>
      <c r="D1" s="89" t="s">
        <v>88</v>
      </c>
      <c r="E1" s="90" t="s">
        <v>89</v>
      </c>
      <c r="F1" s="90" t="s">
        <v>783</v>
      </c>
      <c r="G1" s="90" t="s">
        <v>784</v>
      </c>
      <c r="H1" s="90" t="s">
        <v>785</v>
      </c>
      <c r="I1" s="91" t="s">
        <v>99</v>
      </c>
      <c r="J1" s="91" t="s">
        <v>100</v>
      </c>
      <c r="K1" s="91" t="s">
        <v>101</v>
      </c>
      <c r="L1" s="91" t="s">
        <v>102</v>
      </c>
      <c r="M1" s="91" t="s">
        <v>103</v>
      </c>
      <c r="N1" s="91" t="s">
        <v>104</v>
      </c>
      <c r="O1" s="91" t="s">
        <v>105</v>
      </c>
      <c r="P1" s="91" t="s">
        <v>106</v>
      </c>
      <c r="Q1" s="91" t="s">
        <v>107</v>
      </c>
      <c r="R1" s="91" t="s">
        <v>108</v>
      </c>
      <c r="S1" s="91" t="s">
        <v>109</v>
      </c>
      <c r="T1" s="91" t="s">
        <v>110</v>
      </c>
      <c r="U1" s="91" t="s">
        <v>111</v>
      </c>
      <c r="V1" s="91" t="s">
        <v>112</v>
      </c>
      <c r="W1" s="92" t="s">
        <v>2250</v>
      </c>
      <c r="X1" s="37" t="s">
        <v>2251</v>
      </c>
      <c r="Y1" s="37" t="s">
        <v>2252</v>
      </c>
      <c r="Z1" s="37" t="s">
        <v>2253</v>
      </c>
      <c r="AA1" s="37" t="s">
        <v>2254</v>
      </c>
      <c r="AB1" s="37" t="s">
        <v>2255</v>
      </c>
      <c r="AC1" s="37" t="s">
        <v>2256</v>
      </c>
      <c r="AD1" s="37" t="s">
        <v>797</v>
      </c>
      <c r="AE1" s="3" t="s">
        <v>118</v>
      </c>
      <c r="AF1" s="3" t="s">
        <v>798</v>
      </c>
      <c r="AG1" s="3" t="s">
        <v>125</v>
      </c>
      <c r="AH1" s="3" t="s">
        <v>799</v>
      </c>
      <c r="AI1" s="3" t="s">
        <v>800</v>
      </c>
      <c r="AJ1" s="3" t="s">
        <v>2257</v>
      </c>
      <c r="AK1" s="3" t="s">
        <v>802</v>
      </c>
      <c r="AL1" s="3" t="s">
        <v>803</v>
      </c>
      <c r="AM1" s="3" t="s">
        <v>804</v>
      </c>
    </row>
    <row r="2" spans="1:39" s="78" customFormat="1" ht="30">
      <c r="A2" s="11" t="s">
        <v>774</v>
      </c>
      <c r="B2" s="11" t="s">
        <v>895</v>
      </c>
      <c r="C2" s="11" t="s">
        <v>1245</v>
      </c>
      <c r="D2" s="11" t="s">
        <v>143</v>
      </c>
      <c r="E2" s="11" t="s">
        <v>144</v>
      </c>
      <c r="F2" s="11">
        <v>14.44980398</v>
      </c>
      <c r="G2" s="11">
        <v>120.50479420000001</v>
      </c>
      <c r="H2" s="11" t="str">
        <f t="shared" ref="H2:H36" si="0">CONCATENATE(F2,","," ",G2)</f>
        <v>14.44980398, 120.5047942</v>
      </c>
      <c r="I2" s="9" t="s">
        <v>78</v>
      </c>
      <c r="J2" s="11" t="s">
        <v>19</v>
      </c>
      <c r="K2" s="11"/>
      <c r="L2" s="11" t="s">
        <v>180</v>
      </c>
      <c r="M2" s="11" t="s">
        <v>2258</v>
      </c>
      <c r="N2" s="34">
        <v>45807</v>
      </c>
      <c r="O2" s="34">
        <v>45810</v>
      </c>
      <c r="P2" s="34"/>
      <c r="Q2" s="34">
        <v>45811</v>
      </c>
      <c r="R2" s="34">
        <v>45812</v>
      </c>
      <c r="S2" s="45">
        <f>IF(
    OR(ISBLANK(N2), ISBLANK(O2)),
    "",
    MAX(1, IF(
        NETWORKDAYS(N2, O2) &lt;= 0,
        1,
        NETWORKDAYS(N2, O2) - IF(N2 = O2, 0, 1)
    ))
)</f>
        <v>1</v>
      </c>
      <c r="T2" s="45" t="str">
        <f>IF(
    OR(ISBLANK(O2), ISBLANK(P2)),
    "",
    MAX(1, IF(
        NETWORKDAYS(O2, P2) &lt;= 0,
        1,
        NETWORKDAYS(O2, P2) - IF(O2 = P2, 0, 1)
    ))
)</f>
        <v/>
      </c>
      <c r="U2" s="45">
        <f>IF(
  OR(A2 = "Nueva_Ecija", A2 = "Zambales"),
  IF(
    OR(ISBLANK(P2), ISBLANK(Q2)),
    "",
    MAX(1, IF(
      NETWORKDAYS(P2, Q2) &lt;= 0,
      1,
      NETWORKDAYS(P2, Q2) - IF(P2 = Q2, 0, 1)
    ))
  ),
  IF(
    OR(ISBLANK(O2), ISBLANK(Q2)),
    "",
    MAX(1, IF(
      NETWORKDAYS(O2, Q2) &lt;= 0,
      1,
      NETWORKDAYS(O2, Q2) - IF(O2 = Q2, 0, 1)
    ))
  )
)</f>
        <v>1</v>
      </c>
      <c r="V2" s="45">
        <f>IF(
    OR(ISBLANK(Q2), ISBLANK(R2)),
    "",
    MAX(1, IF(
        NETWORKDAYS(Q2, R2) &lt;= 0,
        1,
        NETWORKDAYS(Q2, R2) - IF(Q2 = P2, 0, 1)
    ))
)</f>
        <v>1</v>
      </c>
      <c r="W2" s="7" t="s">
        <v>150</v>
      </c>
      <c r="X2" s="11" t="s">
        <v>50</v>
      </c>
      <c r="Y2" s="11" t="s">
        <v>53</v>
      </c>
      <c r="Z2" s="11">
        <v>3</v>
      </c>
      <c r="AA2" s="11" t="s">
        <v>61</v>
      </c>
      <c r="AB2" s="11">
        <v>11.3</v>
      </c>
      <c r="AC2" s="11" t="s">
        <v>2259</v>
      </c>
      <c r="AD2" s="7" t="s">
        <v>182</v>
      </c>
      <c r="AE2" s="11"/>
      <c r="AF2" s="11"/>
      <c r="AG2" s="11"/>
      <c r="AH2" s="11"/>
      <c r="AI2" s="11"/>
      <c r="AJ2" s="11"/>
      <c r="AK2" s="11"/>
      <c r="AL2" s="11"/>
      <c r="AM2" s="11"/>
    </row>
    <row r="3" spans="1:39" s="78" customFormat="1" ht="30">
      <c r="A3" s="11" t="s">
        <v>776</v>
      </c>
      <c r="B3" s="11" t="s">
        <v>1005</v>
      </c>
      <c r="C3" s="11" t="s">
        <v>2260</v>
      </c>
      <c r="D3" s="11" t="s">
        <v>143</v>
      </c>
      <c r="E3" s="63" t="s">
        <v>185</v>
      </c>
      <c r="F3" s="11">
        <v>14.9201</v>
      </c>
      <c r="G3" s="11">
        <v>120.8737</v>
      </c>
      <c r="H3" s="11" t="str">
        <f t="shared" si="0"/>
        <v>14.9201, 120.8737</v>
      </c>
      <c r="I3" s="382" t="s">
        <v>80</v>
      </c>
      <c r="J3" s="11" t="s">
        <v>2261</v>
      </c>
      <c r="K3" s="11"/>
      <c r="L3" s="86" t="s">
        <v>201</v>
      </c>
      <c r="M3" s="455" t="s">
        <v>2262</v>
      </c>
      <c r="N3" s="34">
        <v>45873</v>
      </c>
      <c r="O3" s="34">
        <v>45884</v>
      </c>
      <c r="P3" s="34"/>
      <c r="Q3" s="34">
        <v>45887</v>
      </c>
      <c r="R3" s="34">
        <v>45888</v>
      </c>
      <c r="S3" s="45">
        <f t="shared" ref="S3:S48" si="1">IF(
    OR(ISBLANK(N3), ISBLANK(O3)),
    "",
    MAX(1, IF(
        NETWORKDAYS(N3, O3) &lt;= 0,
        1,
        NETWORKDAYS(N3, O3) - IF(N3 = O3, 0, 1)
    ))
)</f>
        <v>9</v>
      </c>
      <c r="T3" s="45" t="str">
        <f t="shared" ref="T3:T48" si="2">IF(
    OR(ISBLANK(O3), ISBLANK(P3)),
    "",
    MAX(1, IF(
        NETWORKDAYS(O3, P3) &lt;= 0,
        1,
        NETWORKDAYS(O3, P3) - IF(O3 = P3, 0, 1)
    ))
)</f>
        <v/>
      </c>
      <c r="U3" s="45">
        <f>IF(
  OR(A3 = "Nueva_Ecija", A3 = "Zambales"),
  IF(
    OR(ISBLANK(P3), ISBLANK(Q3)),
    "",
    MAX(1, IF(
      NETWORKDAYS(P3, Q3) &lt;= 0,
      1,
      NETWORKDAYS(P3, Q3) - IF(P3 = Q3, 0, 1)
    ))
  ),
  IF(
    OR(ISBLANK(O3), ISBLANK(Q3)),
    "",
    MAX(1, IF(
      NETWORKDAYS(O3, Q3) &lt;= 0,
      1,
      NETWORKDAYS(O3, Q3) - IF(O3 = Q3, 0, 1)
    ))
  )
)</f>
        <v>1</v>
      </c>
      <c r="V3" s="45">
        <f t="shared" ref="V3:V48" si="3">IF(
    OR(ISBLANK(Q3), ISBLANK(R3)),
    "",
    MAX(1, IF(
        NETWORKDAYS(Q3, R3) &lt;= 0,
        1,
        NETWORKDAYS(Q3, R3) - IF(Q3 = P3, 0, 1)
    ))
)</f>
        <v>1</v>
      </c>
      <c r="W3" s="7" t="s">
        <v>150</v>
      </c>
      <c r="X3" s="11" t="s">
        <v>57</v>
      </c>
      <c r="Y3" s="11" t="s">
        <v>53</v>
      </c>
      <c r="Z3" s="11"/>
      <c r="AA3" s="11" t="s">
        <v>61</v>
      </c>
      <c r="AB3" s="11" t="s">
        <v>622</v>
      </c>
      <c r="AC3" s="11" t="s">
        <v>622</v>
      </c>
      <c r="AD3" s="7" t="s">
        <v>2263</v>
      </c>
      <c r="AE3" s="11" t="s">
        <v>2264</v>
      </c>
      <c r="AF3" s="11"/>
      <c r="AG3" s="11"/>
      <c r="AH3" s="11"/>
      <c r="AI3" s="11"/>
      <c r="AJ3" s="11"/>
      <c r="AK3" s="11"/>
      <c r="AL3" s="11"/>
      <c r="AM3" s="11"/>
    </row>
    <row r="4" spans="1:39" s="78" customFormat="1" ht="45">
      <c r="A4" s="104" t="s">
        <v>776</v>
      </c>
      <c r="B4" s="104" t="s">
        <v>1011</v>
      </c>
      <c r="C4" s="104" t="s">
        <v>2265</v>
      </c>
      <c r="D4" s="104" t="s">
        <v>143</v>
      </c>
      <c r="E4" s="63" t="s">
        <v>554</v>
      </c>
      <c r="F4" s="11">
        <v>14.7845</v>
      </c>
      <c r="G4" s="11">
        <v>120.9447</v>
      </c>
      <c r="H4" s="11" t="str">
        <f t="shared" si="0"/>
        <v>14.7845, 120.9447</v>
      </c>
      <c r="I4" s="382" t="s">
        <v>80</v>
      </c>
      <c r="J4" s="11" t="s">
        <v>21</v>
      </c>
      <c r="K4" s="11"/>
      <c r="L4" s="86" t="s">
        <v>201</v>
      </c>
      <c r="M4" s="78" t="s">
        <v>2266</v>
      </c>
      <c r="N4" s="34">
        <v>45856</v>
      </c>
      <c r="O4" s="34">
        <v>45861</v>
      </c>
      <c r="P4" s="34"/>
      <c r="Q4" s="34">
        <v>45869</v>
      </c>
      <c r="R4" s="34">
        <v>45869</v>
      </c>
      <c r="S4" s="45">
        <f t="shared" si="1"/>
        <v>3</v>
      </c>
      <c r="T4" s="45" t="str">
        <f t="shared" si="2"/>
        <v/>
      </c>
      <c r="U4" s="45">
        <f t="shared" ref="U4:U48" si="4">IF(
  OR(A4 = "Nueva_Ecija", A4 = "Zambales"),
  IF(
    OR(ISBLANK(P4), ISBLANK(Q4)),
    "",
    MAX(1, IF(
      NETWORKDAYS(P4, Q4) &lt;= 0,
      1,
      NETWORKDAYS(P4, Q4) - IF(P4 = Q4, 0, 1)
    ))
  ),
  IF(
    OR(ISBLANK(O4), ISBLANK(Q4)),
    "",
    MAX(1, IF(
      NETWORKDAYS(O4, Q4) &lt;= 0,
      1,
      NETWORKDAYS(O4, Q4) - IF(O4 = Q4, 0, 1)
    ))
  )
)</f>
        <v>6</v>
      </c>
      <c r="V4" s="45">
        <f t="shared" si="3"/>
        <v>1</v>
      </c>
      <c r="W4" s="7" t="s">
        <v>150</v>
      </c>
      <c r="X4" s="11" t="s">
        <v>57</v>
      </c>
      <c r="Y4" s="11" t="s">
        <v>53</v>
      </c>
      <c r="Z4" s="11" t="s">
        <v>69</v>
      </c>
      <c r="AA4" s="11" t="s">
        <v>54</v>
      </c>
      <c r="AB4" s="11" t="s">
        <v>808</v>
      </c>
      <c r="AC4" s="11" t="s">
        <v>808</v>
      </c>
      <c r="AD4" s="7" t="s">
        <v>2267</v>
      </c>
      <c r="AE4" s="11" t="s">
        <v>2264</v>
      </c>
      <c r="AF4" s="11" t="s">
        <v>2110</v>
      </c>
      <c r="AG4" s="11"/>
      <c r="AH4" s="11"/>
      <c r="AI4" s="11"/>
      <c r="AJ4" s="11"/>
      <c r="AK4" s="11"/>
      <c r="AL4" s="11"/>
      <c r="AM4" s="11"/>
    </row>
    <row r="5" spans="1:39" s="78" customFormat="1">
      <c r="A5" s="11" t="s">
        <v>776</v>
      </c>
      <c r="B5" s="11" t="s">
        <v>1155</v>
      </c>
      <c r="C5" s="11" t="s">
        <v>2268</v>
      </c>
      <c r="D5" s="11" t="s">
        <v>143</v>
      </c>
      <c r="E5" s="63" t="s">
        <v>144</v>
      </c>
      <c r="F5" s="11">
        <v>14.981164</v>
      </c>
      <c r="G5" s="11">
        <v>120.97458899999999</v>
      </c>
      <c r="H5" s="11" t="str">
        <f t="shared" si="0"/>
        <v>14.981164, 120.974589</v>
      </c>
      <c r="I5" s="382" t="s">
        <v>82</v>
      </c>
      <c r="J5" s="11" t="s">
        <v>22</v>
      </c>
      <c r="K5" s="11" t="s">
        <v>328</v>
      </c>
      <c r="L5" s="86" t="s">
        <v>201</v>
      </c>
      <c r="M5" s="11" t="s">
        <v>2269</v>
      </c>
      <c r="N5" s="34">
        <v>45918</v>
      </c>
      <c r="O5" s="34">
        <v>45918</v>
      </c>
      <c r="P5" s="34">
        <v>45919</v>
      </c>
      <c r="Q5" s="34">
        <v>45919</v>
      </c>
      <c r="R5" s="34">
        <v>45950</v>
      </c>
      <c r="S5" s="45">
        <f t="shared" si="1"/>
        <v>1</v>
      </c>
      <c r="T5" s="45">
        <f t="shared" si="2"/>
        <v>1</v>
      </c>
      <c r="U5" s="45">
        <f t="shared" si="4"/>
        <v>1</v>
      </c>
      <c r="V5" s="45">
        <f t="shared" si="3"/>
        <v>22</v>
      </c>
      <c r="W5" s="11" t="s">
        <v>150</v>
      </c>
      <c r="X5" s="11" t="s">
        <v>50</v>
      </c>
      <c r="Y5" s="11" t="s">
        <v>53</v>
      </c>
      <c r="Z5" s="11">
        <v>3</v>
      </c>
      <c r="AA5" s="11" t="s">
        <v>54</v>
      </c>
      <c r="AB5" s="11"/>
      <c r="AC5" s="11"/>
      <c r="AD5" s="11"/>
      <c r="AE5" s="11" t="s">
        <v>2264</v>
      </c>
      <c r="AF5" s="11"/>
      <c r="AG5" s="11"/>
      <c r="AH5" s="11"/>
      <c r="AI5" s="11"/>
      <c r="AJ5" s="11"/>
      <c r="AK5" s="11"/>
      <c r="AL5" s="11"/>
      <c r="AM5" s="11"/>
    </row>
    <row r="6" spans="1:39" s="78" customFormat="1" ht="30">
      <c r="A6" s="11" t="s">
        <v>776</v>
      </c>
      <c r="B6" s="11" t="s">
        <v>938</v>
      </c>
      <c r="C6" s="11" t="s">
        <v>2270</v>
      </c>
      <c r="D6" s="11" t="s">
        <v>143</v>
      </c>
      <c r="E6" s="63" t="s">
        <v>554</v>
      </c>
      <c r="F6" s="11">
        <v>14.847939</v>
      </c>
      <c r="G6" s="11">
        <v>120.91875</v>
      </c>
      <c r="H6" s="11" t="str">
        <f t="shared" si="0"/>
        <v>14.847939, 120.91875</v>
      </c>
      <c r="I6" s="382" t="s">
        <v>76</v>
      </c>
      <c r="J6" s="11" t="s">
        <v>2271</v>
      </c>
      <c r="K6" s="11" t="s">
        <v>328</v>
      </c>
      <c r="L6" s="86" t="s">
        <v>1982</v>
      </c>
      <c r="M6" s="11" t="s">
        <v>2272</v>
      </c>
      <c r="N6" s="34">
        <v>45777</v>
      </c>
      <c r="O6" s="34">
        <v>45777</v>
      </c>
      <c r="P6" s="34"/>
      <c r="Q6" s="34">
        <v>45782</v>
      </c>
      <c r="R6" s="34">
        <v>45791</v>
      </c>
      <c r="S6" s="45">
        <f t="shared" si="1"/>
        <v>1</v>
      </c>
      <c r="T6" s="45" t="str">
        <f t="shared" si="2"/>
        <v/>
      </c>
      <c r="U6" s="45">
        <f t="shared" si="4"/>
        <v>3</v>
      </c>
      <c r="V6" s="45">
        <f t="shared" si="3"/>
        <v>7</v>
      </c>
      <c r="W6" s="7" t="s">
        <v>150</v>
      </c>
      <c r="X6" s="11" t="s">
        <v>50</v>
      </c>
      <c r="Y6" s="11" t="s">
        <v>60</v>
      </c>
      <c r="Z6" s="11" t="s">
        <v>69</v>
      </c>
      <c r="AA6" s="11" t="s">
        <v>54</v>
      </c>
      <c r="AB6" s="11" t="s">
        <v>2273</v>
      </c>
      <c r="AC6" s="11" t="s">
        <v>1947</v>
      </c>
      <c r="AD6" s="11"/>
      <c r="AE6" s="11"/>
      <c r="AF6" s="11"/>
      <c r="AG6" s="11"/>
      <c r="AH6" s="11"/>
      <c r="AI6" s="11"/>
      <c r="AJ6" s="11"/>
      <c r="AK6" s="11"/>
      <c r="AL6" s="11"/>
      <c r="AM6" s="11"/>
    </row>
    <row r="7" spans="1:39" s="78" customFormat="1" ht="75">
      <c r="A7" s="11" t="s">
        <v>776</v>
      </c>
      <c r="B7" s="11" t="s">
        <v>1141</v>
      </c>
      <c r="C7" s="11" t="s">
        <v>2274</v>
      </c>
      <c r="D7" s="11" t="s">
        <v>143</v>
      </c>
      <c r="E7" s="63" t="s">
        <v>160</v>
      </c>
      <c r="F7" s="11">
        <v>14.899910999999999</v>
      </c>
      <c r="G7" s="11">
        <v>120.866544</v>
      </c>
      <c r="H7" s="11" t="str">
        <f t="shared" si="0"/>
        <v>14.899911, 120.866544</v>
      </c>
      <c r="I7" s="382" t="s">
        <v>2275</v>
      </c>
      <c r="J7" s="11" t="s">
        <v>2271</v>
      </c>
      <c r="K7" s="11"/>
      <c r="L7" s="86" t="s">
        <v>1982</v>
      </c>
      <c r="M7" s="11" t="s">
        <v>2276</v>
      </c>
      <c r="N7" s="34">
        <v>45805</v>
      </c>
      <c r="O7" s="34">
        <v>45806</v>
      </c>
      <c r="P7" s="34"/>
      <c r="Q7" s="34">
        <v>45810</v>
      </c>
      <c r="R7" s="34">
        <v>45810</v>
      </c>
      <c r="S7" s="45">
        <f t="shared" si="1"/>
        <v>1</v>
      </c>
      <c r="T7" s="45" t="str">
        <f t="shared" si="2"/>
        <v/>
      </c>
      <c r="U7" s="45">
        <f t="shared" si="4"/>
        <v>2</v>
      </c>
      <c r="V7" s="45">
        <f t="shared" si="3"/>
        <v>1</v>
      </c>
      <c r="W7" s="7" t="s">
        <v>150</v>
      </c>
      <c r="X7" s="11" t="s">
        <v>50</v>
      </c>
      <c r="Y7" s="11" t="s">
        <v>53</v>
      </c>
      <c r="Z7" s="11"/>
      <c r="AA7" s="11" t="s">
        <v>54</v>
      </c>
      <c r="AB7" s="11" t="s">
        <v>2277</v>
      </c>
      <c r="AC7" s="11" t="s">
        <v>1947</v>
      </c>
      <c r="AD7" s="7" t="s">
        <v>2278</v>
      </c>
      <c r="AE7" s="11"/>
      <c r="AF7" s="11"/>
      <c r="AG7" s="11"/>
      <c r="AH7" s="11"/>
      <c r="AI7" s="11"/>
      <c r="AJ7" s="11"/>
      <c r="AK7" s="11"/>
      <c r="AL7" s="11"/>
      <c r="AM7" s="11"/>
    </row>
    <row r="8" spans="1:39" s="78" customFormat="1" ht="30">
      <c r="A8" s="11" t="s">
        <v>776</v>
      </c>
      <c r="B8" s="11" t="s">
        <v>1063</v>
      </c>
      <c r="C8" s="11" t="s">
        <v>2279</v>
      </c>
      <c r="D8" s="11" t="s">
        <v>143</v>
      </c>
      <c r="E8" s="63" t="s">
        <v>160</v>
      </c>
      <c r="F8" s="11">
        <v>14.85045</v>
      </c>
      <c r="G8" s="11">
        <v>120.764747</v>
      </c>
      <c r="H8" s="11" t="str">
        <f t="shared" si="0"/>
        <v>14.85045, 120.764747</v>
      </c>
      <c r="I8" s="382" t="s">
        <v>75</v>
      </c>
      <c r="J8" s="11" t="s">
        <v>2280</v>
      </c>
      <c r="K8" s="11" t="s">
        <v>328</v>
      </c>
      <c r="L8" s="86" t="s">
        <v>1982</v>
      </c>
      <c r="M8" s="11" t="s">
        <v>2281</v>
      </c>
      <c r="N8" s="34">
        <v>45722</v>
      </c>
      <c r="O8" s="34">
        <v>45726</v>
      </c>
      <c r="P8" s="34">
        <v>45727</v>
      </c>
      <c r="Q8" s="34">
        <v>45727</v>
      </c>
      <c r="R8" s="34">
        <v>45730</v>
      </c>
      <c r="S8" s="45">
        <f t="shared" si="1"/>
        <v>2</v>
      </c>
      <c r="T8" s="45">
        <f t="shared" si="2"/>
        <v>1</v>
      </c>
      <c r="U8" s="45">
        <f t="shared" si="4"/>
        <v>1</v>
      </c>
      <c r="V8" s="45">
        <f t="shared" si="3"/>
        <v>4</v>
      </c>
      <c r="W8" s="7" t="s">
        <v>150</v>
      </c>
      <c r="X8" s="11" t="s">
        <v>50</v>
      </c>
      <c r="Y8" s="11" t="s">
        <v>53</v>
      </c>
      <c r="Z8" s="11">
        <v>1</v>
      </c>
      <c r="AA8" s="11" t="s">
        <v>54</v>
      </c>
      <c r="AB8" s="11" t="s">
        <v>808</v>
      </c>
      <c r="AC8" s="11" t="s">
        <v>1947</v>
      </c>
      <c r="AD8" s="11"/>
      <c r="AE8" s="11"/>
      <c r="AF8" s="11"/>
      <c r="AG8" s="11"/>
      <c r="AH8" s="11"/>
      <c r="AI8" s="11"/>
      <c r="AJ8" s="11"/>
      <c r="AK8" s="11"/>
      <c r="AL8" s="11"/>
      <c r="AM8" s="11"/>
    </row>
    <row r="9" spans="1:39" s="78" customFormat="1" ht="30">
      <c r="A9" s="11" t="s">
        <v>776</v>
      </c>
      <c r="B9" s="11" t="s">
        <v>1028</v>
      </c>
      <c r="C9" s="11" t="s">
        <v>2282</v>
      </c>
      <c r="D9" s="11" t="s">
        <v>143</v>
      </c>
      <c r="E9" s="63" t="s">
        <v>160</v>
      </c>
      <c r="F9" s="11">
        <v>14.900399999999999</v>
      </c>
      <c r="G9" s="11">
        <v>120.7718</v>
      </c>
      <c r="H9" s="11" t="str">
        <f t="shared" si="0"/>
        <v>14.9004, 120.7718</v>
      </c>
      <c r="I9" s="382" t="s">
        <v>74</v>
      </c>
      <c r="J9" s="11" t="s">
        <v>2280</v>
      </c>
      <c r="K9" s="11" t="s">
        <v>328</v>
      </c>
      <c r="L9" s="86" t="s">
        <v>1982</v>
      </c>
      <c r="M9" s="11" t="s">
        <v>2283</v>
      </c>
      <c r="N9" s="34">
        <v>45702</v>
      </c>
      <c r="O9" s="34">
        <v>45705</v>
      </c>
      <c r="P9" s="34">
        <v>45706</v>
      </c>
      <c r="Q9" s="34">
        <v>45706</v>
      </c>
      <c r="R9" s="34">
        <v>45706</v>
      </c>
      <c r="S9" s="45">
        <f t="shared" si="1"/>
        <v>1</v>
      </c>
      <c r="T9" s="45">
        <f t="shared" si="2"/>
        <v>1</v>
      </c>
      <c r="U9" s="45">
        <f t="shared" si="4"/>
        <v>1</v>
      </c>
      <c r="V9" s="45">
        <f t="shared" si="3"/>
        <v>1</v>
      </c>
      <c r="W9" s="7" t="s">
        <v>150</v>
      </c>
      <c r="X9" s="11" t="s">
        <v>50</v>
      </c>
      <c r="Y9" s="11" t="s">
        <v>53</v>
      </c>
      <c r="Z9" s="11" t="s">
        <v>69</v>
      </c>
      <c r="AA9" s="11" t="s">
        <v>54</v>
      </c>
      <c r="AB9" s="11" t="s">
        <v>808</v>
      </c>
      <c r="AC9" s="11" t="s">
        <v>2284</v>
      </c>
      <c r="AD9" s="11" t="s">
        <v>2285</v>
      </c>
      <c r="AE9" s="11"/>
      <c r="AF9" s="11"/>
      <c r="AG9" s="11"/>
      <c r="AH9" s="11"/>
      <c r="AI9" s="11"/>
      <c r="AJ9" s="11"/>
      <c r="AK9" s="11"/>
      <c r="AL9" s="11"/>
      <c r="AM9" s="11"/>
    </row>
    <row r="10" spans="1:39" s="78" customFormat="1" ht="30">
      <c r="A10" s="11" t="s">
        <v>2286</v>
      </c>
      <c r="B10" s="11" t="s">
        <v>2287</v>
      </c>
      <c r="C10" s="11" t="s">
        <v>2288</v>
      </c>
      <c r="D10" s="11" t="s">
        <v>143</v>
      </c>
      <c r="E10" s="63" t="s">
        <v>144</v>
      </c>
      <c r="F10" s="11">
        <v>15.760320999999999</v>
      </c>
      <c r="G10" s="11">
        <v>120.89628399999999</v>
      </c>
      <c r="H10" s="11" t="str">
        <f t="shared" si="0"/>
        <v>15.760321, 120.896284</v>
      </c>
      <c r="I10" s="382" t="s">
        <v>78</v>
      </c>
      <c r="J10" s="11" t="s">
        <v>29</v>
      </c>
      <c r="K10" s="11" t="s">
        <v>2289</v>
      </c>
      <c r="L10" s="94" t="s">
        <v>212</v>
      </c>
      <c r="M10" s="11" t="s">
        <v>2290</v>
      </c>
      <c r="N10" s="34">
        <v>45813</v>
      </c>
      <c r="O10" s="34">
        <v>45825</v>
      </c>
      <c r="P10" s="34">
        <v>45826</v>
      </c>
      <c r="Q10" s="34">
        <v>45826</v>
      </c>
      <c r="R10" s="34">
        <v>45826</v>
      </c>
      <c r="S10" s="45">
        <f t="shared" si="1"/>
        <v>8</v>
      </c>
      <c r="T10" s="45">
        <f t="shared" si="2"/>
        <v>1</v>
      </c>
      <c r="U10" s="45">
        <f t="shared" si="4"/>
        <v>1</v>
      </c>
      <c r="V10" s="45">
        <f t="shared" si="3"/>
        <v>1</v>
      </c>
      <c r="W10" s="7" t="s">
        <v>150</v>
      </c>
      <c r="X10" s="11" t="s">
        <v>50</v>
      </c>
      <c r="Y10" s="11" t="s">
        <v>53</v>
      </c>
      <c r="Z10" s="11">
        <v>6</v>
      </c>
      <c r="AA10" s="11" t="s">
        <v>54</v>
      </c>
      <c r="AB10" s="11" t="s">
        <v>808</v>
      </c>
      <c r="AC10" s="11" t="s">
        <v>2291</v>
      </c>
      <c r="AD10" s="7" t="s">
        <v>2292</v>
      </c>
      <c r="AE10" s="11"/>
      <c r="AF10" s="11"/>
      <c r="AG10" s="11"/>
      <c r="AH10" s="11"/>
      <c r="AI10" s="11"/>
      <c r="AJ10" s="11"/>
      <c r="AK10" s="11"/>
      <c r="AL10" s="11"/>
      <c r="AM10" s="11"/>
    </row>
    <row r="11" spans="1:39" s="78" customFormat="1" ht="30">
      <c r="A11" s="11" t="s">
        <v>2286</v>
      </c>
      <c r="B11" s="11" t="s">
        <v>1176</v>
      </c>
      <c r="C11" s="11" t="s">
        <v>2293</v>
      </c>
      <c r="D11" s="11" t="s">
        <v>143</v>
      </c>
      <c r="E11" s="63" t="s">
        <v>144</v>
      </c>
      <c r="F11" s="11">
        <v>15.488759999999999</v>
      </c>
      <c r="G11" s="11">
        <v>120.992244</v>
      </c>
      <c r="H11" s="11" t="str">
        <f t="shared" si="0"/>
        <v>15.48876, 120.992244</v>
      </c>
      <c r="I11" s="382" t="s">
        <v>76</v>
      </c>
      <c r="J11" s="11" t="s">
        <v>267</v>
      </c>
      <c r="K11" s="11" t="s">
        <v>28</v>
      </c>
      <c r="L11" s="94" t="s">
        <v>212</v>
      </c>
      <c r="M11" s="583" t="s">
        <v>2294</v>
      </c>
      <c r="N11" s="34">
        <v>45757</v>
      </c>
      <c r="O11" s="34">
        <v>45757</v>
      </c>
      <c r="P11" s="34">
        <v>45761</v>
      </c>
      <c r="Q11" s="34">
        <v>45761</v>
      </c>
      <c r="R11" s="34">
        <v>45762</v>
      </c>
      <c r="S11" s="45">
        <f t="shared" si="1"/>
        <v>1</v>
      </c>
      <c r="T11" s="45">
        <f t="shared" si="2"/>
        <v>2</v>
      </c>
      <c r="U11" s="45">
        <f t="shared" si="4"/>
        <v>1</v>
      </c>
      <c r="V11" s="45">
        <f t="shared" si="3"/>
        <v>2</v>
      </c>
      <c r="W11" s="7" t="s">
        <v>150</v>
      </c>
      <c r="X11" s="11" t="s">
        <v>50</v>
      </c>
      <c r="Y11" s="11" t="s">
        <v>53</v>
      </c>
      <c r="Z11" s="11">
        <v>4</v>
      </c>
      <c r="AA11" s="11" t="s">
        <v>54</v>
      </c>
      <c r="AB11" s="11" t="s">
        <v>2295</v>
      </c>
      <c r="AC11" s="11" t="s">
        <v>2296</v>
      </c>
      <c r="AD11" s="11"/>
      <c r="AE11" s="11"/>
      <c r="AF11" s="11"/>
      <c r="AG11" s="11"/>
      <c r="AH11" s="11"/>
      <c r="AI11" s="11"/>
      <c r="AJ11" s="11"/>
      <c r="AK11" s="11"/>
      <c r="AL11" s="11"/>
      <c r="AM11" s="11"/>
    </row>
    <row r="12" spans="1:39" s="78" customFormat="1" ht="30">
      <c r="A12" s="11" t="s">
        <v>2286</v>
      </c>
      <c r="B12" s="11" t="s">
        <v>1266</v>
      </c>
      <c r="C12" s="11" t="s">
        <v>2297</v>
      </c>
      <c r="D12" s="11" t="s">
        <v>143</v>
      </c>
      <c r="E12" s="63" t="s">
        <v>144</v>
      </c>
      <c r="F12" s="11">
        <v>15.547394000000001</v>
      </c>
      <c r="G12" s="11">
        <v>120.752977</v>
      </c>
      <c r="H12" s="11" t="str">
        <f t="shared" si="0"/>
        <v>15.547394, 120.752977</v>
      </c>
      <c r="I12" s="382" t="s">
        <v>76</v>
      </c>
      <c r="J12" s="11" t="s">
        <v>267</v>
      </c>
      <c r="K12" s="11" t="s">
        <v>28</v>
      </c>
      <c r="L12" s="383" t="s">
        <v>212</v>
      </c>
      <c r="M12" s="11" t="s">
        <v>2298</v>
      </c>
      <c r="N12" s="384">
        <v>45750</v>
      </c>
      <c r="O12" s="34">
        <v>45754</v>
      </c>
      <c r="P12" s="34">
        <v>45755</v>
      </c>
      <c r="Q12" s="34">
        <v>45757</v>
      </c>
      <c r="R12" s="34">
        <v>45757</v>
      </c>
      <c r="S12" s="45">
        <f t="shared" si="1"/>
        <v>2</v>
      </c>
      <c r="T12" s="45">
        <f t="shared" si="2"/>
        <v>1</v>
      </c>
      <c r="U12" s="45">
        <f t="shared" si="4"/>
        <v>2</v>
      </c>
      <c r="V12" s="45">
        <f t="shared" si="3"/>
        <v>1</v>
      </c>
      <c r="W12" s="7" t="s">
        <v>150</v>
      </c>
      <c r="X12" s="11" t="s">
        <v>50</v>
      </c>
      <c r="Y12" s="11" t="s">
        <v>60</v>
      </c>
      <c r="Z12" s="11">
        <v>2</v>
      </c>
      <c r="AA12" s="11" t="s">
        <v>54</v>
      </c>
      <c r="AB12" s="11" t="s">
        <v>2299</v>
      </c>
      <c r="AC12" s="11" t="s">
        <v>2300</v>
      </c>
      <c r="AD12" s="11"/>
      <c r="AE12" s="11"/>
      <c r="AF12" s="11"/>
      <c r="AG12" s="11"/>
      <c r="AH12" s="11"/>
      <c r="AI12" s="11"/>
      <c r="AJ12" s="11"/>
      <c r="AK12" s="11"/>
      <c r="AL12" s="11"/>
      <c r="AM12" s="11"/>
    </row>
    <row r="13" spans="1:39" s="78" customFormat="1" ht="45">
      <c r="A13" s="11" t="s">
        <v>2286</v>
      </c>
      <c r="B13" s="11" t="s">
        <v>2301</v>
      </c>
      <c r="C13" s="11" t="s">
        <v>2302</v>
      </c>
      <c r="D13" s="11" t="s">
        <v>143</v>
      </c>
      <c r="E13" s="63" t="s">
        <v>233</v>
      </c>
      <c r="F13" s="11">
        <v>15.606325999999999</v>
      </c>
      <c r="G13" s="11">
        <v>121.11074000000001</v>
      </c>
      <c r="H13" s="11" t="str">
        <f t="shared" si="0"/>
        <v>15.606326, 121.11074</v>
      </c>
      <c r="I13" s="382" t="s">
        <v>75</v>
      </c>
      <c r="J13" s="11" t="s">
        <v>30</v>
      </c>
      <c r="K13" s="11" t="s">
        <v>2289</v>
      </c>
      <c r="L13" s="94" t="s">
        <v>212</v>
      </c>
      <c r="M13" s="11" t="s">
        <v>2303</v>
      </c>
      <c r="N13" s="34">
        <v>45770</v>
      </c>
      <c r="O13" s="34">
        <v>45775</v>
      </c>
      <c r="P13" s="34">
        <v>45782</v>
      </c>
      <c r="Q13" s="34">
        <v>45782</v>
      </c>
      <c r="R13" s="34">
        <v>45791</v>
      </c>
      <c r="S13" s="45">
        <f t="shared" si="1"/>
        <v>3</v>
      </c>
      <c r="T13" s="45">
        <f t="shared" si="2"/>
        <v>5</v>
      </c>
      <c r="U13" s="45">
        <f t="shared" si="4"/>
        <v>1</v>
      </c>
      <c r="V13" s="45">
        <f t="shared" si="3"/>
        <v>8</v>
      </c>
      <c r="W13" s="7" t="s">
        <v>150</v>
      </c>
      <c r="X13" s="11" t="s">
        <v>65</v>
      </c>
      <c r="Y13" s="11" t="s">
        <v>53</v>
      </c>
      <c r="Z13" s="11">
        <v>0</v>
      </c>
      <c r="AA13" s="11" t="s">
        <v>54</v>
      </c>
      <c r="AB13" s="11">
        <v>5</v>
      </c>
      <c r="AC13" s="11" t="s">
        <v>2304</v>
      </c>
      <c r="AD13" s="7" t="s">
        <v>2305</v>
      </c>
      <c r="AE13" s="11" t="s">
        <v>2306</v>
      </c>
      <c r="AF13" s="7" t="s">
        <v>2307</v>
      </c>
      <c r="AG13" s="11"/>
      <c r="AH13" s="11"/>
      <c r="AI13" s="11"/>
      <c r="AJ13" s="11"/>
      <c r="AK13" s="11"/>
      <c r="AL13" s="11"/>
      <c r="AM13" s="11"/>
    </row>
    <row r="14" spans="1:39" s="78" customFormat="1" ht="30">
      <c r="A14" s="11" t="s">
        <v>2286</v>
      </c>
      <c r="B14" s="11" t="s">
        <v>2167</v>
      </c>
      <c r="C14" s="11" t="s">
        <v>2308</v>
      </c>
      <c r="D14" s="11" t="s">
        <v>143</v>
      </c>
      <c r="E14" s="63" t="s">
        <v>233</v>
      </c>
      <c r="F14" s="11">
        <v>15.335882</v>
      </c>
      <c r="G14" s="11">
        <v>121.033826</v>
      </c>
      <c r="H14" s="11" t="str">
        <f t="shared" si="0"/>
        <v>15.335882, 121.033826</v>
      </c>
      <c r="I14" s="382" t="s">
        <v>76</v>
      </c>
      <c r="J14" s="11" t="s">
        <v>30</v>
      </c>
      <c r="K14" s="11" t="s">
        <v>28</v>
      </c>
      <c r="L14" s="94" t="s">
        <v>212</v>
      </c>
      <c r="M14" s="11" t="s">
        <v>2309</v>
      </c>
      <c r="N14" s="34">
        <v>45757</v>
      </c>
      <c r="O14" s="34">
        <v>45759</v>
      </c>
      <c r="P14" s="34">
        <v>45769</v>
      </c>
      <c r="Q14" s="34">
        <v>45769</v>
      </c>
      <c r="R14" s="34">
        <v>45769</v>
      </c>
      <c r="S14" s="45">
        <f t="shared" si="1"/>
        <v>1</v>
      </c>
      <c r="T14" s="45">
        <f t="shared" si="2"/>
        <v>6</v>
      </c>
      <c r="U14" s="45">
        <f t="shared" si="4"/>
        <v>1</v>
      </c>
      <c r="V14" s="45">
        <f t="shared" si="3"/>
        <v>1</v>
      </c>
      <c r="W14" s="7" t="s">
        <v>150</v>
      </c>
      <c r="X14" s="11" t="s">
        <v>50</v>
      </c>
      <c r="Y14" s="11" t="s">
        <v>60</v>
      </c>
      <c r="Z14" s="11">
        <v>2</v>
      </c>
      <c r="AA14" s="11" t="s">
        <v>54</v>
      </c>
      <c r="AB14" s="11" t="s">
        <v>808</v>
      </c>
      <c r="AC14" s="11">
        <v>156</v>
      </c>
      <c r="AD14" s="11"/>
      <c r="AE14" s="11" t="s">
        <v>2306</v>
      </c>
      <c r="AF14" s="7" t="s">
        <v>2307</v>
      </c>
      <c r="AG14" s="11"/>
      <c r="AH14" s="11"/>
      <c r="AI14" s="11"/>
      <c r="AJ14" s="11"/>
      <c r="AK14" s="11"/>
      <c r="AL14" s="11"/>
      <c r="AM14" s="11"/>
    </row>
    <row r="15" spans="1:39" s="78" customFormat="1">
      <c r="A15" s="11" t="s">
        <v>2286</v>
      </c>
      <c r="B15" s="11" t="s">
        <v>1169</v>
      </c>
      <c r="C15" s="11" t="s">
        <v>2310</v>
      </c>
      <c r="D15" s="11" t="s">
        <v>143</v>
      </c>
      <c r="E15" s="63" t="s">
        <v>160</v>
      </c>
      <c r="F15" s="11">
        <v>15.479739</v>
      </c>
      <c r="G15" s="11">
        <v>120.818794</v>
      </c>
      <c r="H15" s="11" t="str">
        <f t="shared" si="0"/>
        <v>15.479739, 120.818794</v>
      </c>
      <c r="I15" s="382" t="s">
        <v>81</v>
      </c>
      <c r="J15" s="11" t="s">
        <v>27</v>
      </c>
      <c r="K15" s="11" t="s">
        <v>328</v>
      </c>
      <c r="L15" s="94" t="s">
        <v>212</v>
      </c>
      <c r="M15" s="723" t="s">
        <v>2311</v>
      </c>
      <c r="N15" s="386">
        <v>45954</v>
      </c>
      <c r="O15" s="34">
        <v>45954</v>
      </c>
      <c r="P15" s="34">
        <v>45980</v>
      </c>
      <c r="Q15" s="34">
        <v>45980</v>
      </c>
      <c r="R15" s="34">
        <v>45986</v>
      </c>
      <c r="S15" s="45">
        <f t="shared" si="1"/>
        <v>1</v>
      </c>
      <c r="T15" s="45">
        <f t="shared" si="2"/>
        <v>18</v>
      </c>
      <c r="U15" s="45">
        <f t="shared" si="4"/>
        <v>1</v>
      </c>
      <c r="V15" s="45">
        <f t="shared" si="3"/>
        <v>5</v>
      </c>
      <c r="W15" s="11" t="s">
        <v>150</v>
      </c>
      <c r="X15" s="11" t="s">
        <v>50</v>
      </c>
      <c r="Y15" s="11"/>
      <c r="Z15" s="11"/>
      <c r="AA15" s="11" t="s">
        <v>54</v>
      </c>
      <c r="AB15" s="11"/>
      <c r="AC15" s="11"/>
      <c r="AD15" s="11"/>
      <c r="AE15" s="11"/>
      <c r="AF15" s="11"/>
      <c r="AG15" s="11"/>
      <c r="AH15" s="11"/>
      <c r="AI15" s="11"/>
      <c r="AJ15" s="11"/>
      <c r="AK15" s="11"/>
      <c r="AL15" s="11"/>
      <c r="AM15" s="11"/>
    </row>
    <row r="16" spans="1:39" s="78" customFormat="1" ht="30">
      <c r="A16" s="11" t="s">
        <v>2286</v>
      </c>
      <c r="B16" s="11" t="s">
        <v>1262</v>
      </c>
      <c r="C16" s="11" t="s">
        <v>2312</v>
      </c>
      <c r="D16" s="11" t="s">
        <v>143</v>
      </c>
      <c r="E16" s="63" t="s">
        <v>233</v>
      </c>
      <c r="F16" s="11">
        <v>15.539531999999999</v>
      </c>
      <c r="G16" s="11">
        <v>121.154946</v>
      </c>
      <c r="H16" s="11" t="str">
        <f t="shared" si="0"/>
        <v>15.539532, 121.154946</v>
      </c>
      <c r="I16" s="382" t="s">
        <v>77</v>
      </c>
      <c r="J16" s="11" t="s">
        <v>30</v>
      </c>
      <c r="K16" s="11" t="s">
        <v>28</v>
      </c>
      <c r="L16" s="94" t="s">
        <v>212</v>
      </c>
      <c r="M16" s="11" t="s">
        <v>2313</v>
      </c>
      <c r="N16" s="34">
        <v>45762</v>
      </c>
      <c r="O16" s="34">
        <v>45782</v>
      </c>
      <c r="P16" s="34">
        <v>45783</v>
      </c>
      <c r="Q16" s="34">
        <v>45790</v>
      </c>
      <c r="R16" s="34">
        <v>45792</v>
      </c>
      <c r="S16" s="45">
        <f t="shared" si="1"/>
        <v>14</v>
      </c>
      <c r="T16" s="45">
        <f t="shared" si="2"/>
        <v>1</v>
      </c>
      <c r="U16" s="45">
        <f t="shared" si="4"/>
        <v>5</v>
      </c>
      <c r="V16" s="45">
        <f t="shared" si="3"/>
        <v>2</v>
      </c>
      <c r="W16" s="7" t="s">
        <v>150</v>
      </c>
      <c r="X16" s="11" t="s">
        <v>65</v>
      </c>
      <c r="Y16" s="11" t="s">
        <v>53</v>
      </c>
      <c r="Z16" s="11">
        <v>0</v>
      </c>
      <c r="AA16" s="11" t="s">
        <v>54</v>
      </c>
      <c r="AB16" s="11">
        <v>1</v>
      </c>
      <c r="AC16" s="11" t="s">
        <v>2314</v>
      </c>
      <c r="AD16" s="11"/>
      <c r="AE16" s="11" t="s">
        <v>2306</v>
      </c>
      <c r="AF16" s="11"/>
      <c r="AG16" s="11"/>
      <c r="AH16" s="11"/>
      <c r="AI16" s="11"/>
      <c r="AJ16" s="11"/>
      <c r="AK16" s="11"/>
      <c r="AL16" s="11"/>
      <c r="AM16" s="11"/>
    </row>
    <row r="17" spans="1:39" s="78" customFormat="1" ht="30">
      <c r="A17" s="11" t="s">
        <v>2286</v>
      </c>
      <c r="B17" s="11" t="s">
        <v>1184</v>
      </c>
      <c r="C17" s="11" t="s">
        <v>2315</v>
      </c>
      <c r="D17" s="11" t="s">
        <v>143</v>
      </c>
      <c r="E17" s="63" t="s">
        <v>233</v>
      </c>
      <c r="F17" s="11">
        <v>15.205795</v>
      </c>
      <c r="G17" s="11">
        <v>120.836612</v>
      </c>
      <c r="H17" s="11" t="str">
        <f t="shared" si="0"/>
        <v>15.205795, 120.836612</v>
      </c>
      <c r="I17" s="382" t="s">
        <v>79</v>
      </c>
      <c r="J17" s="11" t="s">
        <v>30</v>
      </c>
      <c r="K17" s="11" t="s">
        <v>28</v>
      </c>
      <c r="L17" s="94" t="s">
        <v>212</v>
      </c>
      <c r="M17" s="11" t="s">
        <v>2316</v>
      </c>
      <c r="N17" s="34">
        <v>45839</v>
      </c>
      <c r="O17" s="34">
        <v>45844</v>
      </c>
      <c r="P17" s="34">
        <v>45847</v>
      </c>
      <c r="Q17" s="34">
        <v>45855</v>
      </c>
      <c r="R17" s="34">
        <v>45856</v>
      </c>
      <c r="S17" s="45">
        <f t="shared" si="1"/>
        <v>3</v>
      </c>
      <c r="T17" s="45">
        <f t="shared" si="2"/>
        <v>2</v>
      </c>
      <c r="U17" s="45">
        <f t="shared" si="4"/>
        <v>6</v>
      </c>
      <c r="V17" s="45">
        <f t="shared" si="3"/>
        <v>1</v>
      </c>
      <c r="W17" s="7" t="s">
        <v>150</v>
      </c>
      <c r="X17" s="11" t="s">
        <v>50</v>
      </c>
      <c r="Y17" s="11" t="s">
        <v>53</v>
      </c>
      <c r="Z17" s="11">
        <v>0</v>
      </c>
      <c r="AA17" s="11" t="s">
        <v>54</v>
      </c>
      <c r="AB17" s="11" t="s">
        <v>808</v>
      </c>
      <c r="AC17" s="11">
        <v>60.7</v>
      </c>
      <c r="AD17" s="11" t="s">
        <v>2110</v>
      </c>
      <c r="AE17" s="11"/>
      <c r="AF17" s="11"/>
      <c r="AG17" s="11"/>
      <c r="AH17" s="11"/>
      <c r="AI17" s="11"/>
      <c r="AJ17" s="11"/>
      <c r="AK17" s="11"/>
      <c r="AL17" s="11"/>
      <c r="AM17" s="11"/>
    </row>
    <row r="18" spans="1:39" s="78" customFormat="1">
      <c r="A18" s="11" t="s">
        <v>2286</v>
      </c>
      <c r="B18" s="11" t="s">
        <v>2317</v>
      </c>
      <c r="C18" s="11" t="s">
        <v>2318</v>
      </c>
      <c r="D18" s="11" t="s">
        <v>143</v>
      </c>
      <c r="E18" s="63" t="s">
        <v>185</v>
      </c>
      <c r="F18" s="11">
        <v>15.955719999999999</v>
      </c>
      <c r="G18" s="11">
        <v>121.07883</v>
      </c>
      <c r="H18" s="11" t="str">
        <f t="shared" si="0"/>
        <v>15.95572, 121.07883</v>
      </c>
      <c r="I18" s="382" t="s">
        <v>81</v>
      </c>
      <c r="J18" s="11" t="s">
        <v>29</v>
      </c>
      <c r="K18" s="11" t="s">
        <v>1610</v>
      </c>
      <c r="L18" s="94" t="s">
        <v>212</v>
      </c>
      <c r="M18" s="11" t="s">
        <v>2319</v>
      </c>
      <c r="N18" s="34">
        <v>45904</v>
      </c>
      <c r="O18" s="34">
        <v>45914</v>
      </c>
      <c r="P18" s="34">
        <v>45916</v>
      </c>
      <c r="Q18" s="34">
        <v>45916</v>
      </c>
      <c r="R18" s="34">
        <v>45918</v>
      </c>
      <c r="S18" s="45">
        <f t="shared" si="1"/>
        <v>6</v>
      </c>
      <c r="T18" s="45">
        <f t="shared" si="2"/>
        <v>1</v>
      </c>
      <c r="U18" s="45">
        <f t="shared" si="4"/>
        <v>1</v>
      </c>
      <c r="V18" s="45">
        <f t="shared" si="3"/>
        <v>3</v>
      </c>
      <c r="W18" s="11" t="s">
        <v>150</v>
      </c>
      <c r="X18" s="11" t="s">
        <v>50</v>
      </c>
      <c r="Y18" s="11" t="s">
        <v>53</v>
      </c>
      <c r="Z18" s="11">
        <v>3</v>
      </c>
      <c r="AA18" s="11" t="s">
        <v>54</v>
      </c>
      <c r="AB18" s="11"/>
      <c r="AC18" s="11" t="s">
        <v>2320</v>
      </c>
      <c r="AD18" s="11" t="s">
        <v>2321</v>
      </c>
      <c r="AE18" s="11" t="s">
        <v>612</v>
      </c>
      <c r="AF18" s="11"/>
      <c r="AG18" s="11"/>
      <c r="AH18" s="11"/>
      <c r="AI18" s="11"/>
      <c r="AJ18" s="11"/>
      <c r="AK18" s="11"/>
      <c r="AL18" s="11"/>
      <c r="AM18" s="11"/>
    </row>
    <row r="19" spans="1:39" s="78" customFormat="1" ht="90">
      <c r="A19" s="11" t="s">
        <v>2286</v>
      </c>
      <c r="B19" s="11" t="s">
        <v>1274</v>
      </c>
      <c r="C19" s="11" t="s">
        <v>2322</v>
      </c>
      <c r="D19" s="11" t="s">
        <v>143</v>
      </c>
      <c r="E19" s="63" t="s">
        <v>185</v>
      </c>
      <c r="F19" s="11">
        <v>15.900675</v>
      </c>
      <c r="G19" s="11">
        <v>120.913704</v>
      </c>
      <c r="H19" s="11" t="str">
        <f t="shared" si="0"/>
        <v>15.900675, 120.913704</v>
      </c>
      <c r="I19" s="9" t="s">
        <v>77</v>
      </c>
      <c r="J19" s="11" t="s">
        <v>26</v>
      </c>
      <c r="K19" s="11" t="s">
        <v>2289</v>
      </c>
      <c r="L19" s="94" t="s">
        <v>212</v>
      </c>
      <c r="M19" s="11" t="s">
        <v>2323</v>
      </c>
      <c r="N19" s="34">
        <v>45772</v>
      </c>
      <c r="O19" s="34">
        <v>45778</v>
      </c>
      <c r="P19" s="34">
        <v>45779</v>
      </c>
      <c r="Q19" s="34">
        <v>45779</v>
      </c>
      <c r="R19" s="34">
        <v>45791</v>
      </c>
      <c r="S19" s="45">
        <f t="shared" si="1"/>
        <v>4</v>
      </c>
      <c r="T19" s="45">
        <f t="shared" si="2"/>
        <v>1</v>
      </c>
      <c r="U19" s="45">
        <f t="shared" si="4"/>
        <v>1</v>
      </c>
      <c r="V19" s="45">
        <f t="shared" si="3"/>
        <v>9</v>
      </c>
      <c r="W19" s="7" t="s">
        <v>150</v>
      </c>
      <c r="X19" s="11" t="s">
        <v>50</v>
      </c>
      <c r="Y19" s="11" t="s">
        <v>53</v>
      </c>
      <c r="Z19" s="11">
        <v>2</v>
      </c>
      <c r="AA19" s="11" t="s">
        <v>54</v>
      </c>
      <c r="AB19" s="11">
        <v>3.1840000000000002</v>
      </c>
      <c r="AC19" s="11" t="s">
        <v>2324</v>
      </c>
      <c r="AD19" s="7" t="s">
        <v>2325</v>
      </c>
      <c r="AE19" s="11"/>
      <c r="AF19" s="11"/>
      <c r="AG19" s="11"/>
      <c r="AH19" s="11"/>
      <c r="AI19" s="11"/>
      <c r="AJ19" s="11"/>
      <c r="AK19" s="11"/>
      <c r="AL19" s="11"/>
      <c r="AM19" s="11"/>
    </row>
    <row r="20" spans="1:39" s="78" customFormat="1" ht="30">
      <c r="A20" s="11" t="s">
        <v>2286</v>
      </c>
      <c r="B20" s="11" t="s">
        <v>2326</v>
      </c>
      <c r="C20" s="11" t="s">
        <v>2327</v>
      </c>
      <c r="D20" s="11" t="s">
        <v>143</v>
      </c>
      <c r="E20" s="63" t="s">
        <v>144</v>
      </c>
      <c r="F20" s="11">
        <v>15.352080000000001</v>
      </c>
      <c r="G20" s="11">
        <v>120.902</v>
      </c>
      <c r="H20" s="11" t="str">
        <f t="shared" si="0"/>
        <v>15.35208, 120.902</v>
      </c>
      <c r="I20" s="382" t="s">
        <v>79</v>
      </c>
      <c r="J20" s="11" t="s">
        <v>26</v>
      </c>
      <c r="K20" s="11" t="s">
        <v>1610</v>
      </c>
      <c r="L20" s="94" t="s">
        <v>212</v>
      </c>
      <c r="M20" s="11" t="s">
        <v>2328</v>
      </c>
      <c r="N20" s="34">
        <v>45849</v>
      </c>
      <c r="O20" s="34">
        <v>45852</v>
      </c>
      <c r="P20" s="34">
        <v>45853</v>
      </c>
      <c r="Q20" s="34">
        <v>45855</v>
      </c>
      <c r="R20" s="34">
        <v>45855</v>
      </c>
      <c r="S20" s="45">
        <f t="shared" si="1"/>
        <v>1</v>
      </c>
      <c r="T20" s="45">
        <f t="shared" si="2"/>
        <v>1</v>
      </c>
      <c r="U20" s="45">
        <f t="shared" si="4"/>
        <v>2</v>
      </c>
      <c r="V20" s="45">
        <f t="shared" si="3"/>
        <v>1</v>
      </c>
      <c r="W20" s="7" t="s">
        <v>150</v>
      </c>
      <c r="X20" s="11" t="s">
        <v>50</v>
      </c>
      <c r="Y20" s="11" t="s">
        <v>53</v>
      </c>
      <c r="Z20" s="11">
        <v>2</v>
      </c>
      <c r="AA20" s="11" t="s">
        <v>54</v>
      </c>
      <c r="AB20" s="11" t="s">
        <v>808</v>
      </c>
      <c r="AC20" s="11" t="s">
        <v>2329</v>
      </c>
      <c r="AD20" s="11" t="s">
        <v>612</v>
      </c>
      <c r="AE20" s="11"/>
      <c r="AF20" s="11"/>
      <c r="AG20" s="11"/>
      <c r="AH20" s="11"/>
      <c r="AI20" s="11"/>
      <c r="AJ20" s="11"/>
      <c r="AK20" s="11"/>
      <c r="AL20" s="11"/>
      <c r="AM20" s="11"/>
    </row>
    <row r="21" spans="1:39" s="78" customFormat="1" ht="30">
      <c r="A21" s="11" t="s">
        <v>2286</v>
      </c>
      <c r="B21" s="11" t="s">
        <v>1282</v>
      </c>
      <c r="C21" s="11" t="s">
        <v>2330</v>
      </c>
      <c r="D21" s="11" t="s">
        <v>143</v>
      </c>
      <c r="E21" s="63" t="s">
        <v>144</v>
      </c>
      <c r="F21" s="11">
        <v>15.562658000000001</v>
      </c>
      <c r="G21" s="11">
        <v>121.09813800000001</v>
      </c>
      <c r="H21" s="11" t="str">
        <f t="shared" si="0"/>
        <v>15.562658, 121.098138</v>
      </c>
      <c r="I21" s="382" t="s">
        <v>76</v>
      </c>
      <c r="J21" s="11" t="s">
        <v>26</v>
      </c>
      <c r="K21" s="11" t="s">
        <v>2289</v>
      </c>
      <c r="L21" s="94" t="s">
        <v>212</v>
      </c>
      <c r="M21" s="11" t="s">
        <v>2331</v>
      </c>
      <c r="N21" s="34">
        <v>45744</v>
      </c>
      <c r="O21" s="34">
        <v>45757</v>
      </c>
      <c r="P21" s="34">
        <v>45762</v>
      </c>
      <c r="Q21" s="34">
        <v>45762</v>
      </c>
      <c r="R21" s="34">
        <v>45762</v>
      </c>
      <c r="S21" s="45">
        <f t="shared" si="1"/>
        <v>9</v>
      </c>
      <c r="T21" s="45">
        <f t="shared" si="2"/>
        <v>3</v>
      </c>
      <c r="U21" s="45">
        <f t="shared" si="4"/>
        <v>1</v>
      </c>
      <c r="V21" s="45">
        <f t="shared" si="3"/>
        <v>1</v>
      </c>
      <c r="W21" s="7" t="s">
        <v>150</v>
      </c>
      <c r="X21" s="11" t="s">
        <v>50</v>
      </c>
      <c r="Y21" s="11" t="s">
        <v>60</v>
      </c>
      <c r="Z21" s="11">
        <v>7</v>
      </c>
      <c r="AA21" s="11" t="s">
        <v>54</v>
      </c>
      <c r="AB21" s="11">
        <v>16.588000000000001</v>
      </c>
      <c r="AC21" s="11" t="s">
        <v>2332</v>
      </c>
      <c r="AD21" s="7" t="s">
        <v>2292</v>
      </c>
      <c r="AE21" s="11"/>
      <c r="AF21" s="11"/>
      <c r="AG21" s="11"/>
      <c r="AH21" s="11"/>
      <c r="AI21" s="11"/>
      <c r="AJ21" s="11"/>
      <c r="AK21" s="11"/>
      <c r="AL21" s="11"/>
      <c r="AM21" s="11"/>
    </row>
    <row r="22" spans="1:39" s="78" customFormat="1">
      <c r="A22" s="11" t="s">
        <v>2286</v>
      </c>
      <c r="B22" s="11" t="s">
        <v>1269</v>
      </c>
      <c r="C22" s="11" t="s">
        <v>2333</v>
      </c>
      <c r="D22" s="11" t="s">
        <v>143</v>
      </c>
      <c r="E22" s="63" t="s">
        <v>160</v>
      </c>
      <c r="F22" s="11">
        <v>15.547219999999999</v>
      </c>
      <c r="G22" s="11">
        <v>120.75306</v>
      </c>
      <c r="H22" s="11" t="str">
        <f t="shared" si="0"/>
        <v>15.54722, 120.75306</v>
      </c>
      <c r="I22" s="382" t="s">
        <v>80</v>
      </c>
      <c r="J22" s="11" t="s">
        <v>27</v>
      </c>
      <c r="K22" s="11" t="s">
        <v>1610</v>
      </c>
      <c r="L22" s="94" t="s">
        <v>212</v>
      </c>
      <c r="M22" s="11" t="s">
        <v>2334</v>
      </c>
      <c r="N22" s="34">
        <v>45876</v>
      </c>
      <c r="O22" s="34">
        <v>45888</v>
      </c>
      <c r="P22" s="34">
        <v>45888</v>
      </c>
      <c r="Q22" s="34">
        <v>45888</v>
      </c>
      <c r="R22" s="34">
        <v>45888</v>
      </c>
      <c r="S22" s="45">
        <f t="shared" si="1"/>
        <v>8</v>
      </c>
      <c r="T22" s="45">
        <f t="shared" si="2"/>
        <v>1</v>
      </c>
      <c r="U22" s="45">
        <f t="shared" si="4"/>
        <v>1</v>
      </c>
      <c r="V22" s="45">
        <f t="shared" si="3"/>
        <v>1</v>
      </c>
      <c r="W22" s="11" t="s">
        <v>150</v>
      </c>
      <c r="X22" s="11" t="s">
        <v>50</v>
      </c>
      <c r="Y22" s="11" t="s">
        <v>53</v>
      </c>
      <c r="Z22" s="11"/>
      <c r="AA22" s="11" t="s">
        <v>54</v>
      </c>
      <c r="AB22" s="11"/>
      <c r="AC22" s="11"/>
      <c r="AD22" s="11"/>
      <c r="AE22" s="11"/>
      <c r="AF22" s="11"/>
      <c r="AG22" s="11"/>
      <c r="AH22" s="11"/>
      <c r="AI22" s="11"/>
      <c r="AJ22" s="11"/>
      <c r="AK22" s="11"/>
      <c r="AL22" s="11"/>
      <c r="AM22" s="11"/>
    </row>
    <row r="23" spans="1:39" s="78" customFormat="1" ht="30">
      <c r="A23" s="11" t="s">
        <v>2286</v>
      </c>
      <c r="B23" s="11" t="s">
        <v>1285</v>
      </c>
      <c r="C23" s="11" t="s">
        <v>2335</v>
      </c>
      <c r="D23" s="11" t="s">
        <v>143</v>
      </c>
      <c r="E23" s="63" t="s">
        <v>185</v>
      </c>
      <c r="F23" s="11">
        <v>15.807846</v>
      </c>
      <c r="G23" s="11">
        <v>121.14191099999999</v>
      </c>
      <c r="H23" s="11" t="str">
        <f t="shared" si="0"/>
        <v>15.807846, 121.141911</v>
      </c>
      <c r="I23" s="382" t="s">
        <v>78</v>
      </c>
      <c r="J23" s="11" t="s">
        <v>26</v>
      </c>
      <c r="K23" s="11" t="s">
        <v>2289</v>
      </c>
      <c r="L23" s="94" t="s">
        <v>212</v>
      </c>
      <c r="M23" s="11" t="s">
        <v>2336</v>
      </c>
      <c r="N23" s="34">
        <v>45807</v>
      </c>
      <c r="O23" s="34">
        <v>45824</v>
      </c>
      <c r="P23" s="34">
        <v>45825</v>
      </c>
      <c r="Q23" s="34">
        <v>45825</v>
      </c>
      <c r="R23" s="34">
        <v>45825</v>
      </c>
      <c r="S23" s="45">
        <f t="shared" si="1"/>
        <v>11</v>
      </c>
      <c r="T23" s="45">
        <f t="shared" si="2"/>
        <v>1</v>
      </c>
      <c r="U23" s="45">
        <f t="shared" si="4"/>
        <v>1</v>
      </c>
      <c r="V23" s="45">
        <f t="shared" si="3"/>
        <v>1</v>
      </c>
      <c r="W23" s="7" t="s">
        <v>150</v>
      </c>
      <c r="X23" s="11" t="s">
        <v>50</v>
      </c>
      <c r="Y23" s="11" t="s">
        <v>53</v>
      </c>
      <c r="Z23" s="11">
        <v>4</v>
      </c>
      <c r="AA23" s="11" t="s">
        <v>54</v>
      </c>
      <c r="AB23" s="11">
        <v>8.26</v>
      </c>
      <c r="AC23" s="11" t="s">
        <v>2337</v>
      </c>
      <c r="AD23" s="7" t="s">
        <v>2292</v>
      </c>
      <c r="AE23" s="11" t="s">
        <v>2264</v>
      </c>
      <c r="AF23" s="11"/>
      <c r="AG23" s="11"/>
      <c r="AH23" s="11"/>
      <c r="AI23" s="11"/>
      <c r="AJ23" s="11"/>
      <c r="AK23" s="11"/>
      <c r="AL23" s="11"/>
      <c r="AM23" s="11"/>
    </row>
    <row r="24" spans="1:39" s="78" customFormat="1" ht="105">
      <c r="A24" s="11" t="s">
        <v>2286</v>
      </c>
      <c r="B24" s="11" t="s">
        <v>1120</v>
      </c>
      <c r="C24" s="690" t="s">
        <v>2338</v>
      </c>
      <c r="D24" s="11" t="s">
        <v>159</v>
      </c>
      <c r="E24" s="63"/>
      <c r="F24" s="11" t="s">
        <v>2339</v>
      </c>
      <c r="G24" s="11" t="s">
        <v>2340</v>
      </c>
      <c r="H24" s="11" t="str">
        <f t="shared" si="0"/>
        <v>15.7353N, 120.6329E</v>
      </c>
      <c r="I24" s="382" t="s">
        <v>83</v>
      </c>
      <c r="J24" s="11"/>
      <c r="K24" s="11"/>
      <c r="L24" s="94"/>
      <c r="M24" s="11" t="s">
        <v>2341</v>
      </c>
      <c r="N24" s="34">
        <v>45965</v>
      </c>
      <c r="O24" s="34">
        <v>45980</v>
      </c>
      <c r="P24" s="34">
        <v>45981</v>
      </c>
      <c r="Q24" s="34">
        <v>45981</v>
      </c>
      <c r="R24" s="34">
        <v>45981</v>
      </c>
      <c r="S24" s="45">
        <f t="shared" si="1"/>
        <v>11</v>
      </c>
      <c r="T24" s="45">
        <f t="shared" si="2"/>
        <v>1</v>
      </c>
      <c r="U24" s="45">
        <f t="shared" si="4"/>
        <v>1</v>
      </c>
      <c r="V24" s="45">
        <f t="shared" si="3"/>
        <v>1</v>
      </c>
      <c r="W24" s="7" t="s">
        <v>150</v>
      </c>
      <c r="X24" s="11" t="s">
        <v>50</v>
      </c>
      <c r="Y24" s="11" t="s">
        <v>53</v>
      </c>
      <c r="Z24" s="11"/>
      <c r="AA24" s="11" t="s">
        <v>54</v>
      </c>
      <c r="AB24" s="11"/>
      <c r="AC24" s="11"/>
      <c r="AD24" s="7" t="s">
        <v>2342</v>
      </c>
      <c r="AE24" s="11"/>
      <c r="AF24" s="11"/>
      <c r="AG24" s="11"/>
      <c r="AH24" s="11"/>
      <c r="AI24" s="11"/>
      <c r="AJ24" s="11"/>
      <c r="AK24" s="11"/>
      <c r="AL24" s="11"/>
      <c r="AM24" s="11"/>
    </row>
    <row r="25" spans="1:39" s="78" customFormat="1" ht="30">
      <c r="A25" s="11" t="s">
        <v>2286</v>
      </c>
      <c r="B25" s="11" t="s">
        <v>1299</v>
      </c>
      <c r="C25" s="11" t="s">
        <v>2343</v>
      </c>
      <c r="D25" s="11" t="s">
        <v>143</v>
      </c>
      <c r="E25" s="63" t="s">
        <v>185</v>
      </c>
      <c r="F25" s="11">
        <v>15.709773999999999</v>
      </c>
      <c r="G25" s="11">
        <v>121.124511</v>
      </c>
      <c r="H25" s="11" t="str">
        <f t="shared" si="0"/>
        <v>15.709774, 121.124511</v>
      </c>
      <c r="I25" s="382" t="s">
        <v>77</v>
      </c>
      <c r="J25" s="11" t="s">
        <v>26</v>
      </c>
      <c r="K25" s="11" t="s">
        <v>2289</v>
      </c>
      <c r="L25" s="94" t="s">
        <v>212</v>
      </c>
      <c r="M25" s="11" t="s">
        <v>2344</v>
      </c>
      <c r="N25" s="34">
        <v>45777</v>
      </c>
      <c r="O25" s="34">
        <v>45783</v>
      </c>
      <c r="P25" s="34">
        <v>45791</v>
      </c>
      <c r="Q25" s="34">
        <v>45791</v>
      </c>
      <c r="R25" s="34">
        <v>45792</v>
      </c>
      <c r="S25" s="45">
        <f t="shared" si="1"/>
        <v>4</v>
      </c>
      <c r="T25" s="45">
        <f t="shared" si="2"/>
        <v>6</v>
      </c>
      <c r="U25" s="45">
        <f t="shared" si="4"/>
        <v>1</v>
      </c>
      <c r="V25" s="45">
        <f t="shared" si="3"/>
        <v>2</v>
      </c>
      <c r="W25" s="7" t="s">
        <v>150</v>
      </c>
      <c r="X25" s="11" t="s">
        <v>50</v>
      </c>
      <c r="Y25" s="11" t="s">
        <v>53</v>
      </c>
      <c r="Z25" s="11">
        <v>1</v>
      </c>
      <c r="AA25" s="11" t="s">
        <v>54</v>
      </c>
      <c r="AB25" s="11">
        <v>35.020000000000003</v>
      </c>
      <c r="AC25" s="11" t="s">
        <v>2345</v>
      </c>
      <c r="AD25" s="11" t="s">
        <v>2110</v>
      </c>
      <c r="AE25" s="11"/>
      <c r="AF25" s="11"/>
      <c r="AG25" s="11"/>
      <c r="AH25" s="11"/>
      <c r="AI25" s="11"/>
      <c r="AJ25" s="11"/>
      <c r="AK25" s="11"/>
      <c r="AL25" s="11"/>
      <c r="AM25" s="11"/>
    </row>
    <row r="26" spans="1:39" s="78" customFormat="1" ht="30">
      <c r="A26" s="11" t="s">
        <v>2286</v>
      </c>
      <c r="B26" s="11" t="s">
        <v>1309</v>
      </c>
      <c r="C26" s="11" t="s">
        <v>2346</v>
      </c>
      <c r="D26" s="11" t="s">
        <v>143</v>
      </c>
      <c r="E26" s="63" t="s">
        <v>185</v>
      </c>
      <c r="F26" s="11">
        <v>15.760256</v>
      </c>
      <c r="G26" s="11">
        <v>120.955027</v>
      </c>
      <c r="H26" s="11" t="str">
        <f t="shared" si="0"/>
        <v>15.760256, 120.955027</v>
      </c>
      <c r="I26" s="382" t="s">
        <v>78</v>
      </c>
      <c r="J26" s="11" t="s">
        <v>26</v>
      </c>
      <c r="K26" s="11" t="s">
        <v>2289</v>
      </c>
      <c r="L26" s="94" t="s">
        <v>212</v>
      </c>
      <c r="M26" s="357" t="s">
        <v>2347</v>
      </c>
      <c r="N26" s="34">
        <v>45799</v>
      </c>
      <c r="O26" s="34">
        <v>45803</v>
      </c>
      <c r="P26" s="34">
        <v>45805</v>
      </c>
      <c r="Q26" s="34">
        <v>45806</v>
      </c>
      <c r="R26" s="34">
        <v>45807</v>
      </c>
      <c r="S26" s="45">
        <f t="shared" si="1"/>
        <v>2</v>
      </c>
      <c r="T26" s="45">
        <f t="shared" si="2"/>
        <v>2</v>
      </c>
      <c r="U26" s="45">
        <f t="shared" si="4"/>
        <v>1</v>
      </c>
      <c r="V26" s="45">
        <f t="shared" si="3"/>
        <v>1</v>
      </c>
      <c r="W26" s="7" t="s">
        <v>150</v>
      </c>
      <c r="X26" s="11" t="s">
        <v>50</v>
      </c>
      <c r="Y26" s="11" t="s">
        <v>60</v>
      </c>
      <c r="Z26" s="11">
        <v>2</v>
      </c>
      <c r="AA26" s="11" t="s">
        <v>54</v>
      </c>
      <c r="AB26" s="11">
        <v>315.74</v>
      </c>
      <c r="AC26" s="11" t="s">
        <v>2348</v>
      </c>
      <c r="AD26" s="11" t="s">
        <v>2110</v>
      </c>
      <c r="AE26" s="11"/>
      <c r="AF26" s="11"/>
      <c r="AG26" s="11"/>
      <c r="AH26" s="11"/>
      <c r="AI26" s="11"/>
      <c r="AJ26" s="11"/>
      <c r="AK26" s="11"/>
      <c r="AL26" s="11"/>
      <c r="AM26" s="11"/>
    </row>
    <row r="27" spans="1:39" s="78" customFormat="1" ht="30">
      <c r="A27" s="11" t="s">
        <v>2286</v>
      </c>
      <c r="B27" s="11" t="s">
        <v>1173</v>
      </c>
      <c r="C27" s="11" t="s">
        <v>2349</v>
      </c>
      <c r="D27" s="11" t="s">
        <v>143</v>
      </c>
      <c r="E27" s="63" t="s">
        <v>144</v>
      </c>
      <c r="F27" s="11">
        <v>15.638023</v>
      </c>
      <c r="G27" s="11">
        <v>121.142037</v>
      </c>
      <c r="H27" s="11" t="str">
        <f t="shared" si="0"/>
        <v>15.638023, 121.142037</v>
      </c>
      <c r="I27" s="382" t="s">
        <v>75</v>
      </c>
      <c r="J27" s="11" t="s">
        <v>28</v>
      </c>
      <c r="K27" s="11" t="s">
        <v>2289</v>
      </c>
      <c r="L27" s="94" t="s">
        <v>212</v>
      </c>
      <c r="M27" s="9" t="s">
        <v>2350</v>
      </c>
      <c r="N27" s="34">
        <v>45723</v>
      </c>
      <c r="O27" s="34">
        <v>45726</v>
      </c>
      <c r="P27" s="34">
        <v>45726</v>
      </c>
      <c r="Q27" s="34">
        <v>45729</v>
      </c>
      <c r="R27" s="34">
        <v>45730</v>
      </c>
      <c r="S27" s="45">
        <f t="shared" si="1"/>
        <v>1</v>
      </c>
      <c r="T27" s="45">
        <f t="shared" si="2"/>
        <v>1</v>
      </c>
      <c r="U27" s="45">
        <f t="shared" si="4"/>
        <v>3</v>
      </c>
      <c r="V27" s="45">
        <f t="shared" si="3"/>
        <v>1</v>
      </c>
      <c r="W27" s="7" t="s">
        <v>150</v>
      </c>
      <c r="X27" s="11" t="s">
        <v>50</v>
      </c>
      <c r="Y27" s="11" t="s">
        <v>53</v>
      </c>
      <c r="Z27" s="11">
        <v>3</v>
      </c>
      <c r="AA27" s="11" t="s">
        <v>54</v>
      </c>
      <c r="AB27" s="11" t="s">
        <v>808</v>
      </c>
      <c r="AC27" s="11" t="s">
        <v>2351</v>
      </c>
      <c r="AD27" s="7" t="s">
        <v>432</v>
      </c>
      <c r="AE27" s="11"/>
      <c r="AF27" s="11"/>
      <c r="AG27" s="11"/>
      <c r="AH27" s="11"/>
      <c r="AI27" s="11"/>
      <c r="AJ27" s="11"/>
      <c r="AK27" s="11"/>
      <c r="AL27" s="11"/>
      <c r="AM27" s="11"/>
    </row>
    <row r="28" spans="1:39" s="78" customFormat="1">
      <c r="A28" s="11" t="s">
        <v>2286</v>
      </c>
      <c r="B28" s="11" t="s">
        <v>1295</v>
      </c>
      <c r="C28" s="11" t="s">
        <v>1894</v>
      </c>
      <c r="D28" s="11" t="s">
        <v>143</v>
      </c>
      <c r="E28" s="63" t="s">
        <v>160</v>
      </c>
      <c r="F28" s="11">
        <v>15.544414</v>
      </c>
      <c r="G28" s="11">
        <v>120.808761</v>
      </c>
      <c r="H28" s="11" t="str">
        <f t="shared" si="0"/>
        <v>15.544414, 120.808761</v>
      </c>
      <c r="I28" s="382" t="s">
        <v>82</v>
      </c>
      <c r="J28" s="11" t="s">
        <v>27</v>
      </c>
      <c r="K28" s="11" t="s">
        <v>1610</v>
      </c>
      <c r="L28" s="94" t="s">
        <v>212</v>
      </c>
      <c r="M28" s="78" t="s">
        <v>1298</v>
      </c>
      <c r="N28" s="34">
        <v>45946</v>
      </c>
      <c r="O28" s="34">
        <v>45946</v>
      </c>
      <c r="P28" s="34">
        <v>45950</v>
      </c>
      <c r="Q28" s="34">
        <v>45950</v>
      </c>
      <c r="R28" s="34">
        <v>45950</v>
      </c>
      <c r="S28" s="45">
        <f t="shared" si="1"/>
        <v>1</v>
      </c>
      <c r="T28" s="45">
        <f t="shared" si="2"/>
        <v>2</v>
      </c>
      <c r="U28" s="45">
        <f t="shared" si="4"/>
        <v>1</v>
      </c>
      <c r="V28" s="45">
        <f t="shared" si="3"/>
        <v>1</v>
      </c>
      <c r="W28" s="11" t="s">
        <v>150</v>
      </c>
      <c r="X28" s="11" t="s">
        <v>50</v>
      </c>
      <c r="Y28" s="11" t="s">
        <v>53</v>
      </c>
      <c r="Z28" s="11"/>
      <c r="AA28" s="11"/>
      <c r="AB28" s="11"/>
      <c r="AC28" s="11"/>
      <c r="AD28" s="11"/>
      <c r="AE28" s="11" t="s">
        <v>2352</v>
      </c>
      <c r="AF28" s="11" t="s">
        <v>2353</v>
      </c>
      <c r="AG28" s="11" t="s">
        <v>2354</v>
      </c>
      <c r="AH28" s="11"/>
      <c r="AI28" s="11"/>
      <c r="AJ28" s="11"/>
      <c r="AK28" s="11"/>
      <c r="AL28" s="11"/>
      <c r="AM28" s="11"/>
    </row>
    <row r="29" spans="1:39" s="78" customFormat="1" ht="30">
      <c r="A29" s="11" t="s">
        <v>2286</v>
      </c>
      <c r="B29" s="11" t="s">
        <v>1314</v>
      </c>
      <c r="C29" s="11" t="s">
        <v>2355</v>
      </c>
      <c r="D29" s="11" t="s">
        <v>143</v>
      </c>
      <c r="E29" s="63" t="s">
        <v>233</v>
      </c>
      <c r="F29" s="11">
        <v>15.396387000000001</v>
      </c>
      <c r="G29" s="11">
        <v>120.970842</v>
      </c>
      <c r="H29" s="11" t="str">
        <f t="shared" si="0"/>
        <v>15.396387, 120.970842</v>
      </c>
      <c r="I29" s="382" t="s">
        <v>75</v>
      </c>
      <c r="J29" s="11" t="s">
        <v>28</v>
      </c>
      <c r="K29" s="11" t="s">
        <v>2289</v>
      </c>
      <c r="L29" s="94" t="s">
        <v>212</v>
      </c>
      <c r="M29" s="11" t="s">
        <v>2356</v>
      </c>
      <c r="N29" s="34">
        <v>45730</v>
      </c>
      <c r="O29" s="34">
        <v>45734</v>
      </c>
      <c r="P29" s="34">
        <v>45734</v>
      </c>
      <c r="Q29" s="34">
        <v>45734</v>
      </c>
      <c r="R29" s="34">
        <v>45735</v>
      </c>
      <c r="S29" s="45">
        <f t="shared" si="1"/>
        <v>2</v>
      </c>
      <c r="T29" s="45">
        <f t="shared" si="2"/>
        <v>1</v>
      </c>
      <c r="U29" s="45">
        <f t="shared" si="4"/>
        <v>1</v>
      </c>
      <c r="V29" s="45">
        <f t="shared" si="3"/>
        <v>2</v>
      </c>
      <c r="W29" s="7" t="s">
        <v>150</v>
      </c>
      <c r="X29" s="11" t="s">
        <v>50</v>
      </c>
      <c r="Y29" s="11" t="s">
        <v>53</v>
      </c>
      <c r="Z29" s="11" t="s">
        <v>69</v>
      </c>
      <c r="AA29" s="11" t="s">
        <v>54</v>
      </c>
      <c r="AB29" s="11" t="s">
        <v>808</v>
      </c>
      <c r="AC29" s="11" t="s">
        <v>2357</v>
      </c>
      <c r="AD29" s="11" t="s">
        <v>2358</v>
      </c>
      <c r="AE29" s="11"/>
      <c r="AF29" s="11"/>
      <c r="AG29" s="11"/>
      <c r="AH29" s="11"/>
      <c r="AI29" s="11"/>
      <c r="AJ29" s="11"/>
      <c r="AK29" s="11"/>
      <c r="AL29" s="11"/>
      <c r="AM29" s="11"/>
    </row>
    <row r="30" spans="1:39" s="78" customFormat="1" ht="30">
      <c r="A30" s="11" t="s">
        <v>2286</v>
      </c>
      <c r="B30" s="11" t="s">
        <v>914</v>
      </c>
      <c r="C30" s="11" t="s">
        <v>2359</v>
      </c>
      <c r="D30" s="11" t="s">
        <v>143</v>
      </c>
      <c r="E30" s="63" t="s">
        <v>233</v>
      </c>
      <c r="F30" s="11">
        <v>15.311809999999999</v>
      </c>
      <c r="G30" s="11">
        <v>120.834637</v>
      </c>
      <c r="H30" s="11" t="str">
        <f t="shared" si="0"/>
        <v>15.31181, 120.834637</v>
      </c>
      <c r="I30" s="382" t="s">
        <v>80</v>
      </c>
      <c r="J30" s="11" t="s">
        <v>30</v>
      </c>
      <c r="K30" s="11" t="s">
        <v>1610</v>
      </c>
      <c r="L30" s="94" t="s">
        <v>212</v>
      </c>
      <c r="M30" s="11" t="s">
        <v>2360</v>
      </c>
      <c r="N30" s="34">
        <v>45874</v>
      </c>
      <c r="O30" s="34">
        <v>45877</v>
      </c>
      <c r="P30" s="34">
        <v>45881</v>
      </c>
      <c r="Q30" s="34">
        <v>45882</v>
      </c>
      <c r="R30" s="34">
        <v>45884</v>
      </c>
      <c r="S30" s="45">
        <f t="shared" si="1"/>
        <v>3</v>
      </c>
      <c r="T30" s="45">
        <f t="shared" si="2"/>
        <v>2</v>
      </c>
      <c r="U30" s="45">
        <f t="shared" si="4"/>
        <v>1</v>
      </c>
      <c r="V30" s="45">
        <f t="shared" si="3"/>
        <v>2</v>
      </c>
      <c r="W30" s="11" t="s">
        <v>150</v>
      </c>
      <c r="X30" s="11" t="s">
        <v>50</v>
      </c>
      <c r="Y30" s="11" t="s">
        <v>53</v>
      </c>
      <c r="Z30" s="11"/>
      <c r="AA30" s="11" t="s">
        <v>54</v>
      </c>
      <c r="AB30" s="11"/>
      <c r="AC30" s="11"/>
      <c r="AD30" s="7" t="s">
        <v>2361</v>
      </c>
      <c r="AE30" s="11" t="s">
        <v>2264</v>
      </c>
      <c r="AF30" s="11"/>
      <c r="AG30" s="11"/>
      <c r="AH30" s="11"/>
      <c r="AI30" s="11"/>
      <c r="AJ30" s="11"/>
      <c r="AK30" s="11"/>
      <c r="AL30" s="11"/>
      <c r="AM30" s="11"/>
    </row>
    <row r="31" spans="1:39" s="78" customFormat="1">
      <c r="A31" s="11" t="s">
        <v>2286</v>
      </c>
      <c r="B31" s="11" t="s">
        <v>1180</v>
      </c>
      <c r="C31" s="11" t="s">
        <v>2362</v>
      </c>
      <c r="D31" s="11" t="s">
        <v>143</v>
      </c>
      <c r="E31" s="63" t="s">
        <v>233</v>
      </c>
      <c r="F31" s="11">
        <v>15.293922999999999</v>
      </c>
      <c r="G31" s="11">
        <v>120.906329</v>
      </c>
      <c r="H31" s="11" t="str">
        <f t="shared" si="0"/>
        <v>15.293923, 120.906329</v>
      </c>
      <c r="I31" s="382" t="s">
        <v>83</v>
      </c>
      <c r="J31" s="11" t="s">
        <v>30</v>
      </c>
      <c r="K31" s="11" t="s">
        <v>1610</v>
      </c>
      <c r="L31" s="94" t="s">
        <v>212</v>
      </c>
      <c r="M31" s="11" t="s">
        <v>2363</v>
      </c>
      <c r="N31" s="34">
        <v>45958</v>
      </c>
      <c r="O31" s="34">
        <v>45981</v>
      </c>
      <c r="P31" s="34">
        <v>45981</v>
      </c>
      <c r="Q31" s="34">
        <v>45981</v>
      </c>
      <c r="R31" s="34">
        <v>45981</v>
      </c>
      <c r="S31" s="45">
        <f t="shared" si="1"/>
        <v>17</v>
      </c>
      <c r="T31" s="45">
        <f t="shared" si="2"/>
        <v>1</v>
      </c>
      <c r="U31" s="45">
        <f t="shared" si="4"/>
        <v>1</v>
      </c>
      <c r="V31" s="45">
        <f t="shared" si="3"/>
        <v>1</v>
      </c>
      <c r="W31" s="11" t="s">
        <v>150</v>
      </c>
      <c r="X31" s="11" t="s">
        <v>50</v>
      </c>
      <c r="Y31" s="11" t="s">
        <v>53</v>
      </c>
      <c r="Z31" s="11"/>
      <c r="AA31" s="11" t="s">
        <v>54</v>
      </c>
      <c r="AB31" s="11"/>
      <c r="AC31" s="11"/>
      <c r="AD31" s="11" t="s">
        <v>2364</v>
      </c>
      <c r="AE31" s="11"/>
      <c r="AF31" s="11"/>
      <c r="AG31" s="11"/>
      <c r="AH31" s="11"/>
      <c r="AI31" s="11"/>
      <c r="AJ31" s="11"/>
      <c r="AK31" s="11"/>
      <c r="AL31" s="11"/>
      <c r="AM31" s="11"/>
    </row>
    <row r="32" spans="1:39" s="78" customFormat="1">
      <c r="A32" s="11" t="s">
        <v>2286</v>
      </c>
      <c r="B32" s="11" t="s">
        <v>1328</v>
      </c>
      <c r="C32" s="11" t="s">
        <v>2365</v>
      </c>
      <c r="D32" s="11" t="s">
        <v>143</v>
      </c>
      <c r="E32" s="63" t="s">
        <v>160</v>
      </c>
      <c r="F32" s="11">
        <v>15.588946</v>
      </c>
      <c r="G32" s="11">
        <v>120.86903</v>
      </c>
      <c r="H32" s="11" t="str">
        <f t="shared" si="0"/>
        <v>15.588946, 120.86903</v>
      </c>
      <c r="I32" s="382" t="s">
        <v>82</v>
      </c>
      <c r="J32" s="11" t="s">
        <v>27</v>
      </c>
      <c r="K32" s="11" t="s">
        <v>1610</v>
      </c>
      <c r="L32" s="94" t="s">
        <v>212</v>
      </c>
      <c r="M32" s="11" t="s">
        <v>2366</v>
      </c>
      <c r="N32" s="34">
        <v>45945</v>
      </c>
      <c r="O32" s="34">
        <v>45946</v>
      </c>
      <c r="P32" s="34">
        <v>45947</v>
      </c>
      <c r="Q32" s="34">
        <v>45947</v>
      </c>
      <c r="R32" s="34">
        <v>45950</v>
      </c>
      <c r="S32" s="45">
        <f t="shared" si="1"/>
        <v>1</v>
      </c>
      <c r="T32" s="45">
        <f t="shared" si="2"/>
        <v>1</v>
      </c>
      <c r="U32" s="45">
        <f t="shared" si="4"/>
        <v>1</v>
      </c>
      <c r="V32" s="45">
        <f t="shared" si="3"/>
        <v>2</v>
      </c>
      <c r="W32" s="11" t="s">
        <v>150</v>
      </c>
      <c r="X32" s="11" t="s">
        <v>50</v>
      </c>
      <c r="Y32" s="11" t="s">
        <v>53</v>
      </c>
      <c r="Z32" s="11">
        <v>2</v>
      </c>
      <c r="AA32" s="11" t="s">
        <v>54</v>
      </c>
      <c r="AB32" s="11"/>
      <c r="AC32" s="11"/>
      <c r="AD32" s="11"/>
      <c r="AE32" s="11"/>
      <c r="AF32" s="11"/>
      <c r="AG32" s="11"/>
      <c r="AH32" s="11"/>
      <c r="AI32" s="11"/>
      <c r="AJ32" s="11"/>
      <c r="AK32" s="11"/>
      <c r="AL32" s="11"/>
      <c r="AM32" s="11"/>
    </row>
    <row r="33" spans="1:39" s="78" customFormat="1" ht="180">
      <c r="A33" s="11" t="s">
        <v>2286</v>
      </c>
      <c r="B33" s="11" t="s">
        <v>1331</v>
      </c>
      <c r="C33" s="11" t="s">
        <v>2367</v>
      </c>
      <c r="D33" s="11" t="s">
        <v>143</v>
      </c>
      <c r="E33" s="63" t="s">
        <v>160</v>
      </c>
      <c r="F33" s="11">
        <v>15.642664</v>
      </c>
      <c r="G33" s="11">
        <v>120.90228399999999</v>
      </c>
      <c r="H33" s="11" t="str">
        <f t="shared" si="0"/>
        <v>15.642664, 120.902284</v>
      </c>
      <c r="I33" s="382" t="s">
        <v>83</v>
      </c>
      <c r="J33" s="11" t="s">
        <v>27</v>
      </c>
      <c r="K33" s="11" t="s">
        <v>1610</v>
      </c>
      <c r="L33" s="94" t="s">
        <v>212</v>
      </c>
      <c r="M33" s="11" t="s">
        <v>2368</v>
      </c>
      <c r="N33" s="34">
        <v>45980</v>
      </c>
      <c r="O33" s="34">
        <v>45980</v>
      </c>
      <c r="P33" s="34">
        <v>45981</v>
      </c>
      <c r="Q33" s="34">
        <v>45981</v>
      </c>
      <c r="R33" s="34">
        <v>45981</v>
      </c>
      <c r="S33" s="45">
        <f t="shared" si="1"/>
        <v>1</v>
      </c>
      <c r="T33" s="45">
        <f t="shared" si="2"/>
        <v>1</v>
      </c>
      <c r="U33" s="45">
        <f t="shared" si="4"/>
        <v>1</v>
      </c>
      <c r="V33" s="45">
        <f t="shared" si="3"/>
        <v>1</v>
      </c>
      <c r="W33" s="11" t="s">
        <v>150</v>
      </c>
      <c r="X33" s="11" t="s">
        <v>50</v>
      </c>
      <c r="Y33" s="11" t="s">
        <v>53</v>
      </c>
      <c r="Z33" s="11"/>
      <c r="AA33" s="11" t="s">
        <v>54</v>
      </c>
      <c r="AB33" s="11"/>
      <c r="AC33" s="11"/>
      <c r="AD33" s="7" t="s">
        <v>2369</v>
      </c>
      <c r="AE33" s="11"/>
      <c r="AF33" s="11"/>
      <c r="AG33" s="11"/>
      <c r="AH33" s="11"/>
      <c r="AI33" s="11"/>
      <c r="AJ33" s="11"/>
      <c r="AK33" s="11"/>
      <c r="AL33" s="11"/>
      <c r="AM33" s="11"/>
    </row>
    <row r="34" spans="1:39" s="379" customFormat="1">
      <c r="A34" s="11" t="s">
        <v>2286</v>
      </c>
      <c r="B34" s="11" t="s">
        <v>1338</v>
      </c>
      <c r="C34" s="11" t="s">
        <v>2315</v>
      </c>
      <c r="D34" s="11" t="s">
        <v>143</v>
      </c>
      <c r="E34" s="63" t="s">
        <v>160</v>
      </c>
      <c r="F34" s="11">
        <v>15.431628</v>
      </c>
      <c r="G34" s="11">
        <v>120.80258600000001</v>
      </c>
      <c r="H34" s="11" t="str">
        <f t="shared" si="0"/>
        <v>15.431628, 120.802586</v>
      </c>
      <c r="I34" s="387" t="s">
        <v>81</v>
      </c>
      <c r="J34" s="11" t="s">
        <v>27</v>
      </c>
      <c r="K34" s="11" t="s">
        <v>1610</v>
      </c>
      <c r="L34" s="11" t="s">
        <v>212</v>
      </c>
      <c r="M34" s="11" t="s">
        <v>2370</v>
      </c>
      <c r="N34" s="34">
        <v>45902</v>
      </c>
      <c r="O34" s="34">
        <v>45906</v>
      </c>
      <c r="P34" s="34">
        <v>45916</v>
      </c>
      <c r="Q34" s="34"/>
      <c r="R34" s="34"/>
      <c r="S34" s="45">
        <f t="shared" si="1"/>
        <v>3</v>
      </c>
      <c r="T34" s="45">
        <f t="shared" si="2"/>
        <v>6</v>
      </c>
      <c r="U34" s="45" t="str">
        <f t="shared" si="4"/>
        <v/>
      </c>
      <c r="V34" s="45" t="str">
        <f t="shared" si="3"/>
        <v/>
      </c>
      <c r="W34" s="11"/>
      <c r="X34" s="11" t="s">
        <v>50</v>
      </c>
      <c r="Y34" s="11" t="s">
        <v>53</v>
      </c>
      <c r="Z34" s="11"/>
      <c r="AA34" s="11" t="s">
        <v>54</v>
      </c>
      <c r="AB34" s="11"/>
      <c r="AC34" s="11"/>
      <c r="AD34" s="11"/>
      <c r="AE34" s="11"/>
      <c r="AF34" s="11"/>
      <c r="AG34" s="11"/>
      <c r="AH34" s="11"/>
      <c r="AI34" s="11"/>
      <c r="AJ34" s="11"/>
      <c r="AK34" s="11"/>
      <c r="AL34" s="11"/>
      <c r="AM34" s="11"/>
    </row>
    <row r="35" spans="1:39" s="78" customFormat="1" ht="90">
      <c r="A35" s="11" t="s">
        <v>778</v>
      </c>
      <c r="B35" s="11" t="s">
        <v>1373</v>
      </c>
      <c r="C35" s="11" t="s">
        <v>2371</v>
      </c>
      <c r="D35" s="11" t="s">
        <v>143</v>
      </c>
      <c r="E35" s="63" t="s">
        <v>144</v>
      </c>
      <c r="F35" s="11">
        <v>14.996638000000001</v>
      </c>
      <c r="G35" s="11">
        <v>120.47915500000001</v>
      </c>
      <c r="H35" s="11" t="str">
        <f t="shared" si="0"/>
        <v>14.996638, 120.479155</v>
      </c>
      <c r="I35" s="388" t="s">
        <v>78</v>
      </c>
      <c r="J35" s="11" t="s">
        <v>33</v>
      </c>
      <c r="K35" s="11" t="s">
        <v>28</v>
      </c>
      <c r="L35" s="11" t="s">
        <v>148</v>
      </c>
      <c r="M35" s="11" t="s">
        <v>2372</v>
      </c>
      <c r="N35" s="34">
        <v>45818</v>
      </c>
      <c r="O35" s="34">
        <v>45823</v>
      </c>
      <c r="P35" s="34">
        <v>45826</v>
      </c>
      <c r="Q35" s="34">
        <v>45826</v>
      </c>
      <c r="R35" s="34">
        <v>45826</v>
      </c>
      <c r="S35" s="45">
        <f t="shared" si="1"/>
        <v>3</v>
      </c>
      <c r="T35" s="45">
        <f t="shared" si="2"/>
        <v>2</v>
      </c>
      <c r="U35" s="45">
        <f t="shared" si="4"/>
        <v>2</v>
      </c>
      <c r="V35" s="45">
        <f t="shared" si="3"/>
        <v>1</v>
      </c>
      <c r="W35" s="7" t="s">
        <v>150</v>
      </c>
      <c r="X35" s="11" t="s">
        <v>57</v>
      </c>
      <c r="Y35" s="11" t="s">
        <v>53</v>
      </c>
      <c r="Z35" s="11" t="s">
        <v>69</v>
      </c>
      <c r="AA35" s="11" t="s">
        <v>69</v>
      </c>
      <c r="AB35" s="11" t="s">
        <v>69</v>
      </c>
      <c r="AC35" s="11" t="s">
        <v>69</v>
      </c>
      <c r="AD35" s="7" t="s">
        <v>2373</v>
      </c>
      <c r="AE35" s="11"/>
      <c r="AF35" s="11"/>
      <c r="AG35" s="11"/>
      <c r="AH35" s="11"/>
      <c r="AI35" s="11"/>
      <c r="AJ35" s="11"/>
      <c r="AK35" s="11"/>
      <c r="AL35" s="11"/>
      <c r="AM35" s="11"/>
    </row>
    <row r="36" spans="1:39" s="78" customFormat="1" ht="30">
      <c r="A36" s="103" t="s">
        <v>778</v>
      </c>
      <c r="B36" s="103" t="s">
        <v>2172</v>
      </c>
      <c r="C36" s="103" t="s">
        <v>2374</v>
      </c>
      <c r="D36" s="103" t="s">
        <v>143</v>
      </c>
      <c r="E36" s="385" t="s">
        <v>160</v>
      </c>
      <c r="F36" s="103">
        <v>15.148975</v>
      </c>
      <c r="G36" s="103">
        <v>120.583549</v>
      </c>
      <c r="H36" s="103" t="str">
        <f t="shared" si="0"/>
        <v>15.148975, 120.583549</v>
      </c>
      <c r="I36" s="382" t="s">
        <v>79</v>
      </c>
      <c r="J36" s="103" t="s">
        <v>33</v>
      </c>
      <c r="K36" s="103" t="s">
        <v>28</v>
      </c>
      <c r="L36" s="103" t="s">
        <v>148</v>
      </c>
      <c r="M36" s="103" t="s">
        <v>2375</v>
      </c>
      <c r="N36" s="386">
        <v>45842</v>
      </c>
      <c r="O36" s="386">
        <v>45844</v>
      </c>
      <c r="P36" s="386">
        <v>45847</v>
      </c>
      <c r="Q36" s="386">
        <v>45854</v>
      </c>
      <c r="R36" s="386">
        <v>45855</v>
      </c>
      <c r="S36" s="45">
        <f t="shared" si="1"/>
        <v>1</v>
      </c>
      <c r="T36" s="45">
        <f t="shared" si="2"/>
        <v>2</v>
      </c>
      <c r="U36" s="45">
        <f t="shared" si="4"/>
        <v>7</v>
      </c>
      <c r="V36" s="45">
        <f t="shared" si="3"/>
        <v>1</v>
      </c>
      <c r="W36" s="7" t="s">
        <v>150</v>
      </c>
      <c r="X36" s="103" t="s">
        <v>50</v>
      </c>
      <c r="Y36" s="103" t="s">
        <v>53</v>
      </c>
      <c r="Z36" s="103">
        <v>0</v>
      </c>
      <c r="AA36" s="103" t="s">
        <v>54</v>
      </c>
      <c r="AB36" s="103" t="s">
        <v>1947</v>
      </c>
      <c r="AC36" s="103">
        <v>36.9</v>
      </c>
      <c r="AD36" s="103"/>
      <c r="AE36" s="103"/>
      <c r="AF36" s="103"/>
      <c r="AG36" s="103"/>
      <c r="AH36" s="103"/>
      <c r="AI36" s="103"/>
      <c r="AJ36" s="103"/>
      <c r="AK36" s="103"/>
      <c r="AL36" s="103"/>
      <c r="AM36" s="103"/>
    </row>
    <row r="37" spans="1:39" s="78" customFormat="1" ht="30">
      <c r="A37" s="103" t="s">
        <v>778</v>
      </c>
      <c r="B37" s="103" t="s">
        <v>2172</v>
      </c>
      <c r="C37" s="103" t="s">
        <v>2376</v>
      </c>
      <c r="D37" s="103" t="s">
        <v>143</v>
      </c>
      <c r="E37" s="385" t="s">
        <v>160</v>
      </c>
      <c r="F37" s="103">
        <v>15.141719999999999</v>
      </c>
      <c r="G37" s="103">
        <v>120.63039000000001</v>
      </c>
      <c r="H37" s="103" t="s">
        <v>2377</v>
      </c>
      <c r="I37" s="382" t="s">
        <v>82</v>
      </c>
      <c r="J37" s="103" t="s">
        <v>33</v>
      </c>
      <c r="K37" s="103"/>
      <c r="L37" s="103" t="s">
        <v>148</v>
      </c>
      <c r="M37" s="103" t="s">
        <v>2378</v>
      </c>
      <c r="N37" s="386">
        <v>45946</v>
      </c>
      <c r="O37" s="386">
        <v>45946</v>
      </c>
      <c r="P37" s="386"/>
      <c r="Q37" s="386">
        <v>45947</v>
      </c>
      <c r="R37" s="386">
        <v>45950</v>
      </c>
      <c r="S37" s="45">
        <f t="shared" si="1"/>
        <v>1</v>
      </c>
      <c r="T37" s="45" t="str">
        <f t="shared" si="2"/>
        <v/>
      </c>
      <c r="U37" s="45">
        <f t="shared" si="4"/>
        <v>1</v>
      </c>
      <c r="V37" s="45">
        <f t="shared" si="3"/>
        <v>1</v>
      </c>
      <c r="W37" s="7" t="s">
        <v>150</v>
      </c>
      <c r="X37" s="103" t="s">
        <v>57</v>
      </c>
      <c r="Y37" s="103" t="s">
        <v>53</v>
      </c>
      <c r="Z37" s="103"/>
      <c r="AA37" s="103"/>
      <c r="AB37" s="103"/>
      <c r="AC37" s="103"/>
      <c r="AD37" s="103" t="s">
        <v>2379</v>
      </c>
      <c r="AE37" s="103"/>
      <c r="AF37" s="103"/>
      <c r="AG37" s="103"/>
      <c r="AH37" s="103"/>
      <c r="AI37" s="103"/>
      <c r="AJ37" s="103"/>
      <c r="AK37" s="103"/>
      <c r="AL37" s="103"/>
      <c r="AM37" s="103"/>
    </row>
    <row r="38" spans="1:39" s="78" customFormat="1" ht="30">
      <c r="A38" s="11" t="s">
        <v>778</v>
      </c>
      <c r="B38" s="11" t="s">
        <v>1343</v>
      </c>
      <c r="C38" s="11" t="s">
        <v>2380</v>
      </c>
      <c r="D38" s="11" t="s">
        <v>143</v>
      </c>
      <c r="E38" s="63" t="s">
        <v>233</v>
      </c>
      <c r="F38" s="11">
        <v>14.928599999999999</v>
      </c>
      <c r="G38" s="11">
        <v>120.7633</v>
      </c>
      <c r="H38" s="11" t="str">
        <f t="shared" ref="H38:H48" si="5">CONCATENATE(F38,","," ",G38)</f>
        <v>14.9286, 120.7633</v>
      </c>
      <c r="I38" s="387" t="s">
        <v>80</v>
      </c>
      <c r="J38" s="11" t="s">
        <v>34</v>
      </c>
      <c r="K38" s="11" t="s">
        <v>28</v>
      </c>
      <c r="L38" s="94" t="s">
        <v>148</v>
      </c>
      <c r="M38" s="11" t="s">
        <v>2381</v>
      </c>
      <c r="N38" s="34">
        <v>45874</v>
      </c>
      <c r="O38" s="34">
        <v>45881</v>
      </c>
      <c r="P38" s="34">
        <v>45881</v>
      </c>
      <c r="Q38" s="34">
        <v>45884</v>
      </c>
      <c r="R38" s="34">
        <v>45888</v>
      </c>
      <c r="S38" s="45">
        <f t="shared" si="1"/>
        <v>5</v>
      </c>
      <c r="T38" s="45">
        <f t="shared" si="2"/>
        <v>1</v>
      </c>
      <c r="U38" s="45">
        <f t="shared" si="4"/>
        <v>3</v>
      </c>
      <c r="V38" s="45">
        <f t="shared" si="3"/>
        <v>2</v>
      </c>
      <c r="W38" s="11" t="s">
        <v>150</v>
      </c>
      <c r="X38" s="11" t="s">
        <v>50</v>
      </c>
      <c r="Y38" s="11" t="s">
        <v>53</v>
      </c>
      <c r="Z38" s="11">
        <v>2</v>
      </c>
      <c r="AA38" s="11" t="s">
        <v>54</v>
      </c>
      <c r="AB38" s="11" t="s">
        <v>2382</v>
      </c>
      <c r="AC38" s="7" t="s">
        <v>269</v>
      </c>
      <c r="AD38" s="11"/>
      <c r="AE38" s="11"/>
      <c r="AF38" s="11"/>
      <c r="AG38" s="11"/>
      <c r="AH38" s="11"/>
      <c r="AI38" s="11"/>
      <c r="AJ38" s="11"/>
      <c r="AK38" s="11"/>
      <c r="AL38" s="11"/>
      <c r="AM38" s="11"/>
    </row>
    <row r="39" spans="1:39" s="78" customFormat="1">
      <c r="A39" s="11" t="s">
        <v>778</v>
      </c>
      <c r="B39" s="11" t="s">
        <v>1357</v>
      </c>
      <c r="C39" s="11" t="s">
        <v>2315</v>
      </c>
      <c r="D39" s="11" t="s">
        <v>143</v>
      </c>
      <c r="E39" s="63" t="s">
        <v>233</v>
      </c>
      <c r="F39" s="11">
        <v>15.09282</v>
      </c>
      <c r="G39" s="11">
        <v>120.812298</v>
      </c>
      <c r="H39" s="11" t="str">
        <f t="shared" si="5"/>
        <v>15.09282, 120.812298</v>
      </c>
      <c r="I39" s="382" t="s">
        <v>82</v>
      </c>
      <c r="J39" s="11" t="s">
        <v>32</v>
      </c>
      <c r="K39" s="11"/>
      <c r="L39" s="94" t="s">
        <v>148</v>
      </c>
      <c r="M39" s="11" t="s">
        <v>2383</v>
      </c>
      <c r="N39" s="34">
        <v>45938</v>
      </c>
      <c r="O39" s="34">
        <v>45942</v>
      </c>
      <c r="P39" s="34"/>
      <c r="Q39" s="34">
        <v>45945</v>
      </c>
      <c r="R39" s="386">
        <v>45950</v>
      </c>
      <c r="S39" s="45">
        <f t="shared" si="1"/>
        <v>2</v>
      </c>
      <c r="T39" s="45" t="str">
        <f t="shared" si="2"/>
        <v/>
      </c>
      <c r="U39" s="45">
        <f t="shared" si="4"/>
        <v>2</v>
      </c>
      <c r="V39" s="45">
        <f t="shared" si="3"/>
        <v>3</v>
      </c>
      <c r="W39" s="11" t="s">
        <v>150</v>
      </c>
      <c r="X39" s="11" t="s">
        <v>57</v>
      </c>
      <c r="Y39" s="11" t="s">
        <v>53</v>
      </c>
      <c r="Z39" s="11">
        <v>0</v>
      </c>
      <c r="AA39" s="11" t="s">
        <v>54</v>
      </c>
      <c r="AB39" s="11" t="s">
        <v>1947</v>
      </c>
      <c r="AC39" s="11" t="s">
        <v>1947</v>
      </c>
      <c r="AD39" s="11" t="s">
        <v>2110</v>
      </c>
      <c r="AE39" s="11"/>
      <c r="AF39" s="11"/>
      <c r="AG39" s="11"/>
      <c r="AH39" s="11"/>
      <c r="AI39" s="11"/>
      <c r="AJ39" s="11"/>
      <c r="AK39" s="11"/>
      <c r="AL39" s="11"/>
      <c r="AM39" s="11"/>
    </row>
    <row r="40" spans="1:39" s="78" customFormat="1" ht="30">
      <c r="A40" s="11" t="s">
        <v>778</v>
      </c>
      <c r="B40" s="11" t="s">
        <v>1423</v>
      </c>
      <c r="C40" s="11" t="s">
        <v>2384</v>
      </c>
      <c r="D40" s="11" t="s">
        <v>143</v>
      </c>
      <c r="E40" s="9" t="s">
        <v>233</v>
      </c>
      <c r="F40" s="11">
        <v>14.99921</v>
      </c>
      <c r="G40" s="11">
        <v>120.75920000000001</v>
      </c>
      <c r="H40" s="11" t="str">
        <f t="shared" si="5"/>
        <v>14.99921, 120.7592</v>
      </c>
      <c r="I40" s="387" t="s">
        <v>81</v>
      </c>
      <c r="J40" s="11" t="s">
        <v>34</v>
      </c>
      <c r="K40" s="11" t="s">
        <v>28</v>
      </c>
      <c r="L40" s="94" t="s">
        <v>148</v>
      </c>
      <c r="M40" s="11" t="s">
        <v>2385</v>
      </c>
      <c r="N40" s="34">
        <v>45903</v>
      </c>
      <c r="O40" s="34">
        <v>45915</v>
      </c>
      <c r="P40" s="34">
        <v>45917</v>
      </c>
      <c r="Q40" s="34">
        <v>45917</v>
      </c>
      <c r="R40" s="34">
        <v>45918</v>
      </c>
      <c r="S40" s="45">
        <f t="shared" si="1"/>
        <v>8</v>
      </c>
      <c r="T40" s="45">
        <f t="shared" si="2"/>
        <v>2</v>
      </c>
      <c r="U40" s="45">
        <f t="shared" si="4"/>
        <v>2</v>
      </c>
      <c r="V40" s="45">
        <f t="shared" si="3"/>
        <v>2</v>
      </c>
      <c r="W40" s="11" t="s">
        <v>150</v>
      </c>
      <c r="X40" s="11" t="s">
        <v>50</v>
      </c>
      <c r="Y40" s="11" t="s">
        <v>53</v>
      </c>
      <c r="Z40" s="11">
        <v>0</v>
      </c>
      <c r="AA40" s="11" t="s">
        <v>61</v>
      </c>
      <c r="AB40" s="103" t="s">
        <v>1947</v>
      </c>
      <c r="AC40" s="7" t="s">
        <v>756</v>
      </c>
      <c r="AD40" s="11"/>
      <c r="AE40" s="11" t="s">
        <v>2264</v>
      </c>
      <c r="AF40" s="11"/>
      <c r="AG40" s="11"/>
      <c r="AH40" s="11"/>
      <c r="AI40" s="11"/>
      <c r="AJ40" s="11"/>
      <c r="AK40" s="11"/>
      <c r="AL40" s="11"/>
      <c r="AM40" s="11"/>
    </row>
    <row r="41" spans="1:39" s="78" customFormat="1" ht="30">
      <c r="A41" s="11" t="s">
        <v>778</v>
      </c>
      <c r="B41" s="11" t="s">
        <v>1404</v>
      </c>
      <c r="C41" s="11" t="s">
        <v>2386</v>
      </c>
      <c r="D41" s="11" t="s">
        <v>143</v>
      </c>
      <c r="E41" s="9" t="s">
        <v>144</v>
      </c>
      <c r="F41" s="11">
        <v>15.185397999999999</v>
      </c>
      <c r="G41" s="11">
        <v>120.641853</v>
      </c>
      <c r="H41" s="11" t="str">
        <f t="shared" si="5"/>
        <v>15.185398, 120.641853</v>
      </c>
      <c r="I41" s="388" t="s">
        <v>73</v>
      </c>
      <c r="J41" s="11" t="s">
        <v>32</v>
      </c>
      <c r="K41" s="11"/>
      <c r="L41" s="11" t="s">
        <v>148</v>
      </c>
      <c r="M41" s="11" t="s">
        <v>2387</v>
      </c>
      <c r="N41" s="34">
        <v>45673</v>
      </c>
      <c r="O41" s="34">
        <v>45677</v>
      </c>
      <c r="P41" s="34"/>
      <c r="Q41" s="34">
        <v>45681</v>
      </c>
      <c r="R41" s="34">
        <v>45681</v>
      </c>
      <c r="S41" s="45">
        <f t="shared" si="1"/>
        <v>2</v>
      </c>
      <c r="T41" s="45" t="str">
        <f t="shared" si="2"/>
        <v/>
      </c>
      <c r="U41" s="45">
        <f t="shared" si="4"/>
        <v>4</v>
      </c>
      <c r="V41" s="45">
        <f t="shared" si="3"/>
        <v>1</v>
      </c>
      <c r="W41" s="7" t="s">
        <v>150</v>
      </c>
      <c r="X41" s="11" t="s">
        <v>50</v>
      </c>
      <c r="Y41" s="11"/>
      <c r="Z41" s="11"/>
      <c r="AA41" s="11" t="s">
        <v>54</v>
      </c>
      <c r="AB41" s="11"/>
      <c r="AC41" s="11" t="s">
        <v>1947</v>
      </c>
      <c r="AD41" s="11"/>
      <c r="AE41" s="11" t="s">
        <v>2264</v>
      </c>
      <c r="AF41" s="11"/>
      <c r="AG41" s="11"/>
      <c r="AH41" s="11"/>
      <c r="AI41" s="11"/>
      <c r="AJ41" s="11"/>
      <c r="AK41" s="11"/>
      <c r="AL41" s="11"/>
      <c r="AM41" s="11"/>
    </row>
    <row r="42" spans="1:39" s="78" customFormat="1" ht="90">
      <c r="A42" s="11" t="s">
        <v>779</v>
      </c>
      <c r="B42" s="11" t="s">
        <v>1480</v>
      </c>
      <c r="C42" s="11" t="s">
        <v>2388</v>
      </c>
      <c r="D42" s="11" t="s">
        <v>143</v>
      </c>
      <c r="E42" s="9" t="s">
        <v>185</v>
      </c>
      <c r="F42" s="11">
        <v>15.598288</v>
      </c>
      <c r="G42" s="11">
        <v>120.556076</v>
      </c>
      <c r="H42" s="11" t="str">
        <f t="shared" si="5"/>
        <v>15.598288, 120.556076</v>
      </c>
      <c r="I42" s="387" t="s">
        <v>74</v>
      </c>
      <c r="J42" s="11" t="s">
        <v>37</v>
      </c>
      <c r="K42" s="11" t="s">
        <v>163</v>
      </c>
      <c r="L42" s="11" t="s">
        <v>328</v>
      </c>
      <c r="M42" s="11" t="s">
        <v>2389</v>
      </c>
      <c r="N42" s="34">
        <v>45694</v>
      </c>
      <c r="O42" s="34">
        <v>45698</v>
      </c>
      <c r="P42" s="34"/>
      <c r="Q42" s="34">
        <v>45701</v>
      </c>
      <c r="R42" s="34">
        <v>45701</v>
      </c>
      <c r="S42" s="45">
        <f t="shared" si="1"/>
        <v>2</v>
      </c>
      <c r="T42" s="45" t="str">
        <f t="shared" si="2"/>
        <v/>
      </c>
      <c r="U42" s="45">
        <f t="shared" si="4"/>
        <v>3</v>
      </c>
      <c r="V42" s="45">
        <f t="shared" si="3"/>
        <v>1</v>
      </c>
      <c r="W42" s="7" t="s">
        <v>150</v>
      </c>
      <c r="X42" s="11" t="s">
        <v>50</v>
      </c>
      <c r="Y42" s="11" t="s">
        <v>53</v>
      </c>
      <c r="Z42" s="11"/>
      <c r="AA42" s="11" t="s">
        <v>54</v>
      </c>
      <c r="AB42" s="11" t="s">
        <v>808</v>
      </c>
      <c r="AC42" s="11" t="s">
        <v>1947</v>
      </c>
      <c r="AD42" s="7" t="s">
        <v>2390</v>
      </c>
      <c r="AE42" s="11" t="s">
        <v>2391</v>
      </c>
      <c r="AF42" s="11"/>
      <c r="AG42" s="11"/>
      <c r="AH42" s="11"/>
      <c r="AI42" s="11"/>
      <c r="AJ42" s="11"/>
      <c r="AK42" s="11"/>
      <c r="AL42" s="11"/>
      <c r="AM42" s="11"/>
    </row>
    <row r="43" spans="1:39" s="78" customFormat="1" ht="90">
      <c r="A43" s="11" t="s">
        <v>780</v>
      </c>
      <c r="B43" s="11" t="s">
        <v>1210</v>
      </c>
      <c r="C43" s="11" t="s">
        <v>2392</v>
      </c>
      <c r="D43" s="11" t="s">
        <v>159</v>
      </c>
      <c r="E43" s="63" t="s">
        <v>185</v>
      </c>
      <c r="F43" s="11">
        <v>15.30406</v>
      </c>
      <c r="G43" s="11">
        <v>120.03836</v>
      </c>
      <c r="H43" s="11" t="str">
        <f t="shared" si="5"/>
        <v>15.30406, 120.03836</v>
      </c>
      <c r="I43" s="387" t="s">
        <v>76</v>
      </c>
      <c r="J43" s="11" t="s">
        <v>41</v>
      </c>
      <c r="K43" s="11" t="s">
        <v>163</v>
      </c>
      <c r="L43" s="11" t="s">
        <v>2393</v>
      </c>
      <c r="M43" s="11" t="s">
        <v>2394</v>
      </c>
      <c r="N43" s="34">
        <v>45750</v>
      </c>
      <c r="O43" s="34">
        <v>45755</v>
      </c>
      <c r="P43" s="34">
        <v>45757</v>
      </c>
      <c r="Q43" s="34">
        <v>45757</v>
      </c>
      <c r="R43" s="34">
        <v>45757</v>
      </c>
      <c r="S43" s="45">
        <f t="shared" si="1"/>
        <v>3</v>
      </c>
      <c r="T43" s="45">
        <f t="shared" si="2"/>
        <v>2</v>
      </c>
      <c r="U43" s="45">
        <f>IF(
  OR(A43 = "Nueva_Ecija", A43 = "Zambales"),
  IF(
    OR(ISBLANK(P43), ISBLANK(Q43)),
    "",
    MAX(1, IF(
      NETWORKDAYS(P43, Q43) &lt;= 0,
      1,
      NETWORKDAYS(P43, Q43) - IF(P43 = Q43, 0, 1)
    ))
  ),
  IF(
    OR(ISBLANK(O43), ISBLANK(Q43)),
    "",
    MAX(1, IF(
      NETWORKDAYS(O43, Q43) &lt;= 0,
      1,
      NETWORKDAYS(O43, Q43) - IF(O43 = Q43, 0, 1)
    ))
  )
)</f>
        <v>1</v>
      </c>
      <c r="V43" s="45">
        <f t="shared" si="3"/>
        <v>1</v>
      </c>
      <c r="W43" s="7" t="s">
        <v>150</v>
      </c>
      <c r="X43" s="11" t="s">
        <v>50</v>
      </c>
      <c r="Y43" s="11" t="s">
        <v>60</v>
      </c>
      <c r="Z43" s="11">
        <v>3</v>
      </c>
      <c r="AA43" s="11" t="s">
        <v>61</v>
      </c>
      <c r="AB43" s="11" t="s">
        <v>808</v>
      </c>
      <c r="AC43" s="11" t="s">
        <v>1947</v>
      </c>
      <c r="AD43" s="7" t="s">
        <v>2390</v>
      </c>
      <c r="AE43" s="11"/>
      <c r="AF43" s="11"/>
      <c r="AG43" s="11"/>
      <c r="AH43" s="11"/>
      <c r="AI43" s="11"/>
      <c r="AJ43" s="11"/>
      <c r="AK43" s="11"/>
      <c r="AL43" s="11"/>
      <c r="AM43" s="11"/>
    </row>
    <row r="44" spans="1:39" s="78" customFormat="1" ht="45">
      <c r="A44" s="11" t="s">
        <v>780</v>
      </c>
      <c r="B44" s="11" t="s">
        <v>1215</v>
      </c>
      <c r="C44" s="11" t="s">
        <v>2395</v>
      </c>
      <c r="D44" s="11" t="s">
        <v>159</v>
      </c>
      <c r="E44" s="63" t="s">
        <v>160</v>
      </c>
      <c r="F44" s="11">
        <v>14.9252</v>
      </c>
      <c r="G44" s="11">
        <v>120.1485</v>
      </c>
      <c r="H44" s="11" t="str">
        <f t="shared" si="5"/>
        <v>14.9252, 120.1485</v>
      </c>
      <c r="I44" s="388" t="s">
        <v>75</v>
      </c>
      <c r="J44" s="11" t="s">
        <v>41</v>
      </c>
      <c r="K44" s="11" t="s">
        <v>163</v>
      </c>
      <c r="L44" s="11" t="s">
        <v>2393</v>
      </c>
      <c r="M44" s="11" t="s">
        <v>2396</v>
      </c>
      <c r="N44" s="34">
        <v>45721</v>
      </c>
      <c r="O44" s="34">
        <v>45726</v>
      </c>
      <c r="P44" s="34">
        <v>45728</v>
      </c>
      <c r="Q44" s="34">
        <v>45729</v>
      </c>
      <c r="R44" s="34">
        <v>45729</v>
      </c>
      <c r="S44" s="45">
        <f t="shared" si="1"/>
        <v>3</v>
      </c>
      <c r="T44" s="45">
        <f t="shared" si="2"/>
        <v>2</v>
      </c>
      <c r="U44" s="45">
        <f t="shared" si="4"/>
        <v>1</v>
      </c>
      <c r="V44" s="45">
        <f t="shared" si="3"/>
        <v>1</v>
      </c>
      <c r="W44" s="7" t="s">
        <v>150</v>
      </c>
      <c r="X44" s="11" t="s">
        <v>50</v>
      </c>
      <c r="Y44" s="11" t="s">
        <v>60</v>
      </c>
      <c r="Z44" s="11">
        <v>2</v>
      </c>
      <c r="AA44" s="11" t="s">
        <v>61</v>
      </c>
      <c r="AB44" s="11" t="s">
        <v>808</v>
      </c>
      <c r="AC44" s="7" t="s">
        <v>1947</v>
      </c>
      <c r="AD44" s="7" t="s">
        <v>2397</v>
      </c>
      <c r="AE44" s="11"/>
      <c r="AF44" s="11"/>
      <c r="AG44" s="11"/>
      <c r="AH44" s="11"/>
      <c r="AI44" s="11"/>
      <c r="AJ44" s="11"/>
      <c r="AK44" s="11"/>
      <c r="AL44" s="11"/>
      <c r="AM44" s="11"/>
    </row>
    <row r="45" spans="1:39" s="78" customFormat="1" ht="30">
      <c r="A45" s="11" t="s">
        <v>780</v>
      </c>
      <c r="B45" s="11" t="s">
        <v>1556</v>
      </c>
      <c r="C45" s="11" t="s">
        <v>2398</v>
      </c>
      <c r="D45" s="11" t="s">
        <v>159</v>
      </c>
      <c r="E45" s="63" t="s">
        <v>160</v>
      </c>
      <c r="F45" s="11">
        <v>14.9018</v>
      </c>
      <c r="G45" s="11">
        <v>120.2324</v>
      </c>
      <c r="H45" s="11" t="str">
        <f t="shared" si="5"/>
        <v>14.9018, 120.2324</v>
      </c>
      <c r="I45" s="387" t="s">
        <v>74</v>
      </c>
      <c r="J45" s="11" t="s">
        <v>41</v>
      </c>
      <c r="K45" s="11" t="s">
        <v>163</v>
      </c>
      <c r="L45" s="94" t="s">
        <v>2393</v>
      </c>
      <c r="M45" s="11" t="s">
        <v>2399</v>
      </c>
      <c r="N45" s="34">
        <v>45709</v>
      </c>
      <c r="O45" s="34">
        <v>45712</v>
      </c>
      <c r="P45" s="34">
        <v>45723</v>
      </c>
      <c r="Q45" s="34">
        <v>45727</v>
      </c>
      <c r="R45" s="34">
        <v>45727</v>
      </c>
      <c r="S45" s="45">
        <f t="shared" si="1"/>
        <v>1</v>
      </c>
      <c r="T45" s="45">
        <f t="shared" si="2"/>
        <v>9</v>
      </c>
      <c r="U45" s="45">
        <f t="shared" si="4"/>
        <v>2</v>
      </c>
      <c r="V45" s="45">
        <f t="shared" si="3"/>
        <v>1</v>
      </c>
      <c r="W45" s="7" t="s">
        <v>150</v>
      </c>
      <c r="X45" s="11" t="s">
        <v>50</v>
      </c>
      <c r="Y45" s="11" t="s">
        <v>60</v>
      </c>
      <c r="Z45" s="11">
        <v>2</v>
      </c>
      <c r="AA45" s="11" t="s">
        <v>61</v>
      </c>
      <c r="AB45" s="11">
        <v>18</v>
      </c>
      <c r="AC45" s="11" t="s">
        <v>1947</v>
      </c>
      <c r="AD45" s="11" t="s">
        <v>404</v>
      </c>
      <c r="AE45" s="11"/>
      <c r="AF45" s="11"/>
      <c r="AG45" s="11"/>
      <c r="AH45" s="11"/>
      <c r="AI45" s="11"/>
      <c r="AJ45" s="11"/>
      <c r="AK45" s="11"/>
      <c r="AL45" s="11"/>
      <c r="AM45" s="11"/>
    </row>
    <row r="46" spans="1:39" s="78" customFormat="1" ht="45">
      <c r="A46" s="11" t="s">
        <v>780</v>
      </c>
      <c r="B46" s="11" t="s">
        <v>1526</v>
      </c>
      <c r="C46" s="11" t="s">
        <v>2400</v>
      </c>
      <c r="D46" s="11" t="s">
        <v>159</v>
      </c>
      <c r="E46" s="63" t="s">
        <v>185</v>
      </c>
      <c r="F46" s="11">
        <v>15.160591</v>
      </c>
      <c r="G46" s="11">
        <v>120.075479</v>
      </c>
      <c r="H46" s="11" t="str">
        <f t="shared" si="5"/>
        <v>15.160591, 120.075479</v>
      </c>
      <c r="I46" s="387" t="s">
        <v>80</v>
      </c>
      <c r="J46" s="11" t="s">
        <v>41</v>
      </c>
      <c r="K46" s="11" t="s">
        <v>163</v>
      </c>
      <c r="L46" s="11" t="s">
        <v>164</v>
      </c>
      <c r="M46" s="11" t="s">
        <v>2401</v>
      </c>
      <c r="N46" s="34">
        <v>45882</v>
      </c>
      <c r="O46" s="34">
        <v>45887</v>
      </c>
      <c r="P46" s="34">
        <v>45887</v>
      </c>
      <c r="Q46" s="34">
        <v>45887</v>
      </c>
      <c r="R46" s="34">
        <v>45887</v>
      </c>
      <c r="S46" s="45">
        <f t="shared" si="1"/>
        <v>3</v>
      </c>
      <c r="T46" s="45">
        <f t="shared" si="2"/>
        <v>1</v>
      </c>
      <c r="U46" s="45">
        <f t="shared" si="4"/>
        <v>1</v>
      </c>
      <c r="V46" s="45">
        <f t="shared" si="3"/>
        <v>1</v>
      </c>
      <c r="W46" s="11" t="s">
        <v>150</v>
      </c>
      <c r="X46" s="11" t="s">
        <v>50</v>
      </c>
      <c r="Y46" s="11" t="s">
        <v>60</v>
      </c>
      <c r="Z46" s="11">
        <v>3</v>
      </c>
      <c r="AA46" s="11" t="s">
        <v>54</v>
      </c>
      <c r="AB46" s="11" t="s">
        <v>808</v>
      </c>
      <c r="AC46" s="7" t="s">
        <v>2402</v>
      </c>
      <c r="AD46" s="11"/>
      <c r="AE46" s="11"/>
      <c r="AF46" s="11"/>
      <c r="AG46" s="11"/>
      <c r="AH46" s="11"/>
      <c r="AI46" s="11"/>
      <c r="AJ46" s="11"/>
      <c r="AK46" s="11"/>
      <c r="AL46" s="11"/>
      <c r="AM46" s="11"/>
    </row>
    <row r="47" spans="1:39" s="78" customFormat="1" ht="30">
      <c r="A47" s="11" t="s">
        <v>780</v>
      </c>
      <c r="B47" s="11" t="s">
        <v>914</v>
      </c>
      <c r="C47" s="11" t="s">
        <v>2403</v>
      </c>
      <c r="D47" s="11" t="s">
        <v>159</v>
      </c>
      <c r="E47" s="63" t="s">
        <v>185</v>
      </c>
      <c r="F47" s="11">
        <v>14.943899999999999</v>
      </c>
      <c r="G47" s="11">
        <v>120.081</v>
      </c>
      <c r="H47" s="11" t="str">
        <f t="shared" si="5"/>
        <v>14.9439, 120.081</v>
      </c>
      <c r="I47" s="387" t="s">
        <v>82</v>
      </c>
      <c r="J47" s="11" t="s">
        <v>2073</v>
      </c>
      <c r="K47" s="11" t="s">
        <v>163</v>
      </c>
      <c r="L47" s="94" t="s">
        <v>164</v>
      </c>
      <c r="M47" s="11" t="s">
        <v>2404</v>
      </c>
      <c r="N47" s="34">
        <v>45932</v>
      </c>
      <c r="O47" s="34">
        <v>45942</v>
      </c>
      <c r="P47" s="34">
        <v>45944</v>
      </c>
      <c r="Q47" s="34">
        <v>45946</v>
      </c>
      <c r="R47" s="34">
        <v>45947</v>
      </c>
      <c r="S47" s="45">
        <f t="shared" si="1"/>
        <v>6</v>
      </c>
      <c r="T47" s="45">
        <f t="shared" si="2"/>
        <v>1</v>
      </c>
      <c r="U47" s="45">
        <f t="shared" si="4"/>
        <v>2</v>
      </c>
      <c r="V47" s="45">
        <f t="shared" si="3"/>
        <v>1</v>
      </c>
      <c r="W47" s="11" t="s">
        <v>150</v>
      </c>
      <c r="X47" s="11" t="s">
        <v>50</v>
      </c>
      <c r="Y47" s="11" t="s">
        <v>60</v>
      </c>
      <c r="Z47" s="11">
        <v>2</v>
      </c>
      <c r="AA47" s="11" t="s">
        <v>61</v>
      </c>
      <c r="AB47" s="11">
        <v>20.8</v>
      </c>
      <c r="AC47" s="11" t="s">
        <v>1947</v>
      </c>
      <c r="AD47" s="11"/>
      <c r="AE47" s="11" t="s">
        <v>2352</v>
      </c>
      <c r="AF47" s="7" t="s">
        <v>1422</v>
      </c>
      <c r="AG47" s="11"/>
      <c r="AH47" s="11"/>
      <c r="AI47" s="11"/>
      <c r="AJ47" s="11"/>
      <c r="AK47" s="11"/>
      <c r="AL47" s="11"/>
      <c r="AM47" s="11"/>
    </row>
    <row r="48" spans="1:39" s="78" customFormat="1">
      <c r="A48" s="11" t="s">
        <v>780</v>
      </c>
      <c r="B48" s="11" t="s">
        <v>2071</v>
      </c>
      <c r="C48" s="11" t="s">
        <v>2405</v>
      </c>
      <c r="D48" s="11" t="s">
        <v>159</v>
      </c>
      <c r="E48" s="63" t="s">
        <v>160</v>
      </c>
      <c r="F48" s="11">
        <v>14.9017549</v>
      </c>
      <c r="G48" s="11">
        <v>120.23236989999999</v>
      </c>
      <c r="H48" s="11" t="str">
        <f t="shared" si="5"/>
        <v>14.9017549, 120.2323699</v>
      </c>
      <c r="I48" s="382" t="s">
        <v>83</v>
      </c>
      <c r="J48" s="11" t="s">
        <v>2073</v>
      </c>
      <c r="K48" s="11" t="s">
        <v>163</v>
      </c>
      <c r="L48" s="11" t="s">
        <v>164</v>
      </c>
      <c r="M48" s="11" t="s">
        <v>2406</v>
      </c>
      <c r="N48" s="34">
        <v>45972</v>
      </c>
      <c r="O48" s="34">
        <v>45972</v>
      </c>
      <c r="P48" s="34">
        <v>45972</v>
      </c>
      <c r="Q48" s="34">
        <v>45973</v>
      </c>
      <c r="R48" s="34">
        <v>45975</v>
      </c>
      <c r="S48" s="45">
        <f t="shared" si="1"/>
        <v>1</v>
      </c>
      <c r="T48" s="45">
        <f t="shared" si="2"/>
        <v>1</v>
      </c>
      <c r="U48" s="45">
        <f t="shared" si="4"/>
        <v>1</v>
      </c>
      <c r="V48" s="45">
        <f t="shared" si="3"/>
        <v>2</v>
      </c>
      <c r="W48" s="11" t="s">
        <v>150</v>
      </c>
      <c r="X48" s="11" t="s">
        <v>50</v>
      </c>
      <c r="Y48" s="11" t="s">
        <v>53</v>
      </c>
      <c r="Z48" s="11"/>
      <c r="AA48" s="11" t="s">
        <v>54</v>
      </c>
      <c r="AB48" s="11" t="s">
        <v>2407</v>
      </c>
      <c r="AC48" s="11" t="s">
        <v>808</v>
      </c>
      <c r="AD48" s="11" t="s">
        <v>2110</v>
      </c>
      <c r="AE48" s="11"/>
      <c r="AF48" s="11"/>
      <c r="AG48" s="11"/>
      <c r="AH48" s="11"/>
      <c r="AI48" s="11"/>
      <c r="AJ48" s="11"/>
      <c r="AK48" s="11"/>
      <c r="AL48" s="11"/>
      <c r="AM48" s="11"/>
    </row>
  </sheetData>
  <autoFilter ref="A1:AM48" xr:uid="{61779E6D-B13F-405F-95A7-1A0BDA30A0A0}"/>
  <conditionalFormatting sqref="C1">
    <cfRule type="duplicateValues" dxfId="7" priority="2"/>
  </conditionalFormatting>
  <dataValidations count="2">
    <dataValidation allowBlank="1" showInputMessage="1" showErrorMessage="1" sqref="L3:L9 A1:AM1" xr:uid="{B1B5DA4F-573A-4578-B923-317CBF814D29}"/>
    <dataValidation type="list" allowBlank="1" showInputMessage="1" showErrorMessage="1" sqref="A1:A1048576" xr:uid="{CB56AEEC-E533-47CA-B4CD-F879A84FD1EE}">
      <formula1>"Aurora, Bataan, Bulacan, Nueva_Ecija, Pampanga, Tarlac, Zambales"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
        <x14:dataValidation type="list" allowBlank="1" showInputMessage="1" showErrorMessage="1" xr:uid="{B13CB9D9-FF0C-434E-B6CE-3BECE55E6AFC}">
          <x14:formula1>
            <xm:f>'Data Validation'!$Y$2:$Y$3</xm:f>
          </x14:formula1>
          <xm:sqref>AA40:AA48 AA1:AA38</xm:sqref>
        </x14:dataValidation>
        <x14:dataValidation type="list" allowBlank="1" showInputMessage="1" showErrorMessage="1" xr:uid="{85AACA63-C4F9-4A6E-914C-7A6485666921}">
          <x14:formula1>
            <xm:f>'Data Validation'!$W$2:$W$5</xm:f>
          </x14:formula1>
          <xm:sqref>X1:X48</xm:sqref>
        </x14:dataValidation>
        <x14:dataValidation type="list" allowBlank="1" showInputMessage="1" showErrorMessage="1" xr:uid="{F5F499DA-0A95-4162-BFA9-56167863380A}">
          <x14:formula1>
            <xm:f>'Data Validation'!$X$2:$X$3</xm:f>
          </x14:formula1>
          <xm:sqref>Y1:Y48</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42DE0-9499-4DE2-9F4B-1545AC291F28}">
  <sheetPr codeName="Sheet10"/>
  <dimension ref="A1:AI22"/>
  <sheetViews>
    <sheetView zoomScale="80" zoomScaleNormal="80" workbookViewId="0">
      <pane xSplit="2" ySplit="1" topLeftCell="C2" activePane="bottomRight" state="frozen"/>
      <selection pane="topRight"/>
      <selection pane="bottomLeft"/>
      <selection pane="bottomRight" activeCell="AB10" sqref="AB10:AB13"/>
    </sheetView>
  </sheetViews>
  <sheetFormatPr defaultRowHeight="15"/>
  <cols>
    <col min="1" max="1" width="15" customWidth="1"/>
    <col min="2" max="2" width="39.7109375" bestFit="1" customWidth="1"/>
    <col min="3" max="4" width="55" customWidth="1"/>
    <col min="5" max="5" width="38.5703125" customWidth="1"/>
    <col min="6" max="6" width="24.5703125" bestFit="1" customWidth="1"/>
    <col min="7" max="7" width="14.140625" customWidth="1"/>
    <col min="8" max="8" width="13.7109375" customWidth="1"/>
    <col min="9" max="9" width="26.5703125" bestFit="1" customWidth="1"/>
    <col min="10" max="10" width="33.140625" customWidth="1"/>
    <col min="11" max="11" width="32.28515625" customWidth="1"/>
    <col min="12" max="12" width="41.42578125" customWidth="1"/>
    <col min="13" max="13" width="44.140625" bestFit="1" customWidth="1"/>
    <col min="14" max="14" width="26.5703125" customWidth="1"/>
    <col min="15" max="15" width="35.7109375" customWidth="1"/>
    <col min="16" max="16" width="17.42578125" customWidth="1"/>
    <col min="17" max="17" width="21.7109375" style="20" bestFit="1" customWidth="1"/>
    <col min="18" max="18" width="23.85546875" style="20" customWidth="1"/>
    <col min="19" max="19" width="23.85546875" style="20" bestFit="1" customWidth="1"/>
    <col min="20" max="20" width="21.42578125" style="20" customWidth="1"/>
    <col min="21" max="21" width="22.140625" customWidth="1"/>
    <col min="22" max="25" width="24.7109375" customWidth="1"/>
    <col min="26" max="29" width="21.42578125" customWidth="1"/>
    <col min="30" max="30" width="21" bestFit="1" customWidth="1"/>
    <col min="31" max="31" width="28" customWidth="1"/>
    <col min="32" max="32" width="45.85546875" style="425" customWidth="1"/>
    <col min="33" max="33" width="39.5703125" customWidth="1"/>
    <col min="34" max="34" width="17" customWidth="1"/>
    <col min="35" max="35" width="20.42578125" customWidth="1"/>
    <col min="36" max="36" width="9.140625" bestFit="1" customWidth="1"/>
  </cols>
  <sheetData>
    <row r="1" spans="1:35" s="47" customFormat="1" ht="45">
      <c r="A1" s="696" t="s">
        <v>85</v>
      </c>
      <c r="B1" s="696" t="s">
        <v>86</v>
      </c>
      <c r="C1" s="696" t="s">
        <v>2600</v>
      </c>
      <c r="D1" s="696" t="s">
        <v>2601</v>
      </c>
      <c r="E1" s="696" t="s">
        <v>2409</v>
      </c>
      <c r="F1" s="696" t="s">
        <v>88</v>
      </c>
      <c r="G1" s="697" t="s">
        <v>783</v>
      </c>
      <c r="H1" s="697" t="s">
        <v>784</v>
      </c>
      <c r="I1" s="697" t="s">
        <v>785</v>
      </c>
      <c r="J1" s="697" t="s">
        <v>2410</v>
      </c>
      <c r="K1" s="697" t="s">
        <v>2411</v>
      </c>
      <c r="L1" s="697" t="s">
        <v>2412</v>
      </c>
      <c r="M1" s="697" t="s">
        <v>2413</v>
      </c>
      <c r="N1" s="697" t="s">
        <v>2414</v>
      </c>
      <c r="O1" s="697" t="s">
        <v>2415</v>
      </c>
      <c r="P1" s="698" t="s">
        <v>2416</v>
      </c>
      <c r="Q1" s="698" t="s">
        <v>100</v>
      </c>
      <c r="R1" s="698" t="s">
        <v>1575</v>
      </c>
      <c r="S1" s="698" t="s">
        <v>102</v>
      </c>
      <c r="T1" s="698" t="s">
        <v>103</v>
      </c>
      <c r="U1" s="698" t="s">
        <v>104</v>
      </c>
      <c r="V1" s="698" t="s">
        <v>105</v>
      </c>
      <c r="W1" s="698" t="s">
        <v>106</v>
      </c>
      <c r="X1" s="698" t="s">
        <v>107</v>
      </c>
      <c r="Y1" s="698" t="s">
        <v>108</v>
      </c>
      <c r="Z1" s="698" t="s">
        <v>109</v>
      </c>
      <c r="AA1" s="698" t="s">
        <v>110</v>
      </c>
      <c r="AB1" s="698" t="s">
        <v>111</v>
      </c>
      <c r="AC1" s="698" t="s">
        <v>112</v>
      </c>
      <c r="AD1" s="698" t="s">
        <v>2250</v>
      </c>
      <c r="AE1" s="699" t="s">
        <v>2417</v>
      </c>
      <c r="AF1" s="699" t="s">
        <v>2418</v>
      </c>
      <c r="AG1" s="699" t="s">
        <v>127</v>
      </c>
      <c r="AH1" s="700" t="s">
        <v>2419</v>
      </c>
      <c r="AI1" s="700" t="s">
        <v>799</v>
      </c>
    </row>
    <row r="2" spans="1:35" s="47" customFormat="1" ht="30">
      <c r="A2" s="775" t="s">
        <v>773</v>
      </c>
      <c r="B2" s="775" t="s">
        <v>2420</v>
      </c>
      <c r="C2" s="776" t="s">
        <v>2421</v>
      </c>
      <c r="D2" s="776"/>
      <c r="E2" s="777">
        <v>44986</v>
      </c>
      <c r="F2" s="775" t="s">
        <v>159</v>
      </c>
      <c r="G2" s="694">
        <v>15.806566999999999</v>
      </c>
      <c r="H2" s="775">
        <v>121.54037599999999</v>
      </c>
      <c r="I2" s="778" t="s">
        <v>2422</v>
      </c>
      <c r="J2" s="779" t="s">
        <v>2423</v>
      </c>
      <c r="K2" s="779">
        <v>65</v>
      </c>
      <c r="L2" s="778" t="s">
        <v>2424</v>
      </c>
      <c r="M2" s="778" t="s">
        <v>69</v>
      </c>
      <c r="N2" s="778" t="s">
        <v>69</v>
      </c>
      <c r="O2" s="778" t="s">
        <v>69</v>
      </c>
      <c r="P2" s="695" t="s">
        <v>83</v>
      </c>
      <c r="Q2" s="775" t="s">
        <v>13</v>
      </c>
      <c r="R2" s="775"/>
      <c r="S2" s="775" t="s">
        <v>163</v>
      </c>
      <c r="T2" s="775" t="s">
        <v>2602</v>
      </c>
      <c r="U2" s="780">
        <v>45958</v>
      </c>
      <c r="V2" s="780">
        <v>45964</v>
      </c>
      <c r="W2" s="780"/>
      <c r="X2" s="780">
        <v>45966</v>
      </c>
      <c r="Y2" s="780">
        <v>45968</v>
      </c>
      <c r="Z2" s="781">
        <f>IF(
    OR(ISBLANK(U2), ISBLANK(V2)),
    "",
    MAX(1, IF(
        NETWORKDAYS(U2, V2) &lt;= 0,
        1,
        NETWORKDAYS(U2, V2) - IF(U2 = V2, 0, 1)
    ))
)</f>
        <v>4</v>
      </c>
      <c r="AA2" s="781" t="str">
        <f>IF(
    OR(ISBLANK(V2), ISBLANK(W2)),
    "",
    MAX(1, IF(
        NETWORKDAYS(V2, W2) &lt;= 0,
        1,
        NETWORKDAYS(V2, W2) - IF(V2 = W2, 0, 1)
    ))
)</f>
        <v/>
      </c>
      <c r="AB2" s="781">
        <f>IF(
  OR(A2 = "Nueva_Ecija", A2 = "Zambales"),
  IF(
    OR(ISBLANK(W2), ISBLANK(X2)),
    "",
    MAX(1, IF(
      NETWORKDAYS(W2, X2) &lt;= 0,
      1,
      NETWORKDAYS(W2, X2) - IF(W2 = X2, 0, 1)
    ))
  ),
  IF(
    OR(ISBLANK(V2), ISBLANK(X2)),
    "",
    MAX(1, IF(
      NETWORKDAYS(V2, X2) &lt;= 0,
      1,
      NETWORKDAYS(V2, X2) - IF(V2 = X2, 0, 1)
    ))
  )
)</f>
        <v>2</v>
      </c>
      <c r="AC2" s="781">
        <f>IF(
    OR(ISBLANK(X2), ISBLANK(Y2)),
    "",
    MAX(1, IF(
        NETWORKDAYS(X2, Y2) &lt;= 0,
        1,
        NETWORKDAYS(X2, Y2) - IF(X2 = Y2, 0, 1)
    ))
)</f>
        <v>2</v>
      </c>
      <c r="AD2" s="778" t="s">
        <v>150</v>
      </c>
      <c r="AE2" s="775" t="s">
        <v>50</v>
      </c>
      <c r="AF2" s="775">
        <v>2</v>
      </c>
      <c r="AG2" s="782" t="s">
        <v>2264</v>
      </c>
      <c r="AH2" s="783"/>
      <c r="AI2" s="783"/>
    </row>
    <row r="3" spans="1:35" ht="75">
      <c r="A3" s="775" t="s">
        <v>773</v>
      </c>
      <c r="B3" s="775" t="s">
        <v>545</v>
      </c>
      <c r="C3" s="776" t="s">
        <v>2428</v>
      </c>
      <c r="D3" s="776"/>
      <c r="E3" s="777">
        <v>44979</v>
      </c>
      <c r="F3" s="775" t="s">
        <v>159</v>
      </c>
      <c r="G3" s="694">
        <v>16.288014</v>
      </c>
      <c r="H3" s="775">
        <v>122.122124</v>
      </c>
      <c r="I3" s="778" t="s">
        <v>2429</v>
      </c>
      <c r="J3" s="779"/>
      <c r="K3" s="779">
        <v>63</v>
      </c>
      <c r="L3" s="778" t="s">
        <v>2430</v>
      </c>
      <c r="M3" s="778" t="s">
        <v>69</v>
      </c>
      <c r="N3" s="778" t="s">
        <v>69</v>
      </c>
      <c r="O3" s="778" t="s">
        <v>69</v>
      </c>
      <c r="P3" s="695" t="s">
        <v>82</v>
      </c>
      <c r="Q3" s="775" t="s">
        <v>15</v>
      </c>
      <c r="R3" s="775"/>
      <c r="S3" s="775" t="s">
        <v>163</v>
      </c>
      <c r="T3" s="775" t="s">
        <v>2603</v>
      </c>
      <c r="U3" s="780">
        <v>45937</v>
      </c>
      <c r="V3" s="780">
        <v>45937</v>
      </c>
      <c r="W3" s="780"/>
      <c r="X3" s="780">
        <v>45939</v>
      </c>
      <c r="Y3" s="780">
        <v>45940</v>
      </c>
      <c r="Z3" s="781">
        <f t="shared" ref="Z3:Z22" si="0">IF(
    OR(ISBLANK(U3), ISBLANK(V3)),
    "",
    MAX(1, IF(
        NETWORKDAYS(U3, V3) &lt;= 0,
        1,
        NETWORKDAYS(U3, V3) - IF(U3 = V3, 0, 1)
    ))
)</f>
        <v>1</v>
      </c>
      <c r="AA3" s="781" t="str">
        <f t="shared" ref="AA3:AA22" si="1">IF(
    OR(ISBLANK(V3), ISBLANK(W3)),
    "",
    MAX(1, IF(
        NETWORKDAYS(V3, W3) &lt;= 0,
        1,
        NETWORKDAYS(V3, W3) - IF(V3 = W3, 0, 1)
    ))
)</f>
        <v/>
      </c>
      <c r="AB3" s="781">
        <f t="shared" ref="AB3:AB22" si="2">IF(
  OR(A3 = "Nueva_Ecija", A3 = "Zambales"),
  IF(
    OR(ISBLANK(W3), ISBLANK(X3)),
    "",
    MAX(1, IF(
      NETWORKDAYS(W3, X3) &lt;= 0,
      1,
      NETWORKDAYS(W3, X3) - IF(W3 = X3, 0, 1)
    ))
  ),
  IF(
    OR(ISBLANK(V3), ISBLANK(X3)),
    "",
    MAX(1, IF(
      NETWORKDAYS(V3, X3) &lt;= 0,
      1,
      NETWORKDAYS(V3, X3) - IF(V3 = X3, 0, 1)
    ))
  )
)</f>
        <v>2</v>
      </c>
      <c r="AC3" s="781">
        <f t="shared" ref="AC3:AC21" si="3">IF(
    OR(ISBLANK(X3), ISBLANK(Y3)),
    "",
    MAX(1, IF(
        NETWORKDAYS(X3, Y3) &lt;= 0,
        1,
        NETWORKDAYS(X3, Y3) - IF(X3 = Y3, 0, 1)
    ))
)</f>
        <v>1</v>
      </c>
      <c r="AD3" s="778" t="s">
        <v>150</v>
      </c>
      <c r="AE3" s="775" t="s">
        <v>50</v>
      </c>
      <c r="AF3" s="775">
        <v>8.5000000000000006E-2</v>
      </c>
      <c r="AG3" s="782" t="s">
        <v>2604</v>
      </c>
      <c r="AH3" s="783"/>
      <c r="AI3" s="783"/>
    </row>
    <row r="4" spans="1:35" ht="135">
      <c r="A4" s="775" t="s">
        <v>773</v>
      </c>
      <c r="B4" s="775" t="s">
        <v>254</v>
      </c>
      <c r="C4" s="776" t="s">
        <v>2433</v>
      </c>
      <c r="D4" s="776"/>
      <c r="E4" s="777">
        <v>44896</v>
      </c>
      <c r="F4" s="775" t="s">
        <v>159</v>
      </c>
      <c r="G4" s="694">
        <v>15.38205</v>
      </c>
      <c r="H4" s="775">
        <v>121.38054</v>
      </c>
      <c r="I4" s="778" t="str">
        <f>_xlfn.CONCAT(G4:H4)</f>
        <v>15.38205121.38054</v>
      </c>
      <c r="J4" s="779"/>
      <c r="K4" s="779">
        <v>63</v>
      </c>
      <c r="L4" s="778" t="s">
        <v>2435</v>
      </c>
      <c r="M4" s="778" t="s">
        <v>69</v>
      </c>
      <c r="N4" s="778" t="s">
        <v>69</v>
      </c>
      <c r="O4" s="778" t="s">
        <v>69</v>
      </c>
      <c r="P4" s="695" t="s">
        <v>80</v>
      </c>
      <c r="Q4" s="775" t="s">
        <v>14</v>
      </c>
      <c r="R4" s="775"/>
      <c r="S4" s="775" t="s">
        <v>163</v>
      </c>
      <c r="T4" s="775" t="s">
        <v>2605</v>
      </c>
      <c r="U4" s="780">
        <v>45882</v>
      </c>
      <c r="V4" s="780">
        <v>45887</v>
      </c>
      <c r="W4" s="780"/>
      <c r="X4" s="780">
        <v>45887</v>
      </c>
      <c r="Y4" s="780">
        <v>45887</v>
      </c>
      <c r="Z4" s="781">
        <f t="shared" si="0"/>
        <v>3</v>
      </c>
      <c r="AA4" s="781" t="str">
        <f t="shared" si="1"/>
        <v/>
      </c>
      <c r="AB4" s="781">
        <f t="shared" si="2"/>
        <v>1</v>
      </c>
      <c r="AC4" s="781">
        <f t="shared" si="3"/>
        <v>1</v>
      </c>
      <c r="AD4" s="778" t="s">
        <v>150</v>
      </c>
      <c r="AE4" s="775" t="s">
        <v>50</v>
      </c>
      <c r="AF4" s="775" t="s">
        <v>1039</v>
      </c>
      <c r="AG4" s="782" t="s">
        <v>2606</v>
      </c>
      <c r="AH4" s="783"/>
      <c r="AI4" s="783"/>
    </row>
    <row r="5" spans="1:35" ht="60">
      <c r="A5" s="775" t="s">
        <v>774</v>
      </c>
      <c r="B5" s="775" t="s">
        <v>2437</v>
      </c>
      <c r="C5" s="776" t="s">
        <v>2607</v>
      </c>
      <c r="D5" s="776"/>
      <c r="E5" s="777" t="s">
        <v>2439</v>
      </c>
      <c r="F5" s="775" t="s">
        <v>143</v>
      </c>
      <c r="G5" s="694">
        <v>14.7895</v>
      </c>
      <c r="H5" s="775">
        <v>120.53570000000001</v>
      </c>
      <c r="I5" s="778" t="s">
        <v>2440</v>
      </c>
      <c r="J5" s="779"/>
      <c r="K5" s="779">
        <v>63</v>
      </c>
      <c r="L5" s="778" t="s">
        <v>2442</v>
      </c>
      <c r="M5" s="778" t="s">
        <v>2443</v>
      </c>
      <c r="N5" s="778" t="s">
        <v>69</v>
      </c>
      <c r="O5" s="778" t="s">
        <v>2444</v>
      </c>
      <c r="P5" s="695" t="s">
        <v>81</v>
      </c>
      <c r="Q5" s="775" t="s">
        <v>18</v>
      </c>
      <c r="R5" s="775"/>
      <c r="S5" s="775" t="s">
        <v>180</v>
      </c>
      <c r="T5" s="775" t="s">
        <v>2608</v>
      </c>
      <c r="U5" s="780">
        <v>45911</v>
      </c>
      <c r="V5" s="780">
        <v>45915</v>
      </c>
      <c r="W5" s="780"/>
      <c r="X5" s="780">
        <v>45915</v>
      </c>
      <c r="Y5" s="780">
        <v>45917</v>
      </c>
      <c r="Z5" s="781">
        <f t="shared" si="0"/>
        <v>2</v>
      </c>
      <c r="AA5" s="781" t="str">
        <f t="shared" si="1"/>
        <v/>
      </c>
      <c r="AB5" s="781">
        <f t="shared" si="2"/>
        <v>1</v>
      </c>
      <c r="AC5" s="781">
        <f t="shared" si="3"/>
        <v>2</v>
      </c>
      <c r="AD5" s="778" t="s">
        <v>150</v>
      </c>
      <c r="AE5" s="775" t="s">
        <v>50</v>
      </c>
      <c r="AF5" s="776" t="s">
        <v>2609</v>
      </c>
      <c r="AG5" s="782" t="s">
        <v>2610</v>
      </c>
      <c r="AH5" s="783"/>
      <c r="AI5" s="783"/>
    </row>
    <row r="6" spans="1:35" ht="30">
      <c r="A6" s="775" t="s">
        <v>774</v>
      </c>
      <c r="B6" s="775" t="s">
        <v>2448</v>
      </c>
      <c r="C6" s="776" t="s">
        <v>2449</v>
      </c>
      <c r="D6" s="776"/>
      <c r="E6" s="777" t="s">
        <v>69</v>
      </c>
      <c r="F6" s="775" t="s">
        <v>143</v>
      </c>
      <c r="G6" s="694">
        <v>14.671222999999999</v>
      </c>
      <c r="H6" s="775">
        <v>120.494659</v>
      </c>
      <c r="I6" s="778" t="s">
        <v>2450</v>
      </c>
      <c r="J6" s="779" t="s">
        <v>2611</v>
      </c>
      <c r="K6" s="779">
        <v>63</v>
      </c>
      <c r="L6" s="778" t="s">
        <v>2452</v>
      </c>
      <c r="M6" s="778" t="s">
        <v>2453</v>
      </c>
      <c r="N6" s="778" t="s">
        <v>69</v>
      </c>
      <c r="O6" s="778" t="s">
        <v>69</v>
      </c>
      <c r="P6" s="695" t="s">
        <v>80</v>
      </c>
      <c r="Q6" s="775" t="s">
        <v>17</v>
      </c>
      <c r="R6" s="775"/>
      <c r="S6" s="775" t="s">
        <v>180</v>
      </c>
      <c r="T6" s="775" t="s">
        <v>2612</v>
      </c>
      <c r="U6" s="780">
        <v>45881</v>
      </c>
      <c r="V6" s="780">
        <v>45887</v>
      </c>
      <c r="W6" s="780">
        <v>45887</v>
      </c>
      <c r="X6" s="780">
        <v>45887</v>
      </c>
      <c r="Y6" s="780">
        <v>45887</v>
      </c>
      <c r="Z6" s="781">
        <f t="shared" si="0"/>
        <v>4</v>
      </c>
      <c r="AA6" s="781">
        <f t="shared" si="1"/>
        <v>1</v>
      </c>
      <c r="AB6" s="781">
        <f t="shared" si="2"/>
        <v>1</v>
      </c>
      <c r="AC6" s="781">
        <f t="shared" si="3"/>
        <v>1</v>
      </c>
      <c r="AD6" s="778" t="s">
        <v>150</v>
      </c>
      <c r="AE6" s="775" t="s">
        <v>50</v>
      </c>
      <c r="AF6" s="775" t="s">
        <v>1039</v>
      </c>
      <c r="AG6" s="782"/>
      <c r="AH6" s="783"/>
      <c r="AI6" s="783"/>
    </row>
    <row r="7" spans="1:35" ht="45">
      <c r="A7" s="775" t="s">
        <v>776</v>
      </c>
      <c r="B7" s="775" t="s">
        <v>2455</v>
      </c>
      <c r="C7" s="776" t="s">
        <v>2456</v>
      </c>
      <c r="D7" s="776"/>
      <c r="E7" s="777">
        <v>44917</v>
      </c>
      <c r="F7" s="775" t="s">
        <v>143</v>
      </c>
      <c r="G7" s="694">
        <v>14.8079</v>
      </c>
      <c r="H7" s="775">
        <v>120.8445</v>
      </c>
      <c r="I7" s="778" t="s">
        <v>2457</v>
      </c>
      <c r="J7" s="779" t="s">
        <v>2458</v>
      </c>
      <c r="K7" s="779" t="s">
        <v>2613</v>
      </c>
      <c r="L7" s="778" t="s">
        <v>69</v>
      </c>
      <c r="M7" s="778" t="s">
        <v>69</v>
      </c>
      <c r="N7" s="778" t="s">
        <v>69</v>
      </c>
      <c r="O7" s="778" t="s">
        <v>69</v>
      </c>
      <c r="P7" s="695" t="s">
        <v>81</v>
      </c>
      <c r="Q7" s="775" t="s">
        <v>1826</v>
      </c>
      <c r="R7" s="775"/>
      <c r="S7" s="775" t="s">
        <v>201</v>
      </c>
      <c r="T7" s="775" t="s">
        <v>2614</v>
      </c>
      <c r="U7" s="780">
        <v>45902</v>
      </c>
      <c r="V7" s="780">
        <v>45905</v>
      </c>
      <c r="W7" s="780"/>
      <c r="X7" s="780">
        <v>45911</v>
      </c>
      <c r="Y7" s="780">
        <v>45917</v>
      </c>
      <c r="Z7" s="781">
        <f>IF(
    OR(ISBLANK(U7), ISBLANK(V7)),
    "",
    MAX(1, IF(
        NETWORKDAYS(U7, V7) &lt;= 0,
        1,
        NETWORKDAYS(U7, V7) - IF(U7 = V7, 0, 1)
    ))
)</f>
        <v>3</v>
      </c>
      <c r="AA7" s="781" t="str">
        <f>IF(
    OR(ISBLANK(V7), ISBLANK(W7)),
    "",
    MAX(1, IF(
        NETWORKDAYS(V7, W7) &lt;= 0,
        1,
        NETWORKDAYS(V7, W7) - IF(V7 = W7, 0, 1)
    ))
)</f>
        <v/>
      </c>
      <c r="AB7" s="781">
        <v>1</v>
      </c>
      <c r="AC7" s="781">
        <f>IF(
    OR(ISBLANK(X7), ISBLANK(Y7)),
    "",
    MAX(1, IF(
        NETWORKDAYS(X7, Y7) &lt;= 0,
        1,
        NETWORKDAYS(X7, Y7) - IF(X7 = Y7, 0, 1)
    ))
)</f>
        <v>4</v>
      </c>
      <c r="AD7" s="778" t="s">
        <v>150</v>
      </c>
      <c r="AE7" s="775" t="s">
        <v>50</v>
      </c>
      <c r="AF7" s="775"/>
      <c r="AG7" s="782"/>
      <c r="AH7" s="783"/>
      <c r="AI7" s="783"/>
    </row>
    <row r="8" spans="1:35" ht="30">
      <c r="A8" s="775" t="s">
        <v>776</v>
      </c>
      <c r="B8" s="775" t="s">
        <v>2461</v>
      </c>
      <c r="C8" s="776" t="s">
        <v>2462</v>
      </c>
      <c r="D8" s="776"/>
      <c r="E8" s="777">
        <v>44896</v>
      </c>
      <c r="F8" s="775" t="s">
        <v>143</v>
      </c>
      <c r="G8" s="694">
        <v>14.8078</v>
      </c>
      <c r="H8" s="775">
        <v>120.8445</v>
      </c>
      <c r="I8" s="778" t="s">
        <v>2463</v>
      </c>
      <c r="J8" s="779"/>
      <c r="K8" s="779" t="s">
        <v>2615</v>
      </c>
      <c r="L8" s="778" t="s">
        <v>69</v>
      </c>
      <c r="M8" s="778" t="s">
        <v>69</v>
      </c>
      <c r="N8" s="778" t="s">
        <v>69</v>
      </c>
      <c r="O8" s="778" t="s">
        <v>69</v>
      </c>
      <c r="P8" s="695" t="s">
        <v>83</v>
      </c>
      <c r="Q8" s="775" t="s">
        <v>24</v>
      </c>
      <c r="R8" s="775" t="s">
        <v>147</v>
      </c>
      <c r="S8" s="775" t="s">
        <v>201</v>
      </c>
      <c r="T8" s="775" t="s">
        <v>2616</v>
      </c>
      <c r="U8" s="780">
        <v>45967</v>
      </c>
      <c r="V8" s="780">
        <v>45971</v>
      </c>
      <c r="W8" s="780">
        <v>45979</v>
      </c>
      <c r="X8" s="780">
        <v>45980</v>
      </c>
      <c r="Y8" s="780">
        <v>45980</v>
      </c>
      <c r="Z8" s="781">
        <f t="shared" si="0"/>
        <v>2</v>
      </c>
      <c r="AA8" s="781">
        <f t="shared" si="1"/>
        <v>6</v>
      </c>
      <c r="AB8" s="781">
        <v>1</v>
      </c>
      <c r="AC8" s="781">
        <f t="shared" si="3"/>
        <v>1</v>
      </c>
      <c r="AD8" s="778" t="s">
        <v>150</v>
      </c>
      <c r="AE8" s="775" t="s">
        <v>50</v>
      </c>
      <c r="AF8" s="775">
        <v>3.5000000000000003E-2</v>
      </c>
      <c r="AG8" s="782" t="s">
        <v>2264</v>
      </c>
      <c r="AH8" s="783"/>
      <c r="AI8" s="783"/>
    </row>
    <row r="9" spans="1:35" ht="45">
      <c r="A9" s="775" t="s">
        <v>776</v>
      </c>
      <c r="B9" s="775" t="s">
        <v>2467</v>
      </c>
      <c r="C9" s="776" t="s">
        <v>2468</v>
      </c>
      <c r="D9" s="776"/>
      <c r="E9" s="777">
        <v>44986</v>
      </c>
      <c r="F9" s="775" t="s">
        <v>143</v>
      </c>
      <c r="G9" s="694">
        <v>14.783899999999999</v>
      </c>
      <c r="H9" s="775">
        <v>121.07250000000001</v>
      </c>
      <c r="I9" s="778" t="s">
        <v>2469</v>
      </c>
      <c r="J9" s="779"/>
      <c r="K9" s="779">
        <v>62</v>
      </c>
      <c r="L9" s="778" t="s">
        <v>69</v>
      </c>
      <c r="M9" s="778" t="s">
        <v>69</v>
      </c>
      <c r="N9" s="778" t="s">
        <v>69</v>
      </c>
      <c r="O9" s="778" t="s">
        <v>69</v>
      </c>
      <c r="P9" s="695" t="s">
        <v>83</v>
      </c>
      <c r="Q9" s="775" t="s">
        <v>24</v>
      </c>
      <c r="R9" s="775" t="s">
        <v>147</v>
      </c>
      <c r="S9" s="775" t="s">
        <v>201</v>
      </c>
      <c r="T9" s="775" t="s">
        <v>2617</v>
      </c>
      <c r="U9" s="780">
        <v>45966</v>
      </c>
      <c r="V9" s="780">
        <v>45971</v>
      </c>
      <c r="W9" s="780">
        <v>45979</v>
      </c>
      <c r="X9" s="780">
        <v>45980</v>
      </c>
      <c r="Y9" s="780">
        <v>45980</v>
      </c>
      <c r="Z9" s="781">
        <f t="shared" si="0"/>
        <v>3</v>
      </c>
      <c r="AA9" s="781">
        <f t="shared" si="1"/>
        <v>6</v>
      </c>
      <c r="AB9" s="781">
        <v>1</v>
      </c>
      <c r="AC9" s="781">
        <f t="shared" si="3"/>
        <v>1</v>
      </c>
      <c r="AD9" s="778" t="s">
        <v>150</v>
      </c>
      <c r="AE9" s="775" t="s">
        <v>57</v>
      </c>
      <c r="AF9" s="775"/>
      <c r="AG9" s="782" t="s">
        <v>2264</v>
      </c>
      <c r="AH9" s="783"/>
      <c r="AI9" s="783"/>
    </row>
    <row r="10" spans="1:35" ht="30">
      <c r="A10" s="775" t="s">
        <v>2286</v>
      </c>
      <c r="B10" s="775" t="s">
        <v>2471</v>
      </c>
      <c r="C10" s="776" t="s">
        <v>2472</v>
      </c>
      <c r="D10" s="776"/>
      <c r="E10" s="777">
        <v>44927</v>
      </c>
      <c r="F10" s="775" t="s">
        <v>143</v>
      </c>
      <c r="G10" s="694">
        <v>15.489800000000001</v>
      </c>
      <c r="H10" s="775">
        <v>120.9936</v>
      </c>
      <c r="I10" s="778" t="s">
        <v>2473</v>
      </c>
      <c r="J10" s="779"/>
      <c r="K10" s="779" t="s">
        <v>2618</v>
      </c>
      <c r="L10" s="778" t="s">
        <v>2475</v>
      </c>
      <c r="M10" s="778" t="s">
        <v>69</v>
      </c>
      <c r="N10" s="778" t="s">
        <v>69</v>
      </c>
      <c r="O10" s="778" t="s">
        <v>69</v>
      </c>
      <c r="P10" s="695" t="s">
        <v>83</v>
      </c>
      <c r="Q10" s="775" t="s">
        <v>2619</v>
      </c>
      <c r="R10" s="775" t="s">
        <v>1610</v>
      </c>
      <c r="S10" s="775" t="s">
        <v>212</v>
      </c>
      <c r="T10" s="775" t="s">
        <v>2620</v>
      </c>
      <c r="U10" s="780">
        <v>45968</v>
      </c>
      <c r="V10" s="780">
        <v>45972</v>
      </c>
      <c r="W10" s="780">
        <v>45980</v>
      </c>
      <c r="X10" s="780">
        <v>45980</v>
      </c>
      <c r="Y10" s="780">
        <v>45980</v>
      </c>
      <c r="Z10" s="781">
        <f t="shared" si="0"/>
        <v>2</v>
      </c>
      <c r="AA10" s="781">
        <f t="shared" si="1"/>
        <v>6</v>
      </c>
      <c r="AB10" s="781">
        <f t="shared" si="2"/>
        <v>1</v>
      </c>
      <c r="AC10" s="781">
        <f t="shared" si="3"/>
        <v>1</v>
      </c>
      <c r="AD10" s="778" t="s">
        <v>150</v>
      </c>
      <c r="AE10" s="775" t="s">
        <v>50</v>
      </c>
      <c r="AF10" s="775"/>
      <c r="AG10" s="782"/>
      <c r="AH10" s="783"/>
      <c r="AI10" s="783"/>
    </row>
    <row r="11" spans="1:35" ht="60">
      <c r="A11" s="775" t="s">
        <v>2286</v>
      </c>
      <c r="B11" s="775" t="s">
        <v>2478</v>
      </c>
      <c r="C11" s="776" t="s">
        <v>2479</v>
      </c>
      <c r="D11" s="776"/>
      <c r="E11" s="784">
        <v>2023</v>
      </c>
      <c r="F11" s="775" t="s">
        <v>143</v>
      </c>
      <c r="G11" s="694">
        <v>15.562150000000001</v>
      </c>
      <c r="H11" s="775">
        <v>121.09815</v>
      </c>
      <c r="I11" s="778" t="s">
        <v>2480</v>
      </c>
      <c r="J11" s="779"/>
      <c r="K11" s="779">
        <v>63</v>
      </c>
      <c r="L11" s="778" t="s">
        <v>2482</v>
      </c>
      <c r="M11" s="778" t="s">
        <v>2483</v>
      </c>
      <c r="N11" s="778" t="s">
        <v>69</v>
      </c>
      <c r="O11" s="778" t="s">
        <v>69</v>
      </c>
      <c r="P11" s="695" t="s">
        <v>81</v>
      </c>
      <c r="Q11" s="775" t="s">
        <v>26</v>
      </c>
      <c r="R11" s="775" t="s">
        <v>1610</v>
      </c>
      <c r="S11" s="775" t="s">
        <v>212</v>
      </c>
      <c r="T11" s="775" t="s">
        <v>2621</v>
      </c>
      <c r="U11" s="780">
        <v>45916</v>
      </c>
      <c r="V11" s="780">
        <v>45916</v>
      </c>
      <c r="W11" s="780">
        <v>45918</v>
      </c>
      <c r="X11" s="780">
        <v>45918</v>
      </c>
      <c r="Y11" s="780">
        <v>45919</v>
      </c>
      <c r="Z11" s="781">
        <f t="shared" si="0"/>
        <v>1</v>
      </c>
      <c r="AA11" s="781">
        <f t="shared" si="1"/>
        <v>2</v>
      </c>
      <c r="AB11" s="781">
        <f t="shared" si="2"/>
        <v>1</v>
      </c>
      <c r="AC11" s="781">
        <f t="shared" si="3"/>
        <v>1</v>
      </c>
      <c r="AD11" s="778" t="s">
        <v>150</v>
      </c>
      <c r="AE11" s="775" t="s">
        <v>50</v>
      </c>
      <c r="AF11" s="785" t="s">
        <v>2622</v>
      </c>
      <c r="AG11" s="782" t="s">
        <v>2623</v>
      </c>
      <c r="AH11" s="783"/>
      <c r="AI11" s="783"/>
    </row>
    <row r="12" spans="1:35" ht="150">
      <c r="A12" s="775" t="s">
        <v>2286</v>
      </c>
      <c r="B12" s="775" t="s">
        <v>2486</v>
      </c>
      <c r="C12" s="776" t="s">
        <v>2487</v>
      </c>
      <c r="D12" s="776"/>
      <c r="E12" s="777">
        <v>44896</v>
      </c>
      <c r="F12" s="775" t="s">
        <v>143</v>
      </c>
      <c r="G12" s="694">
        <v>15.76052</v>
      </c>
      <c r="H12" s="775">
        <v>120.95547999999999</v>
      </c>
      <c r="I12" s="778" t="s">
        <v>2488</v>
      </c>
      <c r="J12" s="779"/>
      <c r="K12" s="779">
        <v>63</v>
      </c>
      <c r="L12" s="778" t="s">
        <v>2489</v>
      </c>
      <c r="M12" s="778" t="s">
        <v>69</v>
      </c>
      <c r="N12" s="778" t="s">
        <v>69</v>
      </c>
      <c r="O12" s="778" t="s">
        <v>69</v>
      </c>
      <c r="P12" s="695" t="s">
        <v>82</v>
      </c>
      <c r="Q12" s="775" t="s">
        <v>26</v>
      </c>
      <c r="R12" s="775" t="s">
        <v>1610</v>
      </c>
      <c r="S12" s="775" t="s">
        <v>212</v>
      </c>
      <c r="T12" s="775" t="s">
        <v>2624</v>
      </c>
      <c r="U12" s="780">
        <v>45946</v>
      </c>
      <c r="V12" s="780">
        <v>45946</v>
      </c>
      <c r="W12" s="780">
        <v>45947</v>
      </c>
      <c r="X12" s="780">
        <v>45947</v>
      </c>
      <c r="Y12" s="780">
        <v>45947</v>
      </c>
      <c r="Z12" s="781">
        <f t="shared" si="0"/>
        <v>1</v>
      </c>
      <c r="AA12" s="781">
        <f t="shared" si="1"/>
        <v>1</v>
      </c>
      <c r="AB12" s="781">
        <f t="shared" si="2"/>
        <v>1</v>
      </c>
      <c r="AC12" s="781">
        <f t="shared" si="3"/>
        <v>1</v>
      </c>
      <c r="AD12" s="778" t="s">
        <v>150</v>
      </c>
      <c r="AE12" s="775" t="s">
        <v>57</v>
      </c>
      <c r="AF12" s="775">
        <v>0</v>
      </c>
      <c r="AG12" s="782" t="s">
        <v>2625</v>
      </c>
      <c r="AH12" s="783"/>
      <c r="AI12" s="783"/>
    </row>
    <row r="13" spans="1:35" ht="75">
      <c r="A13" s="775" t="s">
        <v>2286</v>
      </c>
      <c r="B13" s="775" t="s">
        <v>2493</v>
      </c>
      <c r="C13" s="776" t="s">
        <v>2494</v>
      </c>
      <c r="D13" s="776" t="s">
        <v>2626</v>
      </c>
      <c r="E13" s="777">
        <v>45054</v>
      </c>
      <c r="F13" s="775" t="s">
        <v>143</v>
      </c>
      <c r="G13" s="694">
        <v>15.76113</v>
      </c>
      <c r="H13" s="775">
        <v>120.89765199999999</v>
      </c>
      <c r="I13" s="778" t="s">
        <v>2495</v>
      </c>
      <c r="J13" s="779"/>
      <c r="K13" s="779" t="s">
        <v>2627</v>
      </c>
      <c r="L13" s="778" t="s">
        <v>2497</v>
      </c>
      <c r="M13" s="778" t="s">
        <v>1229</v>
      </c>
      <c r="N13" s="778" t="s">
        <v>1229</v>
      </c>
      <c r="O13" s="778" t="s">
        <v>1229</v>
      </c>
      <c r="P13" s="695" t="s">
        <v>81</v>
      </c>
      <c r="Q13" s="775" t="s">
        <v>29</v>
      </c>
      <c r="R13" s="775" t="s">
        <v>1610</v>
      </c>
      <c r="S13" s="775" t="s">
        <v>212</v>
      </c>
      <c r="T13" s="775" t="s">
        <v>2628</v>
      </c>
      <c r="U13" s="780">
        <v>45916</v>
      </c>
      <c r="V13" s="780">
        <v>45918</v>
      </c>
      <c r="W13" s="780">
        <v>45918</v>
      </c>
      <c r="X13" s="780">
        <v>45918</v>
      </c>
      <c r="Y13" s="780">
        <v>45918</v>
      </c>
      <c r="Z13" s="781">
        <f t="shared" si="0"/>
        <v>2</v>
      </c>
      <c r="AA13" s="781">
        <f t="shared" si="1"/>
        <v>1</v>
      </c>
      <c r="AB13" s="781">
        <f t="shared" si="2"/>
        <v>1</v>
      </c>
      <c r="AC13" s="781">
        <f t="shared" si="3"/>
        <v>1</v>
      </c>
      <c r="AD13" s="778" t="s">
        <v>150</v>
      </c>
      <c r="AE13" s="775" t="s">
        <v>50</v>
      </c>
      <c r="AF13" s="775">
        <v>2.8</v>
      </c>
      <c r="AG13" s="782" t="s">
        <v>2629</v>
      </c>
      <c r="AH13" s="783"/>
      <c r="AI13" s="783"/>
    </row>
    <row r="14" spans="1:35" ht="30">
      <c r="A14" s="775" t="s">
        <v>778</v>
      </c>
      <c r="B14" s="775" t="s">
        <v>2501</v>
      </c>
      <c r="C14" s="776" t="s">
        <v>2502</v>
      </c>
      <c r="D14" s="776"/>
      <c r="E14" s="777">
        <v>45283</v>
      </c>
      <c r="F14" s="775" t="s">
        <v>143</v>
      </c>
      <c r="G14" s="694">
        <v>15.082079999999999</v>
      </c>
      <c r="H14" s="775">
        <v>120.61199999999999</v>
      </c>
      <c r="I14" s="778" t="s">
        <v>2503</v>
      </c>
      <c r="J14" s="779" t="s">
        <v>2504</v>
      </c>
      <c r="K14" s="779"/>
      <c r="L14" s="778" t="s">
        <v>69</v>
      </c>
      <c r="M14" s="778" t="s">
        <v>69</v>
      </c>
      <c r="N14" s="778" t="s">
        <v>69</v>
      </c>
      <c r="O14" s="778"/>
      <c r="P14" s="695" t="s">
        <v>81</v>
      </c>
      <c r="Q14" s="775" t="s">
        <v>33</v>
      </c>
      <c r="R14" s="775" t="s">
        <v>28</v>
      </c>
      <c r="S14" s="775" t="s">
        <v>148</v>
      </c>
      <c r="T14" s="775" t="s">
        <v>2630</v>
      </c>
      <c r="U14" s="780">
        <v>45909</v>
      </c>
      <c r="V14" s="780">
        <v>45913</v>
      </c>
      <c r="W14" s="780">
        <v>45917</v>
      </c>
      <c r="X14" s="780">
        <v>45917</v>
      </c>
      <c r="Y14" s="780">
        <v>45918</v>
      </c>
      <c r="Z14" s="781">
        <f t="shared" si="0"/>
        <v>3</v>
      </c>
      <c r="AA14" s="781">
        <f t="shared" si="1"/>
        <v>2</v>
      </c>
      <c r="AB14" s="781">
        <f t="shared" si="2"/>
        <v>2</v>
      </c>
      <c r="AC14" s="781">
        <f t="shared" si="3"/>
        <v>1</v>
      </c>
      <c r="AD14" s="778" t="s">
        <v>150</v>
      </c>
      <c r="AE14" s="775" t="s">
        <v>50</v>
      </c>
      <c r="AF14" s="775" t="s">
        <v>2426</v>
      </c>
      <c r="AG14" s="782" t="s">
        <v>2631</v>
      </c>
      <c r="AH14" s="783"/>
      <c r="AI14" s="783"/>
    </row>
    <row r="15" spans="1:35" ht="30">
      <c r="A15" s="775" t="s">
        <v>778</v>
      </c>
      <c r="B15" s="775" t="s">
        <v>2506</v>
      </c>
      <c r="C15" s="776" t="s">
        <v>2502</v>
      </c>
      <c r="D15" s="776"/>
      <c r="E15" s="777">
        <v>45283</v>
      </c>
      <c r="F15" s="775" t="s">
        <v>143</v>
      </c>
      <c r="G15" s="694">
        <v>15.082079999999999</v>
      </c>
      <c r="H15" s="775">
        <v>120.61199999999999</v>
      </c>
      <c r="I15" s="778" t="s">
        <v>2503</v>
      </c>
      <c r="J15" s="779" t="s">
        <v>2504</v>
      </c>
      <c r="K15" s="779">
        <v>63</v>
      </c>
      <c r="L15" s="778" t="s">
        <v>69</v>
      </c>
      <c r="M15" s="778" t="s">
        <v>69</v>
      </c>
      <c r="N15" s="778" t="s">
        <v>69</v>
      </c>
      <c r="O15" s="778" t="s">
        <v>69</v>
      </c>
      <c r="P15" s="695" t="s">
        <v>81</v>
      </c>
      <c r="Q15" s="775" t="s">
        <v>33</v>
      </c>
      <c r="R15" s="775" t="s">
        <v>28</v>
      </c>
      <c r="S15" s="775" t="s">
        <v>148</v>
      </c>
      <c r="T15" s="775" t="s">
        <v>2632</v>
      </c>
      <c r="U15" s="780">
        <v>45909</v>
      </c>
      <c r="V15" s="780">
        <v>45913</v>
      </c>
      <c r="W15" s="780">
        <v>45917</v>
      </c>
      <c r="X15" s="780">
        <v>45917</v>
      </c>
      <c r="Y15" s="780">
        <v>45918</v>
      </c>
      <c r="Z15" s="781">
        <f t="shared" si="0"/>
        <v>3</v>
      </c>
      <c r="AA15" s="781">
        <f t="shared" si="1"/>
        <v>2</v>
      </c>
      <c r="AB15" s="781">
        <f t="shared" si="2"/>
        <v>2</v>
      </c>
      <c r="AC15" s="781">
        <f t="shared" si="3"/>
        <v>1</v>
      </c>
      <c r="AD15" s="778" t="s">
        <v>150</v>
      </c>
      <c r="AE15" s="775" t="s">
        <v>50</v>
      </c>
      <c r="AF15" s="775" t="s">
        <v>2426</v>
      </c>
      <c r="AG15" s="782" t="s">
        <v>2631</v>
      </c>
      <c r="AH15" s="783"/>
      <c r="AI15" s="783"/>
    </row>
    <row r="16" spans="1:35" ht="30">
      <c r="A16" s="775" t="s">
        <v>778</v>
      </c>
      <c r="B16" s="775" t="s">
        <v>2507</v>
      </c>
      <c r="C16" s="776" t="s">
        <v>2508</v>
      </c>
      <c r="D16" s="776" t="s">
        <v>2633</v>
      </c>
      <c r="E16" s="777" t="s">
        <v>69</v>
      </c>
      <c r="F16" s="775" t="s">
        <v>143</v>
      </c>
      <c r="G16" s="694">
        <v>15.14598</v>
      </c>
      <c r="H16" s="775">
        <v>120.58114</v>
      </c>
      <c r="I16" s="778" t="s">
        <v>2509</v>
      </c>
      <c r="J16" s="779" t="s">
        <v>2634</v>
      </c>
      <c r="K16" s="779">
        <v>63</v>
      </c>
      <c r="L16" s="778" t="s">
        <v>2510</v>
      </c>
      <c r="M16" s="778" t="s">
        <v>2511</v>
      </c>
      <c r="N16" s="778" t="s">
        <v>2512</v>
      </c>
      <c r="O16" s="778" t="s">
        <v>2513</v>
      </c>
      <c r="P16" s="695" t="s">
        <v>80</v>
      </c>
      <c r="Q16" s="775" t="s">
        <v>33</v>
      </c>
      <c r="R16" s="775" t="s">
        <v>28</v>
      </c>
      <c r="S16" s="775" t="s">
        <v>148</v>
      </c>
      <c r="T16" s="775" t="s">
        <v>2635</v>
      </c>
      <c r="U16" s="780">
        <v>45876</v>
      </c>
      <c r="V16" s="780">
        <v>45883</v>
      </c>
      <c r="W16" s="780">
        <v>45884</v>
      </c>
      <c r="X16" s="780">
        <v>45884</v>
      </c>
      <c r="Y16" s="780">
        <v>45888</v>
      </c>
      <c r="Z16" s="781">
        <f t="shared" si="0"/>
        <v>5</v>
      </c>
      <c r="AA16" s="781">
        <f t="shared" si="1"/>
        <v>1</v>
      </c>
      <c r="AB16" s="781">
        <f t="shared" si="2"/>
        <v>1</v>
      </c>
      <c r="AC16" s="781">
        <f t="shared" si="3"/>
        <v>2</v>
      </c>
      <c r="AD16" s="778" t="s">
        <v>150</v>
      </c>
      <c r="AE16" s="775" t="s">
        <v>50</v>
      </c>
      <c r="AF16" s="775" t="s">
        <v>1039</v>
      </c>
      <c r="AG16" s="782" t="s">
        <v>2636</v>
      </c>
      <c r="AH16" s="783"/>
      <c r="AI16" s="783"/>
    </row>
    <row r="17" spans="1:35">
      <c r="A17" s="775" t="s">
        <v>778</v>
      </c>
      <c r="B17" s="775" t="s">
        <v>2637</v>
      </c>
      <c r="C17" s="776" t="s">
        <v>2516</v>
      </c>
      <c r="D17" s="776"/>
      <c r="E17" s="777">
        <v>45283</v>
      </c>
      <c r="F17" s="775" t="s">
        <v>143</v>
      </c>
      <c r="G17" s="694">
        <v>15.06912</v>
      </c>
      <c r="H17" s="775">
        <v>120.57165999999999</v>
      </c>
      <c r="I17" s="778" t="s">
        <v>2517</v>
      </c>
      <c r="J17" s="779"/>
      <c r="K17" s="779"/>
      <c r="L17" s="778" t="s">
        <v>69</v>
      </c>
      <c r="M17" s="778" t="s">
        <v>69</v>
      </c>
      <c r="N17" s="778" t="s">
        <v>69</v>
      </c>
      <c r="O17" s="778" t="s">
        <v>69</v>
      </c>
      <c r="P17" s="695" t="s">
        <v>82</v>
      </c>
      <c r="Q17" s="775" t="s">
        <v>33</v>
      </c>
      <c r="R17" s="775" t="s">
        <v>28</v>
      </c>
      <c r="S17" s="775" t="s">
        <v>148</v>
      </c>
      <c r="T17" s="775" t="s">
        <v>2638</v>
      </c>
      <c r="U17" s="780">
        <v>45933</v>
      </c>
      <c r="V17" s="780">
        <v>45934</v>
      </c>
      <c r="W17" s="786"/>
      <c r="X17" s="780">
        <v>45944</v>
      </c>
      <c r="Y17" s="780">
        <v>45950</v>
      </c>
      <c r="Z17" s="781">
        <f t="shared" si="0"/>
        <v>1</v>
      </c>
      <c r="AA17" s="781">
        <f>IF(
    OR(ISBLANK(V17), ISBLANK(X17)),
    "",
    MAX(1, IF(
        NETWORKDAYS(V17, X17) &lt;= 0,
        1,
        NETWORKDAYS(V17, X17) - IF(V17 = X17, 0, 1)
    ))
)</f>
        <v>6</v>
      </c>
      <c r="AB17" s="781">
        <f t="shared" ref="AB17" si="4">IF(
  OR(A17 = "Nueva_Ecija", A17 = "Zambales"),
  IF(
    OR(ISBLANK(W17), ISBLANK(X17)),
    "",
    MAX(1, IF(
      NETWORKDAYS(W17, X17) &lt;= 0,
      1,
      NETWORKDAYS(W17, X17) - IF(W17 = X17, 0, 1)
    ))
  ),
  IF(
    OR(ISBLANK(V17), ISBLANK(X17)),
    "",
    MAX(1, IF(
      NETWORKDAYS(V17, X17) &lt;= 0,
      1,
      NETWORKDAYS(V17, X17) - IF(V17 = X17, 0, 1)
    ))
  )
)</f>
        <v>6</v>
      </c>
      <c r="AC17" s="781">
        <f t="shared" ref="AC17" si="5">IF(
    OR(ISBLANK(X17), ISBLANK(Y17)),
    "",
    MAX(1, IF(
        NETWORKDAYS(X17, Y17) &lt;= 0,
        1,
        NETWORKDAYS(X17, Y17) - IF(X17 = Y17, 0, 1)
    ))
)</f>
        <v>4</v>
      </c>
      <c r="AD17" s="787" t="s">
        <v>150</v>
      </c>
      <c r="AE17" s="788" t="s">
        <v>57</v>
      </c>
      <c r="AF17" s="788" t="s">
        <v>679</v>
      </c>
      <c r="AG17" s="782" t="s">
        <v>2639</v>
      </c>
      <c r="AH17" s="783"/>
      <c r="AI17" s="783"/>
    </row>
    <row r="18" spans="1:35" ht="225">
      <c r="A18" s="775" t="s">
        <v>779</v>
      </c>
      <c r="B18" s="775" t="s">
        <v>645</v>
      </c>
      <c r="C18" s="776" t="s">
        <v>2519</v>
      </c>
      <c r="D18" s="776" t="s">
        <v>2640</v>
      </c>
      <c r="E18" s="777">
        <v>44924</v>
      </c>
      <c r="F18" s="775" t="s">
        <v>143</v>
      </c>
      <c r="G18" s="694">
        <v>15.471690000000001</v>
      </c>
      <c r="H18" s="775">
        <v>120.58632</v>
      </c>
      <c r="I18" s="778" t="s">
        <v>2520</v>
      </c>
      <c r="J18" s="779" t="s">
        <v>2641</v>
      </c>
      <c r="K18" s="779" t="s">
        <v>2521</v>
      </c>
      <c r="L18" s="778" t="s">
        <v>2522</v>
      </c>
      <c r="M18" s="778" t="s">
        <v>2523</v>
      </c>
      <c r="N18" s="778" t="s">
        <v>2524</v>
      </c>
      <c r="O18" s="778" t="s">
        <v>2525</v>
      </c>
      <c r="P18" s="695" t="s">
        <v>82</v>
      </c>
      <c r="Q18" s="775" t="s">
        <v>37</v>
      </c>
      <c r="R18" s="775"/>
      <c r="S18" s="775" t="s">
        <v>28</v>
      </c>
      <c r="T18" s="775" t="s">
        <v>2642</v>
      </c>
      <c r="U18" s="780">
        <v>45945</v>
      </c>
      <c r="V18" s="780">
        <v>45945</v>
      </c>
      <c r="W18" s="780"/>
      <c r="X18" s="780">
        <v>45946</v>
      </c>
      <c r="Y18" s="780">
        <v>45947</v>
      </c>
      <c r="Z18" s="781">
        <f t="shared" si="0"/>
        <v>1</v>
      </c>
      <c r="AA18" s="781" t="str">
        <f t="shared" si="1"/>
        <v/>
      </c>
      <c r="AB18" s="781">
        <f t="shared" si="2"/>
        <v>1</v>
      </c>
      <c r="AC18" s="789">
        <f t="shared" si="3"/>
        <v>1</v>
      </c>
      <c r="AD18" s="775" t="s">
        <v>150</v>
      </c>
      <c r="AE18" s="790" t="s">
        <v>2643</v>
      </c>
      <c r="AF18" s="790">
        <v>1.5140245856000001</v>
      </c>
      <c r="AG18" s="791" t="s">
        <v>2644</v>
      </c>
      <c r="AH18" s="783"/>
      <c r="AI18" s="783"/>
    </row>
    <row r="19" spans="1:35" ht="225">
      <c r="A19" s="775" t="s">
        <v>779</v>
      </c>
      <c r="B19" s="775" t="s">
        <v>645</v>
      </c>
      <c r="C19" s="776" t="s">
        <v>2519</v>
      </c>
      <c r="D19" s="776" t="s">
        <v>2640</v>
      </c>
      <c r="E19" s="777">
        <v>44924</v>
      </c>
      <c r="F19" s="775" t="s">
        <v>143</v>
      </c>
      <c r="G19" s="694">
        <v>15.471690000000001</v>
      </c>
      <c r="H19" s="775">
        <v>120.58632</v>
      </c>
      <c r="I19" s="778" t="s">
        <v>2520</v>
      </c>
      <c r="J19" s="779" t="s">
        <v>2641</v>
      </c>
      <c r="K19" s="779" t="s">
        <v>2528</v>
      </c>
      <c r="L19" s="778" t="s">
        <v>2522</v>
      </c>
      <c r="M19" s="778" t="s">
        <v>2523</v>
      </c>
      <c r="N19" s="778" t="s">
        <v>2524</v>
      </c>
      <c r="O19" s="778" t="s">
        <v>2525</v>
      </c>
      <c r="P19" s="695" t="s">
        <v>82</v>
      </c>
      <c r="Q19" s="775" t="s">
        <v>37</v>
      </c>
      <c r="R19" s="775"/>
      <c r="S19" s="775" t="s">
        <v>2645</v>
      </c>
      <c r="T19" s="775" t="s">
        <v>2646</v>
      </c>
      <c r="U19" s="780">
        <v>45945</v>
      </c>
      <c r="V19" s="780">
        <v>45945</v>
      </c>
      <c r="W19" s="780"/>
      <c r="X19" s="780">
        <v>45946</v>
      </c>
      <c r="Y19" s="780">
        <v>45947</v>
      </c>
      <c r="Z19" s="781">
        <f t="shared" si="0"/>
        <v>1</v>
      </c>
      <c r="AA19" s="781" t="str">
        <f t="shared" si="1"/>
        <v/>
      </c>
      <c r="AB19" s="781">
        <f t="shared" si="2"/>
        <v>1</v>
      </c>
      <c r="AC19" s="789">
        <f t="shared" si="3"/>
        <v>1</v>
      </c>
      <c r="AD19" s="775" t="s">
        <v>150</v>
      </c>
      <c r="AE19" s="790" t="s">
        <v>2643</v>
      </c>
      <c r="AF19" s="790">
        <v>1.5140245856000001</v>
      </c>
      <c r="AG19" s="791" t="s">
        <v>2644</v>
      </c>
      <c r="AH19" s="783"/>
      <c r="AI19" s="783"/>
    </row>
    <row r="20" spans="1:35" ht="30">
      <c r="A20" s="775" t="s">
        <v>780</v>
      </c>
      <c r="B20" s="775" t="s">
        <v>2531</v>
      </c>
      <c r="C20" s="776" t="s">
        <v>2532</v>
      </c>
      <c r="D20" s="776"/>
      <c r="E20" s="777">
        <v>44927</v>
      </c>
      <c r="F20" s="775" t="s">
        <v>159</v>
      </c>
      <c r="G20" s="694">
        <v>15.3133</v>
      </c>
      <c r="H20" s="775">
        <v>119.99890000000001</v>
      </c>
      <c r="I20" s="778" t="s">
        <v>2533</v>
      </c>
      <c r="J20" s="779" t="s">
        <v>2647</v>
      </c>
      <c r="K20" s="779">
        <v>63</v>
      </c>
      <c r="L20" s="778" t="s">
        <v>2648</v>
      </c>
      <c r="M20" s="778"/>
      <c r="N20" s="778" t="s">
        <v>2648</v>
      </c>
      <c r="O20" s="778" t="s">
        <v>2648</v>
      </c>
      <c r="P20" s="695" t="s">
        <v>80</v>
      </c>
      <c r="Q20" s="775" t="s">
        <v>2534</v>
      </c>
      <c r="R20" s="775" t="s">
        <v>163</v>
      </c>
      <c r="S20" s="775" t="s">
        <v>164</v>
      </c>
      <c r="T20" s="775" t="s">
        <v>2649</v>
      </c>
      <c r="U20" s="780">
        <v>45874</v>
      </c>
      <c r="V20" s="780">
        <v>45880</v>
      </c>
      <c r="W20" s="780">
        <v>45882</v>
      </c>
      <c r="X20" s="780">
        <v>45882</v>
      </c>
      <c r="Y20" s="780">
        <v>45882</v>
      </c>
      <c r="Z20" s="781">
        <f t="shared" si="0"/>
        <v>4</v>
      </c>
      <c r="AA20" s="781">
        <f t="shared" si="1"/>
        <v>2</v>
      </c>
      <c r="AB20" s="781">
        <f t="shared" si="2"/>
        <v>1</v>
      </c>
      <c r="AC20" s="789">
        <f t="shared" si="3"/>
        <v>1</v>
      </c>
      <c r="AD20" s="775" t="s">
        <v>150</v>
      </c>
      <c r="AE20" s="775" t="s">
        <v>50</v>
      </c>
      <c r="AF20" s="775">
        <v>2.4990000000000001</v>
      </c>
      <c r="AG20" s="791" t="s">
        <v>2650</v>
      </c>
      <c r="AH20" s="783"/>
      <c r="AI20" s="783"/>
    </row>
    <row r="21" spans="1:35" ht="30">
      <c r="A21" s="775" t="s">
        <v>780</v>
      </c>
      <c r="B21" s="775" t="s">
        <v>2531</v>
      </c>
      <c r="C21" s="776" t="s">
        <v>2532</v>
      </c>
      <c r="D21" s="776"/>
      <c r="E21" s="777">
        <v>44927</v>
      </c>
      <c r="F21" s="775" t="s">
        <v>159</v>
      </c>
      <c r="G21" s="694">
        <v>15.3133</v>
      </c>
      <c r="H21" s="775">
        <v>119.99890000000001</v>
      </c>
      <c r="I21" s="778" t="s">
        <v>2533</v>
      </c>
      <c r="J21" s="779" t="s">
        <v>2647</v>
      </c>
      <c r="K21" s="779">
        <v>63</v>
      </c>
      <c r="L21" s="778" t="s">
        <v>2648</v>
      </c>
      <c r="M21" s="778"/>
      <c r="N21" s="778" t="s">
        <v>2648</v>
      </c>
      <c r="O21" s="778" t="s">
        <v>2648</v>
      </c>
      <c r="P21" s="695" t="s">
        <v>80</v>
      </c>
      <c r="Q21" s="775" t="s">
        <v>2534</v>
      </c>
      <c r="R21" s="775" t="s">
        <v>163</v>
      </c>
      <c r="S21" s="775" t="s">
        <v>164</v>
      </c>
      <c r="T21" s="775" t="s">
        <v>2651</v>
      </c>
      <c r="U21" s="780">
        <v>45874</v>
      </c>
      <c r="V21" s="780">
        <v>45880</v>
      </c>
      <c r="W21" s="780">
        <v>45882</v>
      </c>
      <c r="X21" s="780">
        <v>45882</v>
      </c>
      <c r="Y21" s="780">
        <v>45882</v>
      </c>
      <c r="Z21" s="781">
        <f t="shared" si="0"/>
        <v>4</v>
      </c>
      <c r="AA21" s="781">
        <f t="shared" si="1"/>
        <v>2</v>
      </c>
      <c r="AB21" s="781">
        <f t="shared" si="2"/>
        <v>1</v>
      </c>
      <c r="AC21" s="789">
        <f t="shared" si="3"/>
        <v>1</v>
      </c>
      <c r="AD21" s="775" t="s">
        <v>150</v>
      </c>
      <c r="AE21" s="775" t="s">
        <v>50</v>
      </c>
      <c r="AF21" s="775">
        <v>2.4990000000000001</v>
      </c>
      <c r="AG21" s="791" t="s">
        <v>2650</v>
      </c>
      <c r="AH21" s="783"/>
      <c r="AI21" s="783"/>
    </row>
    <row r="22" spans="1:35" ht="30">
      <c r="A22" s="775" t="s">
        <v>780</v>
      </c>
      <c r="B22" s="775" t="s">
        <v>2537</v>
      </c>
      <c r="C22" s="776" t="s">
        <v>2538</v>
      </c>
      <c r="D22" s="776"/>
      <c r="E22" s="777">
        <v>44927</v>
      </c>
      <c r="F22" s="775" t="s">
        <v>159</v>
      </c>
      <c r="G22" s="694">
        <v>14.845599999999999</v>
      </c>
      <c r="H22" s="775">
        <v>120.3292</v>
      </c>
      <c r="I22" s="778" t="s">
        <v>2539</v>
      </c>
      <c r="J22" s="779"/>
      <c r="K22" s="779" t="s">
        <v>2652</v>
      </c>
      <c r="L22" s="778" t="s">
        <v>1667</v>
      </c>
      <c r="M22" s="778" t="s">
        <v>2541</v>
      </c>
      <c r="N22" s="778" t="s">
        <v>2541</v>
      </c>
      <c r="O22" s="778" t="s">
        <v>2541</v>
      </c>
      <c r="P22" s="695" t="s">
        <v>83</v>
      </c>
      <c r="Q22" s="775"/>
      <c r="R22" s="775" t="s">
        <v>163</v>
      </c>
      <c r="S22" s="775" t="s">
        <v>164</v>
      </c>
      <c r="T22" s="775" t="s">
        <v>2653</v>
      </c>
      <c r="U22" s="780">
        <v>45937</v>
      </c>
      <c r="V22" s="780">
        <v>45940</v>
      </c>
      <c r="W22" s="780">
        <v>45940</v>
      </c>
      <c r="X22" s="780">
        <v>45940</v>
      </c>
      <c r="Y22" s="780">
        <v>45946</v>
      </c>
      <c r="Z22" s="781">
        <f t="shared" si="0"/>
        <v>3</v>
      </c>
      <c r="AA22" s="781">
        <f t="shared" si="1"/>
        <v>1</v>
      </c>
      <c r="AB22" s="781">
        <f t="shared" si="2"/>
        <v>1</v>
      </c>
      <c r="AC22" s="789">
        <f>IF(
    OR(ISBLANK(X22), ISBLANK(Y22)),
    "",
    MAX(1, IF(
        NETWORKDAYS(X22, Y22) &lt;= 0,
        1,
        NETWORKDAYS(X22, Y22) - IF(X22 = Y22, 0, 1)
    ))
)</f>
        <v>4</v>
      </c>
      <c r="AD22" s="775" t="s">
        <v>150</v>
      </c>
      <c r="AE22" s="775" t="s">
        <v>50</v>
      </c>
      <c r="AF22" s="775">
        <v>0.5</v>
      </c>
      <c r="AG22" s="791" t="s">
        <v>2654</v>
      </c>
      <c r="AH22" s="783"/>
      <c r="AI22" s="783"/>
    </row>
  </sheetData>
  <autoFilter ref="A1:AI22" xr:uid="{CDB42DE0-9499-4DE2-9F4B-1545AC291F28}"/>
  <conditionalFormatting sqref="C1:E1">
    <cfRule type="duplicateValues" dxfId="6" priority="1"/>
  </conditionalFormatting>
  <dataValidations count="2">
    <dataValidation allowBlank="1" showInputMessage="1" showErrorMessage="1" sqref="S10:S22 Q5 L1:AD1 A1:I1 Q18:Q19" xr:uid="{BACAB24C-E980-48A0-B929-57727341622E}"/>
    <dataValidation type="list" allowBlank="1" showInputMessage="1" showErrorMessage="1" sqref="A2:A1048576" xr:uid="{E28E2B04-AF6E-4CF8-8DAF-81E13FE6A66E}">
      <formula1>"Aurora, Bataan, Bulacan, Nueva_Ecija, Pampanga, Tarlac, Zambales"</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F8A8E2C-5635-4178-A27D-87FDB3048899}">
          <x14:formula1>
            <xm:f>'Data Validation'!$Q$2:$Q$5</xm:f>
          </x14:formula1>
          <xm:sqref>AE20:AE22 AE2:AE17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4CD77-0C38-4E4E-957B-CDCC4FA2D3C5}">
  <dimension ref="A1:AH22"/>
  <sheetViews>
    <sheetView workbookViewId="0">
      <selection activeCell="AC2" sqref="AC2:AD2"/>
    </sheetView>
  </sheetViews>
  <sheetFormatPr defaultRowHeight="15"/>
  <cols>
    <col min="1" max="1" width="12.140625" bestFit="1" customWidth="1"/>
    <col min="2" max="2" width="36.5703125" bestFit="1" customWidth="1"/>
    <col min="3" max="3" width="69.5703125" customWidth="1"/>
    <col min="4" max="4" width="22.28515625" bestFit="1" customWidth="1"/>
    <col min="5" max="5" width="26.28515625" bestFit="1" customWidth="1"/>
    <col min="7" max="7" width="12.28515625" bestFit="1" customWidth="1"/>
    <col min="8" max="8" width="27.5703125" bestFit="1" customWidth="1"/>
    <col min="9" max="9" width="36.5703125" bestFit="1" customWidth="1"/>
    <col min="10" max="10" width="30.140625" customWidth="1"/>
    <col min="11" max="11" width="56.140625" bestFit="1" customWidth="1"/>
    <col min="12" max="12" width="23.5703125" bestFit="1" customWidth="1"/>
    <col min="13" max="13" width="47.140625" bestFit="1" customWidth="1"/>
    <col min="14" max="14" width="86.7109375" bestFit="1" customWidth="1"/>
    <col min="15" max="15" width="16.7109375" bestFit="1" customWidth="1"/>
    <col min="16" max="16" width="23.140625" bestFit="1" customWidth="1"/>
    <col min="17" max="17" width="23" bestFit="1" customWidth="1"/>
    <col min="18" max="18" width="24.28515625" bestFit="1" customWidth="1"/>
    <col min="19" max="19" width="17.140625" bestFit="1" customWidth="1"/>
    <col min="20" max="20" width="22" bestFit="1" customWidth="1"/>
    <col min="21" max="21" width="52.42578125" bestFit="1" customWidth="1"/>
    <col min="22" max="22" width="41.5703125" bestFit="1" customWidth="1"/>
    <col min="23" max="23" width="43.140625" bestFit="1" customWidth="1"/>
    <col min="24" max="24" width="25.42578125" bestFit="1" customWidth="1"/>
    <col min="25" max="25" width="38.7109375" bestFit="1" customWidth="1"/>
    <col min="26" max="26" width="53.5703125" bestFit="1" customWidth="1"/>
    <col min="27" max="27" width="47.5703125" bestFit="1" customWidth="1"/>
    <col min="28" max="28" width="50.85546875" bestFit="1" customWidth="1"/>
    <col min="29" max="29" width="23" bestFit="1" customWidth="1"/>
    <col min="30" max="30" width="24" bestFit="1" customWidth="1"/>
    <col min="31" max="31" width="57" bestFit="1" customWidth="1"/>
    <col min="32" max="32" width="74.5703125" customWidth="1"/>
    <col min="33" max="33" width="22.140625" bestFit="1" customWidth="1"/>
    <col min="34" max="34" width="45.85546875" bestFit="1" customWidth="1"/>
  </cols>
  <sheetData>
    <row r="1" spans="1:34">
      <c r="A1" s="605" t="s">
        <v>85</v>
      </c>
      <c r="B1" s="606" t="s">
        <v>86</v>
      </c>
      <c r="C1" s="606" t="s">
        <v>2408</v>
      </c>
      <c r="D1" s="606" t="s">
        <v>2409</v>
      </c>
      <c r="E1" s="606" t="s">
        <v>88</v>
      </c>
      <c r="F1" s="606" t="s">
        <v>783</v>
      </c>
      <c r="G1" s="606" t="s">
        <v>784</v>
      </c>
      <c r="H1" s="606" t="s">
        <v>785</v>
      </c>
      <c r="I1" s="606" t="s">
        <v>2410</v>
      </c>
      <c r="J1" s="606" t="s">
        <v>2411</v>
      </c>
      <c r="K1" s="606" t="s">
        <v>2412</v>
      </c>
      <c r="L1" s="606" t="s">
        <v>2413</v>
      </c>
      <c r="M1" s="606" t="s">
        <v>2414</v>
      </c>
      <c r="N1" s="606" t="s">
        <v>2415</v>
      </c>
      <c r="O1" s="607" t="s">
        <v>2416</v>
      </c>
      <c r="P1" s="607" t="s">
        <v>100</v>
      </c>
      <c r="Q1" s="607" t="s">
        <v>1575</v>
      </c>
      <c r="R1" s="607" t="s">
        <v>102</v>
      </c>
      <c r="S1" s="607" t="s">
        <v>103</v>
      </c>
      <c r="T1" s="607" t="s">
        <v>104</v>
      </c>
      <c r="U1" s="607" t="s">
        <v>105</v>
      </c>
      <c r="V1" s="607" t="s">
        <v>106</v>
      </c>
      <c r="W1" s="607" t="s">
        <v>107</v>
      </c>
      <c r="X1" s="607" t="s">
        <v>108</v>
      </c>
      <c r="Y1" s="607" t="s">
        <v>109</v>
      </c>
      <c r="Z1" s="607" t="s">
        <v>110</v>
      </c>
      <c r="AA1" s="607" t="s">
        <v>111</v>
      </c>
      <c r="AB1" s="607" t="s">
        <v>112</v>
      </c>
      <c r="AC1" s="607" t="s">
        <v>2250</v>
      </c>
      <c r="AD1" s="608" t="s">
        <v>2417</v>
      </c>
      <c r="AE1" s="608" t="s">
        <v>2418</v>
      </c>
      <c r="AF1" s="608" t="s">
        <v>127</v>
      </c>
      <c r="AG1" s="609" t="s">
        <v>2419</v>
      </c>
      <c r="AH1" s="609" t="s">
        <v>799</v>
      </c>
    </row>
    <row r="2" spans="1:34" ht="29.25">
      <c r="A2" s="584" t="s">
        <v>773</v>
      </c>
      <c r="B2" s="586" t="s">
        <v>2420</v>
      </c>
      <c r="C2" s="586" t="s">
        <v>2421</v>
      </c>
      <c r="D2" s="587">
        <v>44986</v>
      </c>
      <c r="E2" s="585" t="s">
        <v>159</v>
      </c>
      <c r="F2" s="588">
        <v>15.806566999999999</v>
      </c>
      <c r="G2" s="585">
        <v>121.54037599999999</v>
      </c>
      <c r="H2" s="589" t="s">
        <v>2422</v>
      </c>
      <c r="I2" s="590" t="s">
        <v>2423</v>
      </c>
      <c r="J2" s="590">
        <v>65</v>
      </c>
      <c r="K2" s="591" t="s">
        <v>2424</v>
      </c>
      <c r="L2" s="591" t="s">
        <v>69</v>
      </c>
      <c r="M2" s="591" t="s">
        <v>69</v>
      </c>
      <c r="N2" s="591" t="s">
        <v>69</v>
      </c>
      <c r="O2" s="584" t="s">
        <v>75</v>
      </c>
      <c r="P2" s="585" t="s">
        <v>13</v>
      </c>
      <c r="Q2" s="585" t="s">
        <v>1803</v>
      </c>
      <c r="R2" s="585" t="s">
        <v>163</v>
      </c>
      <c r="S2" s="585" t="s">
        <v>2425</v>
      </c>
      <c r="T2" s="592">
        <v>45723</v>
      </c>
      <c r="U2" s="592">
        <v>45725</v>
      </c>
      <c r="V2" s="585" t="s">
        <v>1803</v>
      </c>
      <c r="W2" s="592">
        <v>45728</v>
      </c>
      <c r="X2" s="592">
        <v>45728</v>
      </c>
      <c r="Y2" s="593">
        <v>1</v>
      </c>
      <c r="Z2" s="593" t="s">
        <v>1803</v>
      </c>
      <c r="AA2" s="593">
        <v>2</v>
      </c>
      <c r="AB2" s="593">
        <v>1</v>
      </c>
      <c r="AC2" s="589" t="s">
        <v>150</v>
      </c>
      <c r="AD2" s="584" t="s">
        <v>50</v>
      </c>
      <c r="AE2" s="585" t="s">
        <v>2426</v>
      </c>
      <c r="AF2" s="585" t="s">
        <v>2427</v>
      </c>
      <c r="AG2" s="585" t="s">
        <v>1803</v>
      </c>
      <c r="AH2" s="585" t="s">
        <v>1803</v>
      </c>
    </row>
    <row r="3" spans="1:34">
      <c r="A3" s="594" t="s">
        <v>773</v>
      </c>
      <c r="B3" s="596" t="s">
        <v>545</v>
      </c>
      <c r="C3" s="596" t="s">
        <v>2428</v>
      </c>
      <c r="D3" s="597">
        <v>44979</v>
      </c>
      <c r="E3" s="595" t="s">
        <v>159</v>
      </c>
      <c r="F3" s="598">
        <v>16.288014</v>
      </c>
      <c r="G3" s="595">
        <v>122.122124</v>
      </c>
      <c r="H3" s="599" t="s">
        <v>2429</v>
      </c>
      <c r="I3" s="601" t="s">
        <v>69</v>
      </c>
      <c r="J3" s="601">
        <v>63</v>
      </c>
      <c r="K3" s="600" t="s">
        <v>2430</v>
      </c>
      <c r="L3" s="600" t="s">
        <v>69</v>
      </c>
      <c r="M3" s="600" t="s">
        <v>69</v>
      </c>
      <c r="N3" s="600" t="s">
        <v>69</v>
      </c>
      <c r="O3" s="594" t="s">
        <v>77</v>
      </c>
      <c r="P3" s="595" t="s">
        <v>15</v>
      </c>
      <c r="Q3" s="595" t="s">
        <v>1803</v>
      </c>
      <c r="R3" s="595" t="s">
        <v>163</v>
      </c>
      <c r="S3" s="595" t="s">
        <v>2431</v>
      </c>
      <c r="T3" s="602">
        <v>45790</v>
      </c>
      <c r="U3" s="602">
        <v>45790</v>
      </c>
      <c r="V3" s="595" t="s">
        <v>1803</v>
      </c>
      <c r="W3" s="602">
        <v>45791</v>
      </c>
      <c r="X3" s="602">
        <v>45791</v>
      </c>
      <c r="Y3" s="603">
        <v>1</v>
      </c>
      <c r="Z3" s="603" t="s">
        <v>1803</v>
      </c>
      <c r="AA3" s="603">
        <v>1</v>
      </c>
      <c r="AB3" s="603">
        <v>1</v>
      </c>
      <c r="AC3" s="599" t="s">
        <v>150</v>
      </c>
      <c r="AD3" s="594" t="s">
        <v>50</v>
      </c>
      <c r="AE3" s="595" t="s">
        <v>2432</v>
      </c>
      <c r="AF3" s="595" t="s">
        <v>2427</v>
      </c>
      <c r="AG3" s="595" t="s">
        <v>1803</v>
      </c>
      <c r="AH3" s="595" t="s">
        <v>1803</v>
      </c>
    </row>
    <row r="4" spans="1:34">
      <c r="A4" s="594" t="s">
        <v>773</v>
      </c>
      <c r="B4" s="596" t="s">
        <v>254</v>
      </c>
      <c r="C4" s="596" t="s">
        <v>2433</v>
      </c>
      <c r="D4" s="597">
        <v>44896</v>
      </c>
      <c r="E4" s="595" t="s">
        <v>159</v>
      </c>
      <c r="F4" s="598">
        <v>15.382</v>
      </c>
      <c r="G4" s="595">
        <v>121.38057999999999</v>
      </c>
      <c r="H4" s="599" t="s">
        <v>2434</v>
      </c>
      <c r="I4" s="601" t="s">
        <v>69</v>
      </c>
      <c r="J4" s="601">
        <v>63</v>
      </c>
      <c r="K4" s="600" t="s">
        <v>2435</v>
      </c>
      <c r="L4" s="600" t="s">
        <v>69</v>
      </c>
      <c r="M4" s="600" t="s">
        <v>69</v>
      </c>
      <c r="N4" s="600" t="s">
        <v>69</v>
      </c>
      <c r="O4" s="594" t="s">
        <v>78</v>
      </c>
      <c r="P4" s="595" t="s">
        <v>14</v>
      </c>
      <c r="Q4" s="595" t="s">
        <v>1803</v>
      </c>
      <c r="R4" s="595" t="s">
        <v>163</v>
      </c>
      <c r="S4" s="595" t="s">
        <v>2436</v>
      </c>
      <c r="T4" s="602">
        <v>45819</v>
      </c>
      <c r="U4" s="602">
        <v>45824</v>
      </c>
      <c r="V4" s="595" t="s">
        <v>1803</v>
      </c>
      <c r="W4" s="602">
        <v>45825</v>
      </c>
      <c r="X4" s="602">
        <v>45825</v>
      </c>
      <c r="Y4" s="603">
        <v>3</v>
      </c>
      <c r="Z4" s="603" t="s">
        <v>1803</v>
      </c>
      <c r="AA4" s="603">
        <v>1</v>
      </c>
      <c r="AB4" s="603">
        <v>1</v>
      </c>
      <c r="AC4" s="599" t="s">
        <v>150</v>
      </c>
      <c r="AD4" s="594" t="s">
        <v>50</v>
      </c>
      <c r="AE4" s="595" t="s">
        <v>2426</v>
      </c>
      <c r="AF4" s="595" t="s">
        <v>2427</v>
      </c>
      <c r="AG4" s="595" t="s">
        <v>1803</v>
      </c>
      <c r="AH4" s="595" t="s">
        <v>1803</v>
      </c>
    </row>
    <row r="5" spans="1:34" ht="57.75">
      <c r="A5" s="594" t="s">
        <v>774</v>
      </c>
      <c r="B5" s="596" t="s">
        <v>2437</v>
      </c>
      <c r="C5" s="596" t="s">
        <v>2438</v>
      </c>
      <c r="D5" s="596" t="s">
        <v>2439</v>
      </c>
      <c r="E5" s="595" t="s">
        <v>143</v>
      </c>
      <c r="F5" s="598">
        <v>14.7895</v>
      </c>
      <c r="G5" s="595">
        <v>120.53570000000001</v>
      </c>
      <c r="H5" s="599" t="s">
        <v>2440</v>
      </c>
      <c r="I5" s="601" t="s">
        <v>2441</v>
      </c>
      <c r="J5" s="601">
        <v>63</v>
      </c>
      <c r="K5" s="600" t="s">
        <v>2442</v>
      </c>
      <c r="L5" s="600" t="s">
        <v>2443</v>
      </c>
      <c r="M5" s="600" t="s">
        <v>69</v>
      </c>
      <c r="N5" s="600" t="s">
        <v>2444</v>
      </c>
      <c r="O5" s="594" t="s">
        <v>76</v>
      </c>
      <c r="P5" s="595" t="s">
        <v>18</v>
      </c>
      <c r="Q5" s="595" t="s">
        <v>1803</v>
      </c>
      <c r="R5" s="595" t="s">
        <v>2445</v>
      </c>
      <c r="S5" s="595" t="s">
        <v>2446</v>
      </c>
      <c r="T5" s="602">
        <v>45742</v>
      </c>
      <c r="U5" s="602">
        <v>45747</v>
      </c>
      <c r="V5" s="595" t="s">
        <v>1803</v>
      </c>
      <c r="W5" s="602">
        <v>45747</v>
      </c>
      <c r="X5" s="602">
        <v>45747</v>
      </c>
      <c r="Y5" s="603">
        <v>3</v>
      </c>
      <c r="Z5" s="603" t="s">
        <v>1803</v>
      </c>
      <c r="AA5" s="603">
        <v>1</v>
      </c>
      <c r="AB5" s="603">
        <v>1</v>
      </c>
      <c r="AC5" s="599" t="s">
        <v>150</v>
      </c>
      <c r="AD5" s="594" t="s">
        <v>50</v>
      </c>
      <c r="AE5" s="596" t="s">
        <v>2447</v>
      </c>
      <c r="AF5" s="595" t="s">
        <v>2427</v>
      </c>
      <c r="AG5" s="595" t="s">
        <v>1803</v>
      </c>
      <c r="AH5" s="595" t="s">
        <v>1803</v>
      </c>
    </row>
    <row r="6" spans="1:34" ht="29.25">
      <c r="A6" s="594" t="s">
        <v>774</v>
      </c>
      <c r="B6" s="596" t="s">
        <v>2448</v>
      </c>
      <c r="C6" s="596" t="s">
        <v>2449</v>
      </c>
      <c r="D6" s="596" t="s">
        <v>69</v>
      </c>
      <c r="E6" s="595" t="s">
        <v>143</v>
      </c>
      <c r="F6" s="598">
        <v>14.671222999999999</v>
      </c>
      <c r="G6" s="595">
        <v>120.494659</v>
      </c>
      <c r="H6" s="599" t="s">
        <v>2450</v>
      </c>
      <c r="I6" s="601" t="s">
        <v>2451</v>
      </c>
      <c r="J6" s="601">
        <v>63</v>
      </c>
      <c r="K6" s="600" t="s">
        <v>2452</v>
      </c>
      <c r="L6" s="600" t="s">
        <v>2453</v>
      </c>
      <c r="M6" s="600" t="s">
        <v>69</v>
      </c>
      <c r="N6" s="600" t="s">
        <v>69</v>
      </c>
      <c r="O6" s="594" t="s">
        <v>75</v>
      </c>
      <c r="P6" s="595" t="s">
        <v>188</v>
      </c>
      <c r="Q6" s="595" t="s">
        <v>1803</v>
      </c>
      <c r="R6" s="595" t="s">
        <v>2445</v>
      </c>
      <c r="S6" s="595" t="s">
        <v>2454</v>
      </c>
      <c r="T6" s="602">
        <v>45715</v>
      </c>
      <c r="U6" s="602">
        <v>45718</v>
      </c>
      <c r="V6" s="595" t="s">
        <v>1803</v>
      </c>
      <c r="W6" s="602">
        <v>45719</v>
      </c>
      <c r="X6" s="602">
        <v>45719</v>
      </c>
      <c r="Y6" s="603">
        <v>1</v>
      </c>
      <c r="Z6" s="603" t="s">
        <v>1803</v>
      </c>
      <c r="AA6" s="603">
        <v>1</v>
      </c>
      <c r="AB6" s="603">
        <v>1</v>
      </c>
      <c r="AC6" s="599" t="s">
        <v>150</v>
      </c>
      <c r="AD6" s="594" t="s">
        <v>50</v>
      </c>
      <c r="AE6" s="595" t="s">
        <v>2426</v>
      </c>
      <c r="AF6" s="595" t="s">
        <v>2427</v>
      </c>
      <c r="AG6" s="595" t="s">
        <v>1803</v>
      </c>
      <c r="AH6" s="595" t="s">
        <v>1803</v>
      </c>
    </row>
    <row r="7" spans="1:34" ht="43.5">
      <c r="A7" s="594" t="s">
        <v>776</v>
      </c>
      <c r="B7" s="596" t="s">
        <v>2455</v>
      </c>
      <c r="C7" s="596" t="s">
        <v>2456</v>
      </c>
      <c r="D7" s="597">
        <v>44917</v>
      </c>
      <c r="E7" s="595" t="s">
        <v>143</v>
      </c>
      <c r="F7" s="598">
        <v>14.8079</v>
      </c>
      <c r="G7" s="595">
        <v>120.8445</v>
      </c>
      <c r="H7" s="599" t="s">
        <v>2457</v>
      </c>
      <c r="I7" s="601" t="s">
        <v>2458</v>
      </c>
      <c r="J7" s="601" t="s">
        <v>2459</v>
      </c>
      <c r="K7" s="600" t="s">
        <v>69</v>
      </c>
      <c r="L7" s="600" t="s">
        <v>69</v>
      </c>
      <c r="M7" s="600" t="s">
        <v>69</v>
      </c>
      <c r="N7" s="600" t="s">
        <v>69</v>
      </c>
      <c r="O7" s="594" t="s">
        <v>74</v>
      </c>
      <c r="P7" s="595" t="s">
        <v>1800</v>
      </c>
      <c r="Q7" s="595" t="s">
        <v>328</v>
      </c>
      <c r="R7" s="595" t="s">
        <v>1982</v>
      </c>
      <c r="S7" s="595" t="s">
        <v>2460</v>
      </c>
      <c r="T7" s="602">
        <v>45692</v>
      </c>
      <c r="U7" s="602">
        <v>45694</v>
      </c>
      <c r="V7" s="602">
        <v>45698</v>
      </c>
      <c r="W7" s="602">
        <v>45698</v>
      </c>
      <c r="X7" s="602">
        <v>45701</v>
      </c>
      <c r="Y7" s="603">
        <v>2</v>
      </c>
      <c r="Z7" s="603">
        <v>2</v>
      </c>
      <c r="AA7" s="603">
        <v>2</v>
      </c>
      <c r="AB7" s="603">
        <v>3</v>
      </c>
      <c r="AC7" s="599" t="s">
        <v>150</v>
      </c>
      <c r="AD7" s="594" t="s">
        <v>50</v>
      </c>
      <c r="AE7" s="595">
        <v>0.26</v>
      </c>
      <c r="AF7" s="595" t="s">
        <v>2427</v>
      </c>
      <c r="AG7" s="595" t="s">
        <v>1803</v>
      </c>
      <c r="AH7" s="595" t="s">
        <v>1803</v>
      </c>
    </row>
    <row r="8" spans="1:34" ht="29.25">
      <c r="A8" s="594" t="s">
        <v>776</v>
      </c>
      <c r="B8" s="596" t="s">
        <v>2461</v>
      </c>
      <c r="C8" s="596" t="s">
        <v>2462</v>
      </c>
      <c r="D8" s="597">
        <v>44896</v>
      </c>
      <c r="E8" s="595" t="s">
        <v>143</v>
      </c>
      <c r="F8" s="598">
        <v>14.8078</v>
      </c>
      <c r="G8" s="595">
        <v>120.8445</v>
      </c>
      <c r="H8" s="599" t="s">
        <v>2463</v>
      </c>
      <c r="I8" s="601" t="s">
        <v>2464</v>
      </c>
      <c r="J8" s="601" t="s">
        <v>2465</v>
      </c>
      <c r="K8" s="600" t="s">
        <v>69</v>
      </c>
      <c r="L8" s="600" t="s">
        <v>69</v>
      </c>
      <c r="M8" s="600" t="s">
        <v>69</v>
      </c>
      <c r="N8" s="600" t="s">
        <v>69</v>
      </c>
      <c r="O8" s="594" t="s">
        <v>78</v>
      </c>
      <c r="P8" s="595" t="s">
        <v>2261</v>
      </c>
      <c r="Q8" s="595" t="s">
        <v>1803</v>
      </c>
      <c r="R8" s="595" t="s">
        <v>1982</v>
      </c>
      <c r="S8" s="595" t="s">
        <v>2466</v>
      </c>
      <c r="T8" s="602">
        <v>45807</v>
      </c>
      <c r="U8" s="602">
        <v>45808</v>
      </c>
      <c r="V8" s="595" t="s">
        <v>1803</v>
      </c>
      <c r="W8" s="602">
        <v>45811</v>
      </c>
      <c r="X8" s="602">
        <v>45813</v>
      </c>
      <c r="Y8" s="603">
        <v>1</v>
      </c>
      <c r="Z8" s="603" t="s">
        <v>1803</v>
      </c>
      <c r="AA8" s="603">
        <v>1</v>
      </c>
      <c r="AB8" s="603">
        <v>2</v>
      </c>
      <c r="AC8" s="599" t="s">
        <v>150</v>
      </c>
      <c r="AD8" s="594" t="s">
        <v>50</v>
      </c>
      <c r="AE8" s="595">
        <v>3.5000000000000003E-2</v>
      </c>
      <c r="AF8" s="595" t="s">
        <v>2427</v>
      </c>
      <c r="AG8" s="595" t="s">
        <v>1803</v>
      </c>
      <c r="AH8" s="595" t="s">
        <v>1803</v>
      </c>
    </row>
    <row r="9" spans="1:34" ht="29.25">
      <c r="A9" s="594" t="s">
        <v>776</v>
      </c>
      <c r="B9" s="596" t="s">
        <v>2467</v>
      </c>
      <c r="C9" s="596" t="s">
        <v>2468</v>
      </c>
      <c r="D9" s="597">
        <v>44986</v>
      </c>
      <c r="E9" s="595" t="s">
        <v>143</v>
      </c>
      <c r="F9" s="598">
        <v>14.783899999999999</v>
      </c>
      <c r="G9" s="595">
        <v>120.07250000000001</v>
      </c>
      <c r="H9" s="599" t="s">
        <v>2469</v>
      </c>
      <c r="I9" s="601" t="s">
        <v>2464</v>
      </c>
      <c r="J9" s="601">
        <v>62</v>
      </c>
      <c r="K9" s="600" t="s">
        <v>69</v>
      </c>
      <c r="L9" s="600" t="s">
        <v>69</v>
      </c>
      <c r="M9" s="600" t="s">
        <v>69</v>
      </c>
      <c r="N9" s="600" t="s">
        <v>69</v>
      </c>
      <c r="O9" s="594" t="s">
        <v>76</v>
      </c>
      <c r="P9" s="595" t="s">
        <v>1800</v>
      </c>
      <c r="Q9" s="595" t="s">
        <v>1803</v>
      </c>
      <c r="R9" s="595" t="s">
        <v>1982</v>
      </c>
      <c r="S9" s="595" t="s">
        <v>2470</v>
      </c>
      <c r="T9" s="602">
        <v>45769</v>
      </c>
      <c r="U9" s="602">
        <v>45771</v>
      </c>
      <c r="V9" s="595" t="s">
        <v>1803</v>
      </c>
      <c r="W9" s="602">
        <v>45775</v>
      </c>
      <c r="X9" s="602">
        <v>45782</v>
      </c>
      <c r="Y9" s="603">
        <v>2</v>
      </c>
      <c r="Z9" s="603" t="s">
        <v>1803</v>
      </c>
      <c r="AA9" s="603">
        <v>2</v>
      </c>
      <c r="AB9" s="603">
        <v>5</v>
      </c>
      <c r="AC9" s="599" t="s">
        <v>150</v>
      </c>
      <c r="AD9" s="594" t="s">
        <v>57</v>
      </c>
      <c r="AE9" s="595" t="s">
        <v>2426</v>
      </c>
      <c r="AF9" s="595" t="s">
        <v>2427</v>
      </c>
      <c r="AG9" s="595" t="s">
        <v>1803</v>
      </c>
      <c r="AH9" s="595" t="s">
        <v>1803</v>
      </c>
    </row>
    <row r="10" spans="1:34" ht="29.25">
      <c r="A10" s="594" t="s">
        <v>2286</v>
      </c>
      <c r="B10" s="596" t="s">
        <v>2471</v>
      </c>
      <c r="C10" s="596" t="s">
        <v>2472</v>
      </c>
      <c r="D10" s="597">
        <v>44927</v>
      </c>
      <c r="E10" s="595" t="s">
        <v>143</v>
      </c>
      <c r="F10" s="598">
        <v>15.489800000000001</v>
      </c>
      <c r="G10" s="595">
        <v>120.9936</v>
      </c>
      <c r="H10" s="599" t="s">
        <v>2473</v>
      </c>
      <c r="I10" s="601" t="s">
        <v>1803</v>
      </c>
      <c r="J10" s="601" t="s">
        <v>2474</v>
      </c>
      <c r="K10" s="600" t="s">
        <v>2475</v>
      </c>
      <c r="L10" s="600" t="s">
        <v>69</v>
      </c>
      <c r="M10" s="600" t="s">
        <v>69</v>
      </c>
      <c r="N10" s="600" t="s">
        <v>69</v>
      </c>
      <c r="O10" s="594" t="s">
        <v>76</v>
      </c>
      <c r="P10" s="595" t="s">
        <v>267</v>
      </c>
      <c r="Q10" s="595" t="s">
        <v>2289</v>
      </c>
      <c r="R10" s="595" t="s">
        <v>212</v>
      </c>
      <c r="S10" s="595" t="s">
        <v>2476</v>
      </c>
      <c r="T10" s="602">
        <v>45751</v>
      </c>
      <c r="U10" s="602">
        <v>45754</v>
      </c>
      <c r="V10" s="602">
        <v>45755</v>
      </c>
      <c r="W10" s="602">
        <v>45755</v>
      </c>
      <c r="X10" s="602">
        <v>45757</v>
      </c>
      <c r="Y10" s="603">
        <v>1</v>
      </c>
      <c r="Z10" s="603">
        <v>1</v>
      </c>
      <c r="AA10" s="603">
        <v>1</v>
      </c>
      <c r="AB10" s="603">
        <v>2</v>
      </c>
      <c r="AC10" s="599" t="s">
        <v>150</v>
      </c>
      <c r="AD10" s="594" t="s">
        <v>50</v>
      </c>
      <c r="AE10" s="595" t="s">
        <v>2477</v>
      </c>
      <c r="AF10" s="595" t="s">
        <v>2427</v>
      </c>
      <c r="AG10" s="595" t="s">
        <v>1803</v>
      </c>
      <c r="AH10" s="595" t="s">
        <v>1803</v>
      </c>
    </row>
    <row r="11" spans="1:34" ht="43.5">
      <c r="A11" s="594" t="s">
        <v>2286</v>
      </c>
      <c r="B11" s="596" t="s">
        <v>2478</v>
      </c>
      <c r="C11" s="596" t="s">
        <v>2479</v>
      </c>
      <c r="D11" s="597">
        <v>44927</v>
      </c>
      <c r="E11" s="595" t="s">
        <v>143</v>
      </c>
      <c r="F11" s="598">
        <v>15.562150000000001</v>
      </c>
      <c r="G11" s="595">
        <v>121.09815</v>
      </c>
      <c r="H11" s="599" t="s">
        <v>2480</v>
      </c>
      <c r="I11" s="601" t="s">
        <v>2481</v>
      </c>
      <c r="J11" s="601">
        <v>63</v>
      </c>
      <c r="K11" s="600" t="s">
        <v>2482</v>
      </c>
      <c r="L11" s="601" t="s">
        <v>2483</v>
      </c>
      <c r="M11" s="600" t="s">
        <v>69</v>
      </c>
      <c r="N11" s="600" t="s">
        <v>69</v>
      </c>
      <c r="O11" s="594" t="s">
        <v>76</v>
      </c>
      <c r="P11" s="595" t="s">
        <v>26</v>
      </c>
      <c r="Q11" s="595" t="s">
        <v>2289</v>
      </c>
      <c r="R11" s="595" t="s">
        <v>212</v>
      </c>
      <c r="S11" s="595" t="s">
        <v>2484</v>
      </c>
      <c r="T11" s="602">
        <v>45744</v>
      </c>
      <c r="U11" s="602">
        <v>45757</v>
      </c>
      <c r="V11" s="602">
        <v>45761</v>
      </c>
      <c r="W11" s="602">
        <v>45761</v>
      </c>
      <c r="X11" s="602">
        <v>45762</v>
      </c>
      <c r="Y11" s="603">
        <v>9</v>
      </c>
      <c r="Z11" s="603">
        <v>2</v>
      </c>
      <c r="AA11" s="603">
        <v>1</v>
      </c>
      <c r="AB11" s="603">
        <v>1</v>
      </c>
      <c r="AC11" s="599" t="s">
        <v>150</v>
      </c>
      <c r="AD11" s="594" t="s">
        <v>50</v>
      </c>
      <c r="AE11" s="595" t="s">
        <v>2485</v>
      </c>
      <c r="AF11" s="595" t="s">
        <v>2427</v>
      </c>
      <c r="AG11" s="595" t="s">
        <v>1803</v>
      </c>
      <c r="AH11" s="595" t="s">
        <v>1803</v>
      </c>
    </row>
    <row r="12" spans="1:34" ht="43.5">
      <c r="A12" s="594" t="s">
        <v>2286</v>
      </c>
      <c r="B12" s="596" t="s">
        <v>2486</v>
      </c>
      <c r="C12" s="596" t="s">
        <v>2487</v>
      </c>
      <c r="D12" s="597">
        <v>44896</v>
      </c>
      <c r="E12" s="595" t="s">
        <v>143</v>
      </c>
      <c r="F12" s="598">
        <v>15.76052</v>
      </c>
      <c r="G12" s="595">
        <v>120.95547999999999</v>
      </c>
      <c r="H12" s="599" t="s">
        <v>2488</v>
      </c>
      <c r="I12" s="601" t="s">
        <v>69</v>
      </c>
      <c r="J12" s="601">
        <v>63</v>
      </c>
      <c r="K12" s="600" t="s">
        <v>2489</v>
      </c>
      <c r="L12" s="600" t="s">
        <v>2490</v>
      </c>
      <c r="M12" s="600" t="s">
        <v>69</v>
      </c>
      <c r="N12" s="600" t="s">
        <v>69</v>
      </c>
      <c r="O12" s="594" t="s">
        <v>77</v>
      </c>
      <c r="P12" s="595" t="s">
        <v>26</v>
      </c>
      <c r="Q12" s="595" t="s">
        <v>2289</v>
      </c>
      <c r="R12" s="595" t="s">
        <v>212</v>
      </c>
      <c r="S12" s="595" t="s">
        <v>2491</v>
      </c>
      <c r="T12" s="602">
        <v>45792</v>
      </c>
      <c r="U12" s="602">
        <v>45796</v>
      </c>
      <c r="V12" s="602">
        <v>45796</v>
      </c>
      <c r="W12" s="602">
        <v>45796</v>
      </c>
      <c r="X12" s="602">
        <v>45797</v>
      </c>
      <c r="Y12" s="603">
        <v>2</v>
      </c>
      <c r="Z12" s="603">
        <v>1</v>
      </c>
      <c r="AA12" s="603">
        <v>1</v>
      </c>
      <c r="AB12" s="603">
        <v>1</v>
      </c>
      <c r="AC12" s="599" t="s">
        <v>150</v>
      </c>
      <c r="AD12" s="594" t="s">
        <v>50</v>
      </c>
      <c r="AE12" s="595">
        <v>0</v>
      </c>
      <c r="AF12" s="596" t="s">
        <v>2492</v>
      </c>
      <c r="AG12" s="595" t="s">
        <v>1803</v>
      </c>
      <c r="AH12" s="595" t="s">
        <v>1803</v>
      </c>
    </row>
    <row r="13" spans="1:34" ht="29.25">
      <c r="A13" s="594" t="s">
        <v>2286</v>
      </c>
      <c r="B13" s="596" t="s">
        <v>2493</v>
      </c>
      <c r="C13" s="596" t="s">
        <v>2494</v>
      </c>
      <c r="D13" s="597">
        <v>45054</v>
      </c>
      <c r="E13" s="595" t="s">
        <v>143</v>
      </c>
      <c r="F13" s="598">
        <v>15.76113</v>
      </c>
      <c r="G13" s="595">
        <v>120.89765199999999</v>
      </c>
      <c r="H13" s="599" t="s">
        <v>2495</v>
      </c>
      <c r="I13" s="601" t="s">
        <v>2496</v>
      </c>
      <c r="J13" s="601">
        <v>63</v>
      </c>
      <c r="K13" s="600" t="s">
        <v>2497</v>
      </c>
      <c r="L13" s="600" t="s">
        <v>2498</v>
      </c>
      <c r="M13" s="600" t="s">
        <v>2498</v>
      </c>
      <c r="N13" s="600" t="s">
        <v>2498</v>
      </c>
      <c r="O13" s="594" t="s">
        <v>77</v>
      </c>
      <c r="P13" s="595" t="s">
        <v>29</v>
      </c>
      <c r="Q13" s="595" t="s">
        <v>2289</v>
      </c>
      <c r="R13" s="595" t="s">
        <v>212</v>
      </c>
      <c r="S13" s="595" t="s">
        <v>2499</v>
      </c>
      <c r="T13" s="602">
        <v>45793</v>
      </c>
      <c r="U13" s="602">
        <v>45796</v>
      </c>
      <c r="V13" s="602">
        <v>45796</v>
      </c>
      <c r="W13" s="602">
        <v>45796</v>
      </c>
      <c r="X13" s="602">
        <v>45797</v>
      </c>
      <c r="Y13" s="603">
        <v>1</v>
      </c>
      <c r="Z13" s="603">
        <v>1</v>
      </c>
      <c r="AA13" s="603">
        <v>1</v>
      </c>
      <c r="AB13" s="603">
        <v>1</v>
      </c>
      <c r="AC13" s="599" t="s">
        <v>150</v>
      </c>
      <c r="AD13" s="594" t="s">
        <v>50</v>
      </c>
      <c r="AE13" s="595">
        <v>2</v>
      </c>
      <c r="AF13" s="596" t="s">
        <v>2500</v>
      </c>
      <c r="AG13" s="595" t="s">
        <v>1803</v>
      </c>
      <c r="AH13" s="595" t="s">
        <v>1803</v>
      </c>
    </row>
    <row r="14" spans="1:34" ht="29.25">
      <c r="A14" s="594" t="s">
        <v>778</v>
      </c>
      <c r="B14" s="596" t="s">
        <v>2501</v>
      </c>
      <c r="C14" s="596" t="s">
        <v>2502</v>
      </c>
      <c r="D14" s="597">
        <v>45283</v>
      </c>
      <c r="E14" s="595" t="s">
        <v>143</v>
      </c>
      <c r="F14" s="598" t="s">
        <v>1803</v>
      </c>
      <c r="G14" s="595">
        <v>120.61186499999999</v>
      </c>
      <c r="H14" s="599" t="s">
        <v>2503</v>
      </c>
      <c r="I14" s="601" t="s">
        <v>2504</v>
      </c>
      <c r="J14" s="601" t="s">
        <v>1803</v>
      </c>
      <c r="K14" s="600" t="s">
        <v>69</v>
      </c>
      <c r="L14" s="600" t="s">
        <v>2498</v>
      </c>
      <c r="M14" s="600" t="s">
        <v>2498</v>
      </c>
      <c r="N14" s="600" t="s">
        <v>1803</v>
      </c>
      <c r="O14" s="594" t="s">
        <v>73</v>
      </c>
      <c r="P14" s="595" t="s">
        <v>33</v>
      </c>
      <c r="Q14" s="595" t="s">
        <v>1803</v>
      </c>
      <c r="R14" s="595" t="s">
        <v>148</v>
      </c>
      <c r="S14" s="595" t="s">
        <v>2505</v>
      </c>
      <c r="T14" s="602">
        <v>45678</v>
      </c>
      <c r="U14" s="602">
        <v>45679</v>
      </c>
      <c r="V14" s="595" t="s">
        <v>1803</v>
      </c>
      <c r="W14" s="602">
        <v>45681</v>
      </c>
      <c r="X14" s="602">
        <v>45681</v>
      </c>
      <c r="Y14" s="603">
        <v>1</v>
      </c>
      <c r="Z14" s="603" t="s">
        <v>1803</v>
      </c>
      <c r="AA14" s="603">
        <v>2</v>
      </c>
      <c r="AB14" s="603">
        <v>1</v>
      </c>
      <c r="AC14" s="599" t="s">
        <v>150</v>
      </c>
      <c r="AD14" s="594" t="s">
        <v>57</v>
      </c>
      <c r="AE14" s="595" t="s">
        <v>2426</v>
      </c>
      <c r="AF14" s="595" t="s">
        <v>1803</v>
      </c>
      <c r="AG14" s="595" t="s">
        <v>1803</v>
      </c>
      <c r="AH14" s="595" t="s">
        <v>1803</v>
      </c>
    </row>
    <row r="15" spans="1:34" ht="29.25">
      <c r="A15" s="594" t="s">
        <v>778</v>
      </c>
      <c r="B15" s="596" t="s">
        <v>2506</v>
      </c>
      <c r="C15" s="596" t="s">
        <v>2502</v>
      </c>
      <c r="D15" s="597">
        <v>45283</v>
      </c>
      <c r="E15" s="595" t="s">
        <v>143</v>
      </c>
      <c r="F15" s="598">
        <v>15.081951999999999</v>
      </c>
      <c r="G15" s="595">
        <v>120.61186499999999</v>
      </c>
      <c r="H15" s="599" t="s">
        <v>2503</v>
      </c>
      <c r="I15" s="601" t="s">
        <v>2504</v>
      </c>
      <c r="J15" s="601" t="s">
        <v>1803</v>
      </c>
      <c r="K15" s="600" t="s">
        <v>69</v>
      </c>
      <c r="L15" s="600" t="s">
        <v>2498</v>
      </c>
      <c r="M15" s="600" t="s">
        <v>2498</v>
      </c>
      <c r="N15" s="600" t="s">
        <v>1803</v>
      </c>
      <c r="O15" s="594" t="s">
        <v>73</v>
      </c>
      <c r="P15" s="595" t="s">
        <v>33</v>
      </c>
      <c r="Q15" s="595" t="s">
        <v>1803</v>
      </c>
      <c r="R15" s="595" t="s">
        <v>148</v>
      </c>
      <c r="S15" s="595" t="s">
        <v>2505</v>
      </c>
      <c r="T15" s="602">
        <v>45678</v>
      </c>
      <c r="U15" s="602">
        <v>45679</v>
      </c>
      <c r="V15" s="595" t="s">
        <v>1803</v>
      </c>
      <c r="W15" s="602">
        <v>45681</v>
      </c>
      <c r="X15" s="602">
        <v>45681</v>
      </c>
      <c r="Y15" s="603">
        <v>1</v>
      </c>
      <c r="Z15" s="603" t="s">
        <v>1803</v>
      </c>
      <c r="AA15" s="603">
        <v>2</v>
      </c>
      <c r="AB15" s="603">
        <v>1</v>
      </c>
      <c r="AC15" s="599" t="s">
        <v>150</v>
      </c>
      <c r="AD15" s="594" t="s">
        <v>57</v>
      </c>
      <c r="AE15" s="595" t="s">
        <v>2426</v>
      </c>
      <c r="AF15" s="595" t="s">
        <v>1803</v>
      </c>
      <c r="AG15" s="595" t="s">
        <v>1803</v>
      </c>
      <c r="AH15" s="595" t="s">
        <v>1803</v>
      </c>
    </row>
    <row r="16" spans="1:34" ht="29.25">
      <c r="A16" s="594" t="s">
        <v>778</v>
      </c>
      <c r="B16" s="596" t="s">
        <v>2507</v>
      </c>
      <c r="C16" s="596" t="s">
        <v>2508</v>
      </c>
      <c r="D16" s="596" t="s">
        <v>69</v>
      </c>
      <c r="E16" s="595" t="s">
        <v>143</v>
      </c>
      <c r="F16" s="598">
        <v>15.14598</v>
      </c>
      <c r="G16" s="595">
        <v>120.58114</v>
      </c>
      <c r="H16" s="599" t="s">
        <v>2509</v>
      </c>
      <c r="I16" s="601" t="s">
        <v>1803</v>
      </c>
      <c r="J16" s="601">
        <v>63</v>
      </c>
      <c r="K16" s="600" t="s">
        <v>2510</v>
      </c>
      <c r="L16" s="600" t="s">
        <v>2511</v>
      </c>
      <c r="M16" s="600" t="s">
        <v>2512</v>
      </c>
      <c r="N16" s="601" t="s">
        <v>2513</v>
      </c>
      <c r="O16" s="594" t="s">
        <v>75</v>
      </c>
      <c r="P16" s="595" t="s">
        <v>33</v>
      </c>
      <c r="Q16" s="595" t="s">
        <v>1803</v>
      </c>
      <c r="R16" s="595" t="s">
        <v>148</v>
      </c>
      <c r="S16" s="595" t="s">
        <v>2514</v>
      </c>
      <c r="T16" s="602">
        <v>45729</v>
      </c>
      <c r="U16" s="602">
        <v>45731</v>
      </c>
      <c r="V16" s="595" t="s">
        <v>1803</v>
      </c>
      <c r="W16" s="602">
        <v>45733</v>
      </c>
      <c r="X16" s="602">
        <v>45733</v>
      </c>
      <c r="Y16" s="603">
        <v>1</v>
      </c>
      <c r="Z16" s="603" t="s">
        <v>1803</v>
      </c>
      <c r="AA16" s="603">
        <v>1</v>
      </c>
      <c r="AB16" s="603">
        <v>1</v>
      </c>
      <c r="AC16" s="599" t="s">
        <v>150</v>
      </c>
      <c r="AD16" s="594" t="s">
        <v>50</v>
      </c>
      <c r="AE16" s="595" t="s">
        <v>2426</v>
      </c>
      <c r="AF16" s="595" t="s">
        <v>2427</v>
      </c>
      <c r="AG16" s="595" t="s">
        <v>1803</v>
      </c>
      <c r="AH16" s="595" t="s">
        <v>1803</v>
      </c>
    </row>
    <row r="17" spans="1:34">
      <c r="A17" s="594" t="s">
        <v>778</v>
      </c>
      <c r="B17" s="596" t="s">
        <v>2515</v>
      </c>
      <c r="C17" s="596" t="s">
        <v>2516</v>
      </c>
      <c r="D17" s="597">
        <v>45283</v>
      </c>
      <c r="E17" s="595" t="s">
        <v>143</v>
      </c>
      <c r="F17" s="598">
        <v>15.06912</v>
      </c>
      <c r="G17" s="595">
        <v>120.57165999999999</v>
      </c>
      <c r="H17" s="599" t="s">
        <v>2517</v>
      </c>
      <c r="I17" s="601" t="s">
        <v>1947</v>
      </c>
      <c r="J17" s="601">
        <v>63</v>
      </c>
      <c r="K17" s="600" t="s">
        <v>69</v>
      </c>
      <c r="L17" s="600" t="s">
        <v>69</v>
      </c>
      <c r="M17" s="600" t="s">
        <v>69</v>
      </c>
      <c r="N17" s="600" t="s">
        <v>69</v>
      </c>
      <c r="O17" s="594" t="s">
        <v>77</v>
      </c>
      <c r="P17" s="595" t="s">
        <v>33</v>
      </c>
      <c r="Q17" s="595" t="s">
        <v>1803</v>
      </c>
      <c r="R17" s="595" t="s">
        <v>148</v>
      </c>
      <c r="S17" s="595" t="s">
        <v>2518</v>
      </c>
      <c r="T17" s="602">
        <v>45783</v>
      </c>
      <c r="U17" s="602">
        <v>45784</v>
      </c>
      <c r="V17" s="595" t="s">
        <v>1803</v>
      </c>
      <c r="W17" s="602">
        <v>45796</v>
      </c>
      <c r="X17" s="602">
        <v>45796</v>
      </c>
      <c r="Y17" s="603">
        <v>1</v>
      </c>
      <c r="Z17" s="603" t="s">
        <v>1803</v>
      </c>
      <c r="AA17" s="603">
        <v>8</v>
      </c>
      <c r="AB17" s="603">
        <v>1</v>
      </c>
      <c r="AC17" s="599" t="s">
        <v>150</v>
      </c>
      <c r="AD17" s="594" t="s">
        <v>50</v>
      </c>
      <c r="AE17" s="595" t="s">
        <v>2426</v>
      </c>
      <c r="AF17" s="595" t="s">
        <v>2427</v>
      </c>
      <c r="AG17" s="595" t="s">
        <v>1803</v>
      </c>
      <c r="AH17" s="595" t="s">
        <v>1803</v>
      </c>
    </row>
    <row r="18" spans="1:34" ht="129">
      <c r="A18" s="594" t="s">
        <v>779</v>
      </c>
      <c r="B18" s="596" t="s">
        <v>645</v>
      </c>
      <c r="C18" s="596" t="s">
        <v>2519</v>
      </c>
      <c r="D18" s="597">
        <v>44924</v>
      </c>
      <c r="E18" s="595" t="s">
        <v>143</v>
      </c>
      <c r="F18" s="598">
        <v>15.471690000000001</v>
      </c>
      <c r="G18" s="595">
        <v>120.58632</v>
      </c>
      <c r="H18" s="599" t="s">
        <v>2520</v>
      </c>
      <c r="I18" s="601" t="s">
        <v>1803</v>
      </c>
      <c r="J18" s="601" t="s">
        <v>2521</v>
      </c>
      <c r="K18" s="600" t="s">
        <v>2522</v>
      </c>
      <c r="L18" s="600" t="s">
        <v>2523</v>
      </c>
      <c r="M18" s="600" t="s">
        <v>2524</v>
      </c>
      <c r="N18" s="600" t="s">
        <v>2525</v>
      </c>
      <c r="O18" s="594" t="s">
        <v>74</v>
      </c>
      <c r="P18" s="604" t="s">
        <v>37</v>
      </c>
      <c r="Q18" s="594" t="s">
        <v>163</v>
      </c>
      <c r="R18" s="595" t="s">
        <v>328</v>
      </c>
      <c r="S18" s="595" t="s">
        <v>2526</v>
      </c>
      <c r="T18" s="602">
        <v>45707</v>
      </c>
      <c r="U18" s="602">
        <v>45707</v>
      </c>
      <c r="V18" s="595" t="s">
        <v>1803</v>
      </c>
      <c r="W18" s="602">
        <v>45707</v>
      </c>
      <c r="X18" s="602">
        <v>45707</v>
      </c>
      <c r="Y18" s="603">
        <v>1</v>
      </c>
      <c r="Z18" s="603" t="s">
        <v>1803</v>
      </c>
      <c r="AA18" s="603">
        <v>1</v>
      </c>
      <c r="AB18" s="603">
        <v>1</v>
      </c>
      <c r="AC18" s="599" t="s">
        <v>150</v>
      </c>
      <c r="AD18" s="594" t="s">
        <v>50</v>
      </c>
      <c r="AE18" s="595" t="s">
        <v>2426</v>
      </c>
      <c r="AF18" s="596" t="s">
        <v>2527</v>
      </c>
      <c r="AG18" s="595" t="s">
        <v>1803</v>
      </c>
      <c r="AH18" s="595" t="s">
        <v>1803</v>
      </c>
    </row>
    <row r="19" spans="1:34" ht="129">
      <c r="A19" s="594" t="s">
        <v>779</v>
      </c>
      <c r="B19" s="596" t="s">
        <v>645</v>
      </c>
      <c r="C19" s="596" t="s">
        <v>2519</v>
      </c>
      <c r="D19" s="597">
        <v>44924</v>
      </c>
      <c r="E19" s="595" t="s">
        <v>143</v>
      </c>
      <c r="F19" s="598">
        <v>15.471690000000001</v>
      </c>
      <c r="G19" s="595">
        <v>120.58632</v>
      </c>
      <c r="H19" s="599" t="s">
        <v>2520</v>
      </c>
      <c r="I19" s="601" t="s">
        <v>1803</v>
      </c>
      <c r="J19" s="601" t="s">
        <v>2528</v>
      </c>
      <c r="K19" s="600" t="s">
        <v>2522</v>
      </c>
      <c r="L19" s="600" t="s">
        <v>2523</v>
      </c>
      <c r="M19" s="600" t="s">
        <v>2524</v>
      </c>
      <c r="N19" s="600" t="s">
        <v>2525</v>
      </c>
      <c r="O19" s="594" t="s">
        <v>74</v>
      </c>
      <c r="P19" s="604" t="s">
        <v>37</v>
      </c>
      <c r="Q19" s="594" t="s">
        <v>163</v>
      </c>
      <c r="R19" s="595" t="s">
        <v>328</v>
      </c>
      <c r="S19" s="595" t="s">
        <v>2529</v>
      </c>
      <c r="T19" s="602">
        <v>45707</v>
      </c>
      <c r="U19" s="602">
        <v>45707</v>
      </c>
      <c r="V19" s="595" t="s">
        <v>1803</v>
      </c>
      <c r="W19" s="602">
        <v>45707</v>
      </c>
      <c r="X19" s="602">
        <v>45707</v>
      </c>
      <c r="Y19" s="603">
        <v>1</v>
      </c>
      <c r="Z19" s="603" t="s">
        <v>1803</v>
      </c>
      <c r="AA19" s="603">
        <v>1</v>
      </c>
      <c r="AB19" s="603">
        <v>1</v>
      </c>
      <c r="AC19" s="599" t="s">
        <v>150</v>
      </c>
      <c r="AD19" s="594" t="s">
        <v>50</v>
      </c>
      <c r="AE19" s="595" t="s">
        <v>2426</v>
      </c>
      <c r="AF19" s="596" t="s">
        <v>2530</v>
      </c>
      <c r="AG19" s="595" t="s">
        <v>1803</v>
      </c>
      <c r="AH19" s="595" t="s">
        <v>1803</v>
      </c>
    </row>
    <row r="20" spans="1:34">
      <c r="A20" s="594" t="s">
        <v>780</v>
      </c>
      <c r="B20" s="596" t="s">
        <v>2531</v>
      </c>
      <c r="C20" s="596" t="s">
        <v>2532</v>
      </c>
      <c r="D20" s="597">
        <v>44927</v>
      </c>
      <c r="E20" s="595" t="s">
        <v>159</v>
      </c>
      <c r="F20" s="598">
        <v>15.3133</v>
      </c>
      <c r="G20" s="595">
        <v>119.99890000000001</v>
      </c>
      <c r="H20" s="599" t="s">
        <v>2533</v>
      </c>
      <c r="I20" s="601" t="s">
        <v>1803</v>
      </c>
      <c r="J20" s="601">
        <v>63</v>
      </c>
      <c r="K20" s="600" t="s">
        <v>69</v>
      </c>
      <c r="L20" s="600" t="s">
        <v>69</v>
      </c>
      <c r="M20" s="600" t="s">
        <v>69</v>
      </c>
      <c r="N20" s="600" t="s">
        <v>69</v>
      </c>
      <c r="O20" s="594" t="s">
        <v>76</v>
      </c>
      <c r="P20" s="595" t="s">
        <v>2534</v>
      </c>
      <c r="Q20" s="595" t="s">
        <v>163</v>
      </c>
      <c r="R20" s="595" t="s">
        <v>2393</v>
      </c>
      <c r="S20" s="595" t="s">
        <v>2535</v>
      </c>
      <c r="T20" s="602">
        <v>45751</v>
      </c>
      <c r="U20" s="602">
        <v>45754</v>
      </c>
      <c r="V20" s="602">
        <v>45755</v>
      </c>
      <c r="W20" s="602">
        <v>45755</v>
      </c>
      <c r="X20" s="602">
        <v>45755</v>
      </c>
      <c r="Y20" s="603">
        <v>1</v>
      </c>
      <c r="Z20" s="603">
        <v>1</v>
      </c>
      <c r="AA20" s="603">
        <v>1</v>
      </c>
      <c r="AB20" s="603">
        <v>1</v>
      </c>
      <c r="AC20" s="599" t="s">
        <v>150</v>
      </c>
      <c r="AD20" s="594" t="s">
        <v>50</v>
      </c>
      <c r="AE20" s="595" t="s">
        <v>2426</v>
      </c>
      <c r="AF20" s="595" t="s">
        <v>2427</v>
      </c>
      <c r="AG20" s="595" t="s">
        <v>1803</v>
      </c>
      <c r="AH20" s="595" t="s">
        <v>1803</v>
      </c>
    </row>
    <row r="21" spans="1:34">
      <c r="A21" s="594" t="s">
        <v>780</v>
      </c>
      <c r="B21" s="596" t="s">
        <v>2531</v>
      </c>
      <c r="C21" s="596" t="s">
        <v>2532</v>
      </c>
      <c r="D21" s="597">
        <v>44927</v>
      </c>
      <c r="E21" s="595" t="s">
        <v>159</v>
      </c>
      <c r="F21" s="598">
        <v>15.3133</v>
      </c>
      <c r="G21" s="595">
        <v>119.99890000000001</v>
      </c>
      <c r="H21" s="599" t="s">
        <v>2533</v>
      </c>
      <c r="I21" s="601" t="s">
        <v>1803</v>
      </c>
      <c r="J21" s="601">
        <v>63</v>
      </c>
      <c r="K21" s="600" t="s">
        <v>69</v>
      </c>
      <c r="L21" s="600" t="s">
        <v>69</v>
      </c>
      <c r="M21" s="600" t="s">
        <v>69</v>
      </c>
      <c r="N21" s="600" t="s">
        <v>69</v>
      </c>
      <c r="O21" s="594" t="s">
        <v>76</v>
      </c>
      <c r="P21" s="595" t="s">
        <v>2534</v>
      </c>
      <c r="Q21" s="595" t="s">
        <v>163</v>
      </c>
      <c r="R21" s="595" t="s">
        <v>2393</v>
      </c>
      <c r="S21" s="595" t="s">
        <v>2536</v>
      </c>
      <c r="T21" s="602">
        <v>45751</v>
      </c>
      <c r="U21" s="602">
        <v>45754</v>
      </c>
      <c r="V21" s="602">
        <v>45755</v>
      </c>
      <c r="W21" s="602">
        <v>45755</v>
      </c>
      <c r="X21" s="602">
        <v>45755</v>
      </c>
      <c r="Y21" s="603">
        <v>1</v>
      </c>
      <c r="Z21" s="603">
        <v>1</v>
      </c>
      <c r="AA21" s="603">
        <v>1</v>
      </c>
      <c r="AB21" s="603">
        <v>1</v>
      </c>
      <c r="AC21" s="599" t="s">
        <v>150</v>
      </c>
      <c r="AD21" s="594" t="s">
        <v>50</v>
      </c>
      <c r="AE21" s="595" t="s">
        <v>2426</v>
      </c>
      <c r="AF21" s="595" t="s">
        <v>2427</v>
      </c>
      <c r="AG21" s="595" t="s">
        <v>1803</v>
      </c>
      <c r="AH21" s="595" t="s">
        <v>1803</v>
      </c>
    </row>
    <row r="22" spans="1:34">
      <c r="A22" s="594" t="s">
        <v>780</v>
      </c>
      <c r="B22" s="596" t="s">
        <v>2537</v>
      </c>
      <c r="C22" s="596" t="s">
        <v>2538</v>
      </c>
      <c r="D22" s="597">
        <v>44927</v>
      </c>
      <c r="E22" s="595" t="s">
        <v>159</v>
      </c>
      <c r="F22" s="598">
        <v>14.845599999999999</v>
      </c>
      <c r="G22" s="595">
        <v>120.3292</v>
      </c>
      <c r="H22" s="599" t="s">
        <v>2539</v>
      </c>
      <c r="I22" s="601" t="s">
        <v>2504</v>
      </c>
      <c r="J22" s="601" t="s">
        <v>2540</v>
      </c>
      <c r="K22" s="600" t="s">
        <v>1667</v>
      </c>
      <c r="L22" s="600" t="s">
        <v>2541</v>
      </c>
      <c r="M22" s="600" t="s">
        <v>2541</v>
      </c>
      <c r="N22" s="600" t="s">
        <v>2541</v>
      </c>
      <c r="O22" s="594" t="s">
        <v>75</v>
      </c>
      <c r="P22" s="595" t="s">
        <v>2534</v>
      </c>
      <c r="Q22" s="595" t="s">
        <v>163</v>
      </c>
      <c r="R22" s="595" t="s">
        <v>2393</v>
      </c>
      <c r="S22" s="595" t="s">
        <v>2542</v>
      </c>
      <c r="T22" s="602">
        <v>45721</v>
      </c>
      <c r="U22" s="602">
        <v>45726</v>
      </c>
      <c r="V22" s="602">
        <v>45728</v>
      </c>
      <c r="W22" s="602">
        <v>45729</v>
      </c>
      <c r="X22" s="602">
        <v>45729</v>
      </c>
      <c r="Y22" s="603">
        <v>3</v>
      </c>
      <c r="Z22" s="603">
        <v>2</v>
      </c>
      <c r="AA22" s="603">
        <v>1</v>
      </c>
      <c r="AB22" s="603">
        <v>1</v>
      </c>
      <c r="AC22" s="599" t="s">
        <v>150</v>
      </c>
      <c r="AD22" s="594" t="s">
        <v>50</v>
      </c>
      <c r="AE22" s="595" t="s">
        <v>2426</v>
      </c>
      <c r="AF22" s="595" t="s">
        <v>2427</v>
      </c>
      <c r="AG22" s="595" t="s">
        <v>1803</v>
      </c>
      <c r="AH22" s="595" t="s">
        <v>1803</v>
      </c>
    </row>
  </sheetData>
  <autoFilter ref="A1:AH22" xr:uid="{1194CD77-0C38-4E4E-957B-CDCC4FA2D3C5}"/>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E174D-2BD6-4BCC-B5A4-781E7CC88849}">
  <sheetPr codeName="Sheet8"/>
  <dimension ref="A1:AU16"/>
  <sheetViews>
    <sheetView workbookViewId="0">
      <pane xSplit="3" topLeftCell="D1" activePane="topRight" state="frozen"/>
      <selection pane="topRight" activeCell="U10" sqref="U10"/>
    </sheetView>
  </sheetViews>
  <sheetFormatPr defaultColWidth="9.140625" defaultRowHeight="15"/>
  <cols>
    <col min="1" max="1" width="12.85546875" style="78" customWidth="1"/>
    <col min="2" max="2" width="12" style="78" customWidth="1"/>
    <col min="3" max="3" width="16.7109375" style="78" customWidth="1"/>
    <col min="4" max="4" width="24.5703125" style="78" bestFit="1" customWidth="1"/>
    <col min="5" max="5" width="15" style="78" customWidth="1"/>
    <col min="6" max="7" width="9.28515625" style="78" bestFit="1" customWidth="1"/>
    <col min="8" max="8" width="25.42578125" style="78" bestFit="1" customWidth="1"/>
    <col min="9" max="9" width="15.28515625" style="78" customWidth="1"/>
    <col min="10" max="10" width="23.42578125" style="78" customWidth="1"/>
    <col min="11" max="11" width="22.140625" style="78" customWidth="1"/>
    <col min="12" max="12" width="27.5703125" style="78" customWidth="1"/>
    <col min="13" max="13" width="21.42578125" style="78" customWidth="1"/>
    <col min="14" max="14" width="17.7109375" style="78" customWidth="1"/>
    <col min="15" max="15" width="32.7109375" style="78" customWidth="1"/>
    <col min="16" max="16" width="21.85546875" style="78" customWidth="1"/>
    <col min="17" max="17" width="18.42578125" style="78" customWidth="1"/>
    <col min="18" max="18" width="18.5703125" style="78" bestFit="1" customWidth="1"/>
    <col min="19" max="22" width="18.140625" style="78" customWidth="1"/>
    <col min="23" max="23" width="20.140625" style="81" customWidth="1"/>
    <col min="24" max="24" width="30" style="81" bestFit="1" customWidth="1"/>
    <col min="25" max="33" width="19.28515625" style="78" customWidth="1"/>
    <col min="34" max="34" width="31.140625" style="78" customWidth="1"/>
    <col min="35" max="38" width="19.28515625" style="78" customWidth="1"/>
    <col min="39" max="47" width="23.85546875" style="78" customWidth="1"/>
    <col min="48" max="16384" width="9.140625" style="78"/>
  </cols>
  <sheetData>
    <row r="1" spans="1:47" ht="57">
      <c r="A1" s="89" t="s">
        <v>85</v>
      </c>
      <c r="B1" s="89" t="s">
        <v>86</v>
      </c>
      <c r="C1" s="89" t="s">
        <v>782</v>
      </c>
      <c r="D1" s="89" t="s">
        <v>88</v>
      </c>
      <c r="E1" s="90" t="s">
        <v>89</v>
      </c>
      <c r="F1" s="90" t="s">
        <v>783</v>
      </c>
      <c r="G1" s="90" t="s">
        <v>784</v>
      </c>
      <c r="H1" s="90" t="s">
        <v>785</v>
      </c>
      <c r="I1" s="91" t="s">
        <v>99</v>
      </c>
      <c r="J1" s="91" t="s">
        <v>100</v>
      </c>
      <c r="K1" s="91" t="s">
        <v>101</v>
      </c>
      <c r="L1" s="91" t="s">
        <v>102</v>
      </c>
      <c r="M1" s="91" t="s">
        <v>103</v>
      </c>
      <c r="N1" s="91" t="s">
        <v>104</v>
      </c>
      <c r="O1" s="91" t="s">
        <v>105</v>
      </c>
      <c r="P1" s="91" t="s">
        <v>106</v>
      </c>
      <c r="Q1" s="91" t="s">
        <v>107</v>
      </c>
      <c r="R1" s="91" t="s">
        <v>108</v>
      </c>
      <c r="S1" s="91" t="s">
        <v>109</v>
      </c>
      <c r="T1" s="91" t="s">
        <v>110</v>
      </c>
      <c r="U1" s="91" t="s">
        <v>111</v>
      </c>
      <c r="V1" s="91" t="s">
        <v>112</v>
      </c>
      <c r="W1" s="92" t="s">
        <v>2250</v>
      </c>
      <c r="X1" s="37" t="s">
        <v>2251</v>
      </c>
      <c r="Y1" s="37" t="s">
        <v>2252</v>
      </c>
      <c r="Z1" s="37" t="s">
        <v>2253</v>
      </c>
      <c r="AA1" s="37" t="s">
        <v>2543</v>
      </c>
      <c r="AB1" s="37" t="s">
        <v>2544</v>
      </c>
      <c r="AC1" s="37" t="s">
        <v>2255</v>
      </c>
      <c r="AD1" s="37" t="s">
        <v>2545</v>
      </c>
      <c r="AE1" s="37" t="s">
        <v>2546</v>
      </c>
      <c r="AF1" s="37" t="s">
        <v>2547</v>
      </c>
      <c r="AG1" s="37" t="s">
        <v>2548</v>
      </c>
      <c r="AH1" s="37" t="s">
        <v>2549</v>
      </c>
      <c r="AI1" s="37" t="s">
        <v>2550</v>
      </c>
      <c r="AJ1" s="37" t="s">
        <v>2551</v>
      </c>
      <c r="AK1" s="37" t="s">
        <v>2552</v>
      </c>
      <c r="AL1" s="37" t="s">
        <v>797</v>
      </c>
      <c r="AM1" s="3" t="s">
        <v>118</v>
      </c>
      <c r="AN1" s="3" t="s">
        <v>798</v>
      </c>
      <c r="AO1" s="3" t="s">
        <v>125</v>
      </c>
      <c r="AP1" s="3" t="s">
        <v>799</v>
      </c>
      <c r="AQ1" s="3" t="s">
        <v>800</v>
      </c>
      <c r="AR1" s="3" t="s">
        <v>2257</v>
      </c>
      <c r="AS1" s="3" t="s">
        <v>802</v>
      </c>
      <c r="AT1" s="3" t="s">
        <v>803</v>
      </c>
      <c r="AU1" s="3" t="s">
        <v>804</v>
      </c>
    </row>
    <row r="2" spans="1:47">
      <c r="A2" s="11" t="s">
        <v>773</v>
      </c>
      <c r="B2" s="11" t="s">
        <v>805</v>
      </c>
      <c r="C2" s="11" t="s">
        <v>966</v>
      </c>
      <c r="D2" s="11" t="s">
        <v>159</v>
      </c>
      <c r="E2" s="11" t="s">
        <v>249</v>
      </c>
      <c r="F2" s="11">
        <v>15.73583333</v>
      </c>
      <c r="G2" s="11">
        <v>121.56277780000001</v>
      </c>
      <c r="H2" s="11" t="str">
        <f t="shared" ref="H2:H15" si="0">CONCATENATE(F2,","," ",G2)</f>
        <v>15.73583333, 121.5627778</v>
      </c>
      <c r="I2" s="453" t="s">
        <v>75</v>
      </c>
      <c r="J2" s="11" t="s">
        <v>13</v>
      </c>
      <c r="K2" s="11"/>
      <c r="L2" s="11" t="s">
        <v>163</v>
      </c>
      <c r="M2" s="11" t="s">
        <v>2553</v>
      </c>
      <c r="N2" s="34">
        <v>45722</v>
      </c>
      <c r="O2" s="34">
        <v>45724</v>
      </c>
      <c r="P2" s="34"/>
      <c r="Q2" s="34">
        <v>45728</v>
      </c>
      <c r="R2" s="34">
        <v>45728</v>
      </c>
      <c r="S2" s="45">
        <f>IF(
    OR(ISBLANK(N2), ISBLANK(O2)),
    "",
    MAX(1, IF(
        NETWORKDAYS(N2, O2) &lt;= 0,
        1,
        NETWORKDAYS(N2, O2) - IF(AA3 = AB3, 0, 1)
    ))
)</f>
        <v>2</v>
      </c>
      <c r="T2" s="45" t="str">
        <f>IF(
    OR(ISBLANK(O2), ISBLANK(P2)),
    "",
    MAX(1, IF(
        NETWORKDAYS(O2, P2) &lt;= 0,
        1,
        NETWORKDAYS(O2, P2) - IF(O2 = P2, 0, 1)
    ))
)</f>
        <v/>
      </c>
      <c r="U2" s="45">
        <f>IF(
  OR(A2 = "Nueva_Ecija", A2 = "Zambales"),
  IF(
    OR(ISBLANK(P2), ISBLANK(Q2)),
    "",
    MAX(1, IF(
      NETWORKDAYS(P2, Q2) &lt;= 0,
      1,
      NETWORKDAYS(P2, Q2) - IF(P2 = Q2, 0, 1)
    ))
  ),
  IF(
    OR(ISBLANK(O2), ISBLANK(Q2)),
    "",
    MAX(1, IF(
      NETWORKDAYS(O2, Q2) &lt;= 0,
      1,
      NETWORKDAYS(O2, Q2) - IF(O2 = Q2, 0, 1)
    ))
  )
)</f>
        <v>2</v>
      </c>
      <c r="V2" s="45">
        <f>IF(
    OR(ISBLANK(Q2), ISBLANK(R2)),
    "",
    MAX(1, IF(
        NETWORKDAYS(Q2, R2) &lt;= 0,
        1,
        NETWORKDAYS(Q2, R2) - IF(Q2 = R2, 0, 1)
    ))
)</f>
        <v>1</v>
      </c>
      <c r="W2" s="7" t="s">
        <v>150</v>
      </c>
      <c r="X2" s="7" t="s">
        <v>50</v>
      </c>
      <c r="Y2" s="11" t="s">
        <v>53</v>
      </c>
      <c r="Z2" s="11" t="s">
        <v>69</v>
      </c>
      <c r="AA2" s="11" t="s">
        <v>2554</v>
      </c>
      <c r="AB2" s="11">
        <v>2017</v>
      </c>
      <c r="AC2" s="11">
        <v>1.0369999999999999</v>
      </c>
      <c r="AD2" s="11" t="s">
        <v>808</v>
      </c>
      <c r="AE2" s="11" t="s">
        <v>2555</v>
      </c>
      <c r="AF2" s="10">
        <v>45685</v>
      </c>
      <c r="AG2" s="11">
        <v>4.2</v>
      </c>
      <c r="AH2" s="11" t="s">
        <v>2556</v>
      </c>
      <c r="AI2" s="11"/>
      <c r="AJ2" s="11"/>
      <c r="AK2" s="11">
        <v>7</v>
      </c>
      <c r="AL2" s="11"/>
      <c r="AM2" s="11"/>
      <c r="AN2" s="11"/>
      <c r="AO2" s="11"/>
      <c r="AP2" s="11"/>
      <c r="AQ2" s="11"/>
      <c r="AR2" s="11"/>
      <c r="AS2" s="11"/>
      <c r="AT2" s="11"/>
      <c r="AU2" s="11"/>
    </row>
    <row r="3" spans="1:47" ht="30">
      <c r="A3" s="11" t="s">
        <v>773</v>
      </c>
      <c r="B3" s="11" t="s">
        <v>1244</v>
      </c>
      <c r="C3" s="11" t="s">
        <v>1245</v>
      </c>
      <c r="D3" s="11" t="s">
        <v>159</v>
      </c>
      <c r="E3" s="11" t="s">
        <v>249</v>
      </c>
      <c r="F3" s="11">
        <v>16.392222220000001</v>
      </c>
      <c r="G3" s="11">
        <v>122.2108333</v>
      </c>
      <c r="H3" s="11" t="str">
        <f t="shared" si="0"/>
        <v>16.39222222, 122.2108333</v>
      </c>
      <c r="I3" s="453" t="s">
        <v>76</v>
      </c>
      <c r="J3" s="11" t="s">
        <v>15</v>
      </c>
      <c r="K3" s="11"/>
      <c r="L3" s="11" t="s">
        <v>163</v>
      </c>
      <c r="M3" s="11" t="s">
        <v>2557</v>
      </c>
      <c r="N3" s="34">
        <v>45762</v>
      </c>
      <c r="O3" s="34">
        <v>45762</v>
      </c>
      <c r="P3" s="34"/>
      <c r="Q3" s="34">
        <v>45763</v>
      </c>
      <c r="R3" s="34">
        <v>45763</v>
      </c>
      <c r="S3" s="45">
        <f t="shared" ref="S3:S15" si="1">IF(
    OR(ISBLANK(N3), ISBLANK(O3)),
    "",
    MAX(1, IF(
        NETWORKDAYS(N3, O3) &lt;= 0,
        1,
        NETWORKDAYS(N3, O3) - IF(AA4 = AB4, 0, 1)
    ))
)</f>
        <v>1</v>
      </c>
      <c r="T3" s="45" t="str">
        <f t="shared" ref="T3:T15" si="2">IF(
    OR(ISBLANK(O3), ISBLANK(P3)),
    "",
    MAX(1, IF(
        NETWORKDAYS(O3, P3) &lt;= 0,
        1,
        NETWORKDAYS(O3, P3) - IF(O3 = P3, 0, 1)
    ))
)</f>
        <v/>
      </c>
      <c r="U3" s="45">
        <f t="shared" ref="U3:U14" si="3">IF(
  OR(A3 = "Nueva_Ecija", A3 = "Zambales"),
  IF(
    OR(ISBLANK(P3), ISBLANK(Q3)),
    "",
    MAX(1, IF(
      NETWORKDAYS(P3, Q3) &lt;= 0,
      1,
      NETWORKDAYS(P3, Q3) - IF(P3 = Q3, 0, 1)
    ))
  ),
  IF(
    OR(ISBLANK(O3), ISBLANK(Q3)),
    "",
    MAX(1, IF(
      NETWORKDAYS(O3, Q3) &lt;= 0,
      1,
      NETWORKDAYS(O3, Q3) - IF(O3 = Q3, 0, 1)
    ))
  )
)</f>
        <v>1</v>
      </c>
      <c r="V3" s="45">
        <f t="shared" ref="V3:V15" si="4">IF(
    OR(ISBLANK(Q3), ISBLANK(R3)),
    "",
    MAX(1, IF(
        NETWORKDAYS(Q3, R3) &lt;= 0,
        1,
        NETWORKDAYS(Q3, R3) - IF(Q3 = R3, 0, 1)
    ))
)</f>
        <v>1</v>
      </c>
      <c r="W3" s="7" t="s">
        <v>150</v>
      </c>
      <c r="X3" s="7" t="s">
        <v>50</v>
      </c>
      <c r="Y3" s="11" t="s">
        <v>53</v>
      </c>
      <c r="Z3" s="11" t="s">
        <v>69</v>
      </c>
      <c r="AA3" s="11" t="s">
        <v>808</v>
      </c>
      <c r="AB3" s="11" t="s">
        <v>808</v>
      </c>
      <c r="AC3" s="11" t="s">
        <v>808</v>
      </c>
      <c r="AD3" s="11" t="s">
        <v>808</v>
      </c>
      <c r="AE3" s="11" t="s">
        <v>808</v>
      </c>
      <c r="AF3" s="11" t="s">
        <v>808</v>
      </c>
      <c r="AG3" s="11" t="s">
        <v>808</v>
      </c>
      <c r="AH3" s="11" t="s">
        <v>2558</v>
      </c>
      <c r="AI3" s="7" t="s">
        <v>404</v>
      </c>
      <c r="AJ3" s="11"/>
      <c r="AK3" s="11">
        <v>11</v>
      </c>
      <c r="AL3" s="11"/>
      <c r="AM3" s="11"/>
      <c r="AN3" s="11"/>
      <c r="AO3" s="11"/>
      <c r="AP3" s="11"/>
      <c r="AQ3" s="11"/>
      <c r="AR3" s="11"/>
      <c r="AS3" s="11"/>
      <c r="AT3" s="11"/>
      <c r="AU3" s="11"/>
    </row>
    <row r="4" spans="1:47" ht="30">
      <c r="A4" s="11" t="s">
        <v>773</v>
      </c>
      <c r="B4" s="11" t="s">
        <v>969</v>
      </c>
      <c r="C4" s="11" t="s">
        <v>970</v>
      </c>
      <c r="D4" s="11" t="s">
        <v>159</v>
      </c>
      <c r="E4" s="11" t="s">
        <v>249</v>
      </c>
      <c r="F4" s="11">
        <v>16.287777779999999</v>
      </c>
      <c r="G4" s="11">
        <v>122.1222222</v>
      </c>
      <c r="H4" s="11" t="str">
        <f t="shared" si="0"/>
        <v>16.28777778, 122.1222222</v>
      </c>
      <c r="I4" s="453" t="s">
        <v>78</v>
      </c>
      <c r="J4" s="11" t="s">
        <v>15</v>
      </c>
      <c r="K4" s="11"/>
      <c r="L4" s="11" t="s">
        <v>163</v>
      </c>
      <c r="M4" s="11" t="s">
        <v>2559</v>
      </c>
      <c r="N4" s="34">
        <v>45811</v>
      </c>
      <c r="O4" s="34">
        <v>45825</v>
      </c>
      <c r="P4" s="34"/>
      <c r="Q4" s="34">
        <v>45826</v>
      </c>
      <c r="R4" s="34">
        <v>45826</v>
      </c>
      <c r="S4" s="45">
        <f t="shared" si="1"/>
        <v>10</v>
      </c>
      <c r="T4" s="45" t="str">
        <f t="shared" si="2"/>
        <v/>
      </c>
      <c r="U4" s="45">
        <f t="shared" si="3"/>
        <v>1</v>
      </c>
      <c r="V4" s="45">
        <f t="shared" si="4"/>
        <v>1</v>
      </c>
      <c r="W4" s="7" t="s">
        <v>150</v>
      </c>
      <c r="X4" s="7" t="s">
        <v>50</v>
      </c>
      <c r="Y4" s="11" t="s">
        <v>53</v>
      </c>
      <c r="Z4" s="11">
        <v>0</v>
      </c>
      <c r="AA4" s="11" t="s">
        <v>2560</v>
      </c>
      <c r="AB4" s="11">
        <v>2015</v>
      </c>
      <c r="AC4" s="11">
        <v>0.74</v>
      </c>
      <c r="AD4" s="7" t="s">
        <v>2561</v>
      </c>
      <c r="AE4" s="11" t="s">
        <v>2562</v>
      </c>
      <c r="AF4" s="10">
        <v>45790</v>
      </c>
      <c r="AG4" s="11">
        <v>18.8</v>
      </c>
      <c r="AH4" s="11" t="s">
        <v>54</v>
      </c>
      <c r="AI4" s="11" t="s">
        <v>635</v>
      </c>
      <c r="AJ4" s="11" t="s">
        <v>815</v>
      </c>
      <c r="AK4" s="11">
        <v>24</v>
      </c>
      <c r="AL4" s="7" t="s">
        <v>2563</v>
      </c>
      <c r="AM4" s="11"/>
      <c r="AN4" s="11"/>
      <c r="AO4" s="11"/>
      <c r="AP4" s="11"/>
      <c r="AQ4" s="11"/>
      <c r="AR4" s="11"/>
      <c r="AS4" s="11"/>
      <c r="AT4" s="11"/>
      <c r="AU4" s="11"/>
    </row>
    <row r="5" spans="1:47" ht="30">
      <c r="A5" s="11" t="s">
        <v>773</v>
      </c>
      <c r="B5" s="11" t="s">
        <v>974</v>
      </c>
      <c r="C5" s="11" t="s">
        <v>1746</v>
      </c>
      <c r="D5" s="11" t="s">
        <v>159</v>
      </c>
      <c r="E5" s="11" t="s">
        <v>249</v>
      </c>
      <c r="F5" s="11">
        <v>15.3818889</v>
      </c>
      <c r="G5" s="11">
        <v>121.38055559999999</v>
      </c>
      <c r="H5" s="11" t="str">
        <f t="shared" si="0"/>
        <v>15.3818889, 121.3805556</v>
      </c>
      <c r="I5" s="453" t="s">
        <v>83</v>
      </c>
      <c r="J5" s="11" t="s">
        <v>15</v>
      </c>
      <c r="K5" s="11"/>
      <c r="L5" s="11" t="s">
        <v>163</v>
      </c>
      <c r="M5" s="11" t="s">
        <v>2564</v>
      </c>
      <c r="N5" s="34">
        <v>45966</v>
      </c>
      <c r="O5" s="34">
        <v>45978</v>
      </c>
      <c r="P5" s="34"/>
      <c r="Q5" s="34">
        <v>45978</v>
      </c>
      <c r="R5" s="34">
        <v>45979</v>
      </c>
      <c r="S5" s="45">
        <f t="shared" si="1"/>
        <v>8</v>
      </c>
      <c r="T5" s="45" t="str">
        <f t="shared" si="2"/>
        <v/>
      </c>
      <c r="U5" s="45">
        <f t="shared" si="3"/>
        <v>1</v>
      </c>
      <c r="V5" s="45">
        <f t="shared" si="4"/>
        <v>1</v>
      </c>
      <c r="W5" s="7" t="s">
        <v>150</v>
      </c>
      <c r="X5" s="7" t="s">
        <v>50</v>
      </c>
      <c r="Y5" s="11" t="s">
        <v>53</v>
      </c>
      <c r="Z5" s="11" t="s">
        <v>69</v>
      </c>
      <c r="AA5" s="11">
        <v>300</v>
      </c>
      <c r="AB5" s="11">
        <v>2023</v>
      </c>
      <c r="AC5" s="11" t="s">
        <v>808</v>
      </c>
      <c r="AD5" s="11" t="s">
        <v>808</v>
      </c>
      <c r="AE5" s="11" t="s">
        <v>808</v>
      </c>
      <c r="AF5" s="11" t="s">
        <v>808</v>
      </c>
      <c r="AG5" s="11" t="s">
        <v>808</v>
      </c>
      <c r="AH5" s="11" t="s">
        <v>2565</v>
      </c>
      <c r="AI5" s="11" t="s">
        <v>665</v>
      </c>
      <c r="AJ5" s="11" t="s">
        <v>69</v>
      </c>
      <c r="AK5" s="11">
        <v>9</v>
      </c>
      <c r="AL5" s="7" t="s">
        <v>2563</v>
      </c>
      <c r="AM5" s="11"/>
      <c r="AN5" s="11"/>
      <c r="AO5" s="11"/>
      <c r="AP5" s="11"/>
      <c r="AQ5" s="11"/>
      <c r="AR5" s="11"/>
      <c r="AS5" s="11"/>
      <c r="AT5" s="11"/>
      <c r="AU5" s="11"/>
    </row>
    <row r="6" spans="1:47" ht="45">
      <c r="A6" s="11" t="s">
        <v>773</v>
      </c>
      <c r="B6" s="11" t="s">
        <v>992</v>
      </c>
      <c r="C6" s="11" t="s">
        <v>993</v>
      </c>
      <c r="D6" s="11" t="s">
        <v>159</v>
      </c>
      <c r="E6" s="11" t="s">
        <v>249</v>
      </c>
      <c r="F6" s="11">
        <v>15.6972</v>
      </c>
      <c r="G6" s="11">
        <v>121.51479999999999</v>
      </c>
      <c r="H6" s="11" t="str">
        <f t="shared" si="0"/>
        <v>15.6972, 121.5148</v>
      </c>
      <c r="I6" s="453" t="s">
        <v>82</v>
      </c>
      <c r="J6" s="11" t="s">
        <v>13</v>
      </c>
      <c r="K6" s="11"/>
      <c r="L6" s="11" t="s">
        <v>163</v>
      </c>
      <c r="M6" s="11" t="s">
        <v>2566</v>
      </c>
      <c r="N6" s="34">
        <v>45932</v>
      </c>
      <c r="O6" s="34">
        <v>45936</v>
      </c>
      <c r="P6" s="34"/>
      <c r="Q6" s="34">
        <v>45939</v>
      </c>
      <c r="R6" s="34">
        <v>45939</v>
      </c>
      <c r="S6" s="45">
        <f t="shared" si="1"/>
        <v>2</v>
      </c>
      <c r="T6" s="45" t="str">
        <f t="shared" si="2"/>
        <v/>
      </c>
      <c r="U6" s="45">
        <f t="shared" si="3"/>
        <v>3</v>
      </c>
      <c r="V6" s="45">
        <f t="shared" si="4"/>
        <v>1</v>
      </c>
      <c r="W6" s="7" t="s">
        <v>150</v>
      </c>
      <c r="X6" s="7" t="s">
        <v>50</v>
      </c>
      <c r="Y6" s="11" t="s">
        <v>53</v>
      </c>
      <c r="Z6" s="11" t="s">
        <v>69</v>
      </c>
      <c r="AA6" s="11" t="s">
        <v>2567</v>
      </c>
      <c r="AB6" s="11" t="s">
        <v>808</v>
      </c>
      <c r="AC6" s="11">
        <v>2</v>
      </c>
      <c r="AD6" s="11" t="s">
        <v>808</v>
      </c>
      <c r="AE6" s="11">
        <v>2061</v>
      </c>
      <c r="AF6" s="10">
        <v>45826</v>
      </c>
      <c r="AG6" s="11">
        <v>14.28</v>
      </c>
      <c r="AH6" s="11" t="s">
        <v>54</v>
      </c>
      <c r="AI6" s="11" t="s">
        <v>635</v>
      </c>
      <c r="AJ6" s="11"/>
      <c r="AK6" s="11">
        <v>13</v>
      </c>
      <c r="AL6" s="11" t="s">
        <v>2563</v>
      </c>
      <c r="AM6" s="7" t="s">
        <v>2568</v>
      </c>
      <c r="AN6" s="11"/>
      <c r="AO6" s="11"/>
      <c r="AP6" s="11"/>
      <c r="AQ6" s="11"/>
      <c r="AR6" s="11"/>
      <c r="AS6" s="11"/>
      <c r="AT6" s="11"/>
      <c r="AU6" s="11"/>
    </row>
    <row r="7" spans="1:47" ht="45">
      <c r="A7" s="11" t="s">
        <v>774</v>
      </c>
      <c r="B7" s="11" t="s">
        <v>848</v>
      </c>
      <c r="C7" s="11" t="s">
        <v>2569</v>
      </c>
      <c r="D7" s="11" t="s">
        <v>143</v>
      </c>
      <c r="E7" s="11" t="s">
        <v>185</v>
      </c>
      <c r="F7" s="11">
        <v>14.631111110000001</v>
      </c>
      <c r="G7" s="11">
        <v>120.35727780000001</v>
      </c>
      <c r="H7" s="11" t="str">
        <f t="shared" si="0"/>
        <v>14.63111111, 120.3572778</v>
      </c>
      <c r="I7" s="453" t="s">
        <v>77</v>
      </c>
      <c r="J7" s="11" t="s">
        <v>19</v>
      </c>
      <c r="K7" s="11"/>
      <c r="L7" s="86" t="s">
        <v>2445</v>
      </c>
      <c r="M7" s="11" t="s">
        <v>2570</v>
      </c>
      <c r="N7" s="34">
        <v>45790</v>
      </c>
      <c r="O7" s="34">
        <v>45796</v>
      </c>
      <c r="P7" s="34"/>
      <c r="Q7" s="34">
        <v>45799</v>
      </c>
      <c r="R7" s="34">
        <v>45800</v>
      </c>
      <c r="S7" s="45">
        <f>IF(
    OR(ISBLANK(N7), ISBLANK(O7)),
    "",
    MAX(1, IF(
        NETWORKDAYS(N7, O7) &lt;= 0,
        1,
        NETWORKDAYS(N7, O7) - IF(AA8 = AB8, 0, 1)
    ))
)</f>
        <v>4</v>
      </c>
      <c r="T7" s="45" t="str">
        <f t="shared" si="2"/>
        <v/>
      </c>
      <c r="U7" s="45">
        <f>IF(
  OR(A7 = "Nueva_Ecija", A7 = "Zambales"),
  IF(
    OR(ISBLANK(P7), ISBLANK(Q7)),
    "",
    MAX(1, IF(
      NETWORKDAYS(P7, Q7) &lt;= 0,
      1,
      NETWORKDAYS(P7, Q7) - IF(P7 = Q7, 0, 1)
    ))
  ),
  IF(
    OR(ISBLANK(O7), ISBLANK(Q7)),
    "",
    MAX(1, IF(
      NETWORKDAYS(O7, Q7) &lt;= 0,
      1,
      NETWORKDAYS(O7, Q7) - IF(O7 = Q7, 0, 1)
    ))
  )
)</f>
        <v>3</v>
      </c>
      <c r="V7" s="45">
        <f t="shared" si="4"/>
        <v>1</v>
      </c>
      <c r="W7" s="7" t="s">
        <v>150</v>
      </c>
      <c r="X7" s="7" t="s">
        <v>50</v>
      </c>
      <c r="Y7" s="11" t="s">
        <v>53</v>
      </c>
      <c r="Z7" s="11">
        <v>2</v>
      </c>
      <c r="AA7" s="11" t="s">
        <v>2571</v>
      </c>
      <c r="AB7" s="11">
        <v>2021</v>
      </c>
      <c r="AC7" s="11">
        <v>26</v>
      </c>
      <c r="AD7" s="117">
        <v>3650</v>
      </c>
      <c r="AE7" s="11" t="s">
        <v>2572</v>
      </c>
      <c r="AF7" s="11" t="s">
        <v>2573</v>
      </c>
      <c r="AG7" s="11" t="s">
        <v>808</v>
      </c>
      <c r="AH7" s="7" t="s">
        <v>2574</v>
      </c>
      <c r="AI7" s="7" t="s">
        <v>330</v>
      </c>
      <c r="AJ7" s="17"/>
      <c r="AK7" s="11">
        <v>14</v>
      </c>
      <c r="AL7" s="7" t="s">
        <v>2563</v>
      </c>
      <c r="AM7" s="11"/>
      <c r="AN7" s="11"/>
      <c r="AO7" s="11"/>
      <c r="AP7" s="11"/>
      <c r="AQ7" s="11"/>
      <c r="AR7" s="11"/>
      <c r="AS7" s="11"/>
      <c r="AT7" s="11"/>
      <c r="AU7" s="11"/>
    </row>
    <row r="8" spans="1:47">
      <c r="A8" s="11" t="s">
        <v>774</v>
      </c>
      <c r="B8" s="11" t="s">
        <v>1775</v>
      </c>
      <c r="C8" s="11" t="s">
        <v>2180</v>
      </c>
      <c r="D8" s="11" t="s">
        <v>143</v>
      </c>
      <c r="E8" s="11" t="s">
        <v>160</v>
      </c>
      <c r="F8" s="11">
        <v>15.73441</v>
      </c>
      <c r="G8" s="11">
        <v>120.31515</v>
      </c>
      <c r="H8" s="11" t="str">
        <f t="shared" si="0"/>
        <v>15.73441, 120.31515</v>
      </c>
      <c r="I8" s="453" t="s">
        <v>81</v>
      </c>
      <c r="J8" s="11" t="s">
        <v>19</v>
      </c>
      <c r="K8" s="11"/>
      <c r="L8" s="86" t="s">
        <v>180</v>
      </c>
      <c r="M8" s="11" t="s">
        <v>2575</v>
      </c>
      <c r="N8" s="34">
        <v>45903</v>
      </c>
      <c r="O8" s="34">
        <v>45908</v>
      </c>
      <c r="P8" s="34"/>
      <c r="Q8" s="34">
        <v>45919</v>
      </c>
      <c r="R8" s="34">
        <v>45919</v>
      </c>
      <c r="S8" s="45">
        <f t="shared" si="1"/>
        <v>3</v>
      </c>
      <c r="T8" s="45" t="str">
        <f t="shared" si="2"/>
        <v/>
      </c>
      <c r="U8" s="45">
        <f t="shared" si="3"/>
        <v>9</v>
      </c>
      <c r="V8" s="45">
        <f t="shared" si="4"/>
        <v>1</v>
      </c>
      <c r="W8" s="7" t="s">
        <v>150</v>
      </c>
      <c r="X8" s="7" t="s">
        <v>50</v>
      </c>
      <c r="Y8" s="11" t="s">
        <v>60</v>
      </c>
      <c r="Z8" s="11">
        <v>2</v>
      </c>
      <c r="AA8" s="11" t="s">
        <v>2576</v>
      </c>
      <c r="AB8" s="11">
        <v>2017</v>
      </c>
      <c r="AC8" s="11" t="s">
        <v>2577</v>
      </c>
      <c r="AD8" s="11">
        <v>64</v>
      </c>
      <c r="AE8" s="11" t="s">
        <v>2578</v>
      </c>
      <c r="AF8" s="11"/>
      <c r="AG8" s="11"/>
      <c r="AH8" s="11"/>
      <c r="AI8" s="11"/>
      <c r="AJ8" s="11"/>
      <c r="AK8" s="11"/>
      <c r="AL8" s="11"/>
      <c r="AM8" s="11"/>
      <c r="AN8" s="11"/>
      <c r="AO8" s="11"/>
      <c r="AP8" s="11"/>
      <c r="AQ8" s="11"/>
      <c r="AR8" s="11"/>
      <c r="AS8" s="11"/>
      <c r="AT8" s="11"/>
      <c r="AU8" s="11"/>
    </row>
    <row r="9" spans="1:47" ht="30">
      <c r="A9" s="11" t="s">
        <v>2286</v>
      </c>
      <c r="B9" s="11" t="s">
        <v>2579</v>
      </c>
      <c r="C9" s="11" t="s">
        <v>2580</v>
      </c>
      <c r="D9" s="11" t="s">
        <v>143</v>
      </c>
      <c r="E9" s="11" t="s">
        <v>185</v>
      </c>
      <c r="F9" s="11">
        <v>15.955719999999999</v>
      </c>
      <c r="G9" s="11">
        <v>121.07883</v>
      </c>
      <c r="H9" s="11" t="str">
        <f t="shared" si="0"/>
        <v>15.95572, 121.07883</v>
      </c>
      <c r="I9" s="453" t="s">
        <v>81</v>
      </c>
      <c r="J9" s="11" t="s">
        <v>29</v>
      </c>
      <c r="K9" s="11" t="s">
        <v>1610</v>
      </c>
      <c r="L9" s="94" t="s">
        <v>212</v>
      </c>
      <c r="M9" s="709" t="s">
        <v>2581</v>
      </c>
      <c r="N9" s="34">
        <v>45904</v>
      </c>
      <c r="O9" s="34">
        <v>45950</v>
      </c>
      <c r="P9" s="34">
        <v>45950</v>
      </c>
      <c r="Q9" s="34">
        <v>45950</v>
      </c>
      <c r="R9" s="34">
        <v>45950</v>
      </c>
      <c r="S9" s="45">
        <f t="shared" si="1"/>
        <v>32</v>
      </c>
      <c r="T9" s="45">
        <f t="shared" si="2"/>
        <v>1</v>
      </c>
      <c r="U9" s="45">
        <f t="shared" si="3"/>
        <v>1</v>
      </c>
      <c r="V9" s="45">
        <f t="shared" si="4"/>
        <v>1</v>
      </c>
      <c r="W9" s="7" t="s">
        <v>150</v>
      </c>
      <c r="X9" s="7" t="s">
        <v>50</v>
      </c>
      <c r="Y9" s="11" t="s">
        <v>53</v>
      </c>
      <c r="Z9" s="11">
        <v>3</v>
      </c>
      <c r="AA9" s="11" t="s">
        <v>2582</v>
      </c>
      <c r="AB9" s="11">
        <v>2019</v>
      </c>
      <c r="AC9" s="11">
        <v>0.3</v>
      </c>
      <c r="AD9" s="11"/>
      <c r="AE9" s="11"/>
      <c r="AF9" s="11" t="s">
        <v>2583</v>
      </c>
      <c r="AG9" s="11"/>
      <c r="AH9" s="7" t="s">
        <v>2584</v>
      </c>
      <c r="AI9" s="7" t="s">
        <v>404</v>
      </c>
      <c r="AJ9" s="11" t="s">
        <v>1229</v>
      </c>
      <c r="AK9" s="11">
        <v>33</v>
      </c>
      <c r="AL9" s="7" t="s">
        <v>2563</v>
      </c>
      <c r="AM9" s="11"/>
      <c r="AN9" s="11"/>
      <c r="AO9" s="11"/>
      <c r="AP9" s="11"/>
      <c r="AQ9" s="11"/>
      <c r="AR9" s="11"/>
      <c r="AS9" s="11"/>
      <c r="AT9" s="11"/>
      <c r="AU9" s="11"/>
    </row>
    <row r="10" spans="1:47" ht="37.5" customHeight="1">
      <c r="A10" s="11" t="s">
        <v>2286</v>
      </c>
      <c r="B10" s="11" t="s">
        <v>1096</v>
      </c>
      <c r="C10" s="11" t="s">
        <v>1097</v>
      </c>
      <c r="D10" s="11" t="s">
        <v>159</v>
      </c>
      <c r="E10" s="11" t="s">
        <v>160</v>
      </c>
      <c r="F10" s="11">
        <v>15.8119</v>
      </c>
      <c r="G10" s="11">
        <v>120.6764</v>
      </c>
      <c r="H10" s="11" t="str">
        <f t="shared" si="0"/>
        <v>15.8119, 120.6764</v>
      </c>
      <c r="I10" s="453" t="s">
        <v>80</v>
      </c>
      <c r="J10" s="11" t="s">
        <v>29</v>
      </c>
      <c r="K10" s="11" t="s">
        <v>28</v>
      </c>
      <c r="L10" s="94" t="s">
        <v>212</v>
      </c>
      <c r="M10" s="11" t="s">
        <v>2585</v>
      </c>
      <c r="N10" s="34">
        <v>45881</v>
      </c>
      <c r="O10" s="34">
        <v>45883</v>
      </c>
      <c r="P10" s="34">
        <v>45883</v>
      </c>
      <c r="Q10" s="34">
        <v>45887</v>
      </c>
      <c r="R10" s="34">
        <v>45887</v>
      </c>
      <c r="S10" s="45">
        <f t="shared" si="1"/>
        <v>2</v>
      </c>
      <c r="T10" s="45">
        <f t="shared" si="2"/>
        <v>1</v>
      </c>
      <c r="U10" s="45">
        <f t="shared" si="3"/>
        <v>2</v>
      </c>
      <c r="V10" s="45">
        <f t="shared" si="4"/>
        <v>1</v>
      </c>
      <c r="W10" s="7" t="s">
        <v>150</v>
      </c>
      <c r="X10" s="7" t="s">
        <v>50</v>
      </c>
      <c r="Y10" s="11" t="s">
        <v>53</v>
      </c>
      <c r="Z10" s="11">
        <v>0</v>
      </c>
      <c r="AA10" s="11">
        <v>2000</v>
      </c>
      <c r="AB10" s="11">
        <v>2019</v>
      </c>
      <c r="AC10" s="11">
        <v>0.4</v>
      </c>
      <c r="AD10" s="11" t="s">
        <v>2586</v>
      </c>
      <c r="AE10" s="11" t="s">
        <v>1259</v>
      </c>
      <c r="AF10" s="10">
        <v>45876</v>
      </c>
      <c r="AG10" s="11" t="s">
        <v>2021</v>
      </c>
      <c r="AH10" s="465" t="s">
        <v>2587</v>
      </c>
      <c r="AI10" s="465" t="s">
        <v>2587</v>
      </c>
      <c r="AJ10" s="11" t="s">
        <v>1229</v>
      </c>
      <c r="AK10" s="11" t="s">
        <v>2588</v>
      </c>
      <c r="AL10" s="11"/>
      <c r="AM10" s="11"/>
      <c r="AN10" s="11"/>
      <c r="AO10" s="11"/>
      <c r="AP10" s="11"/>
      <c r="AQ10" s="11"/>
      <c r="AR10" s="11"/>
      <c r="AS10" s="11"/>
      <c r="AT10" s="11"/>
      <c r="AU10" s="11"/>
    </row>
    <row r="11" spans="1:47" ht="42.75">
      <c r="A11" s="11" t="s">
        <v>2286</v>
      </c>
      <c r="B11" s="11" t="s">
        <v>1278</v>
      </c>
      <c r="C11" s="11" t="s">
        <v>1279</v>
      </c>
      <c r="D11" s="11" t="s">
        <v>143</v>
      </c>
      <c r="E11" s="11" t="s">
        <v>185</v>
      </c>
      <c r="F11" s="11">
        <v>15.90054239</v>
      </c>
      <c r="G11" s="11">
        <v>120.9139667</v>
      </c>
      <c r="H11" s="11" t="str">
        <f t="shared" si="0"/>
        <v>15.90054239, 120.9139667</v>
      </c>
      <c r="I11" s="612" t="s">
        <v>81</v>
      </c>
      <c r="J11" s="11" t="s">
        <v>29</v>
      </c>
      <c r="K11" s="11" t="s">
        <v>28</v>
      </c>
      <c r="L11" s="94" t="s">
        <v>212</v>
      </c>
      <c r="M11" s="78" t="s">
        <v>2589</v>
      </c>
      <c r="N11" s="34">
        <v>45883</v>
      </c>
      <c r="O11" s="34">
        <v>45885</v>
      </c>
      <c r="P11" s="34">
        <v>45887</v>
      </c>
      <c r="Q11" s="34">
        <v>45888</v>
      </c>
      <c r="R11" s="34">
        <v>45888</v>
      </c>
      <c r="S11" s="45">
        <f t="shared" si="1"/>
        <v>1</v>
      </c>
      <c r="T11" s="45">
        <f t="shared" si="2"/>
        <v>1</v>
      </c>
      <c r="U11" s="45">
        <f t="shared" si="3"/>
        <v>1</v>
      </c>
      <c r="V11" s="45">
        <f t="shared" si="4"/>
        <v>1</v>
      </c>
      <c r="W11" s="7" t="s">
        <v>150</v>
      </c>
      <c r="X11" s="7" t="s">
        <v>50</v>
      </c>
      <c r="Y11" s="11" t="s">
        <v>53</v>
      </c>
      <c r="Z11" s="11">
        <v>0</v>
      </c>
      <c r="AA11" s="11">
        <v>850</v>
      </c>
      <c r="AB11" s="11">
        <v>2021</v>
      </c>
      <c r="AC11" s="11">
        <v>0.2</v>
      </c>
      <c r="AD11" s="117">
        <v>18000</v>
      </c>
      <c r="AE11" s="11" t="s">
        <v>1259</v>
      </c>
      <c r="AF11" s="11" t="s">
        <v>1239</v>
      </c>
      <c r="AG11" s="11" t="s">
        <v>1239</v>
      </c>
      <c r="AH11" s="61" t="s">
        <v>220</v>
      </c>
      <c r="AI11" s="61" t="s">
        <v>2590</v>
      </c>
      <c r="AJ11" s="11" t="s">
        <v>1229</v>
      </c>
      <c r="AK11" s="11" t="s">
        <v>2588</v>
      </c>
      <c r="AL11" s="7" t="s">
        <v>2563</v>
      </c>
      <c r="AM11" s="11"/>
      <c r="AN11" s="11"/>
      <c r="AO11" s="11"/>
      <c r="AP11" s="11"/>
      <c r="AQ11" s="11"/>
      <c r="AR11" s="11"/>
      <c r="AS11" s="11"/>
      <c r="AT11" s="11"/>
      <c r="AU11" s="11"/>
    </row>
    <row r="12" spans="1:47" ht="45">
      <c r="A12" s="11" t="s">
        <v>2286</v>
      </c>
      <c r="B12" s="11" t="s">
        <v>1193</v>
      </c>
      <c r="C12" s="11" t="s">
        <v>954</v>
      </c>
      <c r="D12" s="11" t="s">
        <v>143</v>
      </c>
      <c r="E12" s="11" t="s">
        <v>144</v>
      </c>
      <c r="F12" s="11">
        <v>15.4482</v>
      </c>
      <c r="G12" s="11">
        <v>121.33410000000001</v>
      </c>
      <c r="H12" s="11" t="str">
        <f t="shared" si="0"/>
        <v>15.4482, 121.3341</v>
      </c>
      <c r="I12" s="453" t="s">
        <v>78</v>
      </c>
      <c r="J12" s="11" t="s">
        <v>267</v>
      </c>
      <c r="K12" s="11" t="s">
        <v>28</v>
      </c>
      <c r="L12" s="94" t="s">
        <v>212</v>
      </c>
      <c r="M12" s="11" t="s">
        <v>2591</v>
      </c>
      <c r="N12" s="34">
        <v>45818</v>
      </c>
      <c r="O12" s="34">
        <v>45819</v>
      </c>
      <c r="P12" s="34">
        <v>45825</v>
      </c>
      <c r="Q12" s="34">
        <v>45826</v>
      </c>
      <c r="R12" s="34">
        <v>45826</v>
      </c>
      <c r="S12" s="45">
        <f t="shared" si="1"/>
        <v>1</v>
      </c>
      <c r="T12" s="45">
        <f t="shared" si="2"/>
        <v>4</v>
      </c>
      <c r="U12" s="45">
        <f t="shared" si="3"/>
        <v>1</v>
      </c>
      <c r="V12" s="45">
        <f t="shared" si="4"/>
        <v>1</v>
      </c>
      <c r="W12" s="7" t="s">
        <v>150</v>
      </c>
      <c r="X12" s="7" t="s">
        <v>65</v>
      </c>
      <c r="Y12" s="11" t="s">
        <v>53</v>
      </c>
      <c r="Z12" s="11">
        <v>0</v>
      </c>
      <c r="AA12" s="11">
        <v>2400</v>
      </c>
      <c r="AB12" s="11">
        <v>2004</v>
      </c>
      <c r="AC12" s="11" t="s">
        <v>1039</v>
      </c>
      <c r="AD12" s="11">
        <v>1.5</v>
      </c>
      <c r="AE12" s="11" t="s">
        <v>808</v>
      </c>
      <c r="AF12" s="10">
        <v>45813</v>
      </c>
      <c r="AG12" s="11">
        <v>29.63</v>
      </c>
      <c r="AH12" s="11" t="s">
        <v>54</v>
      </c>
      <c r="AI12" s="7" t="s">
        <v>404</v>
      </c>
      <c r="AJ12" s="7" t="s">
        <v>2592</v>
      </c>
      <c r="AK12" s="11">
        <v>1</v>
      </c>
      <c r="AL12" s="7" t="s">
        <v>2593</v>
      </c>
      <c r="AM12" s="11"/>
      <c r="AN12" s="11"/>
      <c r="AO12" s="11"/>
      <c r="AP12" s="11"/>
      <c r="AQ12" s="11"/>
      <c r="AR12" s="11"/>
      <c r="AS12" s="11"/>
      <c r="AT12" s="11"/>
      <c r="AU12" s="11"/>
    </row>
    <row r="13" spans="1:47" ht="30">
      <c r="A13" s="11" t="s">
        <v>780</v>
      </c>
      <c r="B13" s="11" t="s">
        <v>1225</v>
      </c>
      <c r="C13" s="11" t="s">
        <v>2061</v>
      </c>
      <c r="D13" s="11" t="s">
        <v>159</v>
      </c>
      <c r="E13" s="11" t="s">
        <v>185</v>
      </c>
      <c r="F13" s="11">
        <v>15.042160000000001</v>
      </c>
      <c r="G13" s="11">
        <v>120.07329</v>
      </c>
      <c r="H13" s="11" t="str">
        <f t="shared" si="0"/>
        <v>15.04216, 120.07329</v>
      </c>
      <c r="I13" s="453" t="s">
        <v>75</v>
      </c>
      <c r="J13" s="11" t="s">
        <v>41</v>
      </c>
      <c r="K13" s="11" t="s">
        <v>163</v>
      </c>
      <c r="L13" s="11" t="s">
        <v>2393</v>
      </c>
      <c r="M13" s="11" t="s">
        <v>2594</v>
      </c>
      <c r="N13" s="34">
        <v>45730</v>
      </c>
      <c r="O13" s="34">
        <v>45733</v>
      </c>
      <c r="P13" s="34">
        <v>45733</v>
      </c>
      <c r="Q13" s="34">
        <v>45733</v>
      </c>
      <c r="R13" s="34">
        <v>45733</v>
      </c>
      <c r="S13" s="45">
        <f t="shared" si="1"/>
        <v>1</v>
      </c>
      <c r="T13" s="45">
        <f t="shared" si="2"/>
        <v>1</v>
      </c>
      <c r="U13" s="45">
        <f t="shared" si="3"/>
        <v>1</v>
      </c>
      <c r="V13" s="45">
        <f t="shared" si="4"/>
        <v>1</v>
      </c>
      <c r="W13" s="7" t="s">
        <v>150</v>
      </c>
      <c r="X13" s="7" t="s">
        <v>50</v>
      </c>
      <c r="Y13" s="11" t="s">
        <v>53</v>
      </c>
      <c r="Z13" s="11">
        <v>2</v>
      </c>
      <c r="AA13" s="11">
        <v>20</v>
      </c>
      <c r="AB13" s="11">
        <v>2020</v>
      </c>
      <c r="AC13" s="11" t="s">
        <v>1239</v>
      </c>
      <c r="AD13" s="11" t="s">
        <v>1239</v>
      </c>
      <c r="AE13" s="11" t="s">
        <v>1239</v>
      </c>
      <c r="AF13" s="11" t="s">
        <v>1239</v>
      </c>
      <c r="AG13" s="11" t="s">
        <v>1239</v>
      </c>
      <c r="AH13" s="7" t="s">
        <v>2584</v>
      </c>
      <c r="AI13" s="7" t="s">
        <v>404</v>
      </c>
      <c r="AJ13" s="11"/>
      <c r="AK13" s="11">
        <v>14</v>
      </c>
      <c r="AL13" s="11"/>
      <c r="AM13" s="11"/>
      <c r="AN13" s="11"/>
      <c r="AO13" s="11"/>
      <c r="AP13" s="11"/>
      <c r="AQ13" s="11"/>
      <c r="AR13" s="11"/>
      <c r="AS13" s="11"/>
      <c r="AT13" s="11"/>
      <c r="AU13" s="11"/>
    </row>
    <row r="14" spans="1:47" ht="30">
      <c r="A14" s="11" t="s">
        <v>780</v>
      </c>
      <c r="B14" s="11" t="s">
        <v>914</v>
      </c>
      <c r="C14" s="11" t="s">
        <v>2403</v>
      </c>
      <c r="D14" s="11" t="s">
        <v>159</v>
      </c>
      <c r="E14" s="11" t="s">
        <v>185</v>
      </c>
      <c r="F14" s="11">
        <v>14.930266</v>
      </c>
      <c r="G14" s="11">
        <v>120.075053</v>
      </c>
      <c r="H14" s="11" t="str">
        <f t="shared" si="0"/>
        <v>14.930266, 120.075053</v>
      </c>
      <c r="I14" s="453" t="s">
        <v>79</v>
      </c>
      <c r="J14" s="11" t="s">
        <v>1212</v>
      </c>
      <c r="K14" s="11" t="s">
        <v>163</v>
      </c>
      <c r="L14" s="11" t="s">
        <v>164</v>
      </c>
      <c r="M14" s="11" t="s">
        <v>2595</v>
      </c>
      <c r="N14" s="34">
        <v>45855</v>
      </c>
      <c r="O14" s="34">
        <v>45856</v>
      </c>
      <c r="P14" s="34">
        <v>45856</v>
      </c>
      <c r="Q14" s="34">
        <v>45856</v>
      </c>
      <c r="R14" s="34">
        <v>45856</v>
      </c>
      <c r="S14" s="45">
        <f t="shared" si="1"/>
        <v>1</v>
      </c>
      <c r="T14" s="45">
        <f t="shared" si="2"/>
        <v>1</v>
      </c>
      <c r="U14" s="45">
        <f t="shared" si="3"/>
        <v>1</v>
      </c>
      <c r="V14" s="45">
        <f t="shared" si="4"/>
        <v>1</v>
      </c>
      <c r="W14" s="7" t="s">
        <v>150</v>
      </c>
      <c r="X14" s="7" t="s">
        <v>50</v>
      </c>
      <c r="Y14" s="11" t="s">
        <v>53</v>
      </c>
      <c r="Z14" s="11" t="s">
        <v>69</v>
      </c>
      <c r="AA14" s="11">
        <v>20</v>
      </c>
      <c r="AB14" s="11" t="s">
        <v>808</v>
      </c>
      <c r="AC14" s="11" t="s">
        <v>808</v>
      </c>
      <c r="AD14" s="11" t="s">
        <v>808</v>
      </c>
      <c r="AE14" s="11" t="s">
        <v>808</v>
      </c>
      <c r="AF14" s="11" t="s">
        <v>808</v>
      </c>
      <c r="AG14" s="11" t="s">
        <v>808</v>
      </c>
      <c r="AH14" s="7" t="s">
        <v>2596</v>
      </c>
      <c r="AI14" s="11" t="s">
        <v>2597</v>
      </c>
      <c r="AJ14" s="11" t="s">
        <v>69</v>
      </c>
      <c r="AK14" s="11">
        <v>14</v>
      </c>
      <c r="AL14" s="11"/>
      <c r="AM14" s="11"/>
      <c r="AN14" s="11"/>
      <c r="AO14" s="11"/>
      <c r="AP14" s="11"/>
      <c r="AQ14" s="11"/>
      <c r="AR14" s="11"/>
      <c r="AS14" s="11"/>
      <c r="AT14" s="11"/>
      <c r="AU14" s="11"/>
    </row>
    <row r="15" spans="1:47">
      <c r="A15" s="11" t="s">
        <v>780</v>
      </c>
      <c r="B15" s="11" t="s">
        <v>1233</v>
      </c>
      <c r="C15" s="11" t="s">
        <v>1234</v>
      </c>
      <c r="D15" s="11" t="s">
        <v>159</v>
      </c>
      <c r="E15" s="11" t="s">
        <v>185</v>
      </c>
      <c r="F15" s="11">
        <v>15.016209999999999</v>
      </c>
      <c r="G15" s="11">
        <v>120.0872</v>
      </c>
      <c r="H15" s="11" t="str">
        <f t="shared" si="0"/>
        <v>15.01621, 120.0872</v>
      </c>
      <c r="I15" s="453" t="s">
        <v>74</v>
      </c>
      <c r="J15" s="11" t="s">
        <v>41</v>
      </c>
      <c r="K15" s="11" t="s">
        <v>163</v>
      </c>
      <c r="L15" s="11" t="s">
        <v>2393</v>
      </c>
      <c r="M15" s="9" t="s">
        <v>2598</v>
      </c>
      <c r="N15" s="34">
        <v>45709</v>
      </c>
      <c r="O15" s="34">
        <v>45723</v>
      </c>
      <c r="P15" s="34">
        <v>45726</v>
      </c>
      <c r="Q15" s="34">
        <v>45727</v>
      </c>
      <c r="R15" s="34">
        <v>45728</v>
      </c>
      <c r="S15" s="45">
        <f t="shared" si="1"/>
        <v>11</v>
      </c>
      <c r="T15" s="45">
        <f t="shared" si="2"/>
        <v>1</v>
      </c>
      <c r="U15" s="45">
        <f>IF(
  OR(A15 = "Nueva_Ecija", A15 = "Zambales"),
  IF(
    OR(ISBLANK(P15), ISBLANK(Q15)),
    "",
    MAX(1, IF(
      NETWORKDAYS(P15, Q15) &lt;= 0,
      1,
      NETWORKDAYS(P15, Q15) - IF(P15 = Q15, 0, 1)
    ))
  ),
  IF(
    OR(ISBLANK(O15), ISBLANK(Q15)),
    "",
    MAX(1, IF(
      NETWORKDAYS(O15, Q15) &lt;= 0,
      1,
      NETWORKDAYS(O15, Q15) - IF(O15 = Q15, 0, 1)
    ))
  )
)</f>
        <v>1</v>
      </c>
      <c r="V15" s="45">
        <f t="shared" si="4"/>
        <v>1</v>
      </c>
      <c r="W15" s="7" t="s">
        <v>150</v>
      </c>
      <c r="X15" s="7" t="s">
        <v>50</v>
      </c>
      <c r="Y15" s="11" t="s">
        <v>53</v>
      </c>
      <c r="Z15" s="11" t="s">
        <v>69</v>
      </c>
      <c r="AA15" s="11">
        <v>20</v>
      </c>
      <c r="AB15" s="11">
        <v>2020</v>
      </c>
      <c r="AC15" s="11" t="s">
        <v>1239</v>
      </c>
      <c r="AD15" s="11" t="s">
        <v>808</v>
      </c>
      <c r="AE15" s="11" t="s">
        <v>1239</v>
      </c>
      <c r="AF15" s="11" t="s">
        <v>1239</v>
      </c>
      <c r="AG15" s="11" t="s">
        <v>1239</v>
      </c>
      <c r="AH15" s="11" t="s">
        <v>2558</v>
      </c>
      <c r="AI15" s="11" t="s">
        <v>2599</v>
      </c>
      <c r="AJ15" s="11"/>
      <c r="AK15" s="11"/>
      <c r="AL15" s="11"/>
      <c r="AM15" s="11"/>
      <c r="AN15" s="11"/>
      <c r="AO15" s="11"/>
      <c r="AP15" s="11"/>
      <c r="AQ15" s="11"/>
      <c r="AR15" s="11"/>
      <c r="AS15" s="11"/>
      <c r="AT15" s="11"/>
      <c r="AU15" s="11"/>
    </row>
    <row r="16" spans="1:47">
      <c r="M16" s="11"/>
    </row>
  </sheetData>
  <autoFilter ref="A1:AU15" xr:uid="{D24E174D-2BD6-4BCC-B5A4-781E7CC88849}"/>
  <conditionalFormatting sqref="C1">
    <cfRule type="duplicateValues" dxfId="5" priority="3"/>
  </conditionalFormatting>
  <dataValidations count="2">
    <dataValidation allowBlank="1" showInputMessage="1" showErrorMessage="1" sqref="L7:L8 A1:AU1" xr:uid="{591A9788-04E1-47DA-83CA-B2946ED8690A}"/>
    <dataValidation type="list" allowBlank="1" showInputMessage="1" showErrorMessage="1" sqref="A2:A1048576" xr:uid="{AE0DC1AE-430A-4F66-A9D7-DC380A97DECC}">
      <formula1>"Aurora, Bataan, Bulacan, Nueva_Ecija, Pampanga, Tarlac, Zambales"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353E0DE4-DC5F-489B-BC71-26FB919808AE}">
          <x14:formula1>
            <xm:f>'Data Validation'!$AD$2:$AD$5</xm:f>
          </x14:formula1>
          <xm:sqref>X2:X15</xm:sqref>
        </x14:dataValidation>
        <x14:dataValidation type="list" allowBlank="1" showInputMessage="1" showErrorMessage="1" xr:uid="{56CE0A1A-02B4-4150-B6E7-9B0000239F4E}">
          <x14:formula1>
            <xm:f>'Data Validation'!$AE$2:$AE$3</xm:f>
          </x14:formula1>
          <xm:sqref>Y2:Y15</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21DE2-73B7-4D9C-BFD0-8534722AB3CB}">
  <sheetPr codeName="Sheet9"/>
  <dimension ref="A1:AH22"/>
  <sheetViews>
    <sheetView workbookViewId="0">
      <pane xSplit="2" ySplit="2" topLeftCell="C3" activePane="bottomRight" state="frozen"/>
      <selection pane="topRight"/>
      <selection pane="bottomLeft"/>
      <selection pane="bottomRight"/>
    </sheetView>
  </sheetViews>
  <sheetFormatPr defaultColWidth="9.140625" defaultRowHeight="15"/>
  <cols>
    <col min="1" max="1" width="15" style="20" customWidth="1"/>
    <col min="2" max="2" width="39.7109375" style="20" bestFit="1" customWidth="1"/>
    <col min="3" max="3" width="48" style="20" customWidth="1"/>
    <col min="4" max="4" width="30" style="20" customWidth="1"/>
    <col min="5" max="6" width="17.85546875" style="20" customWidth="1"/>
    <col min="7" max="7" width="13.7109375" style="20" customWidth="1"/>
    <col min="8" max="8" width="28.140625" style="20" customWidth="1"/>
    <col min="9" max="9" width="26.5703125" style="20" customWidth="1"/>
    <col min="10" max="10" width="16.140625" style="20" customWidth="1"/>
    <col min="11" max="14" width="29.28515625" style="20" customWidth="1"/>
    <col min="15" max="15" width="17.42578125" style="20" customWidth="1"/>
    <col min="16" max="16" width="23" style="20" customWidth="1"/>
    <col min="17" max="17" width="23.85546875" style="20" customWidth="1"/>
    <col min="18" max="18" width="23.85546875" style="20" bestFit="1" customWidth="1"/>
    <col min="19" max="19" width="21.42578125" style="20" customWidth="1"/>
    <col min="20" max="24" width="21" style="20" customWidth="1"/>
    <col min="25" max="28" width="18" style="20" customWidth="1"/>
    <col min="29" max="29" width="21.5703125" style="20" customWidth="1"/>
    <col min="30" max="30" width="22" style="20" customWidth="1"/>
    <col min="31" max="31" width="34.42578125" style="20" customWidth="1"/>
    <col min="32" max="32" width="29.140625" style="20" customWidth="1"/>
    <col min="33" max="33" width="17" style="20" customWidth="1"/>
    <col min="34" max="34" width="20.42578125" style="20" customWidth="1"/>
    <col min="35" max="35" width="9.140625" style="20" bestFit="1" customWidth="1"/>
    <col min="36" max="16384" width="9.140625" style="20"/>
  </cols>
  <sheetData>
    <row r="1" spans="1:34" ht="57">
      <c r="A1" s="29" t="s">
        <v>85</v>
      </c>
      <c r="B1" s="29" t="s">
        <v>86</v>
      </c>
      <c r="C1" s="29" t="s">
        <v>2408</v>
      </c>
      <c r="D1" s="29" t="s">
        <v>2409</v>
      </c>
      <c r="E1" s="29" t="s">
        <v>88</v>
      </c>
      <c r="F1" s="30" t="s">
        <v>783</v>
      </c>
      <c r="G1" s="30" t="s">
        <v>784</v>
      </c>
      <c r="H1" s="30" t="s">
        <v>785</v>
      </c>
      <c r="I1" s="30" t="s">
        <v>2410</v>
      </c>
      <c r="J1" s="30" t="s">
        <v>2411</v>
      </c>
      <c r="K1" s="30" t="s">
        <v>2412</v>
      </c>
      <c r="L1" s="30" t="s">
        <v>2413</v>
      </c>
      <c r="M1" s="30" t="s">
        <v>2414</v>
      </c>
      <c r="N1" s="30" t="s">
        <v>2415</v>
      </c>
      <c r="O1" s="46" t="s">
        <v>2416</v>
      </c>
      <c r="P1" s="46" t="s">
        <v>100</v>
      </c>
      <c r="Q1" s="46" t="s">
        <v>1575</v>
      </c>
      <c r="R1" s="46" t="s">
        <v>102</v>
      </c>
      <c r="S1" s="46" t="s">
        <v>103</v>
      </c>
      <c r="T1" s="46" t="s">
        <v>104</v>
      </c>
      <c r="U1" s="46" t="s">
        <v>105</v>
      </c>
      <c r="V1" s="46" t="s">
        <v>106</v>
      </c>
      <c r="W1" s="46" t="s">
        <v>107</v>
      </c>
      <c r="X1" s="46" t="s">
        <v>108</v>
      </c>
      <c r="Y1" s="46" t="s">
        <v>109</v>
      </c>
      <c r="Z1" s="46" t="s">
        <v>110</v>
      </c>
      <c r="AA1" s="46" t="s">
        <v>111</v>
      </c>
      <c r="AB1" s="46" t="s">
        <v>112</v>
      </c>
      <c r="AC1" s="46" t="s">
        <v>2250</v>
      </c>
      <c r="AD1" s="31" t="s">
        <v>2417</v>
      </c>
      <c r="AE1" s="31" t="s">
        <v>2418</v>
      </c>
      <c r="AF1" s="31" t="s">
        <v>127</v>
      </c>
      <c r="AG1" s="32" t="s">
        <v>2419</v>
      </c>
      <c r="AH1" s="32" t="s">
        <v>799</v>
      </c>
    </row>
    <row r="2" spans="1:34" ht="28.5">
      <c r="A2" s="118" t="s">
        <v>773</v>
      </c>
      <c r="B2" s="118" t="s">
        <v>2420</v>
      </c>
      <c r="C2" s="129" t="s">
        <v>2421</v>
      </c>
      <c r="D2" s="142">
        <v>44986</v>
      </c>
      <c r="E2" s="118" t="s">
        <v>159</v>
      </c>
      <c r="F2" s="143">
        <v>15.806566999999999</v>
      </c>
      <c r="G2" s="118">
        <v>121.54037599999999</v>
      </c>
      <c r="H2" s="144" t="s">
        <v>2422</v>
      </c>
      <c r="I2" s="146" t="s">
        <v>2423</v>
      </c>
      <c r="J2" s="146">
        <v>65</v>
      </c>
      <c r="K2" s="144" t="s">
        <v>2424</v>
      </c>
      <c r="L2" s="144" t="s">
        <v>69</v>
      </c>
      <c r="M2" s="144" t="s">
        <v>69</v>
      </c>
      <c r="N2" s="144" t="s">
        <v>69</v>
      </c>
      <c r="O2" s="118" t="s">
        <v>75</v>
      </c>
      <c r="P2" s="118" t="s">
        <v>13</v>
      </c>
      <c r="Q2" s="118"/>
      <c r="R2" s="118" t="s">
        <v>163</v>
      </c>
      <c r="S2" s="118" t="s">
        <v>2425</v>
      </c>
      <c r="T2" s="147">
        <v>45723</v>
      </c>
      <c r="U2" s="147">
        <v>45725</v>
      </c>
      <c r="V2" s="147"/>
      <c r="W2" s="147">
        <v>45728</v>
      </c>
      <c r="X2" s="147">
        <v>45728</v>
      </c>
      <c r="Y2" s="148">
        <f>IF(
    OR(ISBLANK(T2), ISBLANK(U2)),
    "",
    MAX(1, IF(
        NETWORKDAYS(T2, U2) &lt;= 0,
        1,
        NETWORKDAYS(T2, U2) - IF(T2 = U2, 0, 1)
    ))
)</f>
        <v>1</v>
      </c>
      <c r="Z2" s="148" t="str">
        <f>IF(
    OR(ISBLANK(U2), ISBLANK(V2)),
    "",
    MAX(1, IF(
        NETWORKDAYS(U2, V2) &lt;= 0,
        1,
        NETWORKDAYS(U2, V2) - IF(U2 = V2, 0, 1)
    ))
)</f>
        <v/>
      </c>
      <c r="AA2" s="148">
        <f>IF(
  OR(A2 = "Nueva_Ecija", A2 = "Zambales"),
  IF(
    OR(ISBLANK(V2), ISBLANK(W2)),
    "",
    MAX(1, IF(
      NETWORKDAYS(V2, W2) &lt;= 0,
      1,
      NETWORKDAYS(V2, W2) - IF(V2 = W2, 0, 1)
    ))
  ),
  IF(
    OR(ISBLANK(U2), ISBLANK(W2)),
    "",
    MAX(1, IF(
      NETWORKDAYS(U2, W2) &lt;= 0,
      1,
      NETWORKDAYS(U2, W2) - IF(U2 = W2, 0, 1)
    ))
  )
)</f>
        <v>2</v>
      </c>
      <c r="AB2" s="148">
        <f>IF(
    OR(ISBLANK(W2), ISBLANK(X2)),
    "",
    MAX(1, IF(
        NETWORKDAYS(W2, X2) &lt;= 0,
        1,
        NETWORKDAYS(W2, X2) - IF(W2 = X2, 0, 1)
    ))
)</f>
        <v>1</v>
      </c>
      <c r="AC2" s="144" t="s">
        <v>150</v>
      </c>
      <c r="AD2" s="118" t="s">
        <v>50</v>
      </c>
      <c r="AE2" s="118" t="s">
        <v>2426</v>
      </c>
      <c r="AF2" s="118" t="s">
        <v>2427</v>
      </c>
      <c r="AG2" s="118"/>
      <c r="AH2" s="118"/>
    </row>
    <row r="3" spans="1:34" ht="28.5">
      <c r="A3" s="118" t="s">
        <v>773</v>
      </c>
      <c r="B3" s="118" t="s">
        <v>545</v>
      </c>
      <c r="C3" s="129" t="s">
        <v>2428</v>
      </c>
      <c r="D3" s="142">
        <v>44979</v>
      </c>
      <c r="E3" s="118" t="s">
        <v>159</v>
      </c>
      <c r="F3" s="145">
        <v>16.288014</v>
      </c>
      <c r="G3" s="118">
        <v>122.122124</v>
      </c>
      <c r="H3" s="144" t="s">
        <v>2429</v>
      </c>
      <c r="I3" s="144" t="s">
        <v>69</v>
      </c>
      <c r="J3" s="146">
        <v>63</v>
      </c>
      <c r="K3" s="144" t="s">
        <v>2430</v>
      </c>
      <c r="L3" s="144" t="s">
        <v>69</v>
      </c>
      <c r="M3" s="144" t="s">
        <v>69</v>
      </c>
      <c r="N3" s="144" t="s">
        <v>69</v>
      </c>
      <c r="O3" s="118" t="s">
        <v>77</v>
      </c>
      <c r="P3" s="118" t="s">
        <v>15</v>
      </c>
      <c r="Q3" s="118"/>
      <c r="R3" s="118" t="s">
        <v>163</v>
      </c>
      <c r="S3" s="118" t="s">
        <v>2431</v>
      </c>
      <c r="T3" s="147">
        <v>45790</v>
      </c>
      <c r="U3" s="147">
        <v>45790</v>
      </c>
      <c r="V3" s="147"/>
      <c r="W3" s="147">
        <v>45791</v>
      </c>
      <c r="X3" s="147">
        <v>45791</v>
      </c>
      <c r="Y3" s="148">
        <f t="shared" ref="Y3:Y22" si="0">IF(
    OR(ISBLANK(T3), ISBLANK(U3)),
    "",
    MAX(1, IF(
        NETWORKDAYS(T3, U3) &lt;= 0,
        1,
        NETWORKDAYS(T3, U3) - IF(T3 = U3, 0, 1)
    ))
)</f>
        <v>1</v>
      </c>
      <c r="Z3" s="148" t="str">
        <f t="shared" ref="Z3:Z22" si="1">IF(
    OR(ISBLANK(U3), ISBLANK(V3)),
    "",
    MAX(1, IF(
        NETWORKDAYS(U3, V3) &lt;= 0,
        1,
        NETWORKDAYS(U3, V3) - IF(U3 = V3, 0, 1)
    ))
)</f>
        <v/>
      </c>
      <c r="AA3" s="148">
        <f t="shared" ref="AA3:AA20" si="2">IF(
  OR(A3 = "Nueva_Ecija", A3 = "Zambales"),
  IF(
    OR(ISBLANK(V3), ISBLANK(W3)),
    "",
    MAX(1, IF(
      NETWORKDAYS(V3, W3) &lt;= 0,
      1,
      NETWORKDAYS(V3, W3) - IF(V3 = W3, 0, 1)
    ))
  ),
  IF(
    OR(ISBLANK(U3), ISBLANK(W3)),
    "",
    MAX(1, IF(
      NETWORKDAYS(U3, W3) &lt;= 0,
      1,
      NETWORKDAYS(U3, W3) - IF(U3 = W3, 0, 1)
    ))
  )
)</f>
        <v>1</v>
      </c>
      <c r="AB3" s="148">
        <f t="shared" ref="AB3:AB22" si="3">IF(
    OR(ISBLANK(W3), ISBLANK(X3)),
    "",
    MAX(1, IF(
        NETWORKDAYS(W3, X3) &lt;= 0,
        1,
        NETWORKDAYS(W3, X3) - IF(W3 = X3, 0, 1)
    ))
)</f>
        <v>1</v>
      </c>
      <c r="AC3" s="144" t="s">
        <v>150</v>
      </c>
      <c r="AD3" s="118" t="s">
        <v>50</v>
      </c>
      <c r="AE3" s="118" t="s">
        <v>2432</v>
      </c>
      <c r="AF3" s="118" t="s">
        <v>2427</v>
      </c>
      <c r="AG3" s="118"/>
      <c r="AH3" s="118"/>
    </row>
    <row r="4" spans="1:34">
      <c r="A4" s="118" t="s">
        <v>773</v>
      </c>
      <c r="B4" s="118" t="s">
        <v>254</v>
      </c>
      <c r="C4" s="129" t="s">
        <v>2433</v>
      </c>
      <c r="D4" s="142">
        <v>44896</v>
      </c>
      <c r="E4" s="118" t="s">
        <v>159</v>
      </c>
      <c r="F4" s="145">
        <v>15.382</v>
      </c>
      <c r="G4" s="118">
        <v>121.38057999999999</v>
      </c>
      <c r="H4" s="144" t="s">
        <v>2434</v>
      </c>
      <c r="I4" s="144" t="s">
        <v>69</v>
      </c>
      <c r="J4" s="146">
        <v>63</v>
      </c>
      <c r="K4" s="144" t="s">
        <v>2435</v>
      </c>
      <c r="L4" s="144" t="s">
        <v>69</v>
      </c>
      <c r="M4" s="144" t="s">
        <v>69</v>
      </c>
      <c r="N4" s="144" t="s">
        <v>69</v>
      </c>
      <c r="O4" s="118" t="s">
        <v>78</v>
      </c>
      <c r="P4" s="118" t="s">
        <v>14</v>
      </c>
      <c r="Q4" s="118"/>
      <c r="R4" s="118" t="s">
        <v>163</v>
      </c>
      <c r="S4" s="118" t="s">
        <v>2436</v>
      </c>
      <c r="T4" s="147">
        <v>45819</v>
      </c>
      <c r="U4" s="147">
        <v>45824</v>
      </c>
      <c r="V4" s="147"/>
      <c r="W4" s="147">
        <v>45825</v>
      </c>
      <c r="X4" s="147">
        <v>45825</v>
      </c>
      <c r="Y4" s="148">
        <f t="shared" si="0"/>
        <v>3</v>
      </c>
      <c r="Z4" s="148" t="str">
        <f t="shared" si="1"/>
        <v/>
      </c>
      <c r="AA4" s="148">
        <f t="shared" si="2"/>
        <v>1</v>
      </c>
      <c r="AB4" s="148">
        <f t="shared" si="3"/>
        <v>1</v>
      </c>
      <c r="AC4" s="144" t="s">
        <v>150</v>
      </c>
      <c r="AD4" s="118" t="s">
        <v>50</v>
      </c>
      <c r="AE4" s="118" t="s">
        <v>2426</v>
      </c>
      <c r="AF4" s="118" t="s">
        <v>2427</v>
      </c>
      <c r="AG4" s="118"/>
      <c r="AH4" s="118"/>
    </row>
    <row r="5" spans="1:34" ht="42.75">
      <c r="A5" s="118" t="s">
        <v>774</v>
      </c>
      <c r="B5" s="118" t="s">
        <v>2437</v>
      </c>
      <c r="C5" s="129" t="s">
        <v>2438</v>
      </c>
      <c r="D5" s="142" t="s">
        <v>2439</v>
      </c>
      <c r="E5" s="118" t="s">
        <v>143</v>
      </c>
      <c r="F5" s="145">
        <v>14.7895</v>
      </c>
      <c r="G5" s="118">
        <v>120.53570000000001</v>
      </c>
      <c r="H5" s="144" t="s">
        <v>2440</v>
      </c>
      <c r="I5" s="144" t="s">
        <v>2441</v>
      </c>
      <c r="J5" s="146">
        <v>63</v>
      </c>
      <c r="K5" s="144" t="s">
        <v>2442</v>
      </c>
      <c r="L5" s="144" t="s">
        <v>2443</v>
      </c>
      <c r="M5" s="144" t="s">
        <v>69</v>
      </c>
      <c r="N5" s="144" t="s">
        <v>2444</v>
      </c>
      <c r="O5" s="118" t="s">
        <v>76</v>
      </c>
      <c r="P5" s="118" t="s">
        <v>18</v>
      </c>
      <c r="Q5" s="118"/>
      <c r="R5" s="118" t="s">
        <v>2445</v>
      </c>
      <c r="S5" s="118" t="s">
        <v>2446</v>
      </c>
      <c r="T5" s="147">
        <v>45742</v>
      </c>
      <c r="U5" s="147">
        <v>45747</v>
      </c>
      <c r="V5" s="147"/>
      <c r="W5" s="147">
        <v>45747</v>
      </c>
      <c r="X5" s="147">
        <v>45747</v>
      </c>
      <c r="Y5" s="148">
        <f t="shared" si="0"/>
        <v>3</v>
      </c>
      <c r="Z5" s="148" t="str">
        <f t="shared" si="1"/>
        <v/>
      </c>
      <c r="AA5" s="148">
        <f t="shared" si="2"/>
        <v>1</v>
      </c>
      <c r="AB5" s="148">
        <f t="shared" si="3"/>
        <v>1</v>
      </c>
      <c r="AC5" s="144" t="s">
        <v>150</v>
      </c>
      <c r="AD5" s="118" t="s">
        <v>50</v>
      </c>
      <c r="AE5" s="129" t="s">
        <v>2447</v>
      </c>
      <c r="AF5" s="118" t="s">
        <v>2427</v>
      </c>
      <c r="AG5" s="118"/>
      <c r="AH5" s="118"/>
    </row>
    <row r="6" spans="1:34" ht="42.75">
      <c r="A6" s="118" t="s">
        <v>774</v>
      </c>
      <c r="B6" s="118" t="s">
        <v>2448</v>
      </c>
      <c r="C6" s="129" t="s">
        <v>2449</v>
      </c>
      <c r="D6" s="142" t="s">
        <v>69</v>
      </c>
      <c r="E6" s="118" t="s">
        <v>143</v>
      </c>
      <c r="F6" s="145">
        <v>14.671222999999999</v>
      </c>
      <c r="G6" s="118">
        <v>120.494659</v>
      </c>
      <c r="H6" s="144" t="s">
        <v>2450</v>
      </c>
      <c r="I6" s="146" t="s">
        <v>2451</v>
      </c>
      <c r="J6" s="146">
        <v>63</v>
      </c>
      <c r="K6" s="144" t="s">
        <v>2452</v>
      </c>
      <c r="L6" s="144" t="s">
        <v>2453</v>
      </c>
      <c r="M6" s="144" t="s">
        <v>69</v>
      </c>
      <c r="N6" s="144" t="s">
        <v>69</v>
      </c>
      <c r="O6" s="118" t="s">
        <v>75</v>
      </c>
      <c r="P6" s="118" t="s">
        <v>188</v>
      </c>
      <c r="Q6" s="118"/>
      <c r="R6" s="118" t="s">
        <v>2445</v>
      </c>
      <c r="S6" s="118" t="s">
        <v>2454</v>
      </c>
      <c r="T6" s="147">
        <v>45715</v>
      </c>
      <c r="U6" s="147">
        <v>45718</v>
      </c>
      <c r="V6" s="147"/>
      <c r="W6" s="147">
        <v>45719</v>
      </c>
      <c r="X6" s="147">
        <v>45719</v>
      </c>
      <c r="Y6" s="148">
        <f t="shared" si="0"/>
        <v>1</v>
      </c>
      <c r="Z6" s="148" t="str">
        <f t="shared" si="1"/>
        <v/>
      </c>
      <c r="AA6" s="148">
        <f t="shared" si="2"/>
        <v>1</v>
      </c>
      <c r="AB6" s="148">
        <f t="shared" si="3"/>
        <v>1</v>
      </c>
      <c r="AC6" s="144" t="s">
        <v>150</v>
      </c>
      <c r="AD6" s="118" t="s">
        <v>50</v>
      </c>
      <c r="AE6" s="118" t="s">
        <v>2426</v>
      </c>
      <c r="AF6" s="118" t="s">
        <v>2427</v>
      </c>
      <c r="AG6" s="118"/>
      <c r="AH6" s="118"/>
    </row>
    <row r="7" spans="1:34" ht="57">
      <c r="A7" s="118" t="s">
        <v>776</v>
      </c>
      <c r="B7" s="118" t="s">
        <v>2455</v>
      </c>
      <c r="C7" s="129" t="s">
        <v>2456</v>
      </c>
      <c r="D7" s="142">
        <v>44917</v>
      </c>
      <c r="E7" s="118" t="s">
        <v>143</v>
      </c>
      <c r="F7" s="145">
        <v>14.8079</v>
      </c>
      <c r="G7" s="118">
        <v>120.8445</v>
      </c>
      <c r="H7" s="144" t="s">
        <v>2457</v>
      </c>
      <c r="I7" s="146" t="s">
        <v>2458</v>
      </c>
      <c r="J7" s="146" t="s">
        <v>2459</v>
      </c>
      <c r="K7" s="144" t="s">
        <v>69</v>
      </c>
      <c r="L7" s="144" t="s">
        <v>69</v>
      </c>
      <c r="M7" s="144" t="s">
        <v>69</v>
      </c>
      <c r="N7" s="144" t="s">
        <v>69</v>
      </c>
      <c r="O7" s="118" t="s">
        <v>74</v>
      </c>
      <c r="P7" s="118" t="s">
        <v>1800</v>
      </c>
      <c r="Q7" s="118" t="s">
        <v>328</v>
      </c>
      <c r="R7" s="118" t="s">
        <v>1982</v>
      </c>
      <c r="S7" s="118" t="s">
        <v>2460</v>
      </c>
      <c r="T7" s="147">
        <v>45692</v>
      </c>
      <c r="U7" s="147">
        <v>45694</v>
      </c>
      <c r="V7" s="147">
        <v>45698</v>
      </c>
      <c r="W7" s="147">
        <v>45698</v>
      </c>
      <c r="X7" s="147">
        <v>45701</v>
      </c>
      <c r="Y7" s="148">
        <f t="shared" si="0"/>
        <v>2</v>
      </c>
      <c r="Z7" s="148">
        <f t="shared" si="1"/>
        <v>2</v>
      </c>
      <c r="AA7" s="148">
        <f t="shared" si="2"/>
        <v>2</v>
      </c>
      <c r="AB7" s="148">
        <f t="shared" si="3"/>
        <v>3</v>
      </c>
      <c r="AC7" s="144" t="s">
        <v>150</v>
      </c>
      <c r="AD7" s="118" t="s">
        <v>50</v>
      </c>
      <c r="AE7" s="118">
        <v>0.26</v>
      </c>
      <c r="AF7" s="118" t="s">
        <v>2427</v>
      </c>
      <c r="AG7" s="118"/>
      <c r="AH7" s="118"/>
    </row>
    <row r="8" spans="1:34" ht="28.5">
      <c r="A8" s="118" t="s">
        <v>776</v>
      </c>
      <c r="B8" s="118" t="s">
        <v>2461</v>
      </c>
      <c r="C8" s="129" t="s">
        <v>2462</v>
      </c>
      <c r="D8" s="142">
        <v>44896</v>
      </c>
      <c r="E8" s="118" t="s">
        <v>143</v>
      </c>
      <c r="F8" s="145">
        <v>14.8078</v>
      </c>
      <c r="G8" s="118">
        <v>120.8445</v>
      </c>
      <c r="H8" s="144" t="s">
        <v>2463</v>
      </c>
      <c r="I8" s="144" t="s">
        <v>2464</v>
      </c>
      <c r="J8" s="146" t="s">
        <v>2465</v>
      </c>
      <c r="K8" s="144" t="s">
        <v>69</v>
      </c>
      <c r="L8" s="144" t="s">
        <v>69</v>
      </c>
      <c r="M8" s="144" t="s">
        <v>69</v>
      </c>
      <c r="N8" s="144" t="s">
        <v>69</v>
      </c>
      <c r="O8" s="118" t="s">
        <v>78</v>
      </c>
      <c r="P8" s="118" t="s">
        <v>2261</v>
      </c>
      <c r="Q8" s="118"/>
      <c r="R8" s="118" t="s">
        <v>1982</v>
      </c>
      <c r="S8" s="118" t="s">
        <v>2466</v>
      </c>
      <c r="T8" s="147">
        <v>45807</v>
      </c>
      <c r="U8" s="147">
        <v>45808</v>
      </c>
      <c r="V8" s="147"/>
      <c r="W8" s="147">
        <v>45811</v>
      </c>
      <c r="X8" s="147">
        <v>45813</v>
      </c>
      <c r="Y8" s="148">
        <f t="shared" si="0"/>
        <v>1</v>
      </c>
      <c r="Z8" s="148" t="str">
        <f t="shared" si="1"/>
        <v/>
      </c>
      <c r="AA8" s="148">
        <f t="shared" si="2"/>
        <v>1</v>
      </c>
      <c r="AB8" s="148">
        <f t="shared" si="3"/>
        <v>2</v>
      </c>
      <c r="AC8" s="144" t="s">
        <v>150</v>
      </c>
      <c r="AD8" s="118" t="s">
        <v>50</v>
      </c>
      <c r="AE8" s="118">
        <v>3.5000000000000003E-2</v>
      </c>
      <c r="AF8" s="118" t="s">
        <v>2427</v>
      </c>
      <c r="AG8" s="118"/>
      <c r="AH8" s="118"/>
    </row>
    <row r="9" spans="1:34" ht="42.75">
      <c r="A9" s="118" t="s">
        <v>776</v>
      </c>
      <c r="B9" s="118" t="s">
        <v>2467</v>
      </c>
      <c r="C9" s="129" t="s">
        <v>2468</v>
      </c>
      <c r="D9" s="142">
        <v>44986</v>
      </c>
      <c r="E9" s="118" t="s">
        <v>143</v>
      </c>
      <c r="F9" s="145">
        <v>14.783899999999999</v>
      </c>
      <c r="G9" s="118">
        <v>120.07250000000001</v>
      </c>
      <c r="H9" s="144" t="s">
        <v>2469</v>
      </c>
      <c r="I9" s="144" t="s">
        <v>2464</v>
      </c>
      <c r="J9" s="146">
        <v>62</v>
      </c>
      <c r="K9" s="144" t="s">
        <v>69</v>
      </c>
      <c r="L9" s="144" t="s">
        <v>69</v>
      </c>
      <c r="M9" s="144" t="s">
        <v>69</v>
      </c>
      <c r="N9" s="144" t="s">
        <v>69</v>
      </c>
      <c r="O9" s="118" t="s">
        <v>76</v>
      </c>
      <c r="P9" s="118" t="s">
        <v>1800</v>
      </c>
      <c r="Q9" s="118"/>
      <c r="R9" s="118" t="s">
        <v>1982</v>
      </c>
      <c r="S9" s="118" t="s">
        <v>2470</v>
      </c>
      <c r="T9" s="147">
        <v>45769</v>
      </c>
      <c r="U9" s="147">
        <v>45771</v>
      </c>
      <c r="V9" s="147"/>
      <c r="W9" s="147">
        <v>45775</v>
      </c>
      <c r="X9" s="147">
        <v>45782</v>
      </c>
      <c r="Y9" s="148">
        <f t="shared" si="0"/>
        <v>2</v>
      </c>
      <c r="Z9" s="148" t="str">
        <f t="shared" si="1"/>
        <v/>
      </c>
      <c r="AA9" s="148">
        <f t="shared" si="2"/>
        <v>2</v>
      </c>
      <c r="AB9" s="148">
        <f t="shared" si="3"/>
        <v>5</v>
      </c>
      <c r="AC9" s="144" t="s">
        <v>150</v>
      </c>
      <c r="AD9" s="118" t="s">
        <v>57</v>
      </c>
      <c r="AE9" s="118" t="s">
        <v>2426</v>
      </c>
      <c r="AF9" s="118" t="s">
        <v>2427</v>
      </c>
      <c r="AG9" s="118"/>
      <c r="AH9" s="118"/>
    </row>
    <row r="10" spans="1:34" ht="28.5">
      <c r="A10" s="118" t="s">
        <v>2286</v>
      </c>
      <c r="B10" s="118" t="s">
        <v>2471</v>
      </c>
      <c r="C10" s="129" t="s">
        <v>2472</v>
      </c>
      <c r="D10" s="142">
        <v>44927</v>
      </c>
      <c r="E10" s="118" t="s">
        <v>143</v>
      </c>
      <c r="F10" s="145">
        <v>15.489800000000001</v>
      </c>
      <c r="G10" s="118">
        <v>120.9936</v>
      </c>
      <c r="H10" s="144" t="s">
        <v>2473</v>
      </c>
      <c r="I10" s="144"/>
      <c r="J10" s="146" t="s">
        <v>2474</v>
      </c>
      <c r="K10" s="144" t="s">
        <v>2475</v>
      </c>
      <c r="L10" s="144" t="s">
        <v>69</v>
      </c>
      <c r="M10" s="144" t="s">
        <v>69</v>
      </c>
      <c r="N10" s="144" t="s">
        <v>69</v>
      </c>
      <c r="O10" s="118" t="s">
        <v>76</v>
      </c>
      <c r="P10" s="118" t="s">
        <v>267</v>
      </c>
      <c r="Q10" s="118" t="s">
        <v>2289</v>
      </c>
      <c r="R10" s="118" t="s">
        <v>212</v>
      </c>
      <c r="S10" s="118" t="s">
        <v>2476</v>
      </c>
      <c r="T10" s="147">
        <v>45751</v>
      </c>
      <c r="U10" s="147">
        <v>45754</v>
      </c>
      <c r="V10" s="147">
        <v>45755</v>
      </c>
      <c r="W10" s="147">
        <v>45755</v>
      </c>
      <c r="X10" s="147">
        <v>45757</v>
      </c>
      <c r="Y10" s="148">
        <f t="shared" si="0"/>
        <v>1</v>
      </c>
      <c r="Z10" s="148">
        <f t="shared" si="1"/>
        <v>1</v>
      </c>
      <c r="AA10" s="148">
        <f t="shared" si="2"/>
        <v>1</v>
      </c>
      <c r="AB10" s="148">
        <f t="shared" si="3"/>
        <v>2</v>
      </c>
      <c r="AC10" s="144" t="s">
        <v>150</v>
      </c>
      <c r="AD10" s="118" t="s">
        <v>50</v>
      </c>
      <c r="AE10" s="118" t="s">
        <v>2477</v>
      </c>
      <c r="AF10" s="118" t="s">
        <v>2427</v>
      </c>
      <c r="AG10" s="118"/>
      <c r="AH10" s="118"/>
    </row>
    <row r="11" spans="1:34" ht="28.5">
      <c r="A11" s="118" t="s">
        <v>2286</v>
      </c>
      <c r="B11" s="118" t="s">
        <v>2478</v>
      </c>
      <c r="C11" s="129" t="s">
        <v>2479</v>
      </c>
      <c r="D11" s="142">
        <v>44927</v>
      </c>
      <c r="E11" s="118" t="s">
        <v>143</v>
      </c>
      <c r="F11" s="145">
        <v>15.562150000000001</v>
      </c>
      <c r="G11" s="118">
        <v>121.09815</v>
      </c>
      <c r="H11" s="144" t="s">
        <v>2480</v>
      </c>
      <c r="I11" s="144" t="s">
        <v>2481</v>
      </c>
      <c r="J11" s="146">
        <v>63</v>
      </c>
      <c r="K11" s="144" t="s">
        <v>2482</v>
      </c>
      <c r="L11" s="146" t="s">
        <v>2483</v>
      </c>
      <c r="M11" s="144" t="s">
        <v>69</v>
      </c>
      <c r="N11" s="144" t="s">
        <v>69</v>
      </c>
      <c r="O11" s="118" t="s">
        <v>76</v>
      </c>
      <c r="P11" s="118" t="s">
        <v>26</v>
      </c>
      <c r="Q11" s="118" t="s">
        <v>2289</v>
      </c>
      <c r="R11" s="118" t="s">
        <v>212</v>
      </c>
      <c r="S11" s="118" t="s">
        <v>2484</v>
      </c>
      <c r="T11" s="147">
        <v>45744</v>
      </c>
      <c r="U11" s="147">
        <v>45757</v>
      </c>
      <c r="V11" s="147">
        <v>45761</v>
      </c>
      <c r="W11" s="147">
        <v>45761</v>
      </c>
      <c r="X11" s="147">
        <v>45762</v>
      </c>
      <c r="Y11" s="148">
        <f t="shared" si="0"/>
        <v>9</v>
      </c>
      <c r="Z11" s="148">
        <f t="shared" si="1"/>
        <v>2</v>
      </c>
      <c r="AA11" s="148">
        <f t="shared" si="2"/>
        <v>1</v>
      </c>
      <c r="AB11" s="148">
        <f t="shared" si="3"/>
        <v>1</v>
      </c>
      <c r="AC11" s="144" t="s">
        <v>150</v>
      </c>
      <c r="AD11" s="118" t="s">
        <v>50</v>
      </c>
      <c r="AE11" s="118" t="s">
        <v>2485</v>
      </c>
      <c r="AF11" s="118" t="s">
        <v>2427</v>
      </c>
      <c r="AG11" s="118"/>
      <c r="AH11" s="118"/>
    </row>
    <row r="12" spans="1:34" ht="99.75">
      <c r="A12" s="118" t="s">
        <v>2286</v>
      </c>
      <c r="B12" s="118" t="s">
        <v>2486</v>
      </c>
      <c r="C12" s="129" t="s">
        <v>2487</v>
      </c>
      <c r="D12" s="142">
        <v>44896</v>
      </c>
      <c r="E12" s="118" t="s">
        <v>143</v>
      </c>
      <c r="F12" s="145">
        <v>15.76052</v>
      </c>
      <c r="G12" s="118">
        <v>120.95547999999999</v>
      </c>
      <c r="H12" s="144" t="s">
        <v>2488</v>
      </c>
      <c r="I12" s="144" t="s">
        <v>69</v>
      </c>
      <c r="J12" s="146">
        <v>63</v>
      </c>
      <c r="K12" s="144" t="s">
        <v>2489</v>
      </c>
      <c r="L12" s="144" t="s">
        <v>2490</v>
      </c>
      <c r="M12" s="144" t="s">
        <v>69</v>
      </c>
      <c r="N12" s="144" t="s">
        <v>69</v>
      </c>
      <c r="O12" s="118" t="s">
        <v>77</v>
      </c>
      <c r="P12" s="118" t="s">
        <v>26</v>
      </c>
      <c r="Q12" s="118" t="s">
        <v>2289</v>
      </c>
      <c r="R12" s="118" t="s">
        <v>212</v>
      </c>
      <c r="S12" s="118" t="s">
        <v>2491</v>
      </c>
      <c r="T12" s="147">
        <v>45792</v>
      </c>
      <c r="U12" s="147">
        <v>45796</v>
      </c>
      <c r="V12" s="147">
        <v>45796</v>
      </c>
      <c r="W12" s="147">
        <v>45796</v>
      </c>
      <c r="X12" s="147">
        <v>45797</v>
      </c>
      <c r="Y12" s="148">
        <f t="shared" si="0"/>
        <v>2</v>
      </c>
      <c r="Z12" s="148">
        <f t="shared" si="1"/>
        <v>1</v>
      </c>
      <c r="AA12" s="148">
        <f t="shared" si="2"/>
        <v>1</v>
      </c>
      <c r="AB12" s="148">
        <f t="shared" si="3"/>
        <v>1</v>
      </c>
      <c r="AC12" s="144" t="s">
        <v>150</v>
      </c>
      <c r="AD12" s="118" t="s">
        <v>50</v>
      </c>
      <c r="AE12" s="118">
        <v>0</v>
      </c>
      <c r="AF12" s="129" t="s">
        <v>2492</v>
      </c>
      <c r="AG12" s="118"/>
      <c r="AH12" s="118"/>
    </row>
    <row r="13" spans="1:34" ht="28.5">
      <c r="A13" s="118" t="s">
        <v>2286</v>
      </c>
      <c r="B13" s="118" t="s">
        <v>2493</v>
      </c>
      <c r="C13" s="129" t="s">
        <v>2494</v>
      </c>
      <c r="D13" s="142">
        <v>45054</v>
      </c>
      <c r="E13" s="118" t="s">
        <v>143</v>
      </c>
      <c r="F13" s="145">
        <v>15.76113</v>
      </c>
      <c r="G13" s="118">
        <v>120.89765199999999</v>
      </c>
      <c r="H13" s="144" t="s">
        <v>2495</v>
      </c>
      <c r="I13" s="144" t="s">
        <v>2496</v>
      </c>
      <c r="J13" s="146">
        <v>63</v>
      </c>
      <c r="K13" s="144" t="s">
        <v>2497</v>
      </c>
      <c r="L13" s="144" t="s">
        <v>2498</v>
      </c>
      <c r="M13" s="144" t="s">
        <v>2498</v>
      </c>
      <c r="N13" s="144" t="s">
        <v>2498</v>
      </c>
      <c r="O13" s="118" t="s">
        <v>77</v>
      </c>
      <c r="P13" s="118" t="s">
        <v>29</v>
      </c>
      <c r="Q13" s="118" t="s">
        <v>2289</v>
      </c>
      <c r="R13" s="118" t="s">
        <v>212</v>
      </c>
      <c r="S13" s="118" t="s">
        <v>2499</v>
      </c>
      <c r="T13" s="147">
        <v>45793</v>
      </c>
      <c r="U13" s="147">
        <v>45796</v>
      </c>
      <c r="V13" s="147">
        <v>45796</v>
      </c>
      <c r="W13" s="147">
        <v>45796</v>
      </c>
      <c r="X13" s="147">
        <v>45797</v>
      </c>
      <c r="Y13" s="148">
        <f t="shared" si="0"/>
        <v>1</v>
      </c>
      <c r="Z13" s="148">
        <f t="shared" si="1"/>
        <v>1</v>
      </c>
      <c r="AA13" s="148">
        <f>IF(
  OR(A13 = "Nueva_Ecija", A13 = "Zambales"),
  IF(
    OR(ISBLANK(V13), ISBLANK(W13)),
    "",
    MAX(1, IF(
      NETWORKDAYS(V13, W13) &lt;= 0,
      1,
      NETWORKDAYS(V13, W13) - IF(V13 = W13, 0, 1)
    ))
  ),
  IF(
    OR(ISBLANK(U13), ISBLANK(W13)),
    "",
    MAX(1, IF(
      NETWORKDAYS(U13, W13) &lt;= 0,
      1,
      NETWORKDAYS(U13, W13) - IF(U13 = W13, 0, 1)
    ))
  )
)</f>
        <v>1</v>
      </c>
      <c r="AB13" s="148">
        <f t="shared" si="3"/>
        <v>1</v>
      </c>
      <c r="AC13" s="144" t="s">
        <v>150</v>
      </c>
      <c r="AD13" s="118" t="s">
        <v>50</v>
      </c>
      <c r="AE13" s="118">
        <v>2</v>
      </c>
      <c r="AF13" s="129" t="s">
        <v>2500</v>
      </c>
      <c r="AG13" s="118"/>
      <c r="AH13" s="118"/>
    </row>
    <row r="14" spans="1:34" ht="28.5">
      <c r="A14" s="118" t="s">
        <v>778</v>
      </c>
      <c r="B14" s="118" t="s">
        <v>2501</v>
      </c>
      <c r="C14" s="129" t="s">
        <v>2502</v>
      </c>
      <c r="D14" s="142">
        <v>45283</v>
      </c>
      <c r="E14" s="118" t="s">
        <v>143</v>
      </c>
      <c r="F14" s="145"/>
      <c r="G14" s="118">
        <v>120.61186499999999</v>
      </c>
      <c r="H14" s="144" t="s">
        <v>2503</v>
      </c>
      <c r="I14" s="146" t="s">
        <v>2504</v>
      </c>
      <c r="J14" s="146"/>
      <c r="K14" s="144" t="s">
        <v>69</v>
      </c>
      <c r="L14" s="144" t="s">
        <v>2498</v>
      </c>
      <c r="M14" s="144" t="s">
        <v>2498</v>
      </c>
      <c r="N14" s="144"/>
      <c r="O14" s="118" t="s">
        <v>73</v>
      </c>
      <c r="P14" s="118" t="s">
        <v>33</v>
      </c>
      <c r="Q14" s="118"/>
      <c r="R14" s="118" t="s">
        <v>148</v>
      </c>
      <c r="S14" s="118" t="s">
        <v>2505</v>
      </c>
      <c r="T14" s="147">
        <v>45678</v>
      </c>
      <c r="U14" s="147">
        <v>45679</v>
      </c>
      <c r="V14" s="147"/>
      <c r="W14" s="147">
        <v>45681</v>
      </c>
      <c r="X14" s="147">
        <v>45681</v>
      </c>
      <c r="Y14" s="148">
        <f t="shared" si="0"/>
        <v>1</v>
      </c>
      <c r="Z14" s="148" t="str">
        <f t="shared" si="1"/>
        <v/>
      </c>
      <c r="AA14" s="148">
        <f t="shared" si="2"/>
        <v>2</v>
      </c>
      <c r="AB14" s="148">
        <f t="shared" si="3"/>
        <v>1</v>
      </c>
      <c r="AC14" s="144" t="s">
        <v>150</v>
      </c>
      <c r="AD14" s="118" t="s">
        <v>57</v>
      </c>
      <c r="AE14" s="118" t="s">
        <v>2426</v>
      </c>
      <c r="AF14" s="118"/>
      <c r="AG14" s="118"/>
      <c r="AH14" s="118"/>
    </row>
    <row r="15" spans="1:34" ht="28.5">
      <c r="A15" s="118" t="s">
        <v>778</v>
      </c>
      <c r="B15" s="118" t="s">
        <v>2506</v>
      </c>
      <c r="C15" s="129" t="s">
        <v>2502</v>
      </c>
      <c r="D15" s="142">
        <v>45283</v>
      </c>
      <c r="E15" s="118" t="s">
        <v>143</v>
      </c>
      <c r="F15" s="145">
        <v>15.081951999999999</v>
      </c>
      <c r="G15" s="118">
        <v>120.61186499999999</v>
      </c>
      <c r="H15" s="144" t="s">
        <v>2503</v>
      </c>
      <c r="I15" s="146" t="s">
        <v>2504</v>
      </c>
      <c r="J15" s="146"/>
      <c r="K15" s="144" t="s">
        <v>69</v>
      </c>
      <c r="L15" s="144" t="s">
        <v>2498</v>
      </c>
      <c r="M15" s="144" t="s">
        <v>2498</v>
      </c>
      <c r="N15" s="144"/>
      <c r="O15" s="118" t="s">
        <v>73</v>
      </c>
      <c r="P15" s="118" t="s">
        <v>33</v>
      </c>
      <c r="Q15" s="118"/>
      <c r="R15" s="118" t="s">
        <v>148</v>
      </c>
      <c r="S15" s="118" t="s">
        <v>2505</v>
      </c>
      <c r="T15" s="147">
        <v>45678</v>
      </c>
      <c r="U15" s="147">
        <v>45679</v>
      </c>
      <c r="V15" s="147"/>
      <c r="W15" s="147">
        <v>45681</v>
      </c>
      <c r="X15" s="147">
        <v>45681</v>
      </c>
      <c r="Y15" s="148">
        <f t="shared" si="0"/>
        <v>1</v>
      </c>
      <c r="Z15" s="148" t="str">
        <f t="shared" si="1"/>
        <v/>
      </c>
      <c r="AA15" s="148">
        <f t="shared" si="2"/>
        <v>2</v>
      </c>
      <c r="AB15" s="148">
        <f t="shared" si="3"/>
        <v>1</v>
      </c>
      <c r="AC15" s="144" t="s">
        <v>150</v>
      </c>
      <c r="AD15" s="118" t="s">
        <v>57</v>
      </c>
      <c r="AE15" s="118" t="s">
        <v>2426</v>
      </c>
      <c r="AF15" s="118"/>
      <c r="AG15" s="118"/>
      <c r="AH15" s="118"/>
    </row>
    <row r="16" spans="1:34" ht="28.5">
      <c r="A16" s="118" t="s">
        <v>778</v>
      </c>
      <c r="B16" s="118" t="s">
        <v>2507</v>
      </c>
      <c r="C16" s="129" t="s">
        <v>2508</v>
      </c>
      <c r="D16" s="142" t="s">
        <v>69</v>
      </c>
      <c r="E16" s="118" t="s">
        <v>143</v>
      </c>
      <c r="F16" s="145">
        <v>15.14598</v>
      </c>
      <c r="G16" s="118">
        <v>120.58114</v>
      </c>
      <c r="H16" s="144" t="s">
        <v>2509</v>
      </c>
      <c r="I16" s="144"/>
      <c r="J16" s="146">
        <v>63</v>
      </c>
      <c r="K16" s="144" t="s">
        <v>2510</v>
      </c>
      <c r="L16" s="144" t="s">
        <v>2511</v>
      </c>
      <c r="M16" s="144" t="s">
        <v>2512</v>
      </c>
      <c r="N16" s="146" t="s">
        <v>2513</v>
      </c>
      <c r="O16" s="118" t="s">
        <v>75</v>
      </c>
      <c r="P16" s="118" t="s">
        <v>33</v>
      </c>
      <c r="Q16" s="118"/>
      <c r="R16" s="118" t="s">
        <v>148</v>
      </c>
      <c r="S16" s="118" t="s">
        <v>2514</v>
      </c>
      <c r="T16" s="147">
        <v>45729</v>
      </c>
      <c r="U16" s="147">
        <v>45731</v>
      </c>
      <c r="V16" s="147"/>
      <c r="W16" s="147">
        <v>45733</v>
      </c>
      <c r="X16" s="147">
        <v>45733</v>
      </c>
      <c r="Y16" s="148">
        <f t="shared" si="0"/>
        <v>1</v>
      </c>
      <c r="Z16" s="148" t="str">
        <f t="shared" si="1"/>
        <v/>
      </c>
      <c r="AA16" s="148">
        <f t="shared" si="2"/>
        <v>1</v>
      </c>
      <c r="AB16" s="148">
        <f t="shared" si="3"/>
        <v>1</v>
      </c>
      <c r="AC16" s="144" t="s">
        <v>150</v>
      </c>
      <c r="AD16" s="118" t="s">
        <v>50</v>
      </c>
      <c r="AE16" s="118" t="s">
        <v>2426</v>
      </c>
      <c r="AF16" s="118" t="s">
        <v>2427</v>
      </c>
      <c r="AG16" s="118"/>
      <c r="AH16" s="118"/>
    </row>
    <row r="17" spans="1:34" ht="28.5">
      <c r="A17" s="118" t="s">
        <v>778</v>
      </c>
      <c r="B17" s="118" t="s">
        <v>2515</v>
      </c>
      <c r="C17" s="129" t="s">
        <v>2516</v>
      </c>
      <c r="D17" s="142">
        <v>45283</v>
      </c>
      <c r="E17" s="118" t="s">
        <v>143</v>
      </c>
      <c r="F17" s="145">
        <v>15.06912</v>
      </c>
      <c r="G17" s="118">
        <v>120.57165999999999</v>
      </c>
      <c r="H17" s="144" t="s">
        <v>2517</v>
      </c>
      <c r="I17" s="144" t="s">
        <v>1947</v>
      </c>
      <c r="J17" s="146">
        <v>63</v>
      </c>
      <c r="K17" s="144" t="s">
        <v>69</v>
      </c>
      <c r="L17" s="144" t="s">
        <v>69</v>
      </c>
      <c r="M17" s="144" t="s">
        <v>69</v>
      </c>
      <c r="N17" s="144" t="s">
        <v>69</v>
      </c>
      <c r="O17" s="118" t="s">
        <v>77</v>
      </c>
      <c r="P17" s="118" t="s">
        <v>33</v>
      </c>
      <c r="Q17" s="118"/>
      <c r="R17" s="118" t="s">
        <v>148</v>
      </c>
      <c r="S17" s="118" t="s">
        <v>2518</v>
      </c>
      <c r="T17" s="147">
        <v>45783</v>
      </c>
      <c r="U17" s="147">
        <v>45784</v>
      </c>
      <c r="V17" s="147"/>
      <c r="W17" s="147">
        <v>45796</v>
      </c>
      <c r="X17" s="147">
        <v>45796</v>
      </c>
      <c r="Y17" s="148">
        <f t="shared" si="0"/>
        <v>1</v>
      </c>
      <c r="Z17" s="148" t="str">
        <f t="shared" si="1"/>
        <v/>
      </c>
      <c r="AA17" s="148">
        <f t="shared" si="2"/>
        <v>8</v>
      </c>
      <c r="AB17" s="148">
        <f t="shared" si="3"/>
        <v>1</v>
      </c>
      <c r="AC17" s="144" t="s">
        <v>150</v>
      </c>
      <c r="AD17" s="118" t="s">
        <v>50</v>
      </c>
      <c r="AE17" s="118" t="s">
        <v>2426</v>
      </c>
      <c r="AF17" s="118" t="s">
        <v>2427</v>
      </c>
      <c r="AG17" s="118"/>
      <c r="AH17" s="118"/>
    </row>
    <row r="18" spans="1:34" ht="285">
      <c r="A18" s="118" t="s">
        <v>779</v>
      </c>
      <c r="B18" s="118" t="s">
        <v>645</v>
      </c>
      <c r="C18" s="129" t="s">
        <v>2519</v>
      </c>
      <c r="D18" s="142">
        <v>44924</v>
      </c>
      <c r="E18" s="118" t="s">
        <v>143</v>
      </c>
      <c r="F18" s="145">
        <v>15.471690000000001</v>
      </c>
      <c r="G18" s="118">
        <v>120.58632</v>
      </c>
      <c r="H18" s="144" t="s">
        <v>2520</v>
      </c>
      <c r="I18" s="144"/>
      <c r="J18" s="146" t="s">
        <v>2521</v>
      </c>
      <c r="K18" s="144" t="s">
        <v>2522</v>
      </c>
      <c r="L18" s="144" t="s">
        <v>2523</v>
      </c>
      <c r="M18" s="144" t="s">
        <v>2524</v>
      </c>
      <c r="N18" s="144" t="s">
        <v>2525</v>
      </c>
      <c r="O18" s="118" t="s">
        <v>74</v>
      </c>
      <c r="P18" s="149" t="s">
        <v>37</v>
      </c>
      <c r="Q18" s="118" t="s">
        <v>163</v>
      </c>
      <c r="R18" s="118" t="s">
        <v>328</v>
      </c>
      <c r="S18" s="118" t="s">
        <v>2526</v>
      </c>
      <c r="T18" s="147">
        <v>45707</v>
      </c>
      <c r="U18" s="147">
        <v>45707</v>
      </c>
      <c r="V18" s="147"/>
      <c r="W18" s="147">
        <v>45707</v>
      </c>
      <c r="X18" s="147">
        <v>45707</v>
      </c>
      <c r="Y18" s="148">
        <f t="shared" si="0"/>
        <v>1</v>
      </c>
      <c r="Z18" s="148" t="str">
        <f t="shared" si="1"/>
        <v/>
      </c>
      <c r="AA18" s="148">
        <f t="shared" si="2"/>
        <v>1</v>
      </c>
      <c r="AB18" s="148">
        <f t="shared" si="3"/>
        <v>1</v>
      </c>
      <c r="AC18" s="144" t="s">
        <v>150</v>
      </c>
      <c r="AD18" s="118" t="s">
        <v>50</v>
      </c>
      <c r="AE18" s="118" t="s">
        <v>2426</v>
      </c>
      <c r="AF18" s="129" t="s">
        <v>2644</v>
      </c>
      <c r="AG18" s="118"/>
      <c r="AH18" s="118"/>
    </row>
    <row r="19" spans="1:34" ht="270.75">
      <c r="A19" s="118" t="s">
        <v>779</v>
      </c>
      <c r="B19" s="118" t="s">
        <v>645</v>
      </c>
      <c r="C19" s="129" t="s">
        <v>2519</v>
      </c>
      <c r="D19" s="142">
        <v>44924</v>
      </c>
      <c r="E19" s="118" t="s">
        <v>143</v>
      </c>
      <c r="F19" s="145">
        <v>15.471690000000001</v>
      </c>
      <c r="G19" s="118">
        <v>120.58632</v>
      </c>
      <c r="H19" s="144" t="s">
        <v>2520</v>
      </c>
      <c r="I19" s="144"/>
      <c r="J19" s="146" t="s">
        <v>2528</v>
      </c>
      <c r="K19" s="144" t="s">
        <v>2522</v>
      </c>
      <c r="L19" s="144" t="s">
        <v>2523</v>
      </c>
      <c r="M19" s="144" t="s">
        <v>2524</v>
      </c>
      <c r="N19" s="144" t="s">
        <v>2525</v>
      </c>
      <c r="O19" s="118" t="s">
        <v>74</v>
      </c>
      <c r="P19" s="149" t="s">
        <v>37</v>
      </c>
      <c r="Q19" s="118" t="s">
        <v>163</v>
      </c>
      <c r="R19" s="118" t="s">
        <v>328</v>
      </c>
      <c r="S19" s="118" t="s">
        <v>2529</v>
      </c>
      <c r="T19" s="147">
        <v>45707</v>
      </c>
      <c r="U19" s="147">
        <v>45707</v>
      </c>
      <c r="V19" s="147"/>
      <c r="W19" s="147">
        <v>45707</v>
      </c>
      <c r="X19" s="147">
        <v>45707</v>
      </c>
      <c r="Y19" s="148">
        <f t="shared" si="0"/>
        <v>1</v>
      </c>
      <c r="Z19" s="148" t="str">
        <f t="shared" si="1"/>
        <v/>
      </c>
      <c r="AA19" s="148">
        <f t="shared" si="2"/>
        <v>1</v>
      </c>
      <c r="AB19" s="148">
        <f t="shared" si="3"/>
        <v>1</v>
      </c>
      <c r="AC19" s="144" t="s">
        <v>150</v>
      </c>
      <c r="AD19" s="118" t="s">
        <v>50</v>
      </c>
      <c r="AE19" s="118" t="s">
        <v>2426</v>
      </c>
      <c r="AF19" s="129" t="s">
        <v>2655</v>
      </c>
      <c r="AG19" s="118"/>
      <c r="AH19" s="118"/>
    </row>
    <row r="20" spans="1:34" ht="28.5">
      <c r="A20" s="118" t="s">
        <v>780</v>
      </c>
      <c r="B20" s="118" t="s">
        <v>2531</v>
      </c>
      <c r="C20" s="129" t="s">
        <v>2532</v>
      </c>
      <c r="D20" s="142">
        <v>44927</v>
      </c>
      <c r="E20" s="118" t="s">
        <v>159</v>
      </c>
      <c r="F20" s="145">
        <v>15.3133</v>
      </c>
      <c r="G20" s="118">
        <v>119.99890000000001</v>
      </c>
      <c r="H20" s="144" t="s">
        <v>2533</v>
      </c>
      <c r="I20" s="144"/>
      <c r="J20" s="146">
        <v>63</v>
      </c>
      <c r="K20" s="144" t="s">
        <v>69</v>
      </c>
      <c r="L20" s="144" t="s">
        <v>69</v>
      </c>
      <c r="M20" s="144" t="s">
        <v>69</v>
      </c>
      <c r="N20" s="144" t="s">
        <v>69</v>
      </c>
      <c r="O20" s="118" t="s">
        <v>76</v>
      </c>
      <c r="P20" s="118" t="s">
        <v>2534</v>
      </c>
      <c r="Q20" s="118" t="s">
        <v>163</v>
      </c>
      <c r="R20" s="118" t="s">
        <v>2393</v>
      </c>
      <c r="S20" s="118" t="s">
        <v>2535</v>
      </c>
      <c r="T20" s="147">
        <v>45751</v>
      </c>
      <c r="U20" s="147">
        <v>45754</v>
      </c>
      <c r="V20" s="147">
        <v>45755</v>
      </c>
      <c r="W20" s="147">
        <v>45755</v>
      </c>
      <c r="X20" s="147">
        <v>45755</v>
      </c>
      <c r="Y20" s="148">
        <f t="shared" si="0"/>
        <v>1</v>
      </c>
      <c r="Z20" s="148">
        <f t="shared" si="1"/>
        <v>1</v>
      </c>
      <c r="AA20" s="148">
        <f t="shared" si="2"/>
        <v>1</v>
      </c>
      <c r="AB20" s="148">
        <f t="shared" si="3"/>
        <v>1</v>
      </c>
      <c r="AC20" s="144" t="s">
        <v>150</v>
      </c>
      <c r="AD20" s="118" t="s">
        <v>50</v>
      </c>
      <c r="AE20" s="118" t="s">
        <v>2426</v>
      </c>
      <c r="AF20" s="118" t="s">
        <v>2427</v>
      </c>
      <c r="AG20" s="118"/>
      <c r="AH20" s="118"/>
    </row>
    <row r="21" spans="1:34" ht="28.5">
      <c r="A21" s="118" t="s">
        <v>780</v>
      </c>
      <c r="B21" s="118" t="s">
        <v>2531</v>
      </c>
      <c r="C21" s="129" t="s">
        <v>2532</v>
      </c>
      <c r="D21" s="142">
        <v>44927</v>
      </c>
      <c r="E21" s="118" t="s">
        <v>159</v>
      </c>
      <c r="F21" s="145">
        <v>15.3133</v>
      </c>
      <c r="G21" s="118">
        <v>119.99890000000001</v>
      </c>
      <c r="H21" s="144" t="s">
        <v>2533</v>
      </c>
      <c r="I21" s="144"/>
      <c r="J21" s="146">
        <v>63</v>
      </c>
      <c r="K21" s="144" t="s">
        <v>69</v>
      </c>
      <c r="L21" s="144" t="s">
        <v>69</v>
      </c>
      <c r="M21" s="144" t="s">
        <v>69</v>
      </c>
      <c r="N21" s="144" t="s">
        <v>69</v>
      </c>
      <c r="O21" s="118" t="s">
        <v>76</v>
      </c>
      <c r="P21" s="118" t="s">
        <v>2534</v>
      </c>
      <c r="Q21" s="118" t="s">
        <v>163</v>
      </c>
      <c r="R21" s="118" t="s">
        <v>2393</v>
      </c>
      <c r="S21" s="118" t="s">
        <v>2536</v>
      </c>
      <c r="T21" s="147">
        <v>45751</v>
      </c>
      <c r="U21" s="147">
        <v>45754</v>
      </c>
      <c r="V21" s="147">
        <v>45755</v>
      </c>
      <c r="W21" s="147">
        <v>45755</v>
      </c>
      <c r="X21" s="147">
        <v>45755</v>
      </c>
      <c r="Y21" s="148">
        <f t="shared" si="0"/>
        <v>1</v>
      </c>
      <c r="Z21" s="148">
        <f t="shared" si="1"/>
        <v>1</v>
      </c>
      <c r="AA21" s="148">
        <f>IF(
  OR(A21 = "Nueva_Ecija", A21 = "Zambales"),
  IF(
    OR(ISBLANK(V21), ISBLANK(W21)),
    "",
    MAX(1, IF(
      NETWORKDAYS(V21, W21) &lt;= 0,
      1,
      NETWORKDAYS(V21, W21) - IF(V21 = W21, 0, 1)
    ))
  ),
  IF(
    OR(ISBLANK(U21), ISBLANK(W21)),
    "",
    MAX(1, IF(
      NETWORKDAYS(U21, W21) &lt;= 0,
      1,
      NETWORKDAYS(U21, W21) - IF(U21 = W21, 0, 1)
    ))
  )
)</f>
        <v>1</v>
      </c>
      <c r="AB21" s="148">
        <f t="shared" si="3"/>
        <v>1</v>
      </c>
      <c r="AC21" s="144" t="s">
        <v>150</v>
      </c>
      <c r="AD21" s="118" t="s">
        <v>50</v>
      </c>
      <c r="AE21" s="118" t="s">
        <v>2426</v>
      </c>
      <c r="AF21" s="118" t="s">
        <v>2427</v>
      </c>
      <c r="AG21" s="118"/>
      <c r="AH21" s="118"/>
    </row>
    <row r="22" spans="1:34" ht="28.5">
      <c r="A22" s="118" t="s">
        <v>780</v>
      </c>
      <c r="B22" s="118" t="s">
        <v>2537</v>
      </c>
      <c r="C22" s="129" t="s">
        <v>2538</v>
      </c>
      <c r="D22" s="142">
        <v>44927</v>
      </c>
      <c r="E22" s="118" t="s">
        <v>159</v>
      </c>
      <c r="F22" s="145">
        <v>14.845599999999999</v>
      </c>
      <c r="G22" s="118">
        <v>120.3292</v>
      </c>
      <c r="H22" s="144" t="s">
        <v>2539</v>
      </c>
      <c r="I22" s="144" t="s">
        <v>2504</v>
      </c>
      <c r="J22" s="146" t="s">
        <v>2540</v>
      </c>
      <c r="K22" s="144" t="s">
        <v>1667</v>
      </c>
      <c r="L22" s="144" t="s">
        <v>2541</v>
      </c>
      <c r="M22" s="144" t="s">
        <v>2541</v>
      </c>
      <c r="N22" s="144" t="s">
        <v>2541</v>
      </c>
      <c r="O22" s="118" t="s">
        <v>75</v>
      </c>
      <c r="P22" s="118" t="s">
        <v>2534</v>
      </c>
      <c r="Q22" s="118" t="s">
        <v>163</v>
      </c>
      <c r="R22" s="118" t="s">
        <v>2393</v>
      </c>
      <c r="S22" s="118" t="s">
        <v>2542</v>
      </c>
      <c r="T22" s="147">
        <v>45721</v>
      </c>
      <c r="U22" s="147">
        <v>45726</v>
      </c>
      <c r="V22" s="147">
        <v>45728</v>
      </c>
      <c r="W22" s="147">
        <v>45729</v>
      </c>
      <c r="X22" s="147">
        <v>45729</v>
      </c>
      <c r="Y22" s="148">
        <f t="shared" si="0"/>
        <v>3</v>
      </c>
      <c r="Z22" s="148">
        <f t="shared" si="1"/>
        <v>2</v>
      </c>
      <c r="AA22" s="148">
        <f>IF(
  OR(A22 = "Nueva_Ecija", A22 = "Zambales"),
  IF(
    OR(ISBLANK(V22), ISBLANK(W22)),
    "",
    MAX(1, IF(
      NETWORKDAYS(V22, W22) &lt;= 0,
      1,
      NETWORKDAYS(V22, W22) - IF(V22 = W22, 0, 1)
    ))
  ),
  IF(
    OR(ISBLANK(U22), ISBLANK(W22)),
    "",
    MAX(1, IF(
      NETWORKDAYS(U22, W22) &lt;= 0,
      1,
      NETWORKDAYS(U22, W22) - IF(U22 = W22, 0, 1)
    ))
  )
)</f>
        <v>1</v>
      </c>
      <c r="AB22" s="148">
        <f t="shared" si="3"/>
        <v>1</v>
      </c>
      <c r="AC22" s="144" t="s">
        <v>150</v>
      </c>
      <c r="AD22" s="118" t="s">
        <v>50</v>
      </c>
      <c r="AE22" s="118" t="s">
        <v>2426</v>
      </c>
      <c r="AF22" s="118" t="s">
        <v>2427</v>
      </c>
      <c r="AG22" s="118"/>
      <c r="AH22" s="118"/>
    </row>
  </sheetData>
  <autoFilter ref="A1:AH22" xr:uid="{77821DE2-73B7-4D9C-BFD0-8534722AB3CB}"/>
  <conditionalFormatting sqref="C1:D1">
    <cfRule type="duplicateValues" dxfId="4" priority="1"/>
  </conditionalFormatting>
  <dataValidations count="2">
    <dataValidation allowBlank="1" showInputMessage="1" showErrorMessage="1" sqref="P18:P19 P5 K1:AC1 A1:H1 R10:R22" xr:uid="{876E7D06-BF81-4266-83DC-2BC2EDD3E649}"/>
    <dataValidation type="list" allowBlank="1" showInputMessage="1" showErrorMessage="1" sqref="A2:A1048576" xr:uid="{0096C5F7-11A4-457F-8307-1A2967C02F8F}">
      <formula1>"Aurora, Bataan, Bulacan, Nueva_Ecija, Pampanga, Tarlac, Zambales"</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9242CD7B-A921-47C1-81DF-6595B5924214}">
          <x14:formula1>
            <xm:f>'Data Validation'!$Q$2:$Q$5</xm:f>
          </x14:formula1>
          <xm:sqref>AD2:AD22</xm:sqref>
        </x14:dataValidation>
        <x14:dataValidation type="list" allowBlank="1" showInputMessage="1" showErrorMessage="1" xr:uid="{7F70DFB6-62EF-4D64-8E68-C5C83C1EC153}">
          <x14:formula1>
            <xm:f>'Data Validation'!$A$13:$A$24</xm:f>
          </x14:formula1>
          <xm:sqref>O2:O22</xm:sqref>
        </x14:dataValidation>
      </x14:dataValidation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FEEF4-A20D-4A55-B6E0-D5F982846A50}">
  <sheetPr codeName="Sheet12"/>
  <dimension ref="A1:AG164"/>
  <sheetViews>
    <sheetView zoomScale="85" zoomScaleNormal="85" workbookViewId="0">
      <pane ySplit="1" topLeftCell="A2" activePane="bottomLeft" state="frozen"/>
      <selection pane="bottomLeft" activeCell="AE92" sqref="AE92"/>
    </sheetView>
  </sheetViews>
  <sheetFormatPr defaultColWidth="21.28515625" defaultRowHeight="15"/>
  <cols>
    <col min="1" max="1" width="21.28515625" style="78"/>
    <col min="2" max="2" width="27.140625" style="78" customWidth="1"/>
    <col min="3" max="6" width="21.28515625" style="78"/>
    <col min="7" max="7" width="27.28515625" style="78" bestFit="1" customWidth="1"/>
    <col min="8" max="9" width="21.28515625" style="78"/>
    <col min="10" max="11" width="25.140625" style="78" customWidth="1"/>
    <col min="12" max="12" width="26.140625" style="78" customWidth="1"/>
    <col min="13" max="13" width="21.5703125" style="330" bestFit="1" customWidth="1"/>
    <col min="14" max="14" width="22.42578125" style="330" bestFit="1" customWidth="1"/>
    <col min="15" max="15" width="28.5703125" style="330" customWidth="1"/>
    <col min="16" max="16" width="21.7109375" style="330" bestFit="1" customWidth="1"/>
    <col min="17" max="17" width="23.85546875" style="330" bestFit="1" customWidth="1"/>
    <col min="18" max="18" width="21.7109375" style="330" bestFit="1" customWidth="1"/>
    <col min="19" max="27" width="21.28515625" style="78"/>
    <col min="28" max="28" width="21.28515625" style="78" bestFit="1" customWidth="1"/>
    <col min="29" max="29" width="32.28515625" style="78" bestFit="1" customWidth="1"/>
    <col min="30" max="30" width="22" style="81" bestFit="1" customWidth="1"/>
    <col min="31" max="31" width="36.5703125" style="81" bestFit="1" customWidth="1"/>
    <col min="32" max="16384" width="21.28515625" style="78"/>
  </cols>
  <sheetData>
    <row r="1" spans="1:33" ht="48" customHeight="1">
      <c r="A1" s="136" t="s">
        <v>85</v>
      </c>
      <c r="B1" s="136" t="s">
        <v>782</v>
      </c>
      <c r="C1" s="136" t="s">
        <v>86</v>
      </c>
      <c r="D1" s="136" t="s">
        <v>2656</v>
      </c>
      <c r="E1" s="136" t="s">
        <v>783</v>
      </c>
      <c r="F1" s="136" t="s">
        <v>784</v>
      </c>
      <c r="G1" s="136" t="s">
        <v>785</v>
      </c>
      <c r="H1" s="136" t="s">
        <v>2657</v>
      </c>
      <c r="I1" s="137" t="s">
        <v>99</v>
      </c>
      <c r="J1" s="137" t="s">
        <v>100</v>
      </c>
      <c r="K1" s="137" t="s">
        <v>1575</v>
      </c>
      <c r="L1" s="137" t="s">
        <v>102</v>
      </c>
      <c r="M1" s="322" t="s">
        <v>103</v>
      </c>
      <c r="N1" s="322" t="s">
        <v>104</v>
      </c>
      <c r="O1" s="322" t="s">
        <v>105</v>
      </c>
      <c r="P1" s="322" t="s">
        <v>106</v>
      </c>
      <c r="Q1" s="322" t="s">
        <v>107</v>
      </c>
      <c r="R1" s="322" t="s">
        <v>108</v>
      </c>
      <c r="S1" s="137" t="s">
        <v>109</v>
      </c>
      <c r="T1" s="137" t="s">
        <v>110</v>
      </c>
      <c r="U1" s="137" t="s">
        <v>111</v>
      </c>
      <c r="V1" s="137" t="s">
        <v>112</v>
      </c>
      <c r="W1" s="137" t="s">
        <v>2250</v>
      </c>
      <c r="X1" s="138" t="s">
        <v>2658</v>
      </c>
      <c r="Y1" s="138" t="s">
        <v>2659</v>
      </c>
      <c r="Z1" s="138" t="s">
        <v>2660</v>
      </c>
      <c r="AA1" s="138" t="s">
        <v>2661</v>
      </c>
      <c r="AB1" s="138" t="s">
        <v>2662</v>
      </c>
      <c r="AC1" s="138" t="s">
        <v>2663</v>
      </c>
      <c r="AD1" s="138" t="s">
        <v>127</v>
      </c>
      <c r="AE1" s="26" t="s">
        <v>125</v>
      </c>
      <c r="AF1" s="26" t="s">
        <v>126</v>
      </c>
      <c r="AG1" s="27" t="s">
        <v>127</v>
      </c>
    </row>
    <row r="2" spans="1:33" ht="105">
      <c r="A2" s="76" t="s">
        <v>776</v>
      </c>
      <c r="B2" s="338" t="s">
        <v>2664</v>
      </c>
      <c r="C2" s="338" t="s">
        <v>938</v>
      </c>
      <c r="D2" s="76" t="s">
        <v>143</v>
      </c>
      <c r="E2" s="76">
        <v>14.808999999999999</v>
      </c>
      <c r="F2" s="87">
        <v>120.8972</v>
      </c>
      <c r="G2" s="75" t="s">
        <v>2665</v>
      </c>
      <c r="H2" s="369">
        <v>44914</v>
      </c>
      <c r="I2" s="11" t="s">
        <v>76</v>
      </c>
      <c r="J2" s="11" t="s">
        <v>2271</v>
      </c>
      <c r="K2" s="11"/>
      <c r="L2" s="338" t="s">
        <v>1982</v>
      </c>
      <c r="M2" s="323" t="s">
        <v>2666</v>
      </c>
      <c r="N2" s="324">
        <v>45776</v>
      </c>
      <c r="O2" s="324">
        <v>45777</v>
      </c>
      <c r="P2" s="324"/>
      <c r="Q2" s="324">
        <v>45782</v>
      </c>
      <c r="R2" s="324">
        <v>45791</v>
      </c>
      <c r="S2" s="45">
        <f t="shared" ref="S2:S33" si="0">IF(
    OR(ISBLANK(N2), ISBLANK(O2)),
    "",
    MAX(1, IF(
        NETWORKDAYS(N2, O2) &lt;= 0,
        1,
        NETWORKDAYS(N2, O2) - IF(N2 = O2, 0, 1)
    ))
)</f>
        <v>1</v>
      </c>
      <c r="T2" s="45" t="str">
        <f t="shared" ref="T2:T33" si="1">IF(
    OR(ISBLANK(O2), ISBLANK(P2)),
    "",
    MAX(1, IF(
        NETWORKDAYS(O2, P2) &lt;= 0,
        1,
        NETWORKDAYS(O2, P2) - IF(O2 = P2, 0, 1)
    ))
)</f>
        <v/>
      </c>
      <c r="U2" s="45">
        <f t="shared" ref="U2:U33" si="2">IF(
  OR(A2 = "Nueva_Ecija", A2 = "Zambales"),
  IF(
    OR(ISBLANK(P2), ISBLANK(Q2)),
    "",
    MAX(1, IF(
      NETWORKDAYS(P2, Q2) &lt;= 0,
      1,
      NETWORKDAYS(P2, Q2) - IF(P2 = Q2, 0, 1)
    ))
  ),
  IF(
    OR(ISBLANK(O2), ISBLANK(Q2)),
    "",
    MAX(1, IF(
      NETWORKDAYS(O2, Q2) &lt;= 0,
      1,
      NETWORKDAYS(O2, Q2) - IF(O2 = Q2, 0, 1)
    ))
  )
)</f>
        <v>3</v>
      </c>
      <c r="V2" s="45">
        <f t="shared" ref="V2:V33" si="3">IF(
    OR(ISBLANK(Q2), ISBLANK(R2)),
    "",
    MAX(1, IF(
        NETWORKDAYS(Q2, R2) &lt;= 0,
        1,
        NETWORKDAYS(Q2, R2) - IF(Q2 = R2, 0, 1)
    ))
)</f>
        <v>7</v>
      </c>
      <c r="W2" s="133" t="s">
        <v>150</v>
      </c>
      <c r="X2" s="11" t="s">
        <v>57</v>
      </c>
      <c r="Y2" s="133">
        <v>23</v>
      </c>
      <c r="Z2" s="11" t="s">
        <v>57</v>
      </c>
      <c r="AA2" s="11" t="s">
        <v>50</v>
      </c>
      <c r="AB2" s="11" t="s">
        <v>1239</v>
      </c>
      <c r="AC2" s="133" t="s">
        <v>69</v>
      </c>
      <c r="AD2" s="96" t="s">
        <v>2667</v>
      </c>
      <c r="AE2" s="96"/>
      <c r="AF2" s="133"/>
      <c r="AG2" s="11"/>
    </row>
    <row r="3" spans="1:33" ht="60">
      <c r="A3" s="76" t="s">
        <v>776</v>
      </c>
      <c r="B3" s="338" t="s">
        <v>2668</v>
      </c>
      <c r="C3" s="339" t="s">
        <v>938</v>
      </c>
      <c r="D3" s="76" t="s">
        <v>143</v>
      </c>
      <c r="E3" s="76">
        <v>14.816800000000001</v>
      </c>
      <c r="F3" s="340">
        <v>120.9085</v>
      </c>
      <c r="G3" s="341" t="s">
        <v>2669</v>
      </c>
      <c r="H3" s="342">
        <v>44914</v>
      </c>
      <c r="I3" s="11" t="s">
        <v>76</v>
      </c>
      <c r="J3" s="11" t="s">
        <v>2261</v>
      </c>
      <c r="K3" s="11"/>
      <c r="L3" s="338" t="s">
        <v>1982</v>
      </c>
      <c r="M3" s="323" t="s">
        <v>2670</v>
      </c>
      <c r="N3" s="324">
        <v>45777</v>
      </c>
      <c r="O3" s="324">
        <v>45777</v>
      </c>
      <c r="P3" s="324"/>
      <c r="Q3" s="324">
        <v>45793</v>
      </c>
      <c r="R3" s="324">
        <v>45796</v>
      </c>
      <c r="S3" s="45">
        <f t="shared" si="0"/>
        <v>1</v>
      </c>
      <c r="T3" s="45" t="str">
        <f t="shared" si="1"/>
        <v/>
      </c>
      <c r="U3" s="45">
        <f t="shared" si="2"/>
        <v>12</v>
      </c>
      <c r="V3" s="45">
        <f t="shared" si="3"/>
        <v>1</v>
      </c>
      <c r="W3" s="133" t="s">
        <v>150</v>
      </c>
      <c r="X3" s="11" t="s">
        <v>57</v>
      </c>
      <c r="Y3" s="133">
        <v>16</v>
      </c>
      <c r="Z3" s="11" t="s">
        <v>57</v>
      </c>
      <c r="AA3" s="11" t="s">
        <v>57</v>
      </c>
      <c r="AB3" s="11" t="s">
        <v>1239</v>
      </c>
      <c r="AC3" s="133" t="s">
        <v>2671</v>
      </c>
      <c r="AD3" s="96" t="s">
        <v>2672</v>
      </c>
      <c r="AE3" s="96"/>
      <c r="AF3" s="11"/>
      <c r="AG3" s="7" t="s">
        <v>2673</v>
      </c>
    </row>
    <row r="4" spans="1:33" ht="60">
      <c r="A4" s="76" t="s">
        <v>776</v>
      </c>
      <c r="B4" s="338" t="s">
        <v>2668</v>
      </c>
      <c r="C4" s="339" t="s">
        <v>938</v>
      </c>
      <c r="D4" s="76" t="s">
        <v>143</v>
      </c>
      <c r="E4" s="76">
        <v>14.816800000000001</v>
      </c>
      <c r="F4" s="340">
        <v>120.9085</v>
      </c>
      <c r="G4" s="341" t="s">
        <v>2669</v>
      </c>
      <c r="H4" s="342">
        <v>44914</v>
      </c>
      <c r="I4" s="11" t="s">
        <v>76</v>
      </c>
      <c r="J4" s="11" t="s">
        <v>2261</v>
      </c>
      <c r="K4" s="11"/>
      <c r="L4" s="338" t="s">
        <v>1982</v>
      </c>
      <c r="M4" s="323" t="s">
        <v>2674</v>
      </c>
      <c r="N4" s="324">
        <v>45777</v>
      </c>
      <c r="O4" s="324">
        <v>45777</v>
      </c>
      <c r="P4" s="324"/>
      <c r="Q4" s="324">
        <v>45793</v>
      </c>
      <c r="R4" s="324">
        <v>45796</v>
      </c>
      <c r="S4" s="45">
        <f t="shared" si="0"/>
        <v>1</v>
      </c>
      <c r="T4" s="45" t="str">
        <f t="shared" si="1"/>
        <v/>
      </c>
      <c r="U4" s="45">
        <f t="shared" si="2"/>
        <v>12</v>
      </c>
      <c r="V4" s="45">
        <f t="shared" si="3"/>
        <v>1</v>
      </c>
      <c r="W4" s="133" t="s">
        <v>150</v>
      </c>
      <c r="X4" s="11" t="s">
        <v>57</v>
      </c>
      <c r="Y4" s="133">
        <v>16</v>
      </c>
      <c r="Z4" s="11" t="s">
        <v>57</v>
      </c>
      <c r="AA4" s="11" t="s">
        <v>57</v>
      </c>
      <c r="AB4" s="11" t="s">
        <v>1239</v>
      </c>
      <c r="AC4" s="133" t="s">
        <v>2671</v>
      </c>
      <c r="AD4" s="96" t="s">
        <v>2672</v>
      </c>
      <c r="AE4" s="7"/>
      <c r="AF4" s="11"/>
      <c r="AG4" s="7" t="s">
        <v>2673</v>
      </c>
    </row>
    <row r="5" spans="1:33" ht="180">
      <c r="A5" s="76" t="s">
        <v>776</v>
      </c>
      <c r="B5" s="338" t="s">
        <v>2675</v>
      </c>
      <c r="C5" s="339" t="s">
        <v>1011</v>
      </c>
      <c r="D5" s="76" t="s">
        <v>143</v>
      </c>
      <c r="E5" s="76">
        <v>14.7898</v>
      </c>
      <c r="F5" s="340">
        <v>120.9311</v>
      </c>
      <c r="G5" s="341" t="s">
        <v>2676</v>
      </c>
      <c r="H5" s="342">
        <v>44901</v>
      </c>
      <c r="I5" s="11" t="s">
        <v>78</v>
      </c>
      <c r="J5" s="11" t="s">
        <v>2271</v>
      </c>
      <c r="K5" s="11"/>
      <c r="L5" s="338" t="s">
        <v>1982</v>
      </c>
      <c r="M5" s="323" t="s">
        <v>2677</v>
      </c>
      <c r="N5" s="324">
        <v>45806</v>
      </c>
      <c r="O5" s="324">
        <v>45807</v>
      </c>
      <c r="P5" s="324"/>
      <c r="Q5" s="324">
        <v>45810</v>
      </c>
      <c r="R5" s="324">
        <v>45810</v>
      </c>
      <c r="S5" s="45">
        <f t="shared" si="0"/>
        <v>1</v>
      </c>
      <c r="T5" s="45" t="str">
        <f t="shared" si="1"/>
        <v/>
      </c>
      <c r="U5" s="45">
        <f t="shared" si="2"/>
        <v>1</v>
      </c>
      <c r="V5" s="45">
        <f t="shared" si="3"/>
        <v>1</v>
      </c>
      <c r="W5" s="133" t="s">
        <v>150</v>
      </c>
      <c r="X5" s="11" t="s">
        <v>57</v>
      </c>
      <c r="Y5" s="133">
        <v>33</v>
      </c>
      <c r="Z5" s="11" t="s">
        <v>57</v>
      </c>
      <c r="AA5" s="11" t="s">
        <v>57</v>
      </c>
      <c r="AB5" s="11" t="s">
        <v>1239</v>
      </c>
      <c r="AC5" s="133" t="s">
        <v>2671</v>
      </c>
      <c r="AD5" s="96" t="s">
        <v>2678</v>
      </c>
      <c r="AE5" s="7"/>
      <c r="AF5" s="11"/>
      <c r="AG5" s="11"/>
    </row>
    <row r="6" spans="1:33" ht="150">
      <c r="A6" s="76" t="s">
        <v>776</v>
      </c>
      <c r="B6" s="338" t="s">
        <v>2675</v>
      </c>
      <c r="C6" s="339" t="s">
        <v>1011</v>
      </c>
      <c r="D6" s="76" t="s">
        <v>143</v>
      </c>
      <c r="E6" s="76">
        <v>14.792327999999999</v>
      </c>
      <c r="F6" s="340">
        <v>120.92997010000001</v>
      </c>
      <c r="G6" s="341" t="s">
        <v>2679</v>
      </c>
      <c r="H6" s="342">
        <v>44901</v>
      </c>
      <c r="I6" s="11" t="s">
        <v>78</v>
      </c>
      <c r="J6" s="11" t="s">
        <v>2271</v>
      </c>
      <c r="K6" s="11"/>
      <c r="L6" s="338" t="s">
        <v>1982</v>
      </c>
      <c r="M6" s="323" t="s">
        <v>2680</v>
      </c>
      <c r="N6" s="324">
        <v>45806</v>
      </c>
      <c r="O6" s="324">
        <v>45807</v>
      </c>
      <c r="P6" s="324"/>
      <c r="Q6" s="324">
        <v>45810</v>
      </c>
      <c r="R6" s="324">
        <v>45810</v>
      </c>
      <c r="S6" s="45">
        <f t="shared" si="0"/>
        <v>1</v>
      </c>
      <c r="T6" s="45" t="str">
        <f t="shared" si="1"/>
        <v/>
      </c>
      <c r="U6" s="45">
        <f t="shared" si="2"/>
        <v>1</v>
      </c>
      <c r="V6" s="45">
        <f t="shared" si="3"/>
        <v>1</v>
      </c>
      <c r="W6" s="133" t="s">
        <v>150</v>
      </c>
      <c r="X6" s="11" t="s">
        <v>57</v>
      </c>
      <c r="Y6" s="133">
        <v>33</v>
      </c>
      <c r="Z6" s="11" t="s">
        <v>57</v>
      </c>
      <c r="AA6" s="11" t="s">
        <v>57</v>
      </c>
      <c r="AB6" s="11" t="s">
        <v>1239</v>
      </c>
      <c r="AC6" s="133" t="s">
        <v>2671</v>
      </c>
      <c r="AD6" s="96" t="s">
        <v>2681</v>
      </c>
      <c r="AE6" s="7"/>
      <c r="AF6" s="11"/>
      <c r="AG6" s="11"/>
    </row>
    <row r="7" spans="1:33" ht="180">
      <c r="A7" s="76" t="s">
        <v>776</v>
      </c>
      <c r="B7" s="338" t="s">
        <v>2682</v>
      </c>
      <c r="C7" s="339" t="s">
        <v>1011</v>
      </c>
      <c r="D7" s="76" t="s">
        <v>143</v>
      </c>
      <c r="E7" s="76">
        <v>14.792327999999999</v>
      </c>
      <c r="F7" s="340">
        <v>120.929779</v>
      </c>
      <c r="G7" s="341" t="s">
        <v>2683</v>
      </c>
      <c r="H7" s="342">
        <v>44901</v>
      </c>
      <c r="I7" s="11" t="s">
        <v>78</v>
      </c>
      <c r="J7" s="11" t="s">
        <v>2271</v>
      </c>
      <c r="K7" s="11"/>
      <c r="L7" s="338" t="s">
        <v>1982</v>
      </c>
      <c r="M7" s="323" t="s">
        <v>2684</v>
      </c>
      <c r="N7" s="324">
        <v>45804</v>
      </c>
      <c r="O7" s="324">
        <v>45806</v>
      </c>
      <c r="P7" s="324"/>
      <c r="Q7" s="324">
        <v>45810</v>
      </c>
      <c r="R7" s="324">
        <v>45810</v>
      </c>
      <c r="S7" s="45">
        <f t="shared" si="0"/>
        <v>2</v>
      </c>
      <c r="T7" s="45" t="str">
        <f t="shared" si="1"/>
        <v/>
      </c>
      <c r="U7" s="45">
        <f t="shared" si="2"/>
        <v>2</v>
      </c>
      <c r="V7" s="45">
        <f t="shared" si="3"/>
        <v>1</v>
      </c>
      <c r="W7" s="133" t="s">
        <v>150</v>
      </c>
      <c r="X7" s="11" t="s">
        <v>50</v>
      </c>
      <c r="Y7" s="133">
        <v>33</v>
      </c>
      <c r="Z7" s="11" t="s">
        <v>57</v>
      </c>
      <c r="AA7" s="11" t="s">
        <v>57</v>
      </c>
      <c r="AB7" s="11" t="s">
        <v>1239</v>
      </c>
      <c r="AC7" s="133" t="s">
        <v>2671</v>
      </c>
      <c r="AD7" s="96" t="s">
        <v>2685</v>
      </c>
      <c r="AE7" s="7"/>
      <c r="AF7" s="11"/>
      <c r="AG7" s="11"/>
    </row>
    <row r="8" spans="1:33" ht="180">
      <c r="A8" s="76" t="s">
        <v>776</v>
      </c>
      <c r="B8" s="338" t="s">
        <v>2682</v>
      </c>
      <c r="C8" s="339" t="s">
        <v>1011</v>
      </c>
      <c r="D8" s="76" t="s">
        <v>143</v>
      </c>
      <c r="E8" s="76">
        <v>14.792327999999999</v>
      </c>
      <c r="F8" s="340">
        <v>120.929779</v>
      </c>
      <c r="G8" s="341" t="s">
        <v>2683</v>
      </c>
      <c r="H8" s="342">
        <v>44901</v>
      </c>
      <c r="I8" s="11" t="s">
        <v>78</v>
      </c>
      <c r="J8" s="11" t="s">
        <v>2271</v>
      </c>
      <c r="K8" s="11"/>
      <c r="L8" s="338" t="s">
        <v>1982</v>
      </c>
      <c r="M8" s="323" t="s">
        <v>2686</v>
      </c>
      <c r="N8" s="324">
        <v>45804</v>
      </c>
      <c r="O8" s="324">
        <v>45806</v>
      </c>
      <c r="P8" s="324"/>
      <c r="Q8" s="324">
        <v>45810</v>
      </c>
      <c r="R8" s="324">
        <v>45810</v>
      </c>
      <c r="S8" s="45">
        <f t="shared" si="0"/>
        <v>2</v>
      </c>
      <c r="T8" s="45" t="str">
        <f t="shared" si="1"/>
        <v/>
      </c>
      <c r="U8" s="45">
        <f t="shared" si="2"/>
        <v>2</v>
      </c>
      <c r="V8" s="45">
        <f t="shared" si="3"/>
        <v>1</v>
      </c>
      <c r="W8" s="133" t="s">
        <v>150</v>
      </c>
      <c r="X8" s="11" t="s">
        <v>50</v>
      </c>
      <c r="Y8" s="133">
        <v>33</v>
      </c>
      <c r="Z8" s="11" t="s">
        <v>57</v>
      </c>
      <c r="AA8" s="11" t="s">
        <v>57</v>
      </c>
      <c r="AB8" s="11" t="s">
        <v>1239</v>
      </c>
      <c r="AC8" s="133" t="s">
        <v>2671</v>
      </c>
      <c r="AD8" s="96" t="s">
        <v>2685</v>
      </c>
      <c r="AE8" s="7"/>
      <c r="AF8" s="11"/>
      <c r="AG8" s="11"/>
    </row>
    <row r="9" spans="1:33" ht="45">
      <c r="A9" s="76" t="s">
        <v>776</v>
      </c>
      <c r="B9" s="338" t="s">
        <v>2687</v>
      </c>
      <c r="C9" s="339" t="s">
        <v>1011</v>
      </c>
      <c r="D9" s="76" t="s">
        <v>143</v>
      </c>
      <c r="E9" s="76">
        <v>14.787118599999999</v>
      </c>
      <c r="F9" s="340">
        <v>120.9293942</v>
      </c>
      <c r="G9" s="341" t="s">
        <v>2688</v>
      </c>
      <c r="H9" s="342">
        <v>44901</v>
      </c>
      <c r="I9" s="11" t="s">
        <v>77</v>
      </c>
      <c r="J9" s="11" t="s">
        <v>22</v>
      </c>
      <c r="K9" s="11" t="s">
        <v>388</v>
      </c>
      <c r="L9" s="338" t="s">
        <v>1982</v>
      </c>
      <c r="M9" s="323" t="s">
        <v>2689</v>
      </c>
      <c r="N9" s="324">
        <v>45797</v>
      </c>
      <c r="O9" s="324">
        <v>45802</v>
      </c>
      <c r="P9" s="324">
        <v>45803</v>
      </c>
      <c r="Q9" s="324">
        <v>45803</v>
      </c>
      <c r="R9" s="324">
        <v>45803</v>
      </c>
      <c r="S9" s="45">
        <f t="shared" si="0"/>
        <v>3</v>
      </c>
      <c r="T9" s="45">
        <f t="shared" si="1"/>
        <v>1</v>
      </c>
      <c r="U9" s="45">
        <f t="shared" si="2"/>
        <v>1</v>
      </c>
      <c r="V9" s="45">
        <f t="shared" si="3"/>
        <v>1</v>
      </c>
      <c r="W9" s="133" t="s">
        <v>150</v>
      </c>
      <c r="X9" s="11" t="s">
        <v>57</v>
      </c>
      <c r="Y9" s="133">
        <v>17</v>
      </c>
      <c r="Z9" s="11" t="s">
        <v>57</v>
      </c>
      <c r="AA9" s="11" t="s">
        <v>57</v>
      </c>
      <c r="AB9" s="11" t="s">
        <v>1239</v>
      </c>
      <c r="AC9" s="133" t="s">
        <v>69</v>
      </c>
      <c r="AD9" s="96" t="s">
        <v>2690</v>
      </c>
      <c r="AE9" s="7"/>
      <c r="AF9" s="11"/>
      <c r="AG9" s="11"/>
    </row>
    <row r="10" spans="1:33">
      <c r="A10" s="76" t="s">
        <v>776</v>
      </c>
      <c r="B10" s="338" t="s">
        <v>2691</v>
      </c>
      <c r="C10" s="339" t="s">
        <v>1023</v>
      </c>
      <c r="D10" s="76" t="s">
        <v>143</v>
      </c>
      <c r="E10" s="76">
        <v>14.93861197</v>
      </c>
      <c r="F10" s="340">
        <v>120.92760706</v>
      </c>
      <c r="G10" s="341" t="s">
        <v>2692</v>
      </c>
      <c r="H10" s="342">
        <v>44901</v>
      </c>
      <c r="I10" s="11" t="s">
        <v>76</v>
      </c>
      <c r="J10" s="11" t="s">
        <v>22</v>
      </c>
      <c r="K10" s="11"/>
      <c r="L10" s="338" t="s">
        <v>1982</v>
      </c>
      <c r="M10" s="323" t="s">
        <v>2693</v>
      </c>
      <c r="N10" s="324">
        <v>45770</v>
      </c>
      <c r="O10" s="324">
        <v>45771</v>
      </c>
      <c r="P10" s="324"/>
      <c r="Q10" s="324">
        <v>45774</v>
      </c>
      <c r="R10" s="324">
        <v>45782</v>
      </c>
      <c r="S10" s="45">
        <f t="shared" si="0"/>
        <v>1</v>
      </c>
      <c r="T10" s="45" t="str">
        <f t="shared" si="1"/>
        <v/>
      </c>
      <c r="U10" s="45">
        <f t="shared" si="2"/>
        <v>1</v>
      </c>
      <c r="V10" s="45">
        <f t="shared" si="3"/>
        <v>5</v>
      </c>
      <c r="W10" s="133" t="s">
        <v>150</v>
      </c>
      <c r="X10" s="11" t="s">
        <v>50</v>
      </c>
      <c r="Y10" s="133">
        <v>20</v>
      </c>
      <c r="Z10" s="11" t="s">
        <v>57</v>
      </c>
      <c r="AA10" s="11" t="s">
        <v>57</v>
      </c>
      <c r="AB10" s="11" t="s">
        <v>1239</v>
      </c>
      <c r="AC10" s="133" t="s">
        <v>69</v>
      </c>
      <c r="AD10" s="96" t="s">
        <v>2694</v>
      </c>
      <c r="AE10" s="7"/>
      <c r="AF10" s="11"/>
      <c r="AG10" s="11"/>
    </row>
    <row r="11" spans="1:33" ht="30">
      <c r="A11" s="76" t="s">
        <v>776</v>
      </c>
      <c r="B11" s="338" t="s">
        <v>2695</v>
      </c>
      <c r="C11" s="339" t="s">
        <v>1023</v>
      </c>
      <c r="D11" s="76" t="s">
        <v>143</v>
      </c>
      <c r="E11" s="76">
        <v>14.93207583</v>
      </c>
      <c r="F11" s="340">
        <v>120.90776465</v>
      </c>
      <c r="G11" s="341" t="s">
        <v>2696</v>
      </c>
      <c r="H11" s="342">
        <v>44901</v>
      </c>
      <c r="I11" s="11" t="s">
        <v>76</v>
      </c>
      <c r="J11" s="11" t="s">
        <v>22</v>
      </c>
      <c r="K11" s="11"/>
      <c r="L11" s="338" t="s">
        <v>1982</v>
      </c>
      <c r="M11" s="323" t="s">
        <v>2697</v>
      </c>
      <c r="N11" s="324">
        <v>45770</v>
      </c>
      <c r="O11" s="324">
        <v>45771</v>
      </c>
      <c r="P11" s="324"/>
      <c r="Q11" s="324">
        <v>45774</v>
      </c>
      <c r="R11" s="324">
        <v>45782</v>
      </c>
      <c r="S11" s="45">
        <f t="shared" si="0"/>
        <v>1</v>
      </c>
      <c r="T11" s="45" t="str">
        <f t="shared" si="1"/>
        <v/>
      </c>
      <c r="U11" s="45">
        <f t="shared" si="2"/>
        <v>1</v>
      </c>
      <c r="V11" s="45">
        <f t="shared" si="3"/>
        <v>5</v>
      </c>
      <c r="W11" s="133" t="s">
        <v>150</v>
      </c>
      <c r="X11" s="11" t="s">
        <v>50</v>
      </c>
      <c r="Y11" s="133">
        <v>20</v>
      </c>
      <c r="Z11" s="11" t="s">
        <v>57</v>
      </c>
      <c r="AA11" s="11" t="s">
        <v>50</v>
      </c>
      <c r="AB11" s="11" t="s">
        <v>1239</v>
      </c>
      <c r="AC11" s="133"/>
      <c r="AD11" s="96" t="s">
        <v>2698</v>
      </c>
      <c r="AE11" s="7"/>
      <c r="AF11" s="11"/>
      <c r="AG11" s="11"/>
    </row>
    <row r="12" spans="1:33">
      <c r="A12" s="76" t="s">
        <v>776</v>
      </c>
      <c r="B12" s="338" t="s">
        <v>2699</v>
      </c>
      <c r="C12" s="339" t="s">
        <v>1023</v>
      </c>
      <c r="D12" s="76" t="s">
        <v>143</v>
      </c>
      <c r="E12" s="76">
        <v>14.955105379999999</v>
      </c>
      <c r="F12" s="340">
        <v>120.9455292</v>
      </c>
      <c r="G12" s="341" t="s">
        <v>2700</v>
      </c>
      <c r="H12" s="342">
        <v>44901</v>
      </c>
      <c r="I12" s="11" t="s">
        <v>76</v>
      </c>
      <c r="J12" s="11" t="s">
        <v>2271</v>
      </c>
      <c r="K12" s="11"/>
      <c r="L12" s="338" t="s">
        <v>1982</v>
      </c>
      <c r="M12" s="323" t="s">
        <v>2701</v>
      </c>
      <c r="N12" s="324">
        <v>45770</v>
      </c>
      <c r="O12" s="324">
        <v>45771</v>
      </c>
      <c r="P12" s="324"/>
      <c r="Q12" s="324">
        <v>45774</v>
      </c>
      <c r="R12" s="324">
        <v>45782</v>
      </c>
      <c r="S12" s="45">
        <f t="shared" si="0"/>
        <v>1</v>
      </c>
      <c r="T12" s="45" t="str">
        <f t="shared" si="1"/>
        <v/>
      </c>
      <c r="U12" s="45">
        <f t="shared" si="2"/>
        <v>1</v>
      </c>
      <c r="V12" s="45">
        <f t="shared" si="3"/>
        <v>5</v>
      </c>
      <c r="W12" s="133" t="s">
        <v>150</v>
      </c>
      <c r="X12" s="11" t="s">
        <v>50</v>
      </c>
      <c r="Y12" s="133">
        <v>18</v>
      </c>
      <c r="Z12" s="11" t="s">
        <v>57</v>
      </c>
      <c r="AA12" s="11" t="s">
        <v>57</v>
      </c>
      <c r="AB12" s="11" t="s">
        <v>1239</v>
      </c>
      <c r="AC12" s="133" t="s">
        <v>2702</v>
      </c>
      <c r="AD12" s="96" t="s">
        <v>2110</v>
      </c>
      <c r="AE12" s="7"/>
      <c r="AF12" s="11"/>
      <c r="AG12" s="11"/>
    </row>
    <row r="13" spans="1:33">
      <c r="A13" s="76" t="s">
        <v>776</v>
      </c>
      <c r="B13" s="338" t="s">
        <v>2703</v>
      </c>
      <c r="C13" s="339" t="s">
        <v>1028</v>
      </c>
      <c r="D13" s="76" t="s">
        <v>143</v>
      </c>
      <c r="E13" s="76">
        <v>14.920400539999999</v>
      </c>
      <c r="F13" s="340">
        <v>120.76576738</v>
      </c>
      <c r="G13" s="341" t="s">
        <v>2704</v>
      </c>
      <c r="H13" s="342">
        <v>44915</v>
      </c>
      <c r="I13" s="11" t="s">
        <v>74</v>
      </c>
      <c r="J13" s="11" t="s">
        <v>22</v>
      </c>
      <c r="K13" s="133" t="s">
        <v>328</v>
      </c>
      <c r="L13" s="338" t="s">
        <v>1982</v>
      </c>
      <c r="M13" s="323" t="s">
        <v>2705</v>
      </c>
      <c r="N13" s="324">
        <v>45709</v>
      </c>
      <c r="O13" s="324">
        <v>45712</v>
      </c>
      <c r="P13" s="324">
        <v>45712</v>
      </c>
      <c r="Q13" s="324">
        <v>45714</v>
      </c>
      <c r="R13" s="324">
        <v>45721</v>
      </c>
      <c r="S13" s="45">
        <f t="shared" si="0"/>
        <v>1</v>
      </c>
      <c r="T13" s="45">
        <f t="shared" si="1"/>
        <v>1</v>
      </c>
      <c r="U13" s="45">
        <f t="shared" si="2"/>
        <v>2</v>
      </c>
      <c r="V13" s="45">
        <f t="shared" si="3"/>
        <v>5</v>
      </c>
      <c r="W13" s="133" t="s">
        <v>150</v>
      </c>
      <c r="X13" s="11" t="s">
        <v>57</v>
      </c>
      <c r="Y13" s="133">
        <v>0</v>
      </c>
      <c r="Z13" s="11" t="s">
        <v>57</v>
      </c>
      <c r="AA13" s="11" t="s">
        <v>57</v>
      </c>
      <c r="AB13" s="11" t="s">
        <v>1239</v>
      </c>
      <c r="AC13" s="11" t="s">
        <v>69</v>
      </c>
      <c r="AD13" s="96" t="s">
        <v>2706</v>
      </c>
      <c r="AE13" s="7"/>
      <c r="AF13" s="11"/>
      <c r="AG13" s="11"/>
    </row>
    <row r="14" spans="1:33">
      <c r="A14" s="76" t="s">
        <v>776</v>
      </c>
      <c r="B14" s="338" t="s">
        <v>2707</v>
      </c>
      <c r="C14" s="339" t="s">
        <v>1028</v>
      </c>
      <c r="D14" s="76" t="s">
        <v>143</v>
      </c>
      <c r="E14" s="76">
        <v>14.88334764</v>
      </c>
      <c r="F14" s="340">
        <v>120.73005412000001</v>
      </c>
      <c r="G14" s="341" t="s">
        <v>2708</v>
      </c>
      <c r="H14" s="342">
        <v>44915</v>
      </c>
      <c r="I14" s="11" t="s">
        <v>74</v>
      </c>
      <c r="J14" s="11" t="s">
        <v>22</v>
      </c>
      <c r="K14" s="133" t="s">
        <v>328</v>
      </c>
      <c r="L14" s="338" t="s">
        <v>1982</v>
      </c>
      <c r="M14" s="323" t="s">
        <v>2709</v>
      </c>
      <c r="N14" s="324">
        <v>45709</v>
      </c>
      <c r="O14" s="324">
        <v>45712</v>
      </c>
      <c r="P14" s="324">
        <v>45719</v>
      </c>
      <c r="Q14" s="324">
        <v>45719</v>
      </c>
      <c r="R14" s="324">
        <v>45721</v>
      </c>
      <c r="S14" s="45">
        <f t="shared" si="0"/>
        <v>1</v>
      </c>
      <c r="T14" s="45">
        <f t="shared" si="1"/>
        <v>5</v>
      </c>
      <c r="U14" s="45">
        <f t="shared" si="2"/>
        <v>5</v>
      </c>
      <c r="V14" s="45">
        <f t="shared" si="3"/>
        <v>2</v>
      </c>
      <c r="W14" s="133" t="s">
        <v>150</v>
      </c>
      <c r="X14" s="11" t="s">
        <v>50</v>
      </c>
      <c r="Y14" s="133">
        <v>15</v>
      </c>
      <c r="Z14" s="11" t="s">
        <v>57</v>
      </c>
      <c r="AA14" s="11" t="s">
        <v>57</v>
      </c>
      <c r="AB14" s="11">
        <v>500</v>
      </c>
      <c r="AC14" s="11" t="s">
        <v>69</v>
      </c>
      <c r="AD14" s="96" t="s">
        <v>2706</v>
      </c>
      <c r="AE14" s="7"/>
      <c r="AF14" s="11"/>
      <c r="AG14" s="11"/>
    </row>
    <row r="15" spans="1:33">
      <c r="A15" s="76" t="s">
        <v>776</v>
      </c>
      <c r="B15" s="338" t="s">
        <v>2707</v>
      </c>
      <c r="C15" s="339" t="s">
        <v>1028</v>
      </c>
      <c r="D15" s="76" t="s">
        <v>143</v>
      </c>
      <c r="E15" s="76">
        <v>14.88334764</v>
      </c>
      <c r="F15" s="340">
        <v>120.73005412000001</v>
      </c>
      <c r="G15" s="341" t="s">
        <v>2708</v>
      </c>
      <c r="H15" s="342">
        <v>44915</v>
      </c>
      <c r="I15" s="11" t="s">
        <v>74</v>
      </c>
      <c r="J15" s="11" t="s">
        <v>22</v>
      </c>
      <c r="K15" s="133" t="s">
        <v>328</v>
      </c>
      <c r="L15" s="338" t="s">
        <v>1982</v>
      </c>
      <c r="M15" s="323" t="s">
        <v>2710</v>
      </c>
      <c r="N15" s="324">
        <v>45709</v>
      </c>
      <c r="O15" s="324">
        <v>45712</v>
      </c>
      <c r="P15" s="324">
        <v>45719</v>
      </c>
      <c r="Q15" s="324">
        <v>45719</v>
      </c>
      <c r="R15" s="324">
        <v>45721</v>
      </c>
      <c r="S15" s="45">
        <f t="shared" si="0"/>
        <v>1</v>
      </c>
      <c r="T15" s="45">
        <f t="shared" si="1"/>
        <v>5</v>
      </c>
      <c r="U15" s="45">
        <f t="shared" si="2"/>
        <v>5</v>
      </c>
      <c r="V15" s="45">
        <f t="shared" si="3"/>
        <v>2</v>
      </c>
      <c r="W15" s="133" t="s">
        <v>150</v>
      </c>
      <c r="X15" s="11" t="s">
        <v>50</v>
      </c>
      <c r="Y15" s="133">
        <v>15</v>
      </c>
      <c r="Z15" s="11" t="s">
        <v>57</v>
      </c>
      <c r="AA15" s="11" t="s">
        <v>57</v>
      </c>
      <c r="AB15" s="133">
        <v>500</v>
      </c>
      <c r="AC15" s="11" t="s">
        <v>69</v>
      </c>
      <c r="AD15" s="96" t="s">
        <v>2706</v>
      </c>
      <c r="AE15" s="7"/>
      <c r="AF15" s="11"/>
      <c r="AG15" s="11"/>
    </row>
    <row r="16" spans="1:33">
      <c r="A16" s="76" t="s">
        <v>776</v>
      </c>
      <c r="B16" s="338" t="s">
        <v>2711</v>
      </c>
      <c r="C16" s="339" t="s">
        <v>1028</v>
      </c>
      <c r="D16" s="76" t="s">
        <v>143</v>
      </c>
      <c r="E16" s="76">
        <v>14.904821999999999</v>
      </c>
      <c r="F16" s="340">
        <v>120.775499</v>
      </c>
      <c r="G16" s="341" t="s">
        <v>2712</v>
      </c>
      <c r="H16" s="342">
        <v>44915</v>
      </c>
      <c r="I16" s="11" t="s">
        <v>74</v>
      </c>
      <c r="J16" s="11" t="s">
        <v>22</v>
      </c>
      <c r="K16" s="133" t="s">
        <v>328</v>
      </c>
      <c r="L16" s="338" t="s">
        <v>1982</v>
      </c>
      <c r="M16" s="323" t="s">
        <v>2713</v>
      </c>
      <c r="N16" s="324">
        <v>45709</v>
      </c>
      <c r="O16" s="324">
        <v>45712</v>
      </c>
      <c r="P16" s="324">
        <v>45719</v>
      </c>
      <c r="Q16" s="324">
        <v>45719</v>
      </c>
      <c r="R16" s="324">
        <v>45721</v>
      </c>
      <c r="S16" s="45">
        <f t="shared" si="0"/>
        <v>1</v>
      </c>
      <c r="T16" s="45">
        <f t="shared" si="1"/>
        <v>5</v>
      </c>
      <c r="U16" s="45">
        <f t="shared" si="2"/>
        <v>5</v>
      </c>
      <c r="V16" s="45">
        <f t="shared" si="3"/>
        <v>2</v>
      </c>
      <c r="W16" s="133" t="s">
        <v>150</v>
      </c>
      <c r="X16" s="11" t="s">
        <v>50</v>
      </c>
      <c r="Y16" s="133">
        <v>46</v>
      </c>
      <c r="Z16" s="11" t="s">
        <v>50</v>
      </c>
      <c r="AA16" s="11" t="s">
        <v>57</v>
      </c>
      <c r="AB16" s="133">
        <v>600</v>
      </c>
      <c r="AC16" s="11" t="s">
        <v>69</v>
      </c>
      <c r="AD16" s="96" t="s">
        <v>2706</v>
      </c>
      <c r="AE16" s="7"/>
      <c r="AF16" s="11"/>
      <c r="AG16" s="11"/>
    </row>
    <row r="17" spans="1:33">
      <c r="A17" s="76" t="s">
        <v>776</v>
      </c>
      <c r="B17" s="338" t="s">
        <v>2711</v>
      </c>
      <c r="C17" s="339" t="s">
        <v>1028</v>
      </c>
      <c r="D17" s="76" t="s">
        <v>143</v>
      </c>
      <c r="E17" s="76">
        <v>14.904821999999999</v>
      </c>
      <c r="F17" s="340">
        <v>120.775499</v>
      </c>
      <c r="G17" s="341" t="s">
        <v>2712</v>
      </c>
      <c r="H17" s="342">
        <v>44915</v>
      </c>
      <c r="I17" s="11" t="s">
        <v>74</v>
      </c>
      <c r="J17" s="11" t="s">
        <v>22</v>
      </c>
      <c r="K17" s="133" t="s">
        <v>328</v>
      </c>
      <c r="L17" s="338" t="s">
        <v>1982</v>
      </c>
      <c r="M17" s="323" t="s">
        <v>2714</v>
      </c>
      <c r="N17" s="324">
        <v>45709</v>
      </c>
      <c r="O17" s="324">
        <v>45712</v>
      </c>
      <c r="P17" s="324">
        <v>45719</v>
      </c>
      <c r="Q17" s="324">
        <v>45719</v>
      </c>
      <c r="R17" s="324">
        <v>45721</v>
      </c>
      <c r="S17" s="45">
        <f t="shared" si="0"/>
        <v>1</v>
      </c>
      <c r="T17" s="45">
        <f t="shared" si="1"/>
        <v>5</v>
      </c>
      <c r="U17" s="45">
        <f t="shared" si="2"/>
        <v>5</v>
      </c>
      <c r="V17" s="45">
        <f t="shared" si="3"/>
        <v>2</v>
      </c>
      <c r="W17" s="133" t="s">
        <v>150</v>
      </c>
      <c r="X17" s="11" t="s">
        <v>50</v>
      </c>
      <c r="Y17" s="133">
        <v>46</v>
      </c>
      <c r="Z17" s="11" t="s">
        <v>50</v>
      </c>
      <c r="AA17" s="11" t="s">
        <v>57</v>
      </c>
      <c r="AB17" s="11">
        <v>600</v>
      </c>
      <c r="AC17" s="11" t="s">
        <v>69</v>
      </c>
      <c r="AD17" s="96" t="s">
        <v>2706</v>
      </c>
      <c r="AE17" s="7"/>
      <c r="AF17" s="11"/>
      <c r="AG17" s="11"/>
    </row>
    <row r="18" spans="1:33">
      <c r="A18" s="76" t="s">
        <v>776</v>
      </c>
      <c r="B18" s="338" t="s">
        <v>2715</v>
      </c>
      <c r="C18" s="339" t="s">
        <v>1055</v>
      </c>
      <c r="D18" s="76" t="s">
        <v>143</v>
      </c>
      <c r="E18" s="76">
        <v>14.839764000000001</v>
      </c>
      <c r="F18" s="340">
        <v>120.880842</v>
      </c>
      <c r="G18" s="341" t="s">
        <v>2716</v>
      </c>
      <c r="H18" s="342">
        <v>44915</v>
      </c>
      <c r="I18" s="11" t="s">
        <v>73</v>
      </c>
      <c r="J18" s="11" t="s">
        <v>2271</v>
      </c>
      <c r="K18" s="11" t="s">
        <v>328</v>
      </c>
      <c r="L18" s="338" t="s">
        <v>1982</v>
      </c>
      <c r="M18" s="323" t="s">
        <v>2717</v>
      </c>
      <c r="N18" s="324">
        <v>45678</v>
      </c>
      <c r="O18" s="324">
        <v>45683</v>
      </c>
      <c r="P18" s="324">
        <v>45684</v>
      </c>
      <c r="Q18" s="324">
        <v>45685</v>
      </c>
      <c r="R18" s="324">
        <v>45687</v>
      </c>
      <c r="S18" s="45">
        <f t="shared" si="0"/>
        <v>3</v>
      </c>
      <c r="T18" s="45">
        <f t="shared" si="1"/>
        <v>1</v>
      </c>
      <c r="U18" s="45">
        <f t="shared" si="2"/>
        <v>1</v>
      </c>
      <c r="V18" s="45">
        <f t="shared" si="3"/>
        <v>2</v>
      </c>
      <c r="W18" s="133" t="s">
        <v>150</v>
      </c>
      <c r="X18" s="11" t="s">
        <v>50</v>
      </c>
      <c r="Y18" s="133">
        <v>14</v>
      </c>
      <c r="Z18" s="11" t="s">
        <v>57</v>
      </c>
      <c r="AA18" s="11" t="s">
        <v>57</v>
      </c>
      <c r="AB18" s="11">
        <v>25</v>
      </c>
      <c r="AC18" s="133" t="s">
        <v>69</v>
      </c>
      <c r="AD18" s="96" t="s">
        <v>2110</v>
      </c>
      <c r="AE18" s="7"/>
      <c r="AF18" s="11"/>
      <c r="AG18" s="11"/>
    </row>
    <row r="19" spans="1:33">
      <c r="A19" s="76" t="s">
        <v>776</v>
      </c>
      <c r="B19" s="338" t="s">
        <v>2715</v>
      </c>
      <c r="C19" s="339" t="s">
        <v>1055</v>
      </c>
      <c r="D19" s="76" t="s">
        <v>143</v>
      </c>
      <c r="E19" s="76">
        <v>14.839764000000001</v>
      </c>
      <c r="F19" s="340">
        <v>120.880842</v>
      </c>
      <c r="G19" s="341" t="s">
        <v>2716</v>
      </c>
      <c r="H19" s="342">
        <v>44915</v>
      </c>
      <c r="I19" s="11" t="s">
        <v>73</v>
      </c>
      <c r="J19" s="11" t="s">
        <v>2271</v>
      </c>
      <c r="K19" s="11" t="s">
        <v>328</v>
      </c>
      <c r="L19" s="338" t="s">
        <v>1982</v>
      </c>
      <c r="M19" s="323" t="s">
        <v>2718</v>
      </c>
      <c r="N19" s="324">
        <v>45678</v>
      </c>
      <c r="O19" s="324">
        <v>45683</v>
      </c>
      <c r="P19" s="324">
        <v>45684</v>
      </c>
      <c r="Q19" s="324">
        <v>45685</v>
      </c>
      <c r="R19" s="324">
        <v>45687</v>
      </c>
      <c r="S19" s="45">
        <f t="shared" si="0"/>
        <v>3</v>
      </c>
      <c r="T19" s="45">
        <f t="shared" si="1"/>
        <v>1</v>
      </c>
      <c r="U19" s="45">
        <f t="shared" si="2"/>
        <v>1</v>
      </c>
      <c r="V19" s="45">
        <f t="shared" si="3"/>
        <v>2</v>
      </c>
      <c r="W19" s="133" t="s">
        <v>150</v>
      </c>
      <c r="X19" s="11" t="s">
        <v>50</v>
      </c>
      <c r="Y19" s="133">
        <v>14</v>
      </c>
      <c r="Z19" s="11" t="s">
        <v>57</v>
      </c>
      <c r="AA19" s="11" t="s">
        <v>57</v>
      </c>
      <c r="AB19" s="11">
        <v>25</v>
      </c>
      <c r="AC19" s="133" t="s">
        <v>69</v>
      </c>
      <c r="AD19" s="96" t="s">
        <v>2110</v>
      </c>
      <c r="AE19" s="7"/>
      <c r="AF19" s="11"/>
      <c r="AG19" s="11"/>
    </row>
    <row r="20" spans="1:33">
      <c r="A20" s="76" t="s">
        <v>776</v>
      </c>
      <c r="B20" s="338" t="s">
        <v>2719</v>
      </c>
      <c r="C20" s="339" t="s">
        <v>1055</v>
      </c>
      <c r="D20" s="76" t="s">
        <v>143</v>
      </c>
      <c r="E20" s="76">
        <v>14.828137</v>
      </c>
      <c r="F20" s="340">
        <v>120.876667</v>
      </c>
      <c r="G20" s="341" t="s">
        <v>2720</v>
      </c>
      <c r="H20" s="342">
        <v>44915</v>
      </c>
      <c r="I20" s="11" t="s">
        <v>73</v>
      </c>
      <c r="J20" s="11" t="s">
        <v>2271</v>
      </c>
      <c r="K20" s="11" t="s">
        <v>328</v>
      </c>
      <c r="L20" s="338" t="s">
        <v>1982</v>
      </c>
      <c r="M20" s="323" t="s">
        <v>2721</v>
      </c>
      <c r="N20" s="324">
        <v>45678</v>
      </c>
      <c r="O20" s="324">
        <v>45680</v>
      </c>
      <c r="P20" s="324">
        <v>45683</v>
      </c>
      <c r="Q20" s="324">
        <v>45685</v>
      </c>
      <c r="R20" s="324">
        <v>45687</v>
      </c>
      <c r="S20" s="45">
        <f t="shared" si="0"/>
        <v>2</v>
      </c>
      <c r="T20" s="45">
        <f t="shared" si="1"/>
        <v>1</v>
      </c>
      <c r="U20" s="45">
        <f t="shared" si="2"/>
        <v>3</v>
      </c>
      <c r="V20" s="45">
        <f t="shared" si="3"/>
        <v>2</v>
      </c>
      <c r="W20" s="133" t="s">
        <v>150</v>
      </c>
      <c r="X20" s="11" t="s">
        <v>50</v>
      </c>
      <c r="Y20" s="133">
        <v>24</v>
      </c>
      <c r="Z20" s="11" t="s">
        <v>57</v>
      </c>
      <c r="AA20" s="11" t="s">
        <v>57</v>
      </c>
      <c r="AB20" s="11">
        <v>100</v>
      </c>
      <c r="AC20" s="133" t="s">
        <v>2722</v>
      </c>
      <c r="AD20" s="96" t="s">
        <v>2110</v>
      </c>
      <c r="AE20" s="7"/>
      <c r="AF20" s="11"/>
      <c r="AG20" s="11"/>
    </row>
    <row r="21" spans="1:33">
      <c r="A21" s="76" t="s">
        <v>776</v>
      </c>
      <c r="B21" s="338" t="s">
        <v>2719</v>
      </c>
      <c r="C21" s="339" t="s">
        <v>1055</v>
      </c>
      <c r="D21" s="76" t="s">
        <v>143</v>
      </c>
      <c r="E21" s="76">
        <v>14.828137</v>
      </c>
      <c r="F21" s="340">
        <v>120.876667</v>
      </c>
      <c r="G21" s="341" t="s">
        <v>2720</v>
      </c>
      <c r="H21" s="342">
        <v>44915</v>
      </c>
      <c r="I21" s="11" t="s">
        <v>73</v>
      </c>
      <c r="J21" s="11" t="s">
        <v>2271</v>
      </c>
      <c r="K21" s="11" t="s">
        <v>328</v>
      </c>
      <c r="L21" s="338" t="s">
        <v>1982</v>
      </c>
      <c r="M21" s="323" t="s">
        <v>2723</v>
      </c>
      <c r="N21" s="324">
        <v>45678</v>
      </c>
      <c r="O21" s="324">
        <v>45680</v>
      </c>
      <c r="P21" s="324">
        <v>45683</v>
      </c>
      <c r="Q21" s="324">
        <v>45685</v>
      </c>
      <c r="R21" s="324">
        <v>45687</v>
      </c>
      <c r="S21" s="45">
        <f t="shared" si="0"/>
        <v>2</v>
      </c>
      <c r="T21" s="45">
        <f t="shared" si="1"/>
        <v>1</v>
      </c>
      <c r="U21" s="45">
        <f t="shared" si="2"/>
        <v>3</v>
      </c>
      <c r="V21" s="45">
        <f t="shared" si="3"/>
        <v>2</v>
      </c>
      <c r="W21" s="133" t="s">
        <v>150</v>
      </c>
      <c r="X21" s="11" t="s">
        <v>50</v>
      </c>
      <c r="Y21" s="133">
        <v>24</v>
      </c>
      <c r="Z21" s="11" t="s">
        <v>57</v>
      </c>
      <c r="AA21" s="11" t="s">
        <v>57</v>
      </c>
      <c r="AB21" s="11">
        <v>100</v>
      </c>
      <c r="AC21" s="133" t="s">
        <v>2722</v>
      </c>
      <c r="AD21" s="96" t="s">
        <v>2110</v>
      </c>
      <c r="AE21" s="7"/>
      <c r="AF21" s="11"/>
      <c r="AG21" s="11"/>
    </row>
    <row r="22" spans="1:33">
      <c r="A22" s="76" t="s">
        <v>776</v>
      </c>
      <c r="B22" s="338" t="s">
        <v>2724</v>
      </c>
      <c r="C22" s="339" t="s">
        <v>1055</v>
      </c>
      <c r="D22" s="76" t="s">
        <v>143</v>
      </c>
      <c r="E22" s="76">
        <v>14.8484976</v>
      </c>
      <c r="F22" s="340">
        <v>120.8577106</v>
      </c>
      <c r="G22" s="341" t="s">
        <v>2725</v>
      </c>
      <c r="H22" s="342">
        <v>44915</v>
      </c>
      <c r="I22" s="11" t="s">
        <v>73</v>
      </c>
      <c r="J22" s="11" t="s">
        <v>2271</v>
      </c>
      <c r="K22" s="11" t="s">
        <v>328</v>
      </c>
      <c r="L22" s="338" t="s">
        <v>1982</v>
      </c>
      <c r="M22" s="323" t="s">
        <v>2726</v>
      </c>
      <c r="N22" s="324">
        <v>45678</v>
      </c>
      <c r="O22" s="324">
        <v>45683</v>
      </c>
      <c r="P22" s="324">
        <v>45684</v>
      </c>
      <c r="Q22" s="324">
        <v>45684</v>
      </c>
      <c r="R22" s="324">
        <v>45685</v>
      </c>
      <c r="S22" s="45">
        <f t="shared" si="0"/>
        <v>3</v>
      </c>
      <c r="T22" s="45">
        <f t="shared" si="1"/>
        <v>1</v>
      </c>
      <c r="U22" s="45">
        <f t="shared" si="2"/>
        <v>1</v>
      </c>
      <c r="V22" s="45">
        <f t="shared" si="3"/>
        <v>1</v>
      </c>
      <c r="W22" s="133" t="s">
        <v>150</v>
      </c>
      <c r="X22" s="11" t="s">
        <v>50</v>
      </c>
      <c r="Y22" s="133">
        <v>10</v>
      </c>
      <c r="Z22" s="11" t="s">
        <v>57</v>
      </c>
      <c r="AA22" s="11" t="s">
        <v>57</v>
      </c>
      <c r="AB22" s="11">
        <v>180</v>
      </c>
      <c r="AC22" s="133" t="s">
        <v>69</v>
      </c>
      <c r="AD22" s="96" t="s">
        <v>2110</v>
      </c>
      <c r="AE22" s="7"/>
      <c r="AF22" s="11"/>
      <c r="AG22" s="11"/>
    </row>
    <row r="23" spans="1:33">
      <c r="A23" s="76" t="s">
        <v>776</v>
      </c>
      <c r="B23" s="338" t="s">
        <v>2724</v>
      </c>
      <c r="C23" s="339" t="s">
        <v>1055</v>
      </c>
      <c r="D23" s="76" t="s">
        <v>143</v>
      </c>
      <c r="E23" s="76">
        <v>14.851296</v>
      </c>
      <c r="F23" s="340">
        <v>120.85972599999999</v>
      </c>
      <c r="G23" s="341" t="s">
        <v>2727</v>
      </c>
      <c r="H23" s="342">
        <v>44915</v>
      </c>
      <c r="I23" s="11" t="s">
        <v>73</v>
      </c>
      <c r="J23" s="11" t="s">
        <v>2271</v>
      </c>
      <c r="K23" s="11" t="s">
        <v>328</v>
      </c>
      <c r="L23" s="338" t="s">
        <v>1982</v>
      </c>
      <c r="M23" s="323" t="s">
        <v>2728</v>
      </c>
      <c r="N23" s="324">
        <v>45678</v>
      </c>
      <c r="O23" s="324">
        <v>45683</v>
      </c>
      <c r="P23" s="324">
        <v>45684</v>
      </c>
      <c r="Q23" s="324">
        <v>45684</v>
      </c>
      <c r="R23" s="324">
        <v>45685</v>
      </c>
      <c r="S23" s="45">
        <f t="shared" si="0"/>
        <v>3</v>
      </c>
      <c r="T23" s="45">
        <f t="shared" si="1"/>
        <v>1</v>
      </c>
      <c r="U23" s="45">
        <f t="shared" si="2"/>
        <v>1</v>
      </c>
      <c r="V23" s="45">
        <f t="shared" si="3"/>
        <v>1</v>
      </c>
      <c r="W23" s="133" t="s">
        <v>150</v>
      </c>
      <c r="X23" s="11" t="s">
        <v>50</v>
      </c>
      <c r="Y23" s="133">
        <v>9</v>
      </c>
      <c r="Z23" s="11" t="s">
        <v>57</v>
      </c>
      <c r="AA23" s="11" t="s">
        <v>57</v>
      </c>
      <c r="AB23" s="11">
        <v>180</v>
      </c>
      <c r="AC23" s="133" t="s">
        <v>69</v>
      </c>
      <c r="AD23" s="96" t="s">
        <v>2110</v>
      </c>
      <c r="AE23" s="7"/>
      <c r="AF23" s="11"/>
      <c r="AG23" s="11"/>
    </row>
    <row r="24" spans="1:33">
      <c r="A24" s="76" t="s">
        <v>776</v>
      </c>
      <c r="B24" s="338" t="s">
        <v>2729</v>
      </c>
      <c r="C24" s="339" t="s">
        <v>1055</v>
      </c>
      <c r="D24" s="76" t="s">
        <v>143</v>
      </c>
      <c r="E24" s="76">
        <v>14.8358337</v>
      </c>
      <c r="F24" s="340">
        <v>120.8629526</v>
      </c>
      <c r="G24" s="341" t="s">
        <v>2730</v>
      </c>
      <c r="H24" s="342">
        <v>44915</v>
      </c>
      <c r="I24" s="11" t="s">
        <v>75</v>
      </c>
      <c r="J24" s="11" t="s">
        <v>2271</v>
      </c>
      <c r="K24" s="11" t="s">
        <v>328</v>
      </c>
      <c r="L24" s="338" t="s">
        <v>1982</v>
      </c>
      <c r="M24" s="323" t="s">
        <v>2731</v>
      </c>
      <c r="N24" s="324">
        <v>45737</v>
      </c>
      <c r="O24" s="324">
        <v>45738</v>
      </c>
      <c r="P24" s="324">
        <v>45742</v>
      </c>
      <c r="Q24" s="324">
        <v>45742</v>
      </c>
      <c r="R24" s="324">
        <v>45742</v>
      </c>
      <c r="S24" s="45">
        <f t="shared" si="0"/>
        <v>1</v>
      </c>
      <c r="T24" s="45">
        <f t="shared" si="1"/>
        <v>2</v>
      </c>
      <c r="U24" s="45">
        <f t="shared" si="2"/>
        <v>2</v>
      </c>
      <c r="V24" s="45">
        <f t="shared" si="3"/>
        <v>1</v>
      </c>
      <c r="W24" s="133" t="s">
        <v>150</v>
      </c>
      <c r="X24" s="11" t="s">
        <v>57</v>
      </c>
      <c r="Y24" s="133">
        <v>6</v>
      </c>
      <c r="Z24" s="11" t="s">
        <v>57</v>
      </c>
      <c r="AA24" s="11" t="s">
        <v>57</v>
      </c>
      <c r="AB24" s="11">
        <v>10</v>
      </c>
      <c r="AC24" s="133"/>
      <c r="AD24" s="96"/>
      <c r="AE24" s="7"/>
      <c r="AF24" s="11"/>
      <c r="AG24" s="11"/>
    </row>
    <row r="25" spans="1:33" ht="30">
      <c r="A25" s="76" t="s">
        <v>776</v>
      </c>
      <c r="B25" s="338" t="s">
        <v>2732</v>
      </c>
      <c r="C25" s="339" t="s">
        <v>1063</v>
      </c>
      <c r="D25" s="76" t="s">
        <v>143</v>
      </c>
      <c r="E25" s="76">
        <v>14.867587</v>
      </c>
      <c r="F25" s="340">
        <v>120.767043</v>
      </c>
      <c r="G25" s="341" t="s">
        <v>2733</v>
      </c>
      <c r="H25" s="342">
        <v>44915</v>
      </c>
      <c r="I25" s="11" t="s">
        <v>75</v>
      </c>
      <c r="J25" s="11" t="s">
        <v>2261</v>
      </c>
      <c r="K25" s="11" t="s">
        <v>328</v>
      </c>
      <c r="L25" s="338" t="s">
        <v>1982</v>
      </c>
      <c r="M25" s="323" t="s">
        <v>2734</v>
      </c>
      <c r="N25" s="324">
        <v>45735</v>
      </c>
      <c r="O25" s="324">
        <v>45738</v>
      </c>
      <c r="P25" s="324">
        <v>45742</v>
      </c>
      <c r="Q25" s="324">
        <v>45742</v>
      </c>
      <c r="R25" s="324">
        <v>45743</v>
      </c>
      <c r="S25" s="45">
        <f t="shared" si="0"/>
        <v>2</v>
      </c>
      <c r="T25" s="45">
        <f t="shared" si="1"/>
        <v>2</v>
      </c>
      <c r="U25" s="45">
        <f t="shared" si="2"/>
        <v>2</v>
      </c>
      <c r="V25" s="45">
        <f t="shared" si="3"/>
        <v>1</v>
      </c>
      <c r="W25" s="133" t="s">
        <v>150</v>
      </c>
      <c r="X25" s="11" t="s">
        <v>50</v>
      </c>
      <c r="Y25" s="133">
        <v>43</v>
      </c>
      <c r="Z25" s="11" t="s">
        <v>57</v>
      </c>
      <c r="AA25" s="11" t="s">
        <v>57</v>
      </c>
      <c r="AB25" s="11">
        <v>2000</v>
      </c>
      <c r="AC25" s="133" t="s">
        <v>69</v>
      </c>
      <c r="AD25" s="96" t="s">
        <v>2735</v>
      </c>
      <c r="AE25" s="7"/>
      <c r="AF25" s="11"/>
      <c r="AG25" s="11"/>
    </row>
    <row r="26" spans="1:33" ht="30">
      <c r="A26" s="76" t="s">
        <v>776</v>
      </c>
      <c r="B26" s="338" t="s">
        <v>2732</v>
      </c>
      <c r="C26" s="339" t="s">
        <v>1063</v>
      </c>
      <c r="D26" s="76" t="s">
        <v>143</v>
      </c>
      <c r="E26" s="76">
        <v>14.867587</v>
      </c>
      <c r="F26" s="340">
        <v>120.767043</v>
      </c>
      <c r="G26" s="341" t="s">
        <v>2733</v>
      </c>
      <c r="H26" s="342">
        <v>44915</v>
      </c>
      <c r="I26" s="11" t="s">
        <v>75</v>
      </c>
      <c r="J26" s="11" t="s">
        <v>2261</v>
      </c>
      <c r="K26" s="11" t="s">
        <v>328</v>
      </c>
      <c r="L26" s="338" t="s">
        <v>1982</v>
      </c>
      <c r="M26" s="323" t="s">
        <v>2736</v>
      </c>
      <c r="N26" s="324">
        <v>45735</v>
      </c>
      <c r="O26" s="324">
        <v>45738</v>
      </c>
      <c r="P26" s="324">
        <v>45742</v>
      </c>
      <c r="Q26" s="324">
        <v>45742</v>
      </c>
      <c r="R26" s="324">
        <v>45743</v>
      </c>
      <c r="S26" s="45">
        <f t="shared" si="0"/>
        <v>2</v>
      </c>
      <c r="T26" s="45">
        <f t="shared" si="1"/>
        <v>2</v>
      </c>
      <c r="U26" s="45">
        <f t="shared" si="2"/>
        <v>2</v>
      </c>
      <c r="V26" s="45">
        <f t="shared" si="3"/>
        <v>1</v>
      </c>
      <c r="W26" s="133" t="s">
        <v>150</v>
      </c>
      <c r="X26" s="11" t="s">
        <v>50</v>
      </c>
      <c r="Y26" s="133">
        <v>43</v>
      </c>
      <c r="Z26" s="11" t="s">
        <v>57</v>
      </c>
      <c r="AA26" s="11" t="s">
        <v>57</v>
      </c>
      <c r="AB26" s="11">
        <v>2000</v>
      </c>
      <c r="AC26" s="133" t="s">
        <v>69</v>
      </c>
      <c r="AD26" s="96" t="s">
        <v>2735</v>
      </c>
      <c r="AE26" s="7"/>
      <c r="AF26" s="11"/>
      <c r="AG26" s="11"/>
    </row>
    <row r="27" spans="1:33" ht="60">
      <c r="A27" s="76" t="s">
        <v>776</v>
      </c>
      <c r="B27" s="338" t="s">
        <v>2737</v>
      </c>
      <c r="C27" s="339" t="s">
        <v>1063</v>
      </c>
      <c r="D27" s="76" t="s">
        <v>143</v>
      </c>
      <c r="E27" s="76">
        <v>14.8232</v>
      </c>
      <c r="F27" s="340">
        <v>120.7257</v>
      </c>
      <c r="G27" s="341" t="s">
        <v>2738</v>
      </c>
      <c r="H27" s="342">
        <v>44915</v>
      </c>
      <c r="I27" s="11" t="s">
        <v>75</v>
      </c>
      <c r="J27" s="11" t="s">
        <v>2261</v>
      </c>
      <c r="K27" s="11" t="s">
        <v>328</v>
      </c>
      <c r="L27" s="338" t="s">
        <v>1982</v>
      </c>
      <c r="M27" s="323" t="s">
        <v>2739</v>
      </c>
      <c r="N27" s="324">
        <v>45735</v>
      </c>
      <c r="O27" s="324">
        <v>45738</v>
      </c>
      <c r="P27" s="324">
        <v>45742</v>
      </c>
      <c r="Q27" s="324">
        <v>45742</v>
      </c>
      <c r="R27" s="324">
        <v>45743</v>
      </c>
      <c r="S27" s="45">
        <f t="shared" si="0"/>
        <v>2</v>
      </c>
      <c r="T27" s="45">
        <f t="shared" si="1"/>
        <v>2</v>
      </c>
      <c r="U27" s="45">
        <f t="shared" si="2"/>
        <v>2</v>
      </c>
      <c r="V27" s="45">
        <f t="shared" si="3"/>
        <v>1</v>
      </c>
      <c r="W27" s="133" t="s">
        <v>150</v>
      </c>
      <c r="X27" s="11" t="s">
        <v>50</v>
      </c>
      <c r="Y27" s="133">
        <v>12</v>
      </c>
      <c r="Z27" s="11" t="s">
        <v>57</v>
      </c>
      <c r="AA27" s="11" t="s">
        <v>57</v>
      </c>
      <c r="AB27" s="11">
        <v>150</v>
      </c>
      <c r="AC27" s="133" t="s">
        <v>69</v>
      </c>
      <c r="AD27" s="96" t="s">
        <v>2740</v>
      </c>
      <c r="AE27" s="7"/>
      <c r="AF27" s="11"/>
      <c r="AG27" s="11"/>
    </row>
    <row r="28" spans="1:33">
      <c r="A28" s="76" t="s">
        <v>776</v>
      </c>
      <c r="B28" s="338" t="s">
        <v>2741</v>
      </c>
      <c r="C28" s="339" t="s">
        <v>1067</v>
      </c>
      <c r="D28" s="76" t="s">
        <v>143</v>
      </c>
      <c r="E28" s="76">
        <v>14.846394</v>
      </c>
      <c r="F28" s="340">
        <v>120.798666</v>
      </c>
      <c r="G28" s="341" t="s">
        <v>2742</v>
      </c>
      <c r="H28" s="342">
        <v>44901</v>
      </c>
      <c r="I28" s="11" t="s">
        <v>74</v>
      </c>
      <c r="J28" s="11" t="s">
        <v>22</v>
      </c>
      <c r="K28" s="133" t="s">
        <v>328</v>
      </c>
      <c r="L28" s="338" t="s">
        <v>1982</v>
      </c>
      <c r="M28" s="323" t="s">
        <v>2743</v>
      </c>
      <c r="N28" s="324">
        <v>45708</v>
      </c>
      <c r="O28" s="324">
        <v>45719</v>
      </c>
      <c r="P28" s="324">
        <v>45719</v>
      </c>
      <c r="Q28" s="324">
        <v>45719</v>
      </c>
      <c r="R28" s="324">
        <v>45721</v>
      </c>
      <c r="S28" s="45">
        <f t="shared" si="0"/>
        <v>7</v>
      </c>
      <c r="T28" s="45">
        <f t="shared" si="1"/>
        <v>1</v>
      </c>
      <c r="U28" s="45">
        <f t="shared" si="2"/>
        <v>1</v>
      </c>
      <c r="V28" s="45">
        <f t="shared" si="3"/>
        <v>2</v>
      </c>
      <c r="W28" s="133" t="s">
        <v>150</v>
      </c>
      <c r="X28" s="11" t="s">
        <v>50</v>
      </c>
      <c r="Y28" s="133">
        <v>19</v>
      </c>
      <c r="Z28" s="11" t="s">
        <v>50</v>
      </c>
      <c r="AA28" s="11" t="s">
        <v>57</v>
      </c>
      <c r="AB28" s="11" t="s">
        <v>1239</v>
      </c>
      <c r="AC28" s="11" t="s">
        <v>69</v>
      </c>
      <c r="AD28" s="7"/>
      <c r="AE28" s="7"/>
      <c r="AF28" s="11"/>
      <c r="AG28" s="11"/>
    </row>
    <row r="29" spans="1:33" ht="105">
      <c r="A29" s="76" t="s">
        <v>776</v>
      </c>
      <c r="B29" s="338" t="s">
        <v>2744</v>
      </c>
      <c r="C29" s="339" t="s">
        <v>1067</v>
      </c>
      <c r="D29" s="76" t="s">
        <v>143</v>
      </c>
      <c r="E29" s="76">
        <v>14.84277166</v>
      </c>
      <c r="F29" s="340">
        <v>120.80556833</v>
      </c>
      <c r="G29" s="341" t="s">
        <v>2745</v>
      </c>
      <c r="H29" s="342">
        <v>44901</v>
      </c>
      <c r="I29" s="11" t="s">
        <v>74</v>
      </c>
      <c r="J29" s="11" t="s">
        <v>22</v>
      </c>
      <c r="K29" s="133" t="s">
        <v>328</v>
      </c>
      <c r="L29" s="338" t="s">
        <v>1982</v>
      </c>
      <c r="M29" s="323" t="s">
        <v>2746</v>
      </c>
      <c r="N29" s="324">
        <v>45708</v>
      </c>
      <c r="O29" s="324">
        <v>45712</v>
      </c>
      <c r="P29" s="324">
        <v>45712</v>
      </c>
      <c r="Q29" s="324">
        <v>45714</v>
      </c>
      <c r="R29" s="324">
        <v>45721</v>
      </c>
      <c r="S29" s="45">
        <f t="shared" si="0"/>
        <v>2</v>
      </c>
      <c r="T29" s="45">
        <f t="shared" si="1"/>
        <v>1</v>
      </c>
      <c r="U29" s="45">
        <f t="shared" si="2"/>
        <v>2</v>
      </c>
      <c r="V29" s="45">
        <f t="shared" si="3"/>
        <v>5</v>
      </c>
      <c r="W29" s="133" t="s">
        <v>150</v>
      </c>
      <c r="X29" s="11" t="s">
        <v>50</v>
      </c>
      <c r="Y29" s="133">
        <v>11</v>
      </c>
      <c r="Z29" s="11" t="s">
        <v>57</v>
      </c>
      <c r="AA29" s="11" t="s">
        <v>57</v>
      </c>
      <c r="AB29" s="11">
        <v>500</v>
      </c>
      <c r="AC29" s="11" t="s">
        <v>69</v>
      </c>
      <c r="AD29" s="96" t="s">
        <v>2747</v>
      </c>
      <c r="AE29" s="7"/>
      <c r="AF29" s="11"/>
      <c r="AG29" s="11"/>
    </row>
    <row r="30" spans="1:33" ht="30">
      <c r="A30" s="76" t="s">
        <v>776</v>
      </c>
      <c r="B30" s="338" t="s">
        <v>2748</v>
      </c>
      <c r="C30" s="339" t="s">
        <v>1067</v>
      </c>
      <c r="D30" s="76" t="s">
        <v>143</v>
      </c>
      <c r="E30" s="76">
        <v>14.84277166</v>
      </c>
      <c r="F30" s="340">
        <v>120.80556833</v>
      </c>
      <c r="G30" s="341" t="s">
        <v>2745</v>
      </c>
      <c r="H30" s="342">
        <v>44901</v>
      </c>
      <c r="I30" s="11" t="s">
        <v>74</v>
      </c>
      <c r="J30" s="11" t="s">
        <v>22</v>
      </c>
      <c r="K30" s="133" t="s">
        <v>328</v>
      </c>
      <c r="L30" s="338" t="s">
        <v>1982</v>
      </c>
      <c r="M30" s="323" t="s">
        <v>2749</v>
      </c>
      <c r="N30" s="324">
        <v>45708</v>
      </c>
      <c r="O30" s="324">
        <v>45719</v>
      </c>
      <c r="P30" s="324">
        <v>45719</v>
      </c>
      <c r="Q30" s="324">
        <v>45719</v>
      </c>
      <c r="R30" s="324">
        <v>45721</v>
      </c>
      <c r="S30" s="45">
        <f t="shared" si="0"/>
        <v>7</v>
      </c>
      <c r="T30" s="45">
        <f t="shared" si="1"/>
        <v>1</v>
      </c>
      <c r="U30" s="45">
        <f t="shared" si="2"/>
        <v>1</v>
      </c>
      <c r="V30" s="45">
        <f t="shared" si="3"/>
        <v>2</v>
      </c>
      <c r="W30" s="133" t="s">
        <v>150</v>
      </c>
      <c r="X30" s="11" t="s">
        <v>50</v>
      </c>
      <c r="Y30" s="133">
        <v>11</v>
      </c>
      <c r="Z30" s="11" t="s">
        <v>50</v>
      </c>
      <c r="AA30" s="11" t="s">
        <v>57</v>
      </c>
      <c r="AB30" s="11">
        <v>100</v>
      </c>
      <c r="AC30" s="133" t="s">
        <v>69</v>
      </c>
      <c r="AD30" s="96" t="s">
        <v>2750</v>
      </c>
      <c r="AE30" s="7"/>
      <c r="AF30" s="11"/>
      <c r="AG30" s="11"/>
    </row>
    <row r="31" spans="1:33" ht="45">
      <c r="A31" s="76" t="s">
        <v>776</v>
      </c>
      <c r="B31" s="338" t="s">
        <v>2751</v>
      </c>
      <c r="C31" s="339" t="s">
        <v>1067</v>
      </c>
      <c r="D31" s="76" t="s">
        <v>143</v>
      </c>
      <c r="E31" s="76">
        <v>14.86311167</v>
      </c>
      <c r="F31" s="340">
        <v>120.89536833</v>
      </c>
      <c r="G31" s="341" t="s">
        <v>2752</v>
      </c>
      <c r="H31" s="342">
        <v>44901</v>
      </c>
      <c r="I31" s="11" t="s">
        <v>74</v>
      </c>
      <c r="J31" s="11" t="s">
        <v>22</v>
      </c>
      <c r="K31" s="133" t="s">
        <v>328</v>
      </c>
      <c r="L31" s="338" t="s">
        <v>1982</v>
      </c>
      <c r="M31" s="323" t="s">
        <v>2753</v>
      </c>
      <c r="N31" s="324">
        <v>45708</v>
      </c>
      <c r="O31" s="324">
        <v>45719</v>
      </c>
      <c r="P31" s="324">
        <v>45719</v>
      </c>
      <c r="Q31" s="324">
        <v>45719</v>
      </c>
      <c r="R31" s="324">
        <v>45721</v>
      </c>
      <c r="S31" s="45">
        <f t="shared" si="0"/>
        <v>7</v>
      </c>
      <c r="T31" s="45">
        <f t="shared" si="1"/>
        <v>1</v>
      </c>
      <c r="U31" s="45">
        <f t="shared" si="2"/>
        <v>1</v>
      </c>
      <c r="V31" s="45">
        <f t="shared" si="3"/>
        <v>2</v>
      </c>
      <c r="W31" s="133" t="s">
        <v>150</v>
      </c>
      <c r="X31" s="11" t="s">
        <v>50</v>
      </c>
      <c r="Y31" s="133">
        <v>18</v>
      </c>
      <c r="Z31" s="11" t="s">
        <v>57</v>
      </c>
      <c r="AA31" s="11" t="s">
        <v>57</v>
      </c>
      <c r="AB31" s="11">
        <v>50</v>
      </c>
      <c r="AC31" s="133" t="s">
        <v>69</v>
      </c>
      <c r="AD31" s="96" t="s">
        <v>2754</v>
      </c>
      <c r="AE31" s="7"/>
      <c r="AF31" s="11"/>
      <c r="AG31" s="11"/>
    </row>
    <row r="32" spans="1:33" ht="30">
      <c r="A32" s="76" t="s">
        <v>776</v>
      </c>
      <c r="B32" s="338" t="s">
        <v>2755</v>
      </c>
      <c r="C32" s="339" t="s">
        <v>1067</v>
      </c>
      <c r="D32" s="76" t="s">
        <v>143</v>
      </c>
      <c r="E32" s="76">
        <v>14.85140833</v>
      </c>
      <c r="F32" s="340">
        <v>120.81575166</v>
      </c>
      <c r="G32" s="341" t="s">
        <v>2756</v>
      </c>
      <c r="H32" s="342">
        <v>44901</v>
      </c>
      <c r="I32" s="11" t="s">
        <v>74</v>
      </c>
      <c r="J32" s="11" t="s">
        <v>22</v>
      </c>
      <c r="K32" s="133" t="s">
        <v>328</v>
      </c>
      <c r="L32" s="338" t="s">
        <v>1982</v>
      </c>
      <c r="M32" s="323" t="s">
        <v>2757</v>
      </c>
      <c r="N32" s="324">
        <v>45708</v>
      </c>
      <c r="O32" s="324">
        <v>45719</v>
      </c>
      <c r="P32" s="324">
        <v>45719</v>
      </c>
      <c r="Q32" s="324">
        <v>45719</v>
      </c>
      <c r="R32" s="324">
        <v>45721</v>
      </c>
      <c r="S32" s="45">
        <f t="shared" si="0"/>
        <v>7</v>
      </c>
      <c r="T32" s="45">
        <f t="shared" si="1"/>
        <v>1</v>
      </c>
      <c r="U32" s="45">
        <f t="shared" si="2"/>
        <v>1</v>
      </c>
      <c r="V32" s="45">
        <f t="shared" si="3"/>
        <v>2</v>
      </c>
      <c r="W32" s="133" t="s">
        <v>150</v>
      </c>
      <c r="X32" s="11" t="s">
        <v>50</v>
      </c>
      <c r="Y32" s="133">
        <v>11</v>
      </c>
      <c r="Z32" s="11" t="s">
        <v>57</v>
      </c>
      <c r="AA32" s="11" t="s">
        <v>57</v>
      </c>
      <c r="AB32" s="11">
        <v>11</v>
      </c>
      <c r="AC32" s="11" t="s">
        <v>69</v>
      </c>
      <c r="AD32" s="96" t="s">
        <v>2750</v>
      </c>
      <c r="AE32" s="7"/>
      <c r="AF32" s="11"/>
      <c r="AG32" s="11"/>
    </row>
    <row r="33" spans="1:33" ht="105">
      <c r="A33" s="76" t="s">
        <v>776</v>
      </c>
      <c r="B33" s="338" t="s">
        <v>2758</v>
      </c>
      <c r="C33" s="339" t="s">
        <v>1067</v>
      </c>
      <c r="D33" s="76" t="s">
        <v>143</v>
      </c>
      <c r="E33" s="76">
        <v>14.84464</v>
      </c>
      <c r="F33" s="340">
        <v>120.8154866</v>
      </c>
      <c r="G33" s="341" t="s">
        <v>2759</v>
      </c>
      <c r="H33" s="342">
        <v>44901</v>
      </c>
      <c r="I33" s="11" t="s">
        <v>74</v>
      </c>
      <c r="J33" s="11" t="s">
        <v>22</v>
      </c>
      <c r="K33" s="133" t="s">
        <v>328</v>
      </c>
      <c r="L33" s="338" t="s">
        <v>1982</v>
      </c>
      <c r="M33" s="323" t="s">
        <v>2760</v>
      </c>
      <c r="N33" s="324">
        <v>45708</v>
      </c>
      <c r="O33" s="324">
        <v>45712</v>
      </c>
      <c r="P33" s="324">
        <v>45712</v>
      </c>
      <c r="Q33" s="324">
        <v>45714</v>
      </c>
      <c r="R33" s="324">
        <v>45721</v>
      </c>
      <c r="S33" s="45">
        <f t="shared" si="0"/>
        <v>2</v>
      </c>
      <c r="T33" s="45">
        <f t="shared" si="1"/>
        <v>1</v>
      </c>
      <c r="U33" s="45">
        <f t="shared" si="2"/>
        <v>2</v>
      </c>
      <c r="V33" s="45">
        <f t="shared" si="3"/>
        <v>5</v>
      </c>
      <c r="W33" s="133" t="s">
        <v>150</v>
      </c>
      <c r="X33" s="11" t="s">
        <v>57</v>
      </c>
      <c r="Y33" s="133">
        <v>11</v>
      </c>
      <c r="Z33" s="11" t="s">
        <v>57</v>
      </c>
      <c r="AA33" s="11" t="s">
        <v>57</v>
      </c>
      <c r="AB33" s="11" t="s">
        <v>1239</v>
      </c>
      <c r="AC33" s="11" t="s">
        <v>69</v>
      </c>
      <c r="AD33" s="96" t="s">
        <v>2761</v>
      </c>
      <c r="AE33" s="7"/>
      <c r="AF33" s="11"/>
      <c r="AG33" s="11"/>
    </row>
    <row r="34" spans="1:33" ht="105">
      <c r="A34" s="76" t="s">
        <v>776</v>
      </c>
      <c r="B34" s="338" t="s">
        <v>2310</v>
      </c>
      <c r="C34" s="339" t="s">
        <v>1067</v>
      </c>
      <c r="D34" s="76" t="s">
        <v>143</v>
      </c>
      <c r="E34" s="76">
        <v>14.842983329999999</v>
      </c>
      <c r="F34" s="340">
        <v>120.80909665999999</v>
      </c>
      <c r="G34" s="341" t="s">
        <v>2762</v>
      </c>
      <c r="H34" s="342">
        <v>44901</v>
      </c>
      <c r="I34" s="11" t="s">
        <v>74</v>
      </c>
      <c r="J34" s="11" t="s">
        <v>22</v>
      </c>
      <c r="K34" s="133" t="s">
        <v>328</v>
      </c>
      <c r="L34" s="338" t="s">
        <v>1982</v>
      </c>
      <c r="M34" s="323" t="s">
        <v>2763</v>
      </c>
      <c r="N34" s="324">
        <v>45708</v>
      </c>
      <c r="O34" s="324">
        <v>45719</v>
      </c>
      <c r="P34" s="324">
        <v>45719</v>
      </c>
      <c r="Q34" s="324">
        <v>45719</v>
      </c>
      <c r="R34" s="324">
        <v>45721</v>
      </c>
      <c r="S34" s="45">
        <f t="shared" ref="S34:S65" si="4">IF(
    OR(ISBLANK(N34), ISBLANK(O34)),
    "",
    MAX(1, IF(
        NETWORKDAYS(N34, O34) &lt;= 0,
        1,
        NETWORKDAYS(N34, O34) - IF(N34 = O34, 0, 1)
    ))
)</f>
        <v>7</v>
      </c>
      <c r="T34" s="45">
        <f t="shared" ref="T34:T65" si="5">IF(
    OR(ISBLANK(O34), ISBLANK(P34)),
    "",
    MAX(1, IF(
        NETWORKDAYS(O34, P34) &lt;= 0,
        1,
        NETWORKDAYS(O34, P34) - IF(O34 = P34, 0, 1)
    ))
)</f>
        <v>1</v>
      </c>
      <c r="U34" s="45">
        <f t="shared" ref="U34:U65" si="6">IF(
  OR(A34 = "Nueva_Ecija", A34 = "Zambales"),
  IF(
    OR(ISBLANK(P34), ISBLANK(Q34)),
    "",
    MAX(1, IF(
      NETWORKDAYS(P34, Q34) &lt;= 0,
      1,
      NETWORKDAYS(P34, Q34) - IF(P34 = Q34, 0, 1)
    ))
  ),
  IF(
    OR(ISBLANK(O34), ISBLANK(Q34)),
    "",
    MAX(1, IF(
      NETWORKDAYS(O34, Q34) &lt;= 0,
      1,
      NETWORKDAYS(O34, Q34) - IF(O34 = Q34, 0, 1)
    ))
  )
)</f>
        <v>1</v>
      </c>
      <c r="V34" s="45">
        <f t="shared" ref="V34:V65" si="7">IF(
    OR(ISBLANK(Q34), ISBLANK(R34)),
    "",
    MAX(1, IF(
        NETWORKDAYS(Q34, R34) &lt;= 0,
        1,
        NETWORKDAYS(Q34, R34) - IF(Q34 = R34, 0, 1)
    ))
)</f>
        <v>2</v>
      </c>
      <c r="W34" s="133" t="s">
        <v>150</v>
      </c>
      <c r="X34" s="11" t="s">
        <v>50</v>
      </c>
      <c r="Y34" s="133">
        <v>12</v>
      </c>
      <c r="Z34" s="11" t="s">
        <v>57</v>
      </c>
      <c r="AA34" s="11" t="s">
        <v>57</v>
      </c>
      <c r="AB34" s="11">
        <v>100</v>
      </c>
      <c r="AC34" s="7" t="s">
        <v>2764</v>
      </c>
      <c r="AD34" s="96" t="s">
        <v>2765</v>
      </c>
      <c r="AE34" s="7"/>
      <c r="AF34" s="11"/>
      <c r="AG34" s="11"/>
    </row>
    <row r="35" spans="1:33" ht="120">
      <c r="A35" s="76" t="s">
        <v>776</v>
      </c>
      <c r="B35" s="338" t="s">
        <v>2766</v>
      </c>
      <c r="C35" s="339" t="s">
        <v>2767</v>
      </c>
      <c r="D35" s="76" t="s">
        <v>143</v>
      </c>
      <c r="E35" s="76">
        <v>14.771990000000001</v>
      </c>
      <c r="F35" s="340">
        <v>121.01845</v>
      </c>
      <c r="G35" s="341" t="s">
        <v>2768</v>
      </c>
      <c r="H35" s="342">
        <v>44914</v>
      </c>
      <c r="I35" s="11" t="s">
        <v>78</v>
      </c>
      <c r="J35" s="11" t="s">
        <v>22</v>
      </c>
      <c r="K35" s="11"/>
      <c r="L35" s="338" t="s">
        <v>1982</v>
      </c>
      <c r="M35" s="323" t="s">
        <v>2769</v>
      </c>
      <c r="N35" s="324">
        <v>45806</v>
      </c>
      <c r="O35" s="324">
        <v>45806</v>
      </c>
      <c r="P35" s="324"/>
      <c r="Q35" s="324">
        <v>45807</v>
      </c>
      <c r="R35" s="324">
        <v>45810</v>
      </c>
      <c r="S35" s="45">
        <f t="shared" si="4"/>
        <v>1</v>
      </c>
      <c r="T35" s="45" t="str">
        <f t="shared" si="5"/>
        <v/>
      </c>
      <c r="U35" s="45">
        <f t="shared" si="6"/>
        <v>1</v>
      </c>
      <c r="V35" s="45">
        <f t="shared" si="7"/>
        <v>1</v>
      </c>
      <c r="W35" s="133" t="s">
        <v>150</v>
      </c>
      <c r="X35" s="11" t="s">
        <v>57</v>
      </c>
      <c r="Y35" s="133">
        <v>17</v>
      </c>
      <c r="Z35" s="11" t="s">
        <v>57</v>
      </c>
      <c r="AA35" s="11" t="s">
        <v>57</v>
      </c>
      <c r="AB35" s="11" t="s">
        <v>1239</v>
      </c>
      <c r="AC35" s="133" t="s">
        <v>69</v>
      </c>
      <c r="AD35" s="96" t="s">
        <v>2770</v>
      </c>
      <c r="AE35" s="7"/>
      <c r="AF35" s="11"/>
      <c r="AG35" s="11"/>
    </row>
    <row r="36" spans="1:33">
      <c r="A36" s="76" t="s">
        <v>776</v>
      </c>
      <c r="B36" s="338" t="s">
        <v>2744</v>
      </c>
      <c r="C36" s="339" t="s">
        <v>2767</v>
      </c>
      <c r="D36" s="76" t="s">
        <v>143</v>
      </c>
      <c r="E36" s="76">
        <v>14.725720000000001</v>
      </c>
      <c r="F36" s="340">
        <v>120.96878</v>
      </c>
      <c r="G36" s="341" t="s">
        <v>2771</v>
      </c>
      <c r="H36" s="342">
        <v>44914</v>
      </c>
      <c r="I36" s="11" t="s">
        <v>78</v>
      </c>
      <c r="J36" s="11" t="s">
        <v>2261</v>
      </c>
      <c r="K36" s="11" t="s">
        <v>388</v>
      </c>
      <c r="L36" s="338" t="s">
        <v>1982</v>
      </c>
      <c r="M36" s="323" t="s">
        <v>2772</v>
      </c>
      <c r="N36" s="324">
        <v>45804</v>
      </c>
      <c r="O36" s="324">
        <v>45807</v>
      </c>
      <c r="P36" s="324">
        <v>45807</v>
      </c>
      <c r="Q36" s="324">
        <v>45811</v>
      </c>
      <c r="R36" s="324">
        <v>45813</v>
      </c>
      <c r="S36" s="45">
        <f t="shared" si="4"/>
        <v>3</v>
      </c>
      <c r="T36" s="45">
        <f t="shared" si="5"/>
        <v>1</v>
      </c>
      <c r="U36" s="45">
        <f t="shared" si="6"/>
        <v>2</v>
      </c>
      <c r="V36" s="45">
        <f t="shared" si="7"/>
        <v>2</v>
      </c>
      <c r="W36" s="133" t="s">
        <v>150</v>
      </c>
      <c r="X36" s="11" t="s">
        <v>50</v>
      </c>
      <c r="Y36" s="133">
        <v>18</v>
      </c>
      <c r="Z36" s="11" t="s">
        <v>57</v>
      </c>
      <c r="AA36" s="11" t="s">
        <v>57</v>
      </c>
      <c r="AB36" s="11" t="s">
        <v>2773</v>
      </c>
      <c r="AC36" s="11" t="s">
        <v>2774</v>
      </c>
      <c r="AD36" s="96" t="s">
        <v>2110</v>
      </c>
      <c r="AE36" s="7"/>
      <c r="AF36" s="11"/>
      <c r="AG36" s="11"/>
    </row>
    <row r="37" spans="1:33">
      <c r="A37" s="76" t="s">
        <v>776</v>
      </c>
      <c r="B37" s="338" t="s">
        <v>2744</v>
      </c>
      <c r="C37" s="339" t="s">
        <v>2767</v>
      </c>
      <c r="D37" s="76" t="s">
        <v>143</v>
      </c>
      <c r="E37" s="76">
        <v>14.725720000000001</v>
      </c>
      <c r="F37" s="340">
        <v>120.96878</v>
      </c>
      <c r="G37" s="341" t="s">
        <v>2771</v>
      </c>
      <c r="H37" s="342">
        <v>44914</v>
      </c>
      <c r="I37" s="11" t="s">
        <v>78</v>
      </c>
      <c r="J37" s="11" t="s">
        <v>22</v>
      </c>
      <c r="K37" s="11"/>
      <c r="L37" s="338" t="s">
        <v>1982</v>
      </c>
      <c r="M37" s="323" t="s">
        <v>2775</v>
      </c>
      <c r="N37" s="324">
        <v>45804</v>
      </c>
      <c r="O37" s="324">
        <v>45807</v>
      </c>
      <c r="P37" s="324"/>
      <c r="Q37" s="324">
        <v>45810</v>
      </c>
      <c r="R37" s="324">
        <v>45810</v>
      </c>
      <c r="S37" s="45">
        <f t="shared" si="4"/>
        <v>3</v>
      </c>
      <c r="T37" s="45" t="str">
        <f t="shared" si="5"/>
        <v/>
      </c>
      <c r="U37" s="45">
        <f t="shared" si="6"/>
        <v>1</v>
      </c>
      <c r="V37" s="45">
        <f t="shared" si="7"/>
        <v>1</v>
      </c>
      <c r="W37" s="133" t="s">
        <v>150</v>
      </c>
      <c r="X37" s="11" t="s">
        <v>50</v>
      </c>
      <c r="Y37" s="133">
        <v>18</v>
      </c>
      <c r="Z37" s="11" t="s">
        <v>57</v>
      </c>
      <c r="AA37" s="11" t="s">
        <v>57</v>
      </c>
      <c r="AB37" s="11" t="s">
        <v>2773</v>
      </c>
      <c r="AC37" s="133" t="s">
        <v>2774</v>
      </c>
      <c r="AD37" s="96"/>
      <c r="AE37" s="7"/>
      <c r="AF37" s="11"/>
      <c r="AG37" s="11"/>
    </row>
    <row r="38" spans="1:33" ht="90">
      <c r="A38" s="76" t="s">
        <v>776</v>
      </c>
      <c r="B38" s="338" t="s">
        <v>2776</v>
      </c>
      <c r="C38" s="339" t="s">
        <v>2767</v>
      </c>
      <c r="D38" s="76" t="s">
        <v>143</v>
      </c>
      <c r="E38" s="76">
        <v>14.740622</v>
      </c>
      <c r="F38" s="340">
        <v>120.97884000000001</v>
      </c>
      <c r="G38" s="341" t="s">
        <v>2777</v>
      </c>
      <c r="H38" s="342">
        <v>44914</v>
      </c>
      <c r="I38" s="11" t="s">
        <v>78</v>
      </c>
      <c r="J38" s="11" t="s">
        <v>2261</v>
      </c>
      <c r="K38" s="11"/>
      <c r="L38" s="338" t="s">
        <v>1982</v>
      </c>
      <c r="M38" s="323" t="s">
        <v>2778</v>
      </c>
      <c r="N38" s="324">
        <v>45797</v>
      </c>
      <c r="O38" s="324">
        <v>45803</v>
      </c>
      <c r="P38" s="324"/>
      <c r="Q38" s="324">
        <v>45811</v>
      </c>
      <c r="R38" s="324">
        <v>45813</v>
      </c>
      <c r="S38" s="45">
        <f t="shared" si="4"/>
        <v>4</v>
      </c>
      <c r="T38" s="45" t="str">
        <f t="shared" si="5"/>
        <v/>
      </c>
      <c r="U38" s="45">
        <f t="shared" si="6"/>
        <v>6</v>
      </c>
      <c r="V38" s="45">
        <f t="shared" si="7"/>
        <v>2</v>
      </c>
      <c r="W38" s="133" t="s">
        <v>150</v>
      </c>
      <c r="X38" s="11" t="s">
        <v>57</v>
      </c>
      <c r="Y38" s="133">
        <v>19</v>
      </c>
      <c r="Z38" s="11" t="s">
        <v>57</v>
      </c>
      <c r="AA38" s="11" t="s">
        <v>57</v>
      </c>
      <c r="AB38" s="11" t="s">
        <v>1239</v>
      </c>
      <c r="AC38" s="133" t="s">
        <v>1947</v>
      </c>
      <c r="AD38" s="96" t="s">
        <v>2779</v>
      </c>
      <c r="AE38" s="7"/>
      <c r="AF38" s="11"/>
      <c r="AG38" s="11"/>
    </row>
    <row r="39" spans="1:33">
      <c r="A39" s="76" t="s">
        <v>776</v>
      </c>
      <c r="B39" s="338" t="s">
        <v>2780</v>
      </c>
      <c r="C39" s="339" t="s">
        <v>2767</v>
      </c>
      <c r="D39" s="76" t="s">
        <v>143</v>
      </c>
      <c r="E39" s="76">
        <v>14.727399999999999</v>
      </c>
      <c r="F39" s="340">
        <v>120.9787</v>
      </c>
      <c r="G39" s="341" t="s">
        <v>2781</v>
      </c>
      <c r="H39" s="342">
        <v>44914</v>
      </c>
      <c r="I39" s="11" t="s">
        <v>78</v>
      </c>
      <c r="J39" s="11" t="s">
        <v>2261</v>
      </c>
      <c r="K39" s="11" t="s">
        <v>388</v>
      </c>
      <c r="L39" s="338" t="s">
        <v>1982</v>
      </c>
      <c r="M39" s="323" t="s">
        <v>2782</v>
      </c>
      <c r="N39" s="324">
        <v>45804</v>
      </c>
      <c r="O39" s="324">
        <v>45806</v>
      </c>
      <c r="P39" s="324">
        <v>45807</v>
      </c>
      <c r="Q39" s="324">
        <v>45811</v>
      </c>
      <c r="R39" s="324">
        <v>45813</v>
      </c>
      <c r="S39" s="45">
        <f t="shared" si="4"/>
        <v>2</v>
      </c>
      <c r="T39" s="45">
        <f t="shared" si="5"/>
        <v>1</v>
      </c>
      <c r="U39" s="45">
        <f t="shared" si="6"/>
        <v>3</v>
      </c>
      <c r="V39" s="45">
        <f t="shared" si="7"/>
        <v>2</v>
      </c>
      <c r="W39" s="133" t="s">
        <v>150</v>
      </c>
      <c r="X39" s="11" t="s">
        <v>50</v>
      </c>
      <c r="Y39" s="133">
        <v>12</v>
      </c>
      <c r="Z39" s="11" t="s">
        <v>50</v>
      </c>
      <c r="AA39" s="11" t="s">
        <v>50</v>
      </c>
      <c r="AB39" s="11" t="s">
        <v>2783</v>
      </c>
      <c r="AC39" s="133" t="s">
        <v>2784</v>
      </c>
      <c r="AD39" s="96" t="s">
        <v>2110</v>
      </c>
      <c r="AE39" s="7"/>
      <c r="AF39" s="11"/>
      <c r="AG39" s="11"/>
    </row>
    <row r="40" spans="1:33" ht="120">
      <c r="A40" s="76" t="s">
        <v>776</v>
      </c>
      <c r="B40" s="338" t="s">
        <v>2785</v>
      </c>
      <c r="C40" s="339" t="s">
        <v>2767</v>
      </c>
      <c r="D40" s="76" t="s">
        <v>143</v>
      </c>
      <c r="E40" s="76">
        <v>14.747501</v>
      </c>
      <c r="F40" s="340">
        <v>120.98659000000001</v>
      </c>
      <c r="G40" s="341" t="s">
        <v>2786</v>
      </c>
      <c r="H40" s="342">
        <v>44914</v>
      </c>
      <c r="I40" s="11" t="s">
        <v>78</v>
      </c>
      <c r="J40" s="11" t="s">
        <v>2261</v>
      </c>
      <c r="K40" s="11"/>
      <c r="L40" s="338" t="s">
        <v>1982</v>
      </c>
      <c r="M40" s="323" t="s">
        <v>2787</v>
      </c>
      <c r="N40" s="324">
        <v>45797</v>
      </c>
      <c r="O40" s="324">
        <v>45803</v>
      </c>
      <c r="P40" s="324"/>
      <c r="Q40" s="324">
        <v>45810</v>
      </c>
      <c r="R40" s="324">
        <v>45810</v>
      </c>
      <c r="S40" s="45">
        <f t="shared" si="4"/>
        <v>4</v>
      </c>
      <c r="T40" s="45" t="str">
        <f t="shared" si="5"/>
        <v/>
      </c>
      <c r="U40" s="45">
        <f t="shared" si="6"/>
        <v>5</v>
      </c>
      <c r="V40" s="45">
        <f t="shared" si="7"/>
        <v>1</v>
      </c>
      <c r="W40" s="133" t="s">
        <v>150</v>
      </c>
      <c r="X40" s="11" t="s">
        <v>50</v>
      </c>
      <c r="Y40" s="133">
        <v>15</v>
      </c>
      <c r="Z40" s="11" t="s">
        <v>57</v>
      </c>
      <c r="AA40" s="11" t="s">
        <v>57</v>
      </c>
      <c r="AB40" s="133" t="s">
        <v>2788</v>
      </c>
      <c r="AC40" s="133" t="s">
        <v>2784</v>
      </c>
      <c r="AD40" s="96" t="s">
        <v>2789</v>
      </c>
      <c r="AE40" s="7"/>
      <c r="AF40" s="11"/>
      <c r="AG40" s="11"/>
    </row>
    <row r="41" spans="1:33">
      <c r="A41" s="76" t="s">
        <v>776</v>
      </c>
      <c r="B41" s="338" t="s">
        <v>2790</v>
      </c>
      <c r="C41" s="339" t="s">
        <v>2767</v>
      </c>
      <c r="D41" s="76" t="s">
        <v>143</v>
      </c>
      <c r="E41" s="76">
        <v>14.758236999999999</v>
      </c>
      <c r="F41" s="340">
        <v>120.98994</v>
      </c>
      <c r="G41" s="341" t="s">
        <v>2791</v>
      </c>
      <c r="H41" s="342">
        <v>44914</v>
      </c>
      <c r="I41" s="11" t="s">
        <v>78</v>
      </c>
      <c r="J41" s="11" t="s">
        <v>2261</v>
      </c>
      <c r="K41" s="11" t="s">
        <v>388</v>
      </c>
      <c r="L41" s="338" t="s">
        <v>1982</v>
      </c>
      <c r="M41" s="323" t="s">
        <v>2792</v>
      </c>
      <c r="N41" s="324">
        <v>45804</v>
      </c>
      <c r="O41" s="324">
        <v>45806</v>
      </c>
      <c r="P41" s="324">
        <v>45807</v>
      </c>
      <c r="Q41" s="324">
        <v>45811</v>
      </c>
      <c r="R41" s="324">
        <v>45813</v>
      </c>
      <c r="S41" s="45">
        <f t="shared" si="4"/>
        <v>2</v>
      </c>
      <c r="T41" s="45">
        <f t="shared" si="5"/>
        <v>1</v>
      </c>
      <c r="U41" s="45">
        <f t="shared" si="6"/>
        <v>3</v>
      </c>
      <c r="V41" s="45">
        <f t="shared" si="7"/>
        <v>2</v>
      </c>
      <c r="W41" s="133" t="s">
        <v>150</v>
      </c>
      <c r="X41" s="11" t="s">
        <v>50</v>
      </c>
      <c r="Y41" s="133">
        <v>12</v>
      </c>
      <c r="Z41" s="11" t="s">
        <v>57</v>
      </c>
      <c r="AA41" s="11" t="s">
        <v>57</v>
      </c>
      <c r="AB41" s="11" t="s">
        <v>2793</v>
      </c>
      <c r="AC41" s="133" t="s">
        <v>2784</v>
      </c>
      <c r="AD41" s="96" t="s">
        <v>2110</v>
      </c>
      <c r="AE41" s="7"/>
      <c r="AF41" s="11"/>
      <c r="AG41" s="11"/>
    </row>
    <row r="42" spans="1:33" ht="30">
      <c r="A42" s="76" t="s">
        <v>776</v>
      </c>
      <c r="B42" s="338" t="s">
        <v>2794</v>
      </c>
      <c r="C42" s="339" t="s">
        <v>1127</v>
      </c>
      <c r="D42" s="76" t="s">
        <v>143</v>
      </c>
      <c r="E42" s="76">
        <v>14.849500000000001</v>
      </c>
      <c r="F42" s="340">
        <v>120.7813</v>
      </c>
      <c r="G42" s="341" t="s">
        <v>2795</v>
      </c>
      <c r="H42" s="342">
        <v>44915</v>
      </c>
      <c r="I42" s="11" t="s">
        <v>75</v>
      </c>
      <c r="J42" s="11" t="s">
        <v>22</v>
      </c>
      <c r="K42" s="11" t="s">
        <v>328</v>
      </c>
      <c r="L42" s="338" t="s">
        <v>1982</v>
      </c>
      <c r="M42" s="323" t="s">
        <v>2796</v>
      </c>
      <c r="N42" s="324">
        <v>45736</v>
      </c>
      <c r="O42" s="324">
        <v>45737</v>
      </c>
      <c r="P42" s="324">
        <v>45742</v>
      </c>
      <c r="Q42" s="324">
        <v>45742</v>
      </c>
      <c r="R42" s="324">
        <v>45743</v>
      </c>
      <c r="S42" s="45">
        <f t="shared" si="4"/>
        <v>1</v>
      </c>
      <c r="T42" s="45">
        <f t="shared" si="5"/>
        <v>3</v>
      </c>
      <c r="U42" s="45">
        <f t="shared" si="6"/>
        <v>3</v>
      </c>
      <c r="V42" s="45">
        <f t="shared" si="7"/>
        <v>1</v>
      </c>
      <c r="W42" s="133" t="s">
        <v>150</v>
      </c>
      <c r="X42" s="11" t="s">
        <v>50</v>
      </c>
      <c r="Y42" s="133">
        <v>18</v>
      </c>
      <c r="Z42" s="11" t="s">
        <v>57</v>
      </c>
      <c r="AA42" s="11" t="s">
        <v>57</v>
      </c>
      <c r="AB42" s="11">
        <v>28</v>
      </c>
      <c r="AC42" s="133" t="s">
        <v>69</v>
      </c>
      <c r="AD42" s="96" t="s">
        <v>2797</v>
      </c>
      <c r="AE42" s="7"/>
      <c r="AF42" s="11"/>
      <c r="AG42" s="11"/>
    </row>
    <row r="43" spans="1:33" ht="30">
      <c r="A43" s="76" t="s">
        <v>776</v>
      </c>
      <c r="B43" s="338" t="s">
        <v>2798</v>
      </c>
      <c r="C43" s="339" t="s">
        <v>1127</v>
      </c>
      <c r="D43" s="76" t="s">
        <v>143</v>
      </c>
      <c r="E43" s="76">
        <v>14.835766</v>
      </c>
      <c r="F43" s="340">
        <v>120.780016</v>
      </c>
      <c r="G43" s="341" t="s">
        <v>2799</v>
      </c>
      <c r="H43" s="342">
        <v>44915</v>
      </c>
      <c r="I43" s="11" t="s">
        <v>75</v>
      </c>
      <c r="J43" s="11" t="s">
        <v>2261</v>
      </c>
      <c r="K43" s="11" t="s">
        <v>328</v>
      </c>
      <c r="L43" s="338" t="s">
        <v>1982</v>
      </c>
      <c r="M43" s="323" t="s">
        <v>2800</v>
      </c>
      <c r="N43" s="324">
        <v>45737</v>
      </c>
      <c r="O43" s="324">
        <v>45738</v>
      </c>
      <c r="P43" s="324">
        <v>45742</v>
      </c>
      <c r="Q43" s="324">
        <v>45742</v>
      </c>
      <c r="R43" s="324">
        <v>45743</v>
      </c>
      <c r="S43" s="45">
        <f t="shared" si="4"/>
        <v>1</v>
      </c>
      <c r="T43" s="45">
        <f t="shared" si="5"/>
        <v>2</v>
      </c>
      <c r="U43" s="45">
        <f t="shared" si="6"/>
        <v>2</v>
      </c>
      <c r="V43" s="45">
        <f t="shared" si="7"/>
        <v>1</v>
      </c>
      <c r="W43" s="133" t="s">
        <v>150</v>
      </c>
      <c r="X43" s="11" t="s">
        <v>50</v>
      </c>
      <c r="Y43" s="133">
        <v>12</v>
      </c>
      <c r="Z43" s="11" t="s">
        <v>57</v>
      </c>
      <c r="AA43" s="11" t="s">
        <v>57</v>
      </c>
      <c r="AB43" s="11">
        <v>60</v>
      </c>
      <c r="AC43" s="133" t="s">
        <v>69</v>
      </c>
      <c r="AD43" s="96" t="s">
        <v>2797</v>
      </c>
      <c r="AE43" s="7"/>
      <c r="AF43" s="11"/>
      <c r="AG43" s="11"/>
    </row>
    <row r="44" spans="1:33" ht="30">
      <c r="A44" s="76" t="s">
        <v>776</v>
      </c>
      <c r="B44" s="338" t="s">
        <v>2798</v>
      </c>
      <c r="C44" s="339" t="s">
        <v>1127</v>
      </c>
      <c r="D44" s="76" t="s">
        <v>143</v>
      </c>
      <c r="E44" s="76">
        <v>14.835766</v>
      </c>
      <c r="F44" s="340">
        <v>120.780016</v>
      </c>
      <c r="G44" s="341" t="s">
        <v>2799</v>
      </c>
      <c r="H44" s="342">
        <v>44915</v>
      </c>
      <c r="I44" s="11" t="s">
        <v>75</v>
      </c>
      <c r="J44" s="11" t="s">
        <v>22</v>
      </c>
      <c r="K44" s="11" t="s">
        <v>328</v>
      </c>
      <c r="L44" s="338" t="s">
        <v>1982</v>
      </c>
      <c r="M44" s="323" t="s">
        <v>2801</v>
      </c>
      <c r="N44" s="324">
        <v>45736</v>
      </c>
      <c r="O44" s="324">
        <v>45738</v>
      </c>
      <c r="P44" s="324">
        <v>45742</v>
      </c>
      <c r="Q44" s="324">
        <v>45742</v>
      </c>
      <c r="R44" s="324">
        <v>45743</v>
      </c>
      <c r="S44" s="45">
        <f t="shared" si="4"/>
        <v>1</v>
      </c>
      <c r="T44" s="45">
        <f t="shared" si="5"/>
        <v>2</v>
      </c>
      <c r="U44" s="45">
        <f t="shared" si="6"/>
        <v>2</v>
      </c>
      <c r="V44" s="45">
        <f t="shared" si="7"/>
        <v>1</v>
      </c>
      <c r="W44" s="133" t="s">
        <v>150</v>
      </c>
      <c r="X44" s="11" t="s">
        <v>50</v>
      </c>
      <c r="Y44" s="133">
        <v>12</v>
      </c>
      <c r="Z44" s="11" t="s">
        <v>57</v>
      </c>
      <c r="AA44" s="11" t="s">
        <v>57</v>
      </c>
      <c r="AB44" s="11">
        <v>60</v>
      </c>
      <c r="AC44" s="133" t="s">
        <v>69</v>
      </c>
      <c r="AD44" s="96" t="s">
        <v>2797</v>
      </c>
      <c r="AE44" s="7"/>
      <c r="AF44" s="11"/>
      <c r="AG44" s="11"/>
    </row>
    <row r="45" spans="1:33" ht="30">
      <c r="A45" s="76" t="s">
        <v>776</v>
      </c>
      <c r="B45" s="338" t="s">
        <v>2711</v>
      </c>
      <c r="C45" s="339" t="s">
        <v>1127</v>
      </c>
      <c r="D45" s="76" t="s">
        <v>143</v>
      </c>
      <c r="E45" s="76">
        <v>14.84004333</v>
      </c>
      <c r="F45" s="340">
        <v>120.79407329999999</v>
      </c>
      <c r="G45" s="341" t="s">
        <v>2802</v>
      </c>
      <c r="H45" s="342">
        <v>44915</v>
      </c>
      <c r="I45" s="11" t="s">
        <v>75</v>
      </c>
      <c r="J45" s="11" t="s">
        <v>22</v>
      </c>
      <c r="K45" s="11" t="s">
        <v>328</v>
      </c>
      <c r="L45" s="338" t="s">
        <v>1982</v>
      </c>
      <c r="M45" s="323" t="s">
        <v>2803</v>
      </c>
      <c r="N45" s="324">
        <v>45736</v>
      </c>
      <c r="O45" s="324">
        <v>45737</v>
      </c>
      <c r="P45" s="324">
        <v>45742</v>
      </c>
      <c r="Q45" s="324">
        <v>45742</v>
      </c>
      <c r="R45" s="324">
        <v>45743</v>
      </c>
      <c r="S45" s="45">
        <f t="shared" si="4"/>
        <v>1</v>
      </c>
      <c r="T45" s="45">
        <f t="shared" si="5"/>
        <v>3</v>
      </c>
      <c r="U45" s="45">
        <f t="shared" si="6"/>
        <v>3</v>
      </c>
      <c r="V45" s="45">
        <f t="shared" si="7"/>
        <v>1</v>
      </c>
      <c r="W45" s="133" t="s">
        <v>150</v>
      </c>
      <c r="X45" s="11" t="s">
        <v>50</v>
      </c>
      <c r="Y45" s="133">
        <v>10</v>
      </c>
      <c r="Z45" s="11" t="s">
        <v>57</v>
      </c>
      <c r="AA45" s="11" t="s">
        <v>57</v>
      </c>
      <c r="AB45" s="11">
        <v>30</v>
      </c>
      <c r="AC45" s="133" t="s">
        <v>69</v>
      </c>
      <c r="AD45" s="96" t="s">
        <v>2797</v>
      </c>
      <c r="AE45" s="7"/>
      <c r="AF45" s="11"/>
      <c r="AG45" s="11"/>
    </row>
    <row r="46" spans="1:33" ht="30">
      <c r="A46" s="76" t="s">
        <v>776</v>
      </c>
      <c r="B46" s="338" t="s">
        <v>2711</v>
      </c>
      <c r="C46" s="339" t="s">
        <v>1127</v>
      </c>
      <c r="D46" s="76" t="s">
        <v>143</v>
      </c>
      <c r="E46" s="76">
        <v>14.84004333</v>
      </c>
      <c r="F46" s="340">
        <v>120.79407329999999</v>
      </c>
      <c r="G46" s="341" t="s">
        <v>2802</v>
      </c>
      <c r="H46" s="342">
        <v>44915</v>
      </c>
      <c r="I46" s="11" t="s">
        <v>75</v>
      </c>
      <c r="J46" s="11" t="s">
        <v>22</v>
      </c>
      <c r="K46" s="11" t="s">
        <v>328</v>
      </c>
      <c r="L46" s="338" t="s">
        <v>1982</v>
      </c>
      <c r="M46" s="323" t="s">
        <v>2804</v>
      </c>
      <c r="N46" s="324">
        <v>45736</v>
      </c>
      <c r="O46" s="324">
        <v>45737</v>
      </c>
      <c r="P46" s="324">
        <v>45742</v>
      </c>
      <c r="Q46" s="324">
        <v>45742</v>
      </c>
      <c r="R46" s="324">
        <v>45743</v>
      </c>
      <c r="S46" s="45">
        <f t="shared" si="4"/>
        <v>1</v>
      </c>
      <c r="T46" s="45">
        <f t="shared" si="5"/>
        <v>3</v>
      </c>
      <c r="U46" s="45">
        <f t="shared" si="6"/>
        <v>3</v>
      </c>
      <c r="V46" s="45">
        <f t="shared" si="7"/>
        <v>1</v>
      </c>
      <c r="W46" s="133" t="s">
        <v>150</v>
      </c>
      <c r="X46" s="11" t="s">
        <v>50</v>
      </c>
      <c r="Y46" s="133">
        <v>10</v>
      </c>
      <c r="Z46" s="11" t="s">
        <v>57</v>
      </c>
      <c r="AA46" s="11" t="s">
        <v>57</v>
      </c>
      <c r="AB46" s="11">
        <v>30</v>
      </c>
      <c r="AC46" s="133" t="s">
        <v>69</v>
      </c>
      <c r="AD46" s="96" t="s">
        <v>2797</v>
      </c>
      <c r="AE46" s="7"/>
      <c r="AF46" s="11"/>
      <c r="AG46" s="11"/>
    </row>
    <row r="47" spans="1:33">
      <c r="A47" s="76" t="s">
        <v>776</v>
      </c>
      <c r="B47" s="338" t="s">
        <v>2805</v>
      </c>
      <c r="C47" s="339" t="s">
        <v>1135</v>
      </c>
      <c r="D47" s="76" t="s">
        <v>143</v>
      </c>
      <c r="E47" s="76">
        <v>14.884565</v>
      </c>
      <c r="F47" s="340">
        <v>120.866975</v>
      </c>
      <c r="G47" s="341" t="s">
        <v>2806</v>
      </c>
      <c r="H47" s="342">
        <v>44915</v>
      </c>
      <c r="I47" s="11" t="s">
        <v>76</v>
      </c>
      <c r="J47" s="11" t="s">
        <v>22</v>
      </c>
      <c r="K47" s="11"/>
      <c r="L47" s="338" t="s">
        <v>1982</v>
      </c>
      <c r="M47" s="323" t="s">
        <v>2807</v>
      </c>
      <c r="N47" s="324">
        <v>45777</v>
      </c>
      <c r="O47" s="324">
        <v>45777</v>
      </c>
      <c r="P47" s="324"/>
      <c r="Q47" s="324">
        <v>45793</v>
      </c>
      <c r="R47" s="324">
        <v>45796</v>
      </c>
      <c r="S47" s="45">
        <f t="shared" si="4"/>
        <v>1</v>
      </c>
      <c r="T47" s="45" t="str">
        <f t="shared" si="5"/>
        <v/>
      </c>
      <c r="U47" s="45">
        <f t="shared" si="6"/>
        <v>12</v>
      </c>
      <c r="V47" s="45">
        <f t="shared" si="7"/>
        <v>1</v>
      </c>
      <c r="W47" s="133" t="s">
        <v>150</v>
      </c>
      <c r="X47" s="11" t="s">
        <v>50</v>
      </c>
      <c r="Y47" s="133">
        <v>12</v>
      </c>
      <c r="Z47" s="11" t="s">
        <v>50</v>
      </c>
      <c r="AA47" s="11" t="s">
        <v>50</v>
      </c>
      <c r="AB47" s="11">
        <v>100</v>
      </c>
      <c r="AC47" s="133" t="s">
        <v>69</v>
      </c>
      <c r="AD47" s="96" t="s">
        <v>2808</v>
      </c>
      <c r="AE47" s="7"/>
      <c r="AF47" s="11"/>
      <c r="AG47" s="11"/>
    </row>
    <row r="48" spans="1:33" ht="30">
      <c r="A48" s="76" t="s">
        <v>776</v>
      </c>
      <c r="B48" s="338" t="s">
        <v>2809</v>
      </c>
      <c r="C48" s="339" t="s">
        <v>1135</v>
      </c>
      <c r="D48" s="76" t="s">
        <v>143</v>
      </c>
      <c r="E48" s="76">
        <v>14.888356999999999</v>
      </c>
      <c r="F48" s="340">
        <v>120.87492399999999</v>
      </c>
      <c r="G48" s="341" t="s">
        <v>2810</v>
      </c>
      <c r="H48" s="342">
        <v>44915</v>
      </c>
      <c r="I48" s="11" t="s">
        <v>76</v>
      </c>
      <c r="J48" s="11" t="s">
        <v>2261</v>
      </c>
      <c r="K48" s="11"/>
      <c r="L48" s="338" t="s">
        <v>1982</v>
      </c>
      <c r="M48" s="323" t="s">
        <v>2811</v>
      </c>
      <c r="N48" s="324">
        <v>45777</v>
      </c>
      <c r="O48" s="324">
        <v>45777</v>
      </c>
      <c r="P48" s="324"/>
      <c r="Q48" s="324">
        <v>45793</v>
      </c>
      <c r="R48" s="324">
        <v>45796</v>
      </c>
      <c r="S48" s="45">
        <f t="shared" si="4"/>
        <v>1</v>
      </c>
      <c r="T48" s="45" t="str">
        <f t="shared" si="5"/>
        <v/>
      </c>
      <c r="U48" s="45">
        <f t="shared" si="6"/>
        <v>12</v>
      </c>
      <c r="V48" s="45">
        <f t="shared" si="7"/>
        <v>1</v>
      </c>
      <c r="W48" s="133" t="s">
        <v>150</v>
      </c>
      <c r="X48" s="11" t="s">
        <v>50</v>
      </c>
      <c r="Y48" s="133">
        <v>16</v>
      </c>
      <c r="Z48" s="11" t="s">
        <v>57</v>
      </c>
      <c r="AA48" s="11" t="s">
        <v>57</v>
      </c>
      <c r="AB48" s="11" t="s">
        <v>2812</v>
      </c>
      <c r="AC48" s="133" t="s">
        <v>69</v>
      </c>
      <c r="AD48" s="96" t="s">
        <v>2813</v>
      </c>
      <c r="AE48" s="7"/>
      <c r="AF48" s="11"/>
      <c r="AG48" s="11"/>
    </row>
    <row r="49" spans="1:33" ht="30">
      <c r="A49" s="76" t="s">
        <v>776</v>
      </c>
      <c r="B49" s="338" t="s">
        <v>2814</v>
      </c>
      <c r="C49" s="339" t="s">
        <v>1135</v>
      </c>
      <c r="D49" s="76" t="s">
        <v>143</v>
      </c>
      <c r="E49" s="76">
        <v>14.9016</v>
      </c>
      <c r="F49" s="340">
        <v>120.897576</v>
      </c>
      <c r="G49" s="341" t="s">
        <v>2815</v>
      </c>
      <c r="H49" s="342">
        <v>44915</v>
      </c>
      <c r="I49" s="11" t="s">
        <v>76</v>
      </c>
      <c r="J49" s="11" t="s">
        <v>2261</v>
      </c>
      <c r="K49" s="11"/>
      <c r="L49" s="338" t="s">
        <v>1982</v>
      </c>
      <c r="M49" s="323" t="s">
        <v>2816</v>
      </c>
      <c r="N49" s="324">
        <v>45777</v>
      </c>
      <c r="O49" s="324">
        <v>45777</v>
      </c>
      <c r="P49" s="324"/>
      <c r="Q49" s="324">
        <v>45782</v>
      </c>
      <c r="R49" s="324">
        <v>45783</v>
      </c>
      <c r="S49" s="45">
        <f t="shared" si="4"/>
        <v>1</v>
      </c>
      <c r="T49" s="45" t="str">
        <f t="shared" si="5"/>
        <v/>
      </c>
      <c r="U49" s="45">
        <f t="shared" si="6"/>
        <v>3</v>
      </c>
      <c r="V49" s="45">
        <f t="shared" si="7"/>
        <v>1</v>
      </c>
      <c r="W49" s="133" t="s">
        <v>150</v>
      </c>
      <c r="X49" s="11" t="s">
        <v>50</v>
      </c>
      <c r="Y49" s="133">
        <v>18</v>
      </c>
      <c r="Z49" s="11" t="s">
        <v>57</v>
      </c>
      <c r="AA49" s="11" t="s">
        <v>57</v>
      </c>
      <c r="AB49" s="11" t="s">
        <v>2817</v>
      </c>
      <c r="AC49" s="133" t="s">
        <v>69</v>
      </c>
      <c r="AD49" s="96" t="s">
        <v>2797</v>
      </c>
      <c r="AE49" s="7"/>
      <c r="AF49" s="11"/>
      <c r="AG49" s="11"/>
    </row>
    <row r="50" spans="1:33" ht="30">
      <c r="A50" s="76" t="s">
        <v>776</v>
      </c>
      <c r="B50" s="338" t="s">
        <v>2729</v>
      </c>
      <c r="C50" s="339" t="s">
        <v>1135</v>
      </c>
      <c r="D50" s="76" t="s">
        <v>143</v>
      </c>
      <c r="E50" s="76">
        <v>14.872032000000001</v>
      </c>
      <c r="F50" s="340">
        <v>120.861024</v>
      </c>
      <c r="G50" s="341" t="s">
        <v>2818</v>
      </c>
      <c r="H50" s="342">
        <v>44915</v>
      </c>
      <c r="I50" s="11" t="s">
        <v>75</v>
      </c>
      <c r="J50" s="11" t="s">
        <v>2271</v>
      </c>
      <c r="K50" s="11" t="s">
        <v>328</v>
      </c>
      <c r="L50" s="338" t="s">
        <v>1982</v>
      </c>
      <c r="M50" s="323" t="s">
        <v>2819</v>
      </c>
      <c r="N50" s="324">
        <v>45735</v>
      </c>
      <c r="O50" s="324">
        <v>45738</v>
      </c>
      <c r="P50" s="324">
        <v>45742</v>
      </c>
      <c r="Q50" s="324">
        <v>45742</v>
      </c>
      <c r="R50" s="324">
        <v>45743</v>
      </c>
      <c r="S50" s="45">
        <f t="shared" si="4"/>
        <v>2</v>
      </c>
      <c r="T50" s="45">
        <f t="shared" si="5"/>
        <v>2</v>
      </c>
      <c r="U50" s="45">
        <f t="shared" si="6"/>
        <v>2</v>
      </c>
      <c r="V50" s="45">
        <f t="shared" si="7"/>
        <v>1</v>
      </c>
      <c r="W50" s="133" t="s">
        <v>150</v>
      </c>
      <c r="X50" s="11" t="s">
        <v>50</v>
      </c>
      <c r="Y50" s="133">
        <v>14</v>
      </c>
      <c r="Z50" s="11" t="s">
        <v>57</v>
      </c>
      <c r="AA50" s="11" t="s">
        <v>57</v>
      </c>
      <c r="AB50" s="11">
        <v>200</v>
      </c>
      <c r="AC50" s="133" t="s">
        <v>69</v>
      </c>
      <c r="AD50" s="96" t="s">
        <v>2797</v>
      </c>
      <c r="AE50" s="7"/>
      <c r="AF50" s="11"/>
      <c r="AG50" s="11"/>
    </row>
    <row r="51" spans="1:33" ht="30">
      <c r="A51" s="76" t="s">
        <v>776</v>
      </c>
      <c r="B51" s="338" t="s">
        <v>2729</v>
      </c>
      <c r="C51" s="339" t="s">
        <v>1135</v>
      </c>
      <c r="D51" s="76" t="s">
        <v>143</v>
      </c>
      <c r="E51" s="76">
        <v>14.86881906</v>
      </c>
      <c r="F51" s="340">
        <v>120.85861523</v>
      </c>
      <c r="G51" s="341" t="s">
        <v>2820</v>
      </c>
      <c r="H51" s="342">
        <v>44915</v>
      </c>
      <c r="I51" s="11" t="s">
        <v>75</v>
      </c>
      <c r="J51" s="11" t="s">
        <v>2271</v>
      </c>
      <c r="K51" s="11" t="s">
        <v>328</v>
      </c>
      <c r="L51" s="338" t="s">
        <v>1982</v>
      </c>
      <c r="M51" s="323" t="s">
        <v>2821</v>
      </c>
      <c r="N51" s="324">
        <v>45735</v>
      </c>
      <c r="O51" s="324">
        <v>45738</v>
      </c>
      <c r="P51" s="324">
        <v>45742</v>
      </c>
      <c r="Q51" s="324">
        <v>45742</v>
      </c>
      <c r="R51" s="324">
        <v>45743</v>
      </c>
      <c r="S51" s="45">
        <f t="shared" si="4"/>
        <v>2</v>
      </c>
      <c r="T51" s="45">
        <f t="shared" si="5"/>
        <v>2</v>
      </c>
      <c r="U51" s="45">
        <f t="shared" si="6"/>
        <v>2</v>
      </c>
      <c r="V51" s="45">
        <f t="shared" si="7"/>
        <v>1</v>
      </c>
      <c r="W51" s="133" t="s">
        <v>150</v>
      </c>
      <c r="X51" s="11" t="s">
        <v>50</v>
      </c>
      <c r="Y51" s="133">
        <v>8</v>
      </c>
      <c r="Z51" s="11" t="s">
        <v>57</v>
      </c>
      <c r="AA51" s="11" t="s">
        <v>57</v>
      </c>
      <c r="AB51" s="11">
        <v>200</v>
      </c>
      <c r="AC51" s="133" t="s">
        <v>69</v>
      </c>
      <c r="AD51" s="96" t="s">
        <v>2797</v>
      </c>
      <c r="AE51" s="7"/>
      <c r="AF51" s="11"/>
      <c r="AG51" s="11"/>
    </row>
    <row r="52" spans="1:33" ht="30">
      <c r="A52" s="76" t="s">
        <v>776</v>
      </c>
      <c r="B52" s="338" t="s">
        <v>2729</v>
      </c>
      <c r="C52" s="339" t="s">
        <v>1135</v>
      </c>
      <c r="D52" s="76" t="s">
        <v>143</v>
      </c>
      <c r="E52" s="76">
        <v>14.881816000000001</v>
      </c>
      <c r="F52" s="340">
        <v>120.86034100000001</v>
      </c>
      <c r="G52" s="341" t="s">
        <v>2822</v>
      </c>
      <c r="H52" s="342">
        <v>44915</v>
      </c>
      <c r="I52" s="11" t="s">
        <v>75</v>
      </c>
      <c r="J52" s="11" t="s">
        <v>2271</v>
      </c>
      <c r="K52" s="11" t="s">
        <v>328</v>
      </c>
      <c r="L52" s="338" t="s">
        <v>1982</v>
      </c>
      <c r="M52" s="323" t="s">
        <v>2823</v>
      </c>
      <c r="N52" s="324">
        <v>45735</v>
      </c>
      <c r="O52" s="324">
        <v>45738</v>
      </c>
      <c r="P52" s="324">
        <v>45742</v>
      </c>
      <c r="Q52" s="324">
        <v>45742</v>
      </c>
      <c r="R52" s="324">
        <v>45742</v>
      </c>
      <c r="S52" s="45">
        <f t="shared" si="4"/>
        <v>2</v>
      </c>
      <c r="T52" s="45">
        <f t="shared" si="5"/>
        <v>2</v>
      </c>
      <c r="U52" s="45">
        <f t="shared" si="6"/>
        <v>2</v>
      </c>
      <c r="V52" s="45">
        <f t="shared" si="7"/>
        <v>1</v>
      </c>
      <c r="W52" s="133" t="s">
        <v>150</v>
      </c>
      <c r="X52" s="11" t="s">
        <v>50</v>
      </c>
      <c r="Y52" s="133">
        <v>16</v>
      </c>
      <c r="Z52" s="11" t="s">
        <v>57</v>
      </c>
      <c r="AA52" s="11" t="s">
        <v>57</v>
      </c>
      <c r="AB52" s="11">
        <v>200</v>
      </c>
      <c r="AC52" s="11" t="s">
        <v>69</v>
      </c>
      <c r="AD52" s="96" t="s">
        <v>2797</v>
      </c>
      <c r="AE52" s="7"/>
      <c r="AF52" s="11"/>
      <c r="AG52" s="11"/>
    </row>
    <row r="53" spans="1:33" ht="30">
      <c r="A53" s="76" t="s">
        <v>776</v>
      </c>
      <c r="B53" s="338" t="s">
        <v>2824</v>
      </c>
      <c r="C53" s="339" t="s">
        <v>2825</v>
      </c>
      <c r="D53" s="76" t="s">
        <v>143</v>
      </c>
      <c r="E53" s="76">
        <v>14.831517</v>
      </c>
      <c r="F53" s="340">
        <v>121.0377707</v>
      </c>
      <c r="G53" s="341" t="s">
        <v>2826</v>
      </c>
      <c r="H53" s="342">
        <v>44915</v>
      </c>
      <c r="I53" s="11" t="s">
        <v>76</v>
      </c>
      <c r="J53" s="11" t="s">
        <v>2261</v>
      </c>
      <c r="K53" s="11"/>
      <c r="L53" s="338" t="s">
        <v>1982</v>
      </c>
      <c r="M53" s="323" t="s">
        <v>2827</v>
      </c>
      <c r="N53" s="324">
        <v>45769</v>
      </c>
      <c r="O53" s="324">
        <v>45774</v>
      </c>
      <c r="P53" s="324"/>
      <c r="Q53" s="324">
        <v>45775</v>
      </c>
      <c r="R53" s="324">
        <v>45782</v>
      </c>
      <c r="S53" s="45">
        <f t="shared" si="4"/>
        <v>3</v>
      </c>
      <c r="T53" s="45" t="str">
        <f t="shared" si="5"/>
        <v/>
      </c>
      <c r="U53" s="45">
        <f t="shared" si="6"/>
        <v>1</v>
      </c>
      <c r="V53" s="45">
        <f t="shared" si="7"/>
        <v>5</v>
      </c>
      <c r="W53" s="133" t="s">
        <v>150</v>
      </c>
      <c r="X53" s="11" t="s">
        <v>57</v>
      </c>
      <c r="Y53" s="133" t="s">
        <v>69</v>
      </c>
      <c r="Z53" s="11" t="s">
        <v>57</v>
      </c>
      <c r="AA53" s="11" t="s">
        <v>57</v>
      </c>
      <c r="AB53" s="78" t="s">
        <v>1239</v>
      </c>
      <c r="AC53" s="133" t="s">
        <v>69</v>
      </c>
      <c r="AD53" s="96" t="s">
        <v>2828</v>
      </c>
      <c r="AE53" s="7"/>
      <c r="AF53" s="11"/>
      <c r="AG53" s="11"/>
    </row>
    <row r="54" spans="1:33">
      <c r="A54" s="76" t="s">
        <v>776</v>
      </c>
      <c r="B54" s="338" t="s">
        <v>2829</v>
      </c>
      <c r="C54" s="339" t="s">
        <v>2825</v>
      </c>
      <c r="D54" s="76" t="s">
        <v>143</v>
      </c>
      <c r="E54" s="76">
        <v>14.799087</v>
      </c>
      <c r="F54" s="340">
        <v>121.07135</v>
      </c>
      <c r="G54" s="341" t="s">
        <v>2830</v>
      </c>
      <c r="H54" s="342">
        <v>44915</v>
      </c>
      <c r="I54" s="11" t="s">
        <v>76</v>
      </c>
      <c r="J54" s="11" t="s">
        <v>2261</v>
      </c>
      <c r="K54" s="11"/>
      <c r="L54" s="338" t="s">
        <v>1982</v>
      </c>
      <c r="M54" s="323" t="s">
        <v>2831</v>
      </c>
      <c r="N54" s="324">
        <v>45769</v>
      </c>
      <c r="O54" s="324">
        <v>45774</v>
      </c>
      <c r="P54" s="324"/>
      <c r="Q54" s="324">
        <v>45775</v>
      </c>
      <c r="R54" s="324">
        <v>45782</v>
      </c>
      <c r="S54" s="45">
        <f t="shared" si="4"/>
        <v>3</v>
      </c>
      <c r="T54" s="45" t="str">
        <f t="shared" si="5"/>
        <v/>
      </c>
      <c r="U54" s="45">
        <f t="shared" si="6"/>
        <v>1</v>
      </c>
      <c r="V54" s="45">
        <f t="shared" si="7"/>
        <v>5</v>
      </c>
      <c r="W54" s="133" t="s">
        <v>150</v>
      </c>
      <c r="X54" s="11" t="s">
        <v>50</v>
      </c>
      <c r="Y54" s="133">
        <v>16</v>
      </c>
      <c r="Z54" s="11" t="s">
        <v>57</v>
      </c>
      <c r="AA54" s="11" t="s">
        <v>57</v>
      </c>
      <c r="AB54" s="11" t="s">
        <v>1239</v>
      </c>
      <c r="AC54" s="133" t="s">
        <v>69</v>
      </c>
      <c r="AD54" s="96" t="s">
        <v>2832</v>
      </c>
      <c r="AE54" s="7"/>
      <c r="AF54" s="11"/>
      <c r="AG54" s="11"/>
    </row>
    <row r="55" spans="1:33" ht="105">
      <c r="A55" s="76" t="s">
        <v>776</v>
      </c>
      <c r="B55" s="338" t="s">
        <v>2833</v>
      </c>
      <c r="C55" s="339" t="s">
        <v>2825</v>
      </c>
      <c r="D55" s="76" t="s">
        <v>143</v>
      </c>
      <c r="E55" s="76">
        <v>14.809602</v>
      </c>
      <c r="F55" s="340">
        <v>121.05072</v>
      </c>
      <c r="G55" s="341" t="s">
        <v>2834</v>
      </c>
      <c r="H55" s="342">
        <v>44915</v>
      </c>
      <c r="I55" s="11" t="s">
        <v>76</v>
      </c>
      <c r="J55" s="11" t="s">
        <v>2261</v>
      </c>
      <c r="K55" s="11"/>
      <c r="L55" s="338" t="s">
        <v>1982</v>
      </c>
      <c r="M55" s="323" t="s">
        <v>2835</v>
      </c>
      <c r="N55" s="324">
        <v>45769</v>
      </c>
      <c r="O55" s="324">
        <v>45774</v>
      </c>
      <c r="P55" s="324"/>
      <c r="Q55" s="324">
        <v>45774</v>
      </c>
      <c r="R55" s="324">
        <v>45782</v>
      </c>
      <c r="S55" s="45">
        <f t="shared" si="4"/>
        <v>3</v>
      </c>
      <c r="T55" s="45" t="str">
        <f t="shared" si="5"/>
        <v/>
      </c>
      <c r="U55" s="45">
        <f t="shared" si="6"/>
        <v>1</v>
      </c>
      <c r="V55" s="45">
        <f t="shared" si="7"/>
        <v>5</v>
      </c>
      <c r="W55" s="133" t="s">
        <v>150</v>
      </c>
      <c r="X55" s="11" t="s">
        <v>57</v>
      </c>
      <c r="Y55" s="133">
        <v>15</v>
      </c>
      <c r="Z55" s="11" t="s">
        <v>57</v>
      </c>
      <c r="AA55" s="11" t="s">
        <v>57</v>
      </c>
      <c r="AB55" s="11" t="s">
        <v>1239</v>
      </c>
      <c r="AC55" s="133" t="s">
        <v>2784</v>
      </c>
      <c r="AD55" s="96" t="s">
        <v>2836</v>
      </c>
      <c r="AE55" s="7"/>
      <c r="AF55" s="11"/>
      <c r="AG55" s="11"/>
    </row>
    <row r="56" spans="1:33" ht="30">
      <c r="A56" s="76" t="s">
        <v>776</v>
      </c>
      <c r="B56" s="338" t="s">
        <v>2837</v>
      </c>
      <c r="C56" s="339" t="s">
        <v>1151</v>
      </c>
      <c r="D56" s="76" t="s">
        <v>143</v>
      </c>
      <c r="E56" s="76">
        <v>15.196086660000001</v>
      </c>
      <c r="F56" s="340">
        <v>120.9582133</v>
      </c>
      <c r="G56" s="341" t="s">
        <v>2838</v>
      </c>
      <c r="H56" s="342">
        <v>44900</v>
      </c>
      <c r="I56" s="11" t="s">
        <v>78</v>
      </c>
      <c r="J56" s="11" t="s">
        <v>22</v>
      </c>
      <c r="K56" s="11"/>
      <c r="L56" s="338" t="s">
        <v>201</v>
      </c>
      <c r="M56" s="323" t="s">
        <v>2839</v>
      </c>
      <c r="N56" s="324">
        <v>45832</v>
      </c>
      <c r="O56" s="324">
        <v>45866</v>
      </c>
      <c r="P56" s="324"/>
      <c r="Q56" s="324">
        <v>45867</v>
      </c>
      <c r="R56" s="324">
        <v>45869</v>
      </c>
      <c r="S56" s="45">
        <f t="shared" si="4"/>
        <v>24</v>
      </c>
      <c r="T56" s="45" t="str">
        <f t="shared" si="5"/>
        <v/>
      </c>
      <c r="U56" s="45">
        <f t="shared" si="6"/>
        <v>1</v>
      </c>
      <c r="V56" s="45">
        <f t="shared" si="7"/>
        <v>2</v>
      </c>
      <c r="W56" s="133" t="s">
        <v>150</v>
      </c>
      <c r="X56" s="11" t="s">
        <v>50</v>
      </c>
      <c r="Y56" s="133">
        <v>11</v>
      </c>
      <c r="Z56" s="11" t="s">
        <v>50</v>
      </c>
      <c r="AA56" s="11" t="s">
        <v>50</v>
      </c>
      <c r="AB56" s="11">
        <v>1250</v>
      </c>
      <c r="AC56" s="133"/>
      <c r="AD56" s="96" t="s">
        <v>2840</v>
      </c>
      <c r="AE56" s="7"/>
      <c r="AF56" s="11"/>
      <c r="AG56" s="11"/>
    </row>
    <row r="57" spans="1:33" ht="30">
      <c r="A57" s="76" t="s">
        <v>776</v>
      </c>
      <c r="B57" s="338" t="s">
        <v>2841</v>
      </c>
      <c r="C57" s="339" t="s">
        <v>1151</v>
      </c>
      <c r="D57" s="76" t="s">
        <v>143</v>
      </c>
      <c r="E57" s="76">
        <v>15.0073215</v>
      </c>
      <c r="F57" s="340">
        <v>120.778071</v>
      </c>
      <c r="G57" s="341" t="s">
        <v>2842</v>
      </c>
      <c r="H57" s="342">
        <v>44900</v>
      </c>
      <c r="I57" s="11" t="s">
        <v>78</v>
      </c>
      <c r="J57" s="11" t="s">
        <v>22</v>
      </c>
      <c r="K57" s="11"/>
      <c r="L57" s="338" t="s">
        <v>201</v>
      </c>
      <c r="M57" s="323" t="s">
        <v>2843</v>
      </c>
      <c r="N57" s="324">
        <v>45827</v>
      </c>
      <c r="O57" s="324">
        <v>45831</v>
      </c>
      <c r="P57" s="324"/>
      <c r="Q57" s="324">
        <v>45833</v>
      </c>
      <c r="R57" s="324">
        <v>45840</v>
      </c>
      <c r="S57" s="45">
        <f t="shared" si="4"/>
        <v>2</v>
      </c>
      <c r="T57" s="45" t="str">
        <f t="shared" si="5"/>
        <v/>
      </c>
      <c r="U57" s="45">
        <f t="shared" si="6"/>
        <v>2</v>
      </c>
      <c r="V57" s="45">
        <f t="shared" si="7"/>
        <v>5</v>
      </c>
      <c r="W57" s="133" t="s">
        <v>150</v>
      </c>
      <c r="X57" s="11" t="s">
        <v>50</v>
      </c>
      <c r="Y57" s="133">
        <v>15</v>
      </c>
      <c r="Z57" s="11" t="s">
        <v>57</v>
      </c>
      <c r="AA57" s="11" t="s">
        <v>50</v>
      </c>
      <c r="AB57" s="11" t="s">
        <v>2844</v>
      </c>
      <c r="AC57" s="133"/>
      <c r="AD57" s="96" t="s">
        <v>2840</v>
      </c>
      <c r="AE57" s="7"/>
      <c r="AF57" s="11"/>
      <c r="AG57" s="11"/>
    </row>
    <row r="58" spans="1:33" ht="30">
      <c r="A58" s="76" t="s">
        <v>776</v>
      </c>
      <c r="B58" s="338" t="s">
        <v>2841</v>
      </c>
      <c r="C58" s="339" t="s">
        <v>1151</v>
      </c>
      <c r="D58" s="76" t="s">
        <v>143</v>
      </c>
      <c r="E58" s="76">
        <v>15.139205</v>
      </c>
      <c r="F58" s="340">
        <v>120.9775483</v>
      </c>
      <c r="G58" s="341" t="s">
        <v>2845</v>
      </c>
      <c r="H58" s="342">
        <v>44900</v>
      </c>
      <c r="I58" s="11" t="s">
        <v>78</v>
      </c>
      <c r="J58" s="11" t="s">
        <v>22</v>
      </c>
      <c r="K58" s="11"/>
      <c r="L58" s="338" t="s">
        <v>201</v>
      </c>
      <c r="M58" s="323" t="s">
        <v>2846</v>
      </c>
      <c r="N58" s="324">
        <v>45827</v>
      </c>
      <c r="O58" s="324">
        <v>45831</v>
      </c>
      <c r="P58" s="324"/>
      <c r="Q58" s="324">
        <v>45833</v>
      </c>
      <c r="R58" s="324">
        <v>45840</v>
      </c>
      <c r="S58" s="45">
        <f t="shared" si="4"/>
        <v>2</v>
      </c>
      <c r="T58" s="45" t="str">
        <f t="shared" si="5"/>
        <v/>
      </c>
      <c r="U58" s="45">
        <f t="shared" si="6"/>
        <v>2</v>
      </c>
      <c r="V58" s="45">
        <f t="shared" si="7"/>
        <v>5</v>
      </c>
      <c r="W58" s="133" t="s">
        <v>150</v>
      </c>
      <c r="X58" s="11" t="s">
        <v>57</v>
      </c>
      <c r="Y58" s="133">
        <v>15</v>
      </c>
      <c r="Z58" s="11" t="s">
        <v>57</v>
      </c>
      <c r="AA58" s="11" t="s">
        <v>57</v>
      </c>
      <c r="AB58" s="11" t="s">
        <v>2844</v>
      </c>
      <c r="AC58" s="133"/>
      <c r="AD58" s="96" t="s">
        <v>2840</v>
      </c>
      <c r="AE58" s="7"/>
      <c r="AF58" s="11"/>
      <c r="AG58" s="11"/>
    </row>
    <row r="59" spans="1:33" ht="30">
      <c r="A59" s="76" t="s">
        <v>776</v>
      </c>
      <c r="B59" s="338" t="s">
        <v>2847</v>
      </c>
      <c r="C59" s="339" t="s">
        <v>1151</v>
      </c>
      <c r="D59" s="76" t="s">
        <v>143</v>
      </c>
      <c r="E59" s="76">
        <v>15.18269666</v>
      </c>
      <c r="F59" s="340">
        <v>120.9604283</v>
      </c>
      <c r="G59" s="341" t="s">
        <v>2848</v>
      </c>
      <c r="H59" s="342">
        <v>44900</v>
      </c>
      <c r="I59" s="11" t="s">
        <v>78</v>
      </c>
      <c r="J59" s="11" t="s">
        <v>22</v>
      </c>
      <c r="K59" s="11"/>
      <c r="L59" s="338" t="s">
        <v>201</v>
      </c>
      <c r="M59" s="323" t="s">
        <v>2849</v>
      </c>
      <c r="N59" s="324">
        <v>45832</v>
      </c>
      <c r="O59" s="324">
        <v>45866</v>
      </c>
      <c r="P59" s="324"/>
      <c r="Q59" s="324">
        <v>45867</v>
      </c>
      <c r="R59" s="324">
        <v>45869</v>
      </c>
      <c r="S59" s="45">
        <f t="shared" si="4"/>
        <v>24</v>
      </c>
      <c r="T59" s="45" t="str">
        <f t="shared" si="5"/>
        <v/>
      </c>
      <c r="U59" s="45">
        <f t="shared" si="6"/>
        <v>1</v>
      </c>
      <c r="V59" s="45">
        <f t="shared" si="7"/>
        <v>2</v>
      </c>
      <c r="W59" s="133" t="s">
        <v>150</v>
      </c>
      <c r="X59" s="11" t="s">
        <v>50</v>
      </c>
      <c r="Y59" s="133">
        <v>21</v>
      </c>
      <c r="Z59" s="11" t="s">
        <v>50</v>
      </c>
      <c r="AA59" s="11" t="s">
        <v>50</v>
      </c>
      <c r="AB59" s="11">
        <v>1750</v>
      </c>
      <c r="AC59" s="133"/>
      <c r="AD59" s="96" t="s">
        <v>2840</v>
      </c>
      <c r="AE59" s="7"/>
      <c r="AF59" s="11"/>
      <c r="AG59" s="11"/>
    </row>
    <row r="60" spans="1:33">
      <c r="A60" s="76" t="s">
        <v>776</v>
      </c>
      <c r="B60" s="338" t="s">
        <v>2850</v>
      </c>
      <c r="C60" s="339" t="s">
        <v>1151</v>
      </c>
      <c r="D60" s="76" t="s">
        <v>143</v>
      </c>
      <c r="E60" s="76">
        <v>15.126785549999999</v>
      </c>
      <c r="F60" s="340">
        <v>120.9511182</v>
      </c>
      <c r="G60" s="341" t="s">
        <v>2851</v>
      </c>
      <c r="H60" s="342">
        <v>44900</v>
      </c>
      <c r="I60" s="11" t="s">
        <v>78</v>
      </c>
      <c r="J60" s="11" t="s">
        <v>22</v>
      </c>
      <c r="K60" s="11"/>
      <c r="L60" s="338" t="s">
        <v>201</v>
      </c>
      <c r="M60" s="323" t="s">
        <v>2852</v>
      </c>
      <c r="N60" s="324">
        <v>45827</v>
      </c>
      <c r="O60" s="324">
        <v>45831</v>
      </c>
      <c r="P60" s="324"/>
      <c r="Q60" s="324">
        <v>45831</v>
      </c>
      <c r="R60" s="324">
        <v>45869</v>
      </c>
      <c r="S60" s="45">
        <f t="shared" si="4"/>
        <v>2</v>
      </c>
      <c r="T60" s="45" t="str">
        <f t="shared" si="5"/>
        <v/>
      </c>
      <c r="U60" s="45">
        <f t="shared" si="6"/>
        <v>1</v>
      </c>
      <c r="V60" s="45">
        <f t="shared" si="7"/>
        <v>28</v>
      </c>
      <c r="W60" s="133" t="s">
        <v>150</v>
      </c>
      <c r="X60" s="11" t="s">
        <v>57</v>
      </c>
      <c r="Y60" s="133">
        <v>22</v>
      </c>
      <c r="Z60" s="11" t="s">
        <v>57</v>
      </c>
      <c r="AA60" s="11" t="s">
        <v>57</v>
      </c>
      <c r="AB60" s="11"/>
      <c r="AC60" s="133" t="s">
        <v>2853</v>
      </c>
      <c r="AD60" s="96" t="s">
        <v>2854</v>
      </c>
      <c r="AE60" s="7"/>
      <c r="AF60" s="11"/>
      <c r="AG60" s="11"/>
    </row>
    <row r="61" spans="1:33" ht="30">
      <c r="A61" s="76" t="s">
        <v>776</v>
      </c>
      <c r="B61" s="338" t="s">
        <v>2855</v>
      </c>
      <c r="C61" s="339" t="s">
        <v>1151</v>
      </c>
      <c r="D61" s="76" t="s">
        <v>143</v>
      </c>
      <c r="E61" s="76">
        <v>15.140356000000001</v>
      </c>
      <c r="F61" s="340">
        <v>120.96810000000001</v>
      </c>
      <c r="G61" s="341" t="s">
        <v>2856</v>
      </c>
      <c r="H61" s="342">
        <v>44900</v>
      </c>
      <c r="I61" s="11" t="s">
        <v>78</v>
      </c>
      <c r="J61" s="11" t="s">
        <v>22</v>
      </c>
      <c r="K61" s="11"/>
      <c r="L61" s="338" t="s">
        <v>201</v>
      </c>
      <c r="M61" s="323" t="s">
        <v>2857</v>
      </c>
      <c r="N61" s="324">
        <v>45827</v>
      </c>
      <c r="O61" s="324">
        <v>45831</v>
      </c>
      <c r="P61" s="324"/>
      <c r="Q61" s="324">
        <v>45846</v>
      </c>
      <c r="R61" s="324">
        <v>45848</v>
      </c>
      <c r="S61" s="45">
        <f t="shared" si="4"/>
        <v>2</v>
      </c>
      <c r="T61" s="45" t="str">
        <f t="shared" si="5"/>
        <v/>
      </c>
      <c r="U61" s="45">
        <f t="shared" si="6"/>
        <v>11</v>
      </c>
      <c r="V61" s="45">
        <f t="shared" si="7"/>
        <v>2</v>
      </c>
      <c r="W61" s="133"/>
      <c r="X61" s="11" t="s">
        <v>50</v>
      </c>
      <c r="Y61" s="133">
        <v>12</v>
      </c>
      <c r="Z61" s="11" t="s">
        <v>57</v>
      </c>
      <c r="AA61" s="11" t="s">
        <v>57</v>
      </c>
      <c r="AB61" s="11">
        <v>1150</v>
      </c>
      <c r="AC61" s="78" t="s">
        <v>2858</v>
      </c>
      <c r="AD61" s="96" t="s">
        <v>2840</v>
      </c>
      <c r="AE61" s="7"/>
      <c r="AF61" s="11"/>
      <c r="AG61" s="11"/>
    </row>
    <row r="62" spans="1:33" ht="30">
      <c r="A62" s="76" t="s">
        <v>776</v>
      </c>
      <c r="B62" s="338" t="s">
        <v>2855</v>
      </c>
      <c r="C62" s="339" t="s">
        <v>1151</v>
      </c>
      <c r="D62" s="76" t="s">
        <v>143</v>
      </c>
      <c r="E62" s="76">
        <v>15.140356000000001</v>
      </c>
      <c r="F62" s="340">
        <v>120.96810000000001</v>
      </c>
      <c r="G62" s="341" t="s">
        <v>2856</v>
      </c>
      <c r="H62" s="342">
        <v>44900</v>
      </c>
      <c r="I62" s="11" t="s">
        <v>78</v>
      </c>
      <c r="J62" s="11" t="s">
        <v>22</v>
      </c>
      <c r="K62" s="11"/>
      <c r="L62" s="338" t="s">
        <v>201</v>
      </c>
      <c r="M62" s="323" t="s">
        <v>2859</v>
      </c>
      <c r="N62" s="324">
        <v>45827</v>
      </c>
      <c r="O62" s="324">
        <v>45831</v>
      </c>
      <c r="P62" s="324"/>
      <c r="Q62" s="324">
        <v>45846</v>
      </c>
      <c r="R62" s="324">
        <v>45840</v>
      </c>
      <c r="S62" s="45">
        <f t="shared" si="4"/>
        <v>2</v>
      </c>
      <c r="T62" s="45" t="str">
        <f t="shared" si="5"/>
        <v/>
      </c>
      <c r="U62" s="45">
        <f t="shared" si="6"/>
        <v>11</v>
      </c>
      <c r="V62" s="45">
        <f t="shared" si="7"/>
        <v>1</v>
      </c>
      <c r="W62" s="133"/>
      <c r="X62" s="11" t="s">
        <v>50</v>
      </c>
      <c r="Y62" s="133">
        <v>12</v>
      </c>
      <c r="Z62" s="11" t="s">
        <v>57</v>
      </c>
      <c r="AA62" s="11" t="s">
        <v>57</v>
      </c>
      <c r="AB62" s="11">
        <v>1150</v>
      </c>
      <c r="AC62" s="78" t="s">
        <v>2858</v>
      </c>
      <c r="AD62" s="96" t="s">
        <v>2860</v>
      </c>
      <c r="AE62" s="7"/>
      <c r="AF62" s="11"/>
      <c r="AG62" s="11"/>
    </row>
    <row r="63" spans="1:33" ht="30">
      <c r="A63" s="76" t="s">
        <v>776</v>
      </c>
      <c r="B63" s="338" t="s">
        <v>2861</v>
      </c>
      <c r="C63" s="339" t="s">
        <v>1151</v>
      </c>
      <c r="D63" s="76" t="s">
        <v>143</v>
      </c>
      <c r="E63" s="76">
        <v>15.181730290000001</v>
      </c>
      <c r="F63" s="340">
        <v>120.96120664</v>
      </c>
      <c r="G63" s="341" t="s">
        <v>2862</v>
      </c>
      <c r="H63" s="342">
        <v>44900</v>
      </c>
      <c r="I63" s="11" t="s">
        <v>78</v>
      </c>
      <c r="J63" s="11" t="s">
        <v>22</v>
      </c>
      <c r="K63" s="84"/>
      <c r="L63" s="338" t="s">
        <v>201</v>
      </c>
      <c r="M63" s="323" t="s">
        <v>2863</v>
      </c>
      <c r="N63" s="324">
        <v>45832</v>
      </c>
      <c r="O63" s="324">
        <v>45866</v>
      </c>
      <c r="P63" s="327"/>
      <c r="Q63" s="324">
        <v>45867</v>
      </c>
      <c r="R63" s="324">
        <v>45869</v>
      </c>
      <c r="S63" s="45">
        <f t="shared" si="4"/>
        <v>24</v>
      </c>
      <c r="T63" s="45" t="str">
        <f t="shared" si="5"/>
        <v/>
      </c>
      <c r="U63" s="45">
        <f t="shared" si="6"/>
        <v>1</v>
      </c>
      <c r="V63" s="45">
        <f t="shared" si="7"/>
        <v>2</v>
      </c>
      <c r="W63" s="133" t="s">
        <v>150</v>
      </c>
      <c r="X63" s="11" t="s">
        <v>50</v>
      </c>
      <c r="Y63" s="133">
        <v>21</v>
      </c>
      <c r="Z63" s="11" t="s">
        <v>50</v>
      </c>
      <c r="AA63" s="11" t="s">
        <v>50</v>
      </c>
      <c r="AB63" s="11">
        <v>1750</v>
      </c>
      <c r="AC63" s="133"/>
      <c r="AD63" s="96" t="s">
        <v>2840</v>
      </c>
      <c r="AE63" s="7"/>
      <c r="AF63" s="11"/>
      <c r="AG63" s="11"/>
    </row>
    <row r="64" spans="1:33">
      <c r="A64" s="76" t="s">
        <v>776</v>
      </c>
      <c r="B64" s="338" t="s">
        <v>2864</v>
      </c>
      <c r="C64" s="339" t="s">
        <v>1160</v>
      </c>
      <c r="D64" s="76" t="s">
        <v>143</v>
      </c>
      <c r="E64" s="76">
        <v>14.853016</v>
      </c>
      <c r="F64" s="340">
        <v>121.00062</v>
      </c>
      <c r="G64" s="341" t="s">
        <v>2865</v>
      </c>
      <c r="H64" s="342">
        <v>44915</v>
      </c>
      <c r="I64" s="11" t="s">
        <v>78</v>
      </c>
      <c r="J64" s="11" t="s">
        <v>2261</v>
      </c>
      <c r="K64" s="11"/>
      <c r="L64" s="338" t="s">
        <v>201</v>
      </c>
      <c r="M64" s="323" t="s">
        <v>2866</v>
      </c>
      <c r="N64" s="324">
        <v>45828</v>
      </c>
      <c r="O64" s="324">
        <v>45833</v>
      </c>
      <c r="P64" s="324"/>
      <c r="Q64" s="324">
        <v>45846</v>
      </c>
      <c r="R64" s="324">
        <v>45849</v>
      </c>
      <c r="S64" s="45">
        <f t="shared" si="4"/>
        <v>3</v>
      </c>
      <c r="T64" s="45" t="str">
        <f t="shared" si="5"/>
        <v/>
      </c>
      <c r="U64" s="45">
        <f t="shared" si="6"/>
        <v>9</v>
      </c>
      <c r="V64" s="45">
        <f t="shared" si="7"/>
        <v>3</v>
      </c>
      <c r="W64" s="133" t="s">
        <v>150</v>
      </c>
      <c r="X64" s="11" t="s">
        <v>57</v>
      </c>
      <c r="Y64" s="133">
        <v>10</v>
      </c>
      <c r="Z64" s="11" t="s">
        <v>57</v>
      </c>
      <c r="AA64" s="11" t="s">
        <v>57</v>
      </c>
      <c r="AB64" s="11" t="s">
        <v>2867</v>
      </c>
      <c r="AC64" s="133"/>
      <c r="AD64" s="96"/>
      <c r="AE64" s="7"/>
      <c r="AF64" s="11"/>
      <c r="AG64" s="11"/>
    </row>
    <row r="65" spans="1:33">
      <c r="A65" s="76" t="s">
        <v>776</v>
      </c>
      <c r="B65" s="338" t="s">
        <v>2864</v>
      </c>
      <c r="C65" s="339" t="s">
        <v>1160</v>
      </c>
      <c r="D65" s="76" t="s">
        <v>143</v>
      </c>
      <c r="E65" s="76">
        <v>14.842599999999999</v>
      </c>
      <c r="F65" s="340">
        <v>121.00190000000001</v>
      </c>
      <c r="G65" s="341" t="s">
        <v>2868</v>
      </c>
      <c r="H65" s="342">
        <v>44915</v>
      </c>
      <c r="I65" s="11" t="s">
        <v>78</v>
      </c>
      <c r="J65" s="11" t="s">
        <v>2261</v>
      </c>
      <c r="K65" s="11"/>
      <c r="L65" s="338" t="s">
        <v>201</v>
      </c>
      <c r="M65" s="323" t="s">
        <v>2869</v>
      </c>
      <c r="N65" s="324">
        <v>45828</v>
      </c>
      <c r="O65" s="324">
        <v>45833</v>
      </c>
      <c r="P65" s="324"/>
      <c r="Q65" s="324">
        <v>45846</v>
      </c>
      <c r="R65" s="324">
        <v>45853</v>
      </c>
      <c r="S65" s="45">
        <f t="shared" si="4"/>
        <v>3</v>
      </c>
      <c r="T65" s="45" t="str">
        <f t="shared" si="5"/>
        <v/>
      </c>
      <c r="U65" s="45">
        <f t="shared" si="6"/>
        <v>9</v>
      </c>
      <c r="V65" s="45">
        <f t="shared" si="7"/>
        <v>5</v>
      </c>
      <c r="W65" s="133" t="s">
        <v>150</v>
      </c>
      <c r="X65" s="11" t="s">
        <v>57</v>
      </c>
      <c r="Y65" s="133">
        <v>10</v>
      </c>
      <c r="Z65" s="11" t="s">
        <v>57</v>
      </c>
      <c r="AA65" s="11" t="s">
        <v>57</v>
      </c>
      <c r="AB65" s="11" t="s">
        <v>2867</v>
      </c>
      <c r="AC65" s="133"/>
      <c r="AD65" s="96"/>
      <c r="AE65" s="7"/>
      <c r="AF65" s="11"/>
      <c r="AG65" s="11"/>
    </row>
    <row r="66" spans="1:33">
      <c r="A66" s="76" t="s">
        <v>776</v>
      </c>
      <c r="B66" s="338" t="s">
        <v>2870</v>
      </c>
      <c r="C66" s="339" t="s">
        <v>1160</v>
      </c>
      <c r="D66" s="76" t="s">
        <v>143</v>
      </c>
      <c r="E66" s="76">
        <v>14.837937999999999</v>
      </c>
      <c r="F66" s="340">
        <v>120.96456000000001</v>
      </c>
      <c r="G66" s="341" t="s">
        <v>2871</v>
      </c>
      <c r="H66" s="342">
        <v>44915</v>
      </c>
      <c r="I66" s="11" t="s">
        <v>78</v>
      </c>
      <c r="J66" s="11" t="s">
        <v>2261</v>
      </c>
      <c r="K66" s="11"/>
      <c r="L66" s="338" t="s">
        <v>201</v>
      </c>
      <c r="M66" s="323" t="s">
        <v>2872</v>
      </c>
      <c r="N66" s="324">
        <v>45826</v>
      </c>
      <c r="O66" s="324">
        <v>45833</v>
      </c>
      <c r="P66" s="324"/>
      <c r="Q66" s="324">
        <v>45846</v>
      </c>
      <c r="R66" s="324">
        <v>45853</v>
      </c>
      <c r="S66" s="45">
        <f t="shared" ref="S66:S97" si="8">IF(
    OR(ISBLANK(N66), ISBLANK(O66)),
    "",
    MAX(1, IF(
        NETWORKDAYS(N66, O66) &lt;= 0,
        1,
        NETWORKDAYS(N66, O66) - IF(N66 = O66, 0, 1)
    ))
)</f>
        <v>5</v>
      </c>
      <c r="T66" s="45" t="str">
        <f t="shared" ref="T66:T97" si="9">IF(
    OR(ISBLANK(O66), ISBLANK(P66)),
    "",
    MAX(1, IF(
        NETWORKDAYS(O66, P66) &lt;= 0,
        1,
        NETWORKDAYS(O66, P66) - IF(O66 = P66, 0, 1)
    ))
)</f>
        <v/>
      </c>
      <c r="U66" s="45">
        <f t="shared" ref="U66:U97" si="10">IF(
  OR(A66 = "Nueva_Ecija", A66 = "Zambales"),
  IF(
    OR(ISBLANK(P66), ISBLANK(Q66)),
    "",
    MAX(1, IF(
      NETWORKDAYS(P66, Q66) &lt;= 0,
      1,
      NETWORKDAYS(P66, Q66) - IF(P66 = Q66, 0, 1)
    ))
  ),
  IF(
    OR(ISBLANK(O66), ISBLANK(Q66)),
    "",
    MAX(1, IF(
      NETWORKDAYS(O66, Q66) &lt;= 0,
      1,
      NETWORKDAYS(O66, Q66) - IF(O66 = Q66, 0, 1)
    ))
  )
)</f>
        <v>9</v>
      </c>
      <c r="V66" s="45">
        <f t="shared" ref="V66:V97" si="11">IF(
    OR(ISBLANK(Q66), ISBLANK(R66)),
    "",
    MAX(1, IF(
        NETWORKDAYS(Q66, R66) &lt;= 0,
        1,
        NETWORKDAYS(Q66, R66) - IF(Q66 = R66, 0, 1)
    ))
)</f>
        <v>5</v>
      </c>
      <c r="W66" s="133" t="s">
        <v>150</v>
      </c>
      <c r="X66" s="11" t="s">
        <v>50</v>
      </c>
      <c r="Y66" s="133">
        <v>9</v>
      </c>
      <c r="Z66" s="11" t="s">
        <v>57</v>
      </c>
      <c r="AA66" s="11" t="s">
        <v>57</v>
      </c>
      <c r="AB66" s="11" t="s">
        <v>2873</v>
      </c>
      <c r="AC66" s="133"/>
      <c r="AD66" s="96"/>
      <c r="AE66" s="7"/>
      <c r="AF66" s="11"/>
      <c r="AG66" s="11"/>
    </row>
    <row r="67" spans="1:33">
      <c r="A67" s="76" t="s">
        <v>776</v>
      </c>
      <c r="B67" s="338" t="s">
        <v>2874</v>
      </c>
      <c r="C67" s="339" t="s">
        <v>1160</v>
      </c>
      <c r="D67" s="76" t="s">
        <v>143</v>
      </c>
      <c r="E67" s="76">
        <v>14.830938</v>
      </c>
      <c r="F67" s="340">
        <v>120.96434000000001</v>
      </c>
      <c r="G67" s="341" t="s">
        <v>2875</v>
      </c>
      <c r="H67" s="342">
        <v>44915</v>
      </c>
      <c r="I67" s="11" t="s">
        <v>78</v>
      </c>
      <c r="J67" s="11" t="s">
        <v>2261</v>
      </c>
      <c r="K67" s="11"/>
      <c r="L67" s="338" t="s">
        <v>201</v>
      </c>
      <c r="M67" s="323" t="s">
        <v>2876</v>
      </c>
      <c r="N67" s="324">
        <v>45826</v>
      </c>
      <c r="O67" s="324">
        <v>45833</v>
      </c>
      <c r="P67" s="324"/>
      <c r="Q67" s="324">
        <v>45846</v>
      </c>
      <c r="R67" s="324">
        <v>45853</v>
      </c>
      <c r="S67" s="45">
        <f t="shared" si="8"/>
        <v>5</v>
      </c>
      <c r="T67" s="45" t="str">
        <f t="shared" si="9"/>
        <v/>
      </c>
      <c r="U67" s="45">
        <f t="shared" si="10"/>
        <v>9</v>
      </c>
      <c r="V67" s="45">
        <f t="shared" si="11"/>
        <v>5</v>
      </c>
      <c r="W67" s="133" t="s">
        <v>150</v>
      </c>
      <c r="X67" s="11" t="s">
        <v>50</v>
      </c>
      <c r="Y67" s="133">
        <v>19</v>
      </c>
      <c r="Z67" s="11" t="s">
        <v>57</v>
      </c>
      <c r="AA67" s="11" t="s">
        <v>57</v>
      </c>
      <c r="AB67" s="11" t="s">
        <v>1239</v>
      </c>
      <c r="AC67" s="133" t="s">
        <v>2877</v>
      </c>
      <c r="AD67" s="96"/>
      <c r="AE67" s="7"/>
      <c r="AF67" s="11"/>
      <c r="AG67" s="11"/>
    </row>
    <row r="68" spans="1:33" ht="60">
      <c r="A68" s="76" t="s">
        <v>2286</v>
      </c>
      <c r="B68" s="338" t="s">
        <v>2878</v>
      </c>
      <c r="C68" s="338" t="s">
        <v>2879</v>
      </c>
      <c r="D68" s="76" t="s">
        <v>143</v>
      </c>
      <c r="E68" s="63">
        <v>15.481036700000001</v>
      </c>
      <c r="F68" s="340">
        <v>120.966427</v>
      </c>
      <c r="G68" s="341" t="s">
        <v>2880</v>
      </c>
      <c r="H68" s="342">
        <v>44901</v>
      </c>
      <c r="I68" s="11" t="s">
        <v>78</v>
      </c>
      <c r="J68" s="11" t="s">
        <v>267</v>
      </c>
      <c r="K68" s="11" t="s">
        <v>28</v>
      </c>
      <c r="L68" s="338" t="s">
        <v>212</v>
      </c>
      <c r="M68" s="323" t="s">
        <v>2881</v>
      </c>
      <c r="N68" s="324">
        <v>45811</v>
      </c>
      <c r="O68" s="324">
        <v>45814</v>
      </c>
      <c r="P68" s="324">
        <v>45817</v>
      </c>
      <c r="Q68" s="324">
        <v>45817</v>
      </c>
      <c r="R68" s="324">
        <v>45824</v>
      </c>
      <c r="S68" s="45">
        <f t="shared" si="8"/>
        <v>3</v>
      </c>
      <c r="T68" s="45">
        <f t="shared" si="9"/>
        <v>1</v>
      </c>
      <c r="U68" s="45">
        <f t="shared" si="10"/>
        <v>1</v>
      </c>
      <c r="V68" s="45">
        <f t="shared" si="11"/>
        <v>5</v>
      </c>
      <c r="W68" s="133" t="s">
        <v>150</v>
      </c>
      <c r="X68" s="11" t="s">
        <v>50</v>
      </c>
      <c r="Y68" s="133">
        <v>7</v>
      </c>
      <c r="Z68" s="11" t="s">
        <v>57</v>
      </c>
      <c r="AA68" s="11" t="s">
        <v>57</v>
      </c>
      <c r="AB68" s="78" t="s">
        <v>1239</v>
      </c>
      <c r="AC68" s="133" t="s">
        <v>2808</v>
      </c>
      <c r="AD68" s="96" t="s">
        <v>2882</v>
      </c>
      <c r="AE68" s="7"/>
      <c r="AF68" s="11"/>
      <c r="AG68" s="11"/>
    </row>
    <row r="69" spans="1:33">
      <c r="A69" s="76" t="s">
        <v>2286</v>
      </c>
      <c r="B69" s="338" t="s">
        <v>2883</v>
      </c>
      <c r="C69" s="338" t="s">
        <v>2879</v>
      </c>
      <c r="D69" s="76" t="s">
        <v>143</v>
      </c>
      <c r="E69" s="63">
        <v>15.47551717</v>
      </c>
      <c r="F69" s="340">
        <v>120.9622255</v>
      </c>
      <c r="G69" s="341" t="s">
        <v>2884</v>
      </c>
      <c r="H69" s="342">
        <v>44901</v>
      </c>
      <c r="I69" s="11" t="s">
        <v>77</v>
      </c>
      <c r="J69" s="11" t="s">
        <v>267</v>
      </c>
      <c r="K69" s="11" t="s">
        <v>2289</v>
      </c>
      <c r="L69" s="338" t="s">
        <v>212</v>
      </c>
      <c r="M69" s="323" t="s">
        <v>2885</v>
      </c>
      <c r="N69" s="324">
        <v>45790</v>
      </c>
      <c r="O69" s="324">
        <v>45791</v>
      </c>
      <c r="P69" s="324">
        <v>45792</v>
      </c>
      <c r="Q69" s="324">
        <v>45793</v>
      </c>
      <c r="R69" s="324">
        <v>45793</v>
      </c>
      <c r="S69" s="45">
        <f t="shared" si="8"/>
        <v>1</v>
      </c>
      <c r="T69" s="45">
        <f t="shared" si="9"/>
        <v>1</v>
      </c>
      <c r="U69" s="45">
        <f t="shared" si="10"/>
        <v>1</v>
      </c>
      <c r="V69" s="45">
        <f t="shared" si="11"/>
        <v>1</v>
      </c>
      <c r="W69" s="133" t="s">
        <v>150</v>
      </c>
      <c r="X69" s="11" t="s">
        <v>50</v>
      </c>
      <c r="Y69" s="133">
        <v>6</v>
      </c>
      <c r="Z69" s="11" t="s">
        <v>57</v>
      </c>
      <c r="AA69" s="11" t="s">
        <v>57</v>
      </c>
      <c r="AB69" s="11" t="s">
        <v>1239</v>
      </c>
      <c r="AC69" s="133" t="s">
        <v>2808</v>
      </c>
      <c r="AD69" s="96"/>
      <c r="AE69" s="7"/>
      <c r="AF69" s="11"/>
      <c r="AG69" s="11"/>
    </row>
    <row r="70" spans="1:33" ht="75">
      <c r="A70" s="76" t="s">
        <v>2286</v>
      </c>
      <c r="B70" s="338" t="s">
        <v>2886</v>
      </c>
      <c r="C70" s="338" t="s">
        <v>2879</v>
      </c>
      <c r="D70" s="76" t="s">
        <v>143</v>
      </c>
      <c r="E70" s="63">
        <v>15.4846</v>
      </c>
      <c r="F70" s="340">
        <v>120.97280000000001</v>
      </c>
      <c r="G70" s="341" t="s">
        <v>2887</v>
      </c>
      <c r="H70" s="342">
        <v>44901</v>
      </c>
      <c r="I70" s="11" t="s">
        <v>77</v>
      </c>
      <c r="J70" s="11" t="s">
        <v>267</v>
      </c>
      <c r="K70" s="11" t="s">
        <v>28</v>
      </c>
      <c r="L70" s="338" t="s">
        <v>212</v>
      </c>
      <c r="M70" s="323" t="s">
        <v>2888</v>
      </c>
      <c r="N70" s="324">
        <v>45790</v>
      </c>
      <c r="O70" s="324">
        <v>45791</v>
      </c>
      <c r="P70" s="324">
        <v>45792</v>
      </c>
      <c r="Q70" s="324">
        <v>45793</v>
      </c>
      <c r="R70" s="324">
        <v>45793</v>
      </c>
      <c r="S70" s="45">
        <f t="shared" si="8"/>
        <v>1</v>
      </c>
      <c r="T70" s="45">
        <f t="shared" si="9"/>
        <v>1</v>
      </c>
      <c r="U70" s="45">
        <f t="shared" si="10"/>
        <v>1</v>
      </c>
      <c r="V70" s="45">
        <f t="shared" si="11"/>
        <v>1</v>
      </c>
      <c r="W70" s="133" t="s">
        <v>150</v>
      </c>
      <c r="X70" s="11" t="s">
        <v>50</v>
      </c>
      <c r="Y70" s="133">
        <v>7</v>
      </c>
      <c r="Z70" s="11" t="s">
        <v>57</v>
      </c>
      <c r="AA70" s="11" t="s">
        <v>57</v>
      </c>
      <c r="AB70" s="11" t="s">
        <v>2889</v>
      </c>
      <c r="AC70" s="11" t="s">
        <v>2808</v>
      </c>
      <c r="AD70" s="96" t="s">
        <v>2890</v>
      </c>
      <c r="AE70" s="7"/>
      <c r="AF70" s="11"/>
      <c r="AG70" s="11"/>
    </row>
    <row r="71" spans="1:33" ht="90">
      <c r="A71" s="76" t="s">
        <v>2286</v>
      </c>
      <c r="B71" s="338" t="s">
        <v>2891</v>
      </c>
      <c r="C71" s="338" t="s">
        <v>2879</v>
      </c>
      <c r="D71" s="76" t="s">
        <v>143</v>
      </c>
      <c r="E71" s="63">
        <v>15.49064486</v>
      </c>
      <c r="F71" s="340">
        <v>120.96373952</v>
      </c>
      <c r="G71" s="341" t="s">
        <v>2892</v>
      </c>
      <c r="H71" s="342">
        <v>44901</v>
      </c>
      <c r="I71" s="11" t="s">
        <v>78</v>
      </c>
      <c r="J71" s="11" t="s">
        <v>267</v>
      </c>
      <c r="K71" s="11" t="s">
        <v>28</v>
      </c>
      <c r="L71" s="338" t="s">
        <v>212</v>
      </c>
      <c r="M71" s="323" t="s">
        <v>2893</v>
      </c>
      <c r="N71" s="324">
        <v>45811</v>
      </c>
      <c r="O71" s="324">
        <v>45814</v>
      </c>
      <c r="P71" s="324">
        <v>45817</v>
      </c>
      <c r="Q71" s="324">
        <v>45817</v>
      </c>
      <c r="R71" s="324">
        <v>45824</v>
      </c>
      <c r="S71" s="45">
        <f t="shared" si="8"/>
        <v>3</v>
      </c>
      <c r="T71" s="45">
        <f t="shared" si="9"/>
        <v>1</v>
      </c>
      <c r="U71" s="45">
        <f t="shared" si="10"/>
        <v>1</v>
      </c>
      <c r="V71" s="45">
        <f t="shared" si="11"/>
        <v>5</v>
      </c>
      <c r="W71" s="133" t="s">
        <v>150</v>
      </c>
      <c r="X71" s="11" t="s">
        <v>50</v>
      </c>
      <c r="Y71" s="133">
        <v>14</v>
      </c>
      <c r="Z71" s="11" t="s">
        <v>57</v>
      </c>
      <c r="AA71" s="11" t="s">
        <v>50</v>
      </c>
      <c r="AB71" s="133" t="s">
        <v>1239</v>
      </c>
      <c r="AC71" s="133" t="s">
        <v>2808</v>
      </c>
      <c r="AD71" s="96" t="s">
        <v>2894</v>
      </c>
      <c r="AE71" s="7"/>
      <c r="AF71" s="11"/>
      <c r="AG71" s="11"/>
    </row>
    <row r="72" spans="1:33" ht="60">
      <c r="A72" s="76" t="s">
        <v>2286</v>
      </c>
      <c r="B72" s="338" t="s">
        <v>2895</v>
      </c>
      <c r="C72" s="338" t="s">
        <v>2879</v>
      </c>
      <c r="D72" s="76" t="s">
        <v>143</v>
      </c>
      <c r="E72" s="63">
        <v>15.489699999999999</v>
      </c>
      <c r="F72" s="340">
        <v>120.9616</v>
      </c>
      <c r="G72" s="341" t="s">
        <v>2896</v>
      </c>
      <c r="H72" s="342">
        <v>44901</v>
      </c>
      <c r="I72" s="11" t="s">
        <v>77</v>
      </c>
      <c r="J72" s="11" t="s">
        <v>267</v>
      </c>
      <c r="K72" s="11" t="s">
        <v>28</v>
      </c>
      <c r="L72" s="338" t="s">
        <v>212</v>
      </c>
      <c r="M72" s="323" t="s">
        <v>2897</v>
      </c>
      <c r="N72" s="324">
        <v>45790</v>
      </c>
      <c r="O72" s="324">
        <v>45791</v>
      </c>
      <c r="P72" s="324">
        <v>45792</v>
      </c>
      <c r="Q72" s="324">
        <v>45793</v>
      </c>
      <c r="R72" s="324">
        <v>45793</v>
      </c>
      <c r="S72" s="45">
        <f t="shared" si="8"/>
        <v>1</v>
      </c>
      <c r="T72" s="45">
        <f t="shared" si="9"/>
        <v>1</v>
      </c>
      <c r="U72" s="45">
        <f t="shared" si="10"/>
        <v>1</v>
      </c>
      <c r="V72" s="45">
        <f t="shared" si="11"/>
        <v>1</v>
      </c>
      <c r="W72" s="133" t="s">
        <v>150</v>
      </c>
      <c r="X72" s="11" t="s">
        <v>50</v>
      </c>
      <c r="Y72" s="133">
        <v>14</v>
      </c>
      <c r="Z72" s="11" t="s">
        <v>57</v>
      </c>
      <c r="AA72" s="11" t="s">
        <v>50</v>
      </c>
      <c r="AB72" s="11">
        <v>170</v>
      </c>
      <c r="AC72" s="371">
        <v>45729</v>
      </c>
      <c r="AD72" s="96" t="s">
        <v>2898</v>
      </c>
      <c r="AE72" s="7"/>
      <c r="AF72" s="11"/>
      <c r="AG72" s="11"/>
    </row>
    <row r="73" spans="1:33" ht="30">
      <c r="A73" s="76" t="s">
        <v>2286</v>
      </c>
      <c r="B73" s="338" t="s">
        <v>2899</v>
      </c>
      <c r="C73" s="338" t="s">
        <v>2879</v>
      </c>
      <c r="D73" s="76" t="s">
        <v>143</v>
      </c>
      <c r="E73" s="63">
        <v>15.485900000000001</v>
      </c>
      <c r="F73" s="340">
        <v>120.95350000000001</v>
      </c>
      <c r="G73" s="341" t="s">
        <v>2900</v>
      </c>
      <c r="H73" s="342">
        <v>44901</v>
      </c>
      <c r="I73" s="11" t="s">
        <v>76</v>
      </c>
      <c r="J73" s="11" t="s">
        <v>267</v>
      </c>
      <c r="K73" s="11" t="s">
        <v>2289</v>
      </c>
      <c r="L73" s="338" t="s">
        <v>212</v>
      </c>
      <c r="M73" s="323" t="s">
        <v>2901</v>
      </c>
      <c r="N73" s="324">
        <v>45749</v>
      </c>
      <c r="O73" s="324">
        <v>45749</v>
      </c>
      <c r="P73" s="324">
        <v>45750</v>
      </c>
      <c r="Q73" s="324">
        <v>45751</v>
      </c>
      <c r="R73" s="324">
        <v>45757</v>
      </c>
      <c r="S73" s="45">
        <f t="shared" si="8"/>
        <v>1</v>
      </c>
      <c r="T73" s="45">
        <f t="shared" si="9"/>
        <v>1</v>
      </c>
      <c r="U73" s="45">
        <f t="shared" si="10"/>
        <v>1</v>
      </c>
      <c r="V73" s="45">
        <f t="shared" si="11"/>
        <v>4</v>
      </c>
      <c r="W73" s="133" t="s">
        <v>150</v>
      </c>
      <c r="X73" s="11" t="s">
        <v>50</v>
      </c>
      <c r="Y73" s="133">
        <v>7</v>
      </c>
      <c r="Z73" s="11" t="s">
        <v>57</v>
      </c>
      <c r="AA73" s="11" t="s">
        <v>57</v>
      </c>
      <c r="AB73" s="11" t="s">
        <v>2902</v>
      </c>
      <c r="AC73" s="371">
        <v>45745</v>
      </c>
      <c r="AD73" s="96" t="s">
        <v>2813</v>
      </c>
      <c r="AE73" s="7"/>
      <c r="AF73" s="11"/>
      <c r="AG73" s="11"/>
    </row>
    <row r="74" spans="1:33">
      <c r="A74" s="76" t="s">
        <v>2286</v>
      </c>
      <c r="B74" s="338" t="s">
        <v>2903</v>
      </c>
      <c r="C74" s="338" t="s">
        <v>2879</v>
      </c>
      <c r="D74" s="76" t="s">
        <v>143</v>
      </c>
      <c r="E74" s="63">
        <v>15.472770000000001</v>
      </c>
      <c r="F74" s="340">
        <v>120.95009</v>
      </c>
      <c r="G74" s="341" t="s">
        <v>2904</v>
      </c>
      <c r="H74" s="342">
        <v>44901</v>
      </c>
      <c r="I74" s="11" t="s">
        <v>76</v>
      </c>
      <c r="J74" s="11" t="s">
        <v>267</v>
      </c>
      <c r="K74" s="11" t="s">
        <v>2289</v>
      </c>
      <c r="L74" s="343" t="s">
        <v>212</v>
      </c>
      <c r="M74" s="323" t="s">
        <v>2905</v>
      </c>
      <c r="N74" s="324">
        <v>45749</v>
      </c>
      <c r="O74" s="324">
        <v>45749</v>
      </c>
      <c r="P74" s="324">
        <v>45750</v>
      </c>
      <c r="Q74" s="324">
        <v>45751</v>
      </c>
      <c r="R74" s="324">
        <v>45757</v>
      </c>
      <c r="S74" s="45">
        <f t="shared" si="8"/>
        <v>1</v>
      </c>
      <c r="T74" s="45">
        <f t="shared" si="9"/>
        <v>1</v>
      </c>
      <c r="U74" s="45">
        <f t="shared" si="10"/>
        <v>1</v>
      </c>
      <c r="V74" s="45">
        <f t="shared" si="11"/>
        <v>4</v>
      </c>
      <c r="W74" s="133" t="s">
        <v>150</v>
      </c>
      <c r="X74" s="11" t="s">
        <v>50</v>
      </c>
      <c r="Y74" s="133">
        <v>12</v>
      </c>
      <c r="Z74" s="11" t="s">
        <v>57</v>
      </c>
      <c r="AA74" s="11" t="s">
        <v>57</v>
      </c>
      <c r="AB74" s="11" t="s">
        <v>1239</v>
      </c>
      <c r="AC74" s="133" t="s">
        <v>69</v>
      </c>
      <c r="AD74" s="133" t="s">
        <v>2808</v>
      </c>
      <c r="AE74" s="7"/>
      <c r="AF74" s="11"/>
      <c r="AG74" s="11"/>
    </row>
    <row r="75" spans="1:33">
      <c r="A75" s="76" t="s">
        <v>2286</v>
      </c>
      <c r="B75" s="338" t="s">
        <v>2906</v>
      </c>
      <c r="C75" s="338" t="s">
        <v>1202</v>
      </c>
      <c r="D75" s="76" t="s">
        <v>143</v>
      </c>
      <c r="E75" s="63">
        <v>15.294499</v>
      </c>
      <c r="F75" s="340">
        <v>120.949236</v>
      </c>
      <c r="G75" s="341" t="s">
        <v>2907</v>
      </c>
      <c r="H75" s="342">
        <v>44914</v>
      </c>
      <c r="I75" s="11" t="s">
        <v>74</v>
      </c>
      <c r="J75" s="11" t="s">
        <v>30</v>
      </c>
      <c r="K75" s="11" t="s">
        <v>2289</v>
      </c>
      <c r="L75" s="344" t="s">
        <v>212</v>
      </c>
      <c r="M75" s="323" t="s">
        <v>2908</v>
      </c>
      <c r="N75" s="328">
        <v>45693</v>
      </c>
      <c r="O75" s="324">
        <v>45695</v>
      </c>
      <c r="P75" s="324">
        <v>45695</v>
      </c>
      <c r="Q75" s="324">
        <v>45698</v>
      </c>
      <c r="R75" s="324">
        <v>45701</v>
      </c>
      <c r="S75" s="45">
        <f t="shared" si="8"/>
        <v>2</v>
      </c>
      <c r="T75" s="45">
        <f t="shared" si="9"/>
        <v>1</v>
      </c>
      <c r="U75" s="45">
        <f t="shared" si="10"/>
        <v>1</v>
      </c>
      <c r="V75" s="45">
        <f t="shared" si="11"/>
        <v>3</v>
      </c>
      <c r="W75" s="133" t="s">
        <v>150</v>
      </c>
      <c r="X75" s="11" t="s">
        <v>50</v>
      </c>
      <c r="Y75" s="133">
        <v>13</v>
      </c>
      <c r="Z75" s="11" t="s">
        <v>57</v>
      </c>
      <c r="AA75" s="11" t="s">
        <v>50</v>
      </c>
      <c r="AB75" s="11" t="s">
        <v>1239</v>
      </c>
      <c r="AC75" s="133" t="s">
        <v>69</v>
      </c>
      <c r="AD75" s="96" t="s">
        <v>2909</v>
      </c>
      <c r="AE75" s="7"/>
      <c r="AF75" s="11"/>
      <c r="AG75" s="11"/>
    </row>
    <row r="76" spans="1:33">
      <c r="A76" s="76" t="s">
        <v>2286</v>
      </c>
      <c r="B76" s="338" t="s">
        <v>2910</v>
      </c>
      <c r="C76" s="338" t="s">
        <v>1202</v>
      </c>
      <c r="D76" s="76" t="s">
        <v>143</v>
      </c>
      <c r="E76" s="63">
        <v>15.233779</v>
      </c>
      <c r="F76" s="340">
        <v>120.9393508</v>
      </c>
      <c r="G76" s="341" t="s">
        <v>2911</v>
      </c>
      <c r="H76" s="342">
        <v>44914</v>
      </c>
      <c r="I76" s="11" t="s">
        <v>74</v>
      </c>
      <c r="J76" s="11" t="s">
        <v>30</v>
      </c>
      <c r="K76" s="11" t="s">
        <v>2289</v>
      </c>
      <c r="L76" s="344" t="s">
        <v>212</v>
      </c>
      <c r="M76" s="323" t="s">
        <v>2912</v>
      </c>
      <c r="N76" s="328">
        <v>45693</v>
      </c>
      <c r="O76" s="324">
        <v>45695</v>
      </c>
      <c r="P76" s="324">
        <v>45695</v>
      </c>
      <c r="Q76" s="324">
        <v>45698</v>
      </c>
      <c r="R76" s="324">
        <v>45699</v>
      </c>
      <c r="S76" s="45">
        <f t="shared" si="8"/>
        <v>2</v>
      </c>
      <c r="T76" s="45">
        <f t="shared" si="9"/>
        <v>1</v>
      </c>
      <c r="U76" s="45">
        <f t="shared" si="10"/>
        <v>1</v>
      </c>
      <c r="V76" s="45">
        <f t="shared" si="11"/>
        <v>1</v>
      </c>
      <c r="W76" s="133" t="s">
        <v>150</v>
      </c>
      <c r="X76" s="11" t="s">
        <v>57</v>
      </c>
      <c r="Y76" s="133">
        <v>10</v>
      </c>
      <c r="Z76" s="11" t="s">
        <v>57</v>
      </c>
      <c r="AA76" s="11" t="s">
        <v>50</v>
      </c>
      <c r="AB76" s="11">
        <v>20</v>
      </c>
      <c r="AC76" s="133" t="s">
        <v>69</v>
      </c>
      <c r="AD76" s="96" t="s">
        <v>2913</v>
      </c>
      <c r="AE76" s="5">
        <v>45699</v>
      </c>
      <c r="AF76" s="11"/>
      <c r="AG76" s="11"/>
    </row>
    <row r="77" spans="1:33">
      <c r="A77" s="76" t="s">
        <v>2286</v>
      </c>
      <c r="B77" s="338" t="s">
        <v>2362</v>
      </c>
      <c r="C77" s="338" t="s">
        <v>1180</v>
      </c>
      <c r="D77" s="76" t="s">
        <v>143</v>
      </c>
      <c r="E77" s="63">
        <v>15.26365302</v>
      </c>
      <c r="F77" s="340">
        <v>120.91395322</v>
      </c>
      <c r="G77" s="341" t="s">
        <v>2914</v>
      </c>
      <c r="H77" s="342">
        <v>44903</v>
      </c>
      <c r="I77" s="11" t="s">
        <v>75</v>
      </c>
      <c r="J77" s="11" t="s">
        <v>30</v>
      </c>
      <c r="K77" s="11" t="s">
        <v>2289</v>
      </c>
      <c r="L77" s="370" t="s">
        <v>212</v>
      </c>
      <c r="M77" s="323" t="s">
        <v>2915</v>
      </c>
      <c r="N77" s="324">
        <v>45720</v>
      </c>
      <c r="O77" s="324">
        <v>45721</v>
      </c>
      <c r="P77" s="324">
        <v>45747</v>
      </c>
      <c r="Q77" s="324">
        <v>45747</v>
      </c>
      <c r="R77" s="324">
        <v>45749</v>
      </c>
      <c r="S77" s="45">
        <f t="shared" si="8"/>
        <v>1</v>
      </c>
      <c r="T77" s="45">
        <f t="shared" si="9"/>
        <v>18</v>
      </c>
      <c r="U77" s="45">
        <f t="shared" si="10"/>
        <v>1</v>
      </c>
      <c r="V77" s="45">
        <f t="shared" si="11"/>
        <v>2</v>
      </c>
      <c r="W77" s="133" t="s">
        <v>150</v>
      </c>
      <c r="X77" s="11" t="s">
        <v>50</v>
      </c>
      <c r="Y77" s="133">
        <v>9</v>
      </c>
      <c r="Z77" s="11" t="s">
        <v>57</v>
      </c>
      <c r="AA77" s="11" t="s">
        <v>50</v>
      </c>
      <c r="AB77" s="11">
        <v>200</v>
      </c>
      <c r="AC77" s="371">
        <v>45717</v>
      </c>
      <c r="AD77" s="96" t="s">
        <v>2808</v>
      </c>
      <c r="AE77" s="7"/>
      <c r="AF77" s="11"/>
      <c r="AG77" s="11"/>
    </row>
    <row r="78" spans="1:33">
      <c r="A78" s="76" t="s">
        <v>2286</v>
      </c>
      <c r="B78" s="338" t="s">
        <v>2362</v>
      </c>
      <c r="C78" s="338" t="s">
        <v>1180</v>
      </c>
      <c r="D78" s="76" t="s">
        <v>143</v>
      </c>
      <c r="E78" s="63">
        <v>15.271058</v>
      </c>
      <c r="F78" s="340">
        <v>120.91288400000001</v>
      </c>
      <c r="G78" s="341" t="s">
        <v>2916</v>
      </c>
      <c r="H78" s="342">
        <v>44903</v>
      </c>
      <c r="I78" s="11" t="s">
        <v>75</v>
      </c>
      <c r="J78" s="11" t="s">
        <v>30</v>
      </c>
      <c r="K78" s="11" t="s">
        <v>2289</v>
      </c>
      <c r="L78" s="343" t="s">
        <v>212</v>
      </c>
      <c r="M78" s="323" t="s">
        <v>2917</v>
      </c>
      <c r="N78" s="324">
        <v>45720</v>
      </c>
      <c r="O78" s="324">
        <v>45721</v>
      </c>
      <c r="P78" s="324">
        <v>45747</v>
      </c>
      <c r="Q78" s="324">
        <v>45748</v>
      </c>
      <c r="R78" s="324">
        <v>45749</v>
      </c>
      <c r="S78" s="45">
        <f t="shared" si="8"/>
        <v>1</v>
      </c>
      <c r="T78" s="45">
        <f t="shared" si="9"/>
        <v>18</v>
      </c>
      <c r="U78" s="45">
        <f t="shared" si="10"/>
        <v>1</v>
      </c>
      <c r="V78" s="45">
        <f t="shared" si="11"/>
        <v>1</v>
      </c>
      <c r="W78" s="133" t="s">
        <v>150</v>
      </c>
      <c r="X78" s="11" t="s">
        <v>50</v>
      </c>
      <c r="Y78" s="133">
        <v>9</v>
      </c>
      <c r="Z78" s="11" t="s">
        <v>57</v>
      </c>
      <c r="AA78" s="11" t="s">
        <v>50</v>
      </c>
      <c r="AB78" s="11">
        <v>200</v>
      </c>
      <c r="AC78" s="371">
        <v>45717</v>
      </c>
      <c r="AD78" s="96" t="s">
        <v>2808</v>
      </c>
      <c r="AE78" s="7"/>
      <c r="AF78" s="11"/>
      <c r="AG78" s="11"/>
    </row>
    <row r="79" spans="1:33">
      <c r="A79" s="76" t="s">
        <v>778</v>
      </c>
      <c r="B79" s="338" t="s">
        <v>2918</v>
      </c>
      <c r="C79" s="338" t="s">
        <v>1343</v>
      </c>
      <c r="D79" s="76" t="s">
        <v>143</v>
      </c>
      <c r="E79" s="76">
        <v>14.9364042</v>
      </c>
      <c r="F79" s="340">
        <v>120.761405</v>
      </c>
      <c r="G79" s="341" t="s">
        <v>2919</v>
      </c>
      <c r="H79" s="342">
        <v>44910</v>
      </c>
      <c r="I79" s="11" t="s">
        <v>74</v>
      </c>
      <c r="J79" s="11" t="s">
        <v>1345</v>
      </c>
      <c r="K79" s="133" t="s">
        <v>1838</v>
      </c>
      <c r="L79" s="344" t="s">
        <v>148</v>
      </c>
      <c r="M79" s="323" t="s">
        <v>2920</v>
      </c>
      <c r="N79" s="328">
        <v>45695</v>
      </c>
      <c r="O79" s="324">
        <v>45697</v>
      </c>
      <c r="P79" s="324">
        <v>45697</v>
      </c>
      <c r="Q79" s="324">
        <v>45699</v>
      </c>
      <c r="R79" s="324">
        <v>45701</v>
      </c>
      <c r="S79" s="45">
        <f t="shared" si="8"/>
        <v>1</v>
      </c>
      <c r="T79" s="45">
        <f t="shared" si="9"/>
        <v>1</v>
      </c>
      <c r="U79" s="45">
        <f t="shared" si="10"/>
        <v>1</v>
      </c>
      <c r="V79" s="45">
        <f t="shared" si="11"/>
        <v>2</v>
      </c>
      <c r="W79" s="133" t="s">
        <v>150</v>
      </c>
      <c r="X79" s="11" t="s">
        <v>57</v>
      </c>
      <c r="Y79" s="133">
        <v>22</v>
      </c>
      <c r="Z79" s="11" t="s">
        <v>57</v>
      </c>
      <c r="AA79" s="11" t="s">
        <v>57</v>
      </c>
      <c r="AB79" s="11" t="s">
        <v>1239</v>
      </c>
      <c r="AC79" s="11" t="s">
        <v>69</v>
      </c>
      <c r="AD79" s="7" t="s">
        <v>69</v>
      </c>
      <c r="AE79" s="7"/>
      <c r="AF79" s="11"/>
      <c r="AG79" s="11"/>
    </row>
    <row r="80" spans="1:33" ht="75">
      <c r="A80" s="76" t="s">
        <v>778</v>
      </c>
      <c r="B80" s="338" t="s">
        <v>2921</v>
      </c>
      <c r="C80" s="338" t="s">
        <v>1349</v>
      </c>
      <c r="D80" s="76" t="s">
        <v>143</v>
      </c>
      <c r="E80" s="76">
        <v>15.148054999999999</v>
      </c>
      <c r="F80" s="340">
        <v>120.7591666</v>
      </c>
      <c r="G80" s="341" t="s">
        <v>2922</v>
      </c>
      <c r="H80" s="342">
        <v>44909</v>
      </c>
      <c r="I80" s="11" t="s">
        <v>78</v>
      </c>
      <c r="J80" s="11" t="s">
        <v>32</v>
      </c>
      <c r="K80" s="11" t="s">
        <v>28</v>
      </c>
      <c r="L80" s="456" t="s">
        <v>148</v>
      </c>
      <c r="M80" s="323" t="s">
        <v>2923</v>
      </c>
      <c r="N80" s="328">
        <v>45825</v>
      </c>
      <c r="O80" s="324">
        <v>45826</v>
      </c>
      <c r="P80" s="324">
        <v>45826</v>
      </c>
      <c r="Q80" s="324">
        <v>45862</v>
      </c>
      <c r="R80" s="324">
        <v>45866</v>
      </c>
      <c r="S80" s="45">
        <f t="shared" si="8"/>
        <v>1</v>
      </c>
      <c r="T80" s="45">
        <f t="shared" si="9"/>
        <v>1</v>
      </c>
      <c r="U80" s="45">
        <f t="shared" si="10"/>
        <v>26</v>
      </c>
      <c r="V80" s="45">
        <f t="shared" si="11"/>
        <v>2</v>
      </c>
      <c r="W80" s="133" t="s">
        <v>150</v>
      </c>
      <c r="X80" s="11" t="s">
        <v>50</v>
      </c>
      <c r="Y80" s="133">
        <v>13</v>
      </c>
      <c r="Z80" s="11" t="s">
        <v>57</v>
      </c>
      <c r="AA80" s="11" t="s">
        <v>50</v>
      </c>
      <c r="AB80" s="11" t="s">
        <v>2924</v>
      </c>
      <c r="AC80" s="133" t="s">
        <v>808</v>
      </c>
      <c r="AD80" s="96" t="s">
        <v>2925</v>
      </c>
      <c r="AE80" s="7"/>
      <c r="AF80" s="11"/>
      <c r="AG80" s="11"/>
    </row>
    <row r="81" spans="1:33" ht="75">
      <c r="A81" s="76" t="s">
        <v>778</v>
      </c>
      <c r="B81" s="338" t="s">
        <v>2921</v>
      </c>
      <c r="C81" s="338" t="s">
        <v>1349</v>
      </c>
      <c r="D81" s="76" t="s">
        <v>143</v>
      </c>
      <c r="E81" s="76">
        <v>15.148733999999999</v>
      </c>
      <c r="F81" s="340">
        <v>120.763921</v>
      </c>
      <c r="G81" s="341" t="s">
        <v>2926</v>
      </c>
      <c r="H81" s="342">
        <v>44909</v>
      </c>
      <c r="I81" s="11" t="s">
        <v>78</v>
      </c>
      <c r="J81" s="11" t="s">
        <v>32</v>
      </c>
      <c r="K81" s="11" t="s">
        <v>28</v>
      </c>
      <c r="L81" s="344" t="s">
        <v>148</v>
      </c>
      <c r="M81" s="323" t="s">
        <v>2927</v>
      </c>
      <c r="N81" s="328">
        <v>45825</v>
      </c>
      <c r="O81" s="328">
        <v>45826</v>
      </c>
      <c r="P81" s="324">
        <v>45826</v>
      </c>
      <c r="Q81" s="324">
        <v>45862</v>
      </c>
      <c r="R81" s="324">
        <v>45866</v>
      </c>
      <c r="S81" s="45">
        <f t="shared" si="8"/>
        <v>1</v>
      </c>
      <c r="T81" s="45">
        <f t="shared" si="9"/>
        <v>1</v>
      </c>
      <c r="U81" s="45">
        <f t="shared" si="10"/>
        <v>26</v>
      </c>
      <c r="V81" s="45">
        <f t="shared" si="11"/>
        <v>2</v>
      </c>
      <c r="W81" s="133" t="s">
        <v>150</v>
      </c>
      <c r="X81" s="11" t="s">
        <v>50</v>
      </c>
      <c r="Y81" s="133">
        <v>20</v>
      </c>
      <c r="Z81" s="11" t="s">
        <v>57</v>
      </c>
      <c r="AA81" s="11" t="s">
        <v>50</v>
      </c>
      <c r="AB81" s="11" t="s">
        <v>2924</v>
      </c>
      <c r="AC81" s="133" t="s">
        <v>808</v>
      </c>
      <c r="AD81" s="96" t="s">
        <v>2925</v>
      </c>
      <c r="AE81" s="7"/>
      <c r="AF81" s="11"/>
      <c r="AG81" s="11"/>
    </row>
    <row r="82" spans="1:33" ht="60">
      <c r="A82" s="76" t="s">
        <v>778</v>
      </c>
      <c r="B82" s="338" t="s">
        <v>2928</v>
      </c>
      <c r="C82" s="338" t="s">
        <v>1349</v>
      </c>
      <c r="D82" s="76" t="s">
        <v>143</v>
      </c>
      <c r="E82" s="76">
        <v>15.154629999999999</v>
      </c>
      <c r="F82" s="340">
        <v>120.72265</v>
      </c>
      <c r="G82" s="76" t="str">
        <f>CONCATENATE(E82,",",F82)</f>
        <v>15.15463,120.72265</v>
      </c>
      <c r="H82" s="342">
        <v>44909</v>
      </c>
      <c r="I82" s="11" t="s">
        <v>78</v>
      </c>
      <c r="J82" s="11" t="s">
        <v>32</v>
      </c>
      <c r="K82" s="11" t="s">
        <v>28</v>
      </c>
      <c r="L82" s="344" t="s">
        <v>148</v>
      </c>
      <c r="M82" s="323" t="s">
        <v>2929</v>
      </c>
      <c r="N82" s="324">
        <v>45811</v>
      </c>
      <c r="O82" s="328">
        <v>45812</v>
      </c>
      <c r="P82" s="324">
        <v>45813</v>
      </c>
      <c r="Q82" s="324">
        <v>45861</v>
      </c>
      <c r="R82" s="324">
        <v>45866</v>
      </c>
      <c r="S82" s="45">
        <f t="shared" si="8"/>
        <v>1</v>
      </c>
      <c r="T82" s="45">
        <f t="shared" si="9"/>
        <v>1</v>
      </c>
      <c r="U82" s="45">
        <f t="shared" si="10"/>
        <v>35</v>
      </c>
      <c r="V82" s="45">
        <f t="shared" si="11"/>
        <v>3</v>
      </c>
      <c r="W82" s="133" t="s">
        <v>150</v>
      </c>
      <c r="X82" s="11" t="s">
        <v>57</v>
      </c>
      <c r="Y82" s="133">
        <v>25</v>
      </c>
      <c r="Z82" s="11" t="s">
        <v>57</v>
      </c>
      <c r="AA82" s="11" t="s">
        <v>57</v>
      </c>
      <c r="AB82" s="11" t="s">
        <v>679</v>
      </c>
      <c r="AC82" s="133" t="s">
        <v>808</v>
      </c>
      <c r="AD82" s="96" t="s">
        <v>2930</v>
      </c>
      <c r="AE82" s="7" t="s">
        <v>2931</v>
      </c>
      <c r="AF82" s="11"/>
      <c r="AG82" s="11"/>
    </row>
    <row r="83" spans="1:33" ht="75">
      <c r="A83" s="76" t="s">
        <v>778</v>
      </c>
      <c r="B83" s="338" t="s">
        <v>2932</v>
      </c>
      <c r="C83" s="338" t="s">
        <v>1353</v>
      </c>
      <c r="D83" s="76" t="s">
        <v>143</v>
      </c>
      <c r="E83" s="76">
        <v>15.015531660000001</v>
      </c>
      <c r="F83" s="340">
        <v>120.674565</v>
      </c>
      <c r="G83" s="341" t="s">
        <v>2933</v>
      </c>
      <c r="H83" s="342">
        <v>45314</v>
      </c>
      <c r="I83" s="11" t="s">
        <v>75</v>
      </c>
      <c r="J83" s="11" t="s">
        <v>35</v>
      </c>
      <c r="K83" s="11" t="s">
        <v>1838</v>
      </c>
      <c r="L83" s="344" t="s">
        <v>148</v>
      </c>
      <c r="M83" s="323" t="s">
        <v>2934</v>
      </c>
      <c r="N83" s="457">
        <v>45721</v>
      </c>
      <c r="O83" s="324">
        <v>45726</v>
      </c>
      <c r="P83" s="324"/>
      <c r="Q83" s="324">
        <v>45742</v>
      </c>
      <c r="R83" s="324">
        <v>45758</v>
      </c>
      <c r="S83" s="45">
        <f t="shared" si="8"/>
        <v>3</v>
      </c>
      <c r="T83" s="45" t="str">
        <f t="shared" si="9"/>
        <v/>
      </c>
      <c r="U83" s="45">
        <f t="shared" si="10"/>
        <v>12</v>
      </c>
      <c r="V83" s="45">
        <f t="shared" si="11"/>
        <v>12</v>
      </c>
      <c r="W83" s="133" t="s">
        <v>150</v>
      </c>
      <c r="X83" s="11" t="s">
        <v>57</v>
      </c>
      <c r="Y83" s="133" t="s">
        <v>69</v>
      </c>
      <c r="Z83" s="11" t="s">
        <v>57</v>
      </c>
      <c r="AA83" s="11" t="s">
        <v>57</v>
      </c>
      <c r="AB83" s="11" t="s">
        <v>2873</v>
      </c>
      <c r="AC83" s="133" t="s">
        <v>69</v>
      </c>
      <c r="AD83" s="96" t="s">
        <v>2935</v>
      </c>
      <c r="AE83" s="7"/>
      <c r="AF83" s="11"/>
      <c r="AG83" s="11"/>
    </row>
    <row r="84" spans="1:33" ht="135">
      <c r="A84" s="76" t="s">
        <v>778</v>
      </c>
      <c r="B84" s="338" t="s">
        <v>2932</v>
      </c>
      <c r="C84" s="338" t="s">
        <v>1353</v>
      </c>
      <c r="D84" s="76" t="s">
        <v>143</v>
      </c>
      <c r="E84" s="76">
        <v>15.01199167</v>
      </c>
      <c r="F84" s="340">
        <v>120.6772</v>
      </c>
      <c r="G84" s="341" t="s">
        <v>2936</v>
      </c>
      <c r="H84" s="342">
        <v>44909</v>
      </c>
      <c r="I84" s="11" t="s">
        <v>75</v>
      </c>
      <c r="J84" s="11" t="s">
        <v>35</v>
      </c>
      <c r="K84" s="11" t="s">
        <v>1838</v>
      </c>
      <c r="L84" s="343" t="s">
        <v>148</v>
      </c>
      <c r="M84" s="323" t="s">
        <v>2937</v>
      </c>
      <c r="N84" s="324">
        <v>45721</v>
      </c>
      <c r="O84" s="324">
        <v>45726</v>
      </c>
      <c r="P84" s="324"/>
      <c r="Q84" s="324">
        <v>45742</v>
      </c>
      <c r="R84" s="324">
        <v>45758</v>
      </c>
      <c r="S84" s="45">
        <f t="shared" si="8"/>
        <v>3</v>
      </c>
      <c r="T84" s="45" t="str">
        <f t="shared" si="9"/>
        <v/>
      </c>
      <c r="U84" s="45">
        <f t="shared" si="10"/>
        <v>12</v>
      </c>
      <c r="V84" s="45">
        <f t="shared" si="11"/>
        <v>12</v>
      </c>
      <c r="W84" s="133" t="s">
        <v>150</v>
      </c>
      <c r="X84" s="11" t="s">
        <v>57</v>
      </c>
      <c r="Y84" s="133">
        <v>8</v>
      </c>
      <c r="Z84" s="11" t="s">
        <v>57</v>
      </c>
      <c r="AA84" s="11" t="s">
        <v>57</v>
      </c>
      <c r="AB84" s="11" t="s">
        <v>2873</v>
      </c>
      <c r="AC84" s="133" t="s">
        <v>69</v>
      </c>
      <c r="AD84" s="96" t="s">
        <v>2938</v>
      </c>
      <c r="AE84" s="7"/>
      <c r="AF84" s="11"/>
      <c r="AG84" s="11"/>
    </row>
    <row r="85" spans="1:33">
      <c r="A85" s="76" t="s">
        <v>778</v>
      </c>
      <c r="B85" s="338" t="s">
        <v>2939</v>
      </c>
      <c r="C85" s="338" t="s">
        <v>1357</v>
      </c>
      <c r="D85" s="76" t="s">
        <v>143</v>
      </c>
      <c r="E85" s="76">
        <v>15.061480100000001</v>
      </c>
      <c r="F85" s="340">
        <v>120.81720799999999</v>
      </c>
      <c r="G85" s="341" t="s">
        <v>2940</v>
      </c>
      <c r="H85" s="342">
        <v>44915</v>
      </c>
      <c r="I85" s="11" t="s">
        <v>74</v>
      </c>
      <c r="J85" s="11" t="s">
        <v>32</v>
      </c>
      <c r="K85" s="133" t="s">
        <v>1838</v>
      </c>
      <c r="L85" s="344" t="s">
        <v>148</v>
      </c>
      <c r="M85" s="323" t="s">
        <v>2941</v>
      </c>
      <c r="N85" s="328">
        <v>45707</v>
      </c>
      <c r="O85" s="328">
        <v>45707</v>
      </c>
      <c r="P85" s="324"/>
      <c r="Q85" s="324">
        <v>45725</v>
      </c>
      <c r="R85" s="324">
        <v>45728</v>
      </c>
      <c r="S85" s="45">
        <f t="shared" si="8"/>
        <v>1</v>
      </c>
      <c r="T85" s="45" t="str">
        <f t="shared" si="9"/>
        <v/>
      </c>
      <c r="U85" s="45">
        <f t="shared" si="10"/>
        <v>12</v>
      </c>
      <c r="V85" s="45">
        <f t="shared" si="11"/>
        <v>2</v>
      </c>
      <c r="W85" s="133" t="s">
        <v>150</v>
      </c>
      <c r="X85" s="11" t="s">
        <v>50</v>
      </c>
      <c r="Y85" s="133">
        <v>16</v>
      </c>
      <c r="Z85" s="11" t="s">
        <v>57</v>
      </c>
      <c r="AA85" s="11" t="s">
        <v>57</v>
      </c>
      <c r="AB85" s="11">
        <v>40</v>
      </c>
      <c r="AC85" s="133" t="s">
        <v>69</v>
      </c>
      <c r="AD85" s="96"/>
      <c r="AE85" s="7"/>
      <c r="AF85" s="11"/>
      <c r="AG85" s="11"/>
    </row>
    <row r="86" spans="1:33">
      <c r="A86" s="76" t="s">
        <v>778</v>
      </c>
      <c r="B86" s="338" t="s">
        <v>2939</v>
      </c>
      <c r="C86" s="338" t="s">
        <v>1357</v>
      </c>
      <c r="D86" s="76" t="s">
        <v>143</v>
      </c>
      <c r="E86" s="76">
        <v>15.061480100000001</v>
      </c>
      <c r="F86" s="340">
        <v>120.81720799999999</v>
      </c>
      <c r="G86" s="341" t="s">
        <v>2940</v>
      </c>
      <c r="H86" s="342">
        <v>44915</v>
      </c>
      <c r="I86" s="11" t="s">
        <v>74</v>
      </c>
      <c r="J86" s="11" t="s">
        <v>32</v>
      </c>
      <c r="K86" s="133" t="s">
        <v>1838</v>
      </c>
      <c r="L86" s="344" t="s">
        <v>148</v>
      </c>
      <c r="M86" s="323" t="s">
        <v>2942</v>
      </c>
      <c r="N86" s="328">
        <v>45707</v>
      </c>
      <c r="O86" s="328">
        <v>45707</v>
      </c>
      <c r="P86" s="324"/>
      <c r="Q86" s="324">
        <v>45725</v>
      </c>
      <c r="R86" s="324">
        <v>45728</v>
      </c>
      <c r="S86" s="45">
        <f t="shared" si="8"/>
        <v>1</v>
      </c>
      <c r="T86" s="45" t="str">
        <f t="shared" si="9"/>
        <v/>
      </c>
      <c r="U86" s="45">
        <f t="shared" si="10"/>
        <v>12</v>
      </c>
      <c r="V86" s="45">
        <f t="shared" si="11"/>
        <v>2</v>
      </c>
      <c r="W86" s="133" t="s">
        <v>150</v>
      </c>
      <c r="X86" s="11" t="s">
        <v>50</v>
      </c>
      <c r="Y86" s="133">
        <v>16</v>
      </c>
      <c r="Z86" s="11" t="s">
        <v>57</v>
      </c>
      <c r="AA86" s="11" t="s">
        <v>57</v>
      </c>
      <c r="AB86" s="11">
        <v>40</v>
      </c>
      <c r="AC86" s="133" t="s">
        <v>69</v>
      </c>
      <c r="AD86" s="96"/>
      <c r="AE86" s="7"/>
      <c r="AF86" s="11"/>
      <c r="AG86" s="11"/>
    </row>
    <row r="87" spans="1:33">
      <c r="A87" s="76" t="s">
        <v>778</v>
      </c>
      <c r="B87" s="338" t="s">
        <v>2943</v>
      </c>
      <c r="C87" s="338" t="s">
        <v>2091</v>
      </c>
      <c r="D87" s="76" t="s">
        <v>143</v>
      </c>
      <c r="E87" s="76">
        <v>15.027603300000001</v>
      </c>
      <c r="F87" s="340">
        <v>120.66880500000001</v>
      </c>
      <c r="G87" s="341" t="s">
        <v>2944</v>
      </c>
      <c r="H87" s="342">
        <v>44904</v>
      </c>
      <c r="I87" s="11" t="s">
        <v>76</v>
      </c>
      <c r="J87" s="11" t="s">
        <v>33</v>
      </c>
      <c r="K87" s="11" t="s">
        <v>28</v>
      </c>
      <c r="L87" s="338" t="s">
        <v>148</v>
      </c>
      <c r="M87" s="323" t="s">
        <v>2945</v>
      </c>
      <c r="N87" s="324">
        <v>45749</v>
      </c>
      <c r="O87" s="324">
        <v>45750</v>
      </c>
      <c r="P87" s="324">
        <v>45754</v>
      </c>
      <c r="Q87" s="324">
        <v>45754</v>
      </c>
      <c r="R87" s="324">
        <v>45791</v>
      </c>
      <c r="S87" s="45">
        <f t="shared" si="8"/>
        <v>1</v>
      </c>
      <c r="T87" s="45">
        <f t="shared" si="9"/>
        <v>2</v>
      </c>
      <c r="U87" s="45">
        <f t="shared" si="10"/>
        <v>2</v>
      </c>
      <c r="V87" s="45">
        <f t="shared" si="11"/>
        <v>27</v>
      </c>
      <c r="W87" s="133" t="s">
        <v>150</v>
      </c>
      <c r="X87" s="11" t="s">
        <v>50</v>
      </c>
      <c r="Y87" s="133">
        <v>8</v>
      </c>
      <c r="Z87" s="11" t="s">
        <v>57</v>
      </c>
      <c r="AA87" s="11" t="s">
        <v>57</v>
      </c>
      <c r="AB87" s="11">
        <v>50</v>
      </c>
      <c r="AC87" s="133" t="s">
        <v>69</v>
      </c>
      <c r="AD87" s="96"/>
      <c r="AE87" s="7"/>
      <c r="AF87" s="11"/>
      <c r="AG87" s="11"/>
    </row>
    <row r="88" spans="1:33">
      <c r="A88" s="76" t="s">
        <v>778</v>
      </c>
      <c r="B88" s="338" t="s">
        <v>2943</v>
      </c>
      <c r="C88" s="338" t="s">
        <v>2091</v>
      </c>
      <c r="D88" s="76" t="s">
        <v>143</v>
      </c>
      <c r="E88" s="76">
        <v>15.021888000000001</v>
      </c>
      <c r="F88" s="340">
        <v>120.67368999999999</v>
      </c>
      <c r="G88" s="341" t="s">
        <v>2946</v>
      </c>
      <c r="H88" s="342">
        <v>44904</v>
      </c>
      <c r="I88" s="11" t="s">
        <v>76</v>
      </c>
      <c r="J88" s="11" t="s">
        <v>33</v>
      </c>
      <c r="K88" s="11" t="s">
        <v>28</v>
      </c>
      <c r="L88" s="338" t="s">
        <v>148</v>
      </c>
      <c r="M88" s="323" t="s">
        <v>2947</v>
      </c>
      <c r="N88" s="324">
        <v>45749</v>
      </c>
      <c r="O88" s="324">
        <v>45750</v>
      </c>
      <c r="P88" s="324">
        <v>45754</v>
      </c>
      <c r="Q88" s="324">
        <v>45754</v>
      </c>
      <c r="R88" s="324">
        <v>45782</v>
      </c>
      <c r="S88" s="45">
        <f t="shared" si="8"/>
        <v>1</v>
      </c>
      <c r="T88" s="45">
        <f t="shared" si="9"/>
        <v>2</v>
      </c>
      <c r="U88" s="45">
        <f t="shared" si="10"/>
        <v>2</v>
      </c>
      <c r="V88" s="45">
        <f t="shared" si="11"/>
        <v>20</v>
      </c>
      <c r="W88" s="133" t="s">
        <v>150</v>
      </c>
      <c r="X88" s="11" t="s">
        <v>50</v>
      </c>
      <c r="Y88" s="133">
        <v>12</v>
      </c>
      <c r="Z88" s="11" t="s">
        <v>57</v>
      </c>
      <c r="AA88" s="11" t="s">
        <v>57</v>
      </c>
      <c r="AB88" s="11">
        <v>20</v>
      </c>
      <c r="AC88" s="133" t="s">
        <v>69</v>
      </c>
      <c r="AD88" s="96"/>
      <c r="AE88" s="7"/>
      <c r="AF88" s="11"/>
      <c r="AG88" s="11"/>
    </row>
    <row r="89" spans="1:33" ht="105">
      <c r="A89" s="76" t="s">
        <v>778</v>
      </c>
      <c r="B89" s="338" t="s">
        <v>2943</v>
      </c>
      <c r="C89" s="338" t="s">
        <v>2091</v>
      </c>
      <c r="D89" s="76" t="s">
        <v>143</v>
      </c>
      <c r="E89" s="76">
        <v>15.021888000000001</v>
      </c>
      <c r="F89" s="340">
        <v>120.67368999999999</v>
      </c>
      <c r="G89" s="341" t="s">
        <v>2948</v>
      </c>
      <c r="H89" s="342">
        <v>44904</v>
      </c>
      <c r="I89" s="11" t="s">
        <v>76</v>
      </c>
      <c r="J89" s="11" t="s">
        <v>33</v>
      </c>
      <c r="K89" s="11" t="s">
        <v>28</v>
      </c>
      <c r="L89" s="338" t="s">
        <v>148</v>
      </c>
      <c r="M89" s="323" t="s">
        <v>2949</v>
      </c>
      <c r="N89" s="324">
        <v>45749</v>
      </c>
      <c r="O89" s="324">
        <v>45750</v>
      </c>
      <c r="P89" s="324">
        <v>45754</v>
      </c>
      <c r="Q89" s="324">
        <v>45776</v>
      </c>
      <c r="R89" s="324">
        <v>45782</v>
      </c>
      <c r="S89" s="45">
        <f t="shared" si="8"/>
        <v>1</v>
      </c>
      <c r="T89" s="45">
        <f t="shared" si="9"/>
        <v>2</v>
      </c>
      <c r="U89" s="45">
        <f t="shared" si="10"/>
        <v>18</v>
      </c>
      <c r="V89" s="45">
        <f t="shared" si="11"/>
        <v>4</v>
      </c>
      <c r="W89" s="133" t="s">
        <v>150</v>
      </c>
      <c r="X89" s="11" t="s">
        <v>57</v>
      </c>
      <c r="Y89" s="133">
        <v>0</v>
      </c>
      <c r="Z89" s="11" t="s">
        <v>57</v>
      </c>
      <c r="AA89" s="11" t="s">
        <v>57</v>
      </c>
      <c r="AB89" s="11">
        <v>50</v>
      </c>
      <c r="AC89" s="133" t="s">
        <v>69</v>
      </c>
      <c r="AD89" s="96" t="s">
        <v>2950</v>
      </c>
      <c r="AE89" s="5">
        <v>45805</v>
      </c>
      <c r="AF89" s="11"/>
      <c r="AG89" s="11"/>
    </row>
    <row r="90" spans="1:33" ht="120">
      <c r="A90" s="76" t="s">
        <v>778</v>
      </c>
      <c r="B90" s="338" t="s">
        <v>2951</v>
      </c>
      <c r="C90" s="338" t="s">
        <v>2091</v>
      </c>
      <c r="D90" s="76" t="s">
        <v>143</v>
      </c>
      <c r="E90" s="76">
        <v>15.04951</v>
      </c>
      <c r="F90" s="340">
        <v>120.65949000000001</v>
      </c>
      <c r="G90" s="341" t="str">
        <f>_xlfn.CONCAT(E90:F90)</f>
        <v>15.04951120.65949</v>
      </c>
      <c r="H90" s="342">
        <v>44904</v>
      </c>
      <c r="I90" s="11" t="s">
        <v>76</v>
      </c>
      <c r="J90" s="11" t="s">
        <v>33</v>
      </c>
      <c r="K90" s="11" t="s">
        <v>28</v>
      </c>
      <c r="L90" s="338" t="s">
        <v>148</v>
      </c>
      <c r="M90" s="323" t="s">
        <v>2952</v>
      </c>
      <c r="N90" s="328">
        <v>45749</v>
      </c>
      <c r="O90" s="324">
        <v>45750</v>
      </c>
      <c r="P90" s="34">
        <v>45754</v>
      </c>
      <c r="Q90" s="324">
        <v>45782</v>
      </c>
      <c r="R90" s="324">
        <v>45950</v>
      </c>
      <c r="S90" s="45">
        <f t="shared" si="8"/>
        <v>1</v>
      </c>
      <c r="T90" s="45">
        <f t="shared" si="9"/>
        <v>2</v>
      </c>
      <c r="U90" s="45">
        <f t="shared" si="10"/>
        <v>22</v>
      </c>
      <c r="V90" s="45">
        <f t="shared" si="11"/>
        <v>120</v>
      </c>
      <c r="W90" s="133" t="s">
        <v>150</v>
      </c>
      <c r="X90" s="11" t="s">
        <v>57</v>
      </c>
      <c r="Y90" s="133">
        <v>3</v>
      </c>
      <c r="Z90" s="11" t="s">
        <v>57</v>
      </c>
      <c r="AA90" s="11" t="s">
        <v>57</v>
      </c>
      <c r="AB90" s="11" t="s">
        <v>2953</v>
      </c>
      <c r="AC90" s="133"/>
      <c r="AD90" s="96" t="s">
        <v>2954</v>
      </c>
      <c r="AE90" s="7" t="s">
        <v>2955</v>
      </c>
      <c r="AF90" s="11"/>
      <c r="AG90" s="11"/>
    </row>
    <row r="91" spans="1:33" ht="120">
      <c r="A91" s="76" t="s">
        <v>778</v>
      </c>
      <c r="B91" s="338" t="s">
        <v>2951</v>
      </c>
      <c r="C91" s="338" t="s">
        <v>2091</v>
      </c>
      <c r="D91" s="76" t="s">
        <v>143</v>
      </c>
      <c r="E91" s="76">
        <v>15.04674</v>
      </c>
      <c r="F91" s="340">
        <v>120.66177999999999</v>
      </c>
      <c r="G91" s="341" t="str">
        <f>_xlfn.CONCAT(E91:F91)</f>
        <v>15.04674120.66178</v>
      </c>
      <c r="H91" s="342">
        <v>44904</v>
      </c>
      <c r="I91" s="11" t="s">
        <v>76</v>
      </c>
      <c r="J91" s="11" t="s">
        <v>33</v>
      </c>
      <c r="K91" s="11" t="s">
        <v>28</v>
      </c>
      <c r="L91" s="338" t="s">
        <v>148</v>
      </c>
      <c r="M91" s="323" t="s">
        <v>2956</v>
      </c>
      <c r="N91" s="328">
        <v>45749</v>
      </c>
      <c r="O91" s="324">
        <v>45750</v>
      </c>
      <c r="P91" s="34">
        <v>45754</v>
      </c>
      <c r="Q91" s="324">
        <v>45950</v>
      </c>
      <c r="R91" s="324">
        <v>45950</v>
      </c>
      <c r="S91" s="45">
        <f t="shared" si="8"/>
        <v>1</v>
      </c>
      <c r="T91" s="45">
        <f t="shared" si="9"/>
        <v>2</v>
      </c>
      <c r="U91" s="45">
        <f t="shared" si="10"/>
        <v>142</v>
      </c>
      <c r="V91" s="45">
        <f t="shared" si="11"/>
        <v>1</v>
      </c>
      <c r="W91" s="133" t="s">
        <v>150</v>
      </c>
      <c r="X91" s="11" t="s">
        <v>57</v>
      </c>
      <c r="Y91" s="11"/>
      <c r="Z91" s="11" t="s">
        <v>57</v>
      </c>
      <c r="AA91" s="11" t="s">
        <v>57</v>
      </c>
      <c r="AB91" s="11" t="s">
        <v>2953</v>
      </c>
      <c r="AC91" s="133"/>
      <c r="AD91" s="96" t="s">
        <v>2954</v>
      </c>
      <c r="AE91" s="7" t="s">
        <v>2957</v>
      </c>
      <c r="AF91" s="11"/>
      <c r="AG91" s="11"/>
    </row>
    <row r="92" spans="1:33" ht="120">
      <c r="A92" s="76" t="s">
        <v>778</v>
      </c>
      <c r="B92" s="338" t="s">
        <v>2951</v>
      </c>
      <c r="C92" s="338" t="s">
        <v>2091</v>
      </c>
      <c r="D92" s="76" t="s">
        <v>143</v>
      </c>
      <c r="E92" s="76">
        <v>15.04053</v>
      </c>
      <c r="F92" s="340">
        <v>120.66643999999999</v>
      </c>
      <c r="G92" s="341" t="str">
        <f>_xlfn.CONCAT(E92:F92)</f>
        <v>15.04053120.66644</v>
      </c>
      <c r="H92" s="342">
        <v>44904</v>
      </c>
      <c r="I92" s="11" t="s">
        <v>76</v>
      </c>
      <c r="J92" s="11" t="s">
        <v>33</v>
      </c>
      <c r="K92" s="11" t="s">
        <v>28</v>
      </c>
      <c r="L92" s="344" t="s">
        <v>148</v>
      </c>
      <c r="M92" s="323" t="s">
        <v>2958</v>
      </c>
      <c r="N92" s="328">
        <v>45749</v>
      </c>
      <c r="O92" s="324">
        <v>45750</v>
      </c>
      <c r="P92" s="34">
        <v>45754</v>
      </c>
      <c r="Q92" s="324">
        <v>45782</v>
      </c>
      <c r="R92" s="324">
        <v>45950</v>
      </c>
      <c r="S92" s="45">
        <f t="shared" si="8"/>
        <v>1</v>
      </c>
      <c r="T92" s="45">
        <f t="shared" si="9"/>
        <v>2</v>
      </c>
      <c r="U92" s="45">
        <f t="shared" si="10"/>
        <v>22</v>
      </c>
      <c r="V92" s="45">
        <f t="shared" si="11"/>
        <v>120</v>
      </c>
      <c r="W92" s="133" t="s">
        <v>150</v>
      </c>
      <c r="X92" s="11" t="s">
        <v>57</v>
      </c>
      <c r="Y92" s="133">
        <v>16</v>
      </c>
      <c r="Z92" s="11" t="s">
        <v>57</v>
      </c>
      <c r="AA92" s="11" t="s">
        <v>57</v>
      </c>
      <c r="AB92" s="11" t="s">
        <v>2959</v>
      </c>
      <c r="AC92" s="11"/>
      <c r="AD92" s="96" t="s">
        <v>2954</v>
      </c>
      <c r="AE92" s="7" t="s">
        <v>2957</v>
      </c>
      <c r="AF92" s="11"/>
      <c r="AG92" s="11"/>
    </row>
    <row r="93" spans="1:33">
      <c r="A93" s="76" t="s">
        <v>778</v>
      </c>
      <c r="B93" s="338" t="s">
        <v>2960</v>
      </c>
      <c r="C93" s="338" t="s">
        <v>2091</v>
      </c>
      <c r="D93" s="76" t="s">
        <v>143</v>
      </c>
      <c r="E93" s="76">
        <v>15.039218</v>
      </c>
      <c r="F93" s="340">
        <v>120.69381</v>
      </c>
      <c r="G93" s="341" t="s">
        <v>2961</v>
      </c>
      <c r="H93" s="342">
        <v>44904</v>
      </c>
      <c r="I93" s="11" t="s">
        <v>77</v>
      </c>
      <c r="J93" s="11" t="s">
        <v>33</v>
      </c>
      <c r="K93" s="11"/>
      <c r="L93" s="338" t="s">
        <v>148</v>
      </c>
      <c r="M93" s="323" t="s">
        <v>2962</v>
      </c>
      <c r="N93" s="328">
        <v>45783</v>
      </c>
      <c r="O93" s="324">
        <v>45792</v>
      </c>
      <c r="P93" s="324"/>
      <c r="Q93" s="324">
        <v>45796</v>
      </c>
      <c r="R93" s="324">
        <v>45796</v>
      </c>
      <c r="S93" s="333">
        <f t="shared" si="8"/>
        <v>7</v>
      </c>
      <c r="T93" s="333" t="str">
        <f t="shared" si="9"/>
        <v/>
      </c>
      <c r="U93" s="333">
        <f t="shared" si="10"/>
        <v>2</v>
      </c>
      <c r="V93" s="333">
        <f t="shared" si="11"/>
        <v>1</v>
      </c>
      <c r="W93" s="133" t="s">
        <v>150</v>
      </c>
      <c r="X93" s="11" t="s">
        <v>50</v>
      </c>
      <c r="Y93" s="133">
        <v>18</v>
      </c>
      <c r="Z93" s="11" t="s">
        <v>57</v>
      </c>
      <c r="AA93" s="11" t="s">
        <v>57</v>
      </c>
      <c r="AB93" s="11">
        <v>10</v>
      </c>
      <c r="AC93" s="133" t="s">
        <v>69</v>
      </c>
      <c r="AD93" s="96"/>
      <c r="AE93" s="7"/>
      <c r="AF93" s="11"/>
      <c r="AG93" s="11"/>
    </row>
    <row r="94" spans="1:33" ht="165">
      <c r="A94" s="76" t="s">
        <v>778</v>
      </c>
      <c r="B94" s="338" t="s">
        <v>2963</v>
      </c>
      <c r="C94" s="338" t="s">
        <v>2091</v>
      </c>
      <c r="D94" s="76" t="s">
        <v>143</v>
      </c>
      <c r="E94" s="76">
        <v>15.11679</v>
      </c>
      <c r="F94" s="340">
        <v>120.60566</v>
      </c>
      <c r="G94" s="341" t="str">
        <f>_xlfn.CONCAT(E94:F94)</f>
        <v>15.11679120.60566</v>
      </c>
      <c r="H94" s="342">
        <v>44904</v>
      </c>
      <c r="I94" s="11" t="s">
        <v>76</v>
      </c>
      <c r="J94" s="11" t="s">
        <v>33</v>
      </c>
      <c r="K94" s="11"/>
      <c r="L94" s="338" t="s">
        <v>148</v>
      </c>
      <c r="M94" s="323" t="s">
        <v>2964</v>
      </c>
      <c r="N94" s="328">
        <v>45755</v>
      </c>
      <c r="O94" s="324">
        <v>45758</v>
      </c>
      <c r="P94" s="34"/>
      <c r="Q94" s="34">
        <v>45768</v>
      </c>
      <c r="R94" s="324">
        <v>45782</v>
      </c>
      <c r="S94" s="45">
        <f t="shared" si="8"/>
        <v>3</v>
      </c>
      <c r="T94" s="45" t="str">
        <f t="shared" si="9"/>
        <v/>
      </c>
      <c r="U94" s="45">
        <f t="shared" si="10"/>
        <v>6</v>
      </c>
      <c r="V94" s="45">
        <f t="shared" si="11"/>
        <v>10</v>
      </c>
      <c r="W94" s="133" t="s">
        <v>150</v>
      </c>
      <c r="X94" s="11" t="s">
        <v>57</v>
      </c>
      <c r="Y94" s="133">
        <v>0</v>
      </c>
      <c r="Z94" s="11" t="s">
        <v>57</v>
      </c>
      <c r="AA94" s="11" t="s">
        <v>57</v>
      </c>
      <c r="AB94" s="11" t="s">
        <v>679</v>
      </c>
      <c r="AC94" s="11" t="s">
        <v>69</v>
      </c>
      <c r="AD94" s="373" t="s">
        <v>2965</v>
      </c>
      <c r="AE94" s="7" t="s">
        <v>2966</v>
      </c>
      <c r="AF94" s="11"/>
      <c r="AG94" s="11"/>
    </row>
    <row r="95" spans="1:33">
      <c r="A95" s="76" t="s">
        <v>778</v>
      </c>
      <c r="B95" s="338" t="s">
        <v>2963</v>
      </c>
      <c r="C95" s="338" t="s">
        <v>2091</v>
      </c>
      <c r="D95" s="76" t="s">
        <v>143</v>
      </c>
      <c r="E95" s="76">
        <v>15.108095</v>
      </c>
      <c r="F95" s="340">
        <v>120.611417</v>
      </c>
      <c r="G95" s="341" t="s">
        <v>2967</v>
      </c>
      <c r="H95" s="342">
        <v>44904</v>
      </c>
      <c r="I95" s="11" t="s">
        <v>76</v>
      </c>
      <c r="J95" s="11" t="s">
        <v>33</v>
      </c>
      <c r="K95" s="11" t="s">
        <v>28</v>
      </c>
      <c r="L95" s="338" t="s">
        <v>148</v>
      </c>
      <c r="M95" s="323" t="s">
        <v>2968</v>
      </c>
      <c r="N95" s="328">
        <v>45755</v>
      </c>
      <c r="O95" s="324">
        <v>45758</v>
      </c>
      <c r="P95" s="34"/>
      <c r="Q95" s="324">
        <v>45776</v>
      </c>
      <c r="R95" s="324">
        <v>45782</v>
      </c>
      <c r="S95" s="45">
        <f t="shared" si="8"/>
        <v>3</v>
      </c>
      <c r="T95" s="45" t="str">
        <f t="shared" si="9"/>
        <v/>
      </c>
      <c r="U95" s="45">
        <f t="shared" si="10"/>
        <v>12</v>
      </c>
      <c r="V95" s="45">
        <f t="shared" si="11"/>
        <v>4</v>
      </c>
      <c r="W95" s="133" t="s">
        <v>150</v>
      </c>
      <c r="X95" s="11" t="s">
        <v>50</v>
      </c>
      <c r="Y95" s="133">
        <v>10</v>
      </c>
      <c r="Z95" s="11" t="s">
        <v>57</v>
      </c>
      <c r="AA95" s="11" t="s">
        <v>57</v>
      </c>
      <c r="AB95" s="11" t="s">
        <v>2969</v>
      </c>
      <c r="AC95" s="133" t="s">
        <v>69</v>
      </c>
      <c r="AD95" s="133"/>
      <c r="AE95" s="7"/>
      <c r="AF95" s="11"/>
      <c r="AG95" s="11"/>
    </row>
    <row r="96" spans="1:33" ht="180">
      <c r="A96" s="76" t="s">
        <v>778</v>
      </c>
      <c r="B96" s="338" t="s">
        <v>2970</v>
      </c>
      <c r="C96" s="338" t="s">
        <v>2091</v>
      </c>
      <c r="D96" s="76" t="s">
        <v>143</v>
      </c>
      <c r="E96" s="76">
        <v>15.10364</v>
      </c>
      <c r="F96" s="340">
        <v>120.63617000000001</v>
      </c>
      <c r="G96" s="341" t="str">
        <f>_xlfn.CONCAT(E96:F96)</f>
        <v>15.10364120.63617</v>
      </c>
      <c r="H96" s="342">
        <v>44904</v>
      </c>
      <c r="I96" s="11" t="s">
        <v>76</v>
      </c>
      <c r="J96" s="11" t="s">
        <v>33</v>
      </c>
      <c r="K96" s="11" t="s">
        <v>1838</v>
      </c>
      <c r="L96" s="338" t="s">
        <v>148</v>
      </c>
      <c r="M96" s="323" t="s">
        <v>2971</v>
      </c>
      <c r="N96" s="328">
        <v>45749</v>
      </c>
      <c r="O96" s="324">
        <v>45750</v>
      </c>
      <c r="P96" s="34">
        <v>45754</v>
      </c>
      <c r="Q96" s="34">
        <v>45782</v>
      </c>
      <c r="R96" s="34">
        <v>45950</v>
      </c>
      <c r="S96" s="45">
        <f t="shared" si="8"/>
        <v>1</v>
      </c>
      <c r="T96" s="45">
        <f t="shared" si="9"/>
        <v>2</v>
      </c>
      <c r="U96" s="45">
        <f t="shared" si="10"/>
        <v>22</v>
      </c>
      <c r="V96" s="45">
        <f t="shared" si="11"/>
        <v>120</v>
      </c>
      <c r="W96" s="133" t="s">
        <v>150</v>
      </c>
      <c r="X96" s="11" t="s">
        <v>57</v>
      </c>
      <c r="Y96" s="133"/>
      <c r="Z96" s="11" t="s">
        <v>57</v>
      </c>
      <c r="AA96" s="133" t="s">
        <v>57</v>
      </c>
      <c r="AB96" s="11" t="s">
        <v>2972</v>
      </c>
      <c r="AC96" s="133"/>
      <c r="AD96" s="7" t="s">
        <v>2973</v>
      </c>
      <c r="AE96" s="7" t="s">
        <v>2957</v>
      </c>
      <c r="AF96" s="11"/>
      <c r="AG96" s="11"/>
    </row>
    <row r="97" spans="1:33" ht="240">
      <c r="A97" s="76" t="s">
        <v>778</v>
      </c>
      <c r="B97" s="338" t="s">
        <v>2974</v>
      </c>
      <c r="C97" s="338" t="s">
        <v>2091</v>
      </c>
      <c r="D97" s="76" t="s">
        <v>143</v>
      </c>
      <c r="E97" s="76">
        <v>15.095210829999999</v>
      </c>
      <c r="F97" s="340">
        <v>120.6470649</v>
      </c>
      <c r="G97" s="341" t="s">
        <v>2975</v>
      </c>
      <c r="H97" s="342">
        <v>44904</v>
      </c>
      <c r="I97" s="11" t="s">
        <v>77</v>
      </c>
      <c r="J97" s="11" t="s">
        <v>33</v>
      </c>
      <c r="K97" s="11"/>
      <c r="L97" s="338" t="s">
        <v>148</v>
      </c>
      <c r="M97" s="323" t="s">
        <v>2976</v>
      </c>
      <c r="N97" s="328">
        <v>45783</v>
      </c>
      <c r="O97" s="324">
        <v>45784</v>
      </c>
      <c r="P97" s="324"/>
      <c r="Q97" s="324">
        <v>45796</v>
      </c>
      <c r="R97" s="324">
        <v>45796</v>
      </c>
      <c r="S97" s="45">
        <f t="shared" si="8"/>
        <v>1</v>
      </c>
      <c r="T97" s="45" t="str">
        <f t="shared" si="9"/>
        <v/>
      </c>
      <c r="U97" s="45">
        <f t="shared" si="10"/>
        <v>8</v>
      </c>
      <c r="V97" s="45">
        <f t="shared" si="11"/>
        <v>1</v>
      </c>
      <c r="W97" s="133" t="s">
        <v>150</v>
      </c>
      <c r="X97" s="11" t="s">
        <v>57</v>
      </c>
      <c r="Y97" s="133">
        <v>0</v>
      </c>
      <c r="Z97" s="11" t="s">
        <v>57</v>
      </c>
      <c r="AA97" s="11" t="s">
        <v>57</v>
      </c>
      <c r="AB97" s="11" t="s">
        <v>1239</v>
      </c>
      <c r="AC97" s="133" t="s">
        <v>69</v>
      </c>
      <c r="AD97" s="96" t="s">
        <v>2977</v>
      </c>
      <c r="AE97" s="7"/>
      <c r="AF97" s="11"/>
      <c r="AG97" s="7" t="s">
        <v>2978</v>
      </c>
    </row>
    <row r="98" spans="1:33" ht="75">
      <c r="A98" s="76" t="s">
        <v>778</v>
      </c>
      <c r="B98" s="338" t="s">
        <v>2979</v>
      </c>
      <c r="C98" s="338" t="s">
        <v>2091</v>
      </c>
      <c r="D98" s="76" t="s">
        <v>143</v>
      </c>
      <c r="E98" s="76">
        <v>15.0739</v>
      </c>
      <c r="F98" s="340">
        <v>120.63760000000001</v>
      </c>
      <c r="G98" s="341" t="s">
        <v>2980</v>
      </c>
      <c r="H98" s="342">
        <v>44904</v>
      </c>
      <c r="I98" s="11" t="s">
        <v>76</v>
      </c>
      <c r="J98" s="11" t="s">
        <v>33</v>
      </c>
      <c r="K98" s="11" t="s">
        <v>1838</v>
      </c>
      <c r="L98" s="338" t="s">
        <v>148</v>
      </c>
      <c r="M98" s="323" t="s">
        <v>2981</v>
      </c>
      <c r="N98" s="328">
        <v>45755</v>
      </c>
      <c r="O98" s="324">
        <v>45758</v>
      </c>
      <c r="P98" s="324"/>
      <c r="Q98" s="324">
        <v>45776</v>
      </c>
      <c r="R98" s="324">
        <v>45782</v>
      </c>
      <c r="S98" s="45">
        <f t="shared" ref="S98:S129" si="12">IF(
    OR(ISBLANK(N98), ISBLANK(O98)),
    "",
    MAX(1, IF(
        NETWORKDAYS(N98, O98) &lt;= 0,
        1,
        NETWORKDAYS(N98, O98) - IF(N98 = O98, 0, 1)
    ))
)</f>
        <v>3</v>
      </c>
      <c r="T98" s="45" t="str">
        <f t="shared" ref="T98:T129" si="13">IF(
    OR(ISBLANK(O98), ISBLANK(P98)),
    "",
    MAX(1, IF(
        NETWORKDAYS(O98, P98) &lt;= 0,
        1,
        NETWORKDAYS(O98, P98) - IF(O98 = P98, 0, 1)
    ))
)</f>
        <v/>
      </c>
      <c r="U98" s="45">
        <f t="shared" ref="U98:U129" si="14">IF(
  OR(A98 = "Nueva_Ecija", A98 = "Zambales"),
  IF(
    OR(ISBLANK(P98), ISBLANK(Q98)),
    "",
    MAX(1, IF(
      NETWORKDAYS(P98, Q98) &lt;= 0,
      1,
      NETWORKDAYS(P98, Q98) - IF(P98 = Q98, 0, 1)
    ))
  ),
  IF(
    OR(ISBLANK(O98), ISBLANK(Q98)),
    "",
    MAX(1, IF(
      NETWORKDAYS(O98, Q98) &lt;= 0,
      1,
      NETWORKDAYS(O98, Q98) - IF(O98 = Q98, 0, 1)
    ))
  )
)</f>
        <v>12</v>
      </c>
      <c r="V98" s="45">
        <f t="shared" ref="V98:V129" si="15">IF(
    OR(ISBLANK(Q98), ISBLANK(R98)),
    "",
    MAX(1, IF(
        NETWORKDAYS(Q98, R98) &lt;= 0,
        1,
        NETWORKDAYS(Q98, R98) - IF(Q98 = R98, 0, 1)
    ))
)</f>
        <v>4</v>
      </c>
      <c r="W98" s="133" t="s">
        <v>150</v>
      </c>
      <c r="X98" s="11" t="s">
        <v>50</v>
      </c>
      <c r="Y98" s="133">
        <v>7</v>
      </c>
      <c r="Z98" s="11" t="s">
        <v>57</v>
      </c>
      <c r="AA98" s="11" t="s">
        <v>57</v>
      </c>
      <c r="AB98" s="11">
        <v>60</v>
      </c>
      <c r="AC98" s="133" t="s">
        <v>69</v>
      </c>
      <c r="AD98" s="96" t="s">
        <v>2982</v>
      </c>
      <c r="AE98" s="7"/>
      <c r="AF98" s="11"/>
      <c r="AG98" s="11"/>
    </row>
    <row r="99" spans="1:33" ht="165">
      <c r="A99" s="76" t="s">
        <v>778</v>
      </c>
      <c r="B99" s="338" t="s">
        <v>2979</v>
      </c>
      <c r="C99" s="338" t="s">
        <v>2091</v>
      </c>
      <c r="D99" s="76" t="s">
        <v>143</v>
      </c>
      <c r="E99" s="76">
        <v>15.073954000000001</v>
      </c>
      <c r="F99" s="340">
        <v>120.63764</v>
      </c>
      <c r="G99" s="341" t="s">
        <v>2983</v>
      </c>
      <c r="H99" s="342">
        <v>44904</v>
      </c>
      <c r="I99" s="11" t="s">
        <v>76</v>
      </c>
      <c r="J99" s="11" t="s">
        <v>33</v>
      </c>
      <c r="K99" s="11" t="s">
        <v>1838</v>
      </c>
      <c r="L99" s="338" t="s">
        <v>148</v>
      </c>
      <c r="M99" s="323" t="s">
        <v>2984</v>
      </c>
      <c r="N99" s="328">
        <v>45755</v>
      </c>
      <c r="O99" s="324">
        <v>45758</v>
      </c>
      <c r="P99" s="324"/>
      <c r="Q99" s="34">
        <v>45768</v>
      </c>
      <c r="R99" s="324">
        <v>45782</v>
      </c>
      <c r="S99" s="45">
        <f t="shared" si="12"/>
        <v>3</v>
      </c>
      <c r="T99" s="45" t="str">
        <f t="shared" si="13"/>
        <v/>
      </c>
      <c r="U99" s="45">
        <f t="shared" si="14"/>
        <v>6</v>
      </c>
      <c r="V99" s="45">
        <f t="shared" si="15"/>
        <v>10</v>
      </c>
      <c r="W99" s="133" t="s">
        <v>150</v>
      </c>
      <c r="X99" s="11" t="s">
        <v>50</v>
      </c>
      <c r="Y99" s="133">
        <v>3</v>
      </c>
      <c r="Z99" s="11" t="s">
        <v>57</v>
      </c>
      <c r="AA99" s="11" t="s">
        <v>57</v>
      </c>
      <c r="AB99" s="11">
        <v>50</v>
      </c>
      <c r="AC99" s="133" t="s">
        <v>679</v>
      </c>
      <c r="AD99" s="96" t="s">
        <v>2985</v>
      </c>
      <c r="AE99" s="7" t="s">
        <v>2966</v>
      </c>
      <c r="AF99" s="11"/>
      <c r="AG99" s="11"/>
    </row>
    <row r="100" spans="1:33" ht="240">
      <c r="A100" s="76" t="s">
        <v>778</v>
      </c>
      <c r="B100" s="338" t="s">
        <v>2986</v>
      </c>
      <c r="C100" s="338" t="s">
        <v>2091</v>
      </c>
      <c r="D100" s="76" t="s">
        <v>143</v>
      </c>
      <c r="E100" s="76">
        <v>15.058015230000001</v>
      </c>
      <c r="F100" s="340">
        <v>120.6816953</v>
      </c>
      <c r="G100" s="341" t="s">
        <v>2987</v>
      </c>
      <c r="H100" s="342">
        <v>44904</v>
      </c>
      <c r="I100" s="11" t="s">
        <v>77</v>
      </c>
      <c r="J100" s="11" t="s">
        <v>33</v>
      </c>
      <c r="K100" s="11"/>
      <c r="L100" s="344" t="s">
        <v>148</v>
      </c>
      <c r="M100" s="323" t="s">
        <v>2988</v>
      </c>
      <c r="N100" s="328">
        <v>45783</v>
      </c>
      <c r="O100" s="324">
        <v>45784</v>
      </c>
      <c r="P100" s="324"/>
      <c r="Q100" s="324">
        <v>45796</v>
      </c>
      <c r="R100" s="324">
        <v>45796</v>
      </c>
      <c r="S100" s="45">
        <f t="shared" si="12"/>
        <v>1</v>
      </c>
      <c r="T100" s="45" t="str">
        <f t="shared" si="13"/>
        <v/>
      </c>
      <c r="U100" s="45">
        <f t="shared" si="14"/>
        <v>8</v>
      </c>
      <c r="V100" s="45">
        <f t="shared" si="15"/>
        <v>1</v>
      </c>
      <c r="W100" s="133" t="s">
        <v>150</v>
      </c>
      <c r="X100" s="11" t="s">
        <v>57</v>
      </c>
      <c r="Y100" s="133">
        <v>0</v>
      </c>
      <c r="Z100" s="11" t="s">
        <v>57</v>
      </c>
      <c r="AA100" s="11" t="s">
        <v>57</v>
      </c>
      <c r="AB100" s="11">
        <v>10</v>
      </c>
      <c r="AC100" s="133" t="s">
        <v>69</v>
      </c>
      <c r="AD100" s="96" t="s">
        <v>2977</v>
      </c>
      <c r="AE100" s="7"/>
      <c r="AF100" s="11"/>
      <c r="AG100" s="7" t="s">
        <v>2978</v>
      </c>
    </row>
    <row r="101" spans="1:33" ht="240">
      <c r="A101" s="76" t="s">
        <v>778</v>
      </c>
      <c r="B101" s="338" t="s">
        <v>2986</v>
      </c>
      <c r="C101" s="338" t="s">
        <v>2091</v>
      </c>
      <c r="D101" s="76" t="s">
        <v>143</v>
      </c>
      <c r="E101" s="76">
        <v>15.048590000000001</v>
      </c>
      <c r="F101" s="340">
        <v>120.683992</v>
      </c>
      <c r="G101" s="341" t="s">
        <v>2989</v>
      </c>
      <c r="H101" s="342">
        <v>44904</v>
      </c>
      <c r="I101" s="11" t="s">
        <v>77</v>
      </c>
      <c r="J101" s="11" t="s">
        <v>33</v>
      </c>
      <c r="K101" s="11"/>
      <c r="L101" s="344" t="s">
        <v>148</v>
      </c>
      <c r="M101" s="323" t="s">
        <v>2990</v>
      </c>
      <c r="N101" s="328">
        <v>45783</v>
      </c>
      <c r="O101" s="324">
        <v>45784</v>
      </c>
      <c r="P101" s="324"/>
      <c r="Q101" s="324">
        <v>45796</v>
      </c>
      <c r="R101" s="324">
        <v>45796</v>
      </c>
      <c r="S101" s="45">
        <f t="shared" si="12"/>
        <v>1</v>
      </c>
      <c r="T101" s="45" t="str">
        <f t="shared" si="13"/>
        <v/>
      </c>
      <c r="U101" s="45">
        <f t="shared" si="14"/>
        <v>8</v>
      </c>
      <c r="V101" s="45">
        <f t="shared" si="15"/>
        <v>1</v>
      </c>
      <c r="W101" s="133" t="s">
        <v>150</v>
      </c>
      <c r="X101" s="11" t="s">
        <v>57</v>
      </c>
      <c r="Y101" s="133">
        <v>0</v>
      </c>
      <c r="Z101" s="11" t="s">
        <v>57</v>
      </c>
      <c r="AA101" s="11" t="s">
        <v>57</v>
      </c>
      <c r="AB101" s="11">
        <v>10</v>
      </c>
      <c r="AC101" s="133" t="s">
        <v>69</v>
      </c>
      <c r="AD101" s="96" t="s">
        <v>2977</v>
      </c>
      <c r="AE101" s="7"/>
      <c r="AF101" s="11"/>
      <c r="AG101" s="7" t="s">
        <v>2978</v>
      </c>
    </row>
    <row r="102" spans="1:33" ht="150">
      <c r="A102" s="76" t="s">
        <v>778</v>
      </c>
      <c r="B102" s="338" t="s">
        <v>2991</v>
      </c>
      <c r="C102" s="338" t="s">
        <v>2091</v>
      </c>
      <c r="D102" s="76" t="s">
        <v>143</v>
      </c>
      <c r="E102" s="76">
        <v>15.029429</v>
      </c>
      <c r="F102" s="340">
        <v>120.695542</v>
      </c>
      <c r="G102" s="341" t="s">
        <v>2992</v>
      </c>
      <c r="H102" s="342">
        <v>44904</v>
      </c>
      <c r="I102" s="11" t="s">
        <v>77</v>
      </c>
      <c r="J102" s="11" t="s">
        <v>33</v>
      </c>
      <c r="K102" s="11"/>
      <c r="L102" s="338" t="s">
        <v>148</v>
      </c>
      <c r="M102" s="323" t="s">
        <v>2993</v>
      </c>
      <c r="N102" s="328">
        <v>45791</v>
      </c>
      <c r="O102" s="324">
        <v>45793</v>
      </c>
      <c r="P102" s="324"/>
      <c r="Q102" s="324">
        <v>45796</v>
      </c>
      <c r="R102" s="324">
        <v>45796</v>
      </c>
      <c r="S102" s="45">
        <f t="shared" si="12"/>
        <v>2</v>
      </c>
      <c r="T102" s="45" t="str">
        <f t="shared" si="13"/>
        <v/>
      </c>
      <c r="U102" s="45">
        <f t="shared" si="14"/>
        <v>1</v>
      </c>
      <c r="V102" s="45">
        <f t="shared" si="15"/>
        <v>1</v>
      </c>
      <c r="W102" s="133" t="s">
        <v>150</v>
      </c>
      <c r="X102" s="11" t="s">
        <v>50</v>
      </c>
      <c r="Y102" s="133">
        <v>17</v>
      </c>
      <c r="Z102" s="11" t="s">
        <v>57</v>
      </c>
      <c r="AA102" s="11" t="s">
        <v>57</v>
      </c>
      <c r="AB102" s="11">
        <v>10</v>
      </c>
      <c r="AC102" s="133" t="s">
        <v>69</v>
      </c>
      <c r="AD102" s="96" t="s">
        <v>2994</v>
      </c>
      <c r="AE102" s="7"/>
      <c r="AF102" s="11"/>
      <c r="AG102" s="11"/>
    </row>
    <row r="103" spans="1:33" ht="165">
      <c r="A103" s="76" t="s">
        <v>778</v>
      </c>
      <c r="B103" s="338" t="s">
        <v>2995</v>
      </c>
      <c r="C103" s="338" t="s">
        <v>2091</v>
      </c>
      <c r="D103" s="76" t="s">
        <v>143</v>
      </c>
      <c r="E103" s="76">
        <v>15.086880000000001</v>
      </c>
      <c r="F103" s="340">
        <v>120.62743</v>
      </c>
      <c r="G103" s="341" t="s">
        <v>2996</v>
      </c>
      <c r="H103" s="342">
        <v>44904</v>
      </c>
      <c r="I103" s="11" t="s">
        <v>78</v>
      </c>
      <c r="J103" s="11" t="s">
        <v>33</v>
      </c>
      <c r="K103" s="11" t="s">
        <v>28</v>
      </c>
      <c r="L103" s="338" t="s">
        <v>148</v>
      </c>
      <c r="M103" s="323" t="s">
        <v>2997</v>
      </c>
      <c r="N103" s="324">
        <v>45811</v>
      </c>
      <c r="O103" s="324">
        <v>45866</v>
      </c>
      <c r="P103" s="324">
        <v>45869</v>
      </c>
      <c r="Q103" s="324">
        <v>45869</v>
      </c>
      <c r="R103" s="324">
        <v>45873</v>
      </c>
      <c r="S103" s="45">
        <f t="shared" si="12"/>
        <v>39</v>
      </c>
      <c r="T103" s="45">
        <f t="shared" si="13"/>
        <v>3</v>
      </c>
      <c r="U103" s="45">
        <f t="shared" si="14"/>
        <v>3</v>
      </c>
      <c r="V103" s="45">
        <f t="shared" si="15"/>
        <v>2</v>
      </c>
      <c r="W103" s="133" t="s">
        <v>150</v>
      </c>
      <c r="X103" s="11" t="s">
        <v>50</v>
      </c>
      <c r="Y103" s="133">
        <v>11</v>
      </c>
      <c r="Z103" s="11" t="s">
        <v>57</v>
      </c>
      <c r="AA103" s="11" t="s">
        <v>57</v>
      </c>
      <c r="AB103" s="11" t="s">
        <v>2021</v>
      </c>
      <c r="AC103" s="133" t="s">
        <v>2021</v>
      </c>
      <c r="AD103" s="96" t="s">
        <v>2998</v>
      </c>
      <c r="AE103" s="7" t="s">
        <v>2966</v>
      </c>
      <c r="AF103" s="11"/>
      <c r="AG103" s="11"/>
    </row>
    <row r="104" spans="1:33" ht="165">
      <c r="A104" s="76" t="s">
        <v>778</v>
      </c>
      <c r="B104" s="338" t="s">
        <v>2999</v>
      </c>
      <c r="C104" s="338" t="s">
        <v>2091</v>
      </c>
      <c r="D104" s="76" t="s">
        <v>143</v>
      </c>
      <c r="E104" s="76">
        <v>15.10947</v>
      </c>
      <c r="F104" s="340">
        <v>120.62806</v>
      </c>
      <c r="G104" s="341" t="s">
        <v>3000</v>
      </c>
      <c r="H104" s="342">
        <v>44904</v>
      </c>
      <c r="I104" s="11" t="s">
        <v>77</v>
      </c>
      <c r="J104" s="11" t="s">
        <v>33</v>
      </c>
      <c r="K104" s="11"/>
      <c r="L104" s="344" t="s">
        <v>148</v>
      </c>
      <c r="M104" s="323" t="s">
        <v>3001</v>
      </c>
      <c r="N104" s="328">
        <v>45783</v>
      </c>
      <c r="O104" s="324">
        <v>45784</v>
      </c>
      <c r="P104" s="324"/>
      <c r="Q104" s="324">
        <v>45796</v>
      </c>
      <c r="R104" s="324">
        <v>45796</v>
      </c>
      <c r="S104" s="45">
        <f t="shared" si="12"/>
        <v>1</v>
      </c>
      <c r="T104" s="45" t="str">
        <f t="shared" si="13"/>
        <v/>
      </c>
      <c r="U104" s="45">
        <f t="shared" si="14"/>
        <v>8</v>
      </c>
      <c r="V104" s="45">
        <f t="shared" si="15"/>
        <v>1</v>
      </c>
      <c r="W104" s="133" t="s">
        <v>150</v>
      </c>
      <c r="X104" s="11" t="s">
        <v>57</v>
      </c>
      <c r="Y104" s="133">
        <v>0</v>
      </c>
      <c r="Z104" s="11" t="s">
        <v>57</v>
      </c>
      <c r="AA104" s="11" t="s">
        <v>57</v>
      </c>
      <c r="AB104" s="11" t="s">
        <v>1239</v>
      </c>
      <c r="AC104" s="133" t="s">
        <v>69</v>
      </c>
      <c r="AD104" s="96" t="s">
        <v>3002</v>
      </c>
      <c r="AE104" s="7" t="s">
        <v>3003</v>
      </c>
      <c r="AF104" s="133"/>
      <c r="AG104" s="7" t="s">
        <v>3004</v>
      </c>
    </row>
    <row r="105" spans="1:33" ht="165">
      <c r="A105" s="76" t="s">
        <v>778</v>
      </c>
      <c r="B105" s="338" t="s">
        <v>3005</v>
      </c>
      <c r="C105" s="338" t="s">
        <v>2091</v>
      </c>
      <c r="D105" s="76" t="s">
        <v>143</v>
      </c>
      <c r="E105" s="76">
        <v>15.11679</v>
      </c>
      <c r="F105" s="340">
        <v>120.60566</v>
      </c>
      <c r="G105" s="341" t="str">
        <f>_xlfn.CONCAT(E105:F105)</f>
        <v>15.11679120.60566</v>
      </c>
      <c r="H105" s="342">
        <v>44904</v>
      </c>
      <c r="I105" s="11" t="s">
        <v>76</v>
      </c>
      <c r="J105" s="11" t="s">
        <v>33</v>
      </c>
      <c r="K105" s="11" t="s">
        <v>1838</v>
      </c>
      <c r="L105" s="338" t="s">
        <v>148</v>
      </c>
      <c r="M105" s="323" t="s">
        <v>3006</v>
      </c>
      <c r="N105" s="324">
        <v>45755</v>
      </c>
      <c r="O105" s="324">
        <v>45758</v>
      </c>
      <c r="P105" s="324"/>
      <c r="Q105" s="324">
        <v>45768</v>
      </c>
      <c r="R105" s="324">
        <v>45950</v>
      </c>
      <c r="S105" s="45">
        <f t="shared" si="12"/>
        <v>3</v>
      </c>
      <c r="T105" s="45" t="str">
        <f t="shared" si="13"/>
        <v/>
      </c>
      <c r="U105" s="45">
        <f t="shared" si="14"/>
        <v>6</v>
      </c>
      <c r="V105" s="45">
        <f t="shared" si="15"/>
        <v>130</v>
      </c>
      <c r="W105" s="133" t="s">
        <v>150</v>
      </c>
      <c r="X105" s="11" t="s">
        <v>57</v>
      </c>
      <c r="Y105" s="133" t="s">
        <v>3007</v>
      </c>
      <c r="Z105" s="11" t="s">
        <v>57</v>
      </c>
      <c r="AA105" s="11" t="s">
        <v>57</v>
      </c>
      <c r="AB105" s="11" t="s">
        <v>679</v>
      </c>
      <c r="AC105" s="133" t="s">
        <v>1947</v>
      </c>
      <c r="AD105" s="96" t="s">
        <v>2965</v>
      </c>
      <c r="AE105" s="7" t="s">
        <v>2966</v>
      </c>
      <c r="AF105" s="11"/>
      <c r="AG105" s="419"/>
    </row>
    <row r="106" spans="1:33" ht="135">
      <c r="A106" s="76" t="s">
        <v>778</v>
      </c>
      <c r="B106" s="338" t="s">
        <v>3005</v>
      </c>
      <c r="C106" s="338" t="s">
        <v>2091</v>
      </c>
      <c r="D106" s="76" t="s">
        <v>143</v>
      </c>
      <c r="E106" s="76">
        <v>15.094799999999999</v>
      </c>
      <c r="F106" s="340">
        <v>120.62308</v>
      </c>
      <c r="G106" s="341" t="str">
        <f>_xlfn.CONCAT(E106:F106)</f>
        <v>15.0948120.62308</v>
      </c>
      <c r="H106" s="342">
        <v>44904</v>
      </c>
      <c r="I106" s="11" t="s">
        <v>76</v>
      </c>
      <c r="J106" s="11" t="s">
        <v>33</v>
      </c>
      <c r="K106" s="11" t="s">
        <v>1838</v>
      </c>
      <c r="L106" s="338" t="s">
        <v>148</v>
      </c>
      <c r="M106" s="323" t="s">
        <v>3008</v>
      </c>
      <c r="N106" s="324">
        <v>45755</v>
      </c>
      <c r="O106" s="324">
        <v>45758</v>
      </c>
      <c r="P106" s="324"/>
      <c r="Q106" s="324">
        <v>45768</v>
      </c>
      <c r="R106" s="324">
        <v>45950</v>
      </c>
      <c r="S106" s="45">
        <f t="shared" si="12"/>
        <v>3</v>
      </c>
      <c r="T106" s="45" t="str">
        <f t="shared" si="13"/>
        <v/>
      </c>
      <c r="U106" s="45">
        <f t="shared" si="14"/>
        <v>6</v>
      </c>
      <c r="V106" s="45">
        <f t="shared" si="15"/>
        <v>130</v>
      </c>
      <c r="W106" s="133" t="s">
        <v>150</v>
      </c>
      <c r="X106" s="11" t="s">
        <v>57</v>
      </c>
      <c r="Y106" s="133">
        <v>6</v>
      </c>
      <c r="Z106" s="11" t="s">
        <v>57</v>
      </c>
      <c r="AA106" s="11" t="s">
        <v>57</v>
      </c>
      <c r="AB106" s="11">
        <v>10</v>
      </c>
      <c r="AC106" s="133" t="s">
        <v>679</v>
      </c>
      <c r="AD106" s="96" t="s">
        <v>3009</v>
      </c>
      <c r="AE106" s="96" t="s">
        <v>2966</v>
      </c>
      <c r="AF106" s="133"/>
      <c r="AG106" s="11"/>
    </row>
    <row r="107" spans="1:33" ht="105">
      <c r="A107" s="76" t="s">
        <v>778</v>
      </c>
      <c r="B107" s="338" t="s">
        <v>2814</v>
      </c>
      <c r="C107" s="338" t="s">
        <v>2091</v>
      </c>
      <c r="D107" s="76" t="s">
        <v>143</v>
      </c>
      <c r="E107" s="76">
        <v>15.039149999999999</v>
      </c>
      <c r="F107" s="340">
        <v>120.6994</v>
      </c>
      <c r="G107" s="341" t="s">
        <v>3010</v>
      </c>
      <c r="H107" s="342">
        <v>44904</v>
      </c>
      <c r="I107" s="11" t="s">
        <v>77</v>
      </c>
      <c r="J107" s="11" t="s">
        <v>33</v>
      </c>
      <c r="K107" s="11"/>
      <c r="L107" s="338" t="s">
        <v>148</v>
      </c>
      <c r="M107" s="323" t="s">
        <v>3011</v>
      </c>
      <c r="N107" s="324">
        <v>45791</v>
      </c>
      <c r="O107" s="324">
        <v>45793</v>
      </c>
      <c r="P107" s="324"/>
      <c r="Q107" s="324">
        <v>45796</v>
      </c>
      <c r="R107" s="324">
        <v>45796</v>
      </c>
      <c r="S107" s="45">
        <f t="shared" si="12"/>
        <v>2</v>
      </c>
      <c r="T107" s="45" t="str">
        <f t="shared" si="13"/>
        <v/>
      </c>
      <c r="U107" s="45">
        <f t="shared" si="14"/>
        <v>1</v>
      </c>
      <c r="V107" s="45">
        <f t="shared" si="15"/>
        <v>1</v>
      </c>
      <c r="W107" s="133" t="s">
        <v>150</v>
      </c>
      <c r="X107" s="11" t="s">
        <v>50</v>
      </c>
      <c r="Y107" s="133">
        <v>16</v>
      </c>
      <c r="Z107" s="11" t="s">
        <v>57</v>
      </c>
      <c r="AA107" s="11" t="s">
        <v>57</v>
      </c>
      <c r="AB107" s="11">
        <v>10</v>
      </c>
      <c r="AC107" s="133" t="s">
        <v>69</v>
      </c>
      <c r="AD107" s="96" t="s">
        <v>3012</v>
      </c>
      <c r="AE107" s="7"/>
      <c r="AF107" s="11"/>
      <c r="AG107" s="85"/>
    </row>
    <row r="108" spans="1:33" ht="105">
      <c r="A108" s="76" t="s">
        <v>778</v>
      </c>
      <c r="B108" s="338" t="s">
        <v>2400</v>
      </c>
      <c r="C108" s="338" t="s">
        <v>2091</v>
      </c>
      <c r="D108" s="76" t="s">
        <v>143</v>
      </c>
      <c r="E108" s="76">
        <v>15.020910000000001</v>
      </c>
      <c r="F108" s="340">
        <v>120.68086</v>
      </c>
      <c r="G108" s="341" t="s">
        <v>3013</v>
      </c>
      <c r="H108" s="342">
        <v>44904</v>
      </c>
      <c r="I108" s="11" t="s">
        <v>77</v>
      </c>
      <c r="J108" s="11" t="s">
        <v>33</v>
      </c>
      <c r="K108" s="11"/>
      <c r="L108" s="338" t="s">
        <v>148</v>
      </c>
      <c r="M108" s="323" t="s">
        <v>3014</v>
      </c>
      <c r="N108" s="324">
        <v>45791</v>
      </c>
      <c r="O108" s="324">
        <v>45793</v>
      </c>
      <c r="P108" s="324"/>
      <c r="Q108" s="324">
        <v>45796</v>
      </c>
      <c r="R108" s="324">
        <v>45796</v>
      </c>
      <c r="S108" s="45">
        <f t="shared" si="12"/>
        <v>2</v>
      </c>
      <c r="T108" s="45" t="str">
        <f t="shared" si="13"/>
        <v/>
      </c>
      <c r="U108" s="45">
        <f t="shared" si="14"/>
        <v>1</v>
      </c>
      <c r="V108" s="45">
        <f t="shared" si="15"/>
        <v>1</v>
      </c>
      <c r="W108" s="133" t="s">
        <v>150</v>
      </c>
      <c r="X108" s="11" t="s">
        <v>50</v>
      </c>
      <c r="Y108" s="133">
        <v>16</v>
      </c>
      <c r="Z108" s="11" t="s">
        <v>57</v>
      </c>
      <c r="AA108" s="11" t="s">
        <v>57</v>
      </c>
      <c r="AB108" s="11">
        <v>10</v>
      </c>
      <c r="AC108" s="133" t="s">
        <v>69</v>
      </c>
      <c r="AD108" s="96" t="s">
        <v>3012</v>
      </c>
      <c r="AE108" s="7"/>
      <c r="AF108" s="11"/>
      <c r="AG108" s="11"/>
    </row>
    <row r="109" spans="1:33" ht="105">
      <c r="A109" s="76" t="s">
        <v>778</v>
      </c>
      <c r="B109" s="338" t="s">
        <v>2400</v>
      </c>
      <c r="C109" s="338" t="s">
        <v>2091</v>
      </c>
      <c r="D109" s="76" t="s">
        <v>143</v>
      </c>
      <c r="E109" s="76">
        <v>15.023803300000001</v>
      </c>
      <c r="F109" s="340">
        <v>120.67616599999999</v>
      </c>
      <c r="G109" s="341" t="s">
        <v>3015</v>
      </c>
      <c r="H109" s="342">
        <v>44904</v>
      </c>
      <c r="I109" s="11" t="s">
        <v>77</v>
      </c>
      <c r="J109" s="11" t="s">
        <v>33</v>
      </c>
      <c r="K109" s="11"/>
      <c r="L109" s="338" t="s">
        <v>148</v>
      </c>
      <c r="M109" s="323" t="s">
        <v>3016</v>
      </c>
      <c r="N109" s="324">
        <v>45791</v>
      </c>
      <c r="O109" s="324">
        <v>45793</v>
      </c>
      <c r="P109" s="324"/>
      <c r="Q109" s="324">
        <v>45796</v>
      </c>
      <c r="R109" s="324">
        <v>45796</v>
      </c>
      <c r="S109" s="45">
        <f t="shared" si="12"/>
        <v>2</v>
      </c>
      <c r="T109" s="45" t="str">
        <f t="shared" si="13"/>
        <v/>
      </c>
      <c r="U109" s="45">
        <f t="shared" si="14"/>
        <v>1</v>
      </c>
      <c r="V109" s="45">
        <f t="shared" si="15"/>
        <v>1</v>
      </c>
      <c r="W109" s="133" t="s">
        <v>150</v>
      </c>
      <c r="X109" s="11" t="s">
        <v>50</v>
      </c>
      <c r="Y109" s="133">
        <v>16</v>
      </c>
      <c r="Z109" s="11" t="s">
        <v>57</v>
      </c>
      <c r="AA109" s="11" t="s">
        <v>57</v>
      </c>
      <c r="AB109" s="11">
        <v>10</v>
      </c>
      <c r="AC109" s="133" t="s">
        <v>69</v>
      </c>
      <c r="AD109" s="96" t="s">
        <v>3012</v>
      </c>
      <c r="AE109" s="7"/>
      <c r="AF109" s="11"/>
      <c r="AG109" s="7" t="s">
        <v>3017</v>
      </c>
    </row>
    <row r="110" spans="1:33" ht="60">
      <c r="A110" s="76" t="s">
        <v>778</v>
      </c>
      <c r="B110" s="338" t="s">
        <v>3018</v>
      </c>
      <c r="C110" s="338" t="s">
        <v>2091</v>
      </c>
      <c r="D110" s="76" t="s">
        <v>143</v>
      </c>
      <c r="E110" s="76" t="s">
        <v>3019</v>
      </c>
      <c r="F110" s="340">
        <v>120.68897200000001</v>
      </c>
      <c r="G110" s="341" t="s">
        <v>3020</v>
      </c>
      <c r="H110" s="342">
        <v>44904</v>
      </c>
      <c r="I110" s="11" t="s">
        <v>77</v>
      </c>
      <c r="J110" s="11" t="s">
        <v>33</v>
      </c>
      <c r="K110" s="11"/>
      <c r="L110" s="338" t="s">
        <v>148</v>
      </c>
      <c r="M110" s="323" t="s">
        <v>3021</v>
      </c>
      <c r="N110" s="324">
        <v>45791</v>
      </c>
      <c r="O110" s="324">
        <v>45793</v>
      </c>
      <c r="P110" s="324"/>
      <c r="Q110" s="324">
        <v>45796</v>
      </c>
      <c r="R110" s="324">
        <v>45796</v>
      </c>
      <c r="S110" s="45">
        <f t="shared" si="12"/>
        <v>2</v>
      </c>
      <c r="T110" s="45" t="str">
        <f t="shared" si="13"/>
        <v/>
      </c>
      <c r="U110" s="45">
        <f t="shared" si="14"/>
        <v>1</v>
      </c>
      <c r="V110" s="45">
        <f t="shared" si="15"/>
        <v>1</v>
      </c>
      <c r="W110" s="133" t="s">
        <v>150</v>
      </c>
      <c r="X110" s="11" t="s">
        <v>50</v>
      </c>
      <c r="Y110" s="133">
        <v>22</v>
      </c>
      <c r="Z110" s="11" t="s">
        <v>57</v>
      </c>
      <c r="AA110" s="11" t="s">
        <v>57</v>
      </c>
      <c r="AB110" s="11">
        <v>10</v>
      </c>
      <c r="AC110" s="133" t="s">
        <v>69</v>
      </c>
      <c r="AD110" s="96" t="s">
        <v>3022</v>
      </c>
      <c r="AE110" s="7"/>
      <c r="AF110" s="11"/>
      <c r="AG110" s="11"/>
    </row>
    <row r="111" spans="1:33">
      <c r="A111" s="76" t="s">
        <v>778</v>
      </c>
      <c r="B111" s="338" t="s">
        <v>3023</v>
      </c>
      <c r="C111" s="338" t="s">
        <v>1381</v>
      </c>
      <c r="D111" s="76" t="s">
        <v>143</v>
      </c>
      <c r="E111" s="76">
        <v>14.9665506</v>
      </c>
      <c r="F111" s="340">
        <v>120.63293143999999</v>
      </c>
      <c r="G111" s="341" t="s">
        <v>3024</v>
      </c>
      <c r="H111" s="342">
        <v>44915</v>
      </c>
      <c r="I111" s="11" t="s">
        <v>75</v>
      </c>
      <c r="J111" s="11" t="s">
        <v>35</v>
      </c>
      <c r="K111" s="11" t="s">
        <v>1838</v>
      </c>
      <c r="L111" s="338" t="s">
        <v>148</v>
      </c>
      <c r="M111" s="323" t="s">
        <v>3025</v>
      </c>
      <c r="N111" s="324">
        <v>45722</v>
      </c>
      <c r="O111" s="324">
        <v>45726</v>
      </c>
      <c r="P111" s="324"/>
      <c r="Q111" s="324">
        <v>45754</v>
      </c>
      <c r="R111" s="324">
        <v>45757</v>
      </c>
      <c r="S111" s="45">
        <f t="shared" si="12"/>
        <v>2</v>
      </c>
      <c r="T111" s="45" t="str">
        <f t="shared" si="13"/>
        <v/>
      </c>
      <c r="U111" s="45">
        <f t="shared" si="14"/>
        <v>20</v>
      </c>
      <c r="V111" s="45">
        <f t="shared" si="15"/>
        <v>3</v>
      </c>
      <c r="W111" s="133" t="s">
        <v>150</v>
      </c>
      <c r="X111" s="11" t="s">
        <v>50</v>
      </c>
      <c r="Y111" s="133">
        <v>14</v>
      </c>
      <c r="Z111" s="11" t="s">
        <v>57</v>
      </c>
      <c r="AA111" s="11" t="s">
        <v>57</v>
      </c>
      <c r="AB111" s="11" t="s">
        <v>2873</v>
      </c>
      <c r="AC111" s="133" t="s">
        <v>69</v>
      </c>
      <c r="AD111" s="96"/>
      <c r="AE111" s="7"/>
      <c r="AF111" s="11"/>
      <c r="AG111" s="11"/>
    </row>
    <row r="112" spans="1:33" ht="75">
      <c r="A112" s="76" t="s">
        <v>778</v>
      </c>
      <c r="B112" s="338" t="s">
        <v>3026</v>
      </c>
      <c r="C112" s="338" t="s">
        <v>1381</v>
      </c>
      <c r="D112" s="76" t="s">
        <v>143</v>
      </c>
      <c r="E112" s="76">
        <v>14.966881799999999</v>
      </c>
      <c r="F112" s="340">
        <v>120.61168926000001</v>
      </c>
      <c r="G112" s="341" t="s">
        <v>3027</v>
      </c>
      <c r="H112" s="342">
        <v>44915</v>
      </c>
      <c r="I112" s="11" t="s">
        <v>75</v>
      </c>
      <c r="J112" s="11" t="s">
        <v>35</v>
      </c>
      <c r="K112" s="11" t="s">
        <v>1838</v>
      </c>
      <c r="L112" s="338" t="s">
        <v>148</v>
      </c>
      <c r="M112" s="323" t="s">
        <v>3028</v>
      </c>
      <c r="N112" s="324">
        <v>45722</v>
      </c>
      <c r="O112" s="328">
        <v>45726</v>
      </c>
      <c r="P112" s="324"/>
      <c r="Q112" s="324">
        <v>45982</v>
      </c>
      <c r="R112" s="324">
        <v>45982</v>
      </c>
      <c r="S112" s="45">
        <f t="shared" si="12"/>
        <v>2</v>
      </c>
      <c r="T112" s="45" t="str">
        <f t="shared" si="13"/>
        <v/>
      </c>
      <c r="U112" s="45">
        <f t="shared" si="14"/>
        <v>184</v>
      </c>
      <c r="V112" s="45">
        <f t="shared" si="15"/>
        <v>1</v>
      </c>
      <c r="W112" s="133"/>
      <c r="X112" s="11" t="s">
        <v>57</v>
      </c>
      <c r="Y112" s="133">
        <v>15</v>
      </c>
      <c r="Z112" s="11" t="s">
        <v>57</v>
      </c>
      <c r="AA112" s="11" t="s">
        <v>57</v>
      </c>
      <c r="AB112" s="11" t="s">
        <v>1239</v>
      </c>
      <c r="AC112" s="133" t="s">
        <v>2021</v>
      </c>
      <c r="AD112" s="96"/>
      <c r="AE112" s="7" t="s">
        <v>3029</v>
      </c>
      <c r="AF112" s="11"/>
      <c r="AG112" s="11"/>
    </row>
    <row r="113" spans="1:33">
      <c r="A113" s="76" t="s">
        <v>778</v>
      </c>
      <c r="B113" s="338" t="s">
        <v>3030</v>
      </c>
      <c r="C113" s="338" t="s">
        <v>1383</v>
      </c>
      <c r="D113" s="76" t="s">
        <v>143</v>
      </c>
      <c r="E113" s="76">
        <v>14.92216333</v>
      </c>
      <c r="F113" s="340">
        <v>120.58985165999999</v>
      </c>
      <c r="G113" s="341" t="s">
        <v>3031</v>
      </c>
      <c r="H113" s="342">
        <v>44909</v>
      </c>
      <c r="I113" s="11" t="s">
        <v>75</v>
      </c>
      <c r="J113" s="11" t="s">
        <v>35</v>
      </c>
      <c r="K113" s="11" t="s">
        <v>1838</v>
      </c>
      <c r="L113" s="338" t="s">
        <v>148</v>
      </c>
      <c r="M113" s="323" t="s">
        <v>3032</v>
      </c>
      <c r="N113" s="328">
        <v>45727</v>
      </c>
      <c r="O113" s="328">
        <v>45733</v>
      </c>
      <c r="P113" s="324"/>
      <c r="Q113" s="324">
        <v>45754</v>
      </c>
      <c r="R113" s="324">
        <v>45757</v>
      </c>
      <c r="S113" s="45">
        <f t="shared" si="12"/>
        <v>4</v>
      </c>
      <c r="T113" s="45" t="str">
        <f t="shared" si="13"/>
        <v/>
      </c>
      <c r="U113" s="45">
        <f t="shared" si="14"/>
        <v>15</v>
      </c>
      <c r="V113" s="45">
        <f t="shared" si="15"/>
        <v>3</v>
      </c>
      <c r="W113" s="133" t="s">
        <v>150</v>
      </c>
      <c r="X113" s="11" t="s">
        <v>57</v>
      </c>
      <c r="Y113" s="133">
        <v>6</v>
      </c>
      <c r="Z113" s="11" t="s">
        <v>57</v>
      </c>
      <c r="AA113" s="11" t="s">
        <v>57</v>
      </c>
      <c r="AB113" s="11" t="s">
        <v>3033</v>
      </c>
      <c r="AC113" s="133" t="s">
        <v>69</v>
      </c>
      <c r="AD113" s="96"/>
      <c r="AE113" s="7"/>
      <c r="AF113" s="11"/>
      <c r="AG113" s="11"/>
    </row>
    <row r="114" spans="1:33">
      <c r="A114" s="76" t="s">
        <v>778</v>
      </c>
      <c r="B114" s="338" t="s">
        <v>3030</v>
      </c>
      <c r="C114" s="338" t="s">
        <v>1383</v>
      </c>
      <c r="D114" s="76" t="s">
        <v>143</v>
      </c>
      <c r="E114" s="76">
        <v>14.924424999999999</v>
      </c>
      <c r="F114" s="340">
        <v>120.59044166</v>
      </c>
      <c r="G114" s="341" t="s">
        <v>3034</v>
      </c>
      <c r="H114" s="342">
        <v>44909</v>
      </c>
      <c r="I114" s="11" t="s">
        <v>75</v>
      </c>
      <c r="J114" s="11" t="s">
        <v>35</v>
      </c>
      <c r="K114" s="11" t="s">
        <v>1838</v>
      </c>
      <c r="L114" s="338" t="s">
        <v>148</v>
      </c>
      <c r="M114" s="323" t="s">
        <v>3035</v>
      </c>
      <c r="N114" s="328">
        <v>45727</v>
      </c>
      <c r="O114" s="328">
        <v>45733</v>
      </c>
      <c r="P114" s="324"/>
      <c r="Q114" s="324">
        <v>45754</v>
      </c>
      <c r="R114" s="324">
        <v>45757</v>
      </c>
      <c r="S114" s="45">
        <f t="shared" si="12"/>
        <v>4</v>
      </c>
      <c r="T114" s="45" t="str">
        <f t="shared" si="13"/>
        <v/>
      </c>
      <c r="U114" s="45">
        <f t="shared" si="14"/>
        <v>15</v>
      </c>
      <c r="V114" s="45">
        <f t="shared" si="15"/>
        <v>3</v>
      </c>
      <c r="W114" s="133" t="s">
        <v>150</v>
      </c>
      <c r="X114" s="11" t="s">
        <v>50</v>
      </c>
      <c r="Y114" s="133">
        <v>10</v>
      </c>
      <c r="Z114" s="11" t="s">
        <v>57</v>
      </c>
      <c r="AA114" s="11" t="s">
        <v>57</v>
      </c>
      <c r="AB114" s="11" t="s">
        <v>3036</v>
      </c>
      <c r="AC114" s="133" t="s">
        <v>69</v>
      </c>
      <c r="AD114" s="96"/>
      <c r="AE114" s="7"/>
      <c r="AF114" s="11"/>
      <c r="AG114" s="11"/>
    </row>
    <row r="115" spans="1:33" ht="120">
      <c r="A115" s="76" t="s">
        <v>778</v>
      </c>
      <c r="B115" s="338" t="s">
        <v>3030</v>
      </c>
      <c r="C115" s="338" t="s">
        <v>1383</v>
      </c>
      <c r="D115" s="76" t="s">
        <v>143</v>
      </c>
      <c r="E115" s="76">
        <v>14.924424999999999</v>
      </c>
      <c r="F115" s="340">
        <v>120.59044166</v>
      </c>
      <c r="G115" s="341" t="s">
        <v>3034</v>
      </c>
      <c r="H115" s="342">
        <v>44909</v>
      </c>
      <c r="I115" s="11" t="s">
        <v>75</v>
      </c>
      <c r="J115" s="11" t="s">
        <v>35</v>
      </c>
      <c r="K115" s="11" t="s">
        <v>1838</v>
      </c>
      <c r="L115" s="344" t="s">
        <v>148</v>
      </c>
      <c r="M115" s="323" t="s">
        <v>3037</v>
      </c>
      <c r="N115" s="328">
        <v>45727</v>
      </c>
      <c r="O115" s="328">
        <v>45733</v>
      </c>
      <c r="P115" s="324"/>
      <c r="Q115" s="324">
        <v>45754</v>
      </c>
      <c r="R115" s="324">
        <v>45757</v>
      </c>
      <c r="S115" s="45">
        <f t="shared" si="12"/>
        <v>4</v>
      </c>
      <c r="T115" s="45" t="str">
        <f t="shared" si="13"/>
        <v/>
      </c>
      <c r="U115" s="45">
        <f t="shared" si="14"/>
        <v>15</v>
      </c>
      <c r="V115" s="45">
        <f t="shared" si="15"/>
        <v>3</v>
      </c>
      <c r="W115" s="133" t="s">
        <v>150</v>
      </c>
      <c r="X115" s="11" t="s">
        <v>50</v>
      </c>
      <c r="Y115" s="133">
        <v>10</v>
      </c>
      <c r="Z115" s="11" t="s">
        <v>57</v>
      </c>
      <c r="AA115" s="11" t="s">
        <v>57</v>
      </c>
      <c r="AB115" s="11" t="s">
        <v>3036</v>
      </c>
      <c r="AC115" s="133" t="s">
        <v>69</v>
      </c>
      <c r="AD115" s="96" t="s">
        <v>3038</v>
      </c>
      <c r="AE115" s="7"/>
      <c r="AF115" s="11"/>
      <c r="AG115" s="11"/>
    </row>
    <row r="116" spans="1:33">
      <c r="A116" s="76" t="s">
        <v>778</v>
      </c>
      <c r="B116" s="338" t="s">
        <v>3039</v>
      </c>
      <c r="C116" s="338" t="s">
        <v>1383</v>
      </c>
      <c r="D116" s="76" t="s">
        <v>143</v>
      </c>
      <c r="E116" s="76">
        <v>14.92216333</v>
      </c>
      <c r="F116" s="340">
        <v>120.58985165999999</v>
      </c>
      <c r="G116" s="341" t="s">
        <v>3031</v>
      </c>
      <c r="H116" s="342">
        <v>44909</v>
      </c>
      <c r="I116" s="11" t="s">
        <v>75</v>
      </c>
      <c r="J116" s="11" t="s">
        <v>35</v>
      </c>
      <c r="K116" s="11" t="s">
        <v>1838</v>
      </c>
      <c r="L116" s="344" t="s">
        <v>148</v>
      </c>
      <c r="M116" s="323" t="s">
        <v>3040</v>
      </c>
      <c r="N116" s="328">
        <v>45727</v>
      </c>
      <c r="O116" s="328">
        <v>45733</v>
      </c>
      <c r="P116" s="324"/>
      <c r="Q116" s="324">
        <v>45754</v>
      </c>
      <c r="R116" s="324">
        <v>45757</v>
      </c>
      <c r="S116" s="45">
        <f t="shared" si="12"/>
        <v>4</v>
      </c>
      <c r="T116" s="45" t="str">
        <f t="shared" si="13"/>
        <v/>
      </c>
      <c r="U116" s="45">
        <f t="shared" si="14"/>
        <v>15</v>
      </c>
      <c r="V116" s="45">
        <f t="shared" si="15"/>
        <v>3</v>
      </c>
      <c r="W116" s="133" t="s">
        <v>150</v>
      </c>
      <c r="X116" s="11" t="s">
        <v>57</v>
      </c>
      <c r="Y116" s="133">
        <v>5</v>
      </c>
      <c r="Z116" s="11" t="s">
        <v>57</v>
      </c>
      <c r="AA116" s="11" t="s">
        <v>57</v>
      </c>
      <c r="AB116" s="11" t="s">
        <v>3033</v>
      </c>
      <c r="AC116" s="133" t="s">
        <v>69</v>
      </c>
      <c r="AD116" s="96"/>
      <c r="AE116" s="7"/>
      <c r="AF116" s="11"/>
      <c r="AG116" s="11"/>
    </row>
    <row r="117" spans="1:33" ht="90">
      <c r="A117" s="76" t="s">
        <v>778</v>
      </c>
      <c r="B117" s="338" t="s">
        <v>3041</v>
      </c>
      <c r="C117" s="338" t="s">
        <v>1383</v>
      </c>
      <c r="D117" s="76" t="s">
        <v>143</v>
      </c>
      <c r="E117" s="76">
        <v>14.924878100000001</v>
      </c>
      <c r="F117" s="340">
        <v>120.58389870000001</v>
      </c>
      <c r="G117" s="341" t="s">
        <v>3042</v>
      </c>
      <c r="H117" s="342">
        <v>44909</v>
      </c>
      <c r="I117" s="11" t="s">
        <v>75</v>
      </c>
      <c r="J117" s="11" t="s">
        <v>35</v>
      </c>
      <c r="K117" s="11" t="s">
        <v>1838</v>
      </c>
      <c r="L117" s="344" t="s">
        <v>148</v>
      </c>
      <c r="M117" s="323" t="s">
        <v>3043</v>
      </c>
      <c r="N117" s="328">
        <v>45728</v>
      </c>
      <c r="O117" s="328">
        <v>45733</v>
      </c>
      <c r="P117" s="324"/>
      <c r="Q117" s="324">
        <v>45754</v>
      </c>
      <c r="R117" s="324">
        <v>45757</v>
      </c>
      <c r="S117" s="45">
        <f t="shared" si="12"/>
        <v>3</v>
      </c>
      <c r="T117" s="45" t="str">
        <f t="shared" si="13"/>
        <v/>
      </c>
      <c r="U117" s="45">
        <f t="shared" si="14"/>
        <v>15</v>
      </c>
      <c r="V117" s="45">
        <f t="shared" si="15"/>
        <v>3</v>
      </c>
      <c r="W117" s="133" t="s">
        <v>150</v>
      </c>
      <c r="X117" s="11" t="s">
        <v>50</v>
      </c>
      <c r="Y117" s="133">
        <v>10</v>
      </c>
      <c r="Z117" s="11" t="s">
        <v>57</v>
      </c>
      <c r="AA117" s="11" t="s">
        <v>50</v>
      </c>
      <c r="AB117" s="11" t="s">
        <v>3044</v>
      </c>
      <c r="AC117" s="133" t="s">
        <v>69</v>
      </c>
      <c r="AD117" s="96" t="s">
        <v>3045</v>
      </c>
      <c r="AE117" s="7"/>
      <c r="AF117" s="11"/>
      <c r="AG117" s="11"/>
    </row>
    <row r="118" spans="1:33" ht="75">
      <c r="A118" s="76" t="s">
        <v>778</v>
      </c>
      <c r="B118" s="338" t="s">
        <v>3046</v>
      </c>
      <c r="C118" s="338" t="s">
        <v>1383</v>
      </c>
      <c r="D118" s="76" t="s">
        <v>143</v>
      </c>
      <c r="E118" s="76">
        <v>14.955979900000001</v>
      </c>
      <c r="F118" s="340">
        <v>120.6073548</v>
      </c>
      <c r="G118" s="341" t="s">
        <v>3047</v>
      </c>
      <c r="H118" s="342">
        <v>44909</v>
      </c>
      <c r="I118" s="11" t="s">
        <v>75</v>
      </c>
      <c r="J118" s="11" t="s">
        <v>35</v>
      </c>
      <c r="K118" s="11" t="s">
        <v>1838</v>
      </c>
      <c r="L118" s="344" t="s">
        <v>148</v>
      </c>
      <c r="M118" s="323" t="s">
        <v>3048</v>
      </c>
      <c r="N118" s="328">
        <v>45727</v>
      </c>
      <c r="O118" s="328">
        <v>45733</v>
      </c>
      <c r="P118" s="324"/>
      <c r="Q118" s="324">
        <v>45754</v>
      </c>
      <c r="R118" s="324">
        <v>45757</v>
      </c>
      <c r="S118" s="45">
        <f t="shared" si="12"/>
        <v>4</v>
      </c>
      <c r="T118" s="45" t="str">
        <f t="shared" si="13"/>
        <v/>
      </c>
      <c r="U118" s="45">
        <f t="shared" si="14"/>
        <v>15</v>
      </c>
      <c r="V118" s="45">
        <f t="shared" si="15"/>
        <v>3</v>
      </c>
      <c r="W118" s="133" t="s">
        <v>150</v>
      </c>
      <c r="X118" s="11" t="s">
        <v>50</v>
      </c>
      <c r="Y118" s="133">
        <v>13</v>
      </c>
      <c r="Z118" s="11" t="s">
        <v>57</v>
      </c>
      <c r="AA118" s="11" t="s">
        <v>57</v>
      </c>
      <c r="AB118" s="11" t="s">
        <v>1239</v>
      </c>
      <c r="AC118" s="133" t="s">
        <v>69</v>
      </c>
      <c r="AD118" s="96" t="s">
        <v>3049</v>
      </c>
      <c r="AE118" s="7"/>
      <c r="AF118" s="11"/>
      <c r="AG118" s="11"/>
    </row>
    <row r="119" spans="1:33" ht="75">
      <c r="A119" s="76" t="s">
        <v>778</v>
      </c>
      <c r="B119" s="338" t="s">
        <v>3046</v>
      </c>
      <c r="C119" s="338" t="s">
        <v>1383</v>
      </c>
      <c r="D119" s="76" t="s">
        <v>143</v>
      </c>
      <c r="E119" s="76">
        <v>14.955979900000001</v>
      </c>
      <c r="F119" s="340">
        <v>120.6073548</v>
      </c>
      <c r="G119" s="341" t="s">
        <v>3047</v>
      </c>
      <c r="H119" s="342">
        <v>44909</v>
      </c>
      <c r="I119" s="11" t="s">
        <v>75</v>
      </c>
      <c r="J119" s="11" t="s">
        <v>35</v>
      </c>
      <c r="K119" s="11" t="s">
        <v>1838</v>
      </c>
      <c r="L119" s="344" t="s">
        <v>148</v>
      </c>
      <c r="M119" s="323" t="s">
        <v>3050</v>
      </c>
      <c r="N119" s="328">
        <v>45727</v>
      </c>
      <c r="O119" s="328">
        <v>45733</v>
      </c>
      <c r="P119" s="324"/>
      <c r="Q119" s="324">
        <v>45754</v>
      </c>
      <c r="R119" s="324">
        <v>45757</v>
      </c>
      <c r="S119" s="45">
        <f t="shared" si="12"/>
        <v>4</v>
      </c>
      <c r="T119" s="45" t="str">
        <f t="shared" si="13"/>
        <v/>
      </c>
      <c r="U119" s="45">
        <f t="shared" si="14"/>
        <v>15</v>
      </c>
      <c r="V119" s="45">
        <f t="shared" si="15"/>
        <v>3</v>
      </c>
      <c r="W119" s="133" t="s">
        <v>150</v>
      </c>
      <c r="X119" s="11" t="s">
        <v>50</v>
      </c>
      <c r="Y119" s="133">
        <v>12</v>
      </c>
      <c r="Z119" s="11" t="s">
        <v>57</v>
      </c>
      <c r="AA119" s="11" t="s">
        <v>57</v>
      </c>
      <c r="AB119" s="11" t="s">
        <v>1239</v>
      </c>
      <c r="AC119" s="133" t="s">
        <v>69</v>
      </c>
      <c r="AD119" s="96" t="s">
        <v>3049</v>
      </c>
      <c r="AE119" s="7"/>
      <c r="AF119" s="11"/>
      <c r="AG119" s="11"/>
    </row>
    <row r="120" spans="1:33">
      <c r="A120" s="76" t="s">
        <v>778</v>
      </c>
      <c r="B120" s="338" t="s">
        <v>3051</v>
      </c>
      <c r="C120" s="338" t="s">
        <v>1383</v>
      </c>
      <c r="D120" s="76" t="s">
        <v>143</v>
      </c>
      <c r="E120" s="76">
        <v>14.924878100000001</v>
      </c>
      <c r="F120" s="340">
        <v>120.5848987</v>
      </c>
      <c r="G120" s="341" t="s">
        <v>3052</v>
      </c>
      <c r="H120" s="342">
        <v>44909</v>
      </c>
      <c r="I120" s="11" t="s">
        <v>75</v>
      </c>
      <c r="J120" s="11" t="s">
        <v>35</v>
      </c>
      <c r="K120" s="11" t="s">
        <v>1838</v>
      </c>
      <c r="L120" s="344" t="s">
        <v>148</v>
      </c>
      <c r="M120" s="323" t="s">
        <v>3053</v>
      </c>
      <c r="N120" s="328">
        <v>45728</v>
      </c>
      <c r="O120" s="328">
        <v>45732</v>
      </c>
      <c r="P120" s="324"/>
      <c r="Q120" s="324">
        <v>45754</v>
      </c>
      <c r="R120" s="324">
        <v>45757</v>
      </c>
      <c r="S120" s="45">
        <f t="shared" si="12"/>
        <v>2</v>
      </c>
      <c r="T120" s="45" t="str">
        <f t="shared" si="13"/>
        <v/>
      </c>
      <c r="U120" s="45">
        <f t="shared" si="14"/>
        <v>15</v>
      </c>
      <c r="V120" s="45">
        <f t="shared" si="15"/>
        <v>3</v>
      </c>
      <c r="W120" s="133" t="s">
        <v>150</v>
      </c>
      <c r="X120" s="11" t="s">
        <v>50</v>
      </c>
      <c r="Y120" s="133">
        <v>14</v>
      </c>
      <c r="Z120" s="11" t="s">
        <v>57</v>
      </c>
      <c r="AA120" s="11" t="s">
        <v>57</v>
      </c>
      <c r="AB120" s="11" t="s">
        <v>3033</v>
      </c>
      <c r="AC120" s="133" t="s">
        <v>69</v>
      </c>
      <c r="AD120" s="96"/>
      <c r="AE120" s="7"/>
      <c r="AF120" s="11"/>
      <c r="AG120" s="11"/>
    </row>
    <row r="121" spans="1:33">
      <c r="A121" s="76" t="s">
        <v>778</v>
      </c>
      <c r="B121" s="338" t="s">
        <v>3051</v>
      </c>
      <c r="C121" s="338" t="s">
        <v>1383</v>
      </c>
      <c r="D121" s="76" t="s">
        <v>143</v>
      </c>
      <c r="E121" s="76">
        <v>14.92941723</v>
      </c>
      <c r="F121" s="340">
        <v>120.5783421</v>
      </c>
      <c r="G121" s="341" t="s">
        <v>3054</v>
      </c>
      <c r="H121" s="342">
        <v>44909</v>
      </c>
      <c r="I121" s="11" t="s">
        <v>75</v>
      </c>
      <c r="J121" s="11" t="s">
        <v>35</v>
      </c>
      <c r="K121" s="11" t="s">
        <v>1838</v>
      </c>
      <c r="L121" s="338" t="s">
        <v>148</v>
      </c>
      <c r="M121" s="323" t="s">
        <v>3055</v>
      </c>
      <c r="N121" s="352">
        <v>45728</v>
      </c>
      <c r="O121" s="324">
        <v>45732</v>
      </c>
      <c r="P121" s="324"/>
      <c r="Q121" s="324">
        <v>45754</v>
      </c>
      <c r="R121" s="324">
        <v>45757</v>
      </c>
      <c r="S121" s="45">
        <f t="shared" si="12"/>
        <v>2</v>
      </c>
      <c r="T121" s="45" t="str">
        <f t="shared" si="13"/>
        <v/>
      </c>
      <c r="U121" s="45">
        <f t="shared" si="14"/>
        <v>15</v>
      </c>
      <c r="V121" s="45">
        <f t="shared" si="15"/>
        <v>3</v>
      </c>
      <c r="W121" s="133" t="s">
        <v>150</v>
      </c>
      <c r="X121" s="11" t="s">
        <v>50</v>
      </c>
      <c r="Y121" s="133">
        <v>6</v>
      </c>
      <c r="Z121" s="11" t="s">
        <v>57</v>
      </c>
      <c r="AA121" s="11" t="s">
        <v>57</v>
      </c>
      <c r="AB121" s="11" t="s">
        <v>3033</v>
      </c>
      <c r="AC121" s="133" t="s">
        <v>69</v>
      </c>
      <c r="AD121" s="96"/>
      <c r="AE121" s="7"/>
      <c r="AF121" s="11"/>
      <c r="AG121" s="11"/>
    </row>
    <row r="122" spans="1:33" ht="60">
      <c r="A122" s="76" t="s">
        <v>778</v>
      </c>
      <c r="B122" s="338" t="s">
        <v>3056</v>
      </c>
      <c r="C122" s="338" t="s">
        <v>1404</v>
      </c>
      <c r="D122" s="76" t="s">
        <v>143</v>
      </c>
      <c r="E122" s="76">
        <v>15.053599</v>
      </c>
      <c r="F122" s="340">
        <v>120.7117367</v>
      </c>
      <c r="G122" s="341" t="s">
        <v>3057</v>
      </c>
      <c r="H122" s="342">
        <v>44911</v>
      </c>
      <c r="I122" s="11" t="s">
        <v>78</v>
      </c>
      <c r="J122" s="11" t="s">
        <v>32</v>
      </c>
      <c r="K122" s="11" t="s">
        <v>28</v>
      </c>
      <c r="L122" s="338" t="s">
        <v>148</v>
      </c>
      <c r="M122" s="323" t="s">
        <v>3058</v>
      </c>
      <c r="N122" s="352">
        <v>45812</v>
      </c>
      <c r="O122" s="324">
        <v>45813</v>
      </c>
      <c r="P122" s="324">
        <v>45813</v>
      </c>
      <c r="Q122" s="324">
        <v>45861</v>
      </c>
      <c r="R122" s="324">
        <v>45866</v>
      </c>
      <c r="S122" s="45">
        <f t="shared" si="12"/>
        <v>1</v>
      </c>
      <c r="T122" s="45">
        <f t="shared" si="13"/>
        <v>1</v>
      </c>
      <c r="U122" s="45">
        <f t="shared" si="14"/>
        <v>34</v>
      </c>
      <c r="V122" s="45">
        <f t="shared" si="15"/>
        <v>3</v>
      </c>
      <c r="W122" s="133" t="s">
        <v>150</v>
      </c>
      <c r="X122" s="11" t="s">
        <v>57</v>
      </c>
      <c r="Y122" s="133">
        <v>18</v>
      </c>
      <c r="Z122" s="11" t="s">
        <v>57</v>
      </c>
      <c r="AA122" s="11" t="s">
        <v>50</v>
      </c>
      <c r="AB122" s="11">
        <v>50</v>
      </c>
      <c r="AC122" s="133" t="s">
        <v>808</v>
      </c>
      <c r="AD122" s="96" t="s">
        <v>3059</v>
      </c>
      <c r="AE122" s="7"/>
      <c r="AF122" s="11"/>
      <c r="AG122" s="11"/>
    </row>
    <row r="123" spans="1:33">
      <c r="A123" s="76" t="s">
        <v>778</v>
      </c>
      <c r="B123" s="338" t="s">
        <v>3060</v>
      </c>
      <c r="C123" s="338" t="s">
        <v>1404</v>
      </c>
      <c r="D123" s="76" t="s">
        <v>143</v>
      </c>
      <c r="E123" s="76">
        <v>15.06450143</v>
      </c>
      <c r="F123" s="340">
        <v>120.72068711</v>
      </c>
      <c r="G123" s="341" t="s">
        <v>3061</v>
      </c>
      <c r="H123" s="342">
        <v>44911</v>
      </c>
      <c r="I123" s="11" t="s">
        <v>78</v>
      </c>
      <c r="J123" s="11" t="s">
        <v>32</v>
      </c>
      <c r="K123" s="11" t="s">
        <v>28</v>
      </c>
      <c r="L123" s="343" t="s">
        <v>148</v>
      </c>
      <c r="M123" s="323" t="s">
        <v>3062</v>
      </c>
      <c r="N123" s="352">
        <v>45812</v>
      </c>
      <c r="O123" s="324">
        <v>45813</v>
      </c>
      <c r="P123" s="324">
        <v>45813</v>
      </c>
      <c r="Q123" s="324">
        <v>45865</v>
      </c>
      <c r="R123" s="324">
        <v>45866</v>
      </c>
      <c r="S123" s="45">
        <f t="shared" si="12"/>
        <v>1</v>
      </c>
      <c r="T123" s="45">
        <f t="shared" si="13"/>
        <v>1</v>
      </c>
      <c r="U123" s="45">
        <f t="shared" si="14"/>
        <v>36</v>
      </c>
      <c r="V123" s="45">
        <f t="shared" si="15"/>
        <v>1</v>
      </c>
      <c r="W123" s="133" t="s">
        <v>150</v>
      </c>
      <c r="X123" s="11" t="s">
        <v>50</v>
      </c>
      <c r="Y123" s="133">
        <v>11</v>
      </c>
      <c r="Z123" s="11" t="s">
        <v>57</v>
      </c>
      <c r="AA123" s="11" t="s">
        <v>57</v>
      </c>
      <c r="AB123" s="461" t="s">
        <v>2953</v>
      </c>
      <c r="AC123" s="133" t="s">
        <v>808</v>
      </c>
      <c r="AF123" s="11"/>
      <c r="AG123" s="11"/>
    </row>
    <row r="124" spans="1:33" ht="180">
      <c r="A124" s="76" t="s">
        <v>778</v>
      </c>
      <c r="B124" s="338" t="s">
        <v>3026</v>
      </c>
      <c r="C124" s="338" t="s">
        <v>1404</v>
      </c>
      <c r="D124" s="76" t="s">
        <v>143</v>
      </c>
      <c r="E124" s="76">
        <v>15.061572099999999</v>
      </c>
      <c r="F124" s="340">
        <v>120.72993391999999</v>
      </c>
      <c r="G124" s="341" t="s">
        <v>3063</v>
      </c>
      <c r="H124" s="342">
        <v>44911</v>
      </c>
      <c r="I124" s="11" t="s">
        <v>78</v>
      </c>
      <c r="J124" s="11" t="s">
        <v>32</v>
      </c>
      <c r="K124" s="133" t="s">
        <v>28</v>
      </c>
      <c r="L124" s="344" t="s">
        <v>148</v>
      </c>
      <c r="M124" s="323" t="s">
        <v>3064</v>
      </c>
      <c r="N124" s="328">
        <v>45812</v>
      </c>
      <c r="O124" s="324">
        <v>45813</v>
      </c>
      <c r="P124" s="324">
        <v>45813</v>
      </c>
      <c r="Q124" s="324">
        <v>45865</v>
      </c>
      <c r="R124" s="324">
        <v>45866</v>
      </c>
      <c r="S124" s="45">
        <f t="shared" si="12"/>
        <v>1</v>
      </c>
      <c r="T124" s="45">
        <f t="shared" si="13"/>
        <v>1</v>
      </c>
      <c r="U124" s="45">
        <f t="shared" si="14"/>
        <v>36</v>
      </c>
      <c r="V124" s="45">
        <f t="shared" si="15"/>
        <v>1</v>
      </c>
      <c r="W124" s="133" t="s">
        <v>150</v>
      </c>
      <c r="X124" s="11" t="s">
        <v>57</v>
      </c>
      <c r="Y124" s="133">
        <v>20</v>
      </c>
      <c r="Z124" s="11" t="s">
        <v>57</v>
      </c>
      <c r="AA124" s="11" t="s">
        <v>57</v>
      </c>
      <c r="AB124" s="11" t="s">
        <v>1947</v>
      </c>
      <c r="AC124" s="133" t="s">
        <v>69</v>
      </c>
      <c r="AD124" s="96" t="s">
        <v>3065</v>
      </c>
      <c r="AE124" s="7"/>
      <c r="AF124" s="11"/>
      <c r="AG124" s="11"/>
    </row>
    <row r="125" spans="1:33" ht="60">
      <c r="A125" s="76" t="s">
        <v>778</v>
      </c>
      <c r="B125" s="338" t="s">
        <v>3066</v>
      </c>
      <c r="C125" s="338" t="s">
        <v>1411</v>
      </c>
      <c r="D125" s="76" t="s">
        <v>143</v>
      </c>
      <c r="E125" s="76">
        <v>14.955854</v>
      </c>
      <c r="F125" s="340">
        <v>120.71768335</v>
      </c>
      <c r="G125" s="341" t="s">
        <v>3067</v>
      </c>
      <c r="H125" s="342">
        <v>44915</v>
      </c>
      <c r="I125" s="11" t="s">
        <v>74</v>
      </c>
      <c r="J125" s="11" t="s">
        <v>1345</v>
      </c>
      <c r="K125" s="133" t="s">
        <v>1838</v>
      </c>
      <c r="L125" s="344" t="s">
        <v>148</v>
      </c>
      <c r="M125" s="323" t="s">
        <v>3068</v>
      </c>
      <c r="N125" s="328">
        <v>45699</v>
      </c>
      <c r="O125" s="324">
        <v>45701</v>
      </c>
      <c r="P125" s="324"/>
      <c r="Q125" s="324">
        <v>45714</v>
      </c>
      <c r="R125" s="324">
        <v>45721</v>
      </c>
      <c r="S125" s="45">
        <f t="shared" si="12"/>
        <v>2</v>
      </c>
      <c r="T125" s="45" t="str">
        <f t="shared" si="13"/>
        <v/>
      </c>
      <c r="U125" s="45">
        <f t="shared" si="14"/>
        <v>9</v>
      </c>
      <c r="V125" s="45">
        <f t="shared" si="15"/>
        <v>5</v>
      </c>
      <c r="W125" s="133" t="s">
        <v>150</v>
      </c>
      <c r="X125" s="11" t="s">
        <v>50</v>
      </c>
      <c r="Y125" s="133">
        <v>11</v>
      </c>
      <c r="Z125" s="11" t="s">
        <v>57</v>
      </c>
      <c r="AA125" s="11" t="s">
        <v>57</v>
      </c>
      <c r="AB125" s="11" t="s">
        <v>1239</v>
      </c>
      <c r="AC125" s="133" t="s">
        <v>69</v>
      </c>
      <c r="AD125" s="96" t="s">
        <v>3069</v>
      </c>
      <c r="AE125" s="7"/>
      <c r="AF125" s="11"/>
      <c r="AG125" s="11"/>
    </row>
    <row r="126" spans="1:33">
      <c r="A126" s="76" t="s">
        <v>778</v>
      </c>
      <c r="B126" s="338" t="s">
        <v>3070</v>
      </c>
      <c r="C126" s="338" t="s">
        <v>1411</v>
      </c>
      <c r="D126" s="76" t="s">
        <v>143</v>
      </c>
      <c r="E126" s="76">
        <v>14.958755</v>
      </c>
      <c r="F126" s="340">
        <v>120.72259200000001</v>
      </c>
      <c r="G126" s="341" t="s">
        <v>3071</v>
      </c>
      <c r="H126" s="342">
        <v>44915</v>
      </c>
      <c r="I126" s="11" t="s">
        <v>74</v>
      </c>
      <c r="J126" s="11" t="s">
        <v>1345</v>
      </c>
      <c r="K126" s="133" t="s">
        <v>1838</v>
      </c>
      <c r="L126" s="344" t="s">
        <v>148</v>
      </c>
      <c r="M126" s="323" t="s">
        <v>3072</v>
      </c>
      <c r="N126" s="328">
        <v>45700</v>
      </c>
      <c r="O126" s="324">
        <v>45701</v>
      </c>
      <c r="P126" s="324"/>
      <c r="Q126" s="324">
        <v>45714</v>
      </c>
      <c r="R126" s="324">
        <v>45721</v>
      </c>
      <c r="S126" s="45">
        <f t="shared" si="12"/>
        <v>1</v>
      </c>
      <c r="T126" s="45" t="str">
        <f t="shared" si="13"/>
        <v/>
      </c>
      <c r="U126" s="45">
        <f t="shared" si="14"/>
        <v>9</v>
      </c>
      <c r="V126" s="45">
        <f t="shared" si="15"/>
        <v>5</v>
      </c>
      <c r="W126" s="133" t="s">
        <v>150</v>
      </c>
      <c r="X126" s="11" t="s">
        <v>50</v>
      </c>
      <c r="Y126" s="133">
        <v>11</v>
      </c>
      <c r="Z126" s="11" t="s">
        <v>57</v>
      </c>
      <c r="AA126" s="11" t="s">
        <v>57</v>
      </c>
      <c r="AB126" s="11" t="s">
        <v>1239</v>
      </c>
      <c r="AC126" s="11" t="s">
        <v>69</v>
      </c>
      <c r="AD126" s="96"/>
      <c r="AE126" s="7"/>
      <c r="AF126" s="11"/>
      <c r="AG126" s="11"/>
    </row>
    <row r="127" spans="1:33">
      <c r="A127" s="76" t="s">
        <v>778</v>
      </c>
      <c r="B127" s="338" t="s">
        <v>3073</v>
      </c>
      <c r="C127" s="338" t="s">
        <v>1411</v>
      </c>
      <c r="D127" s="76" t="s">
        <v>143</v>
      </c>
      <c r="E127" s="76">
        <v>14.964281659999999</v>
      </c>
      <c r="F127" s="340">
        <v>120.68030330000001</v>
      </c>
      <c r="G127" s="341" t="s">
        <v>3074</v>
      </c>
      <c r="H127" s="342">
        <v>44901</v>
      </c>
      <c r="I127" s="11" t="s">
        <v>74</v>
      </c>
      <c r="J127" s="11" t="s">
        <v>1345</v>
      </c>
      <c r="K127" s="133" t="s">
        <v>1838</v>
      </c>
      <c r="L127" s="344" t="s">
        <v>148</v>
      </c>
      <c r="M127" s="323" t="s">
        <v>3075</v>
      </c>
      <c r="N127" s="328">
        <v>45700</v>
      </c>
      <c r="O127" s="324">
        <v>45701</v>
      </c>
      <c r="P127" s="324"/>
      <c r="Q127" s="324">
        <v>45714</v>
      </c>
      <c r="R127" s="324">
        <v>45721</v>
      </c>
      <c r="S127" s="45">
        <f t="shared" si="12"/>
        <v>1</v>
      </c>
      <c r="T127" s="45" t="str">
        <f t="shared" si="13"/>
        <v/>
      </c>
      <c r="U127" s="45">
        <f t="shared" si="14"/>
        <v>9</v>
      </c>
      <c r="V127" s="45">
        <f t="shared" si="15"/>
        <v>5</v>
      </c>
      <c r="W127" s="133" t="s">
        <v>150</v>
      </c>
      <c r="X127" s="11" t="s">
        <v>50</v>
      </c>
      <c r="Y127" s="133">
        <v>20</v>
      </c>
      <c r="Z127" s="11" t="s">
        <v>57</v>
      </c>
      <c r="AA127" s="11" t="s">
        <v>57</v>
      </c>
      <c r="AB127" s="133" t="s">
        <v>1239</v>
      </c>
      <c r="AC127" s="133" t="s">
        <v>69</v>
      </c>
      <c r="AD127" s="96"/>
      <c r="AE127" s="7"/>
      <c r="AF127" s="11"/>
      <c r="AG127" s="11"/>
    </row>
    <row r="128" spans="1:33">
      <c r="A128" s="76" t="s">
        <v>778</v>
      </c>
      <c r="B128" s="338" t="s">
        <v>3076</v>
      </c>
      <c r="C128" s="338" t="s">
        <v>1411</v>
      </c>
      <c r="D128" s="76" t="s">
        <v>143</v>
      </c>
      <c r="E128" s="76">
        <v>14.977938999999999</v>
      </c>
      <c r="F128" s="340">
        <v>120.690344</v>
      </c>
      <c r="G128" s="341" t="s">
        <v>3077</v>
      </c>
      <c r="H128" s="342">
        <v>44915</v>
      </c>
      <c r="I128" s="11" t="s">
        <v>74</v>
      </c>
      <c r="J128" s="11" t="s">
        <v>1345</v>
      </c>
      <c r="K128" s="133" t="s">
        <v>1838</v>
      </c>
      <c r="L128" s="344" t="s">
        <v>148</v>
      </c>
      <c r="M128" s="323" t="s">
        <v>3078</v>
      </c>
      <c r="N128" s="328">
        <v>45700</v>
      </c>
      <c r="O128" s="324">
        <v>45701</v>
      </c>
      <c r="P128" s="323"/>
      <c r="Q128" s="324">
        <v>45714</v>
      </c>
      <c r="R128" s="324">
        <v>45721</v>
      </c>
      <c r="S128" s="45">
        <f t="shared" si="12"/>
        <v>1</v>
      </c>
      <c r="T128" s="45" t="str">
        <f t="shared" si="13"/>
        <v/>
      </c>
      <c r="U128" s="45">
        <f t="shared" si="14"/>
        <v>9</v>
      </c>
      <c r="V128" s="45">
        <f t="shared" si="15"/>
        <v>5</v>
      </c>
      <c r="W128" s="133" t="s">
        <v>150</v>
      </c>
      <c r="X128" s="11" t="s">
        <v>50</v>
      </c>
      <c r="Y128" s="133">
        <v>12</v>
      </c>
      <c r="Z128" s="11" t="s">
        <v>57</v>
      </c>
      <c r="AA128" s="11" t="s">
        <v>57</v>
      </c>
      <c r="AB128" s="133" t="s">
        <v>1239</v>
      </c>
      <c r="AC128" s="133" t="s">
        <v>69</v>
      </c>
      <c r="AD128" s="96"/>
      <c r="AE128" s="7"/>
      <c r="AF128" s="11"/>
      <c r="AG128" s="11"/>
    </row>
    <row r="129" spans="1:33" ht="60">
      <c r="A129" s="76" t="s">
        <v>778</v>
      </c>
      <c r="B129" s="338" t="s">
        <v>3079</v>
      </c>
      <c r="C129" s="338" t="s">
        <v>1411</v>
      </c>
      <c r="D129" s="76" t="s">
        <v>143</v>
      </c>
      <c r="E129" s="76">
        <v>14.96421</v>
      </c>
      <c r="F129" s="345">
        <v>120.68030299999999</v>
      </c>
      <c r="G129" s="341" t="s">
        <v>3080</v>
      </c>
      <c r="H129" s="342">
        <v>44901</v>
      </c>
      <c r="I129" s="11" t="s">
        <v>74</v>
      </c>
      <c r="J129" s="11" t="s">
        <v>1345</v>
      </c>
      <c r="K129" s="11" t="s">
        <v>1838</v>
      </c>
      <c r="L129" s="344" t="s">
        <v>148</v>
      </c>
      <c r="M129" s="323" t="s">
        <v>3081</v>
      </c>
      <c r="N129" s="328">
        <v>45700</v>
      </c>
      <c r="O129" s="328">
        <v>45701</v>
      </c>
      <c r="P129" s="328"/>
      <c r="Q129" s="328">
        <v>45876</v>
      </c>
      <c r="R129" s="324">
        <v>45882</v>
      </c>
      <c r="S129" s="45">
        <f t="shared" si="12"/>
        <v>1</v>
      </c>
      <c r="T129" s="45" t="str">
        <f t="shared" si="13"/>
        <v/>
      </c>
      <c r="U129" s="45">
        <f t="shared" si="14"/>
        <v>125</v>
      </c>
      <c r="V129" s="45">
        <f t="shared" si="15"/>
        <v>4</v>
      </c>
      <c r="W129" s="133" t="s">
        <v>150</v>
      </c>
      <c r="X129" s="11" t="s">
        <v>50</v>
      </c>
      <c r="Y129" s="133">
        <v>11</v>
      </c>
      <c r="Z129" s="11" t="s">
        <v>57</v>
      </c>
      <c r="AA129" s="11" t="s">
        <v>57</v>
      </c>
      <c r="AB129" s="133" t="s">
        <v>1239</v>
      </c>
      <c r="AC129" s="133" t="s">
        <v>69</v>
      </c>
      <c r="AD129" s="96" t="s">
        <v>3082</v>
      </c>
      <c r="AE129" s="7"/>
      <c r="AF129" s="11"/>
      <c r="AG129" s="11"/>
    </row>
    <row r="130" spans="1:33" ht="30">
      <c r="A130" s="76" t="s">
        <v>778</v>
      </c>
      <c r="B130" s="338" t="s">
        <v>3083</v>
      </c>
      <c r="C130" s="338" t="s">
        <v>1411</v>
      </c>
      <c r="D130" s="76" t="s">
        <v>143</v>
      </c>
      <c r="E130" s="76">
        <v>14.962730499999999</v>
      </c>
      <c r="F130" s="340">
        <v>120.67621858</v>
      </c>
      <c r="G130" s="341" t="s">
        <v>3084</v>
      </c>
      <c r="H130" s="342">
        <v>44915</v>
      </c>
      <c r="I130" s="11" t="s">
        <v>74</v>
      </c>
      <c r="J130" s="11" t="s">
        <v>1345</v>
      </c>
      <c r="K130" s="133" t="s">
        <v>1838</v>
      </c>
      <c r="L130" s="344" t="s">
        <v>148</v>
      </c>
      <c r="M130" s="323" t="s">
        <v>3085</v>
      </c>
      <c r="N130" s="328">
        <v>45700</v>
      </c>
      <c r="O130" s="324">
        <v>45701</v>
      </c>
      <c r="P130" s="452"/>
      <c r="Q130" s="324">
        <v>45714</v>
      </c>
      <c r="R130" s="324">
        <v>45721</v>
      </c>
      <c r="S130" s="45">
        <f t="shared" ref="S130:S144" si="16">IF(
    OR(ISBLANK(N130), ISBLANK(O130)),
    "",
    MAX(1, IF(
        NETWORKDAYS(N130, O130) &lt;= 0,
        1,
        NETWORKDAYS(N130, O130) - IF(N130 = O130, 0, 1)
    ))
)</f>
        <v>1</v>
      </c>
      <c r="T130" s="45" t="str">
        <f t="shared" ref="T130:T144" si="17">IF(
    OR(ISBLANK(O130), ISBLANK(P130)),
    "",
    MAX(1, IF(
        NETWORKDAYS(O130, P130) &lt;= 0,
        1,
        NETWORKDAYS(O130, P130) - IF(O130 = P130, 0, 1)
    ))
)</f>
        <v/>
      </c>
      <c r="U130" s="45">
        <f t="shared" ref="U130:U144" si="18">IF(
  OR(A130 = "Nueva_Ecija", A130 = "Zambales"),
  IF(
    OR(ISBLANK(P130), ISBLANK(Q130)),
    "",
    MAX(1, IF(
      NETWORKDAYS(P130, Q130) &lt;= 0,
      1,
      NETWORKDAYS(P130, Q130) - IF(P130 = Q130, 0, 1)
    ))
  ),
  IF(
    OR(ISBLANK(O130), ISBLANK(Q130)),
    "",
    MAX(1, IF(
      NETWORKDAYS(O130, Q130) &lt;= 0,
      1,
      NETWORKDAYS(O130, Q130) - IF(O130 = Q130, 0, 1)
    ))
  )
)</f>
        <v>9</v>
      </c>
      <c r="V130" s="45">
        <f t="shared" ref="V130:V144" si="19">IF(
    OR(ISBLANK(Q130), ISBLANK(R130)),
    "",
    MAX(1, IF(
        NETWORKDAYS(Q130, R130) &lt;= 0,
        1,
        NETWORKDAYS(Q130, R130) - IF(Q130 = R130, 0, 1)
    ))
)</f>
        <v>5</v>
      </c>
      <c r="W130" s="133" t="s">
        <v>150</v>
      </c>
      <c r="X130" s="11" t="s">
        <v>50</v>
      </c>
      <c r="Y130" s="133">
        <v>15</v>
      </c>
      <c r="Z130" s="11" t="s">
        <v>57</v>
      </c>
      <c r="AA130" s="11" t="s">
        <v>57</v>
      </c>
      <c r="AB130" s="133" t="s">
        <v>1239</v>
      </c>
      <c r="AC130" s="133" t="s">
        <v>69</v>
      </c>
      <c r="AD130" s="96" t="s">
        <v>3086</v>
      </c>
      <c r="AE130" s="7"/>
      <c r="AF130" s="11"/>
      <c r="AG130" s="11"/>
    </row>
    <row r="131" spans="1:33" ht="120">
      <c r="A131" s="76" t="s">
        <v>778</v>
      </c>
      <c r="B131" s="338" t="s">
        <v>3087</v>
      </c>
      <c r="C131" s="338" t="s">
        <v>1411</v>
      </c>
      <c r="D131" s="76" t="s">
        <v>143</v>
      </c>
      <c r="E131" s="76">
        <v>14.9786</v>
      </c>
      <c r="F131" s="340">
        <v>120.694</v>
      </c>
      <c r="G131" s="76" t="str">
        <f>CONCATENATE(E131,",",F131)</f>
        <v>14.9786,120.694</v>
      </c>
      <c r="H131" s="342">
        <v>44915</v>
      </c>
      <c r="I131" s="11" t="s">
        <v>78</v>
      </c>
      <c r="J131" s="11" t="s">
        <v>1345</v>
      </c>
      <c r="K131" s="133" t="s">
        <v>28</v>
      </c>
      <c r="L131" s="344" t="s">
        <v>148</v>
      </c>
      <c r="M131" s="323" t="s">
        <v>3088</v>
      </c>
      <c r="N131" s="328">
        <v>45819</v>
      </c>
      <c r="O131" s="324">
        <v>45869</v>
      </c>
      <c r="P131" s="324">
        <v>45869</v>
      </c>
      <c r="Q131" s="324">
        <v>45869</v>
      </c>
      <c r="R131" s="324">
        <v>45873</v>
      </c>
      <c r="S131" s="45">
        <f t="shared" si="16"/>
        <v>36</v>
      </c>
      <c r="T131" s="45">
        <f t="shared" si="17"/>
        <v>1</v>
      </c>
      <c r="U131" s="45">
        <f t="shared" si="18"/>
        <v>1</v>
      </c>
      <c r="V131" s="45">
        <f t="shared" si="19"/>
        <v>2</v>
      </c>
      <c r="W131" s="133" t="s">
        <v>150</v>
      </c>
      <c r="X131" s="11" t="s">
        <v>50</v>
      </c>
      <c r="Y131" s="133">
        <v>15</v>
      </c>
      <c r="Z131" s="11" t="s">
        <v>57</v>
      </c>
      <c r="AA131" s="11" t="s">
        <v>57</v>
      </c>
      <c r="AB131" s="11" t="s">
        <v>1239</v>
      </c>
      <c r="AC131" s="371">
        <v>45815</v>
      </c>
      <c r="AD131" s="96" t="s">
        <v>3089</v>
      </c>
      <c r="AE131" s="7"/>
      <c r="AF131" s="11"/>
      <c r="AG131" s="11"/>
    </row>
    <row r="132" spans="1:33" ht="30">
      <c r="A132" s="76" t="s">
        <v>778</v>
      </c>
      <c r="B132" s="338" t="s">
        <v>3090</v>
      </c>
      <c r="C132" s="338" t="s">
        <v>1411</v>
      </c>
      <c r="D132" s="76" t="s">
        <v>143</v>
      </c>
      <c r="E132" s="76">
        <v>14.974954</v>
      </c>
      <c r="F132" s="340">
        <v>120.685974</v>
      </c>
      <c r="G132" s="341" t="s">
        <v>3091</v>
      </c>
      <c r="H132" s="342">
        <v>44901</v>
      </c>
      <c r="I132" s="11" t="s">
        <v>74</v>
      </c>
      <c r="J132" s="11" t="s">
        <v>1345</v>
      </c>
      <c r="K132" s="133" t="s">
        <v>1838</v>
      </c>
      <c r="L132" s="344" t="s">
        <v>148</v>
      </c>
      <c r="M132" s="323" t="s">
        <v>3092</v>
      </c>
      <c r="N132" s="328">
        <v>45700</v>
      </c>
      <c r="O132" s="324">
        <v>45701</v>
      </c>
      <c r="P132" s="324"/>
      <c r="Q132" s="324">
        <v>45715</v>
      </c>
      <c r="R132" s="324">
        <v>45721</v>
      </c>
      <c r="S132" s="45">
        <f t="shared" si="16"/>
        <v>1</v>
      </c>
      <c r="T132" s="45" t="str">
        <f t="shared" si="17"/>
        <v/>
      </c>
      <c r="U132" s="45">
        <f t="shared" si="18"/>
        <v>10</v>
      </c>
      <c r="V132" s="45">
        <f t="shared" si="19"/>
        <v>4</v>
      </c>
      <c r="W132" s="133" t="s">
        <v>150</v>
      </c>
      <c r="X132" s="11" t="s">
        <v>50</v>
      </c>
      <c r="Y132" s="133">
        <v>12</v>
      </c>
      <c r="Z132" s="11" t="s">
        <v>57</v>
      </c>
      <c r="AA132" s="11" t="s">
        <v>57</v>
      </c>
      <c r="AB132" s="133" t="s">
        <v>1239</v>
      </c>
      <c r="AC132" s="133" t="s">
        <v>69</v>
      </c>
      <c r="AD132" s="96" t="s">
        <v>3086</v>
      </c>
      <c r="AE132" s="7"/>
      <c r="AF132" s="11"/>
      <c r="AG132" s="11"/>
    </row>
    <row r="133" spans="1:33" ht="30">
      <c r="A133" s="76" t="s">
        <v>778</v>
      </c>
      <c r="B133" s="338" t="s">
        <v>3093</v>
      </c>
      <c r="C133" s="338" t="s">
        <v>1411</v>
      </c>
      <c r="D133" s="76" t="s">
        <v>143</v>
      </c>
      <c r="E133" s="88">
        <v>14.970179</v>
      </c>
      <c r="F133" s="340">
        <v>120.68795</v>
      </c>
      <c r="G133" s="341" t="s">
        <v>3094</v>
      </c>
      <c r="H133" s="342">
        <v>44901</v>
      </c>
      <c r="I133" s="11" t="s">
        <v>74</v>
      </c>
      <c r="J133" s="11" t="s">
        <v>1345</v>
      </c>
      <c r="K133" s="11" t="s">
        <v>1838</v>
      </c>
      <c r="L133" s="370" t="s">
        <v>148</v>
      </c>
      <c r="M133" s="323" t="s">
        <v>3095</v>
      </c>
      <c r="N133" s="324">
        <v>45700</v>
      </c>
      <c r="O133" s="324">
        <v>45701</v>
      </c>
      <c r="P133" s="324"/>
      <c r="Q133" s="324">
        <v>45714</v>
      </c>
      <c r="R133" s="324">
        <v>45721</v>
      </c>
      <c r="S133" s="45">
        <f t="shared" si="16"/>
        <v>1</v>
      </c>
      <c r="T133" s="45" t="str">
        <f t="shared" si="17"/>
        <v/>
      </c>
      <c r="U133" s="45">
        <f t="shared" si="18"/>
        <v>9</v>
      </c>
      <c r="V133" s="45">
        <f t="shared" si="19"/>
        <v>5</v>
      </c>
      <c r="W133" s="133" t="s">
        <v>150</v>
      </c>
      <c r="X133" s="11" t="s">
        <v>50</v>
      </c>
      <c r="Y133" s="133">
        <v>11</v>
      </c>
      <c r="Z133" s="11" t="s">
        <v>57</v>
      </c>
      <c r="AA133" s="11" t="s">
        <v>57</v>
      </c>
      <c r="AB133" s="11" t="s">
        <v>1239</v>
      </c>
      <c r="AC133" s="133" t="s">
        <v>69</v>
      </c>
      <c r="AD133" s="96" t="s">
        <v>3086</v>
      </c>
      <c r="AE133" s="7"/>
      <c r="AF133" s="11"/>
      <c r="AG133" s="11"/>
    </row>
    <row r="134" spans="1:33" ht="60">
      <c r="A134" s="76" t="s">
        <v>778</v>
      </c>
      <c r="B134" s="338" t="s">
        <v>3096</v>
      </c>
      <c r="C134" s="338" t="s">
        <v>1415</v>
      </c>
      <c r="D134" s="76" t="s">
        <v>143</v>
      </c>
      <c r="E134" s="372">
        <v>15.0724</v>
      </c>
      <c r="F134" s="340">
        <v>120.54197000000001</v>
      </c>
      <c r="G134" s="341" t="str">
        <f>_xlfn.CONCAT(E134:F134)</f>
        <v>15.0724120.54197</v>
      </c>
      <c r="H134" s="342">
        <v>44909</v>
      </c>
      <c r="I134" s="11" t="s">
        <v>78</v>
      </c>
      <c r="J134" s="11" t="s">
        <v>33</v>
      </c>
      <c r="K134" s="11" t="s">
        <v>28</v>
      </c>
      <c r="L134" s="338" t="s">
        <v>148</v>
      </c>
      <c r="M134" s="323" t="s">
        <v>3097</v>
      </c>
      <c r="N134" s="324">
        <v>45813</v>
      </c>
      <c r="O134" s="324">
        <v>45813</v>
      </c>
      <c r="P134" s="324">
        <v>45818</v>
      </c>
      <c r="Q134" s="324">
        <v>45861</v>
      </c>
      <c r="R134" s="324">
        <v>45866</v>
      </c>
      <c r="S134" s="45">
        <f t="shared" si="16"/>
        <v>1</v>
      </c>
      <c r="T134" s="45">
        <f t="shared" si="17"/>
        <v>3</v>
      </c>
      <c r="U134" s="45">
        <f t="shared" si="18"/>
        <v>34</v>
      </c>
      <c r="V134" s="45">
        <f t="shared" si="19"/>
        <v>3</v>
      </c>
      <c r="W134" s="133" t="s">
        <v>150</v>
      </c>
      <c r="X134" s="11" t="s">
        <v>57</v>
      </c>
      <c r="Y134" s="133">
        <v>0</v>
      </c>
      <c r="Z134" s="11" t="s">
        <v>57</v>
      </c>
      <c r="AA134" s="11" t="s">
        <v>50</v>
      </c>
      <c r="AB134" s="11">
        <v>0</v>
      </c>
      <c r="AC134" s="133" t="s">
        <v>69</v>
      </c>
      <c r="AD134" s="7" t="s">
        <v>3098</v>
      </c>
      <c r="AF134" s="11"/>
      <c r="AG134" s="11"/>
    </row>
    <row r="135" spans="1:33">
      <c r="A135" s="76" t="s">
        <v>778</v>
      </c>
      <c r="B135" s="338" t="s">
        <v>3096</v>
      </c>
      <c r="C135" s="338" t="s">
        <v>1415</v>
      </c>
      <c r="D135" s="76" t="s">
        <v>143</v>
      </c>
      <c r="E135" s="372">
        <v>15.071012</v>
      </c>
      <c r="F135" s="340">
        <v>120.54068599999999</v>
      </c>
      <c r="G135" s="341" t="s">
        <v>3099</v>
      </c>
      <c r="H135" s="342">
        <v>44909</v>
      </c>
      <c r="I135" s="11" t="s">
        <v>78</v>
      </c>
      <c r="J135" s="11" t="s">
        <v>33</v>
      </c>
      <c r="K135" s="11" t="s">
        <v>28</v>
      </c>
      <c r="L135" s="338" t="s">
        <v>148</v>
      </c>
      <c r="M135" s="323" t="s">
        <v>3100</v>
      </c>
      <c r="N135" s="324">
        <v>45813</v>
      </c>
      <c r="O135" s="324">
        <v>45813</v>
      </c>
      <c r="P135" s="324">
        <v>45818</v>
      </c>
      <c r="Q135" s="324">
        <v>45861</v>
      </c>
      <c r="R135" s="324">
        <v>45866</v>
      </c>
      <c r="S135" s="45">
        <f t="shared" si="16"/>
        <v>1</v>
      </c>
      <c r="T135" s="45">
        <f t="shared" si="17"/>
        <v>3</v>
      </c>
      <c r="U135" s="45">
        <f t="shared" si="18"/>
        <v>34</v>
      </c>
      <c r="V135" s="45">
        <f t="shared" si="19"/>
        <v>3</v>
      </c>
      <c r="W135" s="133" t="s">
        <v>150</v>
      </c>
      <c r="X135" s="11" t="s">
        <v>57</v>
      </c>
      <c r="Y135" s="133">
        <v>0</v>
      </c>
      <c r="Z135" s="11" t="s">
        <v>57</v>
      </c>
      <c r="AA135" s="11" t="s">
        <v>50</v>
      </c>
      <c r="AB135" s="11">
        <v>0</v>
      </c>
      <c r="AC135" s="133" t="s">
        <v>69</v>
      </c>
      <c r="AD135" s="133" t="s">
        <v>3098</v>
      </c>
      <c r="AE135" s="7"/>
      <c r="AF135" s="11"/>
      <c r="AG135" s="11"/>
    </row>
    <row r="136" spans="1:33" ht="45">
      <c r="A136" s="76" t="s">
        <v>778</v>
      </c>
      <c r="B136" s="338" t="s">
        <v>3101</v>
      </c>
      <c r="C136" s="338" t="s">
        <v>992</v>
      </c>
      <c r="D136" s="76" t="s">
        <v>143</v>
      </c>
      <c r="E136" s="372">
        <v>15.061480100000001</v>
      </c>
      <c r="F136" s="340">
        <v>120.81720799999999</v>
      </c>
      <c r="G136" s="341" t="s">
        <v>2940</v>
      </c>
      <c r="H136" s="342">
        <v>44915</v>
      </c>
      <c r="I136" s="11" t="s">
        <v>78</v>
      </c>
      <c r="J136" s="11" t="s">
        <v>1345</v>
      </c>
      <c r="K136" s="11" t="s">
        <v>28</v>
      </c>
      <c r="L136" s="338" t="s">
        <v>148</v>
      </c>
      <c r="M136" s="323" t="s">
        <v>3102</v>
      </c>
      <c r="N136" s="324">
        <v>45811</v>
      </c>
      <c r="O136" s="324">
        <v>45819</v>
      </c>
      <c r="P136" s="324">
        <v>45826</v>
      </c>
      <c r="Q136" s="324">
        <v>45862</v>
      </c>
      <c r="R136" s="324">
        <v>45866</v>
      </c>
      <c r="S136" s="45">
        <f t="shared" si="16"/>
        <v>6</v>
      </c>
      <c r="T136" s="45">
        <f t="shared" si="17"/>
        <v>5</v>
      </c>
      <c r="U136" s="45">
        <f t="shared" si="18"/>
        <v>31</v>
      </c>
      <c r="V136" s="45">
        <f t="shared" si="19"/>
        <v>2</v>
      </c>
      <c r="W136" s="133" t="s">
        <v>150</v>
      </c>
      <c r="X136" s="11" t="s">
        <v>57</v>
      </c>
      <c r="Y136" s="133">
        <v>13</v>
      </c>
      <c r="Z136" s="11" t="s">
        <v>57</v>
      </c>
      <c r="AA136" s="11" t="s">
        <v>57</v>
      </c>
      <c r="AB136" s="11">
        <v>0</v>
      </c>
      <c r="AC136" s="133" t="s">
        <v>1229</v>
      </c>
      <c r="AD136" s="7" t="s">
        <v>3103</v>
      </c>
      <c r="AE136" s="7"/>
      <c r="AF136" s="11"/>
      <c r="AG136" s="11"/>
    </row>
    <row r="137" spans="1:33" ht="60">
      <c r="A137" s="76" t="s">
        <v>778</v>
      </c>
      <c r="B137" s="338" t="s">
        <v>3101</v>
      </c>
      <c r="C137" s="338" t="s">
        <v>992</v>
      </c>
      <c r="D137" s="76" t="s">
        <v>143</v>
      </c>
      <c r="E137" s="372">
        <v>15.061480100000001</v>
      </c>
      <c r="F137" s="340">
        <v>120.81720799999999</v>
      </c>
      <c r="G137" s="341" t="s">
        <v>2940</v>
      </c>
      <c r="H137" s="342">
        <v>44915</v>
      </c>
      <c r="I137" s="11" t="s">
        <v>78</v>
      </c>
      <c r="J137" s="11" t="s">
        <v>1345</v>
      </c>
      <c r="K137" s="11" t="s">
        <v>28</v>
      </c>
      <c r="L137" s="338" t="s">
        <v>148</v>
      </c>
      <c r="M137" s="323" t="s">
        <v>3104</v>
      </c>
      <c r="N137" s="324">
        <v>45811</v>
      </c>
      <c r="O137" s="324">
        <v>45819</v>
      </c>
      <c r="P137" s="324">
        <v>45826</v>
      </c>
      <c r="Q137" s="324">
        <v>45862</v>
      </c>
      <c r="R137" s="324">
        <v>45866</v>
      </c>
      <c r="S137" s="45">
        <f t="shared" si="16"/>
        <v>6</v>
      </c>
      <c r="T137" s="45">
        <f t="shared" si="17"/>
        <v>5</v>
      </c>
      <c r="U137" s="45">
        <f t="shared" si="18"/>
        <v>31</v>
      </c>
      <c r="V137" s="45">
        <f t="shared" si="19"/>
        <v>2</v>
      </c>
      <c r="W137" s="133" t="s">
        <v>150</v>
      </c>
      <c r="X137" s="11" t="s">
        <v>57</v>
      </c>
      <c r="Y137" s="133">
        <v>13</v>
      </c>
      <c r="Z137" s="11" t="s">
        <v>57</v>
      </c>
      <c r="AA137" s="11" t="s">
        <v>57</v>
      </c>
      <c r="AB137" s="11">
        <v>0</v>
      </c>
      <c r="AC137" s="133" t="s">
        <v>1229</v>
      </c>
      <c r="AD137" s="96" t="s">
        <v>3105</v>
      </c>
      <c r="AE137" s="7"/>
      <c r="AF137" s="11"/>
      <c r="AG137" s="11"/>
    </row>
    <row r="138" spans="1:33" ht="60">
      <c r="A138" s="76" t="s">
        <v>778</v>
      </c>
      <c r="B138" s="338" t="s">
        <v>2359</v>
      </c>
      <c r="C138" s="338" t="s">
        <v>1423</v>
      </c>
      <c r="D138" s="76" t="s">
        <v>143</v>
      </c>
      <c r="E138" s="372">
        <v>15.0073215</v>
      </c>
      <c r="F138" s="340">
        <v>120.778071</v>
      </c>
      <c r="G138" s="341" t="s">
        <v>2842</v>
      </c>
      <c r="H138" s="342">
        <v>44901</v>
      </c>
      <c r="I138" s="11" t="s">
        <v>78</v>
      </c>
      <c r="J138" s="11" t="s">
        <v>1345</v>
      </c>
      <c r="K138" s="11" t="s">
        <v>28</v>
      </c>
      <c r="L138" s="338" t="s">
        <v>148</v>
      </c>
      <c r="M138" s="323" t="s">
        <v>3106</v>
      </c>
      <c r="N138" s="324">
        <v>45812</v>
      </c>
      <c r="O138" s="324">
        <v>45819</v>
      </c>
      <c r="P138" s="324">
        <v>45826</v>
      </c>
      <c r="Q138" s="324">
        <v>45860</v>
      </c>
      <c r="R138" s="324">
        <v>45866</v>
      </c>
      <c r="S138" s="45">
        <f t="shared" si="16"/>
        <v>5</v>
      </c>
      <c r="T138" s="45">
        <f t="shared" si="17"/>
        <v>5</v>
      </c>
      <c r="U138" s="45">
        <f t="shared" si="18"/>
        <v>29</v>
      </c>
      <c r="V138" s="45">
        <f t="shared" si="19"/>
        <v>4</v>
      </c>
      <c r="W138" s="133" t="s">
        <v>150</v>
      </c>
      <c r="X138" s="11" t="s">
        <v>57</v>
      </c>
      <c r="Y138" s="133">
        <v>6</v>
      </c>
      <c r="Z138" s="11" t="s">
        <v>57</v>
      </c>
      <c r="AA138" s="11" t="s">
        <v>57</v>
      </c>
      <c r="AB138" s="11" t="s">
        <v>1239</v>
      </c>
      <c r="AC138" s="133" t="s">
        <v>3107</v>
      </c>
      <c r="AD138" s="96" t="s">
        <v>3108</v>
      </c>
      <c r="AE138" s="7"/>
      <c r="AF138" s="11"/>
      <c r="AG138" s="11"/>
    </row>
    <row r="139" spans="1:33" ht="60">
      <c r="A139" s="76" t="s">
        <v>778</v>
      </c>
      <c r="B139" s="338" t="s">
        <v>2359</v>
      </c>
      <c r="C139" s="338" t="s">
        <v>1423</v>
      </c>
      <c r="D139" s="76" t="s">
        <v>143</v>
      </c>
      <c r="E139" s="372">
        <v>15.0073215</v>
      </c>
      <c r="F139" s="340">
        <v>120.778071</v>
      </c>
      <c r="G139" s="341" t="s">
        <v>2842</v>
      </c>
      <c r="H139" s="342">
        <v>44901</v>
      </c>
      <c r="I139" s="11" t="s">
        <v>78</v>
      </c>
      <c r="J139" s="11" t="s">
        <v>1345</v>
      </c>
      <c r="K139" s="11" t="s">
        <v>28</v>
      </c>
      <c r="L139" s="338" t="s">
        <v>148</v>
      </c>
      <c r="M139" s="323" t="s">
        <v>3109</v>
      </c>
      <c r="N139" s="324">
        <v>45812</v>
      </c>
      <c r="O139" s="324">
        <v>45819</v>
      </c>
      <c r="P139" s="324">
        <v>45826</v>
      </c>
      <c r="Q139" s="324">
        <v>45861</v>
      </c>
      <c r="R139" s="324">
        <v>45866</v>
      </c>
      <c r="S139" s="45">
        <f t="shared" si="16"/>
        <v>5</v>
      </c>
      <c r="T139" s="45">
        <f t="shared" si="17"/>
        <v>5</v>
      </c>
      <c r="U139" s="45">
        <f t="shared" si="18"/>
        <v>30</v>
      </c>
      <c r="V139" s="45">
        <f t="shared" si="19"/>
        <v>3</v>
      </c>
      <c r="W139" s="133" t="s">
        <v>150</v>
      </c>
      <c r="X139" s="11" t="s">
        <v>57</v>
      </c>
      <c r="Y139" s="133">
        <v>0</v>
      </c>
      <c r="Z139" s="11" t="s">
        <v>57</v>
      </c>
      <c r="AA139" s="11" t="s">
        <v>57</v>
      </c>
      <c r="AB139" s="11" t="s">
        <v>1239</v>
      </c>
      <c r="AC139" s="133" t="s">
        <v>808</v>
      </c>
      <c r="AD139" s="96" t="s">
        <v>3108</v>
      </c>
      <c r="AE139" s="7"/>
      <c r="AF139" s="11"/>
      <c r="AG139" s="11"/>
    </row>
    <row r="140" spans="1:33">
      <c r="A140" s="76" t="s">
        <v>778</v>
      </c>
      <c r="B140" s="338" t="s">
        <v>3110</v>
      </c>
      <c r="C140" s="338" t="s">
        <v>1441</v>
      </c>
      <c r="D140" s="76" t="s">
        <v>143</v>
      </c>
      <c r="E140" s="372">
        <v>14.985883299999999</v>
      </c>
      <c r="F140" s="340">
        <v>120.7031066</v>
      </c>
      <c r="G140" s="341" t="s">
        <v>3111</v>
      </c>
      <c r="H140" s="342">
        <v>44914</v>
      </c>
      <c r="I140" s="11" t="s">
        <v>73</v>
      </c>
      <c r="J140" s="11" t="s">
        <v>33</v>
      </c>
      <c r="K140" s="11" t="s">
        <v>1838</v>
      </c>
      <c r="L140" s="338" t="s">
        <v>148</v>
      </c>
      <c r="M140" s="323" t="s">
        <v>3112</v>
      </c>
      <c r="N140" s="324">
        <v>45674</v>
      </c>
      <c r="O140" s="324">
        <v>45677</v>
      </c>
      <c r="P140" s="324"/>
      <c r="Q140" s="324">
        <v>45681</v>
      </c>
      <c r="R140" s="324">
        <v>45685</v>
      </c>
      <c r="S140" s="45">
        <f t="shared" si="16"/>
        <v>1</v>
      </c>
      <c r="T140" s="45" t="str">
        <f t="shared" si="17"/>
        <v/>
      </c>
      <c r="U140" s="45">
        <f t="shared" si="18"/>
        <v>4</v>
      </c>
      <c r="V140" s="45">
        <f t="shared" si="19"/>
        <v>2</v>
      </c>
      <c r="W140" s="133" t="s">
        <v>150</v>
      </c>
      <c r="X140" s="11" t="s">
        <v>50</v>
      </c>
      <c r="Y140" s="133">
        <v>12</v>
      </c>
      <c r="Z140" s="11" t="s">
        <v>57</v>
      </c>
      <c r="AA140" s="11" t="s">
        <v>50</v>
      </c>
      <c r="AB140" s="11">
        <v>50</v>
      </c>
      <c r="AC140" s="133" t="s">
        <v>69</v>
      </c>
      <c r="AD140" s="96" t="s">
        <v>2110</v>
      </c>
      <c r="AE140" s="7"/>
      <c r="AF140" s="11"/>
      <c r="AG140" s="11"/>
    </row>
    <row r="141" spans="1:33">
      <c r="A141" s="76" t="s">
        <v>778</v>
      </c>
      <c r="B141" s="338" t="s">
        <v>3113</v>
      </c>
      <c r="C141" s="338" t="s">
        <v>1441</v>
      </c>
      <c r="D141" s="76" t="s">
        <v>143</v>
      </c>
      <c r="E141" s="372">
        <v>14.991536</v>
      </c>
      <c r="F141" s="340">
        <v>120.707093</v>
      </c>
      <c r="G141" s="341" t="s">
        <v>3114</v>
      </c>
      <c r="H141" s="342">
        <v>44914</v>
      </c>
      <c r="I141" s="11" t="s">
        <v>73</v>
      </c>
      <c r="J141" s="11" t="s">
        <v>33</v>
      </c>
      <c r="K141" s="11" t="s">
        <v>1838</v>
      </c>
      <c r="L141" s="338" t="s">
        <v>148</v>
      </c>
      <c r="M141" s="323" t="s">
        <v>3115</v>
      </c>
      <c r="N141" s="324">
        <v>45674</v>
      </c>
      <c r="O141" s="324">
        <v>45677</v>
      </c>
      <c r="P141" s="324"/>
      <c r="Q141" s="324">
        <v>45685</v>
      </c>
      <c r="R141" s="324">
        <v>45687</v>
      </c>
      <c r="S141" s="45">
        <f t="shared" si="16"/>
        <v>1</v>
      </c>
      <c r="T141" s="45" t="str">
        <f t="shared" si="17"/>
        <v/>
      </c>
      <c r="U141" s="45">
        <f t="shared" si="18"/>
        <v>6</v>
      </c>
      <c r="V141" s="45">
        <f t="shared" si="19"/>
        <v>2</v>
      </c>
      <c r="W141" s="133" t="s">
        <v>150</v>
      </c>
      <c r="X141" s="11" t="s">
        <v>57</v>
      </c>
      <c r="Y141" s="78" t="s">
        <v>69</v>
      </c>
      <c r="Z141" s="11" t="s">
        <v>57</v>
      </c>
      <c r="AA141" s="11" t="s">
        <v>57</v>
      </c>
      <c r="AB141" s="11" t="s">
        <v>1239</v>
      </c>
      <c r="AC141" s="133" t="s">
        <v>69</v>
      </c>
      <c r="AD141" s="96" t="s">
        <v>3116</v>
      </c>
      <c r="AE141" s="5">
        <v>45687</v>
      </c>
      <c r="AF141" s="10"/>
      <c r="AG141" s="11"/>
    </row>
    <row r="142" spans="1:33">
      <c r="A142" s="76" t="s">
        <v>778</v>
      </c>
      <c r="B142" s="338" t="s">
        <v>3113</v>
      </c>
      <c r="C142" s="338" t="s">
        <v>1441</v>
      </c>
      <c r="D142" s="76" t="s">
        <v>143</v>
      </c>
      <c r="E142" s="372">
        <v>15.002871170000001</v>
      </c>
      <c r="F142" s="340">
        <v>120.70359172000001</v>
      </c>
      <c r="G142" s="341" t="s">
        <v>3117</v>
      </c>
      <c r="H142" s="342">
        <v>44914</v>
      </c>
      <c r="I142" s="11" t="s">
        <v>73</v>
      </c>
      <c r="J142" s="11" t="s">
        <v>33</v>
      </c>
      <c r="K142" s="11" t="s">
        <v>1838</v>
      </c>
      <c r="L142" s="338" t="s">
        <v>148</v>
      </c>
      <c r="M142" s="323" t="s">
        <v>3118</v>
      </c>
      <c r="N142" s="324">
        <v>45674</v>
      </c>
      <c r="O142" s="324">
        <v>45677</v>
      </c>
      <c r="P142" s="324"/>
      <c r="Q142" s="324">
        <v>45685</v>
      </c>
      <c r="R142" s="324">
        <v>45687</v>
      </c>
      <c r="S142" s="45">
        <f t="shared" si="16"/>
        <v>1</v>
      </c>
      <c r="T142" s="45" t="str">
        <f t="shared" si="17"/>
        <v/>
      </c>
      <c r="U142" s="45">
        <f t="shared" si="18"/>
        <v>6</v>
      </c>
      <c r="V142" s="45">
        <f t="shared" si="19"/>
        <v>2</v>
      </c>
      <c r="W142" s="133" t="s">
        <v>150</v>
      </c>
      <c r="X142" s="11" t="s">
        <v>57</v>
      </c>
      <c r="Y142" s="133" t="s">
        <v>69</v>
      </c>
      <c r="Z142" s="11" t="s">
        <v>57</v>
      </c>
      <c r="AA142" s="11" t="s">
        <v>57</v>
      </c>
      <c r="AB142" s="11" t="s">
        <v>1239</v>
      </c>
      <c r="AC142" s="133" t="s">
        <v>69</v>
      </c>
      <c r="AD142" s="96" t="s">
        <v>3116</v>
      </c>
      <c r="AE142" s="5">
        <v>45687</v>
      </c>
      <c r="AF142" s="10"/>
      <c r="AG142" s="11"/>
    </row>
    <row r="143" spans="1:33">
      <c r="A143" s="76" t="s">
        <v>778</v>
      </c>
      <c r="B143" s="338" t="s">
        <v>3119</v>
      </c>
      <c r="C143" s="338" t="s">
        <v>1441</v>
      </c>
      <c r="D143" s="76" t="s">
        <v>143</v>
      </c>
      <c r="E143" s="372">
        <v>15.016430659999999</v>
      </c>
      <c r="F143" s="340">
        <v>120.716933</v>
      </c>
      <c r="G143" s="341" t="s">
        <v>3120</v>
      </c>
      <c r="H143" s="342">
        <v>44914</v>
      </c>
      <c r="I143" s="11" t="s">
        <v>73</v>
      </c>
      <c r="J143" s="11" t="s">
        <v>33</v>
      </c>
      <c r="K143" s="11" t="s">
        <v>1838</v>
      </c>
      <c r="L143" s="338" t="s">
        <v>148</v>
      </c>
      <c r="M143" s="323" t="s">
        <v>3121</v>
      </c>
      <c r="N143" s="324">
        <v>45674</v>
      </c>
      <c r="O143" s="324">
        <v>45677</v>
      </c>
      <c r="P143" s="324"/>
      <c r="Q143" s="324">
        <v>45685</v>
      </c>
      <c r="R143" s="324">
        <v>45687</v>
      </c>
      <c r="S143" s="45">
        <f t="shared" si="16"/>
        <v>1</v>
      </c>
      <c r="T143" s="45" t="str">
        <f t="shared" si="17"/>
        <v/>
      </c>
      <c r="U143" s="45">
        <f t="shared" si="18"/>
        <v>6</v>
      </c>
      <c r="V143" s="45">
        <f t="shared" si="19"/>
        <v>2</v>
      </c>
      <c r="W143" s="133" t="s">
        <v>150</v>
      </c>
      <c r="X143" s="11" t="s">
        <v>50</v>
      </c>
      <c r="Y143" s="133">
        <v>22</v>
      </c>
      <c r="Z143" s="11" t="s">
        <v>57</v>
      </c>
      <c r="AA143" s="11" t="s">
        <v>57</v>
      </c>
      <c r="AB143" s="11">
        <v>70</v>
      </c>
      <c r="AC143" s="133" t="s">
        <v>69</v>
      </c>
      <c r="AD143" s="96" t="s">
        <v>2110</v>
      </c>
      <c r="AE143" s="7"/>
      <c r="AF143" s="11"/>
      <c r="AG143" s="11"/>
    </row>
    <row r="144" spans="1:33">
      <c r="A144" s="76" t="s">
        <v>778</v>
      </c>
      <c r="B144" s="338" t="s">
        <v>3119</v>
      </c>
      <c r="C144" s="338" t="s">
        <v>1441</v>
      </c>
      <c r="D144" s="76" t="s">
        <v>143</v>
      </c>
      <c r="E144" s="76">
        <v>15.016430659999999</v>
      </c>
      <c r="F144" s="340">
        <v>120.716933</v>
      </c>
      <c r="G144" s="341" t="s">
        <v>3120</v>
      </c>
      <c r="H144" s="342">
        <v>44914</v>
      </c>
      <c r="I144" s="11" t="s">
        <v>73</v>
      </c>
      <c r="J144" s="11" t="s">
        <v>33</v>
      </c>
      <c r="K144" s="11" t="s">
        <v>1838</v>
      </c>
      <c r="L144" s="344" t="s">
        <v>148</v>
      </c>
      <c r="M144" s="323" t="s">
        <v>3122</v>
      </c>
      <c r="N144" s="324">
        <v>45674</v>
      </c>
      <c r="O144" s="324">
        <v>45677</v>
      </c>
      <c r="P144" s="324"/>
      <c r="Q144" s="324">
        <v>45685</v>
      </c>
      <c r="R144" s="324">
        <v>45687</v>
      </c>
      <c r="S144" s="45">
        <f t="shared" si="16"/>
        <v>1</v>
      </c>
      <c r="T144" s="45" t="str">
        <f t="shared" si="17"/>
        <v/>
      </c>
      <c r="U144" s="45">
        <f t="shared" si="18"/>
        <v>6</v>
      </c>
      <c r="V144" s="45">
        <f t="shared" si="19"/>
        <v>2</v>
      </c>
      <c r="W144" s="133" t="s">
        <v>150</v>
      </c>
      <c r="X144" s="11" t="s">
        <v>57</v>
      </c>
      <c r="Y144" s="133">
        <v>2</v>
      </c>
      <c r="Z144" s="11" t="s">
        <v>57</v>
      </c>
      <c r="AA144" s="11" t="s">
        <v>57</v>
      </c>
      <c r="AB144" s="11" t="s">
        <v>1239</v>
      </c>
      <c r="AC144" s="133" t="s">
        <v>69</v>
      </c>
      <c r="AD144" s="96" t="s">
        <v>3116</v>
      </c>
      <c r="AE144" s="5">
        <v>45701</v>
      </c>
      <c r="AF144" s="11"/>
      <c r="AG144" s="11"/>
    </row>
    <row r="145" spans="1:33">
      <c r="A145" s="11"/>
      <c r="B145" s="11"/>
      <c r="C145" s="11"/>
      <c r="D145" s="11"/>
      <c r="E145" s="11"/>
      <c r="F145" s="11"/>
      <c r="G145" s="11"/>
      <c r="H145" s="133"/>
      <c r="I145" s="11"/>
      <c r="J145" s="11"/>
      <c r="K145" s="11"/>
      <c r="L145" s="133"/>
      <c r="M145" s="323"/>
      <c r="N145" s="325"/>
      <c r="O145" s="323"/>
      <c r="P145" s="323"/>
      <c r="Q145" s="323"/>
      <c r="R145" s="323"/>
      <c r="S145" s="11"/>
      <c r="T145" s="11"/>
      <c r="U145" s="133"/>
      <c r="V145" s="11"/>
      <c r="W145" s="133"/>
      <c r="X145" s="11"/>
      <c r="Y145" s="133"/>
      <c r="Z145" s="11"/>
      <c r="AA145" s="11"/>
      <c r="AB145" s="11"/>
      <c r="AC145" s="133"/>
      <c r="AD145" s="96"/>
      <c r="AE145" s="7"/>
      <c r="AF145" s="11"/>
      <c r="AG145" s="11"/>
    </row>
    <row r="146" spans="1:33">
      <c r="A146" s="11"/>
      <c r="B146" s="11"/>
      <c r="C146" s="11"/>
      <c r="D146" s="11"/>
      <c r="E146" s="11"/>
      <c r="F146" s="11"/>
      <c r="G146" s="11"/>
      <c r="H146" s="133"/>
      <c r="I146" s="11"/>
      <c r="J146" s="11"/>
      <c r="K146" s="11"/>
      <c r="L146" s="133"/>
      <c r="M146" s="323"/>
      <c r="N146" s="325"/>
      <c r="O146" s="323"/>
      <c r="P146" s="323"/>
      <c r="Q146" s="323"/>
      <c r="R146" s="323"/>
      <c r="S146" s="11"/>
      <c r="T146" s="11"/>
      <c r="U146" s="133"/>
      <c r="V146" s="11"/>
      <c r="W146" s="133"/>
      <c r="X146" s="11"/>
      <c r="Y146" s="133"/>
      <c r="Z146" s="11"/>
      <c r="AA146" s="11"/>
      <c r="AB146" s="11"/>
      <c r="AC146" s="133"/>
      <c r="AD146" s="96"/>
      <c r="AE146" s="7"/>
      <c r="AF146" s="11"/>
      <c r="AG146" s="11"/>
    </row>
    <row r="147" spans="1:33">
      <c r="A147" s="84"/>
      <c r="B147" s="84"/>
      <c r="C147" s="84"/>
      <c r="D147" s="84"/>
      <c r="E147" s="84"/>
      <c r="F147" s="84"/>
      <c r="G147" s="84"/>
      <c r="H147" s="139"/>
      <c r="I147" s="11"/>
      <c r="J147" s="11"/>
      <c r="K147" s="11"/>
      <c r="L147" s="11"/>
      <c r="M147" s="329"/>
      <c r="N147" s="323"/>
      <c r="O147" s="323"/>
      <c r="P147" s="323"/>
      <c r="Q147" s="323"/>
      <c r="R147" s="323"/>
      <c r="S147" s="11"/>
      <c r="T147" s="11"/>
      <c r="U147" s="133"/>
      <c r="V147" s="11"/>
      <c r="W147" s="133"/>
      <c r="X147" s="11"/>
      <c r="Y147" s="133"/>
      <c r="Z147" s="11"/>
      <c r="AA147" s="11"/>
      <c r="AB147" s="11"/>
      <c r="AC147" s="11"/>
      <c r="AD147" s="96"/>
      <c r="AE147" s="7"/>
      <c r="AF147" s="11"/>
      <c r="AG147" s="11"/>
    </row>
    <row r="148" spans="1:33">
      <c r="A148" s="11"/>
      <c r="B148" s="11"/>
      <c r="C148" s="11"/>
      <c r="D148" s="11"/>
      <c r="E148" s="11"/>
      <c r="F148" s="11"/>
      <c r="G148" s="11"/>
      <c r="H148" s="133"/>
      <c r="I148" s="11"/>
      <c r="J148" s="11"/>
      <c r="K148" s="11"/>
      <c r="L148" s="11"/>
      <c r="M148" s="323"/>
      <c r="N148" s="323"/>
      <c r="O148" s="323"/>
      <c r="P148" s="323"/>
      <c r="Q148" s="323"/>
      <c r="R148" s="323"/>
      <c r="S148" s="11"/>
      <c r="T148" s="11"/>
      <c r="U148" s="133"/>
      <c r="V148" s="11"/>
      <c r="W148" s="133"/>
      <c r="X148" s="11"/>
      <c r="Y148" s="133"/>
      <c r="Z148" s="11"/>
      <c r="AA148" s="11"/>
      <c r="AB148" s="11"/>
      <c r="AC148" s="133"/>
      <c r="AD148" s="96"/>
      <c r="AE148" s="7"/>
      <c r="AF148" s="11"/>
      <c r="AG148" s="11"/>
    </row>
    <row r="149" spans="1:33">
      <c r="A149" s="11"/>
      <c r="B149" s="11"/>
      <c r="C149" s="11"/>
      <c r="D149" s="11"/>
      <c r="E149" s="11"/>
      <c r="F149" s="11"/>
      <c r="G149" s="11"/>
      <c r="H149" s="133"/>
      <c r="I149" s="11"/>
      <c r="J149" s="11"/>
      <c r="K149" s="11"/>
      <c r="L149" s="11"/>
      <c r="M149" s="323"/>
      <c r="N149" s="323"/>
      <c r="O149" s="323"/>
      <c r="P149" s="323"/>
      <c r="Q149" s="323"/>
      <c r="R149" s="323"/>
      <c r="S149" s="11"/>
      <c r="T149" s="11"/>
      <c r="U149" s="133"/>
      <c r="V149" s="11"/>
      <c r="W149" s="133"/>
      <c r="X149" s="11"/>
      <c r="Y149" s="133"/>
      <c r="Z149" s="11"/>
      <c r="AA149" s="11"/>
      <c r="AB149" s="11"/>
      <c r="AC149" s="133"/>
      <c r="AD149" s="96"/>
      <c r="AE149" s="7"/>
      <c r="AF149" s="11"/>
      <c r="AG149" s="11"/>
    </row>
    <row r="150" spans="1:33">
      <c r="A150" s="11"/>
      <c r="B150" s="11"/>
      <c r="C150" s="11"/>
      <c r="D150" s="11"/>
      <c r="E150" s="11"/>
      <c r="F150" s="11"/>
      <c r="G150" s="11"/>
      <c r="H150" s="133"/>
      <c r="I150" s="11"/>
      <c r="J150" s="11"/>
      <c r="K150" s="11"/>
      <c r="L150" s="11"/>
      <c r="M150" s="323"/>
      <c r="N150" s="323"/>
      <c r="O150" s="323"/>
      <c r="P150" s="323"/>
      <c r="Q150" s="323"/>
      <c r="R150" s="323"/>
      <c r="S150" s="11"/>
      <c r="T150" s="11"/>
      <c r="U150" s="133"/>
      <c r="V150" s="11"/>
      <c r="W150" s="133"/>
      <c r="X150" s="11"/>
      <c r="Y150" s="133"/>
      <c r="Z150" s="11"/>
      <c r="AA150" s="11"/>
      <c r="AB150" s="11"/>
      <c r="AC150" s="133"/>
      <c r="AD150" s="96"/>
      <c r="AE150" s="7"/>
      <c r="AF150" s="11"/>
      <c r="AG150" s="11"/>
    </row>
    <row r="151" spans="1:33">
      <c r="A151" s="11"/>
      <c r="B151" s="11"/>
      <c r="C151" s="11"/>
      <c r="D151" s="11"/>
      <c r="E151" s="11"/>
      <c r="F151" s="11"/>
      <c r="G151" s="11"/>
      <c r="H151" s="133"/>
      <c r="I151" s="11"/>
      <c r="J151" s="11"/>
      <c r="K151" s="11"/>
      <c r="L151" s="11"/>
      <c r="M151" s="323"/>
      <c r="N151" s="323"/>
      <c r="O151" s="323"/>
      <c r="P151" s="323"/>
      <c r="Q151" s="323"/>
      <c r="R151" s="323"/>
      <c r="S151" s="11"/>
      <c r="T151" s="11"/>
      <c r="U151" s="133"/>
      <c r="V151" s="11"/>
      <c r="W151" s="133"/>
      <c r="X151" s="11"/>
      <c r="Y151" s="133"/>
      <c r="Z151" s="11"/>
      <c r="AA151" s="11"/>
      <c r="AB151" s="11"/>
      <c r="AC151" s="133"/>
      <c r="AD151" s="96"/>
      <c r="AE151" s="7"/>
      <c r="AF151" s="11"/>
      <c r="AG151" s="11"/>
    </row>
    <row r="152" spans="1:33">
      <c r="A152" s="11"/>
      <c r="B152" s="11"/>
      <c r="C152" s="11"/>
      <c r="D152" s="11"/>
      <c r="E152" s="11"/>
      <c r="F152" s="11"/>
      <c r="G152" s="11"/>
      <c r="H152" s="133"/>
      <c r="I152" s="11"/>
      <c r="J152" s="11"/>
      <c r="K152" s="11"/>
      <c r="L152" s="11"/>
      <c r="M152" s="323"/>
      <c r="N152" s="323"/>
      <c r="O152" s="323"/>
      <c r="P152" s="323"/>
      <c r="Q152" s="323"/>
      <c r="R152" s="323"/>
      <c r="S152" s="11"/>
      <c r="T152" s="11"/>
      <c r="U152" s="133"/>
      <c r="V152" s="11"/>
      <c r="W152" s="133"/>
      <c r="X152" s="11"/>
      <c r="Y152" s="133"/>
      <c r="Z152" s="11"/>
      <c r="AA152" s="11"/>
      <c r="AB152" s="11"/>
      <c r="AC152" s="133"/>
      <c r="AD152" s="96"/>
      <c r="AE152" s="7"/>
      <c r="AF152" s="11"/>
      <c r="AG152" s="11"/>
    </row>
    <row r="153" spans="1:33">
      <c r="A153" s="11"/>
      <c r="B153" s="11"/>
      <c r="C153" s="11"/>
      <c r="D153" s="11"/>
      <c r="E153" s="11"/>
      <c r="F153" s="11"/>
      <c r="G153" s="11"/>
      <c r="H153" s="133"/>
      <c r="I153" s="11"/>
      <c r="J153" s="11"/>
      <c r="K153" s="11"/>
      <c r="L153" s="11"/>
      <c r="M153" s="323"/>
      <c r="N153" s="323"/>
      <c r="O153" s="323"/>
      <c r="P153" s="323"/>
      <c r="Q153" s="323"/>
      <c r="R153" s="323"/>
      <c r="S153" s="11"/>
      <c r="T153" s="11"/>
      <c r="U153" s="133"/>
      <c r="V153" s="11"/>
      <c r="W153" s="133"/>
      <c r="X153" s="11"/>
      <c r="Y153" s="133"/>
      <c r="Z153" s="11"/>
      <c r="AA153" s="11"/>
      <c r="AB153" s="11"/>
      <c r="AC153" s="133"/>
      <c r="AD153" s="96"/>
      <c r="AE153" s="7"/>
      <c r="AF153" s="11"/>
      <c r="AG153" s="11"/>
    </row>
    <row r="154" spans="1:33">
      <c r="A154" s="11"/>
      <c r="B154" s="11"/>
      <c r="C154" s="11"/>
      <c r="D154" s="11"/>
      <c r="E154" s="11"/>
      <c r="F154" s="11"/>
      <c r="G154" s="11"/>
      <c r="H154" s="133"/>
      <c r="I154" s="11"/>
      <c r="J154" s="11"/>
      <c r="K154" s="11"/>
      <c r="L154" s="11"/>
      <c r="M154" s="323"/>
      <c r="N154" s="323"/>
      <c r="O154" s="323"/>
      <c r="P154" s="323"/>
      <c r="Q154" s="323"/>
      <c r="R154" s="323"/>
      <c r="S154" s="11"/>
      <c r="T154" s="11"/>
      <c r="U154" s="133"/>
      <c r="V154" s="11"/>
      <c r="W154" s="133"/>
      <c r="X154" s="11"/>
      <c r="Y154" s="133"/>
      <c r="Z154" s="11"/>
      <c r="AA154" s="11"/>
      <c r="AB154" s="11"/>
      <c r="AC154" s="133"/>
      <c r="AD154" s="96"/>
      <c r="AE154" s="7"/>
      <c r="AF154" s="11"/>
      <c r="AG154" s="11"/>
    </row>
    <row r="155" spans="1:33">
      <c r="A155" s="11"/>
      <c r="B155" s="11"/>
      <c r="C155" s="11"/>
      <c r="D155" s="11"/>
      <c r="E155" s="11"/>
      <c r="F155" s="11"/>
      <c r="G155" s="11"/>
      <c r="H155" s="133"/>
      <c r="I155" s="11"/>
      <c r="J155" s="11"/>
      <c r="K155" s="11"/>
      <c r="L155" s="11"/>
      <c r="M155" s="323"/>
      <c r="N155" s="323"/>
      <c r="O155" s="323"/>
      <c r="P155" s="323"/>
      <c r="Q155" s="323"/>
      <c r="R155" s="323"/>
      <c r="S155" s="11"/>
      <c r="T155" s="11"/>
      <c r="U155" s="133"/>
      <c r="V155" s="11"/>
      <c r="W155" s="133"/>
      <c r="X155" s="11"/>
      <c r="Y155" s="133"/>
      <c r="Z155" s="11"/>
      <c r="AA155" s="11"/>
      <c r="AB155" s="11"/>
      <c r="AC155" s="133"/>
      <c r="AD155" s="96"/>
      <c r="AE155" s="7"/>
      <c r="AF155" s="11"/>
      <c r="AG155" s="11"/>
    </row>
    <row r="156" spans="1:33">
      <c r="A156" s="11"/>
      <c r="B156" s="11"/>
      <c r="C156" s="11"/>
      <c r="D156" s="11"/>
      <c r="E156" s="11"/>
      <c r="F156" s="11"/>
      <c r="G156" s="11"/>
      <c r="H156" s="133"/>
      <c r="I156" s="11"/>
      <c r="J156" s="11"/>
      <c r="K156" s="11"/>
      <c r="L156" s="11"/>
      <c r="M156" s="323"/>
      <c r="N156" s="323"/>
      <c r="O156" s="323"/>
      <c r="P156" s="323"/>
      <c r="Q156" s="323"/>
      <c r="R156" s="323"/>
      <c r="S156" s="11"/>
      <c r="T156" s="11"/>
      <c r="U156" s="133"/>
      <c r="V156" s="11"/>
      <c r="W156" s="133"/>
      <c r="X156" s="11"/>
      <c r="Y156" s="133"/>
      <c r="Z156" s="11"/>
      <c r="AA156" s="11"/>
      <c r="AB156" s="11"/>
      <c r="AC156" s="133"/>
      <c r="AD156" s="96"/>
      <c r="AE156" s="7"/>
      <c r="AF156" s="11"/>
      <c r="AG156" s="11"/>
    </row>
    <row r="157" spans="1:33">
      <c r="A157" s="11"/>
      <c r="B157" s="11"/>
      <c r="C157" s="11"/>
      <c r="D157" s="11"/>
      <c r="E157" s="11"/>
      <c r="F157" s="11"/>
      <c r="G157" s="11"/>
      <c r="H157" s="133"/>
      <c r="I157" s="11"/>
      <c r="J157" s="11"/>
      <c r="K157" s="11"/>
      <c r="L157" s="11"/>
      <c r="M157" s="323"/>
      <c r="N157" s="323"/>
      <c r="O157" s="323"/>
      <c r="P157" s="323"/>
      <c r="Q157" s="323"/>
      <c r="R157" s="323"/>
      <c r="S157" s="11"/>
      <c r="T157" s="11"/>
      <c r="U157" s="133"/>
      <c r="V157" s="11"/>
      <c r="W157" s="133"/>
      <c r="X157" s="11"/>
      <c r="Y157" s="133"/>
      <c r="Z157" s="11"/>
      <c r="AA157" s="11"/>
      <c r="AB157" s="11"/>
      <c r="AC157" s="133"/>
      <c r="AD157" s="96"/>
      <c r="AE157" s="7"/>
      <c r="AF157" s="11"/>
      <c r="AG157" s="11"/>
    </row>
    <row r="158" spans="1:33">
      <c r="A158" s="11"/>
      <c r="B158" s="11"/>
      <c r="C158" s="11"/>
      <c r="D158" s="11"/>
      <c r="E158" s="11"/>
      <c r="F158" s="11"/>
      <c r="G158" s="11"/>
      <c r="H158" s="133"/>
      <c r="I158" s="11"/>
      <c r="J158" s="11"/>
      <c r="K158" s="11"/>
      <c r="L158" s="11"/>
      <c r="M158" s="323"/>
      <c r="N158" s="323"/>
      <c r="O158" s="323"/>
      <c r="P158" s="323"/>
      <c r="Q158" s="323"/>
      <c r="R158" s="323"/>
      <c r="S158" s="11"/>
      <c r="T158" s="11"/>
      <c r="U158" s="133"/>
      <c r="V158" s="11"/>
      <c r="W158" s="133"/>
      <c r="X158" s="11"/>
      <c r="Y158" s="133"/>
      <c r="Z158" s="11"/>
      <c r="AA158" s="11"/>
      <c r="AB158" s="11"/>
      <c r="AC158" s="133"/>
      <c r="AD158" s="96"/>
      <c r="AE158" s="7"/>
      <c r="AF158" s="11"/>
      <c r="AG158" s="11"/>
    </row>
    <row r="159" spans="1:33">
      <c r="A159" s="11"/>
      <c r="B159" s="11"/>
      <c r="C159" s="11"/>
      <c r="D159" s="11"/>
      <c r="E159" s="11"/>
      <c r="F159" s="11"/>
      <c r="G159" s="11"/>
      <c r="H159" s="133"/>
      <c r="I159" s="11"/>
      <c r="J159" s="11"/>
      <c r="K159" s="11"/>
      <c r="L159" s="11"/>
      <c r="M159" s="323"/>
      <c r="N159" s="323"/>
      <c r="O159" s="323"/>
      <c r="P159" s="323"/>
      <c r="Q159" s="323"/>
      <c r="R159" s="323"/>
      <c r="S159" s="11"/>
      <c r="T159" s="11"/>
      <c r="U159" s="133"/>
      <c r="V159" s="11"/>
      <c r="W159" s="133"/>
      <c r="X159" s="11"/>
      <c r="Y159" s="133"/>
      <c r="Z159" s="11"/>
      <c r="AA159" s="11"/>
      <c r="AB159" s="11"/>
      <c r="AC159" s="133"/>
      <c r="AD159" s="96"/>
      <c r="AE159" s="7"/>
      <c r="AF159" s="11"/>
      <c r="AG159" s="11"/>
    </row>
    <row r="160" spans="1:33">
      <c r="A160" s="11"/>
      <c r="B160" s="11"/>
      <c r="C160" s="11"/>
      <c r="D160" s="11"/>
      <c r="E160" s="11"/>
      <c r="F160" s="11"/>
      <c r="G160" s="11"/>
      <c r="H160" s="133"/>
      <c r="I160" s="11"/>
      <c r="J160" s="11"/>
      <c r="K160" s="11"/>
      <c r="L160" s="11"/>
      <c r="M160" s="323"/>
      <c r="N160" s="323"/>
      <c r="O160" s="323"/>
      <c r="P160" s="323"/>
      <c r="Q160" s="323"/>
      <c r="R160" s="323"/>
      <c r="S160" s="11"/>
      <c r="T160" s="11"/>
      <c r="U160" s="133"/>
      <c r="V160" s="11"/>
      <c r="W160" s="133"/>
      <c r="X160" s="11"/>
      <c r="Y160" s="133"/>
      <c r="Z160" s="11"/>
      <c r="AA160" s="11"/>
      <c r="AB160" s="11"/>
      <c r="AC160" s="133"/>
      <c r="AD160" s="96"/>
      <c r="AE160" s="7"/>
      <c r="AF160" s="11"/>
      <c r="AG160" s="11"/>
    </row>
    <row r="161" spans="1:33">
      <c r="A161" s="11"/>
      <c r="B161" s="11"/>
      <c r="C161" s="11"/>
      <c r="D161" s="11"/>
      <c r="E161" s="11"/>
      <c r="F161" s="11"/>
      <c r="G161" s="11"/>
      <c r="H161" s="133"/>
      <c r="I161" s="11"/>
      <c r="J161" s="11"/>
      <c r="K161" s="11"/>
      <c r="L161" s="11"/>
      <c r="M161" s="323"/>
      <c r="N161" s="323"/>
      <c r="O161" s="323"/>
      <c r="P161" s="323"/>
      <c r="Q161" s="323"/>
      <c r="R161" s="323"/>
      <c r="S161" s="11"/>
      <c r="T161" s="11"/>
      <c r="U161" s="133"/>
      <c r="V161" s="11"/>
      <c r="W161" s="133"/>
      <c r="X161" s="11"/>
      <c r="Y161" s="133"/>
      <c r="Z161" s="11"/>
      <c r="AA161" s="11"/>
      <c r="AB161" s="11"/>
      <c r="AC161" s="133"/>
      <c r="AD161" s="96"/>
      <c r="AE161" s="7"/>
      <c r="AF161" s="11"/>
      <c r="AG161" s="11"/>
    </row>
    <row r="162" spans="1:33">
      <c r="A162" s="11"/>
      <c r="B162" s="11"/>
      <c r="C162" s="11"/>
      <c r="D162" s="11"/>
      <c r="E162" s="11"/>
      <c r="F162" s="11"/>
      <c r="G162" s="11"/>
      <c r="H162" s="133"/>
      <c r="I162" s="11"/>
      <c r="J162" s="11"/>
      <c r="K162" s="11"/>
      <c r="L162" s="11"/>
      <c r="M162" s="323"/>
      <c r="N162" s="323"/>
      <c r="O162" s="323"/>
      <c r="P162" s="323"/>
      <c r="Q162" s="323"/>
      <c r="R162" s="323"/>
      <c r="S162" s="11"/>
      <c r="T162" s="11"/>
      <c r="U162" s="133"/>
      <c r="V162" s="11"/>
      <c r="W162" s="133"/>
      <c r="X162" s="11"/>
      <c r="Y162" s="133"/>
      <c r="Z162" s="11"/>
      <c r="AA162" s="11"/>
      <c r="AB162" s="11"/>
      <c r="AC162" s="133"/>
      <c r="AD162" s="96"/>
      <c r="AE162" s="7"/>
      <c r="AF162" s="11"/>
      <c r="AG162" s="11"/>
    </row>
    <row r="163" spans="1:33">
      <c r="A163" s="11"/>
      <c r="B163" s="11"/>
      <c r="C163" s="11"/>
      <c r="D163" s="11"/>
      <c r="E163" s="11"/>
      <c r="F163" s="11"/>
      <c r="G163" s="11"/>
      <c r="H163" s="139"/>
      <c r="I163" s="84"/>
      <c r="J163" s="84"/>
      <c r="K163" s="84"/>
      <c r="L163" s="84"/>
      <c r="M163" s="326"/>
      <c r="N163" s="326"/>
      <c r="O163" s="326"/>
      <c r="P163" s="326"/>
      <c r="Q163" s="326"/>
      <c r="R163" s="326"/>
      <c r="S163" s="84"/>
      <c r="T163" s="84"/>
      <c r="U163" s="139"/>
      <c r="V163" s="84"/>
      <c r="W163" s="139"/>
      <c r="X163" s="84"/>
      <c r="Y163" s="139"/>
      <c r="Z163" s="84"/>
      <c r="AA163" s="84"/>
      <c r="AB163" s="84"/>
      <c r="AC163" s="139"/>
      <c r="AD163" s="331"/>
      <c r="AE163" s="360"/>
      <c r="AF163" s="84"/>
      <c r="AG163" s="84"/>
    </row>
    <row r="164" spans="1:33">
      <c r="A164" s="11"/>
      <c r="B164" s="11"/>
      <c r="C164" s="11"/>
      <c r="D164" s="11"/>
      <c r="E164" s="11"/>
      <c r="F164" s="11"/>
      <c r="G164" s="133"/>
      <c r="H164" s="11"/>
      <c r="I164" s="11"/>
      <c r="J164" s="11"/>
      <c r="K164" s="11"/>
      <c r="L164" s="11"/>
      <c r="M164" s="323"/>
      <c r="N164" s="323"/>
      <c r="O164" s="323"/>
      <c r="P164" s="323"/>
      <c r="Q164" s="323"/>
      <c r="R164" s="323"/>
      <c r="S164" s="11"/>
      <c r="T164" s="11"/>
      <c r="U164" s="11"/>
      <c r="V164" s="11"/>
      <c r="W164" s="11"/>
      <c r="X164" s="11"/>
      <c r="Y164" s="11"/>
      <c r="Z164" s="11"/>
      <c r="AA164" s="11"/>
      <c r="AB164" s="11"/>
      <c r="AC164" s="11"/>
      <c r="AD164" s="7"/>
      <c r="AE164" s="7"/>
      <c r="AF164" s="11"/>
      <c r="AG164" s="11"/>
    </row>
  </sheetData>
  <autoFilter ref="A1:AG144" xr:uid="{33BFEEF4-A20D-4A55-B6E0-D5F982846A50}"/>
  <dataValidations count="2">
    <dataValidation allowBlank="1" showInputMessage="1" showErrorMessage="1" sqref="E1:G1 I1:W1 L144 L68:L86 L89:L92 L94:L132" xr:uid="{353B93C5-0292-4521-AD9C-6AB53EE422BE}"/>
    <dataValidation type="list" allowBlank="1" showInputMessage="1" showErrorMessage="1" sqref="A2:A1048576" xr:uid="{5648E73A-2FB0-4A69-85CA-F24BD2E1ABC9}">
      <formula1>"Aurora, Bataan, Bulacan, Nueva_Ecija, Pampanga, Tarlac, Zambales"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3954E52-43DD-4A64-BF6D-259E4E485CB3}">
          <x14:formula1>
            <xm:f>'Data Validation'!$T$2:$T$3</xm:f>
          </x14:formula1>
          <xm:sqref>AC147 AB146 Z2:AA164 X2:X164</xm:sqref>
        </x14:dataValidation>
        <x14:dataValidation type="list" allowBlank="1" showInputMessage="1" showErrorMessage="1" xr:uid="{87BC9ACE-1057-4B5A-9955-75D9000DB971}">
          <x14:formula1>
            <xm:f>'Data Validation'!$A$13:$A$24</xm:f>
          </x14:formula1>
          <xm:sqref>I2:I144</xm:sqref>
        </x14:dataValidation>
      </x14:dataValidation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9A463-1532-4520-AD10-994A53796B36}">
  <sheetPr codeName="Sheet13"/>
  <dimension ref="A1:AG165"/>
  <sheetViews>
    <sheetView topLeftCell="O1" zoomScale="85" zoomScaleNormal="85" workbookViewId="0">
      <selection activeCell="U68" sqref="U68"/>
    </sheetView>
  </sheetViews>
  <sheetFormatPr defaultColWidth="21.28515625" defaultRowHeight="15"/>
  <cols>
    <col min="2" max="2" width="34" customWidth="1"/>
    <col min="3" max="3" width="21.28515625" customWidth="1"/>
    <col min="4" max="4" width="9.140625" customWidth="1"/>
    <col min="5" max="5" width="14.42578125" customWidth="1"/>
    <col min="6" max="6" width="21.28515625" customWidth="1"/>
    <col min="7" max="7" width="27.28515625" customWidth="1"/>
    <col min="8" max="8" width="17.85546875" customWidth="1"/>
    <col min="9" max="9" width="21.28515625" customWidth="1"/>
    <col min="10" max="10" width="29.7109375" style="425" customWidth="1"/>
    <col min="11" max="11" width="24.28515625" customWidth="1"/>
    <col min="12" max="12" width="26.5703125" bestFit="1" customWidth="1"/>
    <col min="13" max="13" width="21.5703125" bestFit="1" customWidth="1"/>
    <col min="14" max="18" width="22.5703125" customWidth="1"/>
    <col min="19" max="22" width="16.7109375" customWidth="1"/>
    <col min="24" max="24" width="23.5703125" bestFit="1" customWidth="1"/>
    <col min="25" max="25" width="14.28515625" customWidth="1"/>
    <col min="26" max="27" width="23.5703125" bestFit="1" customWidth="1"/>
    <col min="28" max="28" width="17.42578125" customWidth="1"/>
    <col min="29" max="29" width="23.28515625" customWidth="1"/>
    <col min="30" max="30" width="68.140625" style="172" customWidth="1"/>
    <col min="31" max="31" width="22.5703125" style="648" customWidth="1"/>
    <col min="32" max="32" width="22.5703125" customWidth="1"/>
  </cols>
  <sheetData>
    <row r="1" spans="1:33" s="47" customFormat="1" ht="48" customHeight="1">
      <c r="A1" s="48" t="s">
        <v>85</v>
      </c>
      <c r="B1" s="48" t="s">
        <v>782</v>
      </c>
      <c r="C1" s="48" t="s">
        <v>86</v>
      </c>
      <c r="D1" s="48" t="s">
        <v>2656</v>
      </c>
      <c r="E1" s="48" t="s">
        <v>783</v>
      </c>
      <c r="F1" s="48" t="s">
        <v>784</v>
      </c>
      <c r="G1" s="48" t="s">
        <v>785</v>
      </c>
      <c r="H1" s="48" t="s">
        <v>2657</v>
      </c>
      <c r="I1" s="46" t="s">
        <v>2416</v>
      </c>
      <c r="J1" s="46" t="s">
        <v>100</v>
      </c>
      <c r="K1" s="46" t="s">
        <v>1575</v>
      </c>
      <c r="L1" s="46" t="s">
        <v>102</v>
      </c>
      <c r="M1" s="322" t="s">
        <v>103</v>
      </c>
      <c r="N1" s="322" t="s">
        <v>104</v>
      </c>
      <c r="O1" s="322" t="s">
        <v>105</v>
      </c>
      <c r="P1" s="322" t="s">
        <v>106</v>
      </c>
      <c r="Q1" s="322" t="s">
        <v>107</v>
      </c>
      <c r="R1" s="322" t="s">
        <v>108</v>
      </c>
      <c r="S1" s="46" t="s">
        <v>109</v>
      </c>
      <c r="T1" s="46" t="s">
        <v>110</v>
      </c>
      <c r="U1" s="46" t="s">
        <v>111</v>
      </c>
      <c r="V1" s="46" t="s">
        <v>112</v>
      </c>
      <c r="W1" s="46" t="s">
        <v>2250</v>
      </c>
      <c r="X1" s="49" t="s">
        <v>2658</v>
      </c>
      <c r="Y1" s="49" t="s">
        <v>2659</v>
      </c>
      <c r="Z1" s="49" t="s">
        <v>2660</v>
      </c>
      <c r="AA1" s="49" t="s">
        <v>2661</v>
      </c>
      <c r="AB1" s="49" t="s">
        <v>2662</v>
      </c>
      <c r="AC1" s="49" t="s">
        <v>2663</v>
      </c>
      <c r="AD1" s="49" t="s">
        <v>127</v>
      </c>
      <c r="AE1" s="26" t="s">
        <v>125</v>
      </c>
      <c r="AF1" s="26" t="s">
        <v>126</v>
      </c>
      <c r="AG1" s="27" t="s">
        <v>127</v>
      </c>
    </row>
    <row r="2" spans="1:33">
      <c r="A2" s="76" t="s">
        <v>776</v>
      </c>
      <c r="B2" s="338" t="s">
        <v>2664</v>
      </c>
      <c r="C2" s="339" t="s">
        <v>938</v>
      </c>
      <c r="D2" s="339" t="s">
        <v>143</v>
      </c>
      <c r="E2" s="76">
        <v>14.809200000000001</v>
      </c>
      <c r="F2" s="340">
        <v>120.89700000000001</v>
      </c>
      <c r="G2" s="76" t="str">
        <f>CONCATENATE(E2,",",F2)</f>
        <v>14.8092,120.897</v>
      </c>
      <c r="H2" s="342">
        <v>44914</v>
      </c>
      <c r="I2" s="11" t="s">
        <v>3126</v>
      </c>
      <c r="J2" s="11" t="s">
        <v>24</v>
      </c>
      <c r="K2" s="11"/>
      <c r="L2" s="11" t="s">
        <v>201</v>
      </c>
      <c r="M2" s="323" t="s">
        <v>3134</v>
      </c>
      <c r="N2" s="324">
        <v>45855</v>
      </c>
      <c r="O2" s="324">
        <v>45867</v>
      </c>
      <c r="P2" s="324"/>
      <c r="Q2" s="324">
        <v>45867</v>
      </c>
      <c r="R2" s="324">
        <v>45869</v>
      </c>
      <c r="S2" s="45">
        <f t="shared" ref="S2:S22" si="0">IF(
    OR(ISBLANK(N2), ISBLANK(O2)),
    "",
    MAX(1, IF(
        NETWORKDAYS(N2, O2) &lt;= 0,
        1,
        NETWORKDAYS(N2, O2) - IF(N2 = O2, 0, 1)
    ))
)</f>
        <v>8</v>
      </c>
      <c r="T2" s="45" t="str">
        <f t="shared" ref="T2:T22" si="1">IF(
    OR(ISBLANK(O2), ISBLANK(P2)),
    "",
    MAX(1, IF(
        NETWORKDAYS(O2, P2) &lt;= 0,
        1,
        NETWORKDAYS(O2, P2) - IF(O2 = P2, 0, 1)
    ))
)</f>
        <v/>
      </c>
      <c r="U2" s="45">
        <f t="shared" ref="U2:U33" si="2">IF(
  OR(A2 = "Nueva_Ecija", A2 = "Zambales"),
  IF(
    OR(ISBLANK(P2), ISBLANK(Q2)),
    "",
    MAX(1, IF(
      NETWORKDAYS(P2, Q2) &lt;= 0,
      1,
      NETWORKDAYS(P2, Q2) - IF(P2 = Q2, 0, 1)
    ))
  ),
  IF(
    OR(ISBLANK(O2), ISBLANK(Q2)),
    "",
    MAX(1, IF(
      NETWORKDAYS(O2, Q2) &lt;= 0,
      1,
      NETWORKDAYS(O2, Q2) - IF(O2 = Q2, 0, 1)
    ))
  )
)</f>
        <v>1</v>
      </c>
      <c r="V2" s="45">
        <f t="shared" ref="V2:V33" si="3">IF(
    OR(ISBLANK(Q2), ISBLANK(R2)),
    "",
    MAX(1, IF(
        NETWORKDAYS(Q2, R2) &lt;= 0,
        1,
        NETWORKDAYS(Q2, R2) - IF(Q2 = R2, 0, 1)
    ))
)</f>
        <v>2</v>
      </c>
      <c r="W2" s="133" t="s">
        <v>150</v>
      </c>
      <c r="X2" s="11" t="s">
        <v>50</v>
      </c>
      <c r="Y2" s="133">
        <v>23</v>
      </c>
      <c r="Z2" s="11" t="s">
        <v>57</v>
      </c>
      <c r="AA2" s="11" t="s">
        <v>50</v>
      </c>
      <c r="AB2" s="11" t="s">
        <v>1239</v>
      </c>
      <c r="AC2" s="11" t="s">
        <v>2671</v>
      </c>
      <c r="AD2" s="96"/>
      <c r="AE2" s="649"/>
      <c r="AF2" s="1"/>
      <c r="AG2" s="1"/>
    </row>
    <row r="3" spans="1:33">
      <c r="A3" s="76" t="s">
        <v>776</v>
      </c>
      <c r="B3" s="338" t="s">
        <v>2668</v>
      </c>
      <c r="C3" s="339" t="s">
        <v>938</v>
      </c>
      <c r="D3" s="339" t="s">
        <v>143</v>
      </c>
      <c r="E3" s="76">
        <v>14.816800000000001</v>
      </c>
      <c r="F3" s="340">
        <v>120.9085</v>
      </c>
      <c r="G3" s="76" t="s">
        <v>2669</v>
      </c>
      <c r="H3" s="342">
        <v>44914</v>
      </c>
      <c r="I3" s="11" t="s">
        <v>3126</v>
      </c>
      <c r="J3" s="11" t="s">
        <v>2271</v>
      </c>
      <c r="K3" s="11"/>
      <c r="L3" s="11" t="s">
        <v>201</v>
      </c>
      <c r="M3" s="323" t="s">
        <v>3135</v>
      </c>
      <c r="N3" s="324">
        <v>45866</v>
      </c>
      <c r="O3" s="324">
        <v>45871</v>
      </c>
      <c r="P3" s="324"/>
      <c r="Q3" s="324">
        <v>45873</v>
      </c>
      <c r="R3" s="324">
        <v>45874</v>
      </c>
      <c r="S3" s="45">
        <f t="shared" si="0"/>
        <v>4</v>
      </c>
      <c r="T3" s="45" t="str">
        <f t="shared" si="1"/>
        <v/>
      </c>
      <c r="U3" s="45">
        <f t="shared" si="2"/>
        <v>1</v>
      </c>
      <c r="V3" s="45">
        <f t="shared" si="3"/>
        <v>1</v>
      </c>
      <c r="W3" s="133" t="s">
        <v>150</v>
      </c>
      <c r="X3" s="11" t="s">
        <v>57</v>
      </c>
      <c r="Y3" s="133">
        <v>0</v>
      </c>
      <c r="Z3" s="11" t="s">
        <v>57</v>
      </c>
      <c r="AA3" s="11" t="s">
        <v>57</v>
      </c>
      <c r="AB3" s="11"/>
      <c r="AC3" s="11" t="s">
        <v>2671</v>
      </c>
      <c r="AD3" s="96"/>
      <c r="AE3" s="649"/>
      <c r="AF3" s="1"/>
      <c r="AG3" s="1"/>
    </row>
    <row r="4" spans="1:33">
      <c r="A4" s="76" t="s">
        <v>776</v>
      </c>
      <c r="B4" s="338" t="s">
        <v>2668</v>
      </c>
      <c r="C4" s="339" t="s">
        <v>938</v>
      </c>
      <c r="D4" s="339" t="s">
        <v>143</v>
      </c>
      <c r="E4" s="76">
        <v>14.8162</v>
      </c>
      <c r="F4" s="340">
        <v>120.908</v>
      </c>
      <c r="G4" s="76" t="str">
        <f>CONCATENATE(E4,",",F4)</f>
        <v>14.8162,120.908</v>
      </c>
      <c r="H4" s="342">
        <v>44914</v>
      </c>
      <c r="I4" s="11" t="s">
        <v>3126</v>
      </c>
      <c r="J4" s="11" t="s">
        <v>2271</v>
      </c>
      <c r="K4" s="11"/>
      <c r="L4" s="11" t="s">
        <v>201</v>
      </c>
      <c r="M4" s="323" t="s">
        <v>3136</v>
      </c>
      <c r="N4" s="324">
        <v>45866</v>
      </c>
      <c r="O4" s="324">
        <v>45871</v>
      </c>
      <c r="P4" s="324"/>
      <c r="Q4" s="324">
        <v>45873</v>
      </c>
      <c r="R4" s="324">
        <v>45874</v>
      </c>
      <c r="S4" s="45">
        <f t="shared" si="0"/>
        <v>4</v>
      </c>
      <c r="T4" s="45" t="str">
        <f t="shared" si="1"/>
        <v/>
      </c>
      <c r="U4" s="45">
        <f t="shared" si="2"/>
        <v>1</v>
      </c>
      <c r="V4" s="45">
        <f t="shared" si="3"/>
        <v>1</v>
      </c>
      <c r="W4" s="133" t="s">
        <v>150</v>
      </c>
      <c r="X4" s="11" t="s">
        <v>57</v>
      </c>
      <c r="Y4" s="133">
        <v>0</v>
      </c>
      <c r="Z4" s="11" t="s">
        <v>57</v>
      </c>
      <c r="AA4" s="11" t="s">
        <v>57</v>
      </c>
      <c r="AB4" s="11"/>
      <c r="AC4" s="11" t="s">
        <v>2671</v>
      </c>
      <c r="AD4" s="96"/>
      <c r="AE4" s="649"/>
      <c r="AF4" s="1"/>
      <c r="AG4" s="1"/>
    </row>
    <row r="5" spans="1:33" ht="45">
      <c r="A5" s="76" t="s">
        <v>776</v>
      </c>
      <c r="B5" s="338" t="s">
        <v>2675</v>
      </c>
      <c r="C5" s="339" t="s">
        <v>1011</v>
      </c>
      <c r="D5" s="339" t="s">
        <v>143</v>
      </c>
      <c r="E5" s="76">
        <v>14.7898</v>
      </c>
      <c r="F5" s="340">
        <v>120.9311</v>
      </c>
      <c r="G5" s="76" t="s">
        <v>2676</v>
      </c>
      <c r="H5" s="342">
        <v>44901</v>
      </c>
      <c r="I5" s="11" t="s">
        <v>3129</v>
      </c>
      <c r="J5" s="11" t="s">
        <v>2271</v>
      </c>
      <c r="K5" s="11" t="s">
        <v>1838</v>
      </c>
      <c r="L5" s="11" t="s">
        <v>201</v>
      </c>
      <c r="M5" s="323" t="s">
        <v>3137</v>
      </c>
      <c r="N5" s="324">
        <v>45978</v>
      </c>
      <c r="O5" s="324">
        <v>45978</v>
      </c>
      <c r="P5" s="324">
        <v>45978</v>
      </c>
      <c r="Q5" s="324">
        <v>45982</v>
      </c>
      <c r="R5" s="324">
        <v>45982</v>
      </c>
      <c r="S5" s="45">
        <f t="shared" si="0"/>
        <v>1</v>
      </c>
      <c r="T5" s="45">
        <f t="shared" si="1"/>
        <v>1</v>
      </c>
      <c r="U5" s="45">
        <f t="shared" si="2"/>
        <v>4</v>
      </c>
      <c r="V5" s="45">
        <f t="shared" si="3"/>
        <v>1</v>
      </c>
      <c r="W5" s="133" t="s">
        <v>150</v>
      </c>
      <c r="X5" s="11" t="s">
        <v>50</v>
      </c>
      <c r="Y5" s="133">
        <v>15</v>
      </c>
      <c r="Z5" s="11" t="s">
        <v>57</v>
      </c>
      <c r="AA5" s="11" t="s">
        <v>50</v>
      </c>
      <c r="AB5" s="11">
        <v>500</v>
      </c>
      <c r="AC5" s="11" t="s">
        <v>2671</v>
      </c>
      <c r="AD5" s="96" t="s">
        <v>3138</v>
      </c>
      <c r="AE5" s="462"/>
      <c r="AF5" s="1"/>
      <c r="AG5" s="1"/>
    </row>
    <row r="6" spans="1:33" ht="45">
      <c r="A6" s="76" t="s">
        <v>776</v>
      </c>
      <c r="B6" s="338" t="s">
        <v>2675</v>
      </c>
      <c r="C6" s="339" t="s">
        <v>1011</v>
      </c>
      <c r="D6" s="339" t="s">
        <v>143</v>
      </c>
      <c r="E6" s="76">
        <v>14.792327999999999</v>
      </c>
      <c r="F6" s="340">
        <v>120.92997010000001</v>
      </c>
      <c r="G6" s="76" t="s">
        <v>2679</v>
      </c>
      <c r="H6" s="342">
        <v>44901</v>
      </c>
      <c r="I6" s="11" t="s">
        <v>3129</v>
      </c>
      <c r="J6" s="11" t="s">
        <v>2271</v>
      </c>
      <c r="K6" s="11" t="s">
        <v>1838</v>
      </c>
      <c r="L6" s="11" t="s">
        <v>201</v>
      </c>
      <c r="M6" s="323" t="s">
        <v>3139</v>
      </c>
      <c r="N6" s="324">
        <v>45978</v>
      </c>
      <c r="O6" s="324">
        <v>45978</v>
      </c>
      <c r="P6" s="324">
        <v>45978</v>
      </c>
      <c r="Q6" s="324">
        <v>45982</v>
      </c>
      <c r="R6" s="324">
        <v>45982</v>
      </c>
      <c r="S6" s="45">
        <f t="shared" si="0"/>
        <v>1</v>
      </c>
      <c r="T6" s="45">
        <f t="shared" si="1"/>
        <v>1</v>
      </c>
      <c r="U6" s="45">
        <f t="shared" si="2"/>
        <v>4</v>
      </c>
      <c r="V6" s="45">
        <f t="shared" si="3"/>
        <v>1</v>
      </c>
      <c r="W6" s="133" t="s">
        <v>150</v>
      </c>
      <c r="X6" s="11" t="s">
        <v>50</v>
      </c>
      <c r="Y6" s="133">
        <v>0</v>
      </c>
      <c r="Z6" s="11" t="s">
        <v>57</v>
      </c>
      <c r="AA6" s="11" t="s">
        <v>50</v>
      </c>
      <c r="AB6" s="11"/>
      <c r="AC6" s="11" t="s">
        <v>2671</v>
      </c>
      <c r="AD6" s="96" t="s">
        <v>3138</v>
      </c>
      <c r="AE6" s="462"/>
      <c r="AF6" s="1"/>
      <c r="AG6" s="1"/>
    </row>
    <row r="7" spans="1:33" ht="45">
      <c r="A7" s="76" t="s">
        <v>776</v>
      </c>
      <c r="B7" s="338" t="s">
        <v>2682</v>
      </c>
      <c r="C7" s="339" t="s">
        <v>1011</v>
      </c>
      <c r="D7" s="339" t="s">
        <v>143</v>
      </c>
      <c r="E7" s="76">
        <v>14.792327999999999</v>
      </c>
      <c r="F7" s="340">
        <v>120.929779</v>
      </c>
      <c r="G7" s="76" t="s">
        <v>2683</v>
      </c>
      <c r="H7" s="342">
        <v>44901</v>
      </c>
      <c r="I7" s="11" t="s">
        <v>3129</v>
      </c>
      <c r="J7" s="11" t="s">
        <v>2271</v>
      </c>
      <c r="K7" s="11" t="s">
        <v>1838</v>
      </c>
      <c r="L7" s="11" t="s">
        <v>201</v>
      </c>
      <c r="M7" s="323" t="s">
        <v>3140</v>
      </c>
      <c r="N7" s="324">
        <v>45978</v>
      </c>
      <c r="O7" s="324">
        <v>45978</v>
      </c>
      <c r="P7" s="324">
        <v>45978</v>
      </c>
      <c r="Q7" s="324">
        <v>45982</v>
      </c>
      <c r="R7" s="324">
        <v>45985</v>
      </c>
      <c r="S7" s="45">
        <f t="shared" si="0"/>
        <v>1</v>
      </c>
      <c r="T7" s="45">
        <f t="shared" si="1"/>
        <v>1</v>
      </c>
      <c r="U7" s="45">
        <f t="shared" si="2"/>
        <v>4</v>
      </c>
      <c r="V7" s="45">
        <f t="shared" si="3"/>
        <v>1</v>
      </c>
      <c r="W7" s="133" t="s">
        <v>150</v>
      </c>
      <c r="X7" s="11" t="s">
        <v>50</v>
      </c>
      <c r="Y7" s="133">
        <v>33</v>
      </c>
      <c r="Z7" s="11" t="s">
        <v>57</v>
      </c>
      <c r="AA7" s="11" t="s">
        <v>50</v>
      </c>
      <c r="AB7" s="11"/>
      <c r="AC7" s="11" t="s">
        <v>2671</v>
      </c>
      <c r="AD7" s="96" t="s">
        <v>3141</v>
      </c>
      <c r="AE7" s="462"/>
      <c r="AF7" s="1"/>
      <c r="AG7" s="1"/>
    </row>
    <row r="8" spans="1:33" ht="45">
      <c r="A8" s="76" t="s">
        <v>776</v>
      </c>
      <c r="B8" s="338" t="s">
        <v>2682</v>
      </c>
      <c r="C8" s="339" t="s">
        <v>1011</v>
      </c>
      <c r="D8" s="339" t="s">
        <v>143</v>
      </c>
      <c r="E8" s="76">
        <v>14.792327999999999</v>
      </c>
      <c r="F8" s="340">
        <v>120.929779</v>
      </c>
      <c r="G8" s="76" t="s">
        <v>2683</v>
      </c>
      <c r="H8" s="342">
        <v>44901</v>
      </c>
      <c r="I8" s="11" t="s">
        <v>3129</v>
      </c>
      <c r="J8" s="11" t="s">
        <v>2271</v>
      </c>
      <c r="K8" s="11" t="s">
        <v>1838</v>
      </c>
      <c r="L8" s="11" t="s">
        <v>201</v>
      </c>
      <c r="M8" s="323" t="s">
        <v>3142</v>
      </c>
      <c r="N8" s="324">
        <v>45978</v>
      </c>
      <c r="O8" s="324">
        <v>45978</v>
      </c>
      <c r="P8" s="324">
        <v>45978</v>
      </c>
      <c r="Q8" s="324">
        <v>45982</v>
      </c>
      <c r="R8" s="324">
        <v>45985</v>
      </c>
      <c r="S8" s="45">
        <f t="shared" si="0"/>
        <v>1</v>
      </c>
      <c r="T8" s="45">
        <f t="shared" si="1"/>
        <v>1</v>
      </c>
      <c r="U8" s="45">
        <f t="shared" si="2"/>
        <v>4</v>
      </c>
      <c r="V8" s="45">
        <f t="shared" si="3"/>
        <v>1</v>
      </c>
      <c r="W8" s="133" t="s">
        <v>150</v>
      </c>
      <c r="X8" s="11" t="s">
        <v>50</v>
      </c>
      <c r="Y8" s="133">
        <v>33</v>
      </c>
      <c r="Z8" s="11" t="s">
        <v>57</v>
      </c>
      <c r="AA8" s="11" t="s">
        <v>50</v>
      </c>
      <c r="AB8" s="11"/>
      <c r="AC8" s="11" t="s">
        <v>2671</v>
      </c>
      <c r="AD8" s="96" t="s">
        <v>3141</v>
      </c>
      <c r="AE8" s="462"/>
      <c r="AF8" s="1"/>
      <c r="AG8" s="1"/>
    </row>
    <row r="9" spans="1:33">
      <c r="A9" s="76" t="s">
        <v>776</v>
      </c>
      <c r="B9" s="338" t="s">
        <v>2687</v>
      </c>
      <c r="C9" s="339" t="s">
        <v>1011</v>
      </c>
      <c r="D9" s="339" t="s">
        <v>143</v>
      </c>
      <c r="E9" s="76">
        <v>14.787118599999999</v>
      </c>
      <c r="F9" s="340">
        <v>120.9293942</v>
      </c>
      <c r="G9" s="76" t="s">
        <v>2688</v>
      </c>
      <c r="H9" s="342">
        <v>44901</v>
      </c>
      <c r="I9" s="11" t="s">
        <v>3129</v>
      </c>
      <c r="J9" s="11" t="s">
        <v>2271</v>
      </c>
      <c r="K9" s="11" t="s">
        <v>1838</v>
      </c>
      <c r="L9" s="11" t="s">
        <v>201</v>
      </c>
      <c r="M9" s="323" t="s">
        <v>3143</v>
      </c>
      <c r="N9" s="324">
        <v>45978</v>
      </c>
      <c r="O9" s="324">
        <v>45978</v>
      </c>
      <c r="P9" s="324">
        <v>45978</v>
      </c>
      <c r="Q9" s="324">
        <v>45978</v>
      </c>
      <c r="R9" s="324">
        <v>45981</v>
      </c>
      <c r="S9" s="45">
        <f t="shared" si="0"/>
        <v>1</v>
      </c>
      <c r="T9" s="45">
        <f t="shared" si="1"/>
        <v>1</v>
      </c>
      <c r="U9" s="45">
        <f t="shared" si="2"/>
        <v>1</v>
      </c>
      <c r="V9" s="45">
        <f t="shared" si="3"/>
        <v>3</v>
      </c>
      <c r="W9" s="133" t="s">
        <v>150</v>
      </c>
      <c r="X9" s="11" t="s">
        <v>57</v>
      </c>
      <c r="Y9" s="133"/>
      <c r="Z9" s="11" t="s">
        <v>57</v>
      </c>
      <c r="AA9" s="11" t="s">
        <v>57</v>
      </c>
      <c r="AB9" s="11"/>
      <c r="AC9" s="11" t="s">
        <v>2671</v>
      </c>
      <c r="AD9" s="133" t="s">
        <v>3138</v>
      </c>
      <c r="AE9" s="462"/>
      <c r="AF9" s="1"/>
      <c r="AG9" s="1"/>
    </row>
    <row r="10" spans="1:33">
      <c r="A10" s="76" t="s">
        <v>776</v>
      </c>
      <c r="B10" s="338" t="s">
        <v>2691</v>
      </c>
      <c r="C10" s="339" t="s">
        <v>1023</v>
      </c>
      <c r="D10" s="339" t="s">
        <v>143</v>
      </c>
      <c r="E10" s="76">
        <v>14.9392</v>
      </c>
      <c r="F10" s="340">
        <v>120.9273</v>
      </c>
      <c r="G10" s="76" t="s">
        <v>2868</v>
      </c>
      <c r="H10" s="342">
        <v>44901</v>
      </c>
      <c r="I10" s="11" t="s">
        <v>3126</v>
      </c>
      <c r="J10" s="11" t="s">
        <v>22</v>
      </c>
      <c r="K10" s="11"/>
      <c r="L10" s="11" t="s">
        <v>201</v>
      </c>
      <c r="M10" s="323" t="s">
        <v>3144</v>
      </c>
      <c r="N10" s="324">
        <v>45856</v>
      </c>
      <c r="O10" s="324">
        <v>45859</v>
      </c>
      <c r="P10" s="324"/>
      <c r="Q10" s="324">
        <v>45867</v>
      </c>
      <c r="R10" s="324">
        <v>45869</v>
      </c>
      <c r="S10" s="45">
        <f t="shared" si="0"/>
        <v>1</v>
      </c>
      <c r="T10" s="45" t="str">
        <f t="shared" si="1"/>
        <v/>
      </c>
      <c r="U10" s="45">
        <f t="shared" si="2"/>
        <v>6</v>
      </c>
      <c r="V10" s="45">
        <f t="shared" si="3"/>
        <v>2</v>
      </c>
      <c r="W10" s="133" t="s">
        <v>150</v>
      </c>
      <c r="X10" s="11" t="s">
        <v>50</v>
      </c>
      <c r="Y10" s="133">
        <v>20</v>
      </c>
      <c r="Z10" s="11" t="s">
        <v>57</v>
      </c>
      <c r="AA10" s="11" t="s">
        <v>57</v>
      </c>
      <c r="AB10" s="11" t="s">
        <v>1239</v>
      </c>
      <c r="AC10" s="11" t="s">
        <v>3145</v>
      </c>
      <c r="AD10" s="96"/>
      <c r="AE10" s="649"/>
      <c r="AF10" s="1"/>
      <c r="AG10" s="1"/>
    </row>
    <row r="11" spans="1:33">
      <c r="A11" s="76" t="s">
        <v>776</v>
      </c>
      <c r="B11" s="338" t="s">
        <v>2695</v>
      </c>
      <c r="C11" s="339" t="s">
        <v>1023</v>
      </c>
      <c r="D11" s="339" t="s">
        <v>143</v>
      </c>
      <c r="E11" s="76">
        <v>14.9322</v>
      </c>
      <c r="F11" s="340">
        <v>120.9075</v>
      </c>
      <c r="G11" s="76" t="str">
        <f>CONCATENATE(E11,",",F11)</f>
        <v>14.9322,120.9075</v>
      </c>
      <c r="H11" s="342">
        <v>44901</v>
      </c>
      <c r="I11" s="11" t="s">
        <v>3126</v>
      </c>
      <c r="J11" s="11" t="s">
        <v>22</v>
      </c>
      <c r="K11" s="11"/>
      <c r="L11" s="11" t="s">
        <v>201</v>
      </c>
      <c r="M11" s="323" t="s">
        <v>3146</v>
      </c>
      <c r="N11" s="324">
        <v>45856</v>
      </c>
      <c r="O11" s="324">
        <v>45859</v>
      </c>
      <c r="P11" s="324"/>
      <c r="Q11" s="324">
        <v>45867</v>
      </c>
      <c r="R11" s="324">
        <v>45869</v>
      </c>
      <c r="S11" s="45">
        <f t="shared" si="0"/>
        <v>1</v>
      </c>
      <c r="T11" s="45" t="str">
        <f t="shared" si="1"/>
        <v/>
      </c>
      <c r="U11" s="45">
        <f t="shared" si="2"/>
        <v>6</v>
      </c>
      <c r="V11" s="45">
        <f t="shared" si="3"/>
        <v>2</v>
      </c>
      <c r="W11" s="133" t="s">
        <v>150</v>
      </c>
      <c r="X11" s="11" t="s">
        <v>50</v>
      </c>
      <c r="Y11" s="133">
        <v>20</v>
      </c>
      <c r="Z11" s="11" t="s">
        <v>57</v>
      </c>
      <c r="AA11" s="11" t="s">
        <v>50</v>
      </c>
      <c r="AB11" s="11" t="s">
        <v>1239</v>
      </c>
      <c r="AC11" s="11" t="s">
        <v>3147</v>
      </c>
      <c r="AD11" s="96"/>
      <c r="AE11" s="649"/>
      <c r="AF11" s="1"/>
      <c r="AG11" s="1"/>
    </row>
    <row r="12" spans="1:33">
      <c r="A12" s="76" t="s">
        <v>776</v>
      </c>
      <c r="B12" s="338" t="s">
        <v>2699</v>
      </c>
      <c r="C12" s="339" t="s">
        <v>1023</v>
      </c>
      <c r="D12" s="339" t="s">
        <v>143</v>
      </c>
      <c r="E12" s="76">
        <v>14.955105379999999</v>
      </c>
      <c r="F12" s="340">
        <v>120.9455292</v>
      </c>
      <c r="G12" s="76" t="s">
        <v>2700</v>
      </c>
      <c r="H12" s="342">
        <v>44901</v>
      </c>
      <c r="I12" s="11" t="s">
        <v>3126</v>
      </c>
      <c r="J12" s="11" t="s">
        <v>22</v>
      </c>
      <c r="K12" s="11"/>
      <c r="L12" s="11" t="s">
        <v>201</v>
      </c>
      <c r="M12" s="323" t="s">
        <v>3148</v>
      </c>
      <c r="N12" s="324">
        <v>45856</v>
      </c>
      <c r="O12" s="324">
        <v>45859</v>
      </c>
      <c r="P12" s="324"/>
      <c r="Q12" s="324">
        <v>45867</v>
      </c>
      <c r="R12" s="324">
        <v>45869</v>
      </c>
      <c r="S12" s="45">
        <f t="shared" si="0"/>
        <v>1</v>
      </c>
      <c r="T12" s="45" t="str">
        <f t="shared" si="1"/>
        <v/>
      </c>
      <c r="U12" s="45">
        <f t="shared" si="2"/>
        <v>6</v>
      </c>
      <c r="V12" s="45">
        <f t="shared" si="3"/>
        <v>2</v>
      </c>
      <c r="W12" s="133" t="s">
        <v>150</v>
      </c>
      <c r="X12" s="11" t="s">
        <v>50</v>
      </c>
      <c r="Y12" s="133">
        <v>18</v>
      </c>
      <c r="Z12" s="11" t="s">
        <v>57</v>
      </c>
      <c r="AA12" s="11" t="s">
        <v>57</v>
      </c>
      <c r="AB12" s="11" t="s">
        <v>1239</v>
      </c>
      <c r="AC12" s="11" t="s">
        <v>2702</v>
      </c>
      <c r="AD12" s="96"/>
      <c r="AE12" s="649"/>
      <c r="AF12" s="1"/>
      <c r="AG12" s="1"/>
    </row>
    <row r="13" spans="1:33">
      <c r="A13" s="76" t="s">
        <v>776</v>
      </c>
      <c r="B13" s="338" t="s">
        <v>2703</v>
      </c>
      <c r="C13" s="339" t="s">
        <v>1028</v>
      </c>
      <c r="D13" s="339" t="s">
        <v>143</v>
      </c>
      <c r="E13" s="76">
        <v>14.920400539999999</v>
      </c>
      <c r="F13" s="340">
        <v>120.76576738</v>
      </c>
      <c r="G13" s="76" t="s">
        <v>2704</v>
      </c>
      <c r="H13" s="342">
        <v>44915</v>
      </c>
      <c r="I13" s="11" t="s">
        <v>3128</v>
      </c>
      <c r="J13" s="11" t="s">
        <v>22</v>
      </c>
      <c r="K13" s="11" t="s">
        <v>1838</v>
      </c>
      <c r="L13" s="11" t="s">
        <v>201</v>
      </c>
      <c r="M13" s="323" t="s">
        <v>3149</v>
      </c>
      <c r="N13" s="324">
        <v>45958</v>
      </c>
      <c r="O13" s="324">
        <v>45964</v>
      </c>
      <c r="P13" s="324">
        <v>45982</v>
      </c>
      <c r="Q13" s="324">
        <v>45982</v>
      </c>
      <c r="R13" s="324">
        <v>45982</v>
      </c>
      <c r="S13" s="45">
        <f t="shared" si="0"/>
        <v>4</v>
      </c>
      <c r="T13" s="45">
        <f t="shared" si="1"/>
        <v>14</v>
      </c>
      <c r="U13" s="45">
        <f t="shared" si="2"/>
        <v>14</v>
      </c>
      <c r="V13" s="45">
        <f t="shared" si="3"/>
        <v>1</v>
      </c>
      <c r="W13" s="133" t="s">
        <v>150</v>
      </c>
      <c r="X13" s="11" t="s">
        <v>57</v>
      </c>
      <c r="Y13" s="133" t="s">
        <v>622</v>
      </c>
      <c r="Z13" s="11" t="s">
        <v>57</v>
      </c>
      <c r="AA13" s="11" t="s">
        <v>57</v>
      </c>
      <c r="AB13" s="11">
        <v>500</v>
      </c>
      <c r="AC13" s="11" t="s">
        <v>3150</v>
      </c>
      <c r="AD13" s="96" t="s">
        <v>2264</v>
      </c>
      <c r="AE13" s="462"/>
      <c r="AF13" s="1"/>
      <c r="AG13" s="1"/>
    </row>
    <row r="14" spans="1:33">
      <c r="A14" s="76" t="s">
        <v>776</v>
      </c>
      <c r="B14" s="338" t="s">
        <v>2707</v>
      </c>
      <c r="C14" s="339" t="s">
        <v>1028</v>
      </c>
      <c r="D14" s="339" t="s">
        <v>143</v>
      </c>
      <c r="E14" s="76">
        <v>14.88334764</v>
      </c>
      <c r="F14" s="340">
        <v>120.73005412000001</v>
      </c>
      <c r="G14" s="76" t="s">
        <v>2708</v>
      </c>
      <c r="H14" s="342">
        <v>44915</v>
      </c>
      <c r="I14" s="11" t="s">
        <v>3128</v>
      </c>
      <c r="J14" s="11" t="s">
        <v>22</v>
      </c>
      <c r="K14" s="11" t="s">
        <v>1838</v>
      </c>
      <c r="L14" s="11" t="s">
        <v>201</v>
      </c>
      <c r="M14" s="323" t="s">
        <v>3151</v>
      </c>
      <c r="N14" s="324">
        <v>45958</v>
      </c>
      <c r="O14" s="324">
        <v>45964</v>
      </c>
      <c r="P14" s="324">
        <v>45982</v>
      </c>
      <c r="Q14" s="324">
        <v>45982</v>
      </c>
      <c r="R14" s="324">
        <v>45985</v>
      </c>
      <c r="S14" s="45">
        <f t="shared" si="0"/>
        <v>4</v>
      </c>
      <c r="T14" s="45">
        <f t="shared" si="1"/>
        <v>14</v>
      </c>
      <c r="U14" s="45">
        <f t="shared" si="2"/>
        <v>14</v>
      </c>
      <c r="V14" s="45">
        <f t="shared" si="3"/>
        <v>1</v>
      </c>
      <c r="W14" s="133" t="s">
        <v>150</v>
      </c>
      <c r="X14" s="11" t="s">
        <v>57</v>
      </c>
      <c r="Y14" s="133">
        <v>15</v>
      </c>
      <c r="Z14" s="11" t="s">
        <v>57</v>
      </c>
      <c r="AA14" s="11" t="s">
        <v>57</v>
      </c>
      <c r="AB14" s="11">
        <v>500</v>
      </c>
      <c r="AC14" s="11" t="s">
        <v>3150</v>
      </c>
      <c r="AD14" s="96" t="s">
        <v>2264</v>
      </c>
      <c r="AE14" s="462"/>
      <c r="AF14" s="1"/>
      <c r="AG14" s="1"/>
    </row>
    <row r="15" spans="1:33">
      <c r="A15" s="76" t="s">
        <v>776</v>
      </c>
      <c r="B15" s="338" t="s">
        <v>2707</v>
      </c>
      <c r="C15" s="339" t="s">
        <v>1028</v>
      </c>
      <c r="D15" s="339" t="s">
        <v>143</v>
      </c>
      <c r="E15" s="76">
        <v>14.88334764</v>
      </c>
      <c r="F15" s="340">
        <v>120.73005412000001</v>
      </c>
      <c r="G15" s="76" t="s">
        <v>2708</v>
      </c>
      <c r="H15" s="342">
        <v>44915</v>
      </c>
      <c r="I15" s="11" t="s">
        <v>3128</v>
      </c>
      <c r="J15" s="11" t="s">
        <v>22</v>
      </c>
      <c r="K15" s="11" t="s">
        <v>1838</v>
      </c>
      <c r="L15" s="11" t="s">
        <v>201</v>
      </c>
      <c r="M15" s="323" t="s">
        <v>3152</v>
      </c>
      <c r="N15" s="324">
        <v>45958</v>
      </c>
      <c r="O15" s="324">
        <v>45964</v>
      </c>
      <c r="P15" s="324">
        <v>45982</v>
      </c>
      <c r="Q15" s="324">
        <v>45982</v>
      </c>
      <c r="R15" s="324">
        <v>45982</v>
      </c>
      <c r="S15" s="45">
        <f t="shared" si="0"/>
        <v>4</v>
      </c>
      <c r="T15" s="45">
        <f t="shared" si="1"/>
        <v>14</v>
      </c>
      <c r="U15" s="45">
        <f t="shared" si="2"/>
        <v>14</v>
      </c>
      <c r="V15" s="45">
        <f t="shared" si="3"/>
        <v>1</v>
      </c>
      <c r="W15" s="133" t="s">
        <v>150</v>
      </c>
      <c r="X15" s="11" t="s">
        <v>57</v>
      </c>
      <c r="Y15" s="133">
        <v>46</v>
      </c>
      <c r="Z15" s="11" t="s">
        <v>50</v>
      </c>
      <c r="AA15" s="11" t="s">
        <v>50</v>
      </c>
      <c r="AB15" s="11"/>
      <c r="AC15" s="11" t="s">
        <v>3150</v>
      </c>
      <c r="AD15" s="81" t="s">
        <v>2264</v>
      </c>
      <c r="AE15" s="462"/>
      <c r="AF15" s="1"/>
      <c r="AG15" s="1"/>
    </row>
    <row r="16" spans="1:33" ht="15.75">
      <c r="A16" s="76" t="s">
        <v>776</v>
      </c>
      <c r="B16" s="338" t="s">
        <v>2711</v>
      </c>
      <c r="C16" s="339" t="s">
        <v>1028</v>
      </c>
      <c r="D16" s="339" t="s">
        <v>143</v>
      </c>
      <c r="E16" s="76">
        <v>14.904821999999999</v>
      </c>
      <c r="F16" s="340">
        <v>120.775499</v>
      </c>
      <c r="G16" s="76" t="s">
        <v>2712</v>
      </c>
      <c r="H16" s="342">
        <v>44915</v>
      </c>
      <c r="I16" s="11" t="s">
        <v>3128</v>
      </c>
      <c r="J16" s="11" t="s">
        <v>22</v>
      </c>
      <c r="K16" s="11" t="s">
        <v>1838</v>
      </c>
      <c r="L16" s="11" t="s">
        <v>201</v>
      </c>
      <c r="M16" s="323" t="s">
        <v>3153</v>
      </c>
      <c r="N16" s="324">
        <v>45958</v>
      </c>
      <c r="O16" s="324">
        <v>45964</v>
      </c>
      <c r="P16" s="324">
        <v>45982</v>
      </c>
      <c r="Q16" s="324">
        <v>45982</v>
      </c>
      <c r="R16" s="324">
        <v>45985</v>
      </c>
      <c r="S16" s="45">
        <f t="shared" si="0"/>
        <v>4</v>
      </c>
      <c r="T16" s="45">
        <f t="shared" si="1"/>
        <v>14</v>
      </c>
      <c r="U16" s="45">
        <f t="shared" si="2"/>
        <v>14</v>
      </c>
      <c r="V16" s="45">
        <f t="shared" si="3"/>
        <v>1</v>
      </c>
      <c r="W16" s="133" t="s">
        <v>150</v>
      </c>
      <c r="X16" s="11" t="s">
        <v>50</v>
      </c>
      <c r="Y16" s="133"/>
      <c r="Z16" s="11" t="s">
        <v>50</v>
      </c>
      <c r="AA16" s="11" t="s">
        <v>50</v>
      </c>
      <c r="AB16" s="11">
        <v>600</v>
      </c>
      <c r="AC16" s="11" t="s">
        <v>3150</v>
      </c>
      <c r="AD16" s="711" t="s">
        <v>2264</v>
      </c>
      <c r="AE16" s="462"/>
      <c r="AF16" s="1"/>
      <c r="AG16" s="1"/>
    </row>
    <row r="17" spans="1:33">
      <c r="A17" s="76" t="s">
        <v>776</v>
      </c>
      <c r="B17" s="338" t="s">
        <v>2711</v>
      </c>
      <c r="C17" s="339" t="s">
        <v>1028</v>
      </c>
      <c r="D17" s="339" t="s">
        <v>143</v>
      </c>
      <c r="E17" s="76">
        <v>14.904821999999999</v>
      </c>
      <c r="F17" s="340">
        <v>120.775499</v>
      </c>
      <c r="G17" s="76" t="s">
        <v>2712</v>
      </c>
      <c r="H17" s="342">
        <v>44915</v>
      </c>
      <c r="I17" s="11" t="s">
        <v>3128</v>
      </c>
      <c r="J17" s="11"/>
      <c r="K17" s="11" t="s">
        <v>1838</v>
      </c>
      <c r="L17" s="11" t="s">
        <v>201</v>
      </c>
      <c r="M17" s="323" t="s">
        <v>3154</v>
      </c>
      <c r="N17" s="324">
        <v>45958</v>
      </c>
      <c r="O17" s="324">
        <v>45964</v>
      </c>
      <c r="P17" s="324">
        <v>45982</v>
      </c>
      <c r="Q17" s="324">
        <v>45982</v>
      </c>
      <c r="R17" s="324">
        <v>45985</v>
      </c>
      <c r="S17" s="45">
        <f t="shared" si="0"/>
        <v>4</v>
      </c>
      <c r="T17" s="45">
        <f t="shared" si="1"/>
        <v>14</v>
      </c>
      <c r="U17" s="45">
        <f t="shared" si="2"/>
        <v>14</v>
      </c>
      <c r="V17" s="45">
        <f t="shared" si="3"/>
        <v>1</v>
      </c>
      <c r="W17" s="133" t="s">
        <v>150</v>
      </c>
      <c r="X17" s="11" t="s">
        <v>57</v>
      </c>
      <c r="Y17" s="133">
        <v>46</v>
      </c>
      <c r="Z17" s="11"/>
      <c r="AA17" s="11" t="s">
        <v>50</v>
      </c>
      <c r="AB17" s="11"/>
      <c r="AC17" s="11" t="s">
        <v>3150</v>
      </c>
      <c r="AD17" s="96" t="s">
        <v>2264</v>
      </c>
      <c r="AE17" s="462"/>
      <c r="AF17" s="1"/>
      <c r="AG17" s="1"/>
    </row>
    <row r="18" spans="1:33">
      <c r="A18" s="76" t="s">
        <v>776</v>
      </c>
      <c r="B18" s="338" t="s">
        <v>2715</v>
      </c>
      <c r="C18" s="339" t="s">
        <v>1055</v>
      </c>
      <c r="D18" s="339" t="s">
        <v>143</v>
      </c>
      <c r="E18" s="76">
        <v>14.839764000000001</v>
      </c>
      <c r="F18" s="340">
        <v>120.880842</v>
      </c>
      <c r="G18" s="76" t="s">
        <v>2716</v>
      </c>
      <c r="H18" s="342">
        <v>44915</v>
      </c>
      <c r="I18" s="11" t="s">
        <v>3127</v>
      </c>
      <c r="J18" s="11" t="s">
        <v>2271</v>
      </c>
      <c r="K18" s="11" t="s">
        <v>1838</v>
      </c>
      <c r="L18" s="11" t="s">
        <v>201</v>
      </c>
      <c r="M18" s="323" t="s">
        <v>3155</v>
      </c>
      <c r="N18" s="324">
        <v>45930</v>
      </c>
      <c r="O18" s="324">
        <v>45932</v>
      </c>
      <c r="P18" s="324">
        <v>45982</v>
      </c>
      <c r="Q18" s="324">
        <v>45982</v>
      </c>
      <c r="R18" s="324">
        <v>45985</v>
      </c>
      <c r="S18" s="45">
        <f t="shared" si="0"/>
        <v>2</v>
      </c>
      <c r="T18" s="45">
        <f t="shared" si="1"/>
        <v>36</v>
      </c>
      <c r="U18" s="45">
        <f t="shared" si="2"/>
        <v>36</v>
      </c>
      <c r="V18" s="45">
        <f t="shared" si="3"/>
        <v>1</v>
      </c>
      <c r="W18" s="133" t="s">
        <v>150</v>
      </c>
      <c r="X18" s="11" t="s">
        <v>57</v>
      </c>
      <c r="Y18" s="133"/>
      <c r="Z18" s="11" t="s">
        <v>57</v>
      </c>
      <c r="AA18" s="11" t="s">
        <v>57</v>
      </c>
      <c r="AB18" s="11"/>
      <c r="AC18" s="11"/>
      <c r="AD18" s="96"/>
      <c r="AE18" s="649"/>
      <c r="AF18" s="1"/>
      <c r="AG18" s="1"/>
    </row>
    <row r="19" spans="1:33" ht="45">
      <c r="A19" s="76" t="s">
        <v>776</v>
      </c>
      <c r="B19" s="338" t="s">
        <v>2715</v>
      </c>
      <c r="C19" s="339" t="s">
        <v>1055</v>
      </c>
      <c r="D19" s="339" t="s">
        <v>143</v>
      </c>
      <c r="E19" s="76">
        <v>14.839764000000001</v>
      </c>
      <c r="F19" s="340">
        <v>120.880842</v>
      </c>
      <c r="G19" s="76" t="s">
        <v>2716</v>
      </c>
      <c r="H19" s="342">
        <v>44915</v>
      </c>
      <c r="I19" s="11" t="s">
        <v>3127</v>
      </c>
      <c r="J19" s="11" t="s">
        <v>2271</v>
      </c>
      <c r="K19" s="11" t="s">
        <v>1838</v>
      </c>
      <c r="L19" s="11" t="s">
        <v>201</v>
      </c>
      <c r="M19" s="323" t="s">
        <v>3156</v>
      </c>
      <c r="N19" s="324">
        <v>45926</v>
      </c>
      <c r="O19" s="324">
        <v>45929</v>
      </c>
      <c r="P19" s="324">
        <v>45982</v>
      </c>
      <c r="Q19" s="324">
        <v>45982</v>
      </c>
      <c r="R19" s="324">
        <v>45985</v>
      </c>
      <c r="S19" s="45">
        <f t="shared" si="0"/>
        <v>1</v>
      </c>
      <c r="T19" s="45">
        <f t="shared" si="1"/>
        <v>39</v>
      </c>
      <c r="U19" s="45">
        <f t="shared" si="2"/>
        <v>39</v>
      </c>
      <c r="V19" s="45">
        <f t="shared" si="3"/>
        <v>1</v>
      </c>
      <c r="W19" s="133" t="s">
        <v>150</v>
      </c>
      <c r="X19" s="11" t="s">
        <v>50</v>
      </c>
      <c r="Y19" s="133">
        <v>16</v>
      </c>
      <c r="Z19" s="11" t="s">
        <v>57</v>
      </c>
      <c r="AA19" s="11" t="s">
        <v>57</v>
      </c>
      <c r="AB19" s="11">
        <v>25</v>
      </c>
      <c r="AC19" s="11" t="s">
        <v>2671</v>
      </c>
      <c r="AD19" s="96" t="s">
        <v>3157</v>
      </c>
      <c r="AE19" s="649"/>
      <c r="AF19" s="1"/>
      <c r="AG19" s="1"/>
    </row>
    <row r="20" spans="1:33" ht="45">
      <c r="A20" s="76" t="s">
        <v>776</v>
      </c>
      <c r="B20" s="338" t="s">
        <v>2719</v>
      </c>
      <c r="C20" s="339" t="s">
        <v>1055</v>
      </c>
      <c r="D20" s="339" t="s">
        <v>143</v>
      </c>
      <c r="E20" s="76">
        <v>14.828137</v>
      </c>
      <c r="F20" s="340">
        <v>120.876667</v>
      </c>
      <c r="G20" s="76" t="s">
        <v>2720</v>
      </c>
      <c r="H20" s="342">
        <v>44915</v>
      </c>
      <c r="I20" s="11" t="s">
        <v>3127</v>
      </c>
      <c r="J20" s="11" t="s">
        <v>2271</v>
      </c>
      <c r="K20" s="11" t="s">
        <v>1838</v>
      </c>
      <c r="L20" s="11" t="s">
        <v>201</v>
      </c>
      <c r="M20" s="323" t="s">
        <v>3158</v>
      </c>
      <c r="N20" s="324">
        <v>45924</v>
      </c>
      <c r="O20" s="324">
        <v>45927</v>
      </c>
      <c r="P20" s="324">
        <v>45982</v>
      </c>
      <c r="Q20" s="324">
        <v>45982</v>
      </c>
      <c r="R20" s="324">
        <v>45982</v>
      </c>
      <c r="S20" s="45">
        <f t="shared" si="0"/>
        <v>2</v>
      </c>
      <c r="T20" s="45">
        <f t="shared" si="1"/>
        <v>39</v>
      </c>
      <c r="U20" s="45">
        <f t="shared" si="2"/>
        <v>39</v>
      </c>
      <c r="V20" s="45">
        <f t="shared" si="3"/>
        <v>1</v>
      </c>
      <c r="W20" s="133" t="s">
        <v>150</v>
      </c>
      <c r="X20" s="11" t="s">
        <v>50</v>
      </c>
      <c r="Y20" s="133"/>
      <c r="Z20" s="11" t="s">
        <v>57</v>
      </c>
      <c r="AA20" s="11" t="s">
        <v>57</v>
      </c>
      <c r="AB20" s="11"/>
      <c r="AC20" s="11" t="s">
        <v>2877</v>
      </c>
      <c r="AD20" s="96" t="s">
        <v>3138</v>
      </c>
      <c r="AE20" s="649"/>
      <c r="AF20" s="1"/>
      <c r="AG20" s="1"/>
    </row>
    <row r="21" spans="1:33" ht="45">
      <c r="A21" s="76" t="s">
        <v>776</v>
      </c>
      <c r="B21" s="338" t="s">
        <v>2719</v>
      </c>
      <c r="C21" s="339" t="s">
        <v>1055</v>
      </c>
      <c r="D21" s="339" t="s">
        <v>143</v>
      </c>
      <c r="E21" s="76">
        <v>14.828137</v>
      </c>
      <c r="F21" s="340">
        <v>120.876667</v>
      </c>
      <c r="G21" s="76" t="s">
        <v>2720</v>
      </c>
      <c r="H21" s="342">
        <v>44915</v>
      </c>
      <c r="I21" s="11" t="s">
        <v>3127</v>
      </c>
      <c r="J21" s="11" t="s">
        <v>2271</v>
      </c>
      <c r="K21" s="11" t="s">
        <v>1838</v>
      </c>
      <c r="L21" s="11" t="s">
        <v>201</v>
      </c>
      <c r="M21" s="323" t="s">
        <v>3159</v>
      </c>
      <c r="N21" s="324">
        <v>45924</v>
      </c>
      <c r="O21" s="324">
        <v>45927</v>
      </c>
      <c r="P21" s="452">
        <v>45982</v>
      </c>
      <c r="Q21" s="324">
        <v>45982</v>
      </c>
      <c r="R21" s="324">
        <v>45985</v>
      </c>
      <c r="S21" s="45">
        <f t="shared" si="0"/>
        <v>2</v>
      </c>
      <c r="T21" s="45">
        <f t="shared" si="1"/>
        <v>39</v>
      </c>
      <c r="U21" s="45">
        <f t="shared" si="2"/>
        <v>39</v>
      </c>
      <c r="V21" s="45">
        <f t="shared" si="3"/>
        <v>1</v>
      </c>
      <c r="W21" s="133" t="s">
        <v>150</v>
      </c>
      <c r="X21" s="11" t="s">
        <v>57</v>
      </c>
      <c r="Y21" s="133" t="s">
        <v>622</v>
      </c>
      <c r="Z21" s="11" t="s">
        <v>57</v>
      </c>
      <c r="AA21" s="11" t="s">
        <v>57</v>
      </c>
      <c r="AB21" s="11"/>
      <c r="AC21" s="11" t="s">
        <v>2877</v>
      </c>
      <c r="AD21" s="96" t="s">
        <v>3138</v>
      </c>
      <c r="AE21" s="649"/>
      <c r="AF21" s="1"/>
      <c r="AG21" s="1"/>
    </row>
    <row r="22" spans="1:33" ht="75">
      <c r="A22" s="76" t="s">
        <v>776</v>
      </c>
      <c r="B22" s="338" t="s">
        <v>2724</v>
      </c>
      <c r="C22" s="339" t="s">
        <v>1055</v>
      </c>
      <c r="D22" s="339" t="s">
        <v>143</v>
      </c>
      <c r="E22" s="76">
        <v>14.8485</v>
      </c>
      <c r="F22" s="340">
        <v>120.85760000000001</v>
      </c>
      <c r="G22" s="76" t="str">
        <f>_xlfn.CONCAT(E22:F22)</f>
        <v>14.8485120.8576</v>
      </c>
      <c r="H22" s="342">
        <v>44915</v>
      </c>
      <c r="I22" s="11" t="s">
        <v>3127</v>
      </c>
      <c r="J22" s="11" t="s">
        <v>2271</v>
      </c>
      <c r="K22" s="11"/>
      <c r="L22" s="11" t="s">
        <v>201</v>
      </c>
      <c r="M22" s="323" t="s">
        <v>3160</v>
      </c>
      <c r="N22" s="324">
        <v>45895</v>
      </c>
      <c r="O22" s="324">
        <v>45901</v>
      </c>
      <c r="P22" s="324"/>
      <c r="Q22" s="324">
        <v>45904</v>
      </c>
      <c r="R22" s="324">
        <v>45908</v>
      </c>
      <c r="S22" s="45">
        <f t="shared" si="0"/>
        <v>4</v>
      </c>
      <c r="T22" s="45" t="str">
        <f t="shared" si="1"/>
        <v/>
      </c>
      <c r="U22" s="45">
        <f t="shared" si="2"/>
        <v>3</v>
      </c>
      <c r="V22" s="45">
        <f t="shared" si="3"/>
        <v>2</v>
      </c>
      <c r="W22" s="133" t="s">
        <v>150</v>
      </c>
      <c r="X22" s="11" t="s">
        <v>50</v>
      </c>
      <c r="Y22" s="133">
        <v>10</v>
      </c>
      <c r="Z22" s="11" t="s">
        <v>57</v>
      </c>
      <c r="AA22" s="11" t="s">
        <v>57</v>
      </c>
      <c r="AB22" s="11" t="s">
        <v>3161</v>
      </c>
      <c r="AC22" s="11" t="s">
        <v>2671</v>
      </c>
      <c r="AD22" s="96" t="s">
        <v>3162</v>
      </c>
      <c r="AE22" s="649"/>
      <c r="AF22" s="1"/>
      <c r="AG22" s="1"/>
    </row>
    <row r="23" spans="1:33">
      <c r="A23" s="76" t="s">
        <v>776</v>
      </c>
      <c r="B23" s="338" t="s">
        <v>2724</v>
      </c>
      <c r="C23" s="339" t="s">
        <v>1055</v>
      </c>
      <c r="D23" s="339" t="s">
        <v>143</v>
      </c>
      <c r="E23" s="76">
        <v>14.851296</v>
      </c>
      <c r="F23" s="340">
        <v>120.85972599999999</v>
      </c>
      <c r="G23" s="76" t="s">
        <v>2727</v>
      </c>
      <c r="H23" s="342">
        <v>44915</v>
      </c>
      <c r="I23" s="11" t="s">
        <v>3126</v>
      </c>
      <c r="J23" s="11" t="s">
        <v>2271</v>
      </c>
      <c r="K23" s="11" t="s">
        <v>1838</v>
      </c>
      <c r="L23" s="11" t="s">
        <v>201</v>
      </c>
      <c r="M23" s="323" t="s">
        <v>3160</v>
      </c>
      <c r="N23" s="324">
        <v>45895</v>
      </c>
      <c r="O23" s="324">
        <v>45901</v>
      </c>
      <c r="P23" s="324">
        <v>45904</v>
      </c>
      <c r="Q23" s="324">
        <v>45908</v>
      </c>
      <c r="R23" s="324">
        <v>45908</v>
      </c>
      <c r="S23" s="45">
        <f t="shared" ref="S23:S54" si="4">IF(
    OR(ISBLANK(N23), ISBLANK(O23)),
    "",
    MAX(1, IF(
        NETWORKDAYS(N23, O23) &lt;= 0,
        1,
        NETWORKDAYS(N23, O23) - IF(N23 = O23, 0, 1)
    ))
)</f>
        <v>4</v>
      </c>
      <c r="T23" s="45">
        <f>IF(
    OR(ISBLANK(O23), ISBLANK(Q23)),
    "",
    MAX(1, IF(
        NETWORKDAYS(O23, Q23) &lt;= 0,
        1,
        NETWORKDAYS(O23, Q23) - IF(O23 = Q23, 0, 1)
    ))
)</f>
        <v>5</v>
      </c>
      <c r="U23" s="45">
        <f t="shared" si="2"/>
        <v>5</v>
      </c>
      <c r="V23" s="45">
        <f t="shared" si="3"/>
        <v>1</v>
      </c>
      <c r="W23" s="133" t="s">
        <v>150</v>
      </c>
      <c r="X23" s="11" t="s">
        <v>50</v>
      </c>
      <c r="Y23" s="133">
        <v>10</v>
      </c>
      <c r="Z23" s="11" t="s">
        <v>57</v>
      </c>
      <c r="AA23" s="11" t="s">
        <v>57</v>
      </c>
      <c r="AB23" s="11" t="s">
        <v>3163</v>
      </c>
      <c r="AC23" s="11" t="s">
        <v>2671</v>
      </c>
      <c r="AD23" s="96"/>
      <c r="AE23" s="649"/>
      <c r="AF23" s="1"/>
      <c r="AG23" s="1"/>
    </row>
    <row r="24" spans="1:33" ht="45">
      <c r="A24" s="76" t="s">
        <v>776</v>
      </c>
      <c r="B24" s="338" t="s">
        <v>2729</v>
      </c>
      <c r="C24" s="339" t="s">
        <v>1055</v>
      </c>
      <c r="D24" s="339" t="s">
        <v>143</v>
      </c>
      <c r="E24" s="76">
        <v>14.8358337</v>
      </c>
      <c r="F24" s="340">
        <v>120.8629526</v>
      </c>
      <c r="G24" s="76" t="s">
        <v>2730</v>
      </c>
      <c r="H24" s="342">
        <v>44915</v>
      </c>
      <c r="I24" s="11" t="s">
        <v>3127</v>
      </c>
      <c r="J24" s="11" t="s">
        <v>2271</v>
      </c>
      <c r="K24" s="11" t="s">
        <v>1838</v>
      </c>
      <c r="L24" s="11" t="s">
        <v>201</v>
      </c>
      <c r="M24" s="323" t="s">
        <v>3155</v>
      </c>
      <c r="N24" s="324">
        <v>45930</v>
      </c>
      <c r="O24" s="324">
        <v>45932</v>
      </c>
      <c r="P24" s="324">
        <v>45982</v>
      </c>
      <c r="Q24" s="324">
        <v>45982</v>
      </c>
      <c r="R24" s="324">
        <v>46015</v>
      </c>
      <c r="S24" s="45">
        <f t="shared" si="4"/>
        <v>2</v>
      </c>
      <c r="T24" s="45">
        <f t="shared" ref="T24:T55" si="5">IF(
    OR(ISBLANK(O24), ISBLANK(P24)),
    "",
    MAX(1, IF(
        NETWORKDAYS(O24, P24) &lt;= 0,
        1,
        NETWORKDAYS(O24, P24) - IF(O24 = P24, 0, 1)
    ))
)</f>
        <v>36</v>
      </c>
      <c r="U24" s="45">
        <f t="shared" si="2"/>
        <v>36</v>
      </c>
      <c r="V24" s="45">
        <f t="shared" si="3"/>
        <v>23</v>
      </c>
      <c r="W24" s="133" t="s">
        <v>150</v>
      </c>
      <c r="X24" s="11" t="s">
        <v>57</v>
      </c>
      <c r="Y24" s="133">
        <v>6</v>
      </c>
      <c r="Z24" s="11" t="s">
        <v>57</v>
      </c>
      <c r="AA24" s="11" t="s">
        <v>57</v>
      </c>
      <c r="AB24" s="11">
        <v>10</v>
      </c>
      <c r="AC24" s="7"/>
      <c r="AD24" s="96" t="s">
        <v>3138</v>
      </c>
      <c r="AE24" s="649"/>
      <c r="AF24" s="1"/>
      <c r="AG24" s="1"/>
    </row>
    <row r="25" spans="1:33">
      <c r="A25" s="76" t="s">
        <v>776</v>
      </c>
      <c r="B25" s="338" t="s">
        <v>2732</v>
      </c>
      <c r="C25" s="339" t="s">
        <v>1063</v>
      </c>
      <c r="D25" s="339" t="s">
        <v>143</v>
      </c>
      <c r="E25" s="76">
        <v>14.867699999999999</v>
      </c>
      <c r="F25" s="340">
        <v>120.76690000000001</v>
      </c>
      <c r="G25" s="76" t="str">
        <f>CONCATENATE(E25,",",F25)</f>
        <v>14.8677,120.7669</v>
      </c>
      <c r="H25" s="342">
        <v>44915</v>
      </c>
      <c r="I25" s="11" t="s">
        <v>3126</v>
      </c>
      <c r="J25" s="11" t="s">
        <v>22</v>
      </c>
      <c r="K25" s="11"/>
      <c r="L25" s="11" t="s">
        <v>201</v>
      </c>
      <c r="M25" s="323" t="s">
        <v>3164</v>
      </c>
      <c r="N25" s="324">
        <v>45869</v>
      </c>
      <c r="O25" s="324">
        <v>45871</v>
      </c>
      <c r="P25" s="324"/>
      <c r="Q25" s="324">
        <v>45873</v>
      </c>
      <c r="R25" s="324">
        <v>45874</v>
      </c>
      <c r="S25" s="45">
        <f t="shared" si="4"/>
        <v>1</v>
      </c>
      <c r="T25" s="45" t="str">
        <f t="shared" si="5"/>
        <v/>
      </c>
      <c r="U25" s="45">
        <f t="shared" si="2"/>
        <v>1</v>
      </c>
      <c r="V25" s="45">
        <f t="shared" si="3"/>
        <v>1</v>
      </c>
      <c r="W25" s="133" t="s">
        <v>150</v>
      </c>
      <c r="X25" s="11" t="s">
        <v>50</v>
      </c>
      <c r="Y25" s="133">
        <v>43</v>
      </c>
      <c r="Z25" s="11" t="s">
        <v>57</v>
      </c>
      <c r="AA25" s="11" t="s">
        <v>57</v>
      </c>
      <c r="AB25" s="11">
        <v>2000</v>
      </c>
      <c r="AC25" s="7" t="s">
        <v>3165</v>
      </c>
      <c r="AD25" s="96" t="s">
        <v>3165</v>
      </c>
      <c r="AE25" s="649"/>
      <c r="AF25" s="1"/>
      <c r="AG25" s="1"/>
    </row>
    <row r="26" spans="1:33">
      <c r="A26" s="76" t="s">
        <v>776</v>
      </c>
      <c r="B26" s="338" t="s">
        <v>2732</v>
      </c>
      <c r="C26" s="339" t="s">
        <v>1063</v>
      </c>
      <c r="D26" s="339" t="s">
        <v>143</v>
      </c>
      <c r="E26" s="76">
        <v>14.867587</v>
      </c>
      <c r="F26" s="340">
        <v>120.767043</v>
      </c>
      <c r="G26" s="76" t="str">
        <f>CONCATENATE(E26,",",F26)</f>
        <v>14.867587,120.767043</v>
      </c>
      <c r="H26" s="342">
        <v>44915</v>
      </c>
      <c r="I26" s="11" t="s">
        <v>3126</v>
      </c>
      <c r="J26" s="11" t="s">
        <v>22</v>
      </c>
      <c r="K26" s="11"/>
      <c r="L26" s="11" t="s">
        <v>201</v>
      </c>
      <c r="M26" s="323" t="s">
        <v>3166</v>
      </c>
      <c r="N26" s="324">
        <v>45869</v>
      </c>
      <c r="O26" s="324">
        <v>45871</v>
      </c>
      <c r="P26" s="324"/>
      <c r="Q26" s="324">
        <v>45873</v>
      </c>
      <c r="R26" s="324">
        <v>45874</v>
      </c>
      <c r="S26" s="45">
        <f t="shared" si="4"/>
        <v>1</v>
      </c>
      <c r="T26" s="45" t="str">
        <f t="shared" si="5"/>
        <v/>
      </c>
      <c r="U26" s="45">
        <f t="shared" si="2"/>
        <v>1</v>
      </c>
      <c r="V26" s="45">
        <f t="shared" si="3"/>
        <v>1</v>
      </c>
      <c r="W26" s="133" t="s">
        <v>150</v>
      </c>
      <c r="X26" s="11" t="s">
        <v>50</v>
      </c>
      <c r="Y26" s="133">
        <v>43</v>
      </c>
      <c r="Z26" s="11" t="s">
        <v>57</v>
      </c>
      <c r="AA26" s="11" t="s">
        <v>57</v>
      </c>
      <c r="AB26" s="11">
        <v>2000</v>
      </c>
      <c r="AC26" s="7" t="s">
        <v>3165</v>
      </c>
      <c r="AD26" s="7" t="s">
        <v>3165</v>
      </c>
      <c r="AE26" s="649"/>
      <c r="AF26" s="1"/>
      <c r="AG26" s="1"/>
    </row>
    <row r="27" spans="1:33" ht="30">
      <c r="A27" s="76" t="s">
        <v>776</v>
      </c>
      <c r="B27" s="338" t="s">
        <v>2737</v>
      </c>
      <c r="C27" s="339" t="s">
        <v>1063</v>
      </c>
      <c r="D27" s="339" t="s">
        <v>143</v>
      </c>
      <c r="E27" s="76">
        <v>14.8232</v>
      </c>
      <c r="F27" s="340">
        <v>120.7257</v>
      </c>
      <c r="G27" s="76" t="s">
        <v>2738</v>
      </c>
      <c r="H27" s="342">
        <v>44915</v>
      </c>
      <c r="I27" s="11" t="s">
        <v>3125</v>
      </c>
      <c r="J27" s="11" t="s">
        <v>22</v>
      </c>
      <c r="K27" s="11"/>
      <c r="L27" s="11" t="s">
        <v>201</v>
      </c>
      <c r="M27" s="323" t="s">
        <v>3167</v>
      </c>
      <c r="N27" s="324">
        <v>45854</v>
      </c>
      <c r="O27" s="324">
        <v>45866</v>
      </c>
      <c r="P27" s="324"/>
      <c r="Q27" s="324">
        <v>45869</v>
      </c>
      <c r="R27" s="324">
        <v>45869</v>
      </c>
      <c r="S27" s="45">
        <f t="shared" si="4"/>
        <v>8</v>
      </c>
      <c r="T27" s="45" t="str">
        <f t="shared" si="5"/>
        <v/>
      </c>
      <c r="U27" s="45">
        <f t="shared" si="2"/>
        <v>3</v>
      </c>
      <c r="V27" s="45">
        <f t="shared" si="3"/>
        <v>1</v>
      </c>
      <c r="W27" s="133" t="s">
        <v>150</v>
      </c>
      <c r="X27" s="11" t="s">
        <v>50</v>
      </c>
      <c r="Y27" s="133">
        <v>12</v>
      </c>
      <c r="Z27" s="11" t="s">
        <v>57</v>
      </c>
      <c r="AA27" s="11" t="s">
        <v>57</v>
      </c>
      <c r="AB27" s="11">
        <v>150</v>
      </c>
      <c r="AC27" s="7" t="s">
        <v>3168</v>
      </c>
      <c r="AD27" s="7"/>
      <c r="AE27" s="649"/>
      <c r="AF27" s="1"/>
      <c r="AG27" s="1"/>
    </row>
    <row r="28" spans="1:33">
      <c r="A28" s="76" t="s">
        <v>776</v>
      </c>
      <c r="B28" s="338" t="s">
        <v>2741</v>
      </c>
      <c r="C28" s="339" t="s">
        <v>1067</v>
      </c>
      <c r="D28" s="339" t="s">
        <v>143</v>
      </c>
      <c r="E28" s="76">
        <v>14.846394</v>
      </c>
      <c r="F28" s="340">
        <v>120.798666</v>
      </c>
      <c r="G28" s="76" t="s">
        <v>2742</v>
      </c>
      <c r="H28" s="342">
        <v>44901</v>
      </c>
      <c r="I28" s="11" t="s">
        <v>3127</v>
      </c>
      <c r="J28" s="11" t="s">
        <v>22</v>
      </c>
      <c r="K28" s="11" t="s">
        <v>147</v>
      </c>
      <c r="L28" s="11" t="s">
        <v>201</v>
      </c>
      <c r="M28" s="323" t="s">
        <v>3169</v>
      </c>
      <c r="N28" s="324">
        <v>45925</v>
      </c>
      <c r="O28" s="324">
        <v>45929</v>
      </c>
      <c r="P28" s="324">
        <v>45954</v>
      </c>
      <c r="Q28" s="324">
        <v>45979</v>
      </c>
      <c r="R28" s="324">
        <v>45981</v>
      </c>
      <c r="S28" s="45">
        <f t="shared" si="4"/>
        <v>2</v>
      </c>
      <c r="T28" s="45">
        <f t="shared" si="5"/>
        <v>19</v>
      </c>
      <c r="U28" s="45">
        <f t="shared" si="2"/>
        <v>36</v>
      </c>
      <c r="V28" s="45">
        <f t="shared" si="3"/>
        <v>2</v>
      </c>
      <c r="W28" s="133" t="s">
        <v>150</v>
      </c>
      <c r="X28" s="11" t="s">
        <v>50</v>
      </c>
      <c r="Y28" s="133">
        <v>19</v>
      </c>
      <c r="Z28" s="11" t="s">
        <v>50</v>
      </c>
      <c r="AA28" s="11" t="s">
        <v>50</v>
      </c>
      <c r="AB28" s="11">
        <v>500</v>
      </c>
      <c r="AC28" s="7" t="s">
        <v>3170</v>
      </c>
      <c r="AD28" s="96"/>
      <c r="AE28" s="649"/>
      <c r="AF28" s="1"/>
      <c r="AG28" s="1"/>
    </row>
    <row r="29" spans="1:33" ht="30">
      <c r="A29" s="76" t="s">
        <v>776</v>
      </c>
      <c r="B29" s="338" t="s">
        <v>2744</v>
      </c>
      <c r="C29" s="339" t="s">
        <v>1067</v>
      </c>
      <c r="D29" s="339" t="s">
        <v>143</v>
      </c>
      <c r="E29" s="76">
        <v>14.84277166</v>
      </c>
      <c r="F29" s="340">
        <v>120.80556833</v>
      </c>
      <c r="G29" s="76" t="s">
        <v>2745</v>
      </c>
      <c r="H29" s="342">
        <v>44901</v>
      </c>
      <c r="I29" s="11" t="s">
        <v>3127</v>
      </c>
      <c r="J29" s="11" t="s">
        <v>22</v>
      </c>
      <c r="K29" s="11" t="s">
        <v>147</v>
      </c>
      <c r="L29" s="11" t="s">
        <v>201</v>
      </c>
      <c r="M29" s="712" t="s">
        <v>3171</v>
      </c>
      <c r="N29" s="324">
        <v>45925</v>
      </c>
      <c r="O29" s="324">
        <v>45929</v>
      </c>
      <c r="P29" s="324">
        <v>45954</v>
      </c>
      <c r="Q29" s="324">
        <v>45954</v>
      </c>
      <c r="R29" s="324">
        <v>45981</v>
      </c>
      <c r="S29" s="45">
        <f t="shared" si="4"/>
        <v>2</v>
      </c>
      <c r="T29" s="45">
        <f t="shared" si="5"/>
        <v>19</v>
      </c>
      <c r="U29" s="45">
        <f t="shared" si="2"/>
        <v>19</v>
      </c>
      <c r="V29" s="45">
        <f t="shared" si="3"/>
        <v>19</v>
      </c>
      <c r="W29" s="133" t="s">
        <v>150</v>
      </c>
      <c r="X29" s="11" t="s">
        <v>50</v>
      </c>
      <c r="Y29" s="133">
        <v>11</v>
      </c>
      <c r="Z29" s="11" t="s">
        <v>50</v>
      </c>
      <c r="AA29" s="11" t="s">
        <v>50</v>
      </c>
      <c r="AB29" s="11">
        <v>500</v>
      </c>
      <c r="AC29" s="7" t="s">
        <v>3170</v>
      </c>
      <c r="AD29" s="96" t="s">
        <v>2264</v>
      </c>
      <c r="AE29" s="649"/>
      <c r="AF29" s="1"/>
      <c r="AG29" s="1"/>
    </row>
    <row r="30" spans="1:33">
      <c r="A30" s="76" t="s">
        <v>776</v>
      </c>
      <c r="B30" s="338" t="s">
        <v>2751</v>
      </c>
      <c r="C30" s="339" t="s">
        <v>1067</v>
      </c>
      <c r="D30" s="339" t="s">
        <v>143</v>
      </c>
      <c r="E30" s="76">
        <v>14.86311167</v>
      </c>
      <c r="F30" s="340">
        <v>120.89536833</v>
      </c>
      <c r="G30" s="76" t="s">
        <v>2752</v>
      </c>
      <c r="H30" s="342">
        <v>44901</v>
      </c>
      <c r="I30" s="11" t="s">
        <v>3127</v>
      </c>
      <c r="J30" s="11" t="s">
        <v>22</v>
      </c>
      <c r="K30" s="11" t="s">
        <v>147</v>
      </c>
      <c r="L30" s="11" t="s">
        <v>201</v>
      </c>
      <c r="M30" s="323" t="s">
        <v>3169</v>
      </c>
      <c r="N30" s="324">
        <v>45925</v>
      </c>
      <c r="O30" s="324">
        <v>45929</v>
      </c>
      <c r="P30" s="324">
        <v>45954</v>
      </c>
      <c r="Q30" s="324">
        <v>45954</v>
      </c>
      <c r="R30" s="324">
        <v>45981</v>
      </c>
      <c r="S30" s="45">
        <f t="shared" si="4"/>
        <v>2</v>
      </c>
      <c r="T30" s="45">
        <f t="shared" si="5"/>
        <v>19</v>
      </c>
      <c r="U30" s="45">
        <f t="shared" si="2"/>
        <v>19</v>
      </c>
      <c r="V30" s="45">
        <f t="shared" si="3"/>
        <v>19</v>
      </c>
      <c r="W30" s="133" t="s">
        <v>150</v>
      </c>
      <c r="X30" s="11" t="s">
        <v>50</v>
      </c>
      <c r="Y30" s="133">
        <v>18</v>
      </c>
      <c r="Z30" s="11" t="s">
        <v>57</v>
      </c>
      <c r="AA30" s="11" t="s">
        <v>57</v>
      </c>
      <c r="AB30" s="11">
        <v>50</v>
      </c>
      <c r="AC30" s="7" t="s">
        <v>3172</v>
      </c>
      <c r="AD30" s="96" t="s">
        <v>2264</v>
      </c>
      <c r="AE30" s="649"/>
      <c r="AF30" s="1"/>
      <c r="AG30" s="1"/>
    </row>
    <row r="31" spans="1:33">
      <c r="A31" s="76" t="s">
        <v>776</v>
      </c>
      <c r="B31" s="338" t="s">
        <v>3173</v>
      </c>
      <c r="C31" s="339" t="s">
        <v>1067</v>
      </c>
      <c r="D31" s="339" t="s">
        <v>143</v>
      </c>
      <c r="E31" s="76">
        <v>14.84277166</v>
      </c>
      <c r="F31" s="340">
        <v>120.80556833</v>
      </c>
      <c r="G31" s="76" t="s">
        <v>2745</v>
      </c>
      <c r="H31" s="342">
        <v>44901</v>
      </c>
      <c r="I31" s="11" t="s">
        <v>3127</v>
      </c>
      <c r="J31" s="11" t="s">
        <v>22</v>
      </c>
      <c r="K31" s="11" t="s">
        <v>1838</v>
      </c>
      <c r="L31" s="11" t="s">
        <v>201</v>
      </c>
      <c r="M31" s="323" t="s">
        <v>3174</v>
      </c>
      <c r="N31" s="324">
        <v>45925</v>
      </c>
      <c r="O31" s="324">
        <v>45929</v>
      </c>
      <c r="P31" s="324">
        <v>45982</v>
      </c>
      <c r="Q31" s="324">
        <v>45982</v>
      </c>
      <c r="R31" s="324">
        <v>45985</v>
      </c>
      <c r="S31" s="45">
        <f t="shared" si="4"/>
        <v>2</v>
      </c>
      <c r="T31" s="45">
        <f t="shared" si="5"/>
        <v>39</v>
      </c>
      <c r="U31" s="45">
        <f t="shared" si="2"/>
        <v>39</v>
      </c>
      <c r="V31" s="45">
        <f t="shared" si="3"/>
        <v>1</v>
      </c>
      <c r="W31" s="133" t="s">
        <v>150</v>
      </c>
      <c r="X31" s="11" t="s">
        <v>50</v>
      </c>
      <c r="Y31" s="133">
        <v>9</v>
      </c>
      <c r="Z31" s="11" t="s">
        <v>57</v>
      </c>
      <c r="AA31" s="11" t="s">
        <v>57</v>
      </c>
      <c r="AB31" s="11">
        <v>100</v>
      </c>
      <c r="AC31" s="7" t="s">
        <v>2671</v>
      </c>
      <c r="AD31" s="96" t="s">
        <v>2264</v>
      </c>
      <c r="AE31" s="649"/>
      <c r="AF31" s="1"/>
      <c r="AG31" s="1"/>
    </row>
    <row r="32" spans="1:33">
      <c r="A32" s="76" t="s">
        <v>776</v>
      </c>
      <c r="B32" s="338" t="s">
        <v>2755</v>
      </c>
      <c r="C32" s="339" t="s">
        <v>1067</v>
      </c>
      <c r="D32" s="339" t="s">
        <v>143</v>
      </c>
      <c r="E32" s="76">
        <v>14.85140833</v>
      </c>
      <c r="F32" s="340">
        <v>120.81575166</v>
      </c>
      <c r="G32" s="76" t="s">
        <v>2756</v>
      </c>
      <c r="H32" s="342">
        <v>44901</v>
      </c>
      <c r="I32" s="11" t="s">
        <v>3127</v>
      </c>
      <c r="J32" s="11"/>
      <c r="K32" s="11" t="s">
        <v>1838</v>
      </c>
      <c r="L32" s="11" t="s">
        <v>201</v>
      </c>
      <c r="M32" s="323" t="s">
        <v>3175</v>
      </c>
      <c r="N32" s="324">
        <v>45925</v>
      </c>
      <c r="O32" s="324">
        <v>45929</v>
      </c>
      <c r="P32" s="324">
        <v>45979</v>
      </c>
      <c r="Q32" s="324">
        <v>45979</v>
      </c>
      <c r="R32" s="324">
        <v>45981</v>
      </c>
      <c r="S32" s="45">
        <f t="shared" si="4"/>
        <v>2</v>
      </c>
      <c r="T32" s="45">
        <f t="shared" si="5"/>
        <v>36</v>
      </c>
      <c r="U32" s="45">
        <f t="shared" si="2"/>
        <v>36</v>
      </c>
      <c r="V32" s="45">
        <f t="shared" si="3"/>
        <v>2</v>
      </c>
      <c r="W32" s="133" t="s">
        <v>150</v>
      </c>
      <c r="X32" s="11" t="s">
        <v>57</v>
      </c>
      <c r="Y32" s="133"/>
      <c r="Z32" s="11" t="s">
        <v>57</v>
      </c>
      <c r="AA32" s="11" t="s">
        <v>57</v>
      </c>
      <c r="AB32" s="11"/>
      <c r="AC32" s="7"/>
      <c r="AD32" s="96" t="s">
        <v>2264</v>
      </c>
      <c r="AE32" s="649"/>
      <c r="AF32" s="1"/>
      <c r="AG32" s="1"/>
    </row>
    <row r="33" spans="1:33">
      <c r="A33" s="76" t="s">
        <v>776</v>
      </c>
      <c r="B33" s="338" t="s">
        <v>2758</v>
      </c>
      <c r="C33" s="339" t="s">
        <v>1067</v>
      </c>
      <c r="D33" s="339" t="s">
        <v>143</v>
      </c>
      <c r="E33" s="76">
        <v>14.84464</v>
      </c>
      <c r="F33" s="340">
        <v>120.8154866</v>
      </c>
      <c r="G33" s="76" t="s">
        <v>2759</v>
      </c>
      <c r="H33" s="342">
        <v>44901</v>
      </c>
      <c r="I33" s="11" t="s">
        <v>3127</v>
      </c>
      <c r="J33" s="11" t="s">
        <v>22</v>
      </c>
      <c r="K33" s="11" t="s">
        <v>147</v>
      </c>
      <c r="L33" s="11" t="s">
        <v>201</v>
      </c>
      <c r="M33" s="323" t="s">
        <v>3176</v>
      </c>
      <c r="N33" s="324">
        <v>45925</v>
      </c>
      <c r="O33" s="324">
        <v>45929</v>
      </c>
      <c r="P33" s="324">
        <v>45954</v>
      </c>
      <c r="Q33" s="324">
        <v>45979</v>
      </c>
      <c r="R33" s="324">
        <v>45981</v>
      </c>
      <c r="S33" s="45">
        <f t="shared" si="4"/>
        <v>2</v>
      </c>
      <c r="T33" s="45">
        <f t="shared" si="5"/>
        <v>19</v>
      </c>
      <c r="U33" s="45">
        <f t="shared" si="2"/>
        <v>36</v>
      </c>
      <c r="V33" s="45">
        <f t="shared" si="3"/>
        <v>2</v>
      </c>
      <c r="W33" s="133" t="s">
        <v>150</v>
      </c>
      <c r="X33" s="11" t="s">
        <v>57</v>
      </c>
      <c r="Y33" s="133">
        <v>11</v>
      </c>
      <c r="Z33" s="11" t="s">
        <v>57</v>
      </c>
      <c r="AA33" s="11" t="s">
        <v>57</v>
      </c>
      <c r="AB33" s="11"/>
      <c r="AC33" s="7"/>
      <c r="AD33" s="96"/>
      <c r="AE33" s="649"/>
      <c r="AF33" s="1"/>
      <c r="AG33" s="1"/>
    </row>
    <row r="34" spans="1:33">
      <c r="A34" s="76" t="s">
        <v>776</v>
      </c>
      <c r="B34" s="338" t="s">
        <v>2310</v>
      </c>
      <c r="C34" s="339" t="s">
        <v>1067</v>
      </c>
      <c r="D34" s="339" t="s">
        <v>143</v>
      </c>
      <c r="E34" s="76">
        <v>14.842983329999999</v>
      </c>
      <c r="F34" s="340">
        <v>120.80909665999999</v>
      </c>
      <c r="G34" s="76" t="s">
        <v>2762</v>
      </c>
      <c r="H34" s="342">
        <v>44901</v>
      </c>
      <c r="I34" s="11" t="s">
        <v>3127</v>
      </c>
      <c r="J34" s="11" t="s">
        <v>22</v>
      </c>
      <c r="K34" s="11" t="s">
        <v>147</v>
      </c>
      <c r="L34" s="11" t="s">
        <v>201</v>
      </c>
      <c r="M34" s="323" t="s">
        <v>3177</v>
      </c>
      <c r="N34" s="324">
        <v>45925</v>
      </c>
      <c r="O34" s="324">
        <v>45929</v>
      </c>
      <c r="P34" s="324">
        <v>45954</v>
      </c>
      <c r="Q34" s="324">
        <v>45954</v>
      </c>
      <c r="R34" s="324">
        <v>45981</v>
      </c>
      <c r="S34" s="45">
        <f t="shared" si="4"/>
        <v>2</v>
      </c>
      <c r="T34" s="45">
        <f t="shared" si="5"/>
        <v>19</v>
      </c>
      <c r="U34" s="45">
        <f t="shared" ref="U34:U65" si="6">IF(
  OR(A34 = "Nueva_Ecija", A34 = "Zambales"),
  IF(
    OR(ISBLANK(P34), ISBLANK(Q34)),
    "",
    MAX(1, IF(
      NETWORKDAYS(P34, Q34) &lt;= 0,
      1,
      NETWORKDAYS(P34, Q34) - IF(P34 = Q34, 0, 1)
    ))
  ),
  IF(
    OR(ISBLANK(O34), ISBLANK(Q34)),
    "",
    MAX(1, IF(
      NETWORKDAYS(O34, Q34) &lt;= 0,
      1,
      NETWORKDAYS(O34, Q34) - IF(O34 = Q34, 0, 1)
    ))
  )
)</f>
        <v>19</v>
      </c>
      <c r="V34" s="45">
        <f t="shared" ref="V34:V65" si="7">IF(
    OR(ISBLANK(Q34), ISBLANK(R34)),
    "",
    MAX(1, IF(
        NETWORKDAYS(Q34, R34) &lt;= 0,
        1,
        NETWORKDAYS(Q34, R34) - IF(Q34 = R34, 0, 1)
    ))
)</f>
        <v>19</v>
      </c>
      <c r="W34" s="133" t="s">
        <v>150</v>
      </c>
      <c r="X34" s="11" t="s">
        <v>50</v>
      </c>
      <c r="Y34" s="133">
        <v>12</v>
      </c>
      <c r="Z34" s="11" t="s">
        <v>57</v>
      </c>
      <c r="AA34" s="11" t="s">
        <v>57</v>
      </c>
      <c r="AB34" s="11">
        <v>100</v>
      </c>
      <c r="AC34" s="7" t="s">
        <v>3178</v>
      </c>
      <c r="AD34" s="96" t="s">
        <v>2264</v>
      </c>
      <c r="AE34" s="649"/>
      <c r="AF34" s="1"/>
      <c r="AG34" s="1"/>
    </row>
    <row r="35" spans="1:33" ht="45">
      <c r="A35" s="76" t="s">
        <v>776</v>
      </c>
      <c r="B35" s="338" t="s">
        <v>2766</v>
      </c>
      <c r="C35" s="339" t="s">
        <v>2767</v>
      </c>
      <c r="D35" s="339" t="s">
        <v>143</v>
      </c>
      <c r="E35" s="76">
        <v>14.771990000000001</v>
      </c>
      <c r="F35" s="340">
        <v>121.01845</v>
      </c>
      <c r="G35" s="76" t="s">
        <v>2768</v>
      </c>
      <c r="H35" s="342">
        <v>44914</v>
      </c>
      <c r="I35" s="11" t="s">
        <v>3129</v>
      </c>
      <c r="J35" s="11" t="s">
        <v>22</v>
      </c>
      <c r="K35" s="11" t="s">
        <v>1838</v>
      </c>
      <c r="L35" s="11" t="s">
        <v>201</v>
      </c>
      <c r="M35" s="323" t="s">
        <v>3179</v>
      </c>
      <c r="N35" s="324">
        <v>45966</v>
      </c>
      <c r="O35" s="324">
        <v>45971</v>
      </c>
      <c r="P35" s="324">
        <v>45982</v>
      </c>
      <c r="Q35" s="324">
        <v>45982</v>
      </c>
      <c r="R35" s="324">
        <v>45985</v>
      </c>
      <c r="S35" s="45">
        <f t="shared" si="4"/>
        <v>3</v>
      </c>
      <c r="T35" s="45">
        <f t="shared" si="5"/>
        <v>9</v>
      </c>
      <c r="U35" s="45">
        <f t="shared" si="6"/>
        <v>9</v>
      </c>
      <c r="V35" s="45">
        <f t="shared" si="7"/>
        <v>1</v>
      </c>
      <c r="W35" s="133" t="s">
        <v>150</v>
      </c>
      <c r="X35" s="11" t="s">
        <v>57</v>
      </c>
      <c r="Y35" s="133">
        <v>17</v>
      </c>
      <c r="Z35" s="11" t="s">
        <v>57</v>
      </c>
      <c r="AA35" s="11" t="s">
        <v>57</v>
      </c>
      <c r="AB35" s="11"/>
      <c r="AC35" s="11"/>
      <c r="AD35" s="96" t="s">
        <v>3180</v>
      </c>
      <c r="AE35" s="462"/>
      <c r="AF35" s="1"/>
      <c r="AG35" s="1"/>
    </row>
    <row r="36" spans="1:33">
      <c r="A36" s="76" t="s">
        <v>776</v>
      </c>
      <c r="B36" s="338" t="s">
        <v>2744</v>
      </c>
      <c r="C36" s="339" t="s">
        <v>2767</v>
      </c>
      <c r="D36" s="339" t="s">
        <v>143</v>
      </c>
      <c r="E36" s="76">
        <v>14.725720000000001</v>
      </c>
      <c r="F36" s="340">
        <v>120.96878</v>
      </c>
      <c r="G36" s="76" t="s">
        <v>2771</v>
      </c>
      <c r="H36" s="342">
        <v>44914</v>
      </c>
      <c r="I36" s="11" t="s">
        <v>3128</v>
      </c>
      <c r="J36" s="11" t="s">
        <v>24</v>
      </c>
      <c r="K36" s="11" t="s">
        <v>147</v>
      </c>
      <c r="L36" s="11" t="s">
        <v>201</v>
      </c>
      <c r="M36" s="323" t="s">
        <v>3181</v>
      </c>
      <c r="N36" s="324">
        <v>45959</v>
      </c>
      <c r="O36" s="324">
        <v>45963</v>
      </c>
      <c r="P36" s="324">
        <v>45993</v>
      </c>
      <c r="Q36" s="324">
        <v>46000</v>
      </c>
      <c r="R36" s="324">
        <v>46001</v>
      </c>
      <c r="S36" s="45">
        <f t="shared" si="4"/>
        <v>2</v>
      </c>
      <c r="T36" s="45">
        <f t="shared" si="5"/>
        <v>21</v>
      </c>
      <c r="U36" s="45">
        <f t="shared" si="6"/>
        <v>26</v>
      </c>
      <c r="V36" s="45">
        <f t="shared" si="7"/>
        <v>1</v>
      </c>
      <c r="W36" s="133" t="s">
        <v>150</v>
      </c>
      <c r="X36" s="11" t="s">
        <v>50</v>
      </c>
      <c r="Y36" s="133">
        <v>18</v>
      </c>
      <c r="Z36" s="11" t="s">
        <v>57</v>
      </c>
      <c r="AA36" s="11" t="s">
        <v>50</v>
      </c>
      <c r="AB36" s="11" t="s">
        <v>2773</v>
      </c>
      <c r="AC36" s="11"/>
      <c r="AD36" s="133"/>
      <c r="AE36" s="462"/>
      <c r="AF36" s="1"/>
      <c r="AG36" s="1"/>
    </row>
    <row r="37" spans="1:33" ht="45">
      <c r="A37" s="76" t="s">
        <v>776</v>
      </c>
      <c r="B37" s="338" t="s">
        <v>2744</v>
      </c>
      <c r="C37" s="339" t="s">
        <v>2767</v>
      </c>
      <c r="D37" s="339" t="s">
        <v>143</v>
      </c>
      <c r="E37" s="76">
        <v>14.725720000000001</v>
      </c>
      <c r="F37" s="340">
        <v>120.96878</v>
      </c>
      <c r="G37" s="76" t="s">
        <v>2771</v>
      </c>
      <c r="H37" s="342">
        <v>44914</v>
      </c>
      <c r="I37" s="11" t="s">
        <v>3128</v>
      </c>
      <c r="J37" s="11" t="s">
        <v>24</v>
      </c>
      <c r="K37" s="11" t="s">
        <v>1838</v>
      </c>
      <c r="L37" s="11" t="s">
        <v>201</v>
      </c>
      <c r="M37" s="323" t="s">
        <v>3182</v>
      </c>
      <c r="N37" s="324">
        <v>45959</v>
      </c>
      <c r="O37" s="324">
        <v>45963</v>
      </c>
      <c r="P37" s="324">
        <v>45982</v>
      </c>
      <c r="Q37" s="324">
        <v>45982</v>
      </c>
      <c r="R37" s="324">
        <v>45985</v>
      </c>
      <c r="S37" s="45">
        <f t="shared" si="4"/>
        <v>2</v>
      </c>
      <c r="T37" s="45">
        <f t="shared" si="5"/>
        <v>14</v>
      </c>
      <c r="U37" s="45">
        <f t="shared" si="6"/>
        <v>14</v>
      </c>
      <c r="V37" s="45">
        <f t="shared" si="7"/>
        <v>1</v>
      </c>
      <c r="W37" s="133" t="s">
        <v>150</v>
      </c>
      <c r="X37" s="11" t="s">
        <v>57</v>
      </c>
      <c r="Y37" s="133">
        <v>12</v>
      </c>
      <c r="Z37" s="11" t="s">
        <v>57</v>
      </c>
      <c r="AA37" s="11" t="s">
        <v>57</v>
      </c>
      <c r="AB37" s="11" t="s">
        <v>3183</v>
      </c>
      <c r="AC37" s="11" t="s">
        <v>3172</v>
      </c>
      <c r="AD37" s="96" t="s">
        <v>3138</v>
      </c>
      <c r="AE37" s="462"/>
      <c r="AF37" s="1"/>
      <c r="AG37" s="1"/>
    </row>
    <row r="38" spans="1:33">
      <c r="A38" s="76" t="s">
        <v>776</v>
      </c>
      <c r="B38" s="338" t="s">
        <v>2776</v>
      </c>
      <c r="C38" s="339" t="s">
        <v>2767</v>
      </c>
      <c r="D38" s="339" t="s">
        <v>143</v>
      </c>
      <c r="E38" s="76">
        <v>14.740622</v>
      </c>
      <c r="F38" s="340">
        <v>120.97884000000001</v>
      </c>
      <c r="G38" s="76" t="s">
        <v>2777</v>
      </c>
      <c r="H38" s="342">
        <v>44914</v>
      </c>
      <c r="I38" s="11" t="s">
        <v>3129</v>
      </c>
      <c r="J38" s="11" t="s">
        <v>22</v>
      </c>
      <c r="K38" s="11" t="s">
        <v>1838</v>
      </c>
      <c r="L38" s="11" t="s">
        <v>201</v>
      </c>
      <c r="M38" s="323" t="s">
        <v>3184</v>
      </c>
      <c r="N38" s="324">
        <v>45966</v>
      </c>
      <c r="O38" s="324">
        <v>45971</v>
      </c>
      <c r="P38" s="324">
        <v>45993</v>
      </c>
      <c r="Q38" s="324">
        <v>45993</v>
      </c>
      <c r="R38" s="324">
        <v>45993</v>
      </c>
      <c r="S38" s="45">
        <f t="shared" si="4"/>
        <v>3</v>
      </c>
      <c r="T38" s="45">
        <f t="shared" si="5"/>
        <v>16</v>
      </c>
      <c r="U38" s="45">
        <f t="shared" si="6"/>
        <v>16</v>
      </c>
      <c r="V38" s="45">
        <f t="shared" si="7"/>
        <v>1</v>
      </c>
      <c r="W38" s="133" t="s">
        <v>150</v>
      </c>
      <c r="X38" s="11" t="s">
        <v>57</v>
      </c>
      <c r="Y38" s="133">
        <v>19</v>
      </c>
      <c r="Z38" s="11" t="s">
        <v>57</v>
      </c>
      <c r="AA38" s="11" t="s">
        <v>57</v>
      </c>
      <c r="AB38" s="11"/>
      <c r="AC38" s="11"/>
      <c r="AD38" s="133" t="s">
        <v>3185</v>
      </c>
      <c r="AE38" s="462"/>
      <c r="AF38" s="1"/>
      <c r="AG38" s="1"/>
    </row>
    <row r="39" spans="1:33">
      <c r="A39" s="76" t="s">
        <v>776</v>
      </c>
      <c r="B39" s="338" t="s">
        <v>2780</v>
      </c>
      <c r="C39" s="339" t="s">
        <v>2767</v>
      </c>
      <c r="D39" s="339" t="s">
        <v>143</v>
      </c>
      <c r="E39" s="76">
        <v>14.727517000000001</v>
      </c>
      <c r="F39" s="340">
        <v>120.97875000000001</v>
      </c>
      <c r="G39" s="76" t="s">
        <v>2781</v>
      </c>
      <c r="H39" s="342">
        <v>44914</v>
      </c>
      <c r="I39" s="11" t="s">
        <v>3129</v>
      </c>
      <c r="J39" s="11"/>
      <c r="K39" s="11" t="s">
        <v>1838</v>
      </c>
      <c r="L39" s="11" t="s">
        <v>201</v>
      </c>
      <c r="M39" s="323" t="s">
        <v>3186</v>
      </c>
      <c r="N39" s="324">
        <v>45966</v>
      </c>
      <c r="O39" s="324">
        <v>45971</v>
      </c>
      <c r="P39" s="324">
        <v>45982</v>
      </c>
      <c r="Q39" s="324">
        <v>45982</v>
      </c>
      <c r="R39" s="324">
        <v>45985</v>
      </c>
      <c r="S39" s="45">
        <f t="shared" si="4"/>
        <v>3</v>
      </c>
      <c r="T39" s="45">
        <f t="shared" si="5"/>
        <v>9</v>
      </c>
      <c r="U39" s="45">
        <f t="shared" si="6"/>
        <v>9</v>
      </c>
      <c r="V39" s="45">
        <f t="shared" si="7"/>
        <v>1</v>
      </c>
      <c r="W39" s="133" t="s">
        <v>150</v>
      </c>
      <c r="X39" s="11" t="s">
        <v>50</v>
      </c>
      <c r="Y39" s="133">
        <v>12</v>
      </c>
      <c r="Z39" s="11" t="s">
        <v>57</v>
      </c>
      <c r="AA39" s="11" t="s">
        <v>57</v>
      </c>
      <c r="AB39" s="11" t="s">
        <v>3183</v>
      </c>
      <c r="AC39" s="11" t="s">
        <v>3172</v>
      </c>
      <c r="AD39" s="96" t="s">
        <v>2264</v>
      </c>
      <c r="AE39" s="462"/>
      <c r="AF39" s="1"/>
      <c r="AG39" s="1"/>
    </row>
    <row r="40" spans="1:33" ht="45">
      <c r="A40" s="76" t="s">
        <v>776</v>
      </c>
      <c r="B40" s="338" t="s">
        <v>2785</v>
      </c>
      <c r="C40" s="339" t="s">
        <v>2767</v>
      </c>
      <c r="D40" s="339" t="s">
        <v>143</v>
      </c>
      <c r="E40" s="76">
        <v>14.747501</v>
      </c>
      <c r="F40" s="340">
        <v>120.98659000000001</v>
      </c>
      <c r="G40" s="76" t="s">
        <v>2786</v>
      </c>
      <c r="H40" s="342">
        <v>44914</v>
      </c>
      <c r="I40" s="11" t="s">
        <v>3129</v>
      </c>
      <c r="J40" s="11" t="s">
        <v>22</v>
      </c>
      <c r="K40" s="11" t="s">
        <v>1838</v>
      </c>
      <c r="L40" s="11" t="s">
        <v>201</v>
      </c>
      <c r="M40" s="323" t="s">
        <v>3187</v>
      </c>
      <c r="N40" s="324">
        <v>45966</v>
      </c>
      <c r="O40" s="324">
        <v>45971</v>
      </c>
      <c r="P40" s="324">
        <v>45982</v>
      </c>
      <c r="Q40" s="324">
        <v>45982</v>
      </c>
      <c r="R40" s="324">
        <v>45985</v>
      </c>
      <c r="S40" s="45">
        <f t="shared" si="4"/>
        <v>3</v>
      </c>
      <c r="T40" s="45">
        <f t="shared" si="5"/>
        <v>9</v>
      </c>
      <c r="U40" s="45">
        <f t="shared" si="6"/>
        <v>9</v>
      </c>
      <c r="V40" s="45">
        <f t="shared" si="7"/>
        <v>1</v>
      </c>
      <c r="W40" s="133" t="s">
        <v>150</v>
      </c>
      <c r="X40" s="11" t="s">
        <v>50</v>
      </c>
      <c r="Y40" s="133">
        <v>15</v>
      </c>
      <c r="Z40" s="11" t="s">
        <v>57</v>
      </c>
      <c r="AA40" s="11" t="s">
        <v>57</v>
      </c>
      <c r="AB40" s="11"/>
      <c r="AC40" s="11" t="s">
        <v>3172</v>
      </c>
      <c r="AD40" s="96" t="s">
        <v>3185</v>
      </c>
      <c r="AE40" s="462"/>
      <c r="AF40" s="1"/>
      <c r="AG40" s="1"/>
    </row>
    <row r="41" spans="1:33">
      <c r="A41" s="76" t="s">
        <v>776</v>
      </c>
      <c r="B41" s="338" t="s">
        <v>2790</v>
      </c>
      <c r="C41" s="339" t="s">
        <v>2767</v>
      </c>
      <c r="D41" s="339" t="s">
        <v>143</v>
      </c>
      <c r="E41" s="76">
        <v>14.758236999999999</v>
      </c>
      <c r="F41" s="340">
        <v>120.98994</v>
      </c>
      <c r="G41" s="76" t="s">
        <v>2791</v>
      </c>
      <c r="H41" s="342">
        <v>44914</v>
      </c>
      <c r="I41" s="11" t="s">
        <v>3129</v>
      </c>
      <c r="J41" s="11" t="s">
        <v>22</v>
      </c>
      <c r="K41" s="11" t="s">
        <v>1838</v>
      </c>
      <c r="L41" s="11" t="s">
        <v>201</v>
      </c>
      <c r="M41" s="323" t="s">
        <v>3188</v>
      </c>
      <c r="N41" s="324">
        <v>45966</v>
      </c>
      <c r="O41" s="324">
        <v>45971</v>
      </c>
      <c r="P41" s="324">
        <v>45982</v>
      </c>
      <c r="Q41" s="324">
        <v>45982</v>
      </c>
      <c r="R41" s="324">
        <v>45985</v>
      </c>
      <c r="S41" s="45">
        <f t="shared" si="4"/>
        <v>3</v>
      </c>
      <c r="T41" s="45">
        <f t="shared" si="5"/>
        <v>9</v>
      </c>
      <c r="U41" s="45">
        <f t="shared" si="6"/>
        <v>9</v>
      </c>
      <c r="V41" s="45">
        <f t="shared" si="7"/>
        <v>1</v>
      </c>
      <c r="W41" s="133" t="s">
        <v>150</v>
      </c>
      <c r="X41" s="11" t="s">
        <v>50</v>
      </c>
      <c r="Y41" s="133">
        <v>12</v>
      </c>
      <c r="Z41" s="11" t="s">
        <v>57</v>
      </c>
      <c r="AA41" s="11" t="s">
        <v>57</v>
      </c>
      <c r="AB41" s="11" t="s">
        <v>2788</v>
      </c>
      <c r="AC41" s="11" t="s">
        <v>3172</v>
      </c>
      <c r="AD41" s="96" t="s">
        <v>2264</v>
      </c>
      <c r="AE41" s="462"/>
      <c r="AF41" s="1"/>
      <c r="AG41" s="1"/>
    </row>
    <row r="42" spans="1:33">
      <c r="A42" s="76" t="s">
        <v>776</v>
      </c>
      <c r="B42" s="338" t="s">
        <v>2794</v>
      </c>
      <c r="C42" s="339" t="s">
        <v>1127</v>
      </c>
      <c r="D42" s="339" t="s">
        <v>143</v>
      </c>
      <c r="E42" s="76">
        <v>14.849500000000001</v>
      </c>
      <c r="F42" s="340">
        <v>120.7813</v>
      </c>
      <c r="G42" s="76" t="s">
        <v>2795</v>
      </c>
      <c r="H42" s="342">
        <v>44915</v>
      </c>
      <c r="I42" s="11" t="s">
        <v>3126</v>
      </c>
      <c r="J42" s="11" t="s">
        <v>22</v>
      </c>
      <c r="K42" s="11" t="s">
        <v>1838</v>
      </c>
      <c r="L42" s="11" t="s">
        <v>201</v>
      </c>
      <c r="M42" s="323" t="s">
        <v>3189</v>
      </c>
      <c r="N42" s="324">
        <v>45897</v>
      </c>
      <c r="O42" s="324">
        <v>45982</v>
      </c>
      <c r="P42" s="324">
        <v>45982</v>
      </c>
      <c r="Q42" s="324">
        <v>45993</v>
      </c>
      <c r="R42" s="324">
        <v>45993</v>
      </c>
      <c r="S42" s="45">
        <f t="shared" si="4"/>
        <v>61</v>
      </c>
      <c r="T42" s="45">
        <f t="shared" si="5"/>
        <v>1</v>
      </c>
      <c r="U42" s="45">
        <f t="shared" si="6"/>
        <v>7</v>
      </c>
      <c r="V42" s="45">
        <f t="shared" si="7"/>
        <v>1</v>
      </c>
      <c r="W42" s="133" t="s">
        <v>150</v>
      </c>
      <c r="X42" s="11" t="s">
        <v>50</v>
      </c>
      <c r="Y42" s="133">
        <v>18</v>
      </c>
      <c r="Z42" s="11" t="s">
        <v>57</v>
      </c>
      <c r="AA42" s="11" t="s">
        <v>57</v>
      </c>
      <c r="AB42" s="11"/>
      <c r="AC42" s="7" t="s">
        <v>2671</v>
      </c>
      <c r="AD42" s="96" t="s">
        <v>2264</v>
      </c>
      <c r="AE42" s="649"/>
      <c r="AF42" s="1"/>
      <c r="AG42" s="1"/>
    </row>
    <row r="43" spans="1:33">
      <c r="A43" s="76" t="s">
        <v>776</v>
      </c>
      <c r="B43" s="338" t="s">
        <v>2798</v>
      </c>
      <c r="C43" s="339" t="s">
        <v>1127</v>
      </c>
      <c r="D43" s="339" t="s">
        <v>143</v>
      </c>
      <c r="E43" s="76">
        <v>14.835699999999999</v>
      </c>
      <c r="F43" s="340">
        <v>120.78</v>
      </c>
      <c r="G43" s="76" t="str">
        <f>_xlfn.CONCAT(E43:F43)</f>
        <v>14.8357120.78</v>
      </c>
      <c r="H43" s="342">
        <v>44915</v>
      </c>
      <c r="I43" s="11" t="s">
        <v>3127</v>
      </c>
      <c r="J43" s="11" t="s">
        <v>22</v>
      </c>
      <c r="K43" s="11"/>
      <c r="L43" s="11" t="s">
        <v>201</v>
      </c>
      <c r="M43" s="323" t="s">
        <v>3190</v>
      </c>
      <c r="N43" s="324">
        <v>45896</v>
      </c>
      <c r="O43" s="324">
        <v>45900</v>
      </c>
      <c r="P43" s="324"/>
      <c r="Q43" s="324">
        <v>45904</v>
      </c>
      <c r="R43" s="324">
        <v>45909</v>
      </c>
      <c r="S43" s="45">
        <f t="shared" si="4"/>
        <v>2</v>
      </c>
      <c r="T43" s="45" t="str">
        <f t="shared" si="5"/>
        <v/>
      </c>
      <c r="U43" s="45">
        <f t="shared" si="6"/>
        <v>3</v>
      </c>
      <c r="V43" s="45">
        <f t="shared" si="7"/>
        <v>3</v>
      </c>
      <c r="W43" s="133" t="s">
        <v>150</v>
      </c>
      <c r="X43" s="11" t="s">
        <v>57</v>
      </c>
      <c r="Y43" s="133">
        <v>12</v>
      </c>
      <c r="Z43" s="11" t="s">
        <v>57</v>
      </c>
      <c r="AA43" s="11" t="s">
        <v>57</v>
      </c>
      <c r="AB43" s="11" t="s">
        <v>3191</v>
      </c>
      <c r="AC43" s="7" t="s">
        <v>2671</v>
      </c>
      <c r="AD43" s="96" t="s">
        <v>2264</v>
      </c>
      <c r="AE43" s="649"/>
      <c r="AF43" s="1"/>
      <c r="AG43" s="1"/>
    </row>
    <row r="44" spans="1:33">
      <c r="A44" s="76" t="s">
        <v>776</v>
      </c>
      <c r="B44" s="338" t="s">
        <v>2798</v>
      </c>
      <c r="C44" s="339" t="s">
        <v>1127</v>
      </c>
      <c r="D44" s="339" t="s">
        <v>143</v>
      </c>
      <c r="E44" s="76">
        <v>14.838900000000001</v>
      </c>
      <c r="F44" s="340">
        <v>120.7799</v>
      </c>
      <c r="G44" s="76" t="str">
        <f>_xlfn.CONCAT(E44:F44)</f>
        <v>14.8389120.7799</v>
      </c>
      <c r="H44" s="342">
        <v>44915</v>
      </c>
      <c r="I44" s="11" t="s">
        <v>3127</v>
      </c>
      <c r="J44" s="11" t="s">
        <v>22</v>
      </c>
      <c r="K44" s="11"/>
      <c r="L44" s="11" t="s">
        <v>201</v>
      </c>
      <c r="M44" s="323" t="s">
        <v>3192</v>
      </c>
      <c r="N44" s="324">
        <v>45896</v>
      </c>
      <c r="O44" s="324">
        <v>45900</v>
      </c>
      <c r="P44" s="324"/>
      <c r="Q44" s="324">
        <v>45904</v>
      </c>
      <c r="R44" s="324">
        <v>45909</v>
      </c>
      <c r="S44" s="45">
        <f t="shared" si="4"/>
        <v>2</v>
      </c>
      <c r="T44" s="45" t="str">
        <f t="shared" si="5"/>
        <v/>
      </c>
      <c r="U44" s="45">
        <f t="shared" si="6"/>
        <v>3</v>
      </c>
      <c r="V44" s="45">
        <f t="shared" si="7"/>
        <v>3</v>
      </c>
      <c r="W44" s="133" t="s">
        <v>150</v>
      </c>
      <c r="X44" s="11" t="s">
        <v>50</v>
      </c>
      <c r="Y44" s="133">
        <v>12</v>
      </c>
      <c r="Z44" s="11" t="s">
        <v>57</v>
      </c>
      <c r="AA44" s="11" t="s">
        <v>57</v>
      </c>
      <c r="AB44" s="11" t="s">
        <v>3191</v>
      </c>
      <c r="AC44" s="7" t="s">
        <v>2671</v>
      </c>
      <c r="AD44" s="96" t="s">
        <v>2264</v>
      </c>
      <c r="AE44" s="649"/>
      <c r="AF44" s="1"/>
      <c r="AG44" s="1"/>
    </row>
    <row r="45" spans="1:33" ht="30">
      <c r="A45" s="76" t="s">
        <v>776</v>
      </c>
      <c r="B45" s="338" t="s">
        <v>2711</v>
      </c>
      <c r="C45" s="339" t="s">
        <v>1127</v>
      </c>
      <c r="D45" s="339" t="s">
        <v>143</v>
      </c>
      <c r="E45" s="76">
        <v>14.839700000000001</v>
      </c>
      <c r="F45" s="340">
        <v>120.7938</v>
      </c>
      <c r="G45" s="76" t="str">
        <f>_xlfn.CONCAT(E45:F45)</f>
        <v>14.8397120.7938</v>
      </c>
      <c r="H45" s="342">
        <v>44915</v>
      </c>
      <c r="I45" s="11" t="s">
        <v>3127</v>
      </c>
      <c r="J45" s="11" t="s">
        <v>22</v>
      </c>
      <c r="K45" s="11"/>
      <c r="L45" s="11" t="s">
        <v>201</v>
      </c>
      <c r="M45" s="323" t="s">
        <v>3193</v>
      </c>
      <c r="N45" s="324">
        <v>45888</v>
      </c>
      <c r="O45" s="324">
        <v>45892</v>
      </c>
      <c r="P45" s="324"/>
      <c r="Q45" s="324">
        <v>45904</v>
      </c>
      <c r="R45" s="324">
        <v>45909</v>
      </c>
      <c r="S45" s="45">
        <f t="shared" si="4"/>
        <v>3</v>
      </c>
      <c r="T45" s="45" t="str">
        <f t="shared" si="5"/>
        <v/>
      </c>
      <c r="U45" s="45">
        <f t="shared" si="6"/>
        <v>8</v>
      </c>
      <c r="V45" s="45">
        <f t="shared" si="7"/>
        <v>3</v>
      </c>
      <c r="W45" s="133" t="s">
        <v>150</v>
      </c>
      <c r="X45" s="11" t="s">
        <v>50</v>
      </c>
      <c r="Y45" s="133">
        <v>10</v>
      </c>
      <c r="Z45" s="11" t="s">
        <v>57</v>
      </c>
      <c r="AA45" s="11" t="s">
        <v>57</v>
      </c>
      <c r="AB45" s="11" t="s">
        <v>3194</v>
      </c>
      <c r="AC45" s="7" t="s">
        <v>3195</v>
      </c>
      <c r="AD45" s="96" t="s">
        <v>2264</v>
      </c>
      <c r="AE45" s="649"/>
      <c r="AF45" s="1"/>
      <c r="AG45" s="1"/>
    </row>
    <row r="46" spans="1:33" ht="30">
      <c r="A46" s="76" t="s">
        <v>776</v>
      </c>
      <c r="B46" s="338" t="s">
        <v>2711</v>
      </c>
      <c r="C46" s="339" t="s">
        <v>1127</v>
      </c>
      <c r="D46" s="339" t="s">
        <v>143</v>
      </c>
      <c r="E46" s="76">
        <v>14.839700000000001</v>
      </c>
      <c r="F46" s="340">
        <v>120.7938</v>
      </c>
      <c r="G46" s="76" t="str">
        <f>_xlfn.CONCAT(E46:F46)</f>
        <v>14.8397120.7938</v>
      </c>
      <c r="H46" s="342">
        <v>44915</v>
      </c>
      <c r="I46" s="11" t="s">
        <v>3127</v>
      </c>
      <c r="J46" s="11" t="s">
        <v>22</v>
      </c>
      <c r="K46" s="11"/>
      <c r="L46" s="11" t="s">
        <v>201</v>
      </c>
      <c r="M46" s="323" t="s">
        <v>3196</v>
      </c>
      <c r="N46" s="324">
        <v>45888</v>
      </c>
      <c r="O46" s="324">
        <v>45892</v>
      </c>
      <c r="P46" s="324"/>
      <c r="Q46" s="324">
        <v>45904</v>
      </c>
      <c r="R46" s="324">
        <v>45909</v>
      </c>
      <c r="S46" s="45">
        <f t="shared" si="4"/>
        <v>3</v>
      </c>
      <c r="T46" s="45" t="str">
        <f t="shared" si="5"/>
        <v/>
      </c>
      <c r="U46" s="45">
        <f t="shared" si="6"/>
        <v>8</v>
      </c>
      <c r="V46" s="45">
        <f t="shared" si="7"/>
        <v>3</v>
      </c>
      <c r="W46" s="133" t="s">
        <v>150</v>
      </c>
      <c r="X46" s="11" t="s">
        <v>50</v>
      </c>
      <c r="Y46" s="133">
        <v>10</v>
      </c>
      <c r="Z46" s="11" t="s">
        <v>57</v>
      </c>
      <c r="AA46" s="11" t="s">
        <v>57</v>
      </c>
      <c r="AB46" s="11" t="s">
        <v>3194</v>
      </c>
      <c r="AC46" s="7" t="s">
        <v>3195</v>
      </c>
      <c r="AD46" s="96" t="s">
        <v>2264</v>
      </c>
      <c r="AE46" s="649"/>
      <c r="AF46" s="1"/>
      <c r="AG46" s="1"/>
    </row>
    <row r="47" spans="1:33" ht="30">
      <c r="A47" s="76" t="s">
        <v>776</v>
      </c>
      <c r="B47" s="338" t="s">
        <v>2805</v>
      </c>
      <c r="C47" s="339" t="s">
        <v>1135</v>
      </c>
      <c r="D47" s="339" t="s">
        <v>143</v>
      </c>
      <c r="E47" s="76">
        <v>14.884577999999999</v>
      </c>
      <c r="F47" s="340">
        <v>120.86694300000001</v>
      </c>
      <c r="G47" s="76" t="str">
        <f>_xlfn.CONCAT(E47:F47)</f>
        <v>14.884578120.866943</v>
      </c>
      <c r="H47" s="342">
        <v>44915</v>
      </c>
      <c r="I47" s="11" t="s">
        <v>3127</v>
      </c>
      <c r="J47" s="11" t="s">
        <v>2271</v>
      </c>
      <c r="K47" s="11"/>
      <c r="L47" s="11" t="s">
        <v>201</v>
      </c>
      <c r="M47" s="323" t="s">
        <v>3197</v>
      </c>
      <c r="N47" s="324">
        <v>45896</v>
      </c>
      <c r="O47" s="324">
        <v>45901</v>
      </c>
      <c r="P47" s="324"/>
      <c r="Q47" s="324">
        <v>45904</v>
      </c>
      <c r="R47" s="324">
        <v>45908</v>
      </c>
      <c r="S47" s="45">
        <f t="shared" si="4"/>
        <v>3</v>
      </c>
      <c r="T47" s="45" t="str">
        <f t="shared" si="5"/>
        <v/>
      </c>
      <c r="U47" s="45">
        <f t="shared" si="6"/>
        <v>3</v>
      </c>
      <c r="V47" s="45">
        <f t="shared" si="7"/>
        <v>2</v>
      </c>
      <c r="W47" s="133" t="s">
        <v>150</v>
      </c>
      <c r="X47" s="11" t="s">
        <v>50</v>
      </c>
      <c r="Y47" s="133">
        <v>12</v>
      </c>
      <c r="Z47" s="11" t="s">
        <v>57</v>
      </c>
      <c r="AA47" s="11" t="s">
        <v>57</v>
      </c>
      <c r="AB47" s="11" t="s">
        <v>3198</v>
      </c>
      <c r="AC47" s="7" t="s">
        <v>2671</v>
      </c>
      <c r="AD47" s="96" t="s">
        <v>3199</v>
      </c>
      <c r="AE47" s="649"/>
      <c r="AF47" s="1"/>
      <c r="AG47" s="1"/>
    </row>
    <row r="48" spans="1:33" ht="30">
      <c r="A48" s="76" t="s">
        <v>776</v>
      </c>
      <c r="B48" s="338" t="s">
        <v>2809</v>
      </c>
      <c r="C48" s="339" t="s">
        <v>1135</v>
      </c>
      <c r="D48" s="339" t="s">
        <v>143</v>
      </c>
      <c r="E48" s="76">
        <v>14.888356999999999</v>
      </c>
      <c r="F48" s="340">
        <v>120.87492399999999</v>
      </c>
      <c r="G48" s="76" t="s">
        <v>2810</v>
      </c>
      <c r="H48" s="342">
        <v>44915</v>
      </c>
      <c r="I48" s="11" t="s">
        <v>3127</v>
      </c>
      <c r="J48" s="11" t="s">
        <v>22</v>
      </c>
      <c r="K48" s="11"/>
      <c r="L48" s="11" t="s">
        <v>201</v>
      </c>
      <c r="M48" s="323" t="s">
        <v>3200</v>
      </c>
      <c r="N48" s="324">
        <v>45897</v>
      </c>
      <c r="O48" s="324">
        <v>45900</v>
      </c>
      <c r="P48" s="324"/>
      <c r="Q48" s="324">
        <v>45904</v>
      </c>
      <c r="R48" s="324">
        <v>45909</v>
      </c>
      <c r="S48" s="45">
        <f t="shared" si="4"/>
        <v>1</v>
      </c>
      <c r="T48" s="45" t="str">
        <f t="shared" si="5"/>
        <v/>
      </c>
      <c r="U48" s="45">
        <f t="shared" si="6"/>
        <v>3</v>
      </c>
      <c r="V48" s="45">
        <f t="shared" si="7"/>
        <v>3</v>
      </c>
      <c r="W48" s="133" t="s">
        <v>150</v>
      </c>
      <c r="X48" s="11" t="s">
        <v>50</v>
      </c>
      <c r="Y48" s="133">
        <v>16</v>
      </c>
      <c r="Z48" s="11" t="s">
        <v>57</v>
      </c>
      <c r="AA48" s="11" t="s">
        <v>57</v>
      </c>
      <c r="AB48" s="11" t="s">
        <v>3201</v>
      </c>
      <c r="AC48" s="11" t="s">
        <v>2671</v>
      </c>
      <c r="AD48" s="96" t="s">
        <v>3202</v>
      </c>
      <c r="AE48" s="649"/>
      <c r="AF48" s="1"/>
      <c r="AG48" s="1"/>
    </row>
    <row r="49" spans="1:33" ht="30">
      <c r="A49" s="76" t="s">
        <v>776</v>
      </c>
      <c r="B49" s="338" t="s">
        <v>2814</v>
      </c>
      <c r="C49" s="339" t="s">
        <v>1135</v>
      </c>
      <c r="D49" s="339" t="s">
        <v>143</v>
      </c>
      <c r="E49" s="76">
        <v>14.901680000000001</v>
      </c>
      <c r="F49" s="340">
        <v>120.89757</v>
      </c>
      <c r="G49" s="76" t="str">
        <f>_xlfn.CONCAT(E49:F49)</f>
        <v>14.90168120.89757</v>
      </c>
      <c r="H49" s="342">
        <v>44915</v>
      </c>
      <c r="I49" s="11" t="s">
        <v>3127</v>
      </c>
      <c r="J49" s="11" t="s">
        <v>2271</v>
      </c>
      <c r="K49" s="11"/>
      <c r="L49" s="11" t="s">
        <v>201</v>
      </c>
      <c r="M49" s="323" t="s">
        <v>3203</v>
      </c>
      <c r="N49" s="324">
        <v>45896</v>
      </c>
      <c r="O49" s="324">
        <v>45901</v>
      </c>
      <c r="P49" s="324"/>
      <c r="Q49" s="324">
        <v>45904</v>
      </c>
      <c r="R49" s="324">
        <v>45908</v>
      </c>
      <c r="S49" s="45">
        <f t="shared" si="4"/>
        <v>3</v>
      </c>
      <c r="T49" s="45" t="str">
        <f t="shared" si="5"/>
        <v/>
      </c>
      <c r="U49" s="45">
        <f t="shared" si="6"/>
        <v>3</v>
      </c>
      <c r="V49" s="45">
        <f t="shared" si="7"/>
        <v>2</v>
      </c>
      <c r="W49" s="133" t="s">
        <v>150</v>
      </c>
      <c r="X49" s="11" t="s">
        <v>50</v>
      </c>
      <c r="Y49" s="133">
        <v>18</v>
      </c>
      <c r="Z49" s="11" t="s">
        <v>57</v>
      </c>
      <c r="AA49" s="11" t="s">
        <v>57</v>
      </c>
      <c r="AB49" s="11" t="s">
        <v>3204</v>
      </c>
      <c r="AC49" s="11" t="s">
        <v>2671</v>
      </c>
      <c r="AD49" s="96" t="s">
        <v>3199</v>
      </c>
      <c r="AE49" s="649"/>
      <c r="AF49" s="1"/>
      <c r="AG49" s="1"/>
    </row>
    <row r="50" spans="1:33" ht="60">
      <c r="A50" s="76" t="s">
        <v>776</v>
      </c>
      <c r="B50" s="338" t="s">
        <v>2729</v>
      </c>
      <c r="C50" s="339" t="s">
        <v>1135</v>
      </c>
      <c r="D50" s="339" t="s">
        <v>143</v>
      </c>
      <c r="E50" s="76">
        <v>14.8819</v>
      </c>
      <c r="F50" s="340">
        <v>12.8611</v>
      </c>
      <c r="G50" s="76" t="str">
        <f>_xlfn.CONCAT(E50:F50)</f>
        <v>14.881912.8611</v>
      </c>
      <c r="H50" s="342">
        <v>44915</v>
      </c>
      <c r="I50" s="11" t="s">
        <v>3127</v>
      </c>
      <c r="J50" s="11" t="s">
        <v>2271</v>
      </c>
      <c r="K50" s="11"/>
      <c r="L50" s="11" t="s">
        <v>201</v>
      </c>
      <c r="M50" s="323" t="s">
        <v>3205</v>
      </c>
      <c r="N50" s="324">
        <v>45896</v>
      </c>
      <c r="O50" s="324">
        <v>45901</v>
      </c>
      <c r="P50" s="324"/>
      <c r="Q50" s="324">
        <v>45904</v>
      </c>
      <c r="R50" s="324">
        <v>45908</v>
      </c>
      <c r="S50" s="45">
        <f t="shared" si="4"/>
        <v>3</v>
      </c>
      <c r="T50" s="45" t="str">
        <f t="shared" si="5"/>
        <v/>
      </c>
      <c r="U50" s="45">
        <f t="shared" si="6"/>
        <v>3</v>
      </c>
      <c r="V50" s="45">
        <f t="shared" si="7"/>
        <v>2</v>
      </c>
      <c r="W50" s="133" t="s">
        <v>150</v>
      </c>
      <c r="X50" s="11" t="s">
        <v>50</v>
      </c>
      <c r="Y50" s="133">
        <v>14</v>
      </c>
      <c r="Z50" s="11" t="s">
        <v>57</v>
      </c>
      <c r="AA50" s="11" t="s">
        <v>57</v>
      </c>
      <c r="AB50" s="11" t="s">
        <v>3206</v>
      </c>
      <c r="AC50" s="7" t="s">
        <v>2671</v>
      </c>
      <c r="AD50" s="96" t="s">
        <v>3207</v>
      </c>
      <c r="AE50" s="649"/>
      <c r="AF50" s="1"/>
      <c r="AG50" s="1"/>
    </row>
    <row r="51" spans="1:33" ht="120">
      <c r="A51" s="76" t="s">
        <v>776</v>
      </c>
      <c r="B51" s="338" t="s">
        <v>2729</v>
      </c>
      <c r="C51" s="339" t="s">
        <v>1135</v>
      </c>
      <c r="D51" s="339" t="s">
        <v>143</v>
      </c>
      <c r="E51" s="76">
        <v>14.8719</v>
      </c>
      <c r="F51" s="340">
        <v>120.8609</v>
      </c>
      <c r="G51" s="76" t="str">
        <f>_xlfn.CONCAT(E51:F51)</f>
        <v>14.8719120.8609</v>
      </c>
      <c r="H51" s="342">
        <v>44915</v>
      </c>
      <c r="I51" s="11" t="s">
        <v>3127</v>
      </c>
      <c r="J51" s="11" t="s">
        <v>2271</v>
      </c>
      <c r="K51" s="11"/>
      <c r="L51" s="11" t="s">
        <v>201</v>
      </c>
      <c r="M51" s="323" t="s">
        <v>3208</v>
      </c>
      <c r="N51" s="324">
        <v>45896</v>
      </c>
      <c r="O51" s="324">
        <v>45901</v>
      </c>
      <c r="P51" s="324"/>
      <c r="Q51" s="324">
        <v>45904</v>
      </c>
      <c r="R51" s="324">
        <v>45908</v>
      </c>
      <c r="S51" s="45">
        <f t="shared" si="4"/>
        <v>3</v>
      </c>
      <c r="T51" s="45" t="str">
        <f t="shared" si="5"/>
        <v/>
      </c>
      <c r="U51" s="45">
        <f t="shared" si="6"/>
        <v>3</v>
      </c>
      <c r="V51" s="45">
        <f t="shared" si="7"/>
        <v>2</v>
      </c>
      <c r="W51" s="133" t="s">
        <v>150</v>
      </c>
      <c r="X51" s="11" t="s">
        <v>50</v>
      </c>
      <c r="Y51" s="133">
        <v>16</v>
      </c>
      <c r="Z51" s="11" t="s">
        <v>57</v>
      </c>
      <c r="AA51" s="11" t="s">
        <v>57</v>
      </c>
      <c r="AB51" s="11" t="s">
        <v>3206</v>
      </c>
      <c r="AC51" s="7" t="s">
        <v>2671</v>
      </c>
      <c r="AD51" s="96" t="s">
        <v>3209</v>
      </c>
      <c r="AE51" s="649"/>
      <c r="AF51" s="1"/>
      <c r="AG51" s="1"/>
    </row>
    <row r="52" spans="1:33" ht="120">
      <c r="A52" s="76" t="s">
        <v>776</v>
      </c>
      <c r="B52" s="338" t="s">
        <v>2729</v>
      </c>
      <c r="C52" s="339" t="s">
        <v>1135</v>
      </c>
      <c r="D52" s="339" t="s">
        <v>143</v>
      </c>
      <c r="E52" s="76">
        <v>14.8688</v>
      </c>
      <c r="F52" s="340">
        <v>120.8586</v>
      </c>
      <c r="G52" s="76" t="str">
        <f>_xlfn.CONCAT(E52:F52)</f>
        <v>14.8688120.8586</v>
      </c>
      <c r="H52" s="342">
        <v>44915</v>
      </c>
      <c r="I52" s="11" t="s">
        <v>3127</v>
      </c>
      <c r="J52" s="11" t="s">
        <v>2271</v>
      </c>
      <c r="K52" s="11"/>
      <c r="L52" s="11" t="s">
        <v>201</v>
      </c>
      <c r="M52" s="323" t="s">
        <v>3210</v>
      </c>
      <c r="N52" s="324">
        <v>45896</v>
      </c>
      <c r="O52" s="324">
        <v>45901</v>
      </c>
      <c r="P52" s="324"/>
      <c r="Q52" s="324">
        <v>45904</v>
      </c>
      <c r="R52" s="324">
        <v>45908</v>
      </c>
      <c r="S52" s="45">
        <f t="shared" si="4"/>
        <v>3</v>
      </c>
      <c r="T52" s="45" t="str">
        <f t="shared" si="5"/>
        <v/>
      </c>
      <c r="U52" s="45">
        <f t="shared" si="6"/>
        <v>3</v>
      </c>
      <c r="V52" s="45">
        <f t="shared" si="7"/>
        <v>2</v>
      </c>
      <c r="W52" s="133" t="s">
        <v>150</v>
      </c>
      <c r="X52" s="11" t="s">
        <v>50</v>
      </c>
      <c r="Y52" s="133">
        <v>16</v>
      </c>
      <c r="Z52" s="11" t="s">
        <v>57</v>
      </c>
      <c r="AA52" s="11" t="s">
        <v>57</v>
      </c>
      <c r="AB52" s="11" t="s">
        <v>3206</v>
      </c>
      <c r="AC52" s="7" t="s">
        <v>2671</v>
      </c>
      <c r="AD52" s="96" t="s">
        <v>3209</v>
      </c>
      <c r="AE52" s="649"/>
      <c r="AF52" s="1"/>
      <c r="AG52" s="1"/>
    </row>
    <row r="53" spans="1:33">
      <c r="A53" s="76" t="s">
        <v>776</v>
      </c>
      <c r="B53" s="338" t="s">
        <v>2824</v>
      </c>
      <c r="C53" s="339" t="s">
        <v>2825</v>
      </c>
      <c r="D53" s="339" t="s">
        <v>143</v>
      </c>
      <c r="E53" s="76">
        <v>14.831517</v>
      </c>
      <c r="F53" s="340">
        <v>121.0377707</v>
      </c>
      <c r="G53" s="76" t="s">
        <v>2826</v>
      </c>
      <c r="H53" s="342">
        <v>44915</v>
      </c>
      <c r="I53" s="11" t="s">
        <v>3129</v>
      </c>
      <c r="J53" s="11" t="s">
        <v>24</v>
      </c>
      <c r="K53" s="11" t="s">
        <v>1838</v>
      </c>
      <c r="L53" s="11" t="s">
        <v>201</v>
      </c>
      <c r="M53" s="323" t="s">
        <v>3211</v>
      </c>
      <c r="N53" s="324">
        <v>45966</v>
      </c>
      <c r="O53" s="324">
        <v>45971</v>
      </c>
      <c r="P53" s="324">
        <v>45989</v>
      </c>
      <c r="Q53" s="324">
        <v>45993</v>
      </c>
      <c r="R53" s="324">
        <v>45993</v>
      </c>
      <c r="S53" s="45">
        <f t="shared" si="4"/>
        <v>3</v>
      </c>
      <c r="T53" s="45">
        <f t="shared" si="5"/>
        <v>14</v>
      </c>
      <c r="U53" s="45">
        <f t="shared" si="6"/>
        <v>16</v>
      </c>
      <c r="V53" s="45">
        <f t="shared" si="7"/>
        <v>1</v>
      </c>
      <c r="W53" s="133" t="s">
        <v>150</v>
      </c>
      <c r="X53" s="11" t="s">
        <v>57</v>
      </c>
      <c r="Y53" s="133"/>
      <c r="Z53" s="11" t="s">
        <v>57</v>
      </c>
      <c r="AA53" s="11" t="s">
        <v>57</v>
      </c>
      <c r="AB53" s="11"/>
      <c r="AC53" s="11"/>
      <c r="AD53" s="133" t="s">
        <v>3185</v>
      </c>
      <c r="AE53" s="462"/>
      <c r="AF53" s="1"/>
      <c r="AG53" s="1"/>
    </row>
    <row r="54" spans="1:33">
      <c r="A54" s="76" t="s">
        <v>776</v>
      </c>
      <c r="B54" s="338" t="s">
        <v>2829</v>
      </c>
      <c r="C54" s="339" t="s">
        <v>2825</v>
      </c>
      <c r="D54" s="339" t="s">
        <v>143</v>
      </c>
      <c r="E54" s="76">
        <v>14.799087</v>
      </c>
      <c r="F54" s="340">
        <v>121.07135</v>
      </c>
      <c r="G54" s="76" t="s">
        <v>2830</v>
      </c>
      <c r="H54" s="342">
        <v>44915</v>
      </c>
      <c r="I54" s="11" t="s">
        <v>3129</v>
      </c>
      <c r="J54" s="11" t="s">
        <v>24</v>
      </c>
      <c r="K54" s="11" t="s">
        <v>1838</v>
      </c>
      <c r="L54" s="11" t="s">
        <v>201</v>
      </c>
      <c r="M54" s="323" t="s">
        <v>3212</v>
      </c>
      <c r="N54" s="324">
        <v>45966</v>
      </c>
      <c r="O54" s="324">
        <v>45971</v>
      </c>
      <c r="P54" s="324">
        <v>45987</v>
      </c>
      <c r="Q54" s="324">
        <v>45993</v>
      </c>
      <c r="R54" s="324">
        <v>45993</v>
      </c>
      <c r="S54" s="45">
        <f t="shared" si="4"/>
        <v>3</v>
      </c>
      <c r="T54" s="45">
        <f t="shared" si="5"/>
        <v>12</v>
      </c>
      <c r="U54" s="45">
        <f t="shared" si="6"/>
        <v>16</v>
      </c>
      <c r="V54" s="45">
        <f t="shared" si="7"/>
        <v>1</v>
      </c>
      <c r="W54" s="133" t="s">
        <v>150</v>
      </c>
      <c r="X54" s="11" t="s">
        <v>50</v>
      </c>
      <c r="Y54" s="133">
        <v>16</v>
      </c>
      <c r="Z54" s="11" t="s">
        <v>57</v>
      </c>
      <c r="AA54" s="11" t="s">
        <v>57</v>
      </c>
      <c r="AB54" s="11"/>
      <c r="AC54" s="11" t="s">
        <v>2784</v>
      </c>
      <c r="AD54" s="133" t="s">
        <v>3185</v>
      </c>
      <c r="AE54" s="462"/>
      <c r="AF54" s="1"/>
      <c r="AG54" s="1"/>
    </row>
    <row r="55" spans="1:33">
      <c r="A55" s="76" t="s">
        <v>776</v>
      </c>
      <c r="B55" s="338" t="s">
        <v>2833</v>
      </c>
      <c r="C55" s="339" t="s">
        <v>2825</v>
      </c>
      <c r="D55" s="339" t="s">
        <v>143</v>
      </c>
      <c r="E55" s="76">
        <v>14.809602</v>
      </c>
      <c r="F55" s="340">
        <v>121.05072</v>
      </c>
      <c r="G55" s="76" t="s">
        <v>2834</v>
      </c>
      <c r="H55" s="342">
        <v>44915</v>
      </c>
      <c r="I55" s="11" t="s">
        <v>3129</v>
      </c>
      <c r="J55" s="11" t="s">
        <v>24</v>
      </c>
      <c r="K55" s="11" t="s">
        <v>1838</v>
      </c>
      <c r="L55" s="11" t="s">
        <v>201</v>
      </c>
      <c r="M55" s="323" t="s">
        <v>3213</v>
      </c>
      <c r="N55" s="324">
        <v>45966</v>
      </c>
      <c r="O55" s="324">
        <v>45971</v>
      </c>
      <c r="P55" s="324">
        <v>45993</v>
      </c>
      <c r="Q55" s="324">
        <v>45993</v>
      </c>
      <c r="R55" s="324">
        <v>45993</v>
      </c>
      <c r="S55" s="45">
        <f t="shared" ref="S55:S86" si="8">IF(
    OR(ISBLANK(N55), ISBLANK(O55)),
    "",
    MAX(1, IF(
        NETWORKDAYS(N55, O55) &lt;= 0,
        1,
        NETWORKDAYS(N55, O55) - IF(N55 = O55, 0, 1)
    ))
)</f>
        <v>3</v>
      </c>
      <c r="T55" s="45">
        <f t="shared" si="5"/>
        <v>16</v>
      </c>
      <c r="U55" s="45">
        <f t="shared" si="6"/>
        <v>16</v>
      </c>
      <c r="V55" s="45">
        <f t="shared" si="7"/>
        <v>1</v>
      </c>
      <c r="W55" s="133" t="s">
        <v>150</v>
      </c>
      <c r="X55" s="11" t="s">
        <v>57</v>
      </c>
      <c r="Y55" s="133">
        <v>15</v>
      </c>
      <c r="Z55" s="11" t="s">
        <v>57</v>
      </c>
      <c r="AA55" s="11" t="s">
        <v>57</v>
      </c>
      <c r="AB55" s="11"/>
      <c r="AC55" s="11" t="s">
        <v>2784</v>
      </c>
      <c r="AD55" s="133" t="s">
        <v>3180</v>
      </c>
      <c r="AE55" s="462"/>
      <c r="AF55" s="1"/>
      <c r="AG55" s="1"/>
    </row>
    <row r="56" spans="1:33">
      <c r="A56" s="76" t="s">
        <v>776</v>
      </c>
      <c r="B56" s="338" t="s">
        <v>2837</v>
      </c>
      <c r="C56" s="339" t="s">
        <v>1151</v>
      </c>
      <c r="D56" s="339" t="s">
        <v>143</v>
      </c>
      <c r="E56" s="76">
        <v>15.196139000000001</v>
      </c>
      <c r="F56" s="340">
        <v>120.950836</v>
      </c>
      <c r="G56" s="76" t="str">
        <f>CONCATENATE(E56,",",F56)</f>
        <v>15.196139,120.950836</v>
      </c>
      <c r="H56" s="342">
        <v>44900</v>
      </c>
      <c r="I56" s="11" t="s">
        <v>3128</v>
      </c>
      <c r="J56" s="11" t="s">
        <v>22</v>
      </c>
      <c r="K56" s="11" t="s">
        <v>1838</v>
      </c>
      <c r="L56" s="11" t="s">
        <v>201</v>
      </c>
      <c r="M56" s="323" t="s">
        <v>3214</v>
      </c>
      <c r="N56" s="324">
        <v>45919</v>
      </c>
      <c r="O56" s="324">
        <v>45983</v>
      </c>
      <c r="P56" s="324">
        <v>45982</v>
      </c>
      <c r="Q56" s="324">
        <v>45982</v>
      </c>
      <c r="R56" s="324">
        <v>45985</v>
      </c>
      <c r="S56" s="45">
        <f t="shared" si="8"/>
        <v>45</v>
      </c>
      <c r="T56" s="45">
        <f t="shared" ref="T56:T87" si="9">IF(
    OR(ISBLANK(O56), ISBLANK(P56)),
    "",
    MAX(1, IF(
        NETWORKDAYS(O56, P56) &lt;= 0,
        1,
        NETWORKDAYS(O56, P56) - IF(O56 = P56, 0, 1)
    ))
)</f>
        <v>1</v>
      </c>
      <c r="U56" s="45">
        <f t="shared" si="6"/>
        <v>1</v>
      </c>
      <c r="V56" s="45">
        <f t="shared" si="7"/>
        <v>1</v>
      </c>
      <c r="W56" s="133" t="s">
        <v>150</v>
      </c>
      <c r="X56" s="11" t="s">
        <v>50</v>
      </c>
      <c r="Y56" s="133">
        <v>15</v>
      </c>
      <c r="Z56" s="11" t="s">
        <v>57</v>
      </c>
      <c r="AA56" s="11" t="s">
        <v>57</v>
      </c>
      <c r="AB56" s="11">
        <v>2700</v>
      </c>
      <c r="AC56" s="11" t="s">
        <v>3215</v>
      </c>
      <c r="AD56" s="96" t="s">
        <v>2264</v>
      </c>
      <c r="AE56" s="462"/>
      <c r="AF56" s="1"/>
      <c r="AG56" s="1"/>
    </row>
    <row r="57" spans="1:33">
      <c r="A57" s="76" t="s">
        <v>776</v>
      </c>
      <c r="B57" s="338" t="s">
        <v>2855</v>
      </c>
      <c r="C57" s="339" t="s">
        <v>1151</v>
      </c>
      <c r="D57" s="339" t="s">
        <v>143</v>
      </c>
      <c r="E57" s="76">
        <v>15.140356000000001</v>
      </c>
      <c r="F57" s="340">
        <v>120.96810000000001</v>
      </c>
      <c r="G57" s="76" t="s">
        <v>2856</v>
      </c>
      <c r="H57" s="342">
        <v>44900</v>
      </c>
      <c r="I57" s="11" t="s">
        <v>3128</v>
      </c>
      <c r="J57" s="11" t="s">
        <v>22</v>
      </c>
      <c r="K57" s="11" t="s">
        <v>1838</v>
      </c>
      <c r="L57" s="11" t="s">
        <v>201</v>
      </c>
      <c r="M57" s="323" t="s">
        <v>3216</v>
      </c>
      <c r="N57" s="324">
        <v>45959</v>
      </c>
      <c r="O57" s="324">
        <v>45964</v>
      </c>
      <c r="P57" s="324">
        <v>45982</v>
      </c>
      <c r="Q57" s="324">
        <v>45982</v>
      </c>
      <c r="R57" s="324">
        <v>45985</v>
      </c>
      <c r="S57" s="45">
        <f t="shared" si="8"/>
        <v>3</v>
      </c>
      <c r="T57" s="45">
        <f t="shared" si="9"/>
        <v>14</v>
      </c>
      <c r="U57" s="45">
        <f t="shared" si="6"/>
        <v>14</v>
      </c>
      <c r="V57" s="45">
        <f t="shared" si="7"/>
        <v>1</v>
      </c>
      <c r="W57" s="133" t="s">
        <v>150</v>
      </c>
      <c r="X57" s="11" t="s">
        <v>57</v>
      </c>
      <c r="Y57" s="133"/>
      <c r="Z57" s="11" t="s">
        <v>57</v>
      </c>
      <c r="AA57" s="11" t="s">
        <v>57</v>
      </c>
      <c r="AB57" s="11"/>
      <c r="AC57" s="11" t="s">
        <v>3217</v>
      </c>
      <c r="AD57" s="96" t="s">
        <v>2264</v>
      </c>
      <c r="AE57" s="462"/>
      <c r="AF57" s="1"/>
      <c r="AG57" s="1"/>
    </row>
    <row r="58" spans="1:33">
      <c r="A58" s="76" t="s">
        <v>776</v>
      </c>
      <c r="B58" s="338" t="s">
        <v>2855</v>
      </c>
      <c r="C58" s="339" t="s">
        <v>1151</v>
      </c>
      <c r="D58" s="339" t="s">
        <v>143</v>
      </c>
      <c r="E58" s="76">
        <v>15.140356000000001</v>
      </c>
      <c r="F58" s="340">
        <v>120.96810000000001</v>
      </c>
      <c r="G58" s="76" t="s">
        <v>2856</v>
      </c>
      <c r="H58" s="342">
        <v>44900</v>
      </c>
      <c r="I58" s="11" t="s">
        <v>3128</v>
      </c>
      <c r="J58" s="11" t="s">
        <v>22</v>
      </c>
      <c r="K58" s="11" t="s">
        <v>1838</v>
      </c>
      <c r="L58" s="11" t="s">
        <v>201</v>
      </c>
      <c r="M58" s="323" t="s">
        <v>3218</v>
      </c>
      <c r="N58" s="324">
        <v>45959</v>
      </c>
      <c r="O58" s="324">
        <v>45964</v>
      </c>
      <c r="P58" s="324">
        <v>45982</v>
      </c>
      <c r="Q58" s="324">
        <v>45982</v>
      </c>
      <c r="R58" s="324">
        <v>45985</v>
      </c>
      <c r="S58" s="45">
        <f t="shared" si="8"/>
        <v>3</v>
      </c>
      <c r="T58" s="45">
        <f t="shared" si="9"/>
        <v>14</v>
      </c>
      <c r="U58" s="45">
        <f t="shared" si="6"/>
        <v>14</v>
      </c>
      <c r="V58" s="45">
        <f t="shared" si="7"/>
        <v>1</v>
      </c>
      <c r="W58" s="133" t="s">
        <v>150</v>
      </c>
      <c r="X58" s="11" t="s">
        <v>57</v>
      </c>
      <c r="Y58" s="133"/>
      <c r="Z58" s="11" t="s">
        <v>57</v>
      </c>
      <c r="AA58" s="11" t="s">
        <v>57</v>
      </c>
      <c r="AB58" s="11"/>
      <c r="AC58" s="11"/>
      <c r="AD58" s="96" t="s">
        <v>2264</v>
      </c>
      <c r="AE58" s="462"/>
      <c r="AF58" s="1"/>
      <c r="AG58" s="1"/>
    </row>
    <row r="59" spans="1:33">
      <c r="A59" s="76" t="s">
        <v>776</v>
      </c>
      <c r="B59" s="338" t="s">
        <v>2847</v>
      </c>
      <c r="C59" s="339" t="s">
        <v>1151</v>
      </c>
      <c r="D59" s="339" t="s">
        <v>143</v>
      </c>
      <c r="E59" s="76">
        <v>15.181850000000001</v>
      </c>
      <c r="F59" s="340">
        <v>120.961358</v>
      </c>
      <c r="G59" s="76" t="str">
        <f>CONCATENATE(E59,",",F59)</f>
        <v>15.18185,120.961358</v>
      </c>
      <c r="H59" s="342">
        <v>44900</v>
      </c>
      <c r="I59" s="11" t="s">
        <v>3128</v>
      </c>
      <c r="J59" s="11" t="s">
        <v>22</v>
      </c>
      <c r="K59" s="11" t="s">
        <v>1838</v>
      </c>
      <c r="L59" s="11" t="s">
        <v>201</v>
      </c>
      <c r="M59" s="323" t="s">
        <v>3219</v>
      </c>
      <c r="N59" s="324">
        <v>45929</v>
      </c>
      <c r="O59" s="324">
        <v>45964</v>
      </c>
      <c r="P59" s="324">
        <v>45982</v>
      </c>
      <c r="Q59" s="324">
        <v>45982</v>
      </c>
      <c r="R59" s="324">
        <v>45985</v>
      </c>
      <c r="S59" s="45">
        <f t="shared" si="8"/>
        <v>25</v>
      </c>
      <c r="T59" s="45">
        <f t="shared" si="9"/>
        <v>14</v>
      </c>
      <c r="U59" s="45">
        <f t="shared" si="6"/>
        <v>14</v>
      </c>
      <c r="V59" s="45">
        <f t="shared" si="7"/>
        <v>1</v>
      </c>
      <c r="W59" s="133" t="s">
        <v>150</v>
      </c>
      <c r="X59" s="11" t="s">
        <v>50</v>
      </c>
      <c r="Y59" s="133">
        <v>21</v>
      </c>
      <c r="Z59" s="11" t="s">
        <v>57</v>
      </c>
      <c r="AA59" s="11" t="s">
        <v>57</v>
      </c>
      <c r="AB59" s="11">
        <v>1750</v>
      </c>
      <c r="AC59" s="11" t="s">
        <v>3215</v>
      </c>
      <c r="AD59" s="96" t="s">
        <v>2264</v>
      </c>
      <c r="AE59" s="462"/>
      <c r="AF59" s="1"/>
      <c r="AG59" s="1"/>
    </row>
    <row r="60" spans="1:33">
      <c r="A60" s="76" t="s">
        <v>776</v>
      </c>
      <c r="B60" s="338" t="s">
        <v>2850</v>
      </c>
      <c r="C60" s="339" t="s">
        <v>1151</v>
      </c>
      <c r="D60" s="427" t="s">
        <v>143</v>
      </c>
      <c r="E60" s="426">
        <v>15.126785549999999</v>
      </c>
      <c r="F60" s="428">
        <v>120.9511182</v>
      </c>
      <c r="G60" s="426" t="s">
        <v>2851</v>
      </c>
      <c r="H60" s="429">
        <v>44900</v>
      </c>
      <c r="I60" s="11" t="s">
        <v>3128</v>
      </c>
      <c r="J60" s="11" t="s">
        <v>22</v>
      </c>
      <c r="K60" s="11" t="s">
        <v>1838</v>
      </c>
      <c r="L60" s="11" t="s">
        <v>201</v>
      </c>
      <c r="M60" s="323" t="s">
        <v>3220</v>
      </c>
      <c r="N60" s="324">
        <v>45959</v>
      </c>
      <c r="O60" s="324">
        <v>45964</v>
      </c>
      <c r="P60" s="324">
        <v>45982</v>
      </c>
      <c r="Q60" s="324">
        <v>45982</v>
      </c>
      <c r="R60" s="324">
        <v>45985</v>
      </c>
      <c r="S60" s="45">
        <f t="shared" si="8"/>
        <v>3</v>
      </c>
      <c r="T60" s="45">
        <f t="shared" si="9"/>
        <v>14</v>
      </c>
      <c r="U60" s="45">
        <f t="shared" si="6"/>
        <v>14</v>
      </c>
      <c r="V60" s="45">
        <f t="shared" si="7"/>
        <v>1</v>
      </c>
      <c r="W60" s="133" t="s">
        <v>150</v>
      </c>
      <c r="X60" s="11" t="s">
        <v>50</v>
      </c>
      <c r="Y60" s="133">
        <v>21</v>
      </c>
      <c r="Z60" s="11" t="s">
        <v>50</v>
      </c>
      <c r="AA60" s="11" t="s">
        <v>57</v>
      </c>
      <c r="AB60" s="11" t="s">
        <v>3221</v>
      </c>
      <c r="AC60" s="11" t="s">
        <v>3221</v>
      </c>
      <c r="AD60" s="96" t="s">
        <v>3222</v>
      </c>
      <c r="AE60" s="462"/>
      <c r="AF60" s="1"/>
      <c r="AG60" s="1"/>
    </row>
    <row r="61" spans="1:33">
      <c r="A61" s="76" t="s">
        <v>776</v>
      </c>
      <c r="B61" s="338" t="s">
        <v>2841</v>
      </c>
      <c r="C61" s="339" t="s">
        <v>1151</v>
      </c>
      <c r="D61" s="339" t="s">
        <v>143</v>
      </c>
      <c r="E61" s="76">
        <v>15.139200000000001</v>
      </c>
      <c r="F61" s="340">
        <v>120.9774</v>
      </c>
      <c r="G61" s="76" t="str">
        <f>CONCATENATE(E61,",",F61)</f>
        <v>15.1392,120.9774</v>
      </c>
      <c r="H61" s="342">
        <v>44900</v>
      </c>
      <c r="I61" s="11" t="s">
        <v>3125</v>
      </c>
      <c r="J61" s="11" t="s">
        <v>22</v>
      </c>
      <c r="K61" s="11" t="s">
        <v>1838</v>
      </c>
      <c r="L61" s="11" t="s">
        <v>201</v>
      </c>
      <c r="M61" s="323" t="s">
        <v>3223</v>
      </c>
      <c r="N61" s="324">
        <v>45919</v>
      </c>
      <c r="O61" s="324">
        <v>45983</v>
      </c>
      <c r="P61" s="324">
        <v>45982</v>
      </c>
      <c r="Q61" s="324">
        <v>45982</v>
      </c>
      <c r="R61" s="324">
        <v>45985</v>
      </c>
      <c r="S61" s="45">
        <f t="shared" si="8"/>
        <v>45</v>
      </c>
      <c r="T61" s="45">
        <f t="shared" si="9"/>
        <v>1</v>
      </c>
      <c r="U61" s="45">
        <f t="shared" si="6"/>
        <v>1</v>
      </c>
      <c r="V61" s="45">
        <f t="shared" si="7"/>
        <v>1</v>
      </c>
      <c r="W61" s="133" t="s">
        <v>150</v>
      </c>
      <c r="X61" s="11" t="s">
        <v>50</v>
      </c>
      <c r="Y61" s="133">
        <v>15</v>
      </c>
      <c r="Z61" s="11" t="s">
        <v>57</v>
      </c>
      <c r="AA61" s="11" t="s">
        <v>57</v>
      </c>
      <c r="AB61" s="11">
        <v>2700</v>
      </c>
      <c r="AC61" s="11" t="s">
        <v>3215</v>
      </c>
      <c r="AD61" s="96" t="s">
        <v>2264</v>
      </c>
      <c r="AE61" s="7"/>
      <c r="AF61" s="11"/>
      <c r="AG61" s="11"/>
    </row>
    <row r="62" spans="1:33">
      <c r="A62" s="76" t="s">
        <v>776</v>
      </c>
      <c r="B62" s="338" t="s">
        <v>2841</v>
      </c>
      <c r="C62" s="339" t="s">
        <v>1151</v>
      </c>
      <c r="D62" s="339" t="s">
        <v>143</v>
      </c>
      <c r="E62" s="76">
        <v>15.140499999999999</v>
      </c>
      <c r="F62" s="340">
        <v>120.96810000000001</v>
      </c>
      <c r="G62" s="76" t="str">
        <f>CONCATENATE(E62,",",F62)</f>
        <v>15.1405,120.9681</v>
      </c>
      <c r="H62" s="342">
        <v>44900</v>
      </c>
      <c r="I62" s="11" t="s">
        <v>3127</v>
      </c>
      <c r="J62" s="11" t="s">
        <v>22</v>
      </c>
      <c r="K62" s="11" t="s">
        <v>1838</v>
      </c>
      <c r="L62" s="11" t="s">
        <v>201</v>
      </c>
      <c r="M62" s="323" t="s">
        <v>3224</v>
      </c>
      <c r="N62" s="324">
        <v>45919</v>
      </c>
      <c r="O62" s="324">
        <v>45922</v>
      </c>
      <c r="P62" s="324">
        <v>45982</v>
      </c>
      <c r="Q62" s="324">
        <v>45982</v>
      </c>
      <c r="R62" s="324">
        <v>45985</v>
      </c>
      <c r="S62" s="45">
        <f t="shared" si="8"/>
        <v>1</v>
      </c>
      <c r="T62" s="45">
        <f t="shared" si="9"/>
        <v>44</v>
      </c>
      <c r="U62" s="45">
        <f t="shared" si="6"/>
        <v>44</v>
      </c>
      <c r="V62" s="45">
        <f t="shared" si="7"/>
        <v>1</v>
      </c>
      <c r="W62" s="133" t="s">
        <v>150</v>
      </c>
      <c r="X62" s="11" t="s">
        <v>50</v>
      </c>
      <c r="Y62" s="133">
        <v>10</v>
      </c>
      <c r="Z62" s="11" t="s">
        <v>57</v>
      </c>
      <c r="AA62" s="11" t="s">
        <v>57</v>
      </c>
      <c r="AB62" s="11">
        <v>2700</v>
      </c>
      <c r="AC62" s="11" t="s">
        <v>3215</v>
      </c>
      <c r="AD62" s="96" t="s">
        <v>2264</v>
      </c>
      <c r="AE62" s="649"/>
      <c r="AF62" s="1"/>
      <c r="AG62" s="1"/>
    </row>
    <row r="63" spans="1:33">
      <c r="A63" s="76" t="s">
        <v>776</v>
      </c>
      <c r="B63" s="338" t="s">
        <v>2861</v>
      </c>
      <c r="C63" s="339" t="s">
        <v>1151</v>
      </c>
      <c r="D63" s="339" t="s">
        <v>143</v>
      </c>
      <c r="E63" s="76">
        <v>15.18266</v>
      </c>
      <c r="F63" s="340">
        <v>120.96031000000001</v>
      </c>
      <c r="G63" s="76" t="str">
        <f>CONCATENATE(E63,",",F63)</f>
        <v>15.18266,120.96031</v>
      </c>
      <c r="H63" s="342">
        <v>44900</v>
      </c>
      <c r="I63" s="11" t="s">
        <v>3128</v>
      </c>
      <c r="J63" s="11" t="s">
        <v>22</v>
      </c>
      <c r="K63" s="11" t="s">
        <v>1838</v>
      </c>
      <c r="L63" s="11" t="s">
        <v>201</v>
      </c>
      <c r="M63" s="323" t="s">
        <v>3225</v>
      </c>
      <c r="N63" s="324">
        <v>45959</v>
      </c>
      <c r="O63" s="324">
        <v>45964</v>
      </c>
      <c r="P63" s="324">
        <v>45982</v>
      </c>
      <c r="Q63" s="324">
        <v>45982</v>
      </c>
      <c r="R63" s="324">
        <v>45985</v>
      </c>
      <c r="S63" s="45">
        <f t="shared" si="8"/>
        <v>3</v>
      </c>
      <c r="T63" s="45">
        <f t="shared" si="9"/>
        <v>14</v>
      </c>
      <c r="U63" s="45">
        <f t="shared" si="6"/>
        <v>14</v>
      </c>
      <c r="V63" s="45">
        <f t="shared" si="7"/>
        <v>1</v>
      </c>
      <c r="W63" s="133" t="s">
        <v>150</v>
      </c>
      <c r="X63" s="11" t="s">
        <v>50</v>
      </c>
      <c r="Y63" s="133">
        <v>21</v>
      </c>
      <c r="Z63" s="11" t="s">
        <v>57</v>
      </c>
      <c r="AA63" s="11" t="s">
        <v>57</v>
      </c>
      <c r="AB63" s="11">
        <v>1750</v>
      </c>
      <c r="AC63" s="11" t="s">
        <v>3215</v>
      </c>
      <c r="AD63" s="96" t="s">
        <v>2264</v>
      </c>
      <c r="AE63" s="462"/>
      <c r="AF63" s="1"/>
      <c r="AG63" s="1"/>
    </row>
    <row r="64" spans="1:33" ht="30">
      <c r="A64" s="76" t="s">
        <v>776</v>
      </c>
      <c r="B64" s="338" t="s">
        <v>2864</v>
      </c>
      <c r="C64" s="339" t="s">
        <v>1160</v>
      </c>
      <c r="D64" s="339" t="s">
        <v>143</v>
      </c>
      <c r="E64" s="76">
        <v>14.853016</v>
      </c>
      <c r="F64" s="340">
        <v>121.00062</v>
      </c>
      <c r="G64" s="76" t="s">
        <v>2865</v>
      </c>
      <c r="H64" s="342">
        <v>44915</v>
      </c>
      <c r="I64" s="11" t="s">
        <v>3125</v>
      </c>
      <c r="J64" s="11" t="s">
        <v>24</v>
      </c>
      <c r="K64" s="11"/>
      <c r="L64" s="11" t="s">
        <v>201</v>
      </c>
      <c r="M64" s="323" t="s">
        <v>2866</v>
      </c>
      <c r="N64" s="324">
        <v>45828</v>
      </c>
      <c r="O64" s="324">
        <v>45833</v>
      </c>
      <c r="P64" s="324"/>
      <c r="Q64" s="324">
        <v>45846</v>
      </c>
      <c r="R64" s="324">
        <v>45849</v>
      </c>
      <c r="S64" s="45">
        <f t="shared" si="8"/>
        <v>3</v>
      </c>
      <c r="T64" s="45" t="str">
        <f t="shared" si="9"/>
        <v/>
      </c>
      <c r="U64" s="45">
        <f t="shared" si="6"/>
        <v>9</v>
      </c>
      <c r="V64" s="45">
        <f t="shared" si="7"/>
        <v>3</v>
      </c>
      <c r="W64" s="133" t="s">
        <v>150</v>
      </c>
      <c r="X64" s="11" t="s">
        <v>57</v>
      </c>
      <c r="Y64" s="133">
        <v>10</v>
      </c>
      <c r="Z64" s="11" t="s">
        <v>57</v>
      </c>
      <c r="AA64" s="11" t="s">
        <v>50</v>
      </c>
      <c r="AB64" s="11" t="s">
        <v>2867</v>
      </c>
      <c r="AC64" s="11" t="s">
        <v>2671</v>
      </c>
      <c r="AD64" s="96" t="s">
        <v>3226</v>
      </c>
      <c r="AE64" s="649"/>
      <c r="AF64" s="1"/>
      <c r="AG64" s="1"/>
    </row>
    <row r="65" spans="1:33" ht="30">
      <c r="A65" s="76" t="s">
        <v>776</v>
      </c>
      <c r="B65" s="338" t="s">
        <v>2864</v>
      </c>
      <c r="C65" s="339" t="s">
        <v>1160</v>
      </c>
      <c r="D65" s="339" t="s">
        <v>143</v>
      </c>
      <c r="E65" s="76">
        <v>14.842599999999999</v>
      </c>
      <c r="F65" s="340">
        <v>121.00190000000001</v>
      </c>
      <c r="G65" s="76" t="s">
        <v>2868</v>
      </c>
      <c r="H65" s="342">
        <v>44915</v>
      </c>
      <c r="I65" s="11" t="s">
        <v>3125</v>
      </c>
      <c r="J65" s="11" t="s">
        <v>24</v>
      </c>
      <c r="K65" s="11"/>
      <c r="L65" s="11" t="s">
        <v>201</v>
      </c>
      <c r="M65" s="323" t="s">
        <v>2869</v>
      </c>
      <c r="N65" s="324">
        <v>45828</v>
      </c>
      <c r="O65" s="324">
        <v>45833</v>
      </c>
      <c r="P65" s="324"/>
      <c r="Q65" s="324">
        <v>45846</v>
      </c>
      <c r="R65" s="324">
        <v>45853</v>
      </c>
      <c r="S65" s="45">
        <f t="shared" si="8"/>
        <v>3</v>
      </c>
      <c r="T65" s="45" t="str">
        <f t="shared" si="9"/>
        <v/>
      </c>
      <c r="U65" s="45">
        <f t="shared" si="6"/>
        <v>9</v>
      </c>
      <c r="V65" s="45">
        <f t="shared" si="7"/>
        <v>5</v>
      </c>
      <c r="W65" s="133" t="s">
        <v>150</v>
      </c>
      <c r="X65" s="11" t="s">
        <v>57</v>
      </c>
      <c r="Y65" s="133">
        <v>10</v>
      </c>
      <c r="Z65" s="11" t="s">
        <v>57</v>
      </c>
      <c r="AA65" s="11" t="s">
        <v>50</v>
      </c>
      <c r="AB65" s="11" t="s">
        <v>2867</v>
      </c>
      <c r="AC65" s="11" t="s">
        <v>2671</v>
      </c>
      <c r="AD65" s="96" t="s">
        <v>3227</v>
      </c>
      <c r="AE65" s="649"/>
      <c r="AF65" s="1"/>
      <c r="AG65" s="1"/>
    </row>
    <row r="66" spans="1:33">
      <c r="A66" s="76" t="s">
        <v>776</v>
      </c>
      <c r="B66" s="338" t="s">
        <v>2870</v>
      </c>
      <c r="C66" s="339" t="s">
        <v>1160</v>
      </c>
      <c r="D66" s="339" t="s">
        <v>143</v>
      </c>
      <c r="E66" s="76">
        <v>14.837937999999999</v>
      </c>
      <c r="F66" s="340">
        <v>120.96456000000001</v>
      </c>
      <c r="G66" s="76" t="s">
        <v>2871</v>
      </c>
      <c r="H66" s="342">
        <v>44915</v>
      </c>
      <c r="I66" s="11" t="s">
        <v>3125</v>
      </c>
      <c r="J66" s="11" t="s">
        <v>24</v>
      </c>
      <c r="K66" s="11"/>
      <c r="L66" s="11" t="s">
        <v>201</v>
      </c>
      <c r="M66" s="323" t="s">
        <v>3228</v>
      </c>
      <c r="N66" s="324">
        <v>45826</v>
      </c>
      <c r="O66" s="324">
        <v>45833</v>
      </c>
      <c r="P66" s="324"/>
      <c r="Q66" s="324">
        <v>45846</v>
      </c>
      <c r="R66" s="324">
        <v>45853</v>
      </c>
      <c r="S66" s="45">
        <f t="shared" si="8"/>
        <v>5</v>
      </c>
      <c r="T66" s="45" t="str">
        <f t="shared" si="9"/>
        <v/>
      </c>
      <c r="U66" s="45">
        <f t="shared" ref="U66:U97" si="10">IF(
  OR(A66 = "Nueva_Ecija", A66 = "Zambales"),
  IF(
    OR(ISBLANK(P66), ISBLANK(Q66)),
    "",
    MAX(1, IF(
      NETWORKDAYS(P66, Q66) &lt;= 0,
      1,
      NETWORKDAYS(P66, Q66) - IF(P66 = Q66, 0, 1)
    ))
  ),
  IF(
    OR(ISBLANK(O66), ISBLANK(Q66)),
    "",
    MAX(1, IF(
      NETWORKDAYS(O66, Q66) &lt;= 0,
      1,
      NETWORKDAYS(O66, Q66) - IF(O66 = Q66, 0, 1)
    ))
  )
)</f>
        <v>9</v>
      </c>
      <c r="V66" s="45">
        <f t="shared" ref="V66:V97" si="11">IF(
    OR(ISBLANK(Q66), ISBLANK(R66)),
    "",
    MAX(1, IF(
        NETWORKDAYS(Q66, R66) &lt;= 0,
        1,
        NETWORKDAYS(Q66, R66) - IF(Q66 = R66, 0, 1)
    ))
)</f>
        <v>5</v>
      </c>
      <c r="W66" s="133" t="s">
        <v>150</v>
      </c>
      <c r="X66" s="11" t="s">
        <v>50</v>
      </c>
      <c r="Y66" s="133">
        <v>9</v>
      </c>
      <c r="Z66" s="11" t="s">
        <v>57</v>
      </c>
      <c r="AA66" s="11" t="s">
        <v>50</v>
      </c>
      <c r="AB66" s="11" t="s">
        <v>3229</v>
      </c>
      <c r="AC66" s="11" t="s">
        <v>808</v>
      </c>
      <c r="AD66" s="96"/>
      <c r="AE66" s="649"/>
      <c r="AF66" s="1"/>
      <c r="AG66" s="1"/>
    </row>
    <row r="67" spans="1:33">
      <c r="A67" s="76" t="s">
        <v>776</v>
      </c>
      <c r="B67" s="338" t="s">
        <v>2874</v>
      </c>
      <c r="C67" s="339" t="s">
        <v>1160</v>
      </c>
      <c r="D67" s="339" t="s">
        <v>143</v>
      </c>
      <c r="E67" s="76">
        <v>14.830938</v>
      </c>
      <c r="F67" s="340">
        <v>120.96434000000001</v>
      </c>
      <c r="G67" s="76" t="s">
        <v>2875</v>
      </c>
      <c r="H67" s="342">
        <v>44915</v>
      </c>
      <c r="I67" s="11" t="s">
        <v>3125</v>
      </c>
      <c r="J67" s="11" t="s">
        <v>24</v>
      </c>
      <c r="K67" s="11"/>
      <c r="L67" s="11" t="s">
        <v>201</v>
      </c>
      <c r="M67" s="323" t="s">
        <v>2876</v>
      </c>
      <c r="N67" s="324">
        <v>45826</v>
      </c>
      <c r="O67" s="324">
        <v>45833</v>
      </c>
      <c r="P67" s="324"/>
      <c r="Q67" s="324">
        <v>45846</v>
      </c>
      <c r="R67" s="324">
        <v>45853</v>
      </c>
      <c r="S67" s="45">
        <f t="shared" si="8"/>
        <v>5</v>
      </c>
      <c r="T67" s="45" t="str">
        <f t="shared" si="9"/>
        <v/>
      </c>
      <c r="U67" s="45">
        <f t="shared" si="10"/>
        <v>9</v>
      </c>
      <c r="V67" s="45">
        <f t="shared" si="11"/>
        <v>5</v>
      </c>
      <c r="W67" s="133" t="s">
        <v>150</v>
      </c>
      <c r="X67" s="11" t="s">
        <v>50</v>
      </c>
      <c r="Y67" s="133">
        <v>19</v>
      </c>
      <c r="Z67" s="11" t="s">
        <v>57</v>
      </c>
      <c r="AA67" s="11" t="s">
        <v>50</v>
      </c>
      <c r="AB67" s="11" t="s">
        <v>1239</v>
      </c>
      <c r="AC67" s="11" t="s">
        <v>2877</v>
      </c>
      <c r="AD67" s="96"/>
      <c r="AE67" s="649"/>
      <c r="AF67" s="1"/>
      <c r="AG67" s="1"/>
    </row>
    <row r="68" spans="1:33">
      <c r="A68" s="76" t="s">
        <v>2286</v>
      </c>
      <c r="B68" s="338" t="s">
        <v>2878</v>
      </c>
      <c r="C68" s="339" t="s">
        <v>2879</v>
      </c>
      <c r="D68" s="339" t="s">
        <v>143</v>
      </c>
      <c r="E68" s="76">
        <v>15.481036700000001</v>
      </c>
      <c r="F68" s="340">
        <v>120.966427</v>
      </c>
      <c r="G68" s="76" t="s">
        <v>2880</v>
      </c>
      <c r="H68" s="342">
        <v>44901</v>
      </c>
      <c r="I68" s="11" t="s">
        <v>3129</v>
      </c>
      <c r="J68" s="11" t="s">
        <v>267</v>
      </c>
      <c r="K68" s="11" t="s">
        <v>1610</v>
      </c>
      <c r="L68" s="11" t="s">
        <v>212</v>
      </c>
      <c r="M68" s="323" t="s">
        <v>3230</v>
      </c>
      <c r="N68" s="324">
        <v>45965</v>
      </c>
      <c r="O68" s="324">
        <v>45972</v>
      </c>
      <c r="P68" s="324">
        <v>45980</v>
      </c>
      <c r="Q68" s="324">
        <v>45980</v>
      </c>
      <c r="R68" s="324">
        <v>45981</v>
      </c>
      <c r="S68" s="45">
        <f t="shared" si="8"/>
        <v>5</v>
      </c>
      <c r="T68" s="45">
        <f t="shared" si="9"/>
        <v>6</v>
      </c>
      <c r="U68" s="45">
        <f t="shared" si="10"/>
        <v>1</v>
      </c>
      <c r="V68" s="45">
        <f t="shared" si="11"/>
        <v>1</v>
      </c>
      <c r="W68" s="133" t="s">
        <v>150</v>
      </c>
      <c r="X68" s="11" t="s">
        <v>50</v>
      </c>
      <c r="Y68" s="133">
        <v>7</v>
      </c>
      <c r="Z68" s="11" t="s">
        <v>57</v>
      </c>
      <c r="AA68" s="11" t="s">
        <v>50</v>
      </c>
      <c r="AB68" s="11"/>
      <c r="AC68" s="11" t="s">
        <v>2671</v>
      </c>
      <c r="AD68" s="133"/>
      <c r="AE68" s="462"/>
      <c r="AF68" s="1"/>
      <c r="AG68" s="1"/>
    </row>
    <row r="69" spans="1:33">
      <c r="A69" s="76" t="s">
        <v>2286</v>
      </c>
      <c r="B69" s="338" t="s">
        <v>2883</v>
      </c>
      <c r="C69" s="339" t="s">
        <v>2879</v>
      </c>
      <c r="D69" s="339" t="s">
        <v>143</v>
      </c>
      <c r="E69" s="76">
        <v>15.47551717</v>
      </c>
      <c r="F69" s="340">
        <v>120.9622255</v>
      </c>
      <c r="G69" s="76" t="s">
        <v>2884</v>
      </c>
      <c r="H69" s="342">
        <v>44901</v>
      </c>
      <c r="I69" s="11" t="s">
        <v>3126</v>
      </c>
      <c r="J69" s="11" t="s">
        <v>267</v>
      </c>
      <c r="K69" s="11" t="s">
        <v>28</v>
      </c>
      <c r="L69" s="11" t="s">
        <v>212</v>
      </c>
      <c r="M69" s="323" t="s">
        <v>3231</v>
      </c>
      <c r="N69" s="324">
        <v>45874</v>
      </c>
      <c r="O69" s="324">
        <v>45877</v>
      </c>
      <c r="P69" s="324">
        <v>45881</v>
      </c>
      <c r="Q69" s="324">
        <v>45882</v>
      </c>
      <c r="R69" s="324">
        <v>45884</v>
      </c>
      <c r="S69" s="45">
        <f t="shared" si="8"/>
        <v>3</v>
      </c>
      <c r="T69" s="45">
        <f t="shared" si="9"/>
        <v>2</v>
      </c>
      <c r="U69" s="45">
        <f t="shared" si="10"/>
        <v>1</v>
      </c>
      <c r="V69" s="45">
        <f t="shared" si="11"/>
        <v>2</v>
      </c>
      <c r="W69" s="133" t="s">
        <v>150</v>
      </c>
      <c r="X69" s="11" t="s">
        <v>50</v>
      </c>
      <c r="Y69" s="133">
        <v>6</v>
      </c>
      <c r="Z69" s="11" t="s">
        <v>57</v>
      </c>
      <c r="AA69" s="11" t="s">
        <v>57</v>
      </c>
      <c r="AB69" s="11" t="s">
        <v>3232</v>
      </c>
      <c r="AC69" s="10">
        <v>45864</v>
      </c>
      <c r="AD69" s="96" t="s">
        <v>2264</v>
      </c>
      <c r="AE69" s="649"/>
      <c r="AF69" s="1"/>
      <c r="AG69" s="1"/>
    </row>
    <row r="70" spans="1:33">
      <c r="A70" s="76" t="s">
        <v>2286</v>
      </c>
      <c r="B70" s="338" t="s">
        <v>2886</v>
      </c>
      <c r="C70" s="339" t="s">
        <v>2879</v>
      </c>
      <c r="D70" s="339" t="s">
        <v>143</v>
      </c>
      <c r="E70" s="76">
        <v>15.4846</v>
      </c>
      <c r="F70" s="340">
        <v>120.97280000000001</v>
      </c>
      <c r="G70" s="76" t="s">
        <v>2887</v>
      </c>
      <c r="H70" s="342">
        <v>44901</v>
      </c>
      <c r="I70" s="11" t="s">
        <v>3128</v>
      </c>
      <c r="J70" s="11" t="s">
        <v>267</v>
      </c>
      <c r="K70" s="11" t="s">
        <v>1610</v>
      </c>
      <c r="L70" s="11" t="s">
        <v>212</v>
      </c>
      <c r="M70" s="323" t="s">
        <v>3233</v>
      </c>
      <c r="N70" s="324">
        <v>45932</v>
      </c>
      <c r="O70" s="324">
        <v>45936</v>
      </c>
      <c r="P70" s="324">
        <v>45938</v>
      </c>
      <c r="Q70" s="324">
        <v>45938</v>
      </c>
      <c r="R70" s="324">
        <v>45940</v>
      </c>
      <c r="S70" s="45">
        <f t="shared" si="8"/>
        <v>2</v>
      </c>
      <c r="T70" s="45">
        <f t="shared" si="9"/>
        <v>2</v>
      </c>
      <c r="U70" s="45">
        <f t="shared" si="10"/>
        <v>1</v>
      </c>
      <c r="V70" s="45">
        <f t="shared" si="11"/>
        <v>2</v>
      </c>
      <c r="W70" s="133" t="s">
        <v>150</v>
      </c>
      <c r="X70" s="11" t="s">
        <v>50</v>
      </c>
      <c r="Y70" s="133">
        <v>7</v>
      </c>
      <c r="Z70" s="11" t="s">
        <v>57</v>
      </c>
      <c r="AA70" s="11" t="s">
        <v>57</v>
      </c>
      <c r="AB70" s="11"/>
      <c r="AC70" s="11" t="s">
        <v>2671</v>
      </c>
      <c r="AD70" s="133" t="s">
        <v>2264</v>
      </c>
      <c r="AE70" s="462"/>
      <c r="AF70" s="1"/>
      <c r="AG70" s="1"/>
    </row>
    <row r="71" spans="1:33" ht="90">
      <c r="A71" s="76" t="s">
        <v>2286</v>
      </c>
      <c r="B71" s="338" t="s">
        <v>2891</v>
      </c>
      <c r="C71" s="339" t="s">
        <v>2879</v>
      </c>
      <c r="D71" s="339" t="s">
        <v>143</v>
      </c>
      <c r="E71" s="76">
        <v>15.49064486</v>
      </c>
      <c r="F71" s="340">
        <v>120.96373952</v>
      </c>
      <c r="G71" s="76" t="s">
        <v>2892</v>
      </c>
      <c r="H71" s="342">
        <v>44901</v>
      </c>
      <c r="I71" s="11" t="s">
        <v>3128</v>
      </c>
      <c r="J71" s="11" t="s">
        <v>267</v>
      </c>
      <c r="K71" s="11" t="s">
        <v>1610</v>
      </c>
      <c r="L71" s="11" t="s">
        <v>212</v>
      </c>
      <c r="M71" s="323" t="s">
        <v>3234</v>
      </c>
      <c r="N71" s="324">
        <v>45932</v>
      </c>
      <c r="O71" s="324">
        <v>45936</v>
      </c>
      <c r="P71" s="324">
        <v>45938</v>
      </c>
      <c r="Q71" s="324">
        <v>45938</v>
      </c>
      <c r="R71" s="324">
        <v>45940</v>
      </c>
      <c r="S71" s="45">
        <f t="shared" si="8"/>
        <v>2</v>
      </c>
      <c r="T71" s="45">
        <f t="shared" si="9"/>
        <v>2</v>
      </c>
      <c r="U71" s="45">
        <f t="shared" si="10"/>
        <v>1</v>
      </c>
      <c r="V71" s="45">
        <f t="shared" si="11"/>
        <v>2</v>
      </c>
      <c r="W71" s="133" t="s">
        <v>150</v>
      </c>
      <c r="X71" s="11" t="s">
        <v>50</v>
      </c>
      <c r="Y71" s="133">
        <v>14</v>
      </c>
      <c r="Z71" s="11" t="s">
        <v>57</v>
      </c>
      <c r="AA71" s="11" t="s">
        <v>50</v>
      </c>
      <c r="AB71" s="11"/>
      <c r="AC71" s="11" t="s">
        <v>2671</v>
      </c>
      <c r="AD71" s="96" t="s">
        <v>3235</v>
      </c>
      <c r="AE71" s="462"/>
      <c r="AF71" s="1"/>
      <c r="AG71" s="1"/>
    </row>
    <row r="72" spans="1:33">
      <c r="A72" s="76" t="s">
        <v>2286</v>
      </c>
      <c r="B72" s="338" t="s">
        <v>2895</v>
      </c>
      <c r="C72" s="339" t="s">
        <v>2879</v>
      </c>
      <c r="D72" s="339" t="s">
        <v>143</v>
      </c>
      <c r="E72" s="76">
        <v>15.489699999999999</v>
      </c>
      <c r="F72" s="340">
        <v>120.9616</v>
      </c>
      <c r="G72" s="76" t="s">
        <v>2896</v>
      </c>
      <c r="H72" s="342">
        <v>44901</v>
      </c>
      <c r="I72" s="11" t="s">
        <v>3126</v>
      </c>
      <c r="J72" s="11" t="s">
        <v>267</v>
      </c>
      <c r="K72" s="11" t="s">
        <v>28</v>
      </c>
      <c r="L72" s="11" t="s">
        <v>212</v>
      </c>
      <c r="M72" s="323" t="s">
        <v>3236</v>
      </c>
      <c r="N72" s="324">
        <v>45874</v>
      </c>
      <c r="O72" s="324">
        <v>45877</v>
      </c>
      <c r="P72" s="324">
        <v>45881</v>
      </c>
      <c r="Q72" s="324">
        <v>45882</v>
      </c>
      <c r="R72" s="324">
        <v>45884</v>
      </c>
      <c r="S72" s="45">
        <f t="shared" si="8"/>
        <v>3</v>
      </c>
      <c r="T72" s="45">
        <f t="shared" si="9"/>
        <v>2</v>
      </c>
      <c r="U72" s="45">
        <f t="shared" si="10"/>
        <v>1</v>
      </c>
      <c r="V72" s="45">
        <f t="shared" si="11"/>
        <v>2</v>
      </c>
      <c r="W72" s="133" t="s">
        <v>150</v>
      </c>
      <c r="X72" s="11" t="s">
        <v>50</v>
      </c>
      <c r="Y72" s="133">
        <v>14</v>
      </c>
      <c r="Z72" s="11" t="s">
        <v>57</v>
      </c>
      <c r="AA72" s="11" t="s">
        <v>57</v>
      </c>
      <c r="AB72" s="11" t="s">
        <v>3237</v>
      </c>
      <c r="AC72" s="10">
        <v>45731</v>
      </c>
      <c r="AD72" s="96" t="s">
        <v>2264</v>
      </c>
      <c r="AE72" s="649"/>
      <c r="AF72" s="1"/>
      <c r="AG72" s="1"/>
    </row>
    <row r="73" spans="1:33">
      <c r="A73" s="76" t="s">
        <v>2286</v>
      </c>
      <c r="B73" s="338" t="s">
        <v>2899</v>
      </c>
      <c r="C73" s="339" t="s">
        <v>2879</v>
      </c>
      <c r="D73" s="339" t="s">
        <v>143</v>
      </c>
      <c r="E73" s="76">
        <v>15.485900000000001</v>
      </c>
      <c r="F73" s="340">
        <v>120.95350000000001</v>
      </c>
      <c r="G73" s="76" t="s">
        <v>2900</v>
      </c>
      <c r="H73" s="342">
        <v>44901</v>
      </c>
      <c r="I73" s="11" t="s">
        <v>3125</v>
      </c>
      <c r="J73" s="11" t="s">
        <v>267</v>
      </c>
      <c r="K73" s="11" t="s">
        <v>28</v>
      </c>
      <c r="L73" s="11" t="s">
        <v>212</v>
      </c>
      <c r="M73" s="323" t="s">
        <v>3238</v>
      </c>
      <c r="N73" s="324">
        <v>45842</v>
      </c>
      <c r="O73" s="324">
        <v>45847</v>
      </c>
      <c r="P73" s="324">
        <v>45854</v>
      </c>
      <c r="Q73" s="324">
        <v>45855</v>
      </c>
      <c r="R73" s="324">
        <v>45855</v>
      </c>
      <c r="S73" s="45">
        <f t="shared" si="8"/>
        <v>3</v>
      </c>
      <c r="T73" s="45">
        <f t="shared" si="9"/>
        <v>5</v>
      </c>
      <c r="U73" s="45">
        <f t="shared" si="10"/>
        <v>1</v>
      </c>
      <c r="V73" s="45">
        <f t="shared" si="11"/>
        <v>1</v>
      </c>
      <c r="W73" s="133" t="s">
        <v>150</v>
      </c>
      <c r="X73" s="11" t="s">
        <v>50</v>
      </c>
      <c r="Y73" s="133">
        <v>7</v>
      </c>
      <c r="Z73" s="11" t="s">
        <v>57</v>
      </c>
      <c r="AA73" s="11" t="s">
        <v>57</v>
      </c>
      <c r="AB73" s="11" t="s">
        <v>2972</v>
      </c>
      <c r="AC73" s="11" t="s">
        <v>2671</v>
      </c>
      <c r="AD73" s="96"/>
      <c r="AE73" s="649"/>
      <c r="AF73" s="1"/>
      <c r="AG73" s="1"/>
    </row>
    <row r="74" spans="1:33">
      <c r="A74" s="76" t="s">
        <v>2286</v>
      </c>
      <c r="B74" s="338" t="s">
        <v>2903</v>
      </c>
      <c r="C74" s="339" t="s">
        <v>2879</v>
      </c>
      <c r="D74" s="339" t="s">
        <v>143</v>
      </c>
      <c r="E74" s="76">
        <v>15.472770000000001</v>
      </c>
      <c r="F74" s="340">
        <v>120.95009</v>
      </c>
      <c r="G74" s="76" t="s">
        <v>2904</v>
      </c>
      <c r="H74" s="342">
        <v>44901</v>
      </c>
      <c r="I74" s="11" t="s">
        <v>3125</v>
      </c>
      <c r="J74" s="11" t="s">
        <v>267</v>
      </c>
      <c r="K74" s="11" t="s">
        <v>28</v>
      </c>
      <c r="L74" s="11" t="s">
        <v>212</v>
      </c>
      <c r="M74" s="323" t="s">
        <v>3239</v>
      </c>
      <c r="N74" s="324">
        <v>45842</v>
      </c>
      <c r="O74" s="324">
        <v>45847</v>
      </c>
      <c r="P74" s="324">
        <v>45854</v>
      </c>
      <c r="Q74" s="324">
        <v>45855</v>
      </c>
      <c r="R74" s="324">
        <v>45855</v>
      </c>
      <c r="S74" s="45">
        <f t="shared" si="8"/>
        <v>3</v>
      </c>
      <c r="T74" s="45">
        <f t="shared" si="9"/>
        <v>5</v>
      </c>
      <c r="U74" s="45">
        <f t="shared" si="10"/>
        <v>1</v>
      </c>
      <c r="V74" s="45">
        <f t="shared" si="11"/>
        <v>1</v>
      </c>
      <c r="W74" s="133" t="s">
        <v>150</v>
      </c>
      <c r="X74" s="11" t="s">
        <v>50</v>
      </c>
      <c r="Y74" s="133">
        <v>12</v>
      </c>
      <c r="Z74" s="11" t="s">
        <v>57</v>
      </c>
      <c r="AA74" s="11" t="s">
        <v>57</v>
      </c>
      <c r="AB74" s="11" t="s">
        <v>1239</v>
      </c>
      <c r="AC74" s="11" t="s">
        <v>2671</v>
      </c>
      <c r="AD74" s="96"/>
      <c r="AE74" s="649"/>
      <c r="AF74" s="1"/>
      <c r="AG74" s="1"/>
    </row>
    <row r="75" spans="1:33" s="66" customFormat="1">
      <c r="A75" s="76" t="s">
        <v>2286</v>
      </c>
      <c r="B75" s="338" t="s">
        <v>2906</v>
      </c>
      <c r="C75" s="339" t="s">
        <v>1202</v>
      </c>
      <c r="D75" s="339" t="s">
        <v>143</v>
      </c>
      <c r="E75" s="76">
        <v>15.304081999999999</v>
      </c>
      <c r="F75" s="340">
        <v>120.946623</v>
      </c>
      <c r="G75" s="76" t="str">
        <f>_xlfn.CONCAT(E75:F75)</f>
        <v>15.304082120.946623</v>
      </c>
      <c r="H75" s="342">
        <v>44914</v>
      </c>
      <c r="I75" s="11" t="s">
        <v>3127</v>
      </c>
      <c r="J75" s="11" t="s">
        <v>30</v>
      </c>
      <c r="K75" s="11" t="s">
        <v>28</v>
      </c>
      <c r="L75" s="11" t="s">
        <v>212</v>
      </c>
      <c r="M75" s="715" t="s">
        <v>3240</v>
      </c>
      <c r="N75" s="324">
        <v>45916</v>
      </c>
      <c r="O75" s="324">
        <v>45918</v>
      </c>
      <c r="P75" s="324">
        <v>45918</v>
      </c>
      <c r="Q75" s="324">
        <v>45918</v>
      </c>
      <c r="R75" s="324">
        <v>45918</v>
      </c>
      <c r="S75" s="45">
        <f t="shared" si="8"/>
        <v>2</v>
      </c>
      <c r="T75" s="45">
        <f t="shared" si="9"/>
        <v>1</v>
      </c>
      <c r="U75" s="45">
        <f t="shared" si="10"/>
        <v>1</v>
      </c>
      <c r="V75" s="45">
        <f t="shared" si="11"/>
        <v>1</v>
      </c>
      <c r="W75" s="133" t="s">
        <v>150</v>
      </c>
      <c r="X75" s="11" t="s">
        <v>50</v>
      </c>
      <c r="Y75" s="133">
        <v>13</v>
      </c>
      <c r="Z75" s="11" t="s">
        <v>50</v>
      </c>
      <c r="AA75" s="11" t="s">
        <v>50</v>
      </c>
      <c r="AB75" s="11">
        <v>50</v>
      </c>
      <c r="AC75" s="621">
        <v>45870</v>
      </c>
      <c r="AD75" s="96" t="s">
        <v>2264</v>
      </c>
      <c r="AE75" s="7" t="s">
        <v>3241</v>
      </c>
      <c r="AF75" s="6"/>
      <c r="AG75" s="6"/>
    </row>
    <row r="76" spans="1:33" s="66" customFormat="1">
      <c r="A76" s="76" t="s">
        <v>2286</v>
      </c>
      <c r="B76" s="338" t="s">
        <v>2910</v>
      </c>
      <c r="C76" s="339" t="s">
        <v>1202</v>
      </c>
      <c r="D76" s="339" t="s">
        <v>143</v>
      </c>
      <c r="E76" s="76">
        <v>15.234044000000001</v>
      </c>
      <c r="F76" s="340">
        <v>120.93894400000001</v>
      </c>
      <c r="G76" s="76" t="str">
        <f>_xlfn.CONCAT(E76:F76)</f>
        <v>15.234044120.938944</v>
      </c>
      <c r="H76" s="342">
        <v>44914</v>
      </c>
      <c r="I76" s="11" t="s">
        <v>3127</v>
      </c>
      <c r="J76" s="11" t="s">
        <v>30</v>
      </c>
      <c r="K76" s="11" t="s">
        <v>28</v>
      </c>
      <c r="L76" s="11" t="s">
        <v>212</v>
      </c>
      <c r="M76" s="330" t="s">
        <v>3242</v>
      </c>
      <c r="N76" s="324">
        <v>45916</v>
      </c>
      <c r="O76" s="324">
        <v>45918</v>
      </c>
      <c r="P76" s="324">
        <v>45918</v>
      </c>
      <c r="Q76" s="324">
        <v>45918</v>
      </c>
      <c r="R76" s="324">
        <v>45918</v>
      </c>
      <c r="S76" s="45">
        <f t="shared" si="8"/>
        <v>2</v>
      </c>
      <c r="T76" s="45">
        <f t="shared" si="9"/>
        <v>1</v>
      </c>
      <c r="U76" s="45">
        <f t="shared" si="10"/>
        <v>1</v>
      </c>
      <c r="V76" s="45">
        <f t="shared" si="11"/>
        <v>1</v>
      </c>
      <c r="W76" s="133" t="s">
        <v>150</v>
      </c>
      <c r="X76" s="11" t="s">
        <v>57</v>
      </c>
      <c r="Y76" s="133">
        <v>10</v>
      </c>
      <c r="Z76" s="11" t="s">
        <v>57</v>
      </c>
      <c r="AA76" s="11" t="s">
        <v>57</v>
      </c>
      <c r="AB76" s="11">
        <v>50</v>
      </c>
      <c r="AC76" s="621">
        <v>45870</v>
      </c>
      <c r="AD76" s="96" t="s">
        <v>3243</v>
      </c>
      <c r="AE76" s="7" t="s">
        <v>3241</v>
      </c>
      <c r="AF76" s="6"/>
      <c r="AG76" s="6"/>
    </row>
    <row r="77" spans="1:33">
      <c r="A77" s="76" t="s">
        <v>2286</v>
      </c>
      <c r="B77" s="338" t="s">
        <v>2362</v>
      </c>
      <c r="C77" s="339" t="s">
        <v>1180</v>
      </c>
      <c r="D77" s="339" t="s">
        <v>143</v>
      </c>
      <c r="E77" s="76">
        <v>15.26365302</v>
      </c>
      <c r="F77" s="340">
        <v>120.91395322</v>
      </c>
      <c r="G77" s="76" t="s">
        <v>2914</v>
      </c>
      <c r="H77" s="342">
        <v>44903</v>
      </c>
      <c r="I77" s="11" t="s">
        <v>3129</v>
      </c>
      <c r="J77" s="11" t="s">
        <v>30</v>
      </c>
      <c r="K77" s="11" t="s">
        <v>1610</v>
      </c>
      <c r="L77" s="11" t="s">
        <v>212</v>
      </c>
      <c r="M77" s="323" t="s">
        <v>3244</v>
      </c>
      <c r="N77" s="324">
        <v>45958</v>
      </c>
      <c r="O77" s="324">
        <v>45963</v>
      </c>
      <c r="P77" s="324">
        <v>45966</v>
      </c>
      <c r="Q77" s="324">
        <v>45971</v>
      </c>
      <c r="R77" s="324">
        <v>45981</v>
      </c>
      <c r="S77" s="45">
        <f t="shared" si="8"/>
        <v>3</v>
      </c>
      <c r="T77" s="45">
        <f t="shared" si="9"/>
        <v>2</v>
      </c>
      <c r="U77" s="45">
        <f t="shared" si="10"/>
        <v>3</v>
      </c>
      <c r="V77" s="45">
        <f t="shared" si="11"/>
        <v>8</v>
      </c>
      <c r="W77" s="133" t="s">
        <v>150</v>
      </c>
      <c r="X77" s="11" t="s">
        <v>50</v>
      </c>
      <c r="Y77" s="133">
        <v>9</v>
      </c>
      <c r="Z77" s="11" t="s">
        <v>57</v>
      </c>
      <c r="AA77" s="11" t="s">
        <v>50</v>
      </c>
      <c r="AB77" s="11">
        <v>300</v>
      </c>
      <c r="AC77" s="11" t="s">
        <v>2808</v>
      </c>
      <c r="AD77" s="133" t="s">
        <v>2264</v>
      </c>
      <c r="AE77" s="462"/>
      <c r="AF77" s="1"/>
      <c r="AG77" s="1"/>
    </row>
    <row r="78" spans="1:33">
      <c r="A78" s="76" t="s">
        <v>2286</v>
      </c>
      <c r="B78" s="338" t="s">
        <v>2362</v>
      </c>
      <c r="C78" s="339" t="s">
        <v>1180</v>
      </c>
      <c r="D78" s="339" t="s">
        <v>143</v>
      </c>
      <c r="E78" s="76">
        <v>15.271058</v>
      </c>
      <c r="F78" s="340">
        <v>120.91288400000001</v>
      </c>
      <c r="G78" s="76" t="s">
        <v>2916</v>
      </c>
      <c r="H78" s="342">
        <v>44903</v>
      </c>
      <c r="I78" s="11" t="s">
        <v>3129</v>
      </c>
      <c r="J78" s="11" t="s">
        <v>30</v>
      </c>
      <c r="K78" s="11" t="s">
        <v>1610</v>
      </c>
      <c r="L78" s="11" t="s">
        <v>212</v>
      </c>
      <c r="M78" s="323" t="s">
        <v>3245</v>
      </c>
      <c r="N78" s="324">
        <v>45958</v>
      </c>
      <c r="O78" s="324">
        <v>45963</v>
      </c>
      <c r="P78" s="324">
        <v>45966</v>
      </c>
      <c r="Q78" s="324">
        <v>45971</v>
      </c>
      <c r="R78" s="324">
        <v>45981</v>
      </c>
      <c r="S78" s="45">
        <f t="shared" si="8"/>
        <v>3</v>
      </c>
      <c r="T78" s="45">
        <f t="shared" si="9"/>
        <v>2</v>
      </c>
      <c r="U78" s="45">
        <f t="shared" si="10"/>
        <v>3</v>
      </c>
      <c r="V78" s="45">
        <f t="shared" si="11"/>
        <v>8</v>
      </c>
      <c r="W78" s="133" t="s">
        <v>150</v>
      </c>
      <c r="X78" s="11" t="s">
        <v>50</v>
      </c>
      <c r="Y78" s="133">
        <v>9</v>
      </c>
      <c r="Z78" s="11" t="s">
        <v>57</v>
      </c>
      <c r="AA78" s="11" t="s">
        <v>50</v>
      </c>
      <c r="AB78" s="11">
        <v>300</v>
      </c>
      <c r="AC78" s="11" t="s">
        <v>2808</v>
      </c>
      <c r="AD78" s="133" t="s">
        <v>2264</v>
      </c>
      <c r="AE78" s="462"/>
      <c r="AF78" s="1"/>
      <c r="AG78" s="1"/>
    </row>
    <row r="79" spans="1:33" ht="60">
      <c r="A79" s="76" t="s">
        <v>778</v>
      </c>
      <c r="B79" s="338" t="s">
        <v>2918</v>
      </c>
      <c r="C79" s="339" t="s">
        <v>1343</v>
      </c>
      <c r="D79" s="339" t="s">
        <v>143</v>
      </c>
      <c r="E79" s="76" t="s">
        <v>3246</v>
      </c>
      <c r="F79" s="340" t="s">
        <v>3247</v>
      </c>
      <c r="G79" s="76" t="str">
        <f>CONCATENATE(E79,",",F79)</f>
        <v>14.9362N,120.7615E</v>
      </c>
      <c r="H79" s="342">
        <v>44910</v>
      </c>
      <c r="I79" s="11" t="s">
        <v>3126</v>
      </c>
      <c r="J79" s="11" t="s">
        <v>34</v>
      </c>
      <c r="K79" s="7" t="s">
        <v>28</v>
      </c>
      <c r="L79" s="11" t="s">
        <v>148</v>
      </c>
      <c r="M79" s="323" t="s">
        <v>3248</v>
      </c>
      <c r="N79" s="324">
        <v>45849</v>
      </c>
      <c r="O79" s="324">
        <v>45856</v>
      </c>
      <c r="P79" s="324">
        <v>45856</v>
      </c>
      <c r="Q79" s="324">
        <v>45866</v>
      </c>
      <c r="R79" s="324">
        <v>45866</v>
      </c>
      <c r="S79" s="45">
        <f t="shared" si="8"/>
        <v>5</v>
      </c>
      <c r="T79" s="45">
        <f t="shared" si="9"/>
        <v>1</v>
      </c>
      <c r="U79" s="45">
        <f t="shared" si="10"/>
        <v>6</v>
      </c>
      <c r="V79" s="45">
        <f t="shared" si="11"/>
        <v>1</v>
      </c>
      <c r="W79" s="133" t="s">
        <v>150</v>
      </c>
      <c r="X79" s="11" t="s">
        <v>57</v>
      </c>
      <c r="Y79" s="133">
        <v>0</v>
      </c>
      <c r="Z79" s="11" t="s">
        <v>57</v>
      </c>
      <c r="AA79" s="11" t="s">
        <v>57</v>
      </c>
      <c r="AB79" s="11" t="s">
        <v>1239</v>
      </c>
      <c r="AC79" s="11" t="s">
        <v>808</v>
      </c>
      <c r="AD79" s="96" t="s">
        <v>3249</v>
      </c>
      <c r="AE79" s="96" t="s">
        <v>2966</v>
      </c>
      <c r="AF79" s="1"/>
      <c r="AG79" s="1"/>
    </row>
    <row r="80" spans="1:33" ht="30">
      <c r="A80" s="76" t="s">
        <v>778</v>
      </c>
      <c r="B80" s="338" t="s">
        <v>2921</v>
      </c>
      <c r="C80" s="339" t="s">
        <v>1349</v>
      </c>
      <c r="D80" s="339" t="s">
        <v>143</v>
      </c>
      <c r="E80" s="76">
        <v>15.148059999999999</v>
      </c>
      <c r="F80" s="340">
        <v>120.75914</v>
      </c>
      <c r="G80" s="76" t="str">
        <f>CONCATENATE(E80,",",F80)</f>
        <v>15.14806,120.75914</v>
      </c>
      <c r="H80" s="342">
        <v>44909</v>
      </c>
      <c r="I80" s="11" t="s">
        <v>3126</v>
      </c>
      <c r="J80" s="11" t="s">
        <v>32</v>
      </c>
      <c r="K80" s="7" t="s">
        <v>28</v>
      </c>
      <c r="L80" s="11" t="s">
        <v>148</v>
      </c>
      <c r="M80" s="323" t="s">
        <v>3250</v>
      </c>
      <c r="N80" s="324">
        <v>45847</v>
      </c>
      <c r="O80" s="324">
        <v>45849</v>
      </c>
      <c r="P80" s="324">
        <v>45854</v>
      </c>
      <c r="Q80" s="324">
        <v>45862</v>
      </c>
      <c r="R80" s="324">
        <v>45866</v>
      </c>
      <c r="S80" s="45">
        <f t="shared" si="8"/>
        <v>2</v>
      </c>
      <c r="T80" s="45">
        <f t="shared" si="9"/>
        <v>3</v>
      </c>
      <c r="U80" s="45">
        <f t="shared" si="10"/>
        <v>9</v>
      </c>
      <c r="V80" s="45">
        <f t="shared" si="11"/>
        <v>2</v>
      </c>
      <c r="W80" s="133" t="s">
        <v>150</v>
      </c>
      <c r="X80" s="11" t="s">
        <v>50</v>
      </c>
      <c r="Y80" s="133">
        <v>20</v>
      </c>
      <c r="Z80" s="11" t="s">
        <v>57</v>
      </c>
      <c r="AA80" s="11" t="s">
        <v>57</v>
      </c>
      <c r="AB80" s="11">
        <v>20</v>
      </c>
      <c r="AC80" s="11" t="s">
        <v>808</v>
      </c>
      <c r="AD80" s="96" t="s">
        <v>3251</v>
      </c>
      <c r="AE80" s="714"/>
      <c r="AF80" s="1"/>
      <c r="AG80" s="1"/>
    </row>
    <row r="81" spans="1:33" ht="30">
      <c r="A81" s="76" t="s">
        <v>778</v>
      </c>
      <c r="B81" s="338" t="s">
        <v>2921</v>
      </c>
      <c r="C81" s="339" t="s">
        <v>1349</v>
      </c>
      <c r="D81" s="339" t="s">
        <v>143</v>
      </c>
      <c r="E81" s="76">
        <v>15.148733999999999</v>
      </c>
      <c r="F81" s="340">
        <v>120.763921</v>
      </c>
      <c r="G81" s="76" t="s">
        <v>2926</v>
      </c>
      <c r="H81" s="342">
        <v>44909</v>
      </c>
      <c r="I81" s="11" t="s">
        <v>3126</v>
      </c>
      <c r="J81" s="11" t="s">
        <v>32</v>
      </c>
      <c r="K81" s="7" t="s">
        <v>28</v>
      </c>
      <c r="L81" s="11" t="s">
        <v>148</v>
      </c>
      <c r="M81" s="323" t="s">
        <v>3252</v>
      </c>
      <c r="N81" s="324">
        <v>45847</v>
      </c>
      <c r="O81" s="324">
        <v>45849</v>
      </c>
      <c r="P81" s="324">
        <v>45854</v>
      </c>
      <c r="Q81" s="324">
        <v>45862</v>
      </c>
      <c r="R81" s="324">
        <v>45866</v>
      </c>
      <c r="S81" s="45">
        <f t="shared" si="8"/>
        <v>2</v>
      </c>
      <c r="T81" s="45">
        <f t="shared" si="9"/>
        <v>3</v>
      </c>
      <c r="U81" s="45">
        <f t="shared" si="10"/>
        <v>9</v>
      </c>
      <c r="V81" s="45">
        <f t="shared" si="11"/>
        <v>2</v>
      </c>
      <c r="W81" s="133" t="s">
        <v>150</v>
      </c>
      <c r="X81" s="11" t="s">
        <v>50</v>
      </c>
      <c r="Y81" s="133">
        <v>13</v>
      </c>
      <c r="Z81" s="11" t="s">
        <v>57</v>
      </c>
      <c r="AA81" s="11" t="s">
        <v>57</v>
      </c>
      <c r="AB81" s="11">
        <v>20</v>
      </c>
      <c r="AC81" s="11" t="s">
        <v>808</v>
      </c>
      <c r="AD81" s="96" t="s">
        <v>3251</v>
      </c>
      <c r="AE81" s="714"/>
      <c r="AF81" s="1"/>
      <c r="AG81" s="1"/>
    </row>
    <row r="82" spans="1:33" ht="60">
      <c r="A82" s="76" t="s">
        <v>778</v>
      </c>
      <c r="B82" s="338" t="s">
        <v>3253</v>
      </c>
      <c r="C82" s="339" t="s">
        <v>1349</v>
      </c>
      <c r="D82" s="339" t="s">
        <v>143</v>
      </c>
      <c r="E82" s="76">
        <v>15.154579999999999</v>
      </c>
      <c r="F82" s="340">
        <v>120.72264</v>
      </c>
      <c r="G82" s="76" t="str">
        <f>CONCATENATE(E82,",",F82)</f>
        <v>15.15458,120.72264</v>
      </c>
      <c r="H82" s="342">
        <v>44909</v>
      </c>
      <c r="I82" s="11" t="s">
        <v>3126</v>
      </c>
      <c r="J82" s="11" t="s">
        <v>32</v>
      </c>
      <c r="K82" s="7" t="s">
        <v>28</v>
      </c>
      <c r="L82" s="11" t="s">
        <v>148</v>
      </c>
      <c r="M82" s="323" t="s">
        <v>3254</v>
      </c>
      <c r="N82" s="324">
        <v>45847</v>
      </c>
      <c r="O82" s="324">
        <v>45849</v>
      </c>
      <c r="P82" s="324">
        <v>45854</v>
      </c>
      <c r="Q82" s="324">
        <v>45862</v>
      </c>
      <c r="R82" s="324">
        <v>45866</v>
      </c>
      <c r="S82" s="45">
        <f t="shared" si="8"/>
        <v>2</v>
      </c>
      <c r="T82" s="45">
        <f t="shared" si="9"/>
        <v>3</v>
      </c>
      <c r="U82" s="45">
        <f t="shared" si="10"/>
        <v>9</v>
      </c>
      <c r="V82" s="45">
        <f t="shared" si="11"/>
        <v>2</v>
      </c>
      <c r="W82" s="133" t="s">
        <v>150</v>
      </c>
      <c r="X82" s="11" t="s">
        <v>57</v>
      </c>
      <c r="Y82" s="133">
        <v>25</v>
      </c>
      <c r="Z82" s="11" t="s">
        <v>57</v>
      </c>
      <c r="AA82" s="11" t="s">
        <v>57</v>
      </c>
      <c r="AB82" s="11" t="s">
        <v>1239</v>
      </c>
      <c r="AC82" s="11" t="s">
        <v>808</v>
      </c>
      <c r="AD82" s="96" t="s">
        <v>2930</v>
      </c>
      <c r="AE82" s="96" t="s">
        <v>2966</v>
      </c>
      <c r="AF82" s="1"/>
      <c r="AG82" s="1"/>
    </row>
    <row r="83" spans="1:33" ht="60">
      <c r="A83" s="76" t="s">
        <v>778</v>
      </c>
      <c r="B83" s="338" t="s">
        <v>2932</v>
      </c>
      <c r="C83" s="339" t="s">
        <v>1353</v>
      </c>
      <c r="D83" s="339" t="s">
        <v>143</v>
      </c>
      <c r="E83" s="76">
        <v>15.015599999999999</v>
      </c>
      <c r="F83" s="340">
        <v>120.6746</v>
      </c>
      <c r="G83" s="76" t="str">
        <f>_xlfn.CONCAT(F83,E83)</f>
        <v>120.674615.0156</v>
      </c>
      <c r="H83" s="342">
        <v>45314</v>
      </c>
      <c r="I83" s="11" t="s">
        <v>3128</v>
      </c>
      <c r="J83" s="11" t="s">
        <v>35</v>
      </c>
      <c r="K83" s="11" t="s">
        <v>28</v>
      </c>
      <c r="L83" s="11" t="s">
        <v>148</v>
      </c>
      <c r="M83" s="323" t="s">
        <v>3255</v>
      </c>
      <c r="N83" s="324">
        <v>45881</v>
      </c>
      <c r="O83" s="324">
        <v>45884</v>
      </c>
      <c r="P83" s="324">
        <v>45884</v>
      </c>
      <c r="Q83" s="324">
        <v>45884</v>
      </c>
      <c r="R83" s="324">
        <v>45931</v>
      </c>
      <c r="S83" s="45">
        <f t="shared" si="8"/>
        <v>3</v>
      </c>
      <c r="T83" s="45">
        <f t="shared" si="9"/>
        <v>1</v>
      </c>
      <c r="U83" s="45">
        <f t="shared" si="10"/>
        <v>1</v>
      </c>
      <c r="V83" s="45">
        <f t="shared" si="11"/>
        <v>33</v>
      </c>
      <c r="W83" s="133" t="s">
        <v>150</v>
      </c>
      <c r="X83" s="11" t="s">
        <v>57</v>
      </c>
      <c r="Y83" s="133">
        <v>8</v>
      </c>
      <c r="Z83" s="11" t="s">
        <v>57</v>
      </c>
      <c r="AA83" s="11" t="s">
        <v>57</v>
      </c>
      <c r="AB83" s="11" t="s">
        <v>3256</v>
      </c>
      <c r="AC83" s="11" t="s">
        <v>1239</v>
      </c>
      <c r="AD83" s="96" t="s">
        <v>3257</v>
      </c>
      <c r="AE83" s="96" t="s">
        <v>2966</v>
      </c>
      <c r="AF83" s="1"/>
      <c r="AG83" s="1"/>
    </row>
    <row r="84" spans="1:33">
      <c r="A84" s="76" t="s">
        <v>778</v>
      </c>
      <c r="B84" s="338" t="s">
        <v>2932</v>
      </c>
      <c r="C84" s="339" t="s">
        <v>1353</v>
      </c>
      <c r="D84" s="339" t="s">
        <v>143</v>
      </c>
      <c r="E84" s="76">
        <v>15.015599999999999</v>
      </c>
      <c r="F84" s="340">
        <v>120.6746</v>
      </c>
      <c r="G84" s="76" t="str">
        <f>_xlfn.CONCAT(F84,E84)</f>
        <v>120.674615.0156</v>
      </c>
      <c r="H84" s="342">
        <v>45314</v>
      </c>
      <c r="I84" s="11" t="s">
        <v>3128</v>
      </c>
      <c r="J84" s="11" t="s">
        <v>35</v>
      </c>
      <c r="K84" s="11" t="s">
        <v>28</v>
      </c>
      <c r="L84" s="11" t="s">
        <v>148</v>
      </c>
      <c r="M84" s="323" t="s">
        <v>3258</v>
      </c>
      <c r="N84" s="324">
        <v>45881</v>
      </c>
      <c r="O84" s="324">
        <v>45884</v>
      </c>
      <c r="P84" s="324">
        <v>45884</v>
      </c>
      <c r="Q84" s="324">
        <v>45884</v>
      </c>
      <c r="R84" s="324">
        <v>45931</v>
      </c>
      <c r="S84" s="45">
        <f t="shared" si="8"/>
        <v>3</v>
      </c>
      <c r="T84" s="45">
        <f t="shared" si="9"/>
        <v>1</v>
      </c>
      <c r="U84" s="45">
        <f t="shared" si="10"/>
        <v>1</v>
      </c>
      <c r="V84" s="45">
        <f t="shared" si="11"/>
        <v>33</v>
      </c>
      <c r="W84" s="133" t="s">
        <v>150</v>
      </c>
      <c r="X84" s="11" t="s">
        <v>57</v>
      </c>
      <c r="Y84" s="133"/>
      <c r="Z84" s="11" t="s">
        <v>57</v>
      </c>
      <c r="AA84" s="11" t="s">
        <v>57</v>
      </c>
      <c r="AB84" s="11" t="s">
        <v>1239</v>
      </c>
      <c r="AC84" s="11" t="s">
        <v>1239</v>
      </c>
      <c r="AD84" s="96" t="s">
        <v>3259</v>
      </c>
      <c r="AE84" s="649"/>
      <c r="AF84" s="1"/>
      <c r="AG84" s="1"/>
    </row>
    <row r="85" spans="1:33" ht="60">
      <c r="A85" s="76" t="s">
        <v>778</v>
      </c>
      <c r="B85" s="338" t="s">
        <v>2939</v>
      </c>
      <c r="C85" s="339" t="s">
        <v>1357</v>
      </c>
      <c r="D85" s="339" t="s">
        <v>143</v>
      </c>
      <c r="E85" s="76">
        <v>15.061480100000001</v>
      </c>
      <c r="F85" s="340">
        <v>120.81720799999999</v>
      </c>
      <c r="G85" s="76" t="s">
        <v>2940</v>
      </c>
      <c r="H85" s="342">
        <v>44915</v>
      </c>
      <c r="I85" s="11" t="s">
        <v>3127</v>
      </c>
      <c r="J85" s="11" t="s">
        <v>32</v>
      </c>
      <c r="K85" s="11" t="s">
        <v>28</v>
      </c>
      <c r="L85" s="11" t="s">
        <v>148</v>
      </c>
      <c r="M85" s="323" t="s">
        <v>3260</v>
      </c>
      <c r="N85" s="324">
        <v>45912</v>
      </c>
      <c r="O85" s="324">
        <v>45913</v>
      </c>
      <c r="P85" s="324">
        <v>45924</v>
      </c>
      <c r="Q85" s="324">
        <v>45930</v>
      </c>
      <c r="R85" s="324">
        <v>45930</v>
      </c>
      <c r="S85" s="45">
        <f t="shared" si="8"/>
        <v>1</v>
      </c>
      <c r="T85" s="45">
        <f t="shared" si="9"/>
        <v>7</v>
      </c>
      <c r="U85" s="45">
        <f t="shared" si="10"/>
        <v>11</v>
      </c>
      <c r="V85" s="45">
        <f t="shared" si="11"/>
        <v>1</v>
      </c>
      <c r="W85" s="133" t="s">
        <v>150</v>
      </c>
      <c r="X85" s="11" t="s">
        <v>57</v>
      </c>
      <c r="Y85" s="133">
        <v>16</v>
      </c>
      <c r="Z85" s="11" t="s">
        <v>57</v>
      </c>
      <c r="AA85" s="11" t="s">
        <v>57</v>
      </c>
      <c r="AB85" s="11" t="s">
        <v>3261</v>
      </c>
      <c r="AC85" s="11" t="s">
        <v>1239</v>
      </c>
      <c r="AD85" s="96" t="s">
        <v>3262</v>
      </c>
      <c r="AE85" s="96" t="s">
        <v>2966</v>
      </c>
      <c r="AF85" s="1"/>
      <c r="AG85" s="1"/>
    </row>
    <row r="86" spans="1:33" ht="30">
      <c r="A86" s="76" t="s">
        <v>778</v>
      </c>
      <c r="B86" s="338" t="s">
        <v>2939</v>
      </c>
      <c r="C86" s="339" t="s">
        <v>1357</v>
      </c>
      <c r="D86" s="339" t="s">
        <v>143</v>
      </c>
      <c r="E86" s="76">
        <v>15.061480100000001</v>
      </c>
      <c r="F86" s="340">
        <v>120.81720799999999</v>
      </c>
      <c r="G86" s="76" t="s">
        <v>2940</v>
      </c>
      <c r="H86" s="342">
        <v>44915</v>
      </c>
      <c r="I86" s="11" t="s">
        <v>3127</v>
      </c>
      <c r="J86" s="11" t="s">
        <v>32</v>
      </c>
      <c r="K86" s="11" t="s">
        <v>28</v>
      </c>
      <c r="L86" s="11" t="s">
        <v>148</v>
      </c>
      <c r="M86" s="323" t="s">
        <v>3263</v>
      </c>
      <c r="N86" s="324">
        <v>45912</v>
      </c>
      <c r="O86" s="324">
        <v>45913</v>
      </c>
      <c r="P86" s="324">
        <v>45924</v>
      </c>
      <c r="Q86" s="324">
        <v>45930</v>
      </c>
      <c r="R86" s="324">
        <v>45930</v>
      </c>
      <c r="S86" s="45">
        <f t="shared" si="8"/>
        <v>1</v>
      </c>
      <c r="T86" s="45">
        <f t="shared" si="9"/>
        <v>7</v>
      </c>
      <c r="U86" s="45">
        <f t="shared" si="10"/>
        <v>11</v>
      </c>
      <c r="V86" s="45">
        <f t="shared" si="11"/>
        <v>1</v>
      </c>
      <c r="W86" s="133" t="s">
        <v>150</v>
      </c>
      <c r="X86" s="11" t="s">
        <v>57</v>
      </c>
      <c r="Y86" s="133">
        <v>16</v>
      </c>
      <c r="Z86" s="11" t="s">
        <v>57</v>
      </c>
      <c r="AA86" s="11" t="s">
        <v>57</v>
      </c>
      <c r="AB86" s="11" t="s">
        <v>3261</v>
      </c>
      <c r="AC86" s="11" t="s">
        <v>1239</v>
      </c>
      <c r="AD86" s="96" t="s">
        <v>3262</v>
      </c>
      <c r="AE86" s="649"/>
      <c r="AF86" s="1"/>
      <c r="AG86" s="1"/>
    </row>
    <row r="87" spans="1:33">
      <c r="A87" s="76" t="s">
        <v>778</v>
      </c>
      <c r="B87" s="338" t="s">
        <v>2943</v>
      </c>
      <c r="C87" s="339" t="s">
        <v>2091</v>
      </c>
      <c r="D87" s="339" t="s">
        <v>143</v>
      </c>
      <c r="E87" s="76">
        <v>15.02400166</v>
      </c>
      <c r="F87" s="340">
        <v>120.67145499999999</v>
      </c>
      <c r="G87" s="76" t="str">
        <f>CONCATENATE(E87,",",F87)</f>
        <v>15.02400166,120.671455</v>
      </c>
      <c r="H87" s="342">
        <v>44904</v>
      </c>
      <c r="I87" s="11" t="s">
        <v>3128</v>
      </c>
      <c r="J87" s="11" t="s">
        <v>33</v>
      </c>
      <c r="K87" s="11" t="s">
        <v>1838</v>
      </c>
      <c r="L87" s="11" t="s">
        <v>148</v>
      </c>
      <c r="M87" s="9" t="s">
        <v>3264</v>
      </c>
      <c r="N87" s="324">
        <v>45944</v>
      </c>
      <c r="O87" s="324">
        <v>45946</v>
      </c>
      <c r="P87" s="324"/>
      <c r="Q87" s="324">
        <v>45947</v>
      </c>
      <c r="R87" s="324">
        <v>45950</v>
      </c>
      <c r="S87" s="45">
        <f t="shared" ref="S87:S118" si="12">IF(
    OR(ISBLANK(N87), ISBLANK(O87)),
    "",
    MAX(1, IF(
        NETWORKDAYS(N87, O87) &lt;= 0,
        1,
        NETWORKDAYS(N87, O87) - IF(N87 = O87, 0, 1)
    ))
)</f>
        <v>2</v>
      </c>
      <c r="T87" s="45" t="str">
        <f t="shared" si="9"/>
        <v/>
      </c>
      <c r="U87" s="45">
        <f t="shared" si="10"/>
        <v>1</v>
      </c>
      <c r="V87" s="45">
        <f t="shared" si="11"/>
        <v>1</v>
      </c>
      <c r="W87" s="133" t="s">
        <v>150</v>
      </c>
      <c r="X87" s="11" t="s">
        <v>50</v>
      </c>
      <c r="Y87" s="133">
        <v>8</v>
      </c>
      <c r="Z87" s="11" t="s">
        <v>50</v>
      </c>
      <c r="AA87" s="11" t="s">
        <v>50</v>
      </c>
      <c r="AB87" s="11" t="s">
        <v>3265</v>
      </c>
      <c r="AC87" s="11"/>
      <c r="AD87" s="133" t="s">
        <v>3266</v>
      </c>
      <c r="AE87" s="646"/>
      <c r="AF87" s="1"/>
      <c r="AG87" s="1"/>
    </row>
    <row r="88" spans="1:33" ht="90">
      <c r="A88" s="76" t="s">
        <v>778</v>
      </c>
      <c r="B88" s="338" t="s">
        <v>2943</v>
      </c>
      <c r="C88" s="339" t="s">
        <v>2091</v>
      </c>
      <c r="D88" s="339" t="s">
        <v>143</v>
      </c>
      <c r="E88" s="76">
        <v>15.027603300000001</v>
      </c>
      <c r="F88" s="340">
        <v>120.66880500000001</v>
      </c>
      <c r="G88" s="76" t="str">
        <f>CONCATENATE(E88,",",F88)</f>
        <v>15.0276033,120.668805</v>
      </c>
      <c r="H88" s="342">
        <v>44904</v>
      </c>
      <c r="I88" s="11" t="s">
        <v>3128</v>
      </c>
      <c r="J88" s="11" t="s">
        <v>33</v>
      </c>
      <c r="K88" s="11" t="s">
        <v>1838</v>
      </c>
      <c r="L88" s="11" t="s">
        <v>148</v>
      </c>
      <c r="M88" s="9" t="s">
        <v>3267</v>
      </c>
      <c r="N88" s="324">
        <v>45944</v>
      </c>
      <c r="O88" s="324">
        <v>45946</v>
      </c>
      <c r="P88" s="324"/>
      <c r="Q88" s="324">
        <v>45947</v>
      </c>
      <c r="R88" s="324">
        <v>45950</v>
      </c>
      <c r="S88" s="45">
        <f t="shared" si="12"/>
        <v>2</v>
      </c>
      <c r="T88" s="45" t="str">
        <f t="shared" ref="T88:T119" si="13">IF(
    OR(ISBLANK(O88), ISBLANK(P88)),
    "",
    MAX(1, IF(
        NETWORKDAYS(O88, P88) &lt;= 0,
        1,
        NETWORKDAYS(O88, P88) - IF(O88 = P88, 0, 1)
    ))
)</f>
        <v/>
      </c>
      <c r="U88" s="45">
        <f t="shared" si="10"/>
        <v>1</v>
      </c>
      <c r="V88" s="45">
        <f t="shared" si="11"/>
        <v>1</v>
      </c>
      <c r="W88" s="133" t="s">
        <v>150</v>
      </c>
      <c r="X88" s="11" t="s">
        <v>50</v>
      </c>
      <c r="Y88" s="133">
        <v>12</v>
      </c>
      <c r="Z88" s="11" t="s">
        <v>50</v>
      </c>
      <c r="AA88" s="11" t="s">
        <v>50</v>
      </c>
      <c r="AB88" s="11" t="s">
        <v>2924</v>
      </c>
      <c r="AC88" s="11"/>
      <c r="AD88" s="96" t="s">
        <v>3268</v>
      </c>
      <c r="AE88" s="646"/>
      <c r="AF88" s="1"/>
      <c r="AG88" s="1"/>
    </row>
    <row r="89" spans="1:33" ht="60">
      <c r="A89" s="76" t="s">
        <v>778</v>
      </c>
      <c r="B89" s="338" t="s">
        <v>2943</v>
      </c>
      <c r="C89" s="339" t="s">
        <v>2091</v>
      </c>
      <c r="D89" s="339" t="s">
        <v>143</v>
      </c>
      <c r="E89" s="76">
        <v>15.021888000000001</v>
      </c>
      <c r="F89" s="340">
        <v>120.67368999999999</v>
      </c>
      <c r="G89" s="76" t="str">
        <f>CONCATENATE(E89,",",F89)</f>
        <v>15.021888,120.67369</v>
      </c>
      <c r="H89" s="342">
        <v>44904</v>
      </c>
      <c r="I89" s="11" t="s">
        <v>3129</v>
      </c>
      <c r="J89" s="11" t="s">
        <v>33</v>
      </c>
      <c r="K89" s="11"/>
      <c r="L89" s="11" t="s">
        <v>148</v>
      </c>
      <c r="M89" s="323" t="s">
        <v>3269</v>
      </c>
      <c r="N89" s="324">
        <v>45968</v>
      </c>
      <c r="O89" s="324">
        <v>45969</v>
      </c>
      <c r="P89" s="324">
        <v>45982</v>
      </c>
      <c r="Q89" s="324">
        <v>45982</v>
      </c>
      <c r="R89" s="324">
        <v>45985</v>
      </c>
      <c r="S89" s="45">
        <f t="shared" si="12"/>
        <v>1</v>
      </c>
      <c r="T89" s="45">
        <f t="shared" si="13"/>
        <v>9</v>
      </c>
      <c r="U89" s="45">
        <f t="shared" si="10"/>
        <v>9</v>
      </c>
      <c r="V89" s="45">
        <f t="shared" si="11"/>
        <v>1</v>
      </c>
      <c r="W89" s="133" t="s">
        <v>150</v>
      </c>
      <c r="X89" s="11" t="s">
        <v>57</v>
      </c>
      <c r="Y89" s="133">
        <v>0</v>
      </c>
      <c r="Z89" s="11" t="s">
        <v>57</v>
      </c>
      <c r="AA89" s="11" t="s">
        <v>57</v>
      </c>
      <c r="AB89" s="7" t="s">
        <v>3270</v>
      </c>
      <c r="AC89" s="11" t="s">
        <v>3221</v>
      </c>
      <c r="AD89" s="96" t="s">
        <v>3271</v>
      </c>
      <c r="AE89" s="96" t="s">
        <v>2966</v>
      </c>
      <c r="AF89" s="1"/>
      <c r="AG89" s="1"/>
    </row>
    <row r="90" spans="1:33" ht="60">
      <c r="A90" s="76" t="s">
        <v>778</v>
      </c>
      <c r="B90" s="338" t="s">
        <v>2951</v>
      </c>
      <c r="C90" s="339" t="s">
        <v>2091</v>
      </c>
      <c r="D90" s="339" t="s">
        <v>143</v>
      </c>
      <c r="E90" s="76">
        <v>15.04673</v>
      </c>
      <c r="F90" s="340">
        <v>120.66179</v>
      </c>
      <c r="G90" s="76" t="str">
        <f>CONCATENATE(E90,",",F90)</f>
        <v>15.04673,120.66179</v>
      </c>
      <c r="H90" s="342">
        <v>44904</v>
      </c>
      <c r="I90" s="11" t="s">
        <v>3126</v>
      </c>
      <c r="J90" s="11" t="s">
        <v>33</v>
      </c>
      <c r="K90" s="7" t="s">
        <v>28</v>
      </c>
      <c r="L90" s="11" t="s">
        <v>148</v>
      </c>
      <c r="M90" s="323" t="s">
        <v>3272</v>
      </c>
      <c r="N90" s="324">
        <v>45846</v>
      </c>
      <c r="O90" s="324">
        <v>45850</v>
      </c>
      <c r="P90" s="324">
        <v>45854</v>
      </c>
      <c r="Q90" s="324">
        <v>45866</v>
      </c>
      <c r="R90" s="324">
        <v>45866</v>
      </c>
      <c r="S90" s="45">
        <f t="shared" si="12"/>
        <v>3</v>
      </c>
      <c r="T90" s="45">
        <f t="shared" si="13"/>
        <v>2</v>
      </c>
      <c r="U90" s="45">
        <f t="shared" si="10"/>
        <v>10</v>
      </c>
      <c r="V90" s="45">
        <f t="shared" si="11"/>
        <v>1</v>
      </c>
      <c r="W90" s="133" t="s">
        <v>150</v>
      </c>
      <c r="X90" s="11" t="s">
        <v>57</v>
      </c>
      <c r="Y90" s="133">
        <v>0</v>
      </c>
      <c r="Z90" s="11" t="s">
        <v>57</v>
      </c>
      <c r="AA90" s="11" t="s">
        <v>57</v>
      </c>
      <c r="AB90" s="11" t="s">
        <v>1239</v>
      </c>
      <c r="AC90" s="11" t="s">
        <v>808</v>
      </c>
      <c r="AD90" s="81" t="s">
        <v>3273</v>
      </c>
      <c r="AE90" s="96" t="s">
        <v>2966</v>
      </c>
      <c r="AF90" s="1"/>
      <c r="AG90" s="1"/>
    </row>
    <row r="91" spans="1:33" ht="60">
      <c r="A91" s="76" t="s">
        <v>778</v>
      </c>
      <c r="B91" s="338" t="s">
        <v>2951</v>
      </c>
      <c r="C91" s="339" t="s">
        <v>2091</v>
      </c>
      <c r="D91" s="339" t="s">
        <v>143</v>
      </c>
      <c r="E91" s="76">
        <v>15.0496</v>
      </c>
      <c r="F91" s="340">
        <v>120.6595518</v>
      </c>
      <c r="G91" s="76">
        <v>120.65949000000001</v>
      </c>
      <c r="H91" s="342">
        <v>44904</v>
      </c>
      <c r="I91" s="11" t="s">
        <v>3126</v>
      </c>
      <c r="J91" s="11" t="s">
        <v>33</v>
      </c>
      <c r="K91" s="11" t="s">
        <v>28</v>
      </c>
      <c r="L91" s="11" t="s">
        <v>148</v>
      </c>
      <c r="M91" s="323" t="s">
        <v>3274</v>
      </c>
      <c r="N91" s="324">
        <v>45874</v>
      </c>
      <c r="O91" s="324">
        <v>45881</v>
      </c>
      <c r="P91" s="324">
        <v>45882</v>
      </c>
      <c r="Q91" s="324">
        <v>45889</v>
      </c>
      <c r="R91" s="324">
        <v>45889</v>
      </c>
      <c r="S91" s="45">
        <f t="shared" si="12"/>
        <v>5</v>
      </c>
      <c r="T91" s="45">
        <f t="shared" si="13"/>
        <v>1</v>
      </c>
      <c r="U91" s="45">
        <f t="shared" si="10"/>
        <v>6</v>
      </c>
      <c r="V91" s="45">
        <f t="shared" si="11"/>
        <v>1</v>
      </c>
      <c r="W91" s="133" t="s">
        <v>150</v>
      </c>
      <c r="X91" s="11" t="s">
        <v>57</v>
      </c>
      <c r="Y91" s="133">
        <v>3</v>
      </c>
      <c r="Z91" s="11" t="s">
        <v>57</v>
      </c>
      <c r="AA91" s="11" t="s">
        <v>57</v>
      </c>
      <c r="AB91" s="11" t="s">
        <v>1239</v>
      </c>
      <c r="AC91" s="11" t="s">
        <v>808</v>
      </c>
      <c r="AD91" s="96" t="s">
        <v>2954</v>
      </c>
      <c r="AE91" s="7" t="s">
        <v>2966</v>
      </c>
      <c r="AF91" s="1"/>
      <c r="AG91" s="1"/>
    </row>
    <row r="92" spans="1:33" ht="75">
      <c r="A92" s="76" t="s">
        <v>778</v>
      </c>
      <c r="B92" s="338" t="s">
        <v>2951</v>
      </c>
      <c r="C92" s="339" t="s">
        <v>2091</v>
      </c>
      <c r="D92" s="339" t="s">
        <v>143</v>
      </c>
      <c r="E92" s="76">
        <v>15.04059333</v>
      </c>
      <c r="F92" s="340">
        <v>120.666473</v>
      </c>
      <c r="G92" s="76" t="s">
        <v>3275</v>
      </c>
      <c r="H92" s="342">
        <v>44904</v>
      </c>
      <c r="I92" s="11" t="s">
        <v>3126</v>
      </c>
      <c r="J92" s="11" t="s">
        <v>33</v>
      </c>
      <c r="K92" s="7" t="s">
        <v>28</v>
      </c>
      <c r="L92" s="11" t="s">
        <v>148</v>
      </c>
      <c r="M92" s="323" t="s">
        <v>3276</v>
      </c>
      <c r="N92" s="324">
        <v>45846</v>
      </c>
      <c r="O92" s="324">
        <v>45850</v>
      </c>
      <c r="P92" s="324">
        <v>45854</v>
      </c>
      <c r="Q92" s="324">
        <v>45866</v>
      </c>
      <c r="R92" s="324">
        <v>45866</v>
      </c>
      <c r="S92" s="45">
        <f t="shared" si="12"/>
        <v>3</v>
      </c>
      <c r="T92" s="45">
        <f t="shared" si="13"/>
        <v>2</v>
      </c>
      <c r="U92" s="45">
        <f t="shared" si="10"/>
        <v>10</v>
      </c>
      <c r="V92" s="45">
        <f t="shared" si="11"/>
        <v>1</v>
      </c>
      <c r="W92" s="133" t="s">
        <v>150</v>
      </c>
      <c r="X92" s="11" t="s">
        <v>57</v>
      </c>
      <c r="Y92" s="133">
        <v>16</v>
      </c>
      <c r="Z92" s="11" t="s">
        <v>57</v>
      </c>
      <c r="AA92" s="11" t="s">
        <v>57</v>
      </c>
      <c r="AB92" s="11" t="s">
        <v>820</v>
      </c>
      <c r="AC92" s="11" t="s">
        <v>808</v>
      </c>
      <c r="AD92" s="96" t="s">
        <v>3277</v>
      </c>
      <c r="AE92" s="714"/>
      <c r="AF92" s="1"/>
      <c r="AG92" s="1"/>
    </row>
    <row r="93" spans="1:33">
      <c r="A93" s="76" t="s">
        <v>778</v>
      </c>
      <c r="B93" s="338" t="s">
        <v>2960</v>
      </c>
      <c r="C93" s="339" t="s">
        <v>2091</v>
      </c>
      <c r="D93" s="339" t="s">
        <v>143</v>
      </c>
      <c r="E93" s="76">
        <v>15.039218</v>
      </c>
      <c r="F93" s="340">
        <v>120.69381</v>
      </c>
      <c r="G93" s="76" t="s">
        <v>2961</v>
      </c>
      <c r="H93" s="342">
        <v>44904</v>
      </c>
      <c r="I93" s="11" t="s">
        <v>3128</v>
      </c>
      <c r="J93" s="11" t="s">
        <v>33</v>
      </c>
      <c r="K93" s="11" t="s">
        <v>1838</v>
      </c>
      <c r="L93" s="11" t="s">
        <v>148</v>
      </c>
      <c r="M93" s="9" t="s">
        <v>3278</v>
      </c>
      <c r="N93" s="324">
        <v>45938</v>
      </c>
      <c r="O93" s="324">
        <v>45942</v>
      </c>
      <c r="P93" s="324"/>
      <c r="Q93" s="324">
        <v>45947</v>
      </c>
      <c r="R93" s="324">
        <v>45950</v>
      </c>
      <c r="S93" s="45">
        <f t="shared" si="12"/>
        <v>2</v>
      </c>
      <c r="T93" s="45" t="str">
        <f t="shared" si="13"/>
        <v/>
      </c>
      <c r="U93" s="45">
        <f t="shared" si="10"/>
        <v>4</v>
      </c>
      <c r="V93" s="45">
        <f t="shared" si="11"/>
        <v>1</v>
      </c>
      <c r="W93" s="133" t="s">
        <v>150</v>
      </c>
      <c r="X93" s="11" t="s">
        <v>50</v>
      </c>
      <c r="Y93" s="133">
        <v>18</v>
      </c>
      <c r="Z93" s="11" t="s">
        <v>50</v>
      </c>
      <c r="AA93" s="11" t="s">
        <v>50</v>
      </c>
      <c r="AB93" s="11" t="s">
        <v>2972</v>
      </c>
      <c r="AC93" s="11"/>
      <c r="AD93" s="133" t="s">
        <v>3279</v>
      </c>
      <c r="AE93" s="462"/>
      <c r="AF93" s="1"/>
      <c r="AG93" s="1"/>
    </row>
    <row r="94" spans="1:33" ht="60">
      <c r="A94" s="76" t="s">
        <v>778</v>
      </c>
      <c r="B94" s="338" t="s">
        <v>2963</v>
      </c>
      <c r="C94" s="339" t="s">
        <v>2091</v>
      </c>
      <c r="D94" s="339" t="s">
        <v>143</v>
      </c>
      <c r="E94" s="76">
        <v>15.116860000000001</v>
      </c>
      <c r="F94" s="340">
        <v>120.60575</v>
      </c>
      <c r="G94" s="76" t="str">
        <f>CONCATENATE(E94,",",F94)</f>
        <v>15.11686,120.60575</v>
      </c>
      <c r="H94" s="342">
        <v>44904</v>
      </c>
      <c r="I94" s="11" t="s">
        <v>3126</v>
      </c>
      <c r="J94" s="11" t="s">
        <v>33</v>
      </c>
      <c r="K94" s="7" t="s">
        <v>28</v>
      </c>
      <c r="L94" s="11" t="s">
        <v>148</v>
      </c>
      <c r="M94" s="323" t="s">
        <v>3280</v>
      </c>
      <c r="N94" s="324">
        <v>45874</v>
      </c>
      <c r="O94" s="324">
        <v>45881</v>
      </c>
      <c r="P94" s="324">
        <v>45882</v>
      </c>
      <c r="Q94" s="324">
        <v>45882</v>
      </c>
      <c r="R94" s="324">
        <v>45882</v>
      </c>
      <c r="S94" s="45">
        <f t="shared" si="12"/>
        <v>5</v>
      </c>
      <c r="T94" s="45">
        <f t="shared" si="13"/>
        <v>1</v>
      </c>
      <c r="U94" s="45">
        <f t="shared" si="10"/>
        <v>1</v>
      </c>
      <c r="V94" s="45">
        <f t="shared" si="11"/>
        <v>1</v>
      </c>
      <c r="W94" s="133" t="s">
        <v>150</v>
      </c>
      <c r="X94" s="11" t="s">
        <v>57</v>
      </c>
      <c r="Y94" s="133">
        <v>0</v>
      </c>
      <c r="Z94" s="11" t="s">
        <v>57</v>
      </c>
      <c r="AA94" s="11" t="s">
        <v>57</v>
      </c>
      <c r="AB94" s="11" t="s">
        <v>1239</v>
      </c>
      <c r="AC94" s="11" t="s">
        <v>808</v>
      </c>
      <c r="AD94" s="713" t="s">
        <v>3281</v>
      </c>
      <c r="AE94" s="96" t="s">
        <v>2966</v>
      </c>
      <c r="AF94" s="1"/>
      <c r="AG94" s="1"/>
    </row>
    <row r="95" spans="1:33" ht="30">
      <c r="A95" s="76" t="s">
        <v>778</v>
      </c>
      <c r="B95" s="338" t="s">
        <v>2963</v>
      </c>
      <c r="C95" s="339" t="s">
        <v>2091</v>
      </c>
      <c r="D95" s="339" t="s">
        <v>143</v>
      </c>
      <c r="E95" s="76">
        <v>15.108095</v>
      </c>
      <c r="F95" s="340">
        <v>120.611417</v>
      </c>
      <c r="G95" s="76" t="str">
        <f>CONCATENATE(E95,",",F95)</f>
        <v>15.108095,120.611417</v>
      </c>
      <c r="H95" s="342">
        <v>44904</v>
      </c>
      <c r="I95" s="11" t="s">
        <v>3126</v>
      </c>
      <c r="J95" s="11" t="s">
        <v>33</v>
      </c>
      <c r="K95" s="7" t="s">
        <v>28</v>
      </c>
      <c r="L95" s="11" t="s">
        <v>148</v>
      </c>
      <c r="M95" s="323" t="s">
        <v>3282</v>
      </c>
      <c r="N95" s="324">
        <v>45874</v>
      </c>
      <c r="O95" s="324">
        <v>45881</v>
      </c>
      <c r="P95" s="324">
        <v>45882</v>
      </c>
      <c r="Q95" s="324">
        <v>45889</v>
      </c>
      <c r="R95" s="324">
        <v>45889</v>
      </c>
      <c r="S95" s="45">
        <f t="shared" si="12"/>
        <v>5</v>
      </c>
      <c r="T95" s="45">
        <f t="shared" si="13"/>
        <v>1</v>
      </c>
      <c r="U95" s="45">
        <f t="shared" si="10"/>
        <v>6</v>
      </c>
      <c r="V95" s="45">
        <f t="shared" si="11"/>
        <v>1</v>
      </c>
      <c r="W95" s="133" t="s">
        <v>150</v>
      </c>
      <c r="X95" s="11" t="s">
        <v>50</v>
      </c>
      <c r="Y95" s="133">
        <v>10</v>
      </c>
      <c r="Z95" s="11" t="s">
        <v>57</v>
      </c>
      <c r="AA95" s="11" t="s">
        <v>57</v>
      </c>
      <c r="AB95" s="11" t="s">
        <v>1239</v>
      </c>
      <c r="AC95" s="11" t="s">
        <v>808</v>
      </c>
      <c r="AD95" s="96" t="s">
        <v>2925</v>
      </c>
      <c r="AE95" s="714"/>
      <c r="AF95" s="1"/>
      <c r="AG95" s="1"/>
    </row>
    <row r="96" spans="1:33" ht="60">
      <c r="A96" s="76" t="s">
        <v>778</v>
      </c>
      <c r="B96" s="338" t="s">
        <v>2970</v>
      </c>
      <c r="C96" s="339" t="s">
        <v>2091</v>
      </c>
      <c r="D96" s="339" t="s">
        <v>143</v>
      </c>
      <c r="E96" s="76">
        <v>15.10364</v>
      </c>
      <c r="F96" s="340">
        <v>120.63617000000001</v>
      </c>
      <c r="G96" s="76" t="str">
        <f>CONCATENATE(E96,",",F96)</f>
        <v>15.10364,120.63617</v>
      </c>
      <c r="H96" s="342">
        <v>44904</v>
      </c>
      <c r="I96" s="11" t="s">
        <v>3126</v>
      </c>
      <c r="J96" s="11" t="s">
        <v>33</v>
      </c>
      <c r="K96" s="7" t="s">
        <v>28</v>
      </c>
      <c r="L96" s="11" t="s">
        <v>148</v>
      </c>
      <c r="M96" s="323" t="s">
        <v>3283</v>
      </c>
      <c r="N96" s="324">
        <v>45846</v>
      </c>
      <c r="O96" s="324">
        <v>45850</v>
      </c>
      <c r="P96" s="324">
        <v>45854</v>
      </c>
      <c r="Q96" s="324">
        <v>45866</v>
      </c>
      <c r="R96" s="324">
        <v>45866</v>
      </c>
      <c r="S96" s="45">
        <f t="shared" si="12"/>
        <v>3</v>
      </c>
      <c r="T96" s="45">
        <f t="shared" si="13"/>
        <v>2</v>
      </c>
      <c r="U96" s="45">
        <f t="shared" si="10"/>
        <v>10</v>
      </c>
      <c r="V96" s="45">
        <f t="shared" si="11"/>
        <v>1</v>
      </c>
      <c r="W96" s="133" t="s">
        <v>150</v>
      </c>
      <c r="X96" s="11" t="s">
        <v>57</v>
      </c>
      <c r="Y96" s="133">
        <v>0</v>
      </c>
      <c r="Z96" s="11" t="s">
        <v>57</v>
      </c>
      <c r="AA96" s="11" t="s">
        <v>57</v>
      </c>
      <c r="AB96" s="11" t="s">
        <v>1239</v>
      </c>
      <c r="AC96" s="11" t="s">
        <v>808</v>
      </c>
      <c r="AD96" s="96" t="s">
        <v>3284</v>
      </c>
      <c r="AE96" s="7" t="s">
        <v>2966</v>
      </c>
      <c r="AF96" s="1"/>
      <c r="AG96" s="1"/>
    </row>
    <row r="97" spans="1:33" ht="60">
      <c r="A97" s="76" t="s">
        <v>778</v>
      </c>
      <c r="B97" s="338" t="s">
        <v>2974</v>
      </c>
      <c r="C97" s="339" t="s">
        <v>2091</v>
      </c>
      <c r="D97" s="339" t="s">
        <v>143</v>
      </c>
      <c r="E97" s="76">
        <v>15.095210829999999</v>
      </c>
      <c r="F97" s="340">
        <v>120.6470649</v>
      </c>
      <c r="G97" s="76" t="str">
        <f>CONCATENATE(E97,",",F97)</f>
        <v>15.09521083,120.6470649</v>
      </c>
      <c r="H97" s="342">
        <v>44904</v>
      </c>
      <c r="I97" s="11" t="s">
        <v>3129</v>
      </c>
      <c r="J97" s="11" t="s">
        <v>33</v>
      </c>
      <c r="K97" s="11"/>
      <c r="L97" s="11" t="s">
        <v>148</v>
      </c>
      <c r="M97" s="323" t="s">
        <v>3285</v>
      </c>
      <c r="N97" s="324">
        <v>45968</v>
      </c>
      <c r="O97" s="324">
        <v>45969</v>
      </c>
      <c r="P97" s="324">
        <v>45982</v>
      </c>
      <c r="Q97" s="324">
        <v>45982</v>
      </c>
      <c r="R97" s="324">
        <v>45985</v>
      </c>
      <c r="S97" s="45">
        <f t="shared" si="12"/>
        <v>1</v>
      </c>
      <c r="T97" s="45">
        <f t="shared" si="13"/>
        <v>9</v>
      </c>
      <c r="U97" s="45">
        <f t="shared" si="10"/>
        <v>9</v>
      </c>
      <c r="V97" s="45">
        <f t="shared" si="11"/>
        <v>1</v>
      </c>
      <c r="W97" s="133" t="s">
        <v>150</v>
      </c>
      <c r="X97" s="11" t="s">
        <v>57</v>
      </c>
      <c r="Y97" s="133">
        <v>0</v>
      </c>
      <c r="Z97" s="11" t="s">
        <v>57</v>
      </c>
      <c r="AA97" s="11" t="s">
        <v>57</v>
      </c>
      <c r="AB97" s="11" t="s">
        <v>3221</v>
      </c>
      <c r="AC97" s="11" t="s">
        <v>3221</v>
      </c>
      <c r="AD97" s="96" t="s">
        <v>3286</v>
      </c>
      <c r="AE97" s="7" t="s">
        <v>2966</v>
      </c>
      <c r="AF97" s="1"/>
      <c r="AG97" s="1"/>
    </row>
    <row r="98" spans="1:33" ht="60">
      <c r="A98" s="76" t="s">
        <v>778</v>
      </c>
      <c r="B98" s="338" t="s">
        <v>2979</v>
      </c>
      <c r="C98" s="339" t="s">
        <v>2091</v>
      </c>
      <c r="D98" s="339" t="s">
        <v>143</v>
      </c>
      <c r="E98" s="76">
        <v>15.0739</v>
      </c>
      <c r="F98" s="340">
        <v>120.63760000000001</v>
      </c>
      <c r="G98" s="76" t="s">
        <v>2980</v>
      </c>
      <c r="H98" s="342">
        <v>44904</v>
      </c>
      <c r="I98" s="11" t="s">
        <v>3126</v>
      </c>
      <c r="J98" s="11" t="s">
        <v>33</v>
      </c>
      <c r="K98" s="7" t="s">
        <v>28</v>
      </c>
      <c r="L98" s="11" t="s">
        <v>148</v>
      </c>
      <c r="M98" s="326" t="s">
        <v>3287</v>
      </c>
      <c r="N98" s="324">
        <v>45854</v>
      </c>
      <c r="O98" s="324">
        <v>45855</v>
      </c>
      <c r="P98" s="324">
        <v>45856</v>
      </c>
      <c r="Q98" s="324">
        <v>45856</v>
      </c>
      <c r="R98" s="324">
        <v>45866</v>
      </c>
      <c r="S98" s="45">
        <f t="shared" si="12"/>
        <v>1</v>
      </c>
      <c r="T98" s="45">
        <f t="shared" si="13"/>
        <v>1</v>
      </c>
      <c r="U98" s="45">
        <f t="shared" ref="U98:U129" si="14">IF(
  OR(A98 = "Nueva_Ecija", A98 = "Zambales"),
  IF(
    OR(ISBLANK(P98), ISBLANK(Q98)),
    "",
    MAX(1, IF(
      NETWORKDAYS(P98, Q98) &lt;= 0,
      1,
      NETWORKDAYS(P98, Q98) - IF(P98 = Q98, 0, 1)
    ))
  ),
  IF(
    OR(ISBLANK(O98), ISBLANK(Q98)),
    "",
    MAX(1, IF(
      NETWORKDAYS(O98, Q98) &lt;= 0,
      1,
      NETWORKDAYS(O98, Q98) - IF(O98 = Q98, 0, 1)
    ))
  )
)</f>
        <v>1</v>
      </c>
      <c r="V98" s="45">
        <f t="shared" ref="V98:V130" si="15">IF(
    OR(ISBLANK(Q98), ISBLANK(R98)),
    "",
    MAX(1, IF(
        NETWORKDAYS(Q98, R98) &lt;= 0,
        1,
        NETWORKDAYS(Q98, R98) - IF(Q98 = R98, 0, 1)
    ))
)</f>
        <v>6</v>
      </c>
      <c r="W98" s="133" t="s">
        <v>150</v>
      </c>
      <c r="X98" s="11" t="s">
        <v>57</v>
      </c>
      <c r="Y98" s="78">
        <v>5</v>
      </c>
      <c r="Z98" s="11" t="s">
        <v>57</v>
      </c>
      <c r="AA98" s="11" t="s">
        <v>57</v>
      </c>
      <c r="AB98" s="11" t="s">
        <v>3288</v>
      </c>
      <c r="AC98" s="11" t="s">
        <v>808</v>
      </c>
      <c r="AD98" s="81" t="s">
        <v>3289</v>
      </c>
      <c r="AE98" s="96" t="s">
        <v>2931</v>
      </c>
      <c r="AF98" s="1"/>
      <c r="AG98" s="1"/>
    </row>
    <row r="99" spans="1:33" ht="120">
      <c r="A99" s="76" t="s">
        <v>778</v>
      </c>
      <c r="B99" s="338" t="s">
        <v>2979</v>
      </c>
      <c r="C99" s="339" t="s">
        <v>2091</v>
      </c>
      <c r="D99" s="339" t="s">
        <v>143</v>
      </c>
      <c r="E99" s="76">
        <v>15.073954000000001</v>
      </c>
      <c r="F99" s="9">
        <v>120.63764</v>
      </c>
      <c r="G99" s="76" t="str">
        <f t="shared" ref="G99:G104" si="16">CONCATENATE(E99,",",F99)</f>
        <v>15.073954,120.63764</v>
      </c>
      <c r="H99" s="342">
        <v>44904</v>
      </c>
      <c r="I99" s="11" t="s">
        <v>3127</v>
      </c>
      <c r="J99" s="11" t="s">
        <v>33</v>
      </c>
      <c r="K99" s="11" t="s">
        <v>28</v>
      </c>
      <c r="L99" s="133" t="s">
        <v>148</v>
      </c>
      <c r="M99" s="323" t="s">
        <v>3290</v>
      </c>
      <c r="N99" s="328">
        <v>45909</v>
      </c>
      <c r="O99" s="324">
        <v>45913</v>
      </c>
      <c r="P99" s="324">
        <v>45924</v>
      </c>
      <c r="Q99" s="324">
        <v>45930</v>
      </c>
      <c r="R99" s="324">
        <v>45930</v>
      </c>
      <c r="S99" s="45">
        <f t="shared" si="12"/>
        <v>3</v>
      </c>
      <c r="T99" s="45">
        <f t="shared" si="13"/>
        <v>7</v>
      </c>
      <c r="U99" s="45">
        <f t="shared" si="14"/>
        <v>11</v>
      </c>
      <c r="V99" s="45">
        <f t="shared" si="15"/>
        <v>1</v>
      </c>
      <c r="W99" s="133" t="s">
        <v>150</v>
      </c>
      <c r="X99" s="11" t="s">
        <v>57</v>
      </c>
      <c r="Y99" s="133">
        <v>7</v>
      </c>
      <c r="Z99" s="11" t="s">
        <v>57</v>
      </c>
      <c r="AA99" s="11" t="s">
        <v>57</v>
      </c>
      <c r="AB99" s="11" t="s">
        <v>2972</v>
      </c>
      <c r="AC99" s="11" t="s">
        <v>1239</v>
      </c>
      <c r="AD99" s="96" t="s">
        <v>3291</v>
      </c>
      <c r="AE99" s="714"/>
      <c r="AF99" s="1"/>
      <c r="AG99" s="1"/>
    </row>
    <row r="100" spans="1:33" ht="60">
      <c r="A100" s="76" t="s">
        <v>778</v>
      </c>
      <c r="B100" s="338" t="s">
        <v>2986</v>
      </c>
      <c r="C100" s="339" t="s">
        <v>2091</v>
      </c>
      <c r="D100" s="339" t="s">
        <v>143</v>
      </c>
      <c r="E100" s="76">
        <v>15.058015230000001</v>
      </c>
      <c r="F100" s="340">
        <v>120.6816953</v>
      </c>
      <c r="G100" s="76" t="str">
        <f t="shared" si="16"/>
        <v>15.05801523,120.6816953</v>
      </c>
      <c r="H100" s="342">
        <v>44904</v>
      </c>
      <c r="I100" s="11" t="s">
        <v>3129</v>
      </c>
      <c r="J100" s="11" t="s">
        <v>33</v>
      </c>
      <c r="K100" s="11"/>
      <c r="L100" s="11" t="s">
        <v>148</v>
      </c>
      <c r="M100" s="329" t="s">
        <v>3292</v>
      </c>
      <c r="N100" s="324">
        <v>45965</v>
      </c>
      <c r="O100" s="324">
        <v>45969</v>
      </c>
      <c r="P100" s="324">
        <v>45982</v>
      </c>
      <c r="Q100" s="324">
        <v>45982</v>
      </c>
      <c r="R100" s="324">
        <v>45982</v>
      </c>
      <c r="S100" s="45">
        <f t="shared" si="12"/>
        <v>3</v>
      </c>
      <c r="T100" s="45">
        <f t="shared" si="13"/>
        <v>9</v>
      </c>
      <c r="U100" s="45">
        <f t="shared" si="14"/>
        <v>9</v>
      </c>
      <c r="V100" s="45">
        <f t="shared" si="15"/>
        <v>1</v>
      </c>
      <c r="W100" s="133" t="s">
        <v>150</v>
      </c>
      <c r="X100" s="11" t="s">
        <v>57</v>
      </c>
      <c r="Y100" s="133">
        <v>0</v>
      </c>
      <c r="Z100" s="11" t="s">
        <v>57</v>
      </c>
      <c r="AA100" s="11" t="s">
        <v>57</v>
      </c>
      <c r="AB100" s="11" t="s">
        <v>3293</v>
      </c>
      <c r="AC100" s="11" t="s">
        <v>3221</v>
      </c>
      <c r="AD100" s="96" t="s">
        <v>3294</v>
      </c>
      <c r="AE100" s="462" t="s">
        <v>2966</v>
      </c>
      <c r="AF100" s="1"/>
      <c r="AG100" s="1"/>
    </row>
    <row r="101" spans="1:33" ht="60">
      <c r="A101" s="76" t="s">
        <v>778</v>
      </c>
      <c r="B101" s="338" t="s">
        <v>2986</v>
      </c>
      <c r="C101" s="339" t="s">
        <v>2091</v>
      </c>
      <c r="D101" s="339" t="s">
        <v>143</v>
      </c>
      <c r="E101" s="76">
        <v>15.04842</v>
      </c>
      <c r="F101" s="340">
        <v>120.684</v>
      </c>
      <c r="G101" s="76" t="str">
        <f t="shared" si="16"/>
        <v>15.04842,120.684</v>
      </c>
      <c r="H101" s="342">
        <v>44904</v>
      </c>
      <c r="I101" s="11" t="s">
        <v>3128</v>
      </c>
      <c r="J101" s="11" t="s">
        <v>33</v>
      </c>
      <c r="K101" s="11" t="s">
        <v>1838</v>
      </c>
      <c r="L101" s="11" t="s">
        <v>148</v>
      </c>
      <c r="M101" s="540" t="s">
        <v>3295</v>
      </c>
      <c r="N101" s="324">
        <v>45938</v>
      </c>
      <c r="O101" s="324">
        <v>45942</v>
      </c>
      <c r="P101" s="324"/>
      <c r="Q101" s="324">
        <v>45947</v>
      </c>
      <c r="R101" s="324">
        <v>45950</v>
      </c>
      <c r="S101" s="45">
        <f t="shared" si="12"/>
        <v>2</v>
      </c>
      <c r="T101" s="45" t="str">
        <f t="shared" si="13"/>
        <v/>
      </c>
      <c r="U101" s="45">
        <f t="shared" si="14"/>
        <v>4</v>
      </c>
      <c r="V101" s="45">
        <f t="shared" si="15"/>
        <v>1</v>
      </c>
      <c r="W101" s="133" t="s">
        <v>150</v>
      </c>
      <c r="X101" s="11" t="s">
        <v>57</v>
      </c>
      <c r="Y101" s="133"/>
      <c r="Z101" s="11" t="s">
        <v>57</v>
      </c>
      <c r="AA101" s="11" t="s">
        <v>57</v>
      </c>
      <c r="AB101" s="11" t="s">
        <v>2972</v>
      </c>
      <c r="AC101" s="11"/>
      <c r="AD101" s="133" t="s">
        <v>3296</v>
      </c>
      <c r="AE101" s="646" t="s">
        <v>3297</v>
      </c>
      <c r="AF101" s="1"/>
      <c r="AG101" s="1"/>
    </row>
    <row r="102" spans="1:33" ht="120">
      <c r="A102" s="76" t="s">
        <v>778</v>
      </c>
      <c r="B102" s="338" t="s">
        <v>2991</v>
      </c>
      <c r="C102" s="339" t="s">
        <v>2091</v>
      </c>
      <c r="D102" s="339" t="s">
        <v>143</v>
      </c>
      <c r="E102" s="76">
        <v>15.029429</v>
      </c>
      <c r="F102" s="340">
        <v>120.695542</v>
      </c>
      <c r="G102" s="76" t="str">
        <f t="shared" si="16"/>
        <v>15.029429,120.695542</v>
      </c>
      <c r="H102" s="342">
        <v>44904</v>
      </c>
      <c r="I102" s="11" t="s">
        <v>3127</v>
      </c>
      <c r="J102" s="11" t="s">
        <v>33</v>
      </c>
      <c r="K102" s="11" t="s">
        <v>1838</v>
      </c>
      <c r="L102" s="133" t="s">
        <v>148</v>
      </c>
      <c r="M102" s="323" t="s">
        <v>3298</v>
      </c>
      <c r="N102" s="324">
        <v>45909</v>
      </c>
      <c r="O102" s="324">
        <v>45913</v>
      </c>
      <c r="P102" s="324">
        <v>45924</v>
      </c>
      <c r="Q102" s="324">
        <v>45930</v>
      </c>
      <c r="R102" s="324">
        <v>45930</v>
      </c>
      <c r="S102" s="45">
        <f t="shared" si="12"/>
        <v>3</v>
      </c>
      <c r="T102" s="45">
        <f t="shared" si="13"/>
        <v>7</v>
      </c>
      <c r="U102" s="45">
        <f t="shared" si="14"/>
        <v>11</v>
      </c>
      <c r="V102" s="45">
        <f t="shared" si="15"/>
        <v>1</v>
      </c>
      <c r="W102" s="133" t="s">
        <v>150</v>
      </c>
      <c r="X102" s="11" t="s">
        <v>50</v>
      </c>
      <c r="Y102" s="133">
        <v>17</v>
      </c>
      <c r="Z102" s="11" t="s">
        <v>57</v>
      </c>
      <c r="AA102" s="11" t="s">
        <v>57</v>
      </c>
      <c r="AB102" s="11" t="s">
        <v>2972</v>
      </c>
      <c r="AC102" s="11" t="s">
        <v>1239</v>
      </c>
      <c r="AD102" s="96" t="s">
        <v>3291</v>
      </c>
      <c r="AE102" s="649"/>
      <c r="AF102" s="1"/>
      <c r="AG102" s="1"/>
    </row>
    <row r="103" spans="1:33" ht="60">
      <c r="A103" s="76" t="s">
        <v>778</v>
      </c>
      <c r="B103" s="338" t="s">
        <v>2995</v>
      </c>
      <c r="C103" s="339" t="s">
        <v>2091</v>
      </c>
      <c r="D103" s="339" t="s">
        <v>143</v>
      </c>
      <c r="E103" s="76">
        <v>15.08694</v>
      </c>
      <c r="F103" s="372">
        <v>120.62741</v>
      </c>
      <c r="G103" s="76" t="str">
        <f t="shared" si="16"/>
        <v>15.08694,120.62741</v>
      </c>
      <c r="H103" s="342">
        <v>44904</v>
      </c>
      <c r="I103" s="11" t="s">
        <v>3128</v>
      </c>
      <c r="J103" s="11" t="s">
        <v>33</v>
      </c>
      <c r="K103" s="11" t="s">
        <v>1838</v>
      </c>
      <c r="L103" s="11" t="s">
        <v>148</v>
      </c>
      <c r="M103" s="650" t="s">
        <v>3299</v>
      </c>
      <c r="N103" s="324">
        <v>45874</v>
      </c>
      <c r="O103" s="324">
        <v>45881</v>
      </c>
      <c r="P103" s="324">
        <v>45882</v>
      </c>
      <c r="Q103" s="324">
        <v>45931</v>
      </c>
      <c r="R103" s="324">
        <v>45931</v>
      </c>
      <c r="S103" s="45">
        <f t="shared" si="12"/>
        <v>5</v>
      </c>
      <c r="T103" s="45">
        <f t="shared" si="13"/>
        <v>1</v>
      </c>
      <c r="U103" s="45">
        <f t="shared" si="14"/>
        <v>36</v>
      </c>
      <c r="V103" s="45">
        <f t="shared" si="15"/>
        <v>1</v>
      </c>
      <c r="W103" s="133" t="s">
        <v>150</v>
      </c>
      <c r="X103" s="11" t="s">
        <v>57</v>
      </c>
      <c r="Y103" s="133">
        <v>11</v>
      </c>
      <c r="Z103" s="11" t="s">
        <v>57</v>
      </c>
      <c r="AA103" s="11" t="s">
        <v>57</v>
      </c>
      <c r="AB103" s="11" t="s">
        <v>1239</v>
      </c>
      <c r="AC103" s="11" t="s">
        <v>1239</v>
      </c>
      <c r="AD103" s="96" t="s">
        <v>3300</v>
      </c>
      <c r="AE103" s="7" t="s">
        <v>2966</v>
      </c>
      <c r="AF103" s="1"/>
      <c r="AG103" s="1"/>
    </row>
    <row r="104" spans="1:33" ht="60">
      <c r="A104" s="76" t="s">
        <v>778</v>
      </c>
      <c r="B104" s="338" t="s">
        <v>2999</v>
      </c>
      <c r="C104" s="339" t="s">
        <v>2091</v>
      </c>
      <c r="D104" s="339" t="s">
        <v>143</v>
      </c>
      <c r="E104" s="76">
        <v>15.10947</v>
      </c>
      <c r="F104" s="340">
        <v>120.62806</v>
      </c>
      <c r="G104" s="76" t="str">
        <f t="shared" si="16"/>
        <v>15.10947,120.62806</v>
      </c>
      <c r="H104" s="342">
        <v>44904</v>
      </c>
      <c r="I104" s="11" t="s">
        <v>3127</v>
      </c>
      <c r="J104" s="11" t="s">
        <v>33</v>
      </c>
      <c r="K104" s="11" t="s">
        <v>1838</v>
      </c>
      <c r="L104" s="133" t="s">
        <v>148</v>
      </c>
      <c r="M104" s="712" t="s">
        <v>3301</v>
      </c>
      <c r="N104" s="324">
        <v>45909</v>
      </c>
      <c r="O104" s="324">
        <v>45913</v>
      </c>
      <c r="P104" s="324">
        <v>45924</v>
      </c>
      <c r="Q104" s="324">
        <v>45930</v>
      </c>
      <c r="R104" s="324">
        <v>45930</v>
      </c>
      <c r="S104" s="45">
        <f t="shared" si="12"/>
        <v>3</v>
      </c>
      <c r="T104" s="45">
        <f t="shared" si="13"/>
        <v>7</v>
      </c>
      <c r="U104" s="45">
        <f t="shared" si="14"/>
        <v>11</v>
      </c>
      <c r="V104" s="45">
        <f t="shared" si="15"/>
        <v>1</v>
      </c>
      <c r="W104" s="133" t="s">
        <v>150</v>
      </c>
      <c r="X104" s="11" t="s">
        <v>57</v>
      </c>
      <c r="Y104" s="133">
        <v>0</v>
      </c>
      <c r="Z104" s="11" t="s">
        <v>57</v>
      </c>
      <c r="AA104" s="11" t="s">
        <v>57</v>
      </c>
      <c r="AB104" s="11" t="s">
        <v>1239</v>
      </c>
      <c r="AC104" s="11" t="s">
        <v>1239</v>
      </c>
      <c r="AD104" s="96" t="s">
        <v>3302</v>
      </c>
      <c r="AE104" s="7" t="s">
        <v>2966</v>
      </c>
      <c r="AF104" s="1"/>
      <c r="AG104" s="1"/>
    </row>
    <row r="105" spans="1:33" ht="45">
      <c r="A105" s="76" t="s">
        <v>778</v>
      </c>
      <c r="B105" s="338" t="s">
        <v>3005</v>
      </c>
      <c r="C105" s="339" t="s">
        <v>2091</v>
      </c>
      <c r="D105" s="339" t="s">
        <v>143</v>
      </c>
      <c r="E105" s="76">
        <v>15.0982</v>
      </c>
      <c r="F105" s="340">
        <v>120.6202</v>
      </c>
      <c r="G105" s="76" t="s">
        <v>3303</v>
      </c>
      <c r="H105" s="342">
        <v>44904</v>
      </c>
      <c r="I105" s="11" t="s">
        <v>3126</v>
      </c>
      <c r="J105" s="11" t="s">
        <v>33</v>
      </c>
      <c r="K105" s="7" t="s">
        <v>28</v>
      </c>
      <c r="L105" s="133" t="s">
        <v>148</v>
      </c>
      <c r="M105" s="323" t="s">
        <v>3304</v>
      </c>
      <c r="N105" s="324">
        <v>45854</v>
      </c>
      <c r="O105" s="324">
        <v>45855</v>
      </c>
      <c r="P105" s="324">
        <v>45856</v>
      </c>
      <c r="Q105" s="324">
        <v>45861</v>
      </c>
      <c r="R105" s="324">
        <v>45866</v>
      </c>
      <c r="S105" s="45">
        <f t="shared" si="12"/>
        <v>1</v>
      </c>
      <c r="T105" s="45">
        <f t="shared" si="13"/>
        <v>1</v>
      </c>
      <c r="U105" s="45">
        <f t="shared" si="14"/>
        <v>4</v>
      </c>
      <c r="V105" s="45">
        <f t="shared" si="15"/>
        <v>3</v>
      </c>
      <c r="W105" s="133" t="s">
        <v>150</v>
      </c>
      <c r="X105" s="11" t="s">
        <v>57</v>
      </c>
      <c r="Y105" s="133">
        <v>0</v>
      </c>
      <c r="Z105" s="11" t="s">
        <v>57</v>
      </c>
      <c r="AA105" s="11" t="s">
        <v>57</v>
      </c>
      <c r="AB105" s="11" t="s">
        <v>3288</v>
      </c>
      <c r="AC105" s="11" t="s">
        <v>808</v>
      </c>
      <c r="AD105" s="96" t="s">
        <v>3305</v>
      </c>
      <c r="AE105" s="7" t="s">
        <v>2931</v>
      </c>
      <c r="AF105" s="1"/>
      <c r="AG105" s="1"/>
    </row>
    <row r="106" spans="1:33" ht="105">
      <c r="A106" s="76" t="s">
        <v>778</v>
      </c>
      <c r="B106" s="338" t="s">
        <v>3005</v>
      </c>
      <c r="C106" s="339" t="s">
        <v>2091</v>
      </c>
      <c r="D106" s="339" t="s">
        <v>143</v>
      </c>
      <c r="E106" s="76">
        <v>15.09544</v>
      </c>
      <c r="F106" s="340">
        <v>120.62245</v>
      </c>
      <c r="G106" s="76" t="str">
        <f t="shared" ref="G106:G111" si="17">CONCATENATE(E106,",",F106)</f>
        <v>15.09544,120.62245</v>
      </c>
      <c r="H106" s="342">
        <v>44904</v>
      </c>
      <c r="I106" s="11" t="s">
        <v>3126</v>
      </c>
      <c r="J106" s="11" t="s">
        <v>33</v>
      </c>
      <c r="K106" s="11" t="s">
        <v>1838</v>
      </c>
      <c r="L106" s="133" t="s">
        <v>148</v>
      </c>
      <c r="M106" s="326" t="s">
        <v>3306</v>
      </c>
      <c r="N106" s="324">
        <v>45874</v>
      </c>
      <c r="O106" s="324">
        <v>45881</v>
      </c>
      <c r="P106" s="324">
        <v>45882</v>
      </c>
      <c r="Q106" s="324">
        <v>45889</v>
      </c>
      <c r="R106" s="324">
        <v>45889</v>
      </c>
      <c r="S106" s="45">
        <f t="shared" si="12"/>
        <v>5</v>
      </c>
      <c r="T106" s="45">
        <f t="shared" si="13"/>
        <v>1</v>
      </c>
      <c r="U106" s="45">
        <f t="shared" si="14"/>
        <v>6</v>
      </c>
      <c r="V106" s="45">
        <f t="shared" si="15"/>
        <v>1</v>
      </c>
      <c r="W106" s="133" t="s">
        <v>150</v>
      </c>
      <c r="X106" s="11" t="s">
        <v>57</v>
      </c>
      <c r="Y106" s="22">
        <v>6</v>
      </c>
      <c r="Z106" s="11" t="s">
        <v>57</v>
      </c>
      <c r="AA106" s="11" t="s">
        <v>57</v>
      </c>
      <c r="AB106" s="11" t="s">
        <v>1239</v>
      </c>
      <c r="AC106" s="11" t="s">
        <v>808</v>
      </c>
      <c r="AD106" s="714" t="s">
        <v>3307</v>
      </c>
      <c r="AE106" s="7" t="s">
        <v>2966</v>
      </c>
      <c r="AF106" s="1"/>
      <c r="AG106" s="1"/>
    </row>
    <row r="107" spans="1:33" ht="135">
      <c r="A107" s="76" t="s">
        <v>778</v>
      </c>
      <c r="B107" s="338" t="s">
        <v>2814</v>
      </c>
      <c r="C107" s="339" t="s">
        <v>2091</v>
      </c>
      <c r="D107" s="339" t="s">
        <v>143</v>
      </c>
      <c r="E107" s="76">
        <v>15.039218</v>
      </c>
      <c r="F107" s="340">
        <v>120.699387</v>
      </c>
      <c r="G107" s="76" t="str">
        <f t="shared" si="17"/>
        <v>15.039218,120.699387</v>
      </c>
      <c r="H107" s="342">
        <v>44904</v>
      </c>
      <c r="I107" s="11" t="s">
        <v>3127</v>
      </c>
      <c r="J107" s="11" t="s">
        <v>33</v>
      </c>
      <c r="K107" s="11" t="s">
        <v>28</v>
      </c>
      <c r="L107" s="133" t="s">
        <v>148</v>
      </c>
      <c r="M107" s="323" t="s">
        <v>3308</v>
      </c>
      <c r="N107" s="328">
        <v>45909</v>
      </c>
      <c r="O107" s="324">
        <v>45913</v>
      </c>
      <c r="P107" s="324">
        <v>45924</v>
      </c>
      <c r="Q107" s="324">
        <v>45930</v>
      </c>
      <c r="R107" s="324">
        <v>45930</v>
      </c>
      <c r="S107" s="45">
        <f t="shared" si="12"/>
        <v>3</v>
      </c>
      <c r="T107" s="45">
        <f t="shared" si="13"/>
        <v>7</v>
      </c>
      <c r="U107" s="45">
        <f t="shared" si="14"/>
        <v>11</v>
      </c>
      <c r="V107" s="45">
        <f t="shared" si="15"/>
        <v>1</v>
      </c>
      <c r="W107" s="133" t="s">
        <v>150</v>
      </c>
      <c r="X107" s="11" t="s">
        <v>57</v>
      </c>
      <c r="Y107" s="133">
        <v>16</v>
      </c>
      <c r="Z107" s="11" t="s">
        <v>57</v>
      </c>
      <c r="AA107" s="11" t="s">
        <v>57</v>
      </c>
      <c r="AB107" s="11" t="s">
        <v>2972</v>
      </c>
      <c r="AC107" s="11" t="s">
        <v>1239</v>
      </c>
      <c r="AD107" s="96" t="s">
        <v>3309</v>
      </c>
      <c r="AE107" s="649"/>
      <c r="AF107" s="1"/>
      <c r="AG107" s="1"/>
    </row>
    <row r="108" spans="1:33" ht="45">
      <c r="A108" s="76" t="s">
        <v>778</v>
      </c>
      <c r="B108" s="338" t="s">
        <v>2400</v>
      </c>
      <c r="C108" s="339" t="s">
        <v>2091</v>
      </c>
      <c r="D108" s="339" t="s">
        <v>143</v>
      </c>
      <c r="E108" s="76">
        <v>15.020935</v>
      </c>
      <c r="F108" s="340">
        <v>120.6808133</v>
      </c>
      <c r="G108" s="76" t="str">
        <f t="shared" si="17"/>
        <v>15.020935,120.6808133</v>
      </c>
      <c r="H108" s="342">
        <v>44904</v>
      </c>
      <c r="I108" s="11" t="s">
        <v>3128</v>
      </c>
      <c r="J108" s="11" t="s">
        <v>33</v>
      </c>
      <c r="K108" s="11" t="s">
        <v>28</v>
      </c>
      <c r="L108" s="11" t="s">
        <v>148</v>
      </c>
      <c r="M108" s="329" t="s">
        <v>3310</v>
      </c>
      <c r="N108" s="324">
        <v>45931</v>
      </c>
      <c r="O108" s="324">
        <v>45934</v>
      </c>
      <c r="P108" s="324">
        <v>45944</v>
      </c>
      <c r="Q108" s="324">
        <v>45947</v>
      </c>
      <c r="R108" s="324">
        <v>45950</v>
      </c>
      <c r="S108" s="45">
        <f t="shared" si="12"/>
        <v>2</v>
      </c>
      <c r="T108" s="45">
        <f t="shared" si="13"/>
        <v>6</v>
      </c>
      <c r="U108" s="45">
        <f t="shared" si="14"/>
        <v>9</v>
      </c>
      <c r="V108" s="45">
        <f t="shared" si="15"/>
        <v>1</v>
      </c>
      <c r="W108" s="133" t="s">
        <v>150</v>
      </c>
      <c r="X108" s="11" t="s">
        <v>57</v>
      </c>
      <c r="Y108" s="133">
        <v>16</v>
      </c>
      <c r="Z108" s="11" t="s">
        <v>57</v>
      </c>
      <c r="AA108" s="11" t="s">
        <v>57</v>
      </c>
      <c r="AB108" s="11" t="s">
        <v>2972</v>
      </c>
      <c r="AC108" s="11" t="s">
        <v>679</v>
      </c>
      <c r="AD108" s="96" t="s">
        <v>3311</v>
      </c>
      <c r="AE108" s="462"/>
      <c r="AF108" s="1"/>
      <c r="AG108" s="1"/>
    </row>
    <row r="109" spans="1:33" ht="60">
      <c r="A109" s="76" t="s">
        <v>778</v>
      </c>
      <c r="B109" s="338" t="s">
        <v>2400</v>
      </c>
      <c r="C109" s="339" t="s">
        <v>2091</v>
      </c>
      <c r="D109" s="339" t="s">
        <v>143</v>
      </c>
      <c r="E109" s="76">
        <v>15.023803300000001</v>
      </c>
      <c r="F109" s="340">
        <v>120.67616599999999</v>
      </c>
      <c r="G109" s="76" t="str">
        <f t="shared" si="17"/>
        <v>15.0238033,120.676166</v>
      </c>
      <c r="H109" s="342">
        <v>44904</v>
      </c>
      <c r="I109" s="11" t="s">
        <v>3129</v>
      </c>
      <c r="J109" s="11" t="s">
        <v>33</v>
      </c>
      <c r="K109" s="11"/>
      <c r="L109" s="11" t="s">
        <v>148</v>
      </c>
      <c r="M109" s="323" t="s">
        <v>3312</v>
      </c>
      <c r="N109" s="324">
        <v>45968</v>
      </c>
      <c r="O109" s="324">
        <v>45969</v>
      </c>
      <c r="P109" s="324">
        <v>45982</v>
      </c>
      <c r="Q109" s="324">
        <v>45982</v>
      </c>
      <c r="R109" s="324">
        <v>45982</v>
      </c>
      <c r="S109" s="45">
        <f t="shared" si="12"/>
        <v>1</v>
      </c>
      <c r="T109" s="45">
        <f t="shared" si="13"/>
        <v>9</v>
      </c>
      <c r="U109" s="45">
        <f t="shared" si="14"/>
        <v>9</v>
      </c>
      <c r="V109" s="45">
        <f t="shared" si="15"/>
        <v>1</v>
      </c>
      <c r="W109" s="133" t="s">
        <v>150</v>
      </c>
      <c r="X109" s="11" t="s">
        <v>57</v>
      </c>
      <c r="Y109" s="133">
        <v>0</v>
      </c>
      <c r="Z109" s="11" t="s">
        <v>57</v>
      </c>
      <c r="AA109" s="11" t="s">
        <v>57</v>
      </c>
      <c r="AB109" s="11" t="s">
        <v>3293</v>
      </c>
      <c r="AC109" s="11" t="s">
        <v>3221</v>
      </c>
      <c r="AD109" s="96" t="s">
        <v>3313</v>
      </c>
      <c r="AE109" s="7" t="s">
        <v>2966</v>
      </c>
      <c r="AF109" s="1"/>
      <c r="AG109" s="1"/>
    </row>
    <row r="110" spans="1:33" ht="135">
      <c r="A110" s="76" t="s">
        <v>778</v>
      </c>
      <c r="B110" s="338" t="s">
        <v>3018</v>
      </c>
      <c r="C110" s="339" t="s">
        <v>2091</v>
      </c>
      <c r="D110" s="339" t="s">
        <v>143</v>
      </c>
      <c r="E110" s="76" t="s">
        <v>3019</v>
      </c>
      <c r="F110" s="340">
        <v>120.68897200000001</v>
      </c>
      <c r="G110" s="76" t="str">
        <f t="shared" si="17"/>
        <v>15. 0220550,120.688972</v>
      </c>
      <c r="H110" s="342">
        <v>44904</v>
      </c>
      <c r="I110" s="11" t="s">
        <v>3127</v>
      </c>
      <c r="J110" s="11" t="s">
        <v>33</v>
      </c>
      <c r="K110" s="11" t="s">
        <v>28</v>
      </c>
      <c r="L110" s="11" t="s">
        <v>148</v>
      </c>
      <c r="M110" s="323" t="s">
        <v>3314</v>
      </c>
      <c r="N110" s="324">
        <v>45909</v>
      </c>
      <c r="O110" s="324">
        <v>45913</v>
      </c>
      <c r="P110" s="324">
        <v>45924</v>
      </c>
      <c r="Q110" s="324">
        <v>45930</v>
      </c>
      <c r="R110" s="324">
        <v>45930</v>
      </c>
      <c r="S110" s="45">
        <f t="shared" si="12"/>
        <v>3</v>
      </c>
      <c r="T110" s="45">
        <f t="shared" si="13"/>
        <v>7</v>
      </c>
      <c r="U110" s="45">
        <f t="shared" si="14"/>
        <v>11</v>
      </c>
      <c r="V110" s="45">
        <f t="shared" si="15"/>
        <v>1</v>
      </c>
      <c r="W110" s="133" t="s">
        <v>150</v>
      </c>
      <c r="X110" s="11" t="s">
        <v>57</v>
      </c>
      <c r="Y110" s="133">
        <v>22</v>
      </c>
      <c r="Z110" s="11" t="s">
        <v>57</v>
      </c>
      <c r="AA110" s="11" t="s">
        <v>57</v>
      </c>
      <c r="AB110" s="11" t="s">
        <v>2972</v>
      </c>
      <c r="AC110" s="11" t="s">
        <v>1239</v>
      </c>
      <c r="AD110" s="96" t="s">
        <v>3315</v>
      </c>
      <c r="AE110" s="649"/>
      <c r="AF110" s="1"/>
      <c r="AG110" s="1"/>
    </row>
    <row r="111" spans="1:33" ht="60">
      <c r="A111" s="76" t="s">
        <v>778</v>
      </c>
      <c r="B111" s="338" t="s">
        <v>3023</v>
      </c>
      <c r="C111" s="339" t="s">
        <v>1381</v>
      </c>
      <c r="D111" s="339" t="s">
        <v>143</v>
      </c>
      <c r="E111" s="76">
        <v>14.9665506</v>
      </c>
      <c r="F111" s="340">
        <v>120.63293143999999</v>
      </c>
      <c r="G111" s="76" t="str">
        <f t="shared" si="17"/>
        <v>14.9665506,120.63293144</v>
      </c>
      <c r="H111" s="342">
        <v>44915</v>
      </c>
      <c r="I111" s="11" t="s">
        <v>3129</v>
      </c>
      <c r="J111" s="11" t="s">
        <v>35</v>
      </c>
      <c r="K111" s="11"/>
      <c r="L111" s="11" t="s">
        <v>148</v>
      </c>
      <c r="M111" s="323" t="s">
        <v>3316</v>
      </c>
      <c r="N111" s="324">
        <v>45965</v>
      </c>
      <c r="O111" s="324">
        <v>45966</v>
      </c>
      <c r="P111" s="324">
        <v>45982</v>
      </c>
      <c r="Q111" s="324">
        <v>45982</v>
      </c>
      <c r="R111" s="324">
        <v>45985</v>
      </c>
      <c r="S111" s="45">
        <f t="shared" si="12"/>
        <v>1</v>
      </c>
      <c r="T111" s="45">
        <f t="shared" si="13"/>
        <v>12</v>
      </c>
      <c r="U111" s="45">
        <f t="shared" si="14"/>
        <v>12</v>
      </c>
      <c r="V111" s="45">
        <f t="shared" si="15"/>
        <v>1</v>
      </c>
      <c r="W111" s="133" t="s">
        <v>150</v>
      </c>
      <c r="X111" s="11" t="s">
        <v>57</v>
      </c>
      <c r="Y111" s="133">
        <v>0</v>
      </c>
      <c r="Z111" s="11" t="s">
        <v>57</v>
      </c>
      <c r="AA111" s="11" t="s">
        <v>57</v>
      </c>
      <c r="AB111" s="11" t="s">
        <v>3317</v>
      </c>
      <c r="AC111" s="11" t="s">
        <v>3221</v>
      </c>
      <c r="AD111" s="96" t="s">
        <v>3318</v>
      </c>
      <c r="AE111" s="462" t="s">
        <v>3319</v>
      </c>
      <c r="AF111" s="1"/>
      <c r="AG111" s="1"/>
    </row>
    <row r="112" spans="1:33" ht="60">
      <c r="A112" s="76" t="s">
        <v>778</v>
      </c>
      <c r="B112" s="338" t="s">
        <v>3026</v>
      </c>
      <c r="C112" s="339" t="s">
        <v>1381</v>
      </c>
      <c r="D112" s="339" t="s">
        <v>143</v>
      </c>
      <c r="E112" s="76">
        <v>14.966881799999999</v>
      </c>
      <c r="F112" s="340">
        <v>120.61168926000001</v>
      </c>
      <c r="G112" s="76" t="s">
        <v>3027</v>
      </c>
      <c r="H112" s="342">
        <v>44915</v>
      </c>
      <c r="I112" s="11" t="s">
        <v>3129</v>
      </c>
      <c r="J112" s="11" t="s">
        <v>35</v>
      </c>
      <c r="K112" s="11"/>
      <c r="L112" s="11" t="s">
        <v>148</v>
      </c>
      <c r="M112" s="724" t="s">
        <v>3320</v>
      </c>
      <c r="N112" s="324">
        <v>45965</v>
      </c>
      <c r="O112" s="324">
        <v>45966</v>
      </c>
      <c r="P112" s="324">
        <v>45982</v>
      </c>
      <c r="Q112" s="324">
        <v>45982</v>
      </c>
      <c r="R112" s="324">
        <v>45985</v>
      </c>
      <c r="S112" s="45">
        <f t="shared" si="12"/>
        <v>1</v>
      </c>
      <c r="T112" s="45">
        <f t="shared" si="13"/>
        <v>12</v>
      </c>
      <c r="U112" s="45">
        <f t="shared" si="14"/>
        <v>12</v>
      </c>
      <c r="V112" s="45">
        <f t="shared" si="15"/>
        <v>1</v>
      </c>
      <c r="W112" s="133" t="s">
        <v>150</v>
      </c>
      <c r="X112" s="11" t="s">
        <v>57</v>
      </c>
      <c r="Y112" s="133">
        <v>0</v>
      </c>
      <c r="Z112" s="11" t="s">
        <v>57</v>
      </c>
      <c r="AA112" s="11" t="s">
        <v>57</v>
      </c>
      <c r="AB112" s="11" t="s">
        <v>3221</v>
      </c>
      <c r="AC112" s="11" t="s">
        <v>3221</v>
      </c>
      <c r="AD112" s="96" t="s">
        <v>3321</v>
      </c>
      <c r="AE112" s="462" t="s">
        <v>3319</v>
      </c>
      <c r="AF112" s="1"/>
      <c r="AG112" s="1"/>
    </row>
    <row r="113" spans="1:33" ht="120">
      <c r="A113" s="76" t="s">
        <v>778</v>
      </c>
      <c r="B113" s="338" t="s">
        <v>3322</v>
      </c>
      <c r="C113" s="339" t="s">
        <v>1383</v>
      </c>
      <c r="D113" s="339" t="s">
        <v>143</v>
      </c>
      <c r="E113" s="76">
        <v>14.9245</v>
      </c>
      <c r="F113" s="340">
        <v>120.59059999999999</v>
      </c>
      <c r="G113" s="76" t="str">
        <f>_xlfn.CONCAT(E113:F113)</f>
        <v>14.9245120.5906</v>
      </c>
      <c r="H113" s="342">
        <v>44909</v>
      </c>
      <c r="I113" s="11" t="s">
        <v>3127</v>
      </c>
      <c r="J113" s="11" t="s">
        <v>35</v>
      </c>
      <c r="K113" s="11" t="s">
        <v>28</v>
      </c>
      <c r="L113" s="133" t="s">
        <v>148</v>
      </c>
      <c r="M113" s="323" t="s">
        <v>3323</v>
      </c>
      <c r="N113" s="328">
        <v>45909</v>
      </c>
      <c r="O113" s="324">
        <v>45914</v>
      </c>
      <c r="P113" s="324">
        <v>45919</v>
      </c>
      <c r="Q113" s="324">
        <v>45930</v>
      </c>
      <c r="R113" s="324">
        <v>45930</v>
      </c>
      <c r="S113" s="45">
        <f t="shared" si="12"/>
        <v>3</v>
      </c>
      <c r="T113" s="45">
        <f t="shared" si="13"/>
        <v>4</v>
      </c>
      <c r="U113" s="45">
        <f t="shared" si="14"/>
        <v>11</v>
      </c>
      <c r="V113" s="45">
        <f t="shared" si="15"/>
        <v>1</v>
      </c>
      <c r="W113" s="133" t="s">
        <v>150</v>
      </c>
      <c r="X113" s="11" t="s">
        <v>57</v>
      </c>
      <c r="Y113" s="133">
        <v>7</v>
      </c>
      <c r="Z113" s="11" t="s">
        <v>57</v>
      </c>
      <c r="AA113" s="11" t="s">
        <v>57</v>
      </c>
      <c r="AB113" s="11" t="s">
        <v>808</v>
      </c>
      <c r="AC113" s="11" t="s">
        <v>808</v>
      </c>
      <c r="AD113" s="96" t="s">
        <v>3324</v>
      </c>
      <c r="AE113" s="7" t="s">
        <v>3325</v>
      </c>
      <c r="AF113" s="1"/>
      <c r="AG113" s="1"/>
    </row>
    <row r="114" spans="1:33" ht="120">
      <c r="A114" s="76" t="s">
        <v>778</v>
      </c>
      <c r="B114" s="338" t="s">
        <v>3326</v>
      </c>
      <c r="C114" s="339" t="s">
        <v>1383</v>
      </c>
      <c r="D114" s="339" t="s">
        <v>143</v>
      </c>
      <c r="E114" s="76">
        <v>14.9245</v>
      </c>
      <c r="F114" s="340">
        <v>120.59050000000001</v>
      </c>
      <c r="G114" s="76" t="str">
        <f>_xlfn.CONCAT(E114:F114)</f>
        <v>14.9245120.5905</v>
      </c>
      <c r="H114" s="342">
        <v>44909</v>
      </c>
      <c r="I114" s="11" t="s">
        <v>3127</v>
      </c>
      <c r="J114" s="11" t="s">
        <v>35</v>
      </c>
      <c r="K114" s="11" t="s">
        <v>28</v>
      </c>
      <c r="L114" s="11" t="s">
        <v>148</v>
      </c>
      <c r="M114" s="329" t="s">
        <v>3327</v>
      </c>
      <c r="N114" s="324">
        <v>45909</v>
      </c>
      <c r="O114" s="324">
        <v>45914</v>
      </c>
      <c r="P114" s="324">
        <v>45919</v>
      </c>
      <c r="Q114" s="324">
        <v>45930</v>
      </c>
      <c r="R114" s="324">
        <v>45930</v>
      </c>
      <c r="S114" s="45">
        <f t="shared" si="12"/>
        <v>3</v>
      </c>
      <c r="T114" s="45">
        <f t="shared" si="13"/>
        <v>4</v>
      </c>
      <c r="U114" s="45">
        <f t="shared" si="14"/>
        <v>11</v>
      </c>
      <c r="V114" s="45">
        <f t="shared" si="15"/>
        <v>1</v>
      </c>
      <c r="W114" s="133" t="s">
        <v>150</v>
      </c>
      <c r="X114" s="11" t="s">
        <v>57</v>
      </c>
      <c r="Y114" s="133">
        <v>6</v>
      </c>
      <c r="Z114" s="11" t="s">
        <v>57</v>
      </c>
      <c r="AA114" s="11" t="s">
        <v>57</v>
      </c>
      <c r="AB114" s="11" t="s">
        <v>808</v>
      </c>
      <c r="AC114" s="11" t="s">
        <v>808</v>
      </c>
      <c r="AD114" s="96" t="s">
        <v>3324</v>
      </c>
      <c r="AE114" s="649"/>
      <c r="AF114" s="1"/>
      <c r="AG114" s="1"/>
    </row>
    <row r="115" spans="1:33" ht="60">
      <c r="A115" s="76" t="s">
        <v>778</v>
      </c>
      <c r="B115" s="338" t="s">
        <v>3328</v>
      </c>
      <c r="C115" s="339" t="s">
        <v>1383</v>
      </c>
      <c r="D115" s="339" t="s">
        <v>143</v>
      </c>
      <c r="E115" s="76">
        <v>14.924424999999999</v>
      </c>
      <c r="F115" s="340">
        <v>120.59044166</v>
      </c>
      <c r="G115" s="76" t="s">
        <v>3034</v>
      </c>
      <c r="H115" s="342">
        <v>44909</v>
      </c>
      <c r="I115" s="11" t="s">
        <v>3128</v>
      </c>
      <c r="J115" s="11" t="s">
        <v>35</v>
      </c>
      <c r="K115" s="11" t="s">
        <v>28</v>
      </c>
      <c r="L115" s="11" t="s">
        <v>148</v>
      </c>
      <c r="M115" s="323" t="s">
        <v>3329</v>
      </c>
      <c r="N115" s="324">
        <v>45909</v>
      </c>
      <c r="O115" s="324">
        <v>45914</v>
      </c>
      <c r="P115" s="324">
        <v>45919</v>
      </c>
      <c r="Q115" s="324">
        <v>45930</v>
      </c>
      <c r="R115" s="324">
        <v>45930</v>
      </c>
      <c r="S115" s="45">
        <f t="shared" si="12"/>
        <v>3</v>
      </c>
      <c r="T115" s="45">
        <f t="shared" si="13"/>
        <v>4</v>
      </c>
      <c r="U115" s="45">
        <f t="shared" si="14"/>
        <v>11</v>
      </c>
      <c r="V115" s="45">
        <f t="shared" si="15"/>
        <v>1</v>
      </c>
      <c r="W115" s="133" t="s">
        <v>150</v>
      </c>
      <c r="X115" s="11" t="s">
        <v>50</v>
      </c>
      <c r="Y115" s="133">
        <v>9</v>
      </c>
      <c r="Z115" s="11" t="s">
        <v>57</v>
      </c>
      <c r="AA115" s="11" t="s">
        <v>57</v>
      </c>
      <c r="AB115" s="11" t="s">
        <v>808</v>
      </c>
      <c r="AC115" s="11" t="s">
        <v>808</v>
      </c>
      <c r="AD115" s="96" t="s">
        <v>3330</v>
      </c>
      <c r="AE115" s="649"/>
      <c r="AF115" s="1"/>
      <c r="AG115" s="1"/>
    </row>
    <row r="116" spans="1:33" ht="60">
      <c r="A116" s="76" t="s">
        <v>778</v>
      </c>
      <c r="B116" s="338" t="s">
        <v>3331</v>
      </c>
      <c r="C116" s="339" t="s">
        <v>1383</v>
      </c>
      <c r="D116" s="339" t="s">
        <v>143</v>
      </c>
      <c r="E116" s="76">
        <v>14.9222</v>
      </c>
      <c r="F116" s="340">
        <v>120.58969999999999</v>
      </c>
      <c r="G116" s="76" t="str">
        <f>_xlfn.CONCAT(E116:F116)</f>
        <v>14.9222120.5897</v>
      </c>
      <c r="H116" s="342">
        <v>44909</v>
      </c>
      <c r="I116" s="11" t="s">
        <v>3128</v>
      </c>
      <c r="J116" s="11" t="s">
        <v>35</v>
      </c>
      <c r="K116" s="11" t="s">
        <v>28</v>
      </c>
      <c r="L116" s="11" t="s">
        <v>148</v>
      </c>
      <c r="M116" s="323" t="s">
        <v>3332</v>
      </c>
      <c r="N116" s="324">
        <v>45909</v>
      </c>
      <c r="O116" s="324">
        <v>45914</v>
      </c>
      <c r="P116" s="324">
        <v>45919</v>
      </c>
      <c r="Q116" s="324">
        <v>45930</v>
      </c>
      <c r="R116" s="324">
        <v>45930</v>
      </c>
      <c r="S116" s="45">
        <f t="shared" si="12"/>
        <v>3</v>
      </c>
      <c r="T116" s="45">
        <f t="shared" si="13"/>
        <v>4</v>
      </c>
      <c r="U116" s="45">
        <f t="shared" si="14"/>
        <v>11</v>
      </c>
      <c r="V116" s="45">
        <f t="shared" si="15"/>
        <v>1</v>
      </c>
      <c r="W116" s="133" t="s">
        <v>150</v>
      </c>
      <c r="X116" s="11" t="s">
        <v>50</v>
      </c>
      <c r="Y116" s="133">
        <v>10</v>
      </c>
      <c r="Z116" s="11" t="s">
        <v>57</v>
      </c>
      <c r="AA116" s="11" t="s">
        <v>57</v>
      </c>
      <c r="AB116" s="11" t="s">
        <v>808</v>
      </c>
      <c r="AC116" s="11" t="s">
        <v>808</v>
      </c>
      <c r="AD116" s="96" t="s">
        <v>3330</v>
      </c>
      <c r="AE116" s="649"/>
      <c r="AF116" s="1"/>
      <c r="AG116" s="1"/>
    </row>
    <row r="117" spans="1:33" ht="45">
      <c r="A117" s="76" t="s">
        <v>778</v>
      </c>
      <c r="B117" s="338" t="s">
        <v>3041</v>
      </c>
      <c r="C117" s="339" t="s">
        <v>1383</v>
      </c>
      <c r="D117" s="339" t="s">
        <v>143</v>
      </c>
      <c r="E117" s="76">
        <v>14.924878100000001</v>
      </c>
      <c r="F117" s="340">
        <v>120.58389870000001</v>
      </c>
      <c r="G117" s="76" t="s">
        <v>3042</v>
      </c>
      <c r="H117" s="342">
        <v>44909</v>
      </c>
      <c r="I117" s="11" t="s">
        <v>3129</v>
      </c>
      <c r="J117" s="11" t="s">
        <v>35</v>
      </c>
      <c r="K117" s="11"/>
      <c r="L117" s="11" t="s">
        <v>148</v>
      </c>
      <c r="M117" s="326" t="s">
        <v>3333</v>
      </c>
      <c r="N117" s="324">
        <v>45966</v>
      </c>
      <c r="O117" s="324">
        <v>45966</v>
      </c>
      <c r="P117" s="324">
        <v>45982</v>
      </c>
      <c r="Q117" s="324">
        <v>45982</v>
      </c>
      <c r="R117" s="324">
        <v>45985</v>
      </c>
      <c r="S117" s="45">
        <f t="shared" si="12"/>
        <v>1</v>
      </c>
      <c r="T117" s="45">
        <f t="shared" si="13"/>
        <v>12</v>
      </c>
      <c r="U117" s="45">
        <f t="shared" si="14"/>
        <v>12</v>
      </c>
      <c r="V117" s="45">
        <f t="shared" si="15"/>
        <v>1</v>
      </c>
      <c r="W117" s="133" t="s">
        <v>150</v>
      </c>
      <c r="X117" s="11" t="s">
        <v>50</v>
      </c>
      <c r="Y117" s="133">
        <v>18</v>
      </c>
      <c r="Z117" s="11" t="s">
        <v>57</v>
      </c>
      <c r="AA117" s="11" t="s">
        <v>57</v>
      </c>
      <c r="AB117" s="11" t="s">
        <v>3293</v>
      </c>
      <c r="AC117" s="11" t="s">
        <v>820</v>
      </c>
      <c r="AD117" s="96" t="s">
        <v>3334</v>
      </c>
      <c r="AE117" s="462"/>
      <c r="AF117" s="1"/>
      <c r="AG117" s="1"/>
    </row>
    <row r="118" spans="1:33" ht="75">
      <c r="A118" s="76" t="s">
        <v>778</v>
      </c>
      <c r="B118" s="338" t="s">
        <v>3335</v>
      </c>
      <c r="C118" s="339" t="s">
        <v>1383</v>
      </c>
      <c r="D118" s="339" t="s">
        <v>143</v>
      </c>
      <c r="E118" s="76">
        <v>14.951266</v>
      </c>
      <c r="F118" s="340">
        <v>120.61238</v>
      </c>
      <c r="G118" s="76" t="str">
        <f>_xlfn.CONCAT(E118:F118)</f>
        <v>14.951266120.61238</v>
      </c>
      <c r="H118" s="342">
        <v>44909</v>
      </c>
      <c r="I118" s="11" t="s">
        <v>3128</v>
      </c>
      <c r="J118" s="11" t="s">
        <v>35</v>
      </c>
      <c r="K118" s="11" t="s">
        <v>1838</v>
      </c>
      <c r="L118" s="133" t="s">
        <v>148</v>
      </c>
      <c r="M118" s="9" t="s">
        <v>3336</v>
      </c>
      <c r="N118" s="328">
        <v>45932</v>
      </c>
      <c r="O118" s="324">
        <v>45935</v>
      </c>
      <c r="P118" s="324"/>
      <c r="Q118" s="324">
        <v>45947</v>
      </c>
      <c r="R118" s="324">
        <v>45950</v>
      </c>
      <c r="S118" s="45">
        <f t="shared" si="12"/>
        <v>1</v>
      </c>
      <c r="T118" s="45" t="str">
        <f t="shared" si="13"/>
        <v/>
      </c>
      <c r="U118" s="45">
        <f t="shared" si="14"/>
        <v>9</v>
      </c>
      <c r="V118" s="45">
        <f t="shared" si="15"/>
        <v>1</v>
      </c>
      <c r="W118" s="133" t="s">
        <v>150</v>
      </c>
      <c r="X118" s="11" t="s">
        <v>50</v>
      </c>
      <c r="Y118" s="133">
        <v>12</v>
      </c>
      <c r="Z118" s="11" t="s">
        <v>57</v>
      </c>
      <c r="AA118" s="11" t="s">
        <v>57</v>
      </c>
      <c r="AB118" s="11">
        <v>100</v>
      </c>
      <c r="AC118" s="11"/>
      <c r="AD118" s="96" t="s">
        <v>3337</v>
      </c>
      <c r="AE118" s="462"/>
      <c r="AF118" s="1"/>
      <c r="AG118" s="1"/>
    </row>
    <row r="119" spans="1:33" ht="75">
      <c r="A119" s="76" t="s">
        <v>778</v>
      </c>
      <c r="B119" s="338" t="s">
        <v>3338</v>
      </c>
      <c r="C119" s="339" t="s">
        <v>1383</v>
      </c>
      <c r="D119" s="339" t="s">
        <v>143</v>
      </c>
      <c r="E119" s="76">
        <v>14.955979900000001</v>
      </c>
      <c r="F119" s="340">
        <v>120.6073548</v>
      </c>
      <c r="G119" s="76" t="s">
        <v>3047</v>
      </c>
      <c r="H119" s="342">
        <v>44909</v>
      </c>
      <c r="I119" s="11" t="s">
        <v>3128</v>
      </c>
      <c r="J119" s="11" t="s">
        <v>35</v>
      </c>
      <c r="K119" s="11" t="s">
        <v>1838</v>
      </c>
      <c r="L119" s="133" t="s">
        <v>148</v>
      </c>
      <c r="M119" s="9" t="s">
        <v>3339</v>
      </c>
      <c r="N119" s="328">
        <v>45932</v>
      </c>
      <c r="O119" s="324">
        <v>45935</v>
      </c>
      <c r="P119" s="324"/>
      <c r="Q119" s="324">
        <v>45947</v>
      </c>
      <c r="R119" s="324">
        <v>45950</v>
      </c>
      <c r="S119" s="45">
        <f t="shared" ref="S119:S144" si="18">IF(
    OR(ISBLANK(N119), ISBLANK(O119)),
    "",
    MAX(1, IF(
        NETWORKDAYS(N119, O119) &lt;= 0,
        1,
        NETWORKDAYS(N119, O119) - IF(N119 = O119, 0, 1)
    ))
)</f>
        <v>1</v>
      </c>
      <c r="T119" s="45" t="str">
        <f t="shared" si="13"/>
        <v/>
      </c>
      <c r="U119" s="45">
        <f t="shared" si="14"/>
        <v>9</v>
      </c>
      <c r="V119" s="45">
        <f t="shared" si="15"/>
        <v>1</v>
      </c>
      <c r="W119" s="133" t="s">
        <v>150</v>
      </c>
      <c r="X119" s="11" t="s">
        <v>50</v>
      </c>
      <c r="Y119" s="133">
        <v>12</v>
      </c>
      <c r="Z119" s="11" t="s">
        <v>50</v>
      </c>
      <c r="AA119" s="11" t="s">
        <v>50</v>
      </c>
      <c r="AB119" s="11" t="s">
        <v>3036</v>
      </c>
      <c r="AC119" s="11"/>
      <c r="AD119" s="96" t="s">
        <v>3337</v>
      </c>
      <c r="AE119" s="462"/>
      <c r="AF119" s="1"/>
      <c r="AG119" s="1"/>
    </row>
    <row r="120" spans="1:33" ht="60">
      <c r="A120" s="76" t="s">
        <v>778</v>
      </c>
      <c r="B120" s="338" t="s">
        <v>3340</v>
      </c>
      <c r="C120" s="339" t="s">
        <v>1383</v>
      </c>
      <c r="D120" s="339" t="s">
        <v>143</v>
      </c>
      <c r="E120" s="76">
        <v>14.924878100000001</v>
      </c>
      <c r="F120" s="340">
        <v>120.5848987</v>
      </c>
      <c r="G120" s="76" t="s">
        <v>3052</v>
      </c>
      <c r="H120" s="342">
        <v>44909</v>
      </c>
      <c r="I120" s="11" t="s">
        <v>3128</v>
      </c>
      <c r="J120" s="11" t="s">
        <v>35</v>
      </c>
      <c r="K120" s="11"/>
      <c r="L120" s="133" t="s">
        <v>148</v>
      </c>
      <c r="M120" s="540" t="s">
        <v>3341</v>
      </c>
      <c r="N120" s="328">
        <v>45931</v>
      </c>
      <c r="O120" s="324">
        <v>45935</v>
      </c>
      <c r="P120" s="324"/>
      <c r="Q120" s="324">
        <v>45947</v>
      </c>
      <c r="R120" s="324">
        <v>45950</v>
      </c>
      <c r="S120" s="45">
        <f t="shared" si="18"/>
        <v>2</v>
      </c>
      <c r="T120" s="45" t="str">
        <f t="shared" ref="T120:T144" si="19">IF(
    OR(ISBLANK(O120), ISBLANK(P120)),
    "",
    MAX(1, IF(
        NETWORKDAYS(O120, P120) &lt;= 0,
        1,
        NETWORKDAYS(O120, P120) - IF(O120 = P120, 0, 1)
    ))
)</f>
        <v/>
      </c>
      <c r="U120" s="45">
        <f t="shared" si="14"/>
        <v>9</v>
      </c>
      <c r="V120" s="45">
        <f t="shared" si="15"/>
        <v>1</v>
      </c>
      <c r="W120" s="133" t="s">
        <v>150</v>
      </c>
      <c r="X120" s="11" t="s">
        <v>57</v>
      </c>
      <c r="Y120" s="133">
        <v>13</v>
      </c>
      <c r="Z120" s="11" t="s">
        <v>57</v>
      </c>
      <c r="AA120" s="11" t="s">
        <v>57</v>
      </c>
      <c r="AB120" s="11"/>
      <c r="AC120" s="11"/>
      <c r="AD120" s="133" t="s">
        <v>3342</v>
      </c>
      <c r="AE120" s="462" t="s">
        <v>3325</v>
      </c>
      <c r="AF120" s="1"/>
      <c r="AG120" s="1"/>
    </row>
    <row r="121" spans="1:33" ht="75">
      <c r="A121" s="76" t="s">
        <v>778</v>
      </c>
      <c r="B121" s="338" t="s">
        <v>3343</v>
      </c>
      <c r="C121" s="339" t="s">
        <v>1383</v>
      </c>
      <c r="D121" s="339" t="s">
        <v>143</v>
      </c>
      <c r="E121" s="76">
        <v>14.925700000000001</v>
      </c>
      <c r="F121" s="340">
        <v>120.5838</v>
      </c>
      <c r="G121" s="76" t="str">
        <f>_xlfn.CONCAT(E121:F121)</f>
        <v>14.9257120.5838</v>
      </c>
      <c r="H121" s="342">
        <v>44909</v>
      </c>
      <c r="I121" s="11" t="s">
        <v>3128</v>
      </c>
      <c r="J121" s="11" t="s">
        <v>35</v>
      </c>
      <c r="K121" s="11" t="s">
        <v>1838</v>
      </c>
      <c r="L121" s="133" t="s">
        <v>148</v>
      </c>
      <c r="M121" s="9" t="s">
        <v>3344</v>
      </c>
      <c r="N121" s="328">
        <v>45931</v>
      </c>
      <c r="O121" s="324">
        <v>45935</v>
      </c>
      <c r="P121" s="324"/>
      <c r="Q121" s="324">
        <v>45947</v>
      </c>
      <c r="R121" s="324">
        <v>45950</v>
      </c>
      <c r="S121" s="45">
        <f t="shared" si="18"/>
        <v>2</v>
      </c>
      <c r="T121" s="45" t="str">
        <f t="shared" si="19"/>
        <v/>
      </c>
      <c r="U121" s="45">
        <f t="shared" si="14"/>
        <v>9</v>
      </c>
      <c r="V121" s="45">
        <f t="shared" si="15"/>
        <v>1</v>
      </c>
      <c r="W121" s="133" t="s">
        <v>150</v>
      </c>
      <c r="X121" s="11" t="s">
        <v>57</v>
      </c>
      <c r="Y121" s="133">
        <v>6</v>
      </c>
      <c r="Z121" s="11" t="s">
        <v>57</v>
      </c>
      <c r="AA121" s="11" t="s">
        <v>57</v>
      </c>
      <c r="AB121" s="11" t="s">
        <v>69</v>
      </c>
      <c r="AC121" s="11" t="s">
        <v>69</v>
      </c>
      <c r="AD121" s="96" t="s">
        <v>3345</v>
      </c>
      <c r="AE121" s="462"/>
      <c r="AF121" s="1"/>
      <c r="AG121" s="1"/>
    </row>
    <row r="122" spans="1:33" ht="30">
      <c r="A122" s="76" t="s">
        <v>778</v>
      </c>
      <c r="B122" s="338" t="s">
        <v>3056</v>
      </c>
      <c r="C122" s="339" t="s">
        <v>1404</v>
      </c>
      <c r="D122" s="339" t="s">
        <v>143</v>
      </c>
      <c r="E122" s="76">
        <v>15.053599</v>
      </c>
      <c r="F122" s="340">
        <v>120.7117367</v>
      </c>
      <c r="G122" s="76" t="s">
        <v>3057</v>
      </c>
      <c r="H122" s="342">
        <v>44911</v>
      </c>
      <c r="I122" s="11" t="s">
        <v>3129</v>
      </c>
      <c r="J122" s="11" t="s">
        <v>32</v>
      </c>
      <c r="K122" s="11"/>
      <c r="L122" s="11" t="s">
        <v>148</v>
      </c>
      <c r="M122" s="329" t="s">
        <v>3346</v>
      </c>
      <c r="N122" s="324">
        <v>45985</v>
      </c>
      <c r="O122" s="324">
        <v>45985</v>
      </c>
      <c r="P122" s="324"/>
      <c r="Q122" s="324">
        <v>45986</v>
      </c>
      <c r="R122" s="324">
        <v>45986</v>
      </c>
      <c r="S122" s="45">
        <f t="shared" si="18"/>
        <v>1</v>
      </c>
      <c r="T122" s="45" t="str">
        <f t="shared" si="19"/>
        <v/>
      </c>
      <c r="U122" s="45">
        <f t="shared" si="14"/>
        <v>1</v>
      </c>
      <c r="V122" s="45">
        <f t="shared" si="15"/>
        <v>1</v>
      </c>
      <c r="W122" s="133" t="s">
        <v>150</v>
      </c>
      <c r="X122" s="11" t="s">
        <v>57</v>
      </c>
      <c r="Y122" s="133">
        <v>18</v>
      </c>
      <c r="Z122" s="11" t="s">
        <v>57</v>
      </c>
      <c r="AA122" s="11" t="s">
        <v>57</v>
      </c>
      <c r="AB122" s="11">
        <v>50</v>
      </c>
      <c r="AC122" s="11" t="s">
        <v>1259</v>
      </c>
      <c r="AD122" s="96" t="s">
        <v>3347</v>
      </c>
      <c r="AE122" s="462"/>
      <c r="AF122" s="1"/>
      <c r="AG122" s="1"/>
    </row>
    <row r="123" spans="1:33" ht="45">
      <c r="A123" s="76" t="s">
        <v>778</v>
      </c>
      <c r="B123" s="338" t="s">
        <v>3060</v>
      </c>
      <c r="C123" s="339" t="s">
        <v>1404</v>
      </c>
      <c r="D123" s="339" t="s">
        <v>143</v>
      </c>
      <c r="E123" s="76">
        <v>15.06450143</v>
      </c>
      <c r="F123" s="340">
        <v>120.72068711</v>
      </c>
      <c r="G123" s="76" t="s">
        <v>3061</v>
      </c>
      <c r="H123" s="342">
        <v>44911</v>
      </c>
      <c r="I123" s="11" t="s">
        <v>3129</v>
      </c>
      <c r="J123" s="11" t="s">
        <v>32</v>
      </c>
      <c r="K123" s="11"/>
      <c r="L123" s="11" t="s">
        <v>148</v>
      </c>
      <c r="M123" s="323" t="s">
        <v>3348</v>
      </c>
      <c r="N123" s="324">
        <v>45953</v>
      </c>
      <c r="O123" s="324">
        <v>45982</v>
      </c>
      <c r="P123" s="324">
        <v>45982</v>
      </c>
      <c r="Q123" s="324">
        <v>45982</v>
      </c>
      <c r="R123" s="324">
        <v>45985</v>
      </c>
      <c r="S123" s="45">
        <f t="shared" si="18"/>
        <v>21</v>
      </c>
      <c r="T123" s="45">
        <f t="shared" si="19"/>
        <v>1</v>
      </c>
      <c r="U123" s="45">
        <f t="shared" si="14"/>
        <v>1</v>
      </c>
      <c r="V123" s="45">
        <f t="shared" si="15"/>
        <v>1</v>
      </c>
      <c r="W123" s="133" t="s">
        <v>150</v>
      </c>
      <c r="X123" s="11" t="s">
        <v>57</v>
      </c>
      <c r="Y123" s="133">
        <v>11</v>
      </c>
      <c r="Z123" s="11" t="s">
        <v>57</v>
      </c>
      <c r="AA123" s="11" t="s">
        <v>57</v>
      </c>
      <c r="AB123" s="7" t="s">
        <v>3349</v>
      </c>
      <c r="AC123" s="11" t="s">
        <v>3221</v>
      </c>
      <c r="AD123" s="96" t="s">
        <v>3350</v>
      </c>
      <c r="AE123" s="462"/>
      <c r="AF123" s="1"/>
      <c r="AG123" s="1"/>
    </row>
    <row r="124" spans="1:33" ht="60">
      <c r="A124" s="76" t="s">
        <v>778</v>
      </c>
      <c r="B124" s="338" t="s">
        <v>3026</v>
      </c>
      <c r="C124" s="339" t="s">
        <v>1404</v>
      </c>
      <c r="D124" s="339" t="s">
        <v>143</v>
      </c>
      <c r="E124" s="76">
        <v>15.062239999999999</v>
      </c>
      <c r="F124" s="340">
        <v>120.72565</v>
      </c>
      <c r="G124" s="76" t="str">
        <f>CONCATENATE(E124,",",F124)</f>
        <v>15.06224,120.72565</v>
      </c>
      <c r="H124" s="342">
        <v>44911</v>
      </c>
      <c r="I124" s="11" t="s">
        <v>3126</v>
      </c>
      <c r="J124" s="11" t="s">
        <v>32</v>
      </c>
      <c r="K124" s="11" t="s">
        <v>28</v>
      </c>
      <c r="L124" s="11" t="s">
        <v>148</v>
      </c>
      <c r="M124" s="323" t="s">
        <v>3351</v>
      </c>
      <c r="N124" s="324">
        <v>45877</v>
      </c>
      <c r="O124" s="324">
        <v>45879</v>
      </c>
      <c r="P124" s="324">
        <v>45881</v>
      </c>
      <c r="Q124" s="324">
        <v>45889</v>
      </c>
      <c r="R124" s="324">
        <v>45889</v>
      </c>
      <c r="S124" s="45">
        <f t="shared" si="18"/>
        <v>1</v>
      </c>
      <c r="T124" s="45">
        <f t="shared" si="19"/>
        <v>1</v>
      </c>
      <c r="U124" s="45">
        <f t="shared" si="14"/>
        <v>7</v>
      </c>
      <c r="V124" s="45">
        <f t="shared" si="15"/>
        <v>1</v>
      </c>
      <c r="W124" s="133" t="s">
        <v>150</v>
      </c>
      <c r="X124" s="11" t="s">
        <v>57</v>
      </c>
      <c r="Y124" s="133">
        <v>20</v>
      </c>
      <c r="Z124" s="11" t="s">
        <v>57</v>
      </c>
      <c r="AA124" s="11" t="s">
        <v>57</v>
      </c>
      <c r="AB124" s="11" t="s">
        <v>1239</v>
      </c>
      <c r="AC124" s="11" t="s">
        <v>808</v>
      </c>
      <c r="AD124" s="96" t="s">
        <v>3352</v>
      </c>
      <c r="AE124" s="7" t="s">
        <v>3325</v>
      </c>
      <c r="AF124" s="1"/>
      <c r="AG124" s="1"/>
    </row>
    <row r="125" spans="1:33" ht="30">
      <c r="A125" s="76" t="s">
        <v>778</v>
      </c>
      <c r="B125" s="338" t="s">
        <v>3066</v>
      </c>
      <c r="C125" s="339" t="s">
        <v>1411</v>
      </c>
      <c r="D125" s="339" t="s">
        <v>143</v>
      </c>
      <c r="E125" s="76"/>
      <c r="F125" s="340"/>
      <c r="G125" s="76" t="s">
        <v>3067</v>
      </c>
      <c r="H125" s="342">
        <v>44915</v>
      </c>
      <c r="I125" s="11" t="s">
        <v>3129</v>
      </c>
      <c r="J125" s="11" t="s">
        <v>34</v>
      </c>
      <c r="K125" s="11"/>
      <c r="L125" s="11" t="s">
        <v>148</v>
      </c>
      <c r="M125" s="324" t="s">
        <v>3353</v>
      </c>
      <c r="N125" s="324">
        <v>45965</v>
      </c>
      <c r="O125" s="324">
        <v>45966</v>
      </c>
      <c r="P125" s="324">
        <v>45982</v>
      </c>
      <c r="Q125" s="324">
        <v>45982</v>
      </c>
      <c r="R125" s="324">
        <v>45985</v>
      </c>
      <c r="S125" s="45">
        <f t="shared" si="18"/>
        <v>1</v>
      </c>
      <c r="T125" s="45">
        <f t="shared" si="19"/>
        <v>12</v>
      </c>
      <c r="U125" s="45">
        <f t="shared" si="14"/>
        <v>12</v>
      </c>
      <c r="V125" s="45">
        <f t="shared" si="15"/>
        <v>1</v>
      </c>
      <c r="W125" s="133" t="s">
        <v>150</v>
      </c>
      <c r="X125" s="11" t="s">
        <v>50</v>
      </c>
      <c r="Y125" s="133">
        <v>11</v>
      </c>
      <c r="Z125" s="11" t="s">
        <v>50</v>
      </c>
      <c r="AA125" s="11" t="s">
        <v>50</v>
      </c>
      <c r="AB125" s="11" t="s">
        <v>3221</v>
      </c>
      <c r="AC125" s="11" t="s">
        <v>3221</v>
      </c>
      <c r="AD125" s="96" t="s">
        <v>2925</v>
      </c>
      <c r="AE125" s="462"/>
      <c r="AF125" s="1"/>
      <c r="AG125" s="1"/>
    </row>
    <row r="126" spans="1:33" ht="30">
      <c r="A126" s="76" t="s">
        <v>778</v>
      </c>
      <c r="B126" s="338" t="s">
        <v>3070</v>
      </c>
      <c r="C126" s="339" t="s">
        <v>1411</v>
      </c>
      <c r="D126" s="339" t="s">
        <v>143</v>
      </c>
      <c r="E126" s="76"/>
      <c r="F126" s="340"/>
      <c r="G126" s="76" t="s">
        <v>3071</v>
      </c>
      <c r="H126" s="342">
        <v>44915</v>
      </c>
      <c r="I126" s="11" t="s">
        <v>3129</v>
      </c>
      <c r="J126" s="11" t="s">
        <v>34</v>
      </c>
      <c r="K126" s="11"/>
      <c r="L126" s="11" t="s">
        <v>148</v>
      </c>
      <c r="M126" s="324" t="s">
        <v>3354</v>
      </c>
      <c r="N126" s="324">
        <v>45965</v>
      </c>
      <c r="O126" s="324">
        <v>45966</v>
      </c>
      <c r="P126" s="324">
        <v>45982</v>
      </c>
      <c r="Q126" s="324">
        <v>45982</v>
      </c>
      <c r="R126" s="324">
        <v>45985</v>
      </c>
      <c r="S126" s="45">
        <f t="shared" si="18"/>
        <v>1</v>
      </c>
      <c r="T126" s="45">
        <f t="shared" si="19"/>
        <v>12</v>
      </c>
      <c r="U126" s="45">
        <f t="shared" si="14"/>
        <v>12</v>
      </c>
      <c r="V126" s="45">
        <f t="shared" si="15"/>
        <v>1</v>
      </c>
      <c r="W126" s="133" t="s">
        <v>150</v>
      </c>
      <c r="X126" s="11" t="s">
        <v>50</v>
      </c>
      <c r="Y126" s="133">
        <v>11</v>
      </c>
      <c r="Z126" s="11" t="s">
        <v>50</v>
      </c>
      <c r="AA126" s="11" t="s">
        <v>50</v>
      </c>
      <c r="AB126" s="11" t="s">
        <v>3221</v>
      </c>
      <c r="AC126" s="11" t="s">
        <v>3221</v>
      </c>
      <c r="AD126" s="96" t="s">
        <v>3355</v>
      </c>
      <c r="AE126" s="462"/>
      <c r="AF126" s="1"/>
      <c r="AG126" s="1"/>
    </row>
    <row r="127" spans="1:33">
      <c r="A127" s="76" t="s">
        <v>778</v>
      </c>
      <c r="B127" s="338" t="s">
        <v>3073</v>
      </c>
      <c r="C127" s="339" t="s">
        <v>1411</v>
      </c>
      <c r="D127" s="339" t="s">
        <v>143</v>
      </c>
      <c r="E127" s="76">
        <v>120.68429999999999</v>
      </c>
      <c r="F127" s="340">
        <v>14.9673</v>
      </c>
      <c r="G127" s="76" t="str">
        <f>_xlfn.CONCAT(E127:F127)</f>
        <v>120.684314.9673</v>
      </c>
      <c r="H127" s="342">
        <v>44901</v>
      </c>
      <c r="I127" s="11" t="s">
        <v>3128</v>
      </c>
      <c r="J127" s="11" t="s">
        <v>34</v>
      </c>
      <c r="K127" s="11" t="s">
        <v>1838</v>
      </c>
      <c r="L127" s="11" t="s">
        <v>148</v>
      </c>
      <c r="M127" s="324" t="s">
        <v>3356</v>
      </c>
      <c r="N127" s="324">
        <v>45932</v>
      </c>
      <c r="O127" s="324">
        <v>45935</v>
      </c>
      <c r="P127" s="324"/>
      <c r="Q127" s="324">
        <v>45947</v>
      </c>
      <c r="R127" s="324">
        <v>45950</v>
      </c>
      <c r="S127" s="45">
        <f t="shared" si="18"/>
        <v>1</v>
      </c>
      <c r="T127" s="45" t="str">
        <f t="shared" si="19"/>
        <v/>
      </c>
      <c r="U127" s="45">
        <f t="shared" si="14"/>
        <v>9</v>
      </c>
      <c r="V127" s="45">
        <f t="shared" si="15"/>
        <v>1</v>
      </c>
      <c r="W127" s="133" t="s">
        <v>150</v>
      </c>
      <c r="X127" s="11" t="s">
        <v>50</v>
      </c>
      <c r="Y127" s="133">
        <v>20</v>
      </c>
      <c r="Z127" s="11" t="s">
        <v>57</v>
      </c>
      <c r="AA127" s="11" t="s">
        <v>57</v>
      </c>
      <c r="AB127" s="11">
        <v>80</v>
      </c>
      <c r="AC127" s="11"/>
      <c r="AD127" s="133" t="s">
        <v>3357</v>
      </c>
      <c r="AE127" s="462"/>
      <c r="AF127" s="1"/>
      <c r="AG127" s="1"/>
    </row>
    <row r="128" spans="1:33">
      <c r="A128" s="76" t="s">
        <v>778</v>
      </c>
      <c r="B128" s="338" t="s">
        <v>3076</v>
      </c>
      <c r="C128" s="339" t="s">
        <v>1411</v>
      </c>
      <c r="D128" s="339" t="s">
        <v>143</v>
      </c>
      <c r="E128" s="76">
        <v>120.6904</v>
      </c>
      <c r="F128" s="340">
        <v>14.9779</v>
      </c>
      <c r="G128" s="76" t="str">
        <f>_xlfn.CONCAT(E128:F128)</f>
        <v>120.690414.9779</v>
      </c>
      <c r="H128" s="342">
        <v>44901</v>
      </c>
      <c r="I128" s="11" t="s">
        <v>3128</v>
      </c>
      <c r="J128" s="11" t="s">
        <v>34</v>
      </c>
      <c r="K128" s="11" t="s">
        <v>1838</v>
      </c>
      <c r="L128" s="11" t="s">
        <v>148</v>
      </c>
      <c r="M128" s="324" t="s">
        <v>3358</v>
      </c>
      <c r="N128" s="324">
        <v>45932</v>
      </c>
      <c r="O128" s="324">
        <v>45935</v>
      </c>
      <c r="P128" s="324"/>
      <c r="Q128" s="324">
        <v>45947</v>
      </c>
      <c r="R128" s="324">
        <v>45950</v>
      </c>
      <c r="S128" s="45">
        <f t="shared" si="18"/>
        <v>1</v>
      </c>
      <c r="T128" s="45" t="str">
        <f t="shared" si="19"/>
        <v/>
      </c>
      <c r="U128" s="45">
        <f t="shared" si="14"/>
        <v>9</v>
      </c>
      <c r="V128" s="45">
        <f t="shared" si="15"/>
        <v>1</v>
      </c>
      <c r="W128" s="133" t="s">
        <v>150</v>
      </c>
      <c r="X128" s="11" t="s">
        <v>50</v>
      </c>
      <c r="Y128" s="133">
        <v>12</v>
      </c>
      <c r="Z128" s="11" t="s">
        <v>57</v>
      </c>
      <c r="AA128" s="11" t="s">
        <v>57</v>
      </c>
      <c r="AB128" s="11"/>
      <c r="AC128" s="11"/>
      <c r="AD128" s="133" t="s">
        <v>3357</v>
      </c>
      <c r="AE128" s="462"/>
      <c r="AF128" s="1"/>
      <c r="AG128" s="1"/>
    </row>
    <row r="129" spans="1:33">
      <c r="A129" s="76" t="s">
        <v>778</v>
      </c>
      <c r="B129" s="338" t="s">
        <v>3079</v>
      </c>
      <c r="C129" s="339" t="s">
        <v>1411</v>
      </c>
      <c r="D129" s="339" t="s">
        <v>143</v>
      </c>
      <c r="E129" s="76"/>
      <c r="F129" s="340"/>
      <c r="G129" s="76" t="s">
        <v>3084</v>
      </c>
      <c r="H129" s="342">
        <v>44915</v>
      </c>
      <c r="I129" s="11" t="s">
        <v>3129</v>
      </c>
      <c r="J129" s="11" t="s">
        <v>34</v>
      </c>
      <c r="K129" s="11"/>
      <c r="L129" s="11" t="s">
        <v>148</v>
      </c>
      <c r="M129" s="324" t="s">
        <v>3359</v>
      </c>
      <c r="N129" s="324">
        <v>45965</v>
      </c>
      <c r="O129" s="324">
        <v>45966</v>
      </c>
      <c r="P129" s="324">
        <v>45982</v>
      </c>
      <c r="Q129" s="324">
        <v>45982</v>
      </c>
      <c r="R129" s="324">
        <v>45985</v>
      </c>
      <c r="S129" s="45">
        <f t="shared" si="18"/>
        <v>1</v>
      </c>
      <c r="T129" s="45">
        <f t="shared" si="19"/>
        <v>12</v>
      </c>
      <c r="U129" s="45">
        <f t="shared" si="14"/>
        <v>12</v>
      </c>
      <c r="V129" s="45">
        <f t="shared" si="15"/>
        <v>1</v>
      </c>
      <c r="W129" s="133" t="s">
        <v>150</v>
      </c>
      <c r="X129" s="11" t="s">
        <v>50</v>
      </c>
      <c r="Y129" s="133">
        <v>11</v>
      </c>
      <c r="Z129" s="11" t="s">
        <v>57</v>
      </c>
      <c r="AA129" s="11" t="s">
        <v>57</v>
      </c>
      <c r="AB129" s="11" t="s">
        <v>3221</v>
      </c>
      <c r="AC129" s="710">
        <v>45962</v>
      </c>
      <c r="AD129" s="96" t="s">
        <v>3098</v>
      </c>
      <c r="AE129" s="462"/>
      <c r="AF129" s="1"/>
      <c r="AG129" s="1"/>
    </row>
    <row r="130" spans="1:33">
      <c r="A130" s="76" t="s">
        <v>778</v>
      </c>
      <c r="B130" s="338" t="s">
        <v>3083</v>
      </c>
      <c r="C130" s="339" t="s">
        <v>1411</v>
      </c>
      <c r="D130" s="339" t="s">
        <v>143</v>
      </c>
      <c r="E130" s="76">
        <v>120.68040000000001</v>
      </c>
      <c r="F130" s="340">
        <v>14.9642</v>
      </c>
      <c r="G130" s="76" t="str">
        <f>_xlfn.CONCAT(E130:F130)</f>
        <v>120.680414.9642</v>
      </c>
      <c r="H130" s="342">
        <v>44901</v>
      </c>
      <c r="I130" s="11" t="s">
        <v>3128</v>
      </c>
      <c r="J130" s="11" t="s">
        <v>34</v>
      </c>
      <c r="K130" s="11" t="s">
        <v>1838</v>
      </c>
      <c r="L130" s="11" t="s">
        <v>148</v>
      </c>
      <c r="M130" s="324" t="s">
        <v>3360</v>
      </c>
      <c r="N130" s="324">
        <v>45932</v>
      </c>
      <c r="O130" s="324">
        <v>45935</v>
      </c>
      <c r="P130" s="324"/>
      <c r="Q130" s="324">
        <v>45947</v>
      </c>
      <c r="R130" s="324">
        <v>45950</v>
      </c>
      <c r="S130" s="45">
        <f t="shared" si="18"/>
        <v>1</v>
      </c>
      <c r="T130" s="45" t="str">
        <f t="shared" si="19"/>
        <v/>
      </c>
      <c r="U130" s="45">
        <f t="shared" ref="U130:U144" si="20">IF(
  OR(A130 = "Nueva_Ecija", A130 = "Zambales"),
  IF(
    OR(ISBLANK(P130), ISBLANK(Q130)),
    "",
    MAX(1, IF(
      NETWORKDAYS(P130, Q130) &lt;= 0,
      1,
      NETWORKDAYS(P130, Q130) - IF(P130 = Q130, 0, 1)
    ))
  ),
  IF(
    OR(ISBLANK(O130), ISBLANK(Q130)),
    "",
    MAX(1, IF(
      NETWORKDAYS(O130, Q130) &lt;= 0,
      1,
      NETWORKDAYS(O130, Q130) - IF(O130 = Q130, 0, 1)
    ))
  )
)</f>
        <v>9</v>
      </c>
      <c r="V130" s="45">
        <f t="shared" si="15"/>
        <v>1</v>
      </c>
      <c r="W130" s="133" t="s">
        <v>150</v>
      </c>
      <c r="X130" s="11" t="s">
        <v>50</v>
      </c>
      <c r="Y130" s="133">
        <v>15</v>
      </c>
      <c r="Z130" s="11" t="s">
        <v>57</v>
      </c>
      <c r="AA130" s="11" t="s">
        <v>57</v>
      </c>
      <c r="AB130" s="11"/>
      <c r="AC130" s="11" t="s">
        <v>2671</v>
      </c>
      <c r="AD130" s="133" t="s">
        <v>3361</v>
      </c>
      <c r="AE130" s="462"/>
      <c r="AF130" s="1"/>
      <c r="AG130" s="1"/>
    </row>
    <row r="131" spans="1:33" ht="45">
      <c r="A131" s="76" t="s">
        <v>778</v>
      </c>
      <c r="B131" s="338" t="s">
        <v>3087</v>
      </c>
      <c r="C131" s="339" t="s">
        <v>1411</v>
      </c>
      <c r="D131" s="339" t="s">
        <v>143</v>
      </c>
      <c r="E131" s="76"/>
      <c r="F131" s="340"/>
      <c r="G131" s="76" t="s">
        <v>3362</v>
      </c>
      <c r="H131" s="342">
        <v>44915</v>
      </c>
      <c r="I131" s="11" t="s">
        <v>3129</v>
      </c>
      <c r="J131" s="11" t="s">
        <v>34</v>
      </c>
      <c r="K131" s="11"/>
      <c r="L131" s="11" t="s">
        <v>148</v>
      </c>
      <c r="M131" s="324" t="s">
        <v>3363</v>
      </c>
      <c r="N131" s="324">
        <v>45965</v>
      </c>
      <c r="O131" s="324">
        <v>45966</v>
      </c>
      <c r="P131" s="324">
        <v>45982</v>
      </c>
      <c r="Q131" s="324">
        <v>45982</v>
      </c>
      <c r="R131" s="324">
        <v>45985</v>
      </c>
      <c r="S131" s="45">
        <f t="shared" si="18"/>
        <v>1</v>
      </c>
      <c r="T131" s="45">
        <f t="shared" si="19"/>
        <v>12</v>
      </c>
      <c r="U131" s="45">
        <f t="shared" si="20"/>
        <v>12</v>
      </c>
      <c r="V131" s="45"/>
      <c r="W131" s="133" t="s">
        <v>150</v>
      </c>
      <c r="X131" s="11" t="s">
        <v>50</v>
      </c>
      <c r="Y131" s="133" t="s">
        <v>3364</v>
      </c>
      <c r="Z131" s="11" t="s">
        <v>57</v>
      </c>
      <c r="AA131" s="11" t="s">
        <v>57</v>
      </c>
      <c r="AB131" s="11" t="s">
        <v>3221</v>
      </c>
      <c r="AC131" s="710">
        <v>45962</v>
      </c>
      <c r="AD131" s="96" t="s">
        <v>3089</v>
      </c>
      <c r="AE131" s="462"/>
      <c r="AF131" s="1"/>
      <c r="AG131" s="1"/>
    </row>
    <row r="132" spans="1:33">
      <c r="A132" s="76" t="s">
        <v>778</v>
      </c>
      <c r="B132" s="338" t="s">
        <v>3090</v>
      </c>
      <c r="C132" s="339" t="s">
        <v>1411</v>
      </c>
      <c r="D132" s="339" t="s">
        <v>143</v>
      </c>
      <c r="E132" s="76">
        <v>120.6859</v>
      </c>
      <c r="F132" s="340">
        <v>14.974600000000001</v>
      </c>
      <c r="G132" s="76" t="str">
        <f>_xlfn.CONCAT(E132:F132)</f>
        <v>120.685914.9746</v>
      </c>
      <c r="H132" s="342">
        <v>44901</v>
      </c>
      <c r="I132" s="11" t="s">
        <v>3128</v>
      </c>
      <c r="J132" s="11" t="s">
        <v>34</v>
      </c>
      <c r="K132" s="11" t="s">
        <v>1838</v>
      </c>
      <c r="L132" s="11" t="s">
        <v>148</v>
      </c>
      <c r="M132" s="324" t="s">
        <v>3365</v>
      </c>
      <c r="N132" s="324">
        <v>45932</v>
      </c>
      <c r="O132" s="324">
        <v>45935</v>
      </c>
      <c r="P132" s="324"/>
      <c r="Q132" s="324">
        <v>45947</v>
      </c>
      <c r="R132" s="324">
        <v>45950</v>
      </c>
      <c r="S132" s="45">
        <f t="shared" si="18"/>
        <v>1</v>
      </c>
      <c r="T132" s="45" t="str">
        <f t="shared" si="19"/>
        <v/>
      </c>
      <c r="U132" s="45">
        <f t="shared" si="20"/>
        <v>9</v>
      </c>
      <c r="V132" s="45">
        <f t="shared" ref="V132:V144" si="21">IF(
    OR(ISBLANK(Q132), ISBLANK(R132)),
    "",
    MAX(1, IF(
        NETWORKDAYS(Q132, R132) &lt;= 0,
        1,
        NETWORKDAYS(Q132, R132) - IF(Q132 = R132, 0, 1)
    ))
)</f>
        <v>1</v>
      </c>
      <c r="W132" s="133" t="s">
        <v>150</v>
      </c>
      <c r="X132" s="11" t="s">
        <v>50</v>
      </c>
      <c r="Y132" s="133">
        <v>12</v>
      </c>
      <c r="Z132" s="11" t="s">
        <v>50</v>
      </c>
      <c r="AA132" s="11" t="s">
        <v>50</v>
      </c>
      <c r="AB132" s="11"/>
      <c r="AC132" s="11" t="s">
        <v>2671</v>
      </c>
      <c r="AD132" s="133" t="s">
        <v>3366</v>
      </c>
      <c r="AE132" s="462"/>
      <c r="AF132" s="1"/>
      <c r="AG132" s="1"/>
    </row>
    <row r="133" spans="1:33">
      <c r="A133" s="76" t="s">
        <v>778</v>
      </c>
      <c r="B133" s="338" t="s">
        <v>3093</v>
      </c>
      <c r="C133" s="339" t="s">
        <v>1411</v>
      </c>
      <c r="D133" s="339" t="s">
        <v>143</v>
      </c>
      <c r="E133" s="76">
        <v>120.6879</v>
      </c>
      <c r="F133" s="340">
        <v>14.9702</v>
      </c>
      <c r="G133" s="76" t="str">
        <f>_xlfn.CONCAT(E133:F133)</f>
        <v>120.687914.9702</v>
      </c>
      <c r="H133" s="342">
        <v>44915</v>
      </c>
      <c r="I133" s="11" t="s">
        <v>3128</v>
      </c>
      <c r="J133" s="11" t="s">
        <v>34</v>
      </c>
      <c r="K133" s="11" t="s">
        <v>1838</v>
      </c>
      <c r="L133" s="11" t="s">
        <v>148</v>
      </c>
      <c r="M133" s="324" t="s">
        <v>3367</v>
      </c>
      <c r="N133" s="324">
        <v>45932</v>
      </c>
      <c r="O133" s="324">
        <v>45935</v>
      </c>
      <c r="P133" s="324"/>
      <c r="Q133" s="324">
        <v>45947</v>
      </c>
      <c r="R133" s="324">
        <v>45950</v>
      </c>
      <c r="S133" s="45">
        <f t="shared" si="18"/>
        <v>1</v>
      </c>
      <c r="T133" s="45" t="str">
        <f t="shared" si="19"/>
        <v/>
      </c>
      <c r="U133" s="45">
        <f t="shared" si="20"/>
        <v>9</v>
      </c>
      <c r="V133" s="45">
        <f t="shared" si="21"/>
        <v>1</v>
      </c>
      <c r="W133" s="133" t="s">
        <v>150</v>
      </c>
      <c r="X133" s="11" t="s">
        <v>50</v>
      </c>
      <c r="Y133" s="133">
        <v>11</v>
      </c>
      <c r="Z133" s="11" t="s">
        <v>57</v>
      </c>
      <c r="AA133" s="11" t="s">
        <v>57</v>
      </c>
      <c r="AB133" s="11"/>
      <c r="AC133" s="11" t="s">
        <v>2671</v>
      </c>
      <c r="AD133" s="133" t="s">
        <v>3368</v>
      </c>
      <c r="AE133" s="462"/>
      <c r="AF133" s="1"/>
      <c r="AG133" s="1"/>
    </row>
    <row r="134" spans="1:33" ht="45">
      <c r="A134" s="76" t="s">
        <v>778</v>
      </c>
      <c r="B134" s="338" t="s">
        <v>3369</v>
      </c>
      <c r="C134" s="339" t="s">
        <v>1415</v>
      </c>
      <c r="D134" s="339" t="s">
        <v>143</v>
      </c>
      <c r="E134" s="76">
        <v>15.072355</v>
      </c>
      <c r="F134" s="340">
        <v>120.54201500000001</v>
      </c>
      <c r="G134" s="76" t="s">
        <v>3370</v>
      </c>
      <c r="H134" s="342">
        <v>44909</v>
      </c>
      <c r="I134" s="11" t="s">
        <v>3126</v>
      </c>
      <c r="J134" s="11" t="s">
        <v>33</v>
      </c>
      <c r="K134" s="7" t="s">
        <v>28</v>
      </c>
      <c r="L134" s="11" t="s">
        <v>148</v>
      </c>
      <c r="M134" s="323" t="s">
        <v>3371</v>
      </c>
      <c r="N134" s="324">
        <v>45853</v>
      </c>
      <c r="O134" s="324">
        <v>45856</v>
      </c>
      <c r="P134" s="324">
        <v>45856</v>
      </c>
      <c r="Q134" s="324">
        <v>45862</v>
      </c>
      <c r="R134" s="324">
        <v>45866</v>
      </c>
      <c r="S134" s="45">
        <f t="shared" si="18"/>
        <v>3</v>
      </c>
      <c r="T134" s="45">
        <f t="shared" si="19"/>
        <v>1</v>
      </c>
      <c r="U134" s="45">
        <f t="shared" si="20"/>
        <v>4</v>
      </c>
      <c r="V134" s="45">
        <f t="shared" si="21"/>
        <v>2</v>
      </c>
      <c r="W134" s="133" t="s">
        <v>150</v>
      </c>
      <c r="X134" s="11" t="s">
        <v>57</v>
      </c>
      <c r="Y134" s="133">
        <v>0</v>
      </c>
      <c r="Z134" s="11" t="s">
        <v>57</v>
      </c>
      <c r="AA134" s="11" t="s">
        <v>57</v>
      </c>
      <c r="AB134" s="11" t="s">
        <v>1239</v>
      </c>
      <c r="AC134" s="11" t="s">
        <v>808</v>
      </c>
      <c r="AD134" s="7" t="s">
        <v>3372</v>
      </c>
      <c r="AE134" s="7" t="s">
        <v>2931</v>
      </c>
      <c r="AF134" s="1"/>
      <c r="AG134" s="1"/>
    </row>
    <row r="135" spans="1:33" ht="45">
      <c r="A135" s="76" t="s">
        <v>778</v>
      </c>
      <c r="B135" s="338" t="s">
        <v>3369</v>
      </c>
      <c r="C135" s="339" t="s">
        <v>1415</v>
      </c>
      <c r="D135" s="339" t="s">
        <v>143</v>
      </c>
      <c r="E135" s="76">
        <v>15.072430000000001</v>
      </c>
      <c r="F135" s="340">
        <v>120.54197000000001</v>
      </c>
      <c r="G135" s="76" t="str">
        <f>CONCATENATE(E135,",",F135)</f>
        <v>15.07243,120.54197</v>
      </c>
      <c r="H135" s="342">
        <v>44909</v>
      </c>
      <c r="I135" s="11" t="s">
        <v>3126</v>
      </c>
      <c r="J135" s="11" t="s">
        <v>33</v>
      </c>
      <c r="K135" s="7" t="s">
        <v>28</v>
      </c>
      <c r="L135" s="11" t="s">
        <v>148</v>
      </c>
      <c r="M135" s="323" t="s">
        <v>3373</v>
      </c>
      <c r="N135" s="324">
        <v>45853</v>
      </c>
      <c r="O135" s="324">
        <v>45856</v>
      </c>
      <c r="P135" s="324">
        <v>45856</v>
      </c>
      <c r="Q135" s="324">
        <v>45862</v>
      </c>
      <c r="R135" s="324">
        <v>45866</v>
      </c>
      <c r="S135" s="45">
        <f t="shared" si="18"/>
        <v>3</v>
      </c>
      <c r="T135" s="45">
        <f t="shared" si="19"/>
        <v>1</v>
      </c>
      <c r="U135" s="45">
        <f t="shared" si="20"/>
        <v>4</v>
      </c>
      <c r="V135" s="45">
        <f t="shared" si="21"/>
        <v>2</v>
      </c>
      <c r="W135" s="133" t="s">
        <v>150</v>
      </c>
      <c r="X135" s="11" t="s">
        <v>57</v>
      </c>
      <c r="Y135" s="133">
        <v>0</v>
      </c>
      <c r="Z135" s="11" t="s">
        <v>57</v>
      </c>
      <c r="AA135" s="11" t="s">
        <v>57</v>
      </c>
      <c r="AB135" s="11" t="s">
        <v>1239</v>
      </c>
      <c r="AC135" s="11" t="s">
        <v>808</v>
      </c>
      <c r="AD135" s="7" t="s">
        <v>3372</v>
      </c>
      <c r="AE135" s="7" t="s">
        <v>2931</v>
      </c>
      <c r="AF135" s="1"/>
      <c r="AG135" s="1"/>
    </row>
    <row r="136" spans="1:33" ht="45">
      <c r="A136" s="76" t="s">
        <v>778</v>
      </c>
      <c r="B136" s="338" t="s">
        <v>3101</v>
      </c>
      <c r="C136" s="339" t="s">
        <v>992</v>
      </c>
      <c r="D136" s="339" t="s">
        <v>143</v>
      </c>
      <c r="E136" s="76">
        <v>15.061400000000001</v>
      </c>
      <c r="F136" s="340">
        <v>120.8172</v>
      </c>
      <c r="G136" s="76" t="str">
        <f>CONCATENATE(E136,",",F136)</f>
        <v>15.0614,120.8172</v>
      </c>
      <c r="H136" s="342">
        <v>44915</v>
      </c>
      <c r="I136" s="11" t="s">
        <v>3126</v>
      </c>
      <c r="J136" s="11" t="s">
        <v>34</v>
      </c>
      <c r="K136" s="7" t="s">
        <v>28</v>
      </c>
      <c r="L136" s="11" t="s">
        <v>148</v>
      </c>
      <c r="M136" s="323" t="s">
        <v>3374</v>
      </c>
      <c r="N136" s="324">
        <v>45853</v>
      </c>
      <c r="O136" s="324">
        <v>45856</v>
      </c>
      <c r="P136" s="324">
        <v>45856</v>
      </c>
      <c r="Q136" s="324">
        <v>45856</v>
      </c>
      <c r="R136" s="324">
        <v>45866</v>
      </c>
      <c r="S136" s="45">
        <f t="shared" si="18"/>
        <v>3</v>
      </c>
      <c r="T136" s="45">
        <f t="shared" si="19"/>
        <v>1</v>
      </c>
      <c r="U136" s="45">
        <f t="shared" si="20"/>
        <v>1</v>
      </c>
      <c r="V136" s="45">
        <f t="shared" si="21"/>
        <v>6</v>
      </c>
      <c r="W136" s="133" t="s">
        <v>150</v>
      </c>
      <c r="X136" s="11" t="s">
        <v>57</v>
      </c>
      <c r="Y136" s="133">
        <v>12</v>
      </c>
      <c r="Z136" s="11" t="s">
        <v>57</v>
      </c>
      <c r="AA136" s="11" t="s">
        <v>57</v>
      </c>
      <c r="AB136" s="11" t="s">
        <v>1239</v>
      </c>
      <c r="AC136" s="11" t="s">
        <v>808</v>
      </c>
      <c r="AD136" s="81" t="s">
        <v>3375</v>
      </c>
      <c r="AE136" s="7" t="s">
        <v>2931</v>
      </c>
      <c r="AF136" s="1"/>
      <c r="AG136" s="1"/>
    </row>
    <row r="137" spans="1:33" ht="30">
      <c r="A137" s="76" t="s">
        <v>778</v>
      </c>
      <c r="B137" s="338" t="s">
        <v>3101</v>
      </c>
      <c r="C137" s="339" t="s">
        <v>992</v>
      </c>
      <c r="D137" s="339" t="s">
        <v>143</v>
      </c>
      <c r="E137" s="76">
        <v>15.061480100000001</v>
      </c>
      <c r="F137" s="340">
        <v>120.81720799999999</v>
      </c>
      <c r="G137" s="76" t="s">
        <v>2940</v>
      </c>
      <c r="H137" s="342">
        <v>44915</v>
      </c>
      <c r="I137" s="11" t="s">
        <v>3126</v>
      </c>
      <c r="J137" s="11" t="s">
        <v>34</v>
      </c>
      <c r="K137" s="7" t="s">
        <v>28</v>
      </c>
      <c r="L137" s="11" t="s">
        <v>148</v>
      </c>
      <c r="M137" s="323" t="s">
        <v>3376</v>
      </c>
      <c r="N137" s="324">
        <v>45853</v>
      </c>
      <c r="O137" s="324">
        <v>45856</v>
      </c>
      <c r="P137" s="324">
        <v>45856</v>
      </c>
      <c r="Q137" s="324">
        <v>45862</v>
      </c>
      <c r="R137" s="324">
        <v>45866</v>
      </c>
      <c r="S137" s="45">
        <f t="shared" si="18"/>
        <v>3</v>
      </c>
      <c r="T137" s="45">
        <f t="shared" si="19"/>
        <v>1</v>
      </c>
      <c r="U137" s="45">
        <f t="shared" si="20"/>
        <v>4</v>
      </c>
      <c r="V137" s="45">
        <f t="shared" si="21"/>
        <v>2</v>
      </c>
      <c r="W137" s="133" t="s">
        <v>150</v>
      </c>
      <c r="X137" s="11" t="s">
        <v>57</v>
      </c>
      <c r="Y137" s="133">
        <v>0</v>
      </c>
      <c r="Z137" s="11" t="s">
        <v>57</v>
      </c>
      <c r="AA137" s="11" t="s">
        <v>57</v>
      </c>
      <c r="AB137" s="11" t="s">
        <v>1239</v>
      </c>
      <c r="AC137" s="11" t="s">
        <v>808</v>
      </c>
      <c r="AD137" s="7" t="s">
        <v>3377</v>
      </c>
      <c r="AE137" s="81"/>
      <c r="AF137" s="1"/>
      <c r="AG137" s="1"/>
    </row>
    <row r="138" spans="1:33" ht="62.25" customHeight="1">
      <c r="A138" s="76" t="s">
        <v>778</v>
      </c>
      <c r="B138" s="338" t="s">
        <v>2359</v>
      </c>
      <c r="C138" s="339" t="s">
        <v>1423</v>
      </c>
      <c r="D138" s="339" t="s">
        <v>143</v>
      </c>
      <c r="E138" s="76">
        <v>15.0448</v>
      </c>
      <c r="F138" s="340">
        <v>120.78740000000001</v>
      </c>
      <c r="G138" s="76" t="str">
        <f>_xlfn.CONCAT(E138:F138)</f>
        <v>15.0448120.7874</v>
      </c>
      <c r="H138" s="342">
        <v>44901</v>
      </c>
      <c r="I138" s="11" t="s">
        <v>3128</v>
      </c>
      <c r="J138" s="11" t="s">
        <v>34</v>
      </c>
      <c r="K138" s="7" t="s">
        <v>28</v>
      </c>
      <c r="L138" s="11" t="s">
        <v>148</v>
      </c>
      <c r="M138" s="323" t="s">
        <v>3378</v>
      </c>
      <c r="N138" s="324">
        <v>45910</v>
      </c>
      <c r="O138" s="324">
        <v>45916</v>
      </c>
      <c r="P138" s="324">
        <v>45924</v>
      </c>
      <c r="Q138" s="324">
        <v>45930</v>
      </c>
      <c r="R138" s="324">
        <v>45930</v>
      </c>
      <c r="S138" s="45">
        <f t="shared" si="18"/>
        <v>4</v>
      </c>
      <c r="T138" s="45">
        <f t="shared" si="19"/>
        <v>6</v>
      </c>
      <c r="U138" s="45">
        <f t="shared" si="20"/>
        <v>10</v>
      </c>
      <c r="V138" s="45">
        <f t="shared" si="21"/>
        <v>1</v>
      </c>
      <c r="W138" s="133" t="s">
        <v>150</v>
      </c>
      <c r="X138" s="11" t="s">
        <v>57</v>
      </c>
      <c r="Y138" s="133">
        <v>6</v>
      </c>
      <c r="Z138" s="11" t="s">
        <v>57</v>
      </c>
      <c r="AA138" s="11" t="s">
        <v>57</v>
      </c>
      <c r="AB138" s="11" t="s">
        <v>820</v>
      </c>
      <c r="AC138" s="11" t="s">
        <v>808</v>
      </c>
      <c r="AD138" s="7" t="s">
        <v>3379</v>
      </c>
      <c r="AE138" s="7" t="s">
        <v>3325</v>
      </c>
      <c r="AF138" s="1"/>
      <c r="AG138" s="1"/>
    </row>
    <row r="139" spans="1:33" ht="135">
      <c r="A139" s="76" t="s">
        <v>778</v>
      </c>
      <c r="B139" s="338" t="s">
        <v>2359</v>
      </c>
      <c r="C139" s="339" t="s">
        <v>1423</v>
      </c>
      <c r="D139" s="339" t="s">
        <v>143</v>
      </c>
      <c r="E139" s="76">
        <v>15.0448</v>
      </c>
      <c r="F139" s="340">
        <v>120.78740000000001</v>
      </c>
      <c r="G139" s="76" t="str">
        <f>_xlfn.CONCAT(E139:F139)</f>
        <v>15.0448120.7874</v>
      </c>
      <c r="H139" s="342">
        <v>44901</v>
      </c>
      <c r="I139" s="11" t="s">
        <v>3128</v>
      </c>
      <c r="J139" s="11" t="s">
        <v>34</v>
      </c>
      <c r="K139" s="7" t="s">
        <v>28</v>
      </c>
      <c r="L139" s="11" t="s">
        <v>148</v>
      </c>
      <c r="M139" s="323" t="s">
        <v>3380</v>
      </c>
      <c r="N139" s="324">
        <v>45910</v>
      </c>
      <c r="O139" s="324">
        <v>45916</v>
      </c>
      <c r="P139" s="324">
        <v>45924</v>
      </c>
      <c r="Q139" s="324">
        <v>45930</v>
      </c>
      <c r="R139" s="324">
        <v>45930</v>
      </c>
      <c r="S139" s="45">
        <f t="shared" si="18"/>
        <v>4</v>
      </c>
      <c r="T139" s="45">
        <f t="shared" si="19"/>
        <v>6</v>
      </c>
      <c r="U139" s="45">
        <f t="shared" si="20"/>
        <v>10</v>
      </c>
      <c r="V139" s="45">
        <f t="shared" si="21"/>
        <v>1</v>
      </c>
      <c r="W139" s="133" t="s">
        <v>150</v>
      </c>
      <c r="X139" s="11" t="s">
        <v>57</v>
      </c>
      <c r="Y139" s="133">
        <v>0</v>
      </c>
      <c r="Z139" s="11" t="s">
        <v>57</v>
      </c>
      <c r="AA139" s="11" t="s">
        <v>57</v>
      </c>
      <c r="AB139" s="11" t="s">
        <v>1239</v>
      </c>
      <c r="AC139" s="11" t="s">
        <v>1239</v>
      </c>
      <c r="AD139" s="96" t="s">
        <v>3381</v>
      </c>
      <c r="AE139" s="649"/>
      <c r="AF139" s="1"/>
      <c r="AG139" s="1"/>
    </row>
    <row r="140" spans="1:33" ht="105">
      <c r="A140" s="76" t="s">
        <v>778</v>
      </c>
      <c r="B140" s="338" t="s">
        <v>3110</v>
      </c>
      <c r="C140" s="339" t="s">
        <v>1441</v>
      </c>
      <c r="D140" s="339" t="s">
        <v>143</v>
      </c>
      <c r="E140" s="76">
        <v>14.983359999999999</v>
      </c>
      <c r="F140" s="340">
        <v>120.70086000000001</v>
      </c>
      <c r="G140" s="76" t="str">
        <f>_xlfn.CONCAT(E140:F140)</f>
        <v>14.98336120.70086</v>
      </c>
      <c r="H140" s="342">
        <v>44914</v>
      </c>
      <c r="I140" s="11" t="s">
        <v>3126</v>
      </c>
      <c r="J140" s="11" t="s">
        <v>33</v>
      </c>
      <c r="K140" s="11" t="s">
        <v>28</v>
      </c>
      <c r="L140" s="11" t="s">
        <v>148</v>
      </c>
      <c r="M140" s="323" t="s">
        <v>3382</v>
      </c>
      <c r="N140" s="324">
        <v>45875</v>
      </c>
      <c r="O140" s="324">
        <v>45881</v>
      </c>
      <c r="P140" s="324">
        <v>45882</v>
      </c>
      <c r="Q140" s="324">
        <v>45889</v>
      </c>
      <c r="R140" s="324">
        <v>45889</v>
      </c>
      <c r="S140" s="45">
        <f t="shared" si="18"/>
        <v>4</v>
      </c>
      <c r="T140" s="45">
        <f t="shared" si="19"/>
        <v>1</v>
      </c>
      <c r="U140" s="45">
        <f t="shared" si="20"/>
        <v>6</v>
      </c>
      <c r="V140" s="45">
        <f t="shared" si="21"/>
        <v>1</v>
      </c>
      <c r="W140" s="133" t="s">
        <v>150</v>
      </c>
      <c r="X140" s="11" t="s">
        <v>50</v>
      </c>
      <c r="Y140" s="133">
        <v>12</v>
      </c>
      <c r="Z140" s="11" t="s">
        <v>57</v>
      </c>
      <c r="AA140" s="11" t="s">
        <v>57</v>
      </c>
      <c r="AB140" s="11" t="s">
        <v>1239</v>
      </c>
      <c r="AC140" s="11" t="s">
        <v>1239</v>
      </c>
      <c r="AD140" s="96" t="s">
        <v>3383</v>
      </c>
      <c r="AE140" s="649"/>
      <c r="AF140" s="1"/>
      <c r="AG140" s="1"/>
    </row>
    <row r="141" spans="1:33" ht="75">
      <c r="A141" s="76" t="s">
        <v>778</v>
      </c>
      <c r="B141" s="338" t="s">
        <v>3113</v>
      </c>
      <c r="C141" s="339" t="s">
        <v>1441</v>
      </c>
      <c r="D141" s="339" t="s">
        <v>143</v>
      </c>
      <c r="E141" s="76">
        <v>14.991580000000001</v>
      </c>
      <c r="F141" s="340">
        <v>120.70707</v>
      </c>
      <c r="G141" s="76" t="str">
        <f>_xlfn.CONCAT(E141:F141)</f>
        <v>14.99158120.70707</v>
      </c>
      <c r="H141" s="342">
        <v>44914</v>
      </c>
      <c r="I141" s="11" t="s">
        <v>3126</v>
      </c>
      <c r="J141" s="11" t="s">
        <v>33</v>
      </c>
      <c r="K141" s="11" t="s">
        <v>1838</v>
      </c>
      <c r="L141" s="11" t="s">
        <v>148</v>
      </c>
      <c r="M141" s="323" t="s">
        <v>3384</v>
      </c>
      <c r="N141" s="324">
        <v>45875</v>
      </c>
      <c r="O141" s="324">
        <v>45881</v>
      </c>
      <c r="P141" s="324">
        <v>45882</v>
      </c>
      <c r="Q141" s="324">
        <v>45888</v>
      </c>
      <c r="R141" s="324">
        <v>45889</v>
      </c>
      <c r="S141" s="45">
        <f t="shared" si="18"/>
        <v>4</v>
      </c>
      <c r="T141" s="45">
        <f t="shared" si="19"/>
        <v>1</v>
      </c>
      <c r="U141" s="45">
        <f t="shared" si="20"/>
        <v>5</v>
      </c>
      <c r="V141" s="45">
        <f t="shared" si="21"/>
        <v>1</v>
      </c>
      <c r="W141" s="133" t="s">
        <v>150</v>
      </c>
      <c r="X141" s="11" t="s">
        <v>57</v>
      </c>
      <c r="Y141" s="133">
        <v>0</v>
      </c>
      <c r="Z141" s="11" t="s">
        <v>57</v>
      </c>
      <c r="AA141" s="11" t="s">
        <v>57</v>
      </c>
      <c r="AB141" s="11" t="s">
        <v>1239</v>
      </c>
      <c r="AC141" s="11" t="s">
        <v>1239</v>
      </c>
      <c r="AD141" s="96" t="s">
        <v>3385</v>
      </c>
      <c r="AE141" s="649"/>
      <c r="AF141" s="1"/>
      <c r="AG141" s="1"/>
    </row>
    <row r="142" spans="1:33" ht="75">
      <c r="A142" s="76" t="s">
        <v>778</v>
      </c>
      <c r="B142" s="338" t="s">
        <v>3113</v>
      </c>
      <c r="C142" s="339" t="s">
        <v>1441</v>
      </c>
      <c r="D142" s="339" t="s">
        <v>143</v>
      </c>
      <c r="E142" s="76">
        <v>15.002700000000001</v>
      </c>
      <c r="F142" s="340">
        <v>120.70361</v>
      </c>
      <c r="G142" s="76" t="str">
        <f>_xlfn.CONCAT(E142:F142)</f>
        <v>15.0027120.70361</v>
      </c>
      <c r="H142" s="342">
        <v>44914</v>
      </c>
      <c r="I142" s="11" t="s">
        <v>3126</v>
      </c>
      <c r="J142" s="11" t="s">
        <v>33</v>
      </c>
      <c r="K142" s="11" t="s">
        <v>1838</v>
      </c>
      <c r="L142" s="11" t="s">
        <v>148</v>
      </c>
      <c r="M142" s="323" t="s">
        <v>3386</v>
      </c>
      <c r="N142" s="324">
        <v>45875</v>
      </c>
      <c r="O142" s="324">
        <v>45881</v>
      </c>
      <c r="P142" s="324">
        <v>45882</v>
      </c>
      <c r="Q142" s="324">
        <v>45889</v>
      </c>
      <c r="R142" s="324">
        <v>45889</v>
      </c>
      <c r="S142" s="45">
        <f t="shared" si="18"/>
        <v>4</v>
      </c>
      <c r="T142" s="45">
        <f t="shared" si="19"/>
        <v>1</v>
      </c>
      <c r="U142" s="45">
        <f t="shared" si="20"/>
        <v>6</v>
      </c>
      <c r="V142" s="45">
        <f t="shared" si="21"/>
        <v>1</v>
      </c>
      <c r="W142" s="133" t="s">
        <v>150</v>
      </c>
      <c r="X142" s="11" t="s">
        <v>57</v>
      </c>
      <c r="Y142" s="133">
        <v>10</v>
      </c>
      <c r="Z142" s="11" t="s">
        <v>57</v>
      </c>
      <c r="AA142" s="11" t="s">
        <v>57</v>
      </c>
      <c r="AB142" s="11" t="s">
        <v>1239</v>
      </c>
      <c r="AC142" s="11" t="s">
        <v>1239</v>
      </c>
      <c r="AD142" s="96" t="s">
        <v>3387</v>
      </c>
      <c r="AE142" s="7" t="s">
        <v>3325</v>
      </c>
      <c r="AF142" s="1"/>
      <c r="AG142" s="1"/>
    </row>
    <row r="143" spans="1:33" ht="75">
      <c r="A143" s="76" t="s">
        <v>778</v>
      </c>
      <c r="B143" s="338" t="s">
        <v>3119</v>
      </c>
      <c r="C143" s="339" t="s">
        <v>1441</v>
      </c>
      <c r="D143" s="339" t="s">
        <v>143</v>
      </c>
      <c r="E143" s="76">
        <v>15.016450000000001</v>
      </c>
      <c r="F143" s="340">
        <v>120.71693</v>
      </c>
      <c r="G143" s="76" t="str">
        <f>CONCATENATE(E143,",",F143)</f>
        <v>15.01645,120.71693</v>
      </c>
      <c r="H143" s="342">
        <v>44914</v>
      </c>
      <c r="I143" s="11" t="s">
        <v>3126</v>
      </c>
      <c r="J143" s="11" t="s">
        <v>33</v>
      </c>
      <c r="K143" s="11" t="s">
        <v>1838</v>
      </c>
      <c r="L143" s="11" t="s">
        <v>148</v>
      </c>
      <c r="M143" s="323" t="s">
        <v>3388</v>
      </c>
      <c r="N143" s="324">
        <v>45875</v>
      </c>
      <c r="O143" s="324">
        <v>45881</v>
      </c>
      <c r="P143" s="324">
        <v>45882</v>
      </c>
      <c r="Q143" s="324">
        <v>45889</v>
      </c>
      <c r="R143" s="324">
        <v>45889</v>
      </c>
      <c r="S143" s="45">
        <f t="shared" si="18"/>
        <v>4</v>
      </c>
      <c r="T143" s="45">
        <f t="shared" si="19"/>
        <v>1</v>
      </c>
      <c r="U143" s="45">
        <f t="shared" si="20"/>
        <v>6</v>
      </c>
      <c r="V143" s="45">
        <f t="shared" si="21"/>
        <v>1</v>
      </c>
      <c r="W143" s="133" t="s">
        <v>150</v>
      </c>
      <c r="X143" s="11" t="s">
        <v>57</v>
      </c>
      <c r="Y143" s="133">
        <v>0</v>
      </c>
      <c r="Z143" s="11" t="s">
        <v>57</v>
      </c>
      <c r="AA143" s="11" t="s">
        <v>57</v>
      </c>
      <c r="AB143" s="11" t="s">
        <v>1239</v>
      </c>
      <c r="AC143" s="11" t="s">
        <v>1239</v>
      </c>
      <c r="AD143" s="96" t="s">
        <v>3389</v>
      </c>
      <c r="AE143" s="649"/>
      <c r="AF143" s="1"/>
      <c r="AG143" s="1"/>
    </row>
    <row r="144" spans="1:33" ht="30">
      <c r="A144" s="76" t="s">
        <v>778</v>
      </c>
      <c r="B144" s="338" t="s">
        <v>3119</v>
      </c>
      <c r="C144" s="339" t="s">
        <v>1441</v>
      </c>
      <c r="D144" s="339" t="s">
        <v>143</v>
      </c>
      <c r="E144" s="76">
        <v>15.016450000000001</v>
      </c>
      <c r="F144" s="340">
        <v>120.71692</v>
      </c>
      <c r="G144" s="76" t="str">
        <f>CONCATENATE(E144,",",F144)</f>
        <v>15.01645,120.71692</v>
      </c>
      <c r="H144" s="342">
        <v>44914</v>
      </c>
      <c r="I144" s="11" t="s">
        <v>3126</v>
      </c>
      <c r="J144" s="11" t="s">
        <v>33</v>
      </c>
      <c r="K144" s="11" t="s">
        <v>1838</v>
      </c>
      <c r="L144" s="11" t="s">
        <v>148</v>
      </c>
      <c r="M144" s="323" t="s">
        <v>3390</v>
      </c>
      <c r="N144" s="324">
        <v>45875</v>
      </c>
      <c r="O144" s="324">
        <v>45881</v>
      </c>
      <c r="P144" s="324">
        <v>45882</v>
      </c>
      <c r="Q144" s="324">
        <v>45888</v>
      </c>
      <c r="R144" s="324">
        <v>45889</v>
      </c>
      <c r="S144" s="45">
        <f t="shared" si="18"/>
        <v>4</v>
      </c>
      <c r="T144" s="45">
        <f t="shared" si="19"/>
        <v>1</v>
      </c>
      <c r="U144" s="45">
        <f t="shared" si="20"/>
        <v>5</v>
      </c>
      <c r="V144" s="45">
        <f t="shared" si="21"/>
        <v>1</v>
      </c>
      <c r="W144" s="133" t="s">
        <v>150</v>
      </c>
      <c r="X144" s="11" t="s">
        <v>50</v>
      </c>
      <c r="Y144" s="133">
        <v>8</v>
      </c>
      <c r="Z144" s="11" t="s">
        <v>57</v>
      </c>
      <c r="AA144" s="11" t="s">
        <v>57</v>
      </c>
      <c r="AB144" s="11" t="s">
        <v>1239</v>
      </c>
      <c r="AC144" s="11" t="s">
        <v>1239</v>
      </c>
      <c r="AD144" s="96" t="s">
        <v>3391</v>
      </c>
      <c r="AE144" s="649"/>
      <c r="AF144" s="1"/>
      <c r="AG144" s="1"/>
    </row>
    <row r="145" spans="1:33">
      <c r="A145" s="1"/>
      <c r="B145" s="1"/>
      <c r="C145" s="1"/>
      <c r="D145" s="1"/>
      <c r="E145" s="1"/>
      <c r="F145" s="1"/>
      <c r="G145" s="76"/>
      <c r="H145" s="22"/>
      <c r="I145" s="11"/>
      <c r="J145" s="2"/>
      <c r="K145" s="11"/>
      <c r="L145" s="1"/>
      <c r="N145" s="1"/>
      <c r="O145" s="1"/>
      <c r="P145" s="1"/>
      <c r="Q145" s="1"/>
      <c r="R145" s="1"/>
      <c r="S145" s="1"/>
      <c r="T145" s="1"/>
      <c r="U145" s="22"/>
      <c r="V145" s="1"/>
      <c r="W145" s="22"/>
      <c r="X145" s="1"/>
      <c r="Y145" s="22"/>
      <c r="Z145" s="1"/>
      <c r="AA145" s="1"/>
      <c r="AB145" s="1"/>
      <c r="AC145" s="22"/>
      <c r="AD145" s="646"/>
      <c r="AE145" s="649"/>
      <c r="AF145" s="1"/>
      <c r="AG145" s="1"/>
    </row>
    <row r="146" spans="1:33">
      <c r="A146" s="24"/>
      <c r="B146" s="24"/>
      <c r="C146" s="24"/>
      <c r="D146" s="24"/>
      <c r="E146" s="24"/>
      <c r="F146" s="24"/>
      <c r="G146" s="76"/>
      <c r="H146" s="25"/>
      <c r="I146" s="1"/>
      <c r="J146" s="2"/>
      <c r="K146" s="1"/>
      <c r="L146" s="1"/>
      <c r="M146" s="323"/>
      <c r="N146" s="1"/>
      <c r="O146" s="1"/>
      <c r="P146" s="1"/>
      <c r="Q146" s="1"/>
      <c r="R146" s="1"/>
      <c r="S146" s="1"/>
      <c r="T146" s="1"/>
      <c r="U146" s="22"/>
      <c r="V146" s="1"/>
      <c r="W146" s="22"/>
      <c r="X146" s="1"/>
      <c r="Y146" s="22"/>
      <c r="Z146" s="1"/>
      <c r="AA146" s="1"/>
      <c r="AB146" s="1"/>
      <c r="AC146" s="22"/>
      <c r="AD146" s="646"/>
      <c r="AE146" s="649"/>
      <c r="AF146" s="1"/>
      <c r="AG146" s="1"/>
    </row>
    <row r="147" spans="1:33">
      <c r="A147" s="1"/>
      <c r="B147" s="1"/>
      <c r="C147" s="1"/>
      <c r="D147" s="1"/>
      <c r="E147" s="1"/>
      <c r="F147" s="1"/>
      <c r="G147" s="76"/>
      <c r="H147" s="22"/>
      <c r="I147" s="1"/>
      <c r="J147" s="2"/>
      <c r="K147" s="1"/>
      <c r="L147" s="1"/>
      <c r="M147" s="1"/>
      <c r="N147" s="1"/>
      <c r="O147" s="1"/>
      <c r="P147" s="1"/>
      <c r="Q147" s="1"/>
      <c r="R147" s="1"/>
      <c r="S147" s="1"/>
      <c r="T147" s="1"/>
      <c r="U147" s="22"/>
      <c r="V147" s="1"/>
      <c r="W147" s="22"/>
      <c r="X147" s="1"/>
      <c r="Y147" s="22"/>
      <c r="Z147" s="1"/>
      <c r="AA147" s="1"/>
      <c r="AB147" s="1"/>
      <c r="AC147" s="22"/>
      <c r="AD147" s="646"/>
      <c r="AE147" s="649"/>
      <c r="AF147" s="1"/>
      <c r="AG147" s="1"/>
    </row>
    <row r="148" spans="1:33">
      <c r="A148" s="1"/>
      <c r="B148" s="338"/>
      <c r="C148" s="458"/>
      <c r="D148" s="1"/>
      <c r="E148" s="1"/>
      <c r="F148" s="1"/>
      <c r="G148" s="1"/>
      <c r="H148" s="22"/>
      <c r="I148" s="1"/>
      <c r="J148" s="2"/>
      <c r="K148" s="1"/>
      <c r="L148" s="1"/>
      <c r="M148" s="1"/>
      <c r="N148" s="1"/>
      <c r="O148" s="1"/>
      <c r="P148" s="1"/>
      <c r="Q148" s="1"/>
      <c r="R148" s="1"/>
      <c r="S148" s="1"/>
      <c r="T148" s="1"/>
      <c r="U148" s="22"/>
      <c r="V148" s="1"/>
      <c r="W148" s="22"/>
      <c r="X148" s="1"/>
      <c r="Y148" s="22"/>
      <c r="Z148" s="1"/>
      <c r="AA148" s="1"/>
      <c r="AB148" s="1"/>
      <c r="AC148" s="22"/>
      <c r="AD148" s="646"/>
      <c r="AE148" s="649"/>
      <c r="AF148" s="1"/>
      <c r="AG148" s="1"/>
    </row>
    <row r="149" spans="1:33">
      <c r="A149" s="1"/>
      <c r="B149" s="338"/>
      <c r="C149" s="458"/>
      <c r="D149" s="1"/>
      <c r="E149" s="1"/>
      <c r="F149" s="1"/>
      <c r="G149" s="1"/>
      <c r="H149" s="22"/>
      <c r="I149" s="1"/>
      <c r="J149" s="2"/>
      <c r="K149" s="1"/>
      <c r="L149" s="1"/>
      <c r="M149" s="1"/>
      <c r="N149" s="1"/>
      <c r="O149" s="1"/>
      <c r="P149" s="1"/>
      <c r="Q149" s="1"/>
      <c r="R149" s="1"/>
      <c r="S149" s="1"/>
      <c r="T149" s="1"/>
      <c r="U149" s="22"/>
      <c r="V149" s="1"/>
      <c r="W149" s="22"/>
      <c r="X149" s="1"/>
      <c r="Y149" s="22"/>
      <c r="Z149" s="1"/>
      <c r="AA149" s="1"/>
      <c r="AB149" s="1"/>
      <c r="AC149" s="22"/>
      <c r="AD149" s="646"/>
      <c r="AE149" s="649"/>
      <c r="AF149" s="1"/>
      <c r="AG149" s="1"/>
    </row>
    <row r="150" spans="1:33">
      <c r="A150" s="1"/>
      <c r="B150" s="338"/>
      <c r="C150" s="458"/>
      <c r="D150" s="1"/>
      <c r="E150" s="1"/>
      <c r="F150" s="1"/>
      <c r="G150" s="1"/>
      <c r="H150" s="22"/>
      <c r="I150" s="1"/>
      <c r="J150" s="2"/>
      <c r="K150" s="1"/>
      <c r="L150" s="1"/>
      <c r="M150" s="1"/>
      <c r="N150" s="1"/>
      <c r="O150" s="1"/>
      <c r="P150" s="1"/>
      <c r="Q150" s="1"/>
      <c r="R150" s="1"/>
      <c r="S150" s="1"/>
      <c r="T150" s="1"/>
      <c r="U150" s="22"/>
      <c r="V150" s="1"/>
      <c r="W150" s="22"/>
      <c r="X150" s="1"/>
      <c r="Y150" s="22"/>
      <c r="Z150" s="1"/>
      <c r="AA150" s="1"/>
      <c r="AB150" s="1"/>
      <c r="AC150" s="22"/>
      <c r="AD150" s="646"/>
      <c r="AE150" s="649"/>
      <c r="AF150" s="1"/>
      <c r="AG150" s="1"/>
    </row>
    <row r="151" spans="1:33">
      <c r="A151" s="1"/>
      <c r="B151" s="338"/>
      <c r="C151" s="459"/>
      <c r="D151" s="1"/>
      <c r="E151" s="1"/>
      <c r="F151" s="1"/>
      <c r="G151" s="1"/>
      <c r="H151" s="22"/>
      <c r="I151" s="1"/>
      <c r="J151" s="2"/>
      <c r="K151" s="1"/>
      <c r="L151" s="1"/>
      <c r="M151" s="1"/>
      <c r="N151" s="1"/>
      <c r="O151" s="1"/>
      <c r="P151" s="1"/>
      <c r="Q151" s="1"/>
      <c r="R151" s="1"/>
      <c r="S151" s="1"/>
      <c r="T151" s="1"/>
      <c r="U151" s="22"/>
      <c r="V151" s="1"/>
      <c r="W151" s="22"/>
      <c r="X151" s="1"/>
      <c r="Y151" s="22"/>
      <c r="Z151" s="1"/>
      <c r="AA151" s="1"/>
      <c r="AB151" s="1"/>
      <c r="AC151" s="22"/>
      <c r="AD151" s="646"/>
      <c r="AE151" s="649"/>
      <c r="AF151" s="1"/>
      <c r="AG151" s="1"/>
    </row>
    <row r="152" spans="1:33">
      <c r="A152" s="1"/>
      <c r="B152" s="1"/>
      <c r="C152" s="459"/>
      <c r="D152" s="1"/>
      <c r="E152" s="1"/>
      <c r="F152" s="1"/>
      <c r="G152" s="1"/>
      <c r="H152" s="22"/>
      <c r="I152" s="1"/>
      <c r="J152" s="2"/>
      <c r="K152" s="1"/>
      <c r="L152" s="1"/>
      <c r="M152" s="1"/>
      <c r="N152" s="1"/>
      <c r="O152" s="1"/>
      <c r="P152" s="1"/>
      <c r="Q152" s="1"/>
      <c r="R152" s="1"/>
      <c r="S152" s="1"/>
      <c r="T152" s="1"/>
      <c r="U152" s="22"/>
      <c r="V152" s="1"/>
      <c r="W152" s="22"/>
      <c r="X152" s="1"/>
      <c r="Y152" s="22"/>
      <c r="Z152" s="1"/>
      <c r="AA152" s="1"/>
      <c r="AB152" s="1"/>
      <c r="AC152" s="22"/>
      <c r="AD152" s="646"/>
      <c r="AE152" s="649"/>
      <c r="AF152" s="1"/>
      <c r="AG152" s="1"/>
    </row>
    <row r="153" spans="1:33">
      <c r="A153" s="1"/>
      <c r="B153" s="338"/>
      <c r="C153" s="459"/>
      <c r="D153" s="1"/>
      <c r="E153" s="1"/>
      <c r="F153" s="1"/>
      <c r="G153" s="1"/>
      <c r="H153" s="22"/>
      <c r="I153" s="1"/>
      <c r="J153" s="2"/>
      <c r="K153" s="1"/>
      <c r="L153" s="1"/>
      <c r="M153" s="1"/>
      <c r="N153" s="1"/>
      <c r="O153" s="1"/>
      <c r="P153" s="1"/>
      <c r="Q153" s="1"/>
      <c r="R153" s="1"/>
      <c r="S153" s="1"/>
      <c r="T153" s="1"/>
      <c r="U153" s="22"/>
      <c r="V153" s="1"/>
      <c r="W153" s="22"/>
      <c r="X153" s="1"/>
      <c r="Y153" s="22"/>
      <c r="Z153" s="1"/>
      <c r="AA153" s="1"/>
      <c r="AB153" s="1"/>
      <c r="AC153" s="22"/>
      <c r="AD153" s="646"/>
      <c r="AE153" s="649"/>
      <c r="AF153" s="1"/>
      <c r="AG153" s="1"/>
    </row>
    <row r="154" spans="1:33">
      <c r="A154" s="1"/>
      <c r="B154" s="338"/>
      <c r="C154" s="459"/>
      <c r="D154" s="1"/>
      <c r="E154" s="1"/>
      <c r="F154" s="1"/>
      <c r="G154" s="1"/>
      <c r="H154" s="22"/>
      <c r="I154" s="1"/>
      <c r="J154" s="2"/>
      <c r="K154" s="1"/>
      <c r="L154" s="1"/>
      <c r="M154" s="1"/>
      <c r="N154" s="1"/>
      <c r="O154" s="1"/>
      <c r="P154" s="1"/>
      <c r="Q154" s="1"/>
      <c r="R154" s="1"/>
      <c r="S154" s="1"/>
      <c r="T154" s="1"/>
      <c r="U154" s="22"/>
      <c r="V154" s="1"/>
      <c r="W154" s="22"/>
      <c r="X154" s="1"/>
      <c r="Y154" s="22"/>
      <c r="Z154" s="1"/>
      <c r="AA154" s="1"/>
      <c r="AB154" s="1"/>
      <c r="AC154" s="22"/>
      <c r="AD154" s="646"/>
      <c r="AE154" s="649"/>
      <c r="AF154" s="1"/>
      <c r="AG154" s="1"/>
    </row>
    <row r="155" spans="1:33">
      <c r="A155" s="1"/>
      <c r="B155" s="338"/>
      <c r="C155" s="459"/>
      <c r="D155" s="1"/>
      <c r="E155" s="1"/>
      <c r="F155" s="1"/>
      <c r="G155" s="1"/>
      <c r="H155" s="22"/>
      <c r="I155" s="1"/>
      <c r="J155" s="2"/>
      <c r="K155" s="1"/>
      <c r="L155" s="1"/>
      <c r="M155" s="1"/>
      <c r="N155" s="1"/>
      <c r="O155" s="1"/>
      <c r="P155" s="1"/>
      <c r="Q155" s="1"/>
      <c r="R155" s="1"/>
      <c r="S155" s="1"/>
      <c r="T155" s="1"/>
      <c r="U155" s="22"/>
      <c r="V155" s="1"/>
      <c r="W155" s="22"/>
      <c r="X155" s="1"/>
      <c r="Y155" s="22"/>
      <c r="Z155" s="1"/>
      <c r="AA155" s="1"/>
      <c r="AB155" s="1"/>
      <c r="AC155" s="22"/>
      <c r="AD155" s="646"/>
      <c r="AE155" s="649"/>
      <c r="AF155" s="1"/>
      <c r="AG155" s="1"/>
    </row>
    <row r="156" spans="1:33">
      <c r="A156" s="1"/>
      <c r="B156" s="1"/>
      <c r="C156" s="1"/>
      <c r="D156" s="1"/>
      <c r="E156" s="1"/>
      <c r="F156" s="1"/>
      <c r="G156" s="1"/>
      <c r="H156" s="22"/>
      <c r="I156" s="1"/>
      <c r="J156" s="2"/>
      <c r="K156" s="1"/>
      <c r="L156" s="1"/>
      <c r="M156" s="1"/>
      <c r="N156" s="1"/>
      <c r="O156" s="1"/>
      <c r="P156" s="1"/>
      <c r="Q156" s="1"/>
      <c r="R156" s="1"/>
      <c r="S156" s="1"/>
      <c r="T156" s="1"/>
      <c r="U156" s="22"/>
      <c r="V156" s="1"/>
      <c r="W156" s="22"/>
      <c r="X156" s="1"/>
      <c r="Y156" s="22"/>
      <c r="Z156" s="1"/>
      <c r="AA156" s="1"/>
      <c r="AB156" s="1"/>
      <c r="AC156" s="22"/>
      <c r="AD156" s="646"/>
      <c r="AE156" s="649"/>
      <c r="AF156" s="1"/>
      <c r="AG156" s="1"/>
    </row>
    <row r="157" spans="1:33">
      <c r="A157" s="1"/>
      <c r="B157" s="1"/>
      <c r="C157" s="1"/>
      <c r="D157" s="1"/>
      <c r="E157" s="1"/>
      <c r="F157" s="1"/>
      <c r="G157" s="1"/>
      <c r="H157" s="22"/>
      <c r="I157" s="1"/>
      <c r="J157" s="2"/>
      <c r="K157" s="1"/>
      <c r="L157" s="1"/>
      <c r="M157" s="1"/>
      <c r="N157" s="1"/>
      <c r="O157" s="1"/>
      <c r="P157" s="1"/>
      <c r="Q157" s="1"/>
      <c r="R157" s="1"/>
      <c r="S157" s="1"/>
      <c r="T157" s="1"/>
      <c r="U157" s="22"/>
      <c r="V157" s="1"/>
      <c r="W157" s="22"/>
      <c r="X157" s="1"/>
      <c r="Y157" s="22"/>
      <c r="Z157" s="1"/>
      <c r="AA157" s="1"/>
      <c r="AB157" s="1"/>
      <c r="AC157" s="22"/>
      <c r="AD157" s="646"/>
      <c r="AE157" s="649"/>
      <c r="AF157" s="1"/>
      <c r="AG157" s="1"/>
    </row>
    <row r="158" spans="1:33">
      <c r="A158" s="1"/>
      <c r="B158" s="1"/>
      <c r="C158" s="1"/>
      <c r="D158" s="1"/>
      <c r="E158" s="1"/>
      <c r="F158" s="1"/>
      <c r="G158" s="1"/>
      <c r="H158" s="22"/>
      <c r="I158" s="1"/>
      <c r="J158" s="2"/>
      <c r="K158" s="1"/>
      <c r="L158" s="1"/>
      <c r="M158" s="1"/>
      <c r="N158" s="1"/>
      <c r="O158" s="1"/>
      <c r="P158" s="1"/>
      <c r="Q158" s="1"/>
      <c r="R158" s="1"/>
      <c r="S158" s="1"/>
      <c r="T158" s="1"/>
      <c r="U158" s="22"/>
      <c r="V158" s="1"/>
      <c r="W158" s="22"/>
      <c r="X158" s="1"/>
      <c r="Y158" s="22"/>
      <c r="Z158" s="1"/>
      <c r="AA158" s="1"/>
      <c r="AB158" s="1"/>
      <c r="AC158" s="22"/>
      <c r="AD158" s="646"/>
      <c r="AE158" s="649"/>
      <c r="AF158" s="1"/>
      <c r="AG158" s="1"/>
    </row>
    <row r="159" spans="1:33">
      <c r="A159" s="1"/>
      <c r="B159" s="1"/>
      <c r="C159" s="1"/>
      <c r="D159" s="1"/>
      <c r="E159" s="1"/>
      <c r="F159" s="1"/>
      <c r="G159" s="1"/>
      <c r="H159" s="22"/>
      <c r="I159" s="1"/>
      <c r="J159" s="2"/>
      <c r="K159" s="1"/>
      <c r="L159" s="1"/>
      <c r="M159" s="1"/>
      <c r="N159" s="1"/>
      <c r="O159" s="1"/>
      <c r="P159" s="1"/>
      <c r="Q159" s="1"/>
      <c r="R159" s="1"/>
      <c r="S159" s="1"/>
      <c r="T159" s="1"/>
      <c r="U159" s="22"/>
      <c r="V159" s="1"/>
      <c r="W159" s="22"/>
      <c r="X159" s="1"/>
      <c r="Y159" s="22"/>
      <c r="Z159" s="1"/>
      <c r="AA159" s="1"/>
      <c r="AB159" s="1"/>
      <c r="AC159" s="22"/>
      <c r="AD159" s="646"/>
      <c r="AE159" s="649"/>
      <c r="AF159" s="1"/>
      <c r="AG159" s="1"/>
    </row>
    <row r="160" spans="1:33">
      <c r="A160" s="1"/>
      <c r="B160" s="1"/>
      <c r="C160" s="1"/>
      <c r="D160" s="1"/>
      <c r="E160" s="1"/>
      <c r="F160" s="1"/>
      <c r="G160" s="1"/>
      <c r="H160" s="22"/>
      <c r="I160" s="1"/>
      <c r="J160" s="2"/>
      <c r="K160" s="1"/>
      <c r="L160" s="1"/>
      <c r="M160" s="1"/>
      <c r="N160" s="1"/>
      <c r="O160" s="1"/>
      <c r="P160" s="1"/>
      <c r="Q160" s="1"/>
      <c r="R160" s="1"/>
      <c r="S160" s="1"/>
      <c r="T160" s="1"/>
      <c r="U160" s="22"/>
      <c r="V160" s="1"/>
      <c r="W160" s="22"/>
      <c r="X160" s="1"/>
      <c r="Y160" s="22"/>
      <c r="Z160" s="1"/>
      <c r="AA160" s="1"/>
      <c r="AB160" s="1"/>
      <c r="AC160" s="22"/>
      <c r="AD160" s="646"/>
      <c r="AE160" s="649"/>
      <c r="AF160" s="1"/>
      <c r="AG160" s="1"/>
    </row>
    <row r="161" spans="1:33">
      <c r="A161" s="1"/>
      <c r="B161" s="1"/>
      <c r="C161" s="1"/>
      <c r="D161" s="1"/>
      <c r="E161" s="1"/>
      <c r="F161" s="1"/>
      <c r="G161" s="1"/>
      <c r="H161" s="22"/>
      <c r="I161" s="1"/>
      <c r="J161" s="2"/>
      <c r="K161" s="1"/>
      <c r="L161" s="1"/>
      <c r="M161" s="1"/>
      <c r="N161" s="1"/>
      <c r="O161" s="1"/>
      <c r="P161" s="1"/>
      <c r="Q161" s="1"/>
      <c r="R161" s="1"/>
      <c r="S161" s="1"/>
      <c r="T161" s="1"/>
      <c r="U161" s="22"/>
      <c r="V161" s="1"/>
      <c r="W161" s="22"/>
      <c r="X161" s="1"/>
      <c r="Y161" s="22"/>
      <c r="Z161" s="1"/>
      <c r="AA161" s="1"/>
      <c r="AB161" s="1"/>
      <c r="AC161" s="22"/>
      <c r="AD161" s="646"/>
      <c r="AE161" s="649"/>
      <c r="AF161" s="1"/>
      <c r="AG161" s="1"/>
    </row>
    <row r="162" spans="1:33">
      <c r="A162" s="1"/>
      <c r="B162" s="1"/>
      <c r="C162" s="1"/>
      <c r="D162" s="1"/>
      <c r="E162" s="1"/>
      <c r="F162" s="1"/>
      <c r="G162" s="1"/>
      <c r="H162" s="22"/>
      <c r="I162" s="1"/>
      <c r="J162" s="2"/>
      <c r="K162" s="1"/>
      <c r="L162" s="1"/>
      <c r="M162" s="1"/>
      <c r="N162" s="1"/>
      <c r="O162" s="1"/>
      <c r="P162" s="1"/>
      <c r="Q162" s="1"/>
      <c r="R162" s="1"/>
      <c r="S162" s="1"/>
      <c r="T162" s="1"/>
      <c r="U162" s="22"/>
      <c r="V162" s="1"/>
      <c r="W162" s="22"/>
      <c r="X162" s="1"/>
      <c r="Y162" s="22"/>
      <c r="Z162" s="1"/>
      <c r="AA162" s="1"/>
      <c r="AB162" s="1"/>
      <c r="AC162" s="22"/>
      <c r="AD162" s="646"/>
      <c r="AE162" s="649"/>
      <c r="AF162" s="1"/>
      <c r="AG162" s="1"/>
    </row>
    <row r="163" spans="1:33">
      <c r="A163" s="1"/>
      <c r="B163" s="1"/>
      <c r="C163" s="1"/>
      <c r="D163" s="1"/>
      <c r="E163" s="1"/>
      <c r="F163" s="1"/>
      <c r="G163" s="1"/>
      <c r="H163" s="22"/>
      <c r="I163" s="1"/>
      <c r="J163" s="2"/>
      <c r="K163" s="1"/>
      <c r="L163" s="1"/>
      <c r="M163" s="1"/>
      <c r="N163" s="1"/>
      <c r="O163" s="1"/>
      <c r="P163" s="1"/>
      <c r="Q163" s="1"/>
      <c r="R163" s="1"/>
      <c r="S163" s="1"/>
      <c r="T163" s="1"/>
      <c r="U163" s="22"/>
      <c r="V163" s="1"/>
      <c r="W163" s="22"/>
      <c r="X163" s="1"/>
      <c r="Y163" s="22"/>
      <c r="Z163" s="1"/>
      <c r="AA163" s="1"/>
      <c r="AB163" s="1"/>
      <c r="AC163" s="22"/>
      <c r="AD163" s="646"/>
      <c r="AE163" s="649"/>
      <c r="AF163" s="1"/>
      <c r="AG163" s="1"/>
    </row>
    <row r="164" spans="1:33">
      <c r="A164" s="1"/>
      <c r="B164" s="1"/>
      <c r="C164" s="1"/>
      <c r="D164" s="1"/>
      <c r="E164" s="1"/>
      <c r="F164" s="1"/>
      <c r="G164" s="1"/>
      <c r="H164" s="25"/>
      <c r="I164" s="24"/>
      <c r="J164" s="424"/>
      <c r="K164" s="24"/>
      <c r="L164" s="24"/>
      <c r="M164" s="24"/>
      <c r="N164" s="24"/>
      <c r="O164" s="24"/>
      <c r="P164" s="24"/>
      <c r="Q164" s="24"/>
      <c r="R164" s="24"/>
      <c r="S164" s="24"/>
      <c r="T164" s="24"/>
      <c r="U164" s="25"/>
      <c r="V164" s="24"/>
      <c r="W164" s="25"/>
      <c r="X164" s="24"/>
      <c r="Y164" s="25"/>
      <c r="Z164" s="24"/>
      <c r="AA164" s="24"/>
      <c r="AB164" s="24"/>
      <c r="AC164" s="25"/>
      <c r="AD164" s="647"/>
      <c r="AE164" s="689"/>
      <c r="AF164" s="24"/>
      <c r="AG164" s="24"/>
    </row>
    <row r="165" spans="1:33">
      <c r="A165" s="1"/>
      <c r="B165" s="1"/>
      <c r="C165" s="1"/>
      <c r="D165" s="1"/>
      <c r="E165" s="1"/>
      <c r="F165" s="1"/>
      <c r="G165" s="22"/>
      <c r="H165" s="1"/>
      <c r="I165" s="1"/>
      <c r="J165" s="2"/>
      <c r="K165" s="1"/>
      <c r="L165" s="1"/>
      <c r="M165" s="1"/>
      <c r="N165" s="1"/>
      <c r="O165" s="1"/>
      <c r="P165" s="1"/>
      <c r="Q165" s="1"/>
      <c r="R165" s="1"/>
      <c r="S165" s="1"/>
      <c r="T165" s="1"/>
      <c r="U165" s="1"/>
      <c r="V165" s="1"/>
      <c r="W165" s="1"/>
      <c r="X165" s="1"/>
      <c r="Y165" s="1"/>
      <c r="Z165" s="1"/>
      <c r="AA165" s="1"/>
      <c r="AB165" s="1"/>
      <c r="AC165" s="1"/>
      <c r="AD165" s="462"/>
      <c r="AE165" s="649"/>
      <c r="AF165" s="1"/>
      <c r="AG165" s="1"/>
    </row>
  </sheetData>
  <autoFilter ref="A1:AG144" xr:uid="{E999A463-1532-4520-AD10-994A53796B36}"/>
  <dataValidations count="2">
    <dataValidation allowBlank="1" showInputMessage="1" showErrorMessage="1" sqref="E1:G1 K114:L114 I1:W1 L68:L113 L115:L133 K115:K117" xr:uid="{DE31C15F-4AF4-427F-95F3-C0C85ED8CFCC}"/>
    <dataValidation type="list" allowBlank="1" showInputMessage="1" showErrorMessage="1" sqref="A2:A1048575" xr:uid="{28CA683A-1A9A-47BF-A284-1D31C0FC8E2A}">
      <formula1>"Aurora, Bataan, Bulacan, Nueva_Ecija, Pampanga, Tarlac, Zambales"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27BA231D-1235-405A-9329-D5C133F2A564}">
          <x14:formula1>
            <xm:f>'Data Validation'!$T$2:$T$3</xm:f>
          </x14:formula1>
          <xm:sqref>X2:X165 Z2:AA165</xm:sqref>
        </x14:dataValidation>
      </x14:dataValidation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AAE6C-F7EA-4E46-96D9-FB70A89339CC}">
  <sheetPr codeName="Sheet14">
    <tabColor rgb="FF00B050"/>
  </sheetPr>
  <dimension ref="A1:AA3143"/>
  <sheetViews>
    <sheetView workbookViewId="0">
      <pane xSplit="4" topLeftCell="E1" activePane="topRight" state="frozen"/>
      <selection pane="topRight" activeCell="E4" sqref="E4"/>
    </sheetView>
  </sheetViews>
  <sheetFormatPr defaultColWidth="9.140625" defaultRowHeight="25.5" customHeight="1"/>
  <cols>
    <col min="1" max="1" width="15.85546875" style="114" customWidth="1"/>
    <col min="2" max="2" width="15" style="20" customWidth="1"/>
    <col min="3" max="3" width="25.28515625" style="20" hidden="1" customWidth="1"/>
    <col min="4" max="4" width="34.140625" style="20" customWidth="1"/>
    <col min="5" max="6" width="18" style="20" customWidth="1"/>
    <col min="7" max="7" width="43.140625" style="20" customWidth="1"/>
    <col min="8" max="8" width="23.28515625" style="20" customWidth="1"/>
    <col min="9" max="9" width="25.5703125" style="115" customWidth="1"/>
    <col min="10" max="12" width="22.7109375" style="20" customWidth="1"/>
    <col min="13" max="13" width="25.5703125" style="20" customWidth="1"/>
    <col min="14" max="14" width="22.42578125" style="20" customWidth="1"/>
    <col min="15" max="15" width="29.7109375" style="20" customWidth="1"/>
    <col min="16" max="23" width="22.7109375" style="20" customWidth="1"/>
    <col min="24" max="24" width="17.42578125" style="116" customWidth="1"/>
    <col min="25" max="25" width="29.85546875" style="20" customWidth="1"/>
    <col min="26" max="26" width="23.7109375" style="20" customWidth="1"/>
    <col min="27" max="27" width="24.85546875" style="20" bestFit="1" customWidth="1"/>
    <col min="28" max="16384" width="9.140625" style="20"/>
  </cols>
  <sheetData>
    <row r="1" spans="1:27" s="110" customFormat="1" ht="44.25" customHeight="1">
      <c r="A1" s="511" t="s">
        <v>85</v>
      </c>
      <c r="B1" s="673" t="s">
        <v>86</v>
      </c>
      <c r="C1" s="512" t="s">
        <v>143</v>
      </c>
      <c r="D1" s="512" t="s">
        <v>782</v>
      </c>
      <c r="E1" s="513" t="s">
        <v>3392</v>
      </c>
      <c r="F1" s="513" t="s">
        <v>3393</v>
      </c>
      <c r="G1" s="513" t="s">
        <v>3394</v>
      </c>
      <c r="H1" s="514" t="s">
        <v>3395</v>
      </c>
      <c r="I1" s="515" t="s">
        <v>3396</v>
      </c>
      <c r="J1" s="513" t="s">
        <v>3124</v>
      </c>
      <c r="K1" s="18" t="s">
        <v>100</v>
      </c>
      <c r="L1" s="18" t="s">
        <v>1575</v>
      </c>
      <c r="M1" s="18" t="s">
        <v>102</v>
      </c>
      <c r="N1" s="18" t="s">
        <v>103</v>
      </c>
      <c r="O1" s="18" t="s">
        <v>3397</v>
      </c>
      <c r="P1" s="18" t="s">
        <v>106</v>
      </c>
      <c r="Q1" s="18" t="s">
        <v>107</v>
      </c>
      <c r="R1" s="18" t="s">
        <v>108</v>
      </c>
      <c r="S1" s="18" t="s">
        <v>109</v>
      </c>
      <c r="T1" s="18" t="s">
        <v>1576</v>
      </c>
      <c r="U1" s="18" t="s">
        <v>111</v>
      </c>
      <c r="V1" s="18" t="s">
        <v>112</v>
      </c>
      <c r="W1" s="516" t="s">
        <v>1729</v>
      </c>
      <c r="X1" s="57" t="s">
        <v>3398</v>
      </c>
      <c r="Y1" s="57" t="s">
        <v>3399</v>
      </c>
      <c r="Z1" s="57" t="s">
        <v>3400</v>
      </c>
      <c r="AA1" s="57" t="s">
        <v>3401</v>
      </c>
    </row>
    <row r="2" spans="1:27" ht="25.5" customHeight="1">
      <c r="A2" s="50" t="s">
        <v>773</v>
      </c>
      <c r="B2" s="51" t="s">
        <v>3402</v>
      </c>
      <c r="C2" s="51" t="s">
        <v>159</v>
      </c>
      <c r="D2" s="51" t="s">
        <v>3403</v>
      </c>
      <c r="E2" s="50">
        <v>587</v>
      </c>
      <c r="F2" s="50">
        <v>514</v>
      </c>
      <c r="G2" s="50" t="s">
        <v>3404</v>
      </c>
      <c r="H2" s="50">
        <v>2024</v>
      </c>
      <c r="I2" s="105" t="s">
        <v>3405</v>
      </c>
      <c r="J2" s="50"/>
      <c r="K2" s="50" t="s">
        <v>172</v>
      </c>
      <c r="L2" s="50"/>
      <c r="M2" s="50" t="s">
        <v>163</v>
      </c>
      <c r="N2" s="50"/>
      <c r="O2" s="50"/>
      <c r="P2" s="50"/>
      <c r="Q2" s="50"/>
      <c r="R2" s="50"/>
      <c r="S2" s="50" t="str">
        <f t="shared" ref="S2:S9" si="0">IF(
    OR(ISBLANK(I2), ISBLANK(O2)),
    "",
    MAX(1, IF(
        NETWORKDAYS(I2, O2) &lt;= 0,
        1,
        NETWORKDAYS(I2, O2) - IF(I2 = O2, 0, 1)
    ))
)</f>
        <v/>
      </c>
      <c r="T2" s="50" t="str">
        <f t="shared" ref="T2:T33" si="1">IF(
    OR(ISBLANK(P2), ISBLANK(Q2)),
    "",
    MAX(1, IF(
        NETWORKDAYS(P2, Q2) &lt;= 0,
        1,
        NETWORKDAYS(P2, Q2) - IF(P2 = Q2, 0, 1)
    ))
)</f>
        <v/>
      </c>
      <c r="U2" s="50" t="str">
        <f t="shared" ref="U2:U9" si="2">IF(
    OR(ISBLANK(O2), ISBLANK(Q2)),
    "",
    MAX(1, IF(
        NETWORKDAYS(O2, Q2) &lt;= 0,
        1,
        NETWORKDAYS(O2, Q2) - IF(O2 = Q2, 0, 1)
    ))
)</f>
        <v/>
      </c>
      <c r="V2" s="50" t="str">
        <f t="shared" ref="V2:V9" si="3">IF(
    OR(ISBLANK(Q2), ISBLANK(R2)),
    "",
    MAX(1, IF(
        NETWORKDAYS(Q2, R2) &lt;= 0,
        1,
        NETWORKDAYS(Q2, R2) - IF(P2 = R2, 0, 1)
    ))
)</f>
        <v/>
      </c>
      <c r="W2" s="50"/>
      <c r="X2" s="50" t="s">
        <v>4</v>
      </c>
      <c r="Y2" s="50" t="s">
        <v>50</v>
      </c>
      <c r="Z2" s="50" t="s">
        <v>3406</v>
      </c>
      <c r="AA2" s="50"/>
    </row>
    <row r="3" spans="1:27" ht="25.5" customHeight="1">
      <c r="A3" s="50" t="s">
        <v>773</v>
      </c>
      <c r="B3" s="51" t="s">
        <v>3402</v>
      </c>
      <c r="C3" s="51" t="s">
        <v>159</v>
      </c>
      <c r="D3" s="51" t="s">
        <v>3407</v>
      </c>
      <c r="E3" s="50">
        <v>312</v>
      </c>
      <c r="F3" s="50">
        <v>346</v>
      </c>
      <c r="G3" s="50" t="s">
        <v>3404</v>
      </c>
      <c r="H3" s="50">
        <v>2024</v>
      </c>
      <c r="I3" s="105" t="s">
        <v>3408</v>
      </c>
      <c r="J3" s="50"/>
      <c r="K3" s="50" t="s">
        <v>172</v>
      </c>
      <c r="L3" s="50"/>
      <c r="M3" s="50" t="s">
        <v>163</v>
      </c>
      <c r="N3" s="50"/>
      <c r="O3" s="50"/>
      <c r="P3" s="50"/>
      <c r="Q3" s="50"/>
      <c r="R3" s="50"/>
      <c r="S3" s="50" t="str">
        <f t="shared" si="0"/>
        <v/>
      </c>
      <c r="T3" s="50" t="str">
        <f t="shared" si="1"/>
        <v/>
      </c>
      <c r="U3" s="50" t="str">
        <f t="shared" si="2"/>
        <v/>
      </c>
      <c r="V3" s="50" t="str">
        <f t="shared" si="3"/>
        <v/>
      </c>
      <c r="W3" s="50"/>
      <c r="X3" s="50" t="s">
        <v>1078</v>
      </c>
      <c r="Y3" s="50" t="s">
        <v>50</v>
      </c>
      <c r="Z3" s="50" t="s">
        <v>3406</v>
      </c>
      <c r="AA3" s="50"/>
    </row>
    <row r="4" spans="1:27" ht="25.5" customHeight="1">
      <c r="A4" s="50" t="s">
        <v>773</v>
      </c>
      <c r="B4" s="51" t="s">
        <v>3402</v>
      </c>
      <c r="C4" s="51" t="s">
        <v>159</v>
      </c>
      <c r="D4" s="51" t="s">
        <v>3409</v>
      </c>
      <c r="E4" s="50">
        <v>357</v>
      </c>
      <c r="F4" s="50">
        <v>375</v>
      </c>
      <c r="G4" s="50" t="s">
        <v>3404</v>
      </c>
      <c r="H4" s="50">
        <v>2024</v>
      </c>
      <c r="I4" s="132">
        <v>45392</v>
      </c>
      <c r="J4" s="50"/>
      <c r="K4" s="50" t="s">
        <v>172</v>
      </c>
      <c r="L4" s="50"/>
      <c r="M4" s="50" t="s">
        <v>163</v>
      </c>
      <c r="N4" s="50"/>
      <c r="O4" s="50"/>
      <c r="P4" s="50"/>
      <c r="Q4" s="50"/>
      <c r="R4" s="50"/>
      <c r="S4" s="50" t="str">
        <f t="shared" si="0"/>
        <v/>
      </c>
      <c r="T4" s="50" t="str">
        <f t="shared" si="1"/>
        <v/>
      </c>
      <c r="U4" s="50" t="str">
        <f t="shared" si="2"/>
        <v/>
      </c>
      <c r="V4" s="50" t="str">
        <f t="shared" si="3"/>
        <v/>
      </c>
      <c r="W4" s="50"/>
      <c r="X4" s="50"/>
      <c r="Y4" s="50"/>
      <c r="Z4" s="50" t="s">
        <v>3406</v>
      </c>
      <c r="AA4" s="50"/>
    </row>
    <row r="5" spans="1:27" ht="25.5" customHeight="1">
      <c r="A5" s="50" t="s">
        <v>773</v>
      </c>
      <c r="B5" s="51" t="s">
        <v>3402</v>
      </c>
      <c r="C5" s="51" t="s">
        <v>159</v>
      </c>
      <c r="D5" s="51" t="s">
        <v>3410</v>
      </c>
      <c r="E5" s="50">
        <v>363</v>
      </c>
      <c r="F5" s="50">
        <v>324</v>
      </c>
      <c r="G5" s="50" t="s">
        <v>3404</v>
      </c>
      <c r="H5" s="50">
        <v>2024</v>
      </c>
      <c r="I5" s="132">
        <v>45405</v>
      </c>
      <c r="J5" s="50"/>
      <c r="K5" s="50" t="s">
        <v>172</v>
      </c>
      <c r="L5" s="50"/>
      <c r="M5" s="50" t="s">
        <v>163</v>
      </c>
      <c r="N5" s="50"/>
      <c r="O5" s="50"/>
      <c r="P5" s="50"/>
      <c r="Q5" s="50"/>
      <c r="R5" s="50"/>
      <c r="S5" s="50" t="str">
        <f t="shared" si="0"/>
        <v/>
      </c>
      <c r="T5" s="50" t="str">
        <f t="shared" si="1"/>
        <v/>
      </c>
      <c r="U5" s="50" t="str">
        <f t="shared" si="2"/>
        <v/>
      </c>
      <c r="V5" s="50" t="str">
        <f t="shared" si="3"/>
        <v/>
      </c>
      <c r="W5" s="50"/>
      <c r="X5" s="50"/>
      <c r="Y5" s="50"/>
      <c r="Z5" s="50" t="s">
        <v>3406</v>
      </c>
      <c r="AA5" s="50"/>
    </row>
    <row r="6" spans="1:27" ht="25.5" customHeight="1">
      <c r="A6" s="50" t="s">
        <v>773</v>
      </c>
      <c r="B6" s="51" t="s">
        <v>3402</v>
      </c>
      <c r="C6" s="51" t="s">
        <v>159</v>
      </c>
      <c r="D6" s="54" t="s">
        <v>3411</v>
      </c>
      <c r="E6" s="50">
        <v>1718</v>
      </c>
      <c r="F6" s="50">
        <v>1647</v>
      </c>
      <c r="G6" s="50" t="s">
        <v>3404</v>
      </c>
      <c r="H6" s="50">
        <v>2024</v>
      </c>
      <c r="I6" s="105" t="s">
        <v>3412</v>
      </c>
      <c r="J6" s="50"/>
      <c r="K6" s="50" t="s">
        <v>172</v>
      </c>
      <c r="L6" s="50"/>
      <c r="M6" s="50" t="s">
        <v>163</v>
      </c>
      <c r="N6" s="50"/>
      <c r="O6" s="50"/>
      <c r="P6" s="50"/>
      <c r="Q6" s="50"/>
      <c r="R6" s="50"/>
      <c r="S6" s="50" t="str">
        <f t="shared" si="0"/>
        <v/>
      </c>
      <c r="T6" s="50" t="str">
        <f t="shared" si="1"/>
        <v/>
      </c>
      <c r="U6" s="50" t="str">
        <f t="shared" si="2"/>
        <v/>
      </c>
      <c r="V6" s="50" t="str">
        <f t="shared" si="3"/>
        <v/>
      </c>
      <c r="W6" s="50"/>
      <c r="X6" s="50" t="s">
        <v>4</v>
      </c>
      <c r="Y6" s="50" t="s">
        <v>50</v>
      </c>
      <c r="Z6" s="50" t="s">
        <v>3406</v>
      </c>
      <c r="AA6" s="50"/>
    </row>
    <row r="7" spans="1:27" ht="25.5" customHeight="1">
      <c r="A7" s="50" t="s">
        <v>773</v>
      </c>
      <c r="B7" s="51" t="s">
        <v>3402</v>
      </c>
      <c r="C7" s="51" t="s">
        <v>159</v>
      </c>
      <c r="D7" s="54" t="s">
        <v>811</v>
      </c>
      <c r="E7" s="50">
        <v>5310</v>
      </c>
      <c r="F7" s="50">
        <v>5985</v>
      </c>
      <c r="G7" s="50" t="s">
        <v>3404</v>
      </c>
      <c r="H7" s="50">
        <v>2024</v>
      </c>
      <c r="I7" s="105" t="s">
        <v>3413</v>
      </c>
      <c r="J7" s="50"/>
      <c r="K7" s="50" t="s">
        <v>172</v>
      </c>
      <c r="L7" s="50"/>
      <c r="M7" s="50" t="s">
        <v>163</v>
      </c>
      <c r="N7" s="50"/>
      <c r="O7" s="50"/>
      <c r="P7" s="50"/>
      <c r="Q7" s="50"/>
      <c r="R7" s="50"/>
      <c r="S7" s="50" t="str">
        <f t="shared" si="0"/>
        <v/>
      </c>
      <c r="T7" s="50" t="str">
        <f t="shared" si="1"/>
        <v/>
      </c>
      <c r="U7" s="50" t="str">
        <f t="shared" si="2"/>
        <v/>
      </c>
      <c r="V7" s="50" t="str">
        <f t="shared" si="3"/>
        <v/>
      </c>
      <c r="W7" s="50"/>
      <c r="X7" s="50" t="s">
        <v>4</v>
      </c>
      <c r="Y7" s="50" t="s">
        <v>50</v>
      </c>
      <c r="Z7" s="50" t="s">
        <v>3406</v>
      </c>
      <c r="AA7" s="50"/>
    </row>
    <row r="8" spans="1:27" ht="25.5" customHeight="1">
      <c r="A8" s="50" t="s">
        <v>773</v>
      </c>
      <c r="B8" s="51" t="s">
        <v>3402</v>
      </c>
      <c r="C8" s="51" t="s">
        <v>159</v>
      </c>
      <c r="D8" s="51" t="s">
        <v>1972</v>
      </c>
      <c r="E8" s="50">
        <v>3895</v>
      </c>
      <c r="F8" s="50">
        <v>5536</v>
      </c>
      <c r="G8" s="50" t="s">
        <v>3404</v>
      </c>
      <c r="H8" s="50">
        <v>2024</v>
      </c>
      <c r="I8" s="105" t="s">
        <v>3408</v>
      </c>
      <c r="J8" s="50"/>
      <c r="K8" s="50" t="s">
        <v>172</v>
      </c>
      <c r="L8" s="50"/>
      <c r="M8" s="50" t="s">
        <v>163</v>
      </c>
      <c r="N8" s="50"/>
      <c r="O8" s="50"/>
      <c r="P8" s="50"/>
      <c r="Q8" s="50"/>
      <c r="R8" s="50"/>
      <c r="S8" s="50" t="str">
        <f t="shared" si="0"/>
        <v/>
      </c>
      <c r="T8" s="50" t="str">
        <f t="shared" si="1"/>
        <v/>
      </c>
      <c r="U8" s="50" t="str">
        <f t="shared" si="2"/>
        <v/>
      </c>
      <c r="V8" s="50" t="str">
        <f t="shared" si="3"/>
        <v/>
      </c>
      <c r="W8" s="50"/>
      <c r="X8" s="50"/>
      <c r="Y8" s="50"/>
      <c r="Z8" s="50" t="s">
        <v>3406</v>
      </c>
      <c r="AA8" s="50"/>
    </row>
    <row r="9" spans="1:27" ht="25.5" customHeight="1">
      <c r="A9" s="50" t="s">
        <v>773</v>
      </c>
      <c r="B9" s="51" t="s">
        <v>3402</v>
      </c>
      <c r="C9" s="51" t="s">
        <v>159</v>
      </c>
      <c r="D9" s="54" t="s">
        <v>3414</v>
      </c>
      <c r="E9" s="50">
        <v>1215</v>
      </c>
      <c r="F9" s="50">
        <v>1392</v>
      </c>
      <c r="G9" s="50" t="s">
        <v>3404</v>
      </c>
      <c r="H9" s="50">
        <v>2024</v>
      </c>
      <c r="I9" s="105" t="s">
        <v>3413</v>
      </c>
      <c r="J9" s="50"/>
      <c r="K9" s="50" t="s">
        <v>172</v>
      </c>
      <c r="L9" s="50"/>
      <c r="M9" s="50" t="s">
        <v>163</v>
      </c>
      <c r="N9" s="50"/>
      <c r="O9" s="50"/>
      <c r="P9" s="50"/>
      <c r="Q9" s="50"/>
      <c r="R9" s="50"/>
      <c r="S9" s="50" t="str">
        <f t="shared" si="0"/>
        <v/>
      </c>
      <c r="T9" s="50" t="str">
        <f t="shared" si="1"/>
        <v/>
      </c>
      <c r="U9" s="50" t="str">
        <f t="shared" si="2"/>
        <v/>
      </c>
      <c r="V9" s="50" t="str">
        <f t="shared" si="3"/>
        <v/>
      </c>
      <c r="W9" s="50"/>
      <c r="X9" s="50" t="s">
        <v>4</v>
      </c>
      <c r="Y9" s="50" t="s">
        <v>50</v>
      </c>
      <c r="Z9" s="50" t="s">
        <v>3406</v>
      </c>
      <c r="AA9" s="50"/>
    </row>
    <row r="10" spans="1:27" s="152" customFormat="1" ht="25.5" customHeight="1">
      <c r="A10" s="141" t="s">
        <v>773</v>
      </c>
      <c r="B10" s="141" t="s">
        <v>3402</v>
      </c>
      <c r="C10" s="51" t="s">
        <v>159</v>
      </c>
      <c r="D10" s="141" t="s">
        <v>966</v>
      </c>
      <c r="E10" s="141">
        <v>5913</v>
      </c>
      <c r="F10" s="141">
        <v>6563</v>
      </c>
      <c r="G10" s="141" t="s">
        <v>3404</v>
      </c>
      <c r="H10" s="141">
        <v>2024</v>
      </c>
      <c r="I10" s="140" t="s">
        <v>3415</v>
      </c>
      <c r="J10" s="141" t="s">
        <v>3416</v>
      </c>
      <c r="K10" s="141" t="s">
        <v>172</v>
      </c>
      <c r="L10" s="141"/>
      <c r="M10" s="141" t="s">
        <v>163</v>
      </c>
      <c r="N10" s="141" t="s">
        <v>3417</v>
      </c>
      <c r="O10" s="141" t="s">
        <v>3418</v>
      </c>
      <c r="P10" s="141"/>
      <c r="Q10" s="141" t="s">
        <v>3419</v>
      </c>
      <c r="R10" s="141" t="s">
        <v>3420</v>
      </c>
      <c r="S10" s="50"/>
      <c r="T10" s="50" t="str">
        <f t="shared" si="1"/>
        <v/>
      </c>
      <c r="U10" s="50"/>
      <c r="V10" s="50"/>
      <c r="W10" s="141" t="s">
        <v>150</v>
      </c>
      <c r="X10" s="141" t="s">
        <v>4</v>
      </c>
      <c r="Y10" s="141" t="s">
        <v>50</v>
      </c>
      <c r="Z10" s="141" t="s">
        <v>3406</v>
      </c>
      <c r="AA10" s="141"/>
    </row>
    <row r="11" spans="1:27" ht="25.5" customHeight="1">
      <c r="A11" s="50" t="s">
        <v>773</v>
      </c>
      <c r="B11" s="51" t="s">
        <v>3402</v>
      </c>
      <c r="C11" s="51" t="s">
        <v>159</v>
      </c>
      <c r="D11" s="51" t="s">
        <v>3421</v>
      </c>
      <c r="E11" s="50">
        <v>4580</v>
      </c>
      <c r="F11" s="50">
        <v>5158</v>
      </c>
      <c r="G11" s="50" t="s">
        <v>3404</v>
      </c>
      <c r="H11" s="50">
        <v>2024</v>
      </c>
      <c r="I11" s="105" t="s">
        <v>3422</v>
      </c>
      <c r="J11" s="50"/>
      <c r="K11" s="50" t="s">
        <v>172</v>
      </c>
      <c r="L11" s="50"/>
      <c r="M11" s="50" t="s">
        <v>163</v>
      </c>
      <c r="N11" s="50"/>
      <c r="O11" s="50"/>
      <c r="P11" s="50"/>
      <c r="Q11" s="50"/>
      <c r="R11" s="50"/>
      <c r="S11" s="50" t="str">
        <f t="shared" ref="S11:S33" si="4">IF(
    OR(ISBLANK(I11), ISBLANK(O11)),
    "",
    MAX(1, IF(
        NETWORKDAYS(I11, O11) &lt;= 0,
        1,
        NETWORKDAYS(I11, O11) - IF(I11 = O11, 0, 1)
    ))
)</f>
        <v/>
      </c>
      <c r="T11" s="50" t="str">
        <f t="shared" si="1"/>
        <v/>
      </c>
      <c r="U11" s="50" t="str">
        <f t="shared" ref="U11:U33" si="5">IF(
    OR(ISBLANK(O11), ISBLANK(Q11)),
    "",
    MAX(1, IF(
        NETWORKDAYS(O11, Q11) &lt;= 0,
        1,
        NETWORKDAYS(O11, Q11) - IF(O11 = Q11, 0, 1)
    ))
)</f>
        <v/>
      </c>
      <c r="V11" s="50" t="str">
        <f t="shared" ref="V11:V33" si="6">IF(
    OR(ISBLANK(Q11), ISBLANK(R11)),
    "",
    MAX(1, IF(
        NETWORKDAYS(Q11, R11) &lt;= 0,
        1,
        NETWORKDAYS(Q11, R11) - IF(P11 = R11, 0, 1)
    ))
)</f>
        <v/>
      </c>
      <c r="W11" s="50"/>
      <c r="X11" s="50"/>
      <c r="Y11" s="50"/>
      <c r="Z11" s="50" t="s">
        <v>3406</v>
      </c>
      <c r="AA11" s="50"/>
    </row>
    <row r="12" spans="1:27" ht="25.5" customHeight="1">
      <c r="A12" s="50" t="s">
        <v>773</v>
      </c>
      <c r="B12" s="51" t="s">
        <v>3402</v>
      </c>
      <c r="C12" s="51" t="s">
        <v>159</v>
      </c>
      <c r="D12" s="51" t="s">
        <v>1241</v>
      </c>
      <c r="E12" s="50">
        <v>4833</v>
      </c>
      <c r="F12" s="50">
        <v>4423</v>
      </c>
      <c r="G12" s="50" t="s">
        <v>3404</v>
      </c>
      <c r="H12" s="50">
        <v>2024</v>
      </c>
      <c r="I12" s="132">
        <v>45420</v>
      </c>
      <c r="J12" s="50"/>
      <c r="K12" s="50" t="s">
        <v>172</v>
      </c>
      <c r="L12" s="50"/>
      <c r="M12" s="50" t="s">
        <v>163</v>
      </c>
      <c r="N12" s="50"/>
      <c r="O12" s="50"/>
      <c r="P12" s="50"/>
      <c r="Q12" s="50"/>
      <c r="R12" s="50"/>
      <c r="S12" s="50" t="str">
        <f t="shared" si="4"/>
        <v/>
      </c>
      <c r="T12" s="50" t="str">
        <f t="shared" si="1"/>
        <v/>
      </c>
      <c r="U12" s="50" t="str">
        <f t="shared" si="5"/>
        <v/>
      </c>
      <c r="V12" s="50" t="str">
        <f t="shared" si="6"/>
        <v/>
      </c>
      <c r="W12" s="50"/>
      <c r="X12" s="50"/>
      <c r="Y12" s="50"/>
      <c r="Z12" s="50" t="s">
        <v>3406</v>
      </c>
      <c r="AA12" s="50"/>
    </row>
    <row r="13" spans="1:27" s="110" customFormat="1" ht="25.5" customHeight="1">
      <c r="A13" s="517" t="s">
        <v>773</v>
      </c>
      <c r="B13" s="51" t="s">
        <v>3402</v>
      </c>
      <c r="C13" s="51" t="s">
        <v>159</v>
      </c>
      <c r="D13" s="51" t="s">
        <v>3423</v>
      </c>
      <c r="E13" s="50">
        <v>6341</v>
      </c>
      <c r="F13" s="50">
        <v>6573</v>
      </c>
      <c r="G13" s="50" t="s">
        <v>3404</v>
      </c>
      <c r="H13" s="50">
        <v>2025</v>
      </c>
      <c r="I13" s="60">
        <v>45673</v>
      </c>
      <c r="J13" s="50" t="s">
        <v>3424</v>
      </c>
      <c r="K13" s="50" t="s">
        <v>172</v>
      </c>
      <c r="L13" s="50"/>
      <c r="M13" s="50" t="s">
        <v>163</v>
      </c>
      <c r="N13" s="50" t="s">
        <v>3425</v>
      </c>
      <c r="O13" s="60">
        <v>45677</v>
      </c>
      <c r="P13" s="50"/>
      <c r="Q13" s="60">
        <v>45678</v>
      </c>
      <c r="R13" s="60">
        <v>45679</v>
      </c>
      <c r="S13" s="50">
        <f t="shared" si="4"/>
        <v>2</v>
      </c>
      <c r="T13" s="50" t="str">
        <f t="shared" si="1"/>
        <v/>
      </c>
      <c r="U13" s="50">
        <f t="shared" si="5"/>
        <v>1</v>
      </c>
      <c r="V13" s="50">
        <f t="shared" si="6"/>
        <v>1</v>
      </c>
      <c r="W13" s="50" t="s">
        <v>150</v>
      </c>
      <c r="X13" s="50" t="s">
        <v>4</v>
      </c>
      <c r="Y13" s="50" t="s">
        <v>50</v>
      </c>
      <c r="Z13" s="50" t="s">
        <v>3406</v>
      </c>
      <c r="AA13" s="50"/>
    </row>
    <row r="14" spans="1:27" ht="25.5" customHeight="1">
      <c r="A14" s="50" t="s">
        <v>773</v>
      </c>
      <c r="B14" s="51" t="s">
        <v>3402</v>
      </c>
      <c r="C14" s="51" t="s">
        <v>159</v>
      </c>
      <c r="D14" s="54" t="s">
        <v>821</v>
      </c>
      <c r="E14" s="50">
        <v>4138</v>
      </c>
      <c r="F14" s="50">
        <v>4949</v>
      </c>
      <c r="G14" s="50" t="s">
        <v>3404</v>
      </c>
      <c r="H14" s="50">
        <v>2024</v>
      </c>
      <c r="I14" s="105" t="s">
        <v>3412</v>
      </c>
      <c r="J14" s="50"/>
      <c r="K14" s="50" t="s">
        <v>3426</v>
      </c>
      <c r="L14" s="50"/>
      <c r="M14" s="50" t="s">
        <v>163</v>
      </c>
      <c r="N14" s="50"/>
      <c r="O14" s="50"/>
      <c r="P14" s="50"/>
      <c r="Q14" s="50"/>
      <c r="R14" s="50"/>
      <c r="S14" s="50" t="str">
        <f t="shared" si="4"/>
        <v/>
      </c>
      <c r="T14" s="50" t="str">
        <f t="shared" si="1"/>
        <v/>
      </c>
      <c r="U14" s="50" t="str">
        <f t="shared" si="5"/>
        <v/>
      </c>
      <c r="V14" s="50" t="str">
        <f t="shared" si="6"/>
        <v/>
      </c>
      <c r="W14" s="50"/>
      <c r="X14" s="50" t="s">
        <v>4</v>
      </c>
      <c r="Y14" s="50" t="s">
        <v>50</v>
      </c>
      <c r="Z14" s="50" t="s">
        <v>3406</v>
      </c>
      <c r="AA14" s="50"/>
    </row>
    <row r="15" spans="1:27" ht="25.5" customHeight="1">
      <c r="A15" s="50" t="s">
        <v>773</v>
      </c>
      <c r="B15" s="51" t="s">
        <v>969</v>
      </c>
      <c r="C15" s="51" t="s">
        <v>159</v>
      </c>
      <c r="D15" s="51" t="s">
        <v>3427</v>
      </c>
      <c r="E15" s="50">
        <v>790</v>
      </c>
      <c r="F15" s="50">
        <v>808</v>
      </c>
      <c r="G15" s="50" t="s">
        <v>3404</v>
      </c>
      <c r="H15" s="50">
        <v>2024</v>
      </c>
      <c r="I15" s="105" t="s">
        <v>3428</v>
      </c>
      <c r="J15" s="50"/>
      <c r="K15" s="50" t="s">
        <v>3426</v>
      </c>
      <c r="L15" s="50"/>
      <c r="M15" s="50" t="s">
        <v>163</v>
      </c>
      <c r="N15" s="50"/>
      <c r="O15" s="50"/>
      <c r="P15" s="50"/>
      <c r="Q15" s="50"/>
      <c r="R15" s="50"/>
      <c r="S15" s="50" t="str">
        <f t="shared" si="4"/>
        <v/>
      </c>
      <c r="T15" s="50" t="str">
        <f t="shared" si="1"/>
        <v/>
      </c>
      <c r="U15" s="50" t="str">
        <f t="shared" si="5"/>
        <v/>
      </c>
      <c r="V15" s="50" t="str">
        <f t="shared" si="6"/>
        <v/>
      </c>
      <c r="W15" s="50"/>
      <c r="X15" s="50" t="s">
        <v>4</v>
      </c>
      <c r="Y15" s="50" t="s">
        <v>50</v>
      </c>
      <c r="Z15" s="50" t="s">
        <v>3406</v>
      </c>
      <c r="AA15" s="50"/>
    </row>
    <row r="16" spans="1:27" ht="25.5" customHeight="1">
      <c r="A16" s="50" t="s">
        <v>773</v>
      </c>
      <c r="B16" s="51" t="s">
        <v>969</v>
      </c>
      <c r="C16" s="51" t="s">
        <v>159</v>
      </c>
      <c r="D16" s="51" t="s">
        <v>3429</v>
      </c>
      <c r="E16" s="50">
        <v>665</v>
      </c>
      <c r="F16" s="50">
        <v>655</v>
      </c>
      <c r="G16" s="50" t="s">
        <v>3404</v>
      </c>
      <c r="H16" s="50">
        <v>2024</v>
      </c>
      <c r="I16" s="105" t="s">
        <v>3428</v>
      </c>
      <c r="J16" s="50"/>
      <c r="K16" s="50" t="s">
        <v>3426</v>
      </c>
      <c r="L16" s="50"/>
      <c r="M16" s="50" t="s">
        <v>163</v>
      </c>
      <c r="N16" s="50"/>
      <c r="O16" s="50"/>
      <c r="P16" s="50"/>
      <c r="Q16" s="50"/>
      <c r="R16" s="50"/>
      <c r="S16" s="50" t="str">
        <f t="shared" si="4"/>
        <v/>
      </c>
      <c r="T16" s="50" t="str">
        <f t="shared" si="1"/>
        <v/>
      </c>
      <c r="U16" s="50" t="str">
        <f t="shared" si="5"/>
        <v/>
      </c>
      <c r="V16" s="50" t="str">
        <f t="shared" si="6"/>
        <v/>
      </c>
      <c r="W16" s="50"/>
      <c r="X16" s="50" t="s">
        <v>4</v>
      </c>
      <c r="Y16" s="50" t="s">
        <v>50</v>
      </c>
      <c r="Z16" s="50" t="s">
        <v>3406</v>
      </c>
      <c r="AA16" s="50"/>
    </row>
    <row r="17" spans="1:27" ht="25.5" customHeight="1">
      <c r="A17" s="50" t="s">
        <v>773</v>
      </c>
      <c r="B17" s="51" t="s">
        <v>969</v>
      </c>
      <c r="C17" s="51" t="s">
        <v>159</v>
      </c>
      <c r="D17" s="51" t="s">
        <v>3430</v>
      </c>
      <c r="E17" s="50">
        <v>235</v>
      </c>
      <c r="F17" s="50">
        <v>239</v>
      </c>
      <c r="G17" s="50" t="s">
        <v>3404</v>
      </c>
      <c r="H17" s="50">
        <v>2024</v>
      </c>
      <c r="I17" s="105" t="s">
        <v>3431</v>
      </c>
      <c r="J17" s="50"/>
      <c r="K17" s="50" t="s">
        <v>3426</v>
      </c>
      <c r="L17" s="50"/>
      <c r="M17" s="50" t="s">
        <v>163</v>
      </c>
      <c r="N17" s="50"/>
      <c r="O17" s="50"/>
      <c r="P17" s="50"/>
      <c r="Q17" s="50"/>
      <c r="R17" s="50"/>
      <c r="S17" s="50" t="str">
        <f t="shared" si="4"/>
        <v/>
      </c>
      <c r="T17" s="50" t="str">
        <f t="shared" si="1"/>
        <v/>
      </c>
      <c r="U17" s="50" t="str">
        <f t="shared" si="5"/>
        <v/>
      </c>
      <c r="V17" s="50" t="str">
        <f t="shared" si="6"/>
        <v/>
      </c>
      <c r="W17" s="50"/>
      <c r="X17" s="50" t="s">
        <v>4</v>
      </c>
      <c r="Y17" s="50" t="s">
        <v>50</v>
      </c>
      <c r="Z17" s="50" t="s">
        <v>3406</v>
      </c>
      <c r="AA17" s="50"/>
    </row>
    <row r="18" spans="1:27" ht="25.5" customHeight="1">
      <c r="A18" s="50" t="s">
        <v>773</v>
      </c>
      <c r="B18" s="51" t="s">
        <v>969</v>
      </c>
      <c r="C18" s="51" t="s">
        <v>159</v>
      </c>
      <c r="D18" s="51" t="s">
        <v>3432</v>
      </c>
      <c r="E18" s="50">
        <v>307</v>
      </c>
      <c r="F18" s="50">
        <v>313</v>
      </c>
      <c r="G18" s="50" t="s">
        <v>3404</v>
      </c>
      <c r="H18" s="50">
        <v>2024</v>
      </c>
      <c r="I18" s="105" t="s">
        <v>3431</v>
      </c>
      <c r="J18" s="50"/>
      <c r="K18" s="50" t="s">
        <v>3426</v>
      </c>
      <c r="L18" s="50"/>
      <c r="M18" s="50" t="s">
        <v>163</v>
      </c>
      <c r="N18" s="50"/>
      <c r="O18" s="50"/>
      <c r="P18" s="50"/>
      <c r="Q18" s="50"/>
      <c r="R18" s="50"/>
      <c r="S18" s="50" t="str">
        <f t="shared" si="4"/>
        <v/>
      </c>
      <c r="T18" s="50" t="str">
        <f t="shared" si="1"/>
        <v/>
      </c>
      <c r="U18" s="50" t="str">
        <f t="shared" si="5"/>
        <v/>
      </c>
      <c r="V18" s="50" t="str">
        <f t="shared" si="6"/>
        <v/>
      </c>
      <c r="W18" s="50"/>
      <c r="X18" s="50" t="s">
        <v>4</v>
      </c>
      <c r="Y18" s="50" t="s">
        <v>50</v>
      </c>
      <c r="Z18" s="50" t="s">
        <v>3406</v>
      </c>
      <c r="AA18" s="50"/>
    </row>
    <row r="19" spans="1:27" ht="25.5" customHeight="1">
      <c r="A19" s="50" t="s">
        <v>773</v>
      </c>
      <c r="B19" s="51" t="s">
        <v>969</v>
      </c>
      <c r="C19" s="51" t="s">
        <v>159</v>
      </c>
      <c r="D19" s="51" t="s">
        <v>3433</v>
      </c>
      <c r="E19" s="50">
        <v>439</v>
      </c>
      <c r="F19" s="50">
        <v>438</v>
      </c>
      <c r="G19" s="50" t="s">
        <v>3404</v>
      </c>
      <c r="H19" s="50">
        <v>2024</v>
      </c>
      <c r="I19" s="132">
        <v>45414</v>
      </c>
      <c r="J19" s="50"/>
      <c r="K19" s="50" t="s">
        <v>3426</v>
      </c>
      <c r="L19" s="50"/>
      <c r="M19" s="50" t="s">
        <v>163</v>
      </c>
      <c r="N19" s="50"/>
      <c r="O19" s="50"/>
      <c r="P19" s="50"/>
      <c r="Q19" s="50"/>
      <c r="R19" s="50"/>
      <c r="S19" s="50" t="str">
        <f t="shared" si="4"/>
        <v/>
      </c>
      <c r="T19" s="50" t="str">
        <f t="shared" si="1"/>
        <v/>
      </c>
      <c r="U19" s="50" t="str">
        <f t="shared" si="5"/>
        <v/>
      </c>
      <c r="V19" s="50" t="str">
        <f t="shared" si="6"/>
        <v/>
      </c>
      <c r="W19" s="50"/>
      <c r="X19" s="50" t="s">
        <v>4</v>
      </c>
      <c r="Y19" s="50" t="s">
        <v>50</v>
      </c>
      <c r="Z19" s="50" t="s">
        <v>3406</v>
      </c>
      <c r="AA19" s="50"/>
    </row>
    <row r="20" spans="1:27" ht="25.5" customHeight="1">
      <c r="A20" s="50" t="s">
        <v>773</v>
      </c>
      <c r="B20" s="51" t="s">
        <v>969</v>
      </c>
      <c r="C20" s="51" t="s">
        <v>159</v>
      </c>
      <c r="D20" s="51" t="s">
        <v>3434</v>
      </c>
      <c r="E20" s="50">
        <v>325</v>
      </c>
      <c r="F20" s="50">
        <v>254</v>
      </c>
      <c r="G20" s="50" t="s">
        <v>3404</v>
      </c>
      <c r="H20" s="50">
        <v>2024</v>
      </c>
      <c r="I20" s="132">
        <v>45414</v>
      </c>
      <c r="J20" s="50"/>
      <c r="K20" s="50" t="s">
        <v>3426</v>
      </c>
      <c r="L20" s="50"/>
      <c r="M20" s="50" t="s">
        <v>163</v>
      </c>
      <c r="N20" s="50"/>
      <c r="O20" s="50"/>
      <c r="P20" s="50"/>
      <c r="Q20" s="50"/>
      <c r="R20" s="50"/>
      <c r="S20" s="50" t="str">
        <f t="shared" si="4"/>
        <v/>
      </c>
      <c r="T20" s="50" t="str">
        <f t="shared" si="1"/>
        <v/>
      </c>
      <c r="U20" s="50" t="str">
        <f t="shared" si="5"/>
        <v/>
      </c>
      <c r="V20" s="50" t="str">
        <f t="shared" si="6"/>
        <v/>
      </c>
      <c r="W20" s="50"/>
      <c r="X20" s="50" t="s">
        <v>4</v>
      </c>
      <c r="Y20" s="50" t="s">
        <v>50</v>
      </c>
      <c r="Z20" s="50" t="s">
        <v>3406</v>
      </c>
      <c r="AA20" s="50"/>
    </row>
    <row r="21" spans="1:27" ht="25.5" customHeight="1">
      <c r="A21" s="50" t="s">
        <v>773</v>
      </c>
      <c r="B21" s="51" t="s">
        <v>969</v>
      </c>
      <c r="C21" s="51" t="s">
        <v>159</v>
      </c>
      <c r="D21" s="51" t="s">
        <v>3435</v>
      </c>
      <c r="E21" s="50">
        <v>288</v>
      </c>
      <c r="F21" s="50">
        <v>438</v>
      </c>
      <c r="G21" s="50" t="s">
        <v>3404</v>
      </c>
      <c r="H21" s="50">
        <v>2024</v>
      </c>
      <c r="I21" s="132">
        <v>45415</v>
      </c>
      <c r="J21" s="50"/>
      <c r="K21" s="50" t="s">
        <v>3426</v>
      </c>
      <c r="L21" s="50"/>
      <c r="M21" s="50" t="s">
        <v>163</v>
      </c>
      <c r="N21" s="50"/>
      <c r="O21" s="50"/>
      <c r="P21" s="50"/>
      <c r="Q21" s="50"/>
      <c r="R21" s="50"/>
      <c r="S21" s="50" t="str">
        <f t="shared" si="4"/>
        <v/>
      </c>
      <c r="T21" s="50" t="str">
        <f t="shared" si="1"/>
        <v/>
      </c>
      <c r="U21" s="50" t="str">
        <f t="shared" si="5"/>
        <v/>
      </c>
      <c r="V21" s="50" t="str">
        <f t="shared" si="6"/>
        <v/>
      </c>
      <c r="W21" s="50"/>
      <c r="X21" s="50" t="s">
        <v>4</v>
      </c>
      <c r="Y21" s="50" t="s">
        <v>50</v>
      </c>
      <c r="Z21" s="50" t="s">
        <v>3406</v>
      </c>
      <c r="AA21" s="50"/>
    </row>
    <row r="22" spans="1:27" ht="25.5" customHeight="1">
      <c r="A22" s="50" t="s">
        <v>773</v>
      </c>
      <c r="B22" s="51" t="s">
        <v>969</v>
      </c>
      <c r="C22" s="51" t="s">
        <v>159</v>
      </c>
      <c r="D22" s="51" t="s">
        <v>3436</v>
      </c>
      <c r="E22" s="50">
        <v>612</v>
      </c>
      <c r="F22" s="50">
        <v>600</v>
      </c>
      <c r="G22" s="50" t="s">
        <v>3404</v>
      </c>
      <c r="H22" s="50">
        <v>2024</v>
      </c>
      <c r="I22" s="132">
        <v>45415</v>
      </c>
      <c r="J22" s="50"/>
      <c r="K22" s="50" t="s">
        <v>3426</v>
      </c>
      <c r="L22" s="50"/>
      <c r="M22" s="50" t="s">
        <v>163</v>
      </c>
      <c r="N22" s="50"/>
      <c r="O22" s="50"/>
      <c r="P22" s="50"/>
      <c r="Q22" s="50"/>
      <c r="R22" s="50"/>
      <c r="S22" s="50" t="str">
        <f t="shared" si="4"/>
        <v/>
      </c>
      <c r="T22" s="50" t="str">
        <f t="shared" si="1"/>
        <v/>
      </c>
      <c r="U22" s="50" t="str">
        <f t="shared" si="5"/>
        <v/>
      </c>
      <c r="V22" s="50" t="str">
        <f t="shared" si="6"/>
        <v/>
      </c>
      <c r="W22" s="50"/>
      <c r="X22" s="50" t="s">
        <v>4</v>
      </c>
      <c r="Y22" s="50" t="s">
        <v>50</v>
      </c>
      <c r="Z22" s="50" t="s">
        <v>3406</v>
      </c>
      <c r="AA22" s="50"/>
    </row>
    <row r="23" spans="1:27" ht="25.5" customHeight="1">
      <c r="A23" s="50" t="s">
        <v>773</v>
      </c>
      <c r="B23" s="51" t="s">
        <v>969</v>
      </c>
      <c r="C23" s="51" t="s">
        <v>159</v>
      </c>
      <c r="D23" s="51" t="s">
        <v>3437</v>
      </c>
      <c r="E23" s="50">
        <v>3443</v>
      </c>
      <c r="F23" s="50">
        <v>3770</v>
      </c>
      <c r="G23" s="50" t="s">
        <v>3404</v>
      </c>
      <c r="H23" s="50">
        <v>2024</v>
      </c>
      <c r="I23" s="132">
        <v>45545</v>
      </c>
      <c r="J23" s="50"/>
      <c r="K23" s="50" t="s">
        <v>3426</v>
      </c>
      <c r="L23" s="50"/>
      <c r="M23" s="50" t="s">
        <v>163</v>
      </c>
      <c r="N23" s="50"/>
      <c r="O23" s="50"/>
      <c r="P23" s="50"/>
      <c r="Q23" s="50"/>
      <c r="R23" s="50"/>
      <c r="S23" s="50" t="str">
        <f t="shared" si="4"/>
        <v/>
      </c>
      <c r="T23" s="50" t="str">
        <f t="shared" si="1"/>
        <v/>
      </c>
      <c r="U23" s="50" t="str">
        <f t="shared" si="5"/>
        <v/>
      </c>
      <c r="V23" s="50" t="str">
        <f t="shared" si="6"/>
        <v/>
      </c>
      <c r="W23" s="50"/>
      <c r="X23" s="50" t="s">
        <v>4</v>
      </c>
      <c r="Y23" s="50" t="s">
        <v>50</v>
      </c>
      <c r="Z23" s="50" t="s">
        <v>3406</v>
      </c>
      <c r="AA23" s="50"/>
    </row>
    <row r="24" spans="1:27" ht="25.5" customHeight="1">
      <c r="A24" s="50" t="s">
        <v>773</v>
      </c>
      <c r="B24" s="51" t="s">
        <v>969</v>
      </c>
      <c r="C24" s="51" t="s">
        <v>159</v>
      </c>
      <c r="D24" s="51" t="s">
        <v>3438</v>
      </c>
      <c r="E24" s="50">
        <v>652</v>
      </c>
      <c r="F24" s="50">
        <v>736</v>
      </c>
      <c r="G24" s="50" t="s">
        <v>3404</v>
      </c>
      <c r="H24" s="50">
        <v>2024</v>
      </c>
      <c r="I24" s="105" t="s">
        <v>3439</v>
      </c>
      <c r="J24" s="50"/>
      <c r="K24" s="50" t="s">
        <v>3426</v>
      </c>
      <c r="L24" s="50"/>
      <c r="M24" s="50" t="s">
        <v>163</v>
      </c>
      <c r="N24" s="50"/>
      <c r="O24" s="50"/>
      <c r="P24" s="50"/>
      <c r="Q24" s="50"/>
      <c r="R24" s="50"/>
      <c r="S24" s="50" t="str">
        <f t="shared" si="4"/>
        <v/>
      </c>
      <c r="T24" s="50" t="str">
        <f t="shared" si="1"/>
        <v/>
      </c>
      <c r="U24" s="50" t="str">
        <f t="shared" si="5"/>
        <v/>
      </c>
      <c r="V24" s="50" t="str">
        <f t="shared" si="6"/>
        <v/>
      </c>
      <c r="W24" s="50"/>
      <c r="X24" s="50" t="s">
        <v>4</v>
      </c>
      <c r="Y24" s="50" t="s">
        <v>50</v>
      </c>
      <c r="Z24" s="50" t="s">
        <v>3406</v>
      </c>
      <c r="AA24" s="50"/>
    </row>
    <row r="25" spans="1:27" ht="25.5" customHeight="1">
      <c r="A25" s="50" t="s">
        <v>773</v>
      </c>
      <c r="B25" s="51" t="s">
        <v>969</v>
      </c>
      <c r="C25" s="51" t="s">
        <v>159</v>
      </c>
      <c r="D25" s="51" t="s">
        <v>3440</v>
      </c>
      <c r="E25" s="50">
        <v>1104</v>
      </c>
      <c r="F25" s="50">
        <v>1150</v>
      </c>
      <c r="G25" s="50" t="s">
        <v>3404</v>
      </c>
      <c r="H25" s="50">
        <v>2024</v>
      </c>
      <c r="I25" s="132">
        <v>45448</v>
      </c>
      <c r="J25" s="50"/>
      <c r="K25" s="50" t="s">
        <v>3426</v>
      </c>
      <c r="L25" s="50"/>
      <c r="M25" s="50" t="s">
        <v>163</v>
      </c>
      <c r="N25" s="50"/>
      <c r="O25" s="50"/>
      <c r="P25" s="50"/>
      <c r="Q25" s="50"/>
      <c r="R25" s="50"/>
      <c r="S25" s="50" t="str">
        <f t="shared" si="4"/>
        <v/>
      </c>
      <c r="T25" s="50" t="str">
        <f t="shared" si="1"/>
        <v/>
      </c>
      <c r="U25" s="50" t="str">
        <f t="shared" si="5"/>
        <v/>
      </c>
      <c r="V25" s="50" t="str">
        <f t="shared" si="6"/>
        <v/>
      </c>
      <c r="W25" s="50"/>
      <c r="X25" s="50" t="s">
        <v>4</v>
      </c>
      <c r="Y25" s="50" t="s">
        <v>50</v>
      </c>
      <c r="Z25" s="50" t="s">
        <v>3406</v>
      </c>
      <c r="AA25" s="50"/>
    </row>
    <row r="26" spans="1:27" ht="25.5" customHeight="1">
      <c r="A26" s="50" t="s">
        <v>773</v>
      </c>
      <c r="B26" s="51" t="s">
        <v>969</v>
      </c>
      <c r="C26" s="51" t="s">
        <v>159</v>
      </c>
      <c r="D26" s="51" t="s">
        <v>970</v>
      </c>
      <c r="E26" s="50">
        <v>1916</v>
      </c>
      <c r="F26" s="50">
        <v>1982</v>
      </c>
      <c r="G26" s="50" t="s">
        <v>3404</v>
      </c>
      <c r="H26" s="50">
        <v>2024</v>
      </c>
      <c r="I26" s="132">
        <v>45398</v>
      </c>
      <c r="J26" s="50"/>
      <c r="K26" s="50" t="s">
        <v>3426</v>
      </c>
      <c r="L26" s="50"/>
      <c r="M26" s="50" t="s">
        <v>163</v>
      </c>
      <c r="N26" s="50"/>
      <c r="O26" s="50"/>
      <c r="P26" s="50"/>
      <c r="Q26" s="50"/>
      <c r="R26" s="50"/>
      <c r="S26" s="50" t="str">
        <f t="shared" si="4"/>
        <v/>
      </c>
      <c r="T26" s="50" t="str">
        <f t="shared" si="1"/>
        <v/>
      </c>
      <c r="U26" s="50" t="str">
        <f t="shared" si="5"/>
        <v/>
      </c>
      <c r="V26" s="50" t="str">
        <f t="shared" si="6"/>
        <v/>
      </c>
      <c r="W26" s="50"/>
      <c r="X26" s="50" t="s">
        <v>4</v>
      </c>
      <c r="Y26" s="50" t="s">
        <v>50</v>
      </c>
      <c r="Z26" s="50" t="s">
        <v>3406</v>
      </c>
      <c r="AA26" s="50"/>
    </row>
    <row r="27" spans="1:27" ht="25.5" customHeight="1">
      <c r="A27" s="50" t="s">
        <v>773</v>
      </c>
      <c r="B27" s="51" t="s">
        <v>969</v>
      </c>
      <c r="C27" s="51" t="s">
        <v>159</v>
      </c>
      <c r="D27" s="51" t="s">
        <v>3441</v>
      </c>
      <c r="E27" s="50">
        <v>1637</v>
      </c>
      <c r="F27" s="50">
        <v>1929</v>
      </c>
      <c r="G27" s="50" t="s">
        <v>3404</v>
      </c>
      <c r="H27" s="50">
        <v>2024</v>
      </c>
      <c r="I27" s="132">
        <v>45611</v>
      </c>
      <c r="J27" s="50"/>
      <c r="K27" s="50" t="s">
        <v>3426</v>
      </c>
      <c r="L27" s="50"/>
      <c r="M27" s="50" t="s">
        <v>163</v>
      </c>
      <c r="N27" s="50"/>
      <c r="O27" s="50"/>
      <c r="P27" s="50"/>
      <c r="Q27" s="50"/>
      <c r="R27" s="50"/>
      <c r="S27" s="50" t="str">
        <f t="shared" si="4"/>
        <v/>
      </c>
      <c r="T27" s="50" t="str">
        <f t="shared" si="1"/>
        <v/>
      </c>
      <c r="U27" s="50" t="str">
        <f t="shared" si="5"/>
        <v/>
      </c>
      <c r="V27" s="50" t="str">
        <f t="shared" si="6"/>
        <v/>
      </c>
      <c r="W27" s="50"/>
      <c r="X27" s="50" t="s">
        <v>4</v>
      </c>
      <c r="Y27" s="50" t="s">
        <v>50</v>
      </c>
      <c r="Z27" s="50" t="s">
        <v>3406</v>
      </c>
      <c r="AA27" s="50"/>
    </row>
    <row r="28" spans="1:27" ht="25.5" customHeight="1">
      <c r="A28" s="50" t="s">
        <v>773</v>
      </c>
      <c r="B28" s="51" t="s">
        <v>969</v>
      </c>
      <c r="C28" s="51" t="s">
        <v>159</v>
      </c>
      <c r="D28" s="51" t="s">
        <v>3442</v>
      </c>
      <c r="E28" s="50">
        <v>776</v>
      </c>
      <c r="F28" s="50">
        <v>1074</v>
      </c>
      <c r="G28" s="50" t="s">
        <v>3404</v>
      </c>
      <c r="H28" s="50">
        <v>2024</v>
      </c>
      <c r="I28" s="132">
        <v>45454</v>
      </c>
      <c r="J28" s="50"/>
      <c r="K28" s="50" t="s">
        <v>3426</v>
      </c>
      <c r="L28" s="50"/>
      <c r="M28" s="50" t="s">
        <v>163</v>
      </c>
      <c r="N28" s="50"/>
      <c r="O28" s="50"/>
      <c r="P28" s="50"/>
      <c r="Q28" s="50"/>
      <c r="R28" s="50"/>
      <c r="S28" s="50" t="str">
        <f t="shared" si="4"/>
        <v/>
      </c>
      <c r="T28" s="50" t="str">
        <f t="shared" si="1"/>
        <v/>
      </c>
      <c r="U28" s="50" t="str">
        <f t="shared" si="5"/>
        <v/>
      </c>
      <c r="V28" s="50" t="str">
        <f t="shared" si="6"/>
        <v/>
      </c>
      <c r="W28" s="50"/>
      <c r="X28" s="50" t="s">
        <v>4</v>
      </c>
      <c r="Y28" s="50" t="s">
        <v>50</v>
      </c>
      <c r="Z28" s="50" t="s">
        <v>3406</v>
      </c>
      <c r="AA28" s="50"/>
    </row>
    <row r="29" spans="1:27" s="152" customFormat="1" ht="25.5" customHeight="1">
      <c r="A29" s="50" t="s">
        <v>773</v>
      </c>
      <c r="B29" s="51" t="s">
        <v>969</v>
      </c>
      <c r="C29" s="51" t="s">
        <v>159</v>
      </c>
      <c r="D29" s="51" t="s">
        <v>3443</v>
      </c>
      <c r="E29" s="50">
        <v>1954</v>
      </c>
      <c r="F29" s="50">
        <v>2192</v>
      </c>
      <c r="G29" s="50" t="s">
        <v>3404</v>
      </c>
      <c r="H29" s="50">
        <v>2024</v>
      </c>
      <c r="I29" s="132">
        <v>45545</v>
      </c>
      <c r="J29" s="50"/>
      <c r="K29" s="50" t="s">
        <v>3426</v>
      </c>
      <c r="L29" s="50"/>
      <c r="M29" s="50" t="s">
        <v>163</v>
      </c>
      <c r="N29" s="50"/>
      <c r="O29" s="50"/>
      <c r="P29" s="50"/>
      <c r="Q29" s="50"/>
      <c r="R29" s="50"/>
      <c r="S29" s="50" t="str">
        <f t="shared" si="4"/>
        <v/>
      </c>
      <c r="T29" s="50" t="str">
        <f t="shared" si="1"/>
        <v/>
      </c>
      <c r="U29" s="50" t="str">
        <f t="shared" si="5"/>
        <v/>
      </c>
      <c r="V29" s="50" t="str">
        <f t="shared" si="6"/>
        <v/>
      </c>
      <c r="W29" s="50"/>
      <c r="X29" s="50" t="s">
        <v>4</v>
      </c>
      <c r="Y29" s="50" t="s">
        <v>50</v>
      </c>
      <c r="Z29" s="50"/>
      <c r="AA29" s="50"/>
    </row>
    <row r="30" spans="1:27" ht="25.5" customHeight="1">
      <c r="A30" s="50" t="s">
        <v>773</v>
      </c>
      <c r="B30" s="51" t="s">
        <v>969</v>
      </c>
      <c r="C30" s="51" t="s">
        <v>159</v>
      </c>
      <c r="D30" s="51" t="s">
        <v>3444</v>
      </c>
      <c r="E30" s="50">
        <v>973</v>
      </c>
      <c r="F30" s="50">
        <v>1147</v>
      </c>
      <c r="G30" s="50" t="s">
        <v>3404</v>
      </c>
      <c r="H30" s="50">
        <v>2024</v>
      </c>
      <c r="I30" s="132">
        <v>45574</v>
      </c>
      <c r="J30" s="50"/>
      <c r="K30" s="50" t="s">
        <v>3426</v>
      </c>
      <c r="L30" s="50"/>
      <c r="M30" s="50" t="s">
        <v>163</v>
      </c>
      <c r="N30" s="50"/>
      <c r="O30" s="50"/>
      <c r="P30" s="50"/>
      <c r="Q30" s="50"/>
      <c r="R30" s="50"/>
      <c r="S30" s="50" t="str">
        <f t="shared" si="4"/>
        <v/>
      </c>
      <c r="T30" s="50" t="str">
        <f t="shared" si="1"/>
        <v/>
      </c>
      <c r="U30" s="50" t="str">
        <f t="shared" si="5"/>
        <v/>
      </c>
      <c r="V30" s="50" t="str">
        <f t="shared" si="6"/>
        <v/>
      </c>
      <c r="W30" s="50"/>
      <c r="X30" s="50" t="s">
        <v>4</v>
      </c>
      <c r="Y30" s="50" t="s">
        <v>50</v>
      </c>
      <c r="Z30" s="50" t="s">
        <v>3406</v>
      </c>
      <c r="AA30" s="50"/>
    </row>
    <row r="31" spans="1:27" ht="25.5" customHeight="1">
      <c r="A31" s="50" t="s">
        <v>773</v>
      </c>
      <c r="B31" s="51" t="s">
        <v>969</v>
      </c>
      <c r="C31" s="51" t="s">
        <v>159</v>
      </c>
      <c r="D31" s="51" t="s">
        <v>3445</v>
      </c>
      <c r="E31" s="50">
        <v>591</v>
      </c>
      <c r="F31" s="50">
        <v>546</v>
      </c>
      <c r="G31" s="50" t="s">
        <v>3404</v>
      </c>
      <c r="H31" s="50">
        <v>2024</v>
      </c>
      <c r="I31" s="132">
        <v>45574</v>
      </c>
      <c r="J31" s="50"/>
      <c r="K31" s="50" t="s">
        <v>3426</v>
      </c>
      <c r="L31" s="50"/>
      <c r="M31" s="50" t="s">
        <v>163</v>
      </c>
      <c r="N31" s="50"/>
      <c r="O31" s="50"/>
      <c r="P31" s="50"/>
      <c r="Q31" s="50"/>
      <c r="R31" s="50"/>
      <c r="S31" s="50" t="str">
        <f t="shared" si="4"/>
        <v/>
      </c>
      <c r="T31" s="50" t="str">
        <f t="shared" si="1"/>
        <v/>
      </c>
      <c r="U31" s="50" t="str">
        <f t="shared" si="5"/>
        <v/>
      </c>
      <c r="V31" s="50" t="str">
        <f t="shared" si="6"/>
        <v/>
      </c>
      <c r="W31" s="50"/>
      <c r="X31" s="50" t="s">
        <v>4</v>
      </c>
      <c r="Y31" s="50" t="s">
        <v>50</v>
      </c>
      <c r="Z31" s="50" t="s">
        <v>3406</v>
      </c>
      <c r="AA31" s="50"/>
    </row>
    <row r="32" spans="1:27" ht="25.5" customHeight="1">
      <c r="A32" s="50" t="s">
        <v>773</v>
      </c>
      <c r="B32" s="51" t="s">
        <v>969</v>
      </c>
      <c r="C32" s="51" t="s">
        <v>159</v>
      </c>
      <c r="D32" s="51" t="s">
        <v>3446</v>
      </c>
      <c r="E32" s="50">
        <v>502</v>
      </c>
      <c r="F32" s="50">
        <v>594</v>
      </c>
      <c r="G32" s="50" t="s">
        <v>3404</v>
      </c>
      <c r="H32" s="50">
        <v>2024</v>
      </c>
      <c r="I32" s="132">
        <v>45604</v>
      </c>
      <c r="J32" s="50"/>
      <c r="K32" s="50" t="s">
        <v>3426</v>
      </c>
      <c r="L32" s="50"/>
      <c r="M32" s="50" t="s">
        <v>163</v>
      </c>
      <c r="N32" s="50"/>
      <c r="O32" s="50"/>
      <c r="P32" s="50"/>
      <c r="Q32" s="50"/>
      <c r="R32" s="50"/>
      <c r="S32" s="50" t="str">
        <f t="shared" si="4"/>
        <v/>
      </c>
      <c r="T32" s="50" t="str">
        <f t="shared" si="1"/>
        <v/>
      </c>
      <c r="U32" s="50" t="str">
        <f t="shared" si="5"/>
        <v/>
      </c>
      <c r="V32" s="50" t="str">
        <f t="shared" si="6"/>
        <v/>
      </c>
      <c r="W32" s="50"/>
      <c r="X32" s="50" t="s">
        <v>4</v>
      </c>
      <c r="Y32" s="50" t="s">
        <v>50</v>
      </c>
      <c r="Z32" s="50" t="s">
        <v>3406</v>
      </c>
      <c r="AA32" s="50"/>
    </row>
    <row r="33" spans="1:27" ht="25.5" customHeight="1">
      <c r="A33" s="50" t="s">
        <v>773</v>
      </c>
      <c r="B33" s="51" t="s">
        <v>969</v>
      </c>
      <c r="C33" s="51" t="s">
        <v>159</v>
      </c>
      <c r="D33" s="51" t="s">
        <v>3447</v>
      </c>
      <c r="E33" s="50">
        <v>1793</v>
      </c>
      <c r="F33" s="50">
        <v>1895</v>
      </c>
      <c r="G33" s="50" t="s">
        <v>3404</v>
      </c>
      <c r="H33" s="50">
        <v>2024</v>
      </c>
      <c r="I33" s="105" t="s">
        <v>3405</v>
      </c>
      <c r="J33" s="50"/>
      <c r="K33" s="50" t="s">
        <v>3426</v>
      </c>
      <c r="L33" s="50"/>
      <c r="M33" s="50" t="s">
        <v>163</v>
      </c>
      <c r="N33" s="50"/>
      <c r="O33" s="50"/>
      <c r="P33" s="50"/>
      <c r="Q33" s="50"/>
      <c r="R33" s="50"/>
      <c r="S33" s="50" t="str">
        <f t="shared" si="4"/>
        <v/>
      </c>
      <c r="T33" s="50" t="str">
        <f t="shared" si="1"/>
        <v/>
      </c>
      <c r="U33" s="50" t="str">
        <f t="shared" si="5"/>
        <v/>
      </c>
      <c r="V33" s="50" t="str">
        <f t="shared" si="6"/>
        <v/>
      </c>
      <c r="W33" s="50"/>
      <c r="X33" s="50" t="s">
        <v>4</v>
      </c>
      <c r="Y33" s="50" t="s">
        <v>50</v>
      </c>
      <c r="Z33" s="50" t="s">
        <v>3406</v>
      </c>
      <c r="AA33" s="50"/>
    </row>
    <row r="34" spans="1:27" ht="25.5" customHeight="1">
      <c r="A34" s="141" t="s">
        <v>773</v>
      </c>
      <c r="B34" s="141" t="s">
        <v>969</v>
      </c>
      <c r="C34" s="51" t="s">
        <v>159</v>
      </c>
      <c r="D34" s="141" t="s">
        <v>3448</v>
      </c>
      <c r="E34" s="141">
        <v>1588</v>
      </c>
      <c r="F34" s="141">
        <v>1661</v>
      </c>
      <c r="G34" s="141" t="s">
        <v>3404</v>
      </c>
      <c r="H34" s="141" t="s">
        <v>3449</v>
      </c>
      <c r="I34" s="470" t="s">
        <v>3450</v>
      </c>
      <c r="J34" s="141" t="s">
        <v>3416</v>
      </c>
      <c r="K34" s="141" t="s">
        <v>3426</v>
      </c>
      <c r="L34" s="141"/>
      <c r="M34" s="141" t="s">
        <v>163</v>
      </c>
      <c r="N34" s="141" t="s">
        <v>3451</v>
      </c>
      <c r="O34" s="470" t="s">
        <v>3450</v>
      </c>
      <c r="P34" s="141"/>
      <c r="Q34" s="470" t="s">
        <v>3452</v>
      </c>
      <c r="R34" s="470" t="s">
        <v>3453</v>
      </c>
      <c r="S34" s="50"/>
      <c r="T34" s="50" t="str">
        <f t="shared" ref="T34:T65" si="7">IF(
    OR(ISBLANK(P34), ISBLANK(Q34)),
    "",
    MAX(1, IF(
        NETWORKDAYS(P34, Q34) &lt;= 0,
        1,
        NETWORKDAYS(P34, Q34) - IF(P34 = Q34, 0, 1)
    ))
)</f>
        <v/>
      </c>
      <c r="U34" s="50"/>
      <c r="V34" s="50"/>
      <c r="W34" s="141" t="s">
        <v>150</v>
      </c>
      <c r="X34" s="141" t="s">
        <v>4</v>
      </c>
      <c r="Y34" s="141" t="s">
        <v>50</v>
      </c>
      <c r="Z34" s="141" t="s">
        <v>3406</v>
      </c>
      <c r="AA34" s="141"/>
    </row>
    <row r="35" spans="1:27" ht="25.5" customHeight="1">
      <c r="A35" s="50" t="s">
        <v>773</v>
      </c>
      <c r="B35" s="51" t="s">
        <v>969</v>
      </c>
      <c r="C35" s="51" t="s">
        <v>159</v>
      </c>
      <c r="D35" s="51" t="s">
        <v>3454</v>
      </c>
      <c r="E35" s="50">
        <v>735</v>
      </c>
      <c r="F35" s="50">
        <v>964</v>
      </c>
      <c r="G35" s="50" t="s">
        <v>3404</v>
      </c>
      <c r="H35" s="50">
        <v>2024</v>
      </c>
      <c r="I35" s="132">
        <v>45581</v>
      </c>
      <c r="J35" s="50"/>
      <c r="K35" s="50" t="s">
        <v>3426</v>
      </c>
      <c r="L35" s="50"/>
      <c r="M35" s="50" t="s">
        <v>163</v>
      </c>
      <c r="N35" s="50"/>
      <c r="O35" s="50"/>
      <c r="P35" s="50"/>
      <c r="Q35" s="50"/>
      <c r="R35" s="50"/>
      <c r="S35" s="50" t="str">
        <f t="shared" ref="S35:S53" si="8">IF(
    OR(ISBLANK(I35), ISBLANK(O35)),
    "",
    MAX(1, IF(
        NETWORKDAYS(I35, O35) &lt;= 0,
        1,
        NETWORKDAYS(I35, O35) - IF(I35 = O35, 0, 1)
    ))
)</f>
        <v/>
      </c>
      <c r="T35" s="50" t="str">
        <f t="shared" si="7"/>
        <v/>
      </c>
      <c r="U35" s="50" t="str">
        <f t="shared" ref="U35:U53" si="9">IF(
    OR(ISBLANK(O35), ISBLANK(Q35)),
    "",
    MAX(1, IF(
        NETWORKDAYS(O35, Q35) &lt;= 0,
        1,
        NETWORKDAYS(O35, Q35) - IF(O35 = Q35, 0, 1)
    ))
)</f>
        <v/>
      </c>
      <c r="V35" s="50" t="str">
        <f t="shared" ref="V35:V53" si="10">IF(
    OR(ISBLANK(Q35), ISBLANK(R35)),
    "",
    MAX(1, IF(
        NETWORKDAYS(Q35, R35) &lt;= 0,
        1,
        NETWORKDAYS(Q35, R35) - IF(P35 = R35, 0, 1)
    ))
)</f>
        <v/>
      </c>
      <c r="W35" s="50"/>
      <c r="X35" s="50" t="s">
        <v>4</v>
      </c>
      <c r="Y35" s="50" t="s">
        <v>50</v>
      </c>
      <c r="Z35" s="50" t="s">
        <v>3406</v>
      </c>
      <c r="AA35" s="50"/>
    </row>
    <row r="36" spans="1:27" ht="25.5" customHeight="1">
      <c r="A36" s="50" t="s">
        <v>773</v>
      </c>
      <c r="B36" s="51" t="s">
        <v>969</v>
      </c>
      <c r="C36" s="51" t="s">
        <v>159</v>
      </c>
      <c r="D36" s="51" t="s">
        <v>1148</v>
      </c>
      <c r="E36" s="50">
        <v>1115</v>
      </c>
      <c r="F36" s="50">
        <v>1118</v>
      </c>
      <c r="G36" s="50" t="s">
        <v>3404</v>
      </c>
      <c r="H36" s="50">
        <v>2024</v>
      </c>
      <c r="I36" s="132">
        <v>45611</v>
      </c>
      <c r="J36" s="50"/>
      <c r="K36" s="50" t="s">
        <v>3426</v>
      </c>
      <c r="L36" s="50"/>
      <c r="M36" s="50" t="s">
        <v>163</v>
      </c>
      <c r="N36" s="50"/>
      <c r="O36" s="50"/>
      <c r="P36" s="50"/>
      <c r="Q36" s="50"/>
      <c r="R36" s="50"/>
      <c r="S36" s="50" t="str">
        <f t="shared" si="8"/>
        <v/>
      </c>
      <c r="T36" s="50" t="str">
        <f t="shared" si="7"/>
        <v/>
      </c>
      <c r="U36" s="50" t="str">
        <f t="shared" si="9"/>
        <v/>
      </c>
      <c r="V36" s="50" t="str">
        <f t="shared" si="10"/>
        <v/>
      </c>
      <c r="W36" s="50"/>
      <c r="X36" s="50" t="s">
        <v>4</v>
      </c>
      <c r="Y36" s="50" t="s">
        <v>50</v>
      </c>
      <c r="Z36" s="50" t="s">
        <v>3406</v>
      </c>
      <c r="AA36" s="50"/>
    </row>
    <row r="37" spans="1:27" ht="25.5" customHeight="1">
      <c r="A37" s="50" t="s">
        <v>773</v>
      </c>
      <c r="B37" s="51" t="s">
        <v>969</v>
      </c>
      <c r="C37" s="51" t="s">
        <v>159</v>
      </c>
      <c r="D37" s="51" t="s">
        <v>3455</v>
      </c>
      <c r="E37" s="50">
        <v>1043</v>
      </c>
      <c r="F37" s="50">
        <v>1199</v>
      </c>
      <c r="G37" s="50" t="s">
        <v>3404</v>
      </c>
      <c r="H37" s="50">
        <v>2024</v>
      </c>
      <c r="I37" s="132">
        <v>45604</v>
      </c>
      <c r="J37" s="50"/>
      <c r="K37" s="50" t="s">
        <v>3426</v>
      </c>
      <c r="L37" s="50"/>
      <c r="M37" s="50" t="s">
        <v>163</v>
      </c>
      <c r="N37" s="50"/>
      <c r="O37" s="50"/>
      <c r="P37" s="50"/>
      <c r="Q37" s="50"/>
      <c r="R37" s="50"/>
      <c r="S37" s="50" t="str">
        <f t="shared" si="8"/>
        <v/>
      </c>
      <c r="T37" s="50" t="str">
        <f t="shared" si="7"/>
        <v/>
      </c>
      <c r="U37" s="50" t="str">
        <f t="shared" si="9"/>
        <v/>
      </c>
      <c r="V37" s="50" t="str">
        <f t="shared" si="10"/>
        <v/>
      </c>
      <c r="W37" s="50"/>
      <c r="X37" s="50" t="s">
        <v>4</v>
      </c>
      <c r="Y37" s="50" t="s">
        <v>50</v>
      </c>
      <c r="Z37" s="50" t="s">
        <v>3406</v>
      </c>
      <c r="AA37" s="50"/>
    </row>
    <row r="38" spans="1:27" ht="25.5" customHeight="1">
      <c r="A38" s="50" t="s">
        <v>773</v>
      </c>
      <c r="B38" s="51" t="s">
        <v>969</v>
      </c>
      <c r="C38" s="51" t="s">
        <v>159</v>
      </c>
      <c r="D38" s="51" t="s">
        <v>3456</v>
      </c>
      <c r="E38" s="50">
        <v>830</v>
      </c>
      <c r="F38" s="50">
        <v>862</v>
      </c>
      <c r="G38" s="50" t="s">
        <v>3404</v>
      </c>
      <c r="H38" s="50">
        <v>2024</v>
      </c>
      <c r="I38" s="132">
        <v>45581</v>
      </c>
      <c r="J38" s="50"/>
      <c r="K38" s="50" t="s">
        <v>3426</v>
      </c>
      <c r="L38" s="50"/>
      <c r="M38" s="50" t="s">
        <v>163</v>
      </c>
      <c r="N38" s="50"/>
      <c r="O38" s="50"/>
      <c r="P38" s="50"/>
      <c r="Q38" s="50"/>
      <c r="R38" s="50"/>
      <c r="S38" s="50" t="str">
        <f t="shared" si="8"/>
        <v/>
      </c>
      <c r="T38" s="50" t="str">
        <f t="shared" si="7"/>
        <v/>
      </c>
      <c r="U38" s="50" t="str">
        <f t="shared" si="9"/>
        <v/>
      </c>
      <c r="V38" s="50" t="str">
        <f t="shared" si="10"/>
        <v/>
      </c>
      <c r="W38" s="50"/>
      <c r="X38" s="50" t="s">
        <v>4</v>
      </c>
      <c r="Y38" s="50" t="s">
        <v>50</v>
      </c>
      <c r="Z38" s="50" t="s">
        <v>3406</v>
      </c>
      <c r="AA38" s="50"/>
    </row>
    <row r="39" spans="1:27" s="110" customFormat="1" ht="25.5" customHeight="1">
      <c r="A39" s="517" t="s">
        <v>773</v>
      </c>
      <c r="B39" s="51" t="s">
        <v>1244</v>
      </c>
      <c r="C39" s="51" t="s">
        <v>159</v>
      </c>
      <c r="D39" s="54" t="s">
        <v>3457</v>
      </c>
      <c r="E39" s="50">
        <v>2418</v>
      </c>
      <c r="F39" s="50">
        <v>2579</v>
      </c>
      <c r="G39" s="50" t="s">
        <v>3404</v>
      </c>
      <c r="H39" s="50">
        <v>2025</v>
      </c>
      <c r="I39" s="132">
        <v>45693</v>
      </c>
      <c r="J39" s="50" t="s">
        <v>3458</v>
      </c>
      <c r="K39" s="50" t="s">
        <v>3426</v>
      </c>
      <c r="L39" s="50"/>
      <c r="M39" s="50" t="s">
        <v>163</v>
      </c>
      <c r="N39" s="50" t="s">
        <v>3459</v>
      </c>
      <c r="O39" s="132">
        <v>45693</v>
      </c>
      <c r="P39" s="50"/>
      <c r="Q39" s="132">
        <v>45695</v>
      </c>
      <c r="R39" s="132">
        <v>45695</v>
      </c>
      <c r="S39" s="50">
        <f t="shared" si="8"/>
        <v>1</v>
      </c>
      <c r="T39" s="50" t="str">
        <f t="shared" si="7"/>
        <v/>
      </c>
      <c r="U39" s="50">
        <f t="shared" si="9"/>
        <v>2</v>
      </c>
      <c r="V39" s="50">
        <f t="shared" si="10"/>
        <v>1</v>
      </c>
      <c r="W39" s="50" t="s">
        <v>150</v>
      </c>
      <c r="X39" s="50" t="s">
        <v>1078</v>
      </c>
      <c r="Y39" s="50" t="s">
        <v>50</v>
      </c>
      <c r="Z39" s="50" t="s">
        <v>3406</v>
      </c>
      <c r="AA39" s="50"/>
    </row>
    <row r="40" spans="1:27" ht="25.5" customHeight="1">
      <c r="A40" s="50" t="s">
        <v>773</v>
      </c>
      <c r="B40" s="51" t="s">
        <v>1244</v>
      </c>
      <c r="C40" s="51" t="s">
        <v>159</v>
      </c>
      <c r="D40" s="51" t="s">
        <v>3460</v>
      </c>
      <c r="E40" s="50">
        <v>734</v>
      </c>
      <c r="F40" s="50">
        <v>776</v>
      </c>
      <c r="G40" s="50" t="s">
        <v>3404</v>
      </c>
      <c r="H40" s="50">
        <v>2024</v>
      </c>
      <c r="I40" s="132">
        <v>45602</v>
      </c>
      <c r="J40" s="50"/>
      <c r="K40" s="50" t="s">
        <v>3426</v>
      </c>
      <c r="L40" s="50"/>
      <c r="M40" s="50" t="s">
        <v>163</v>
      </c>
      <c r="N40" s="50"/>
      <c r="O40" s="50"/>
      <c r="P40" s="50"/>
      <c r="Q40" s="50"/>
      <c r="R40" s="50"/>
      <c r="S40" s="50" t="str">
        <f t="shared" si="8"/>
        <v/>
      </c>
      <c r="T40" s="50" t="str">
        <f t="shared" si="7"/>
        <v/>
      </c>
      <c r="U40" s="50" t="str">
        <f t="shared" si="9"/>
        <v/>
      </c>
      <c r="V40" s="50" t="str">
        <f t="shared" si="10"/>
        <v/>
      </c>
      <c r="W40" s="50"/>
      <c r="X40" s="50" t="s">
        <v>4</v>
      </c>
      <c r="Y40" s="50" t="s">
        <v>50</v>
      </c>
      <c r="Z40" s="50" t="s">
        <v>3406</v>
      </c>
      <c r="AA40" s="50"/>
    </row>
    <row r="41" spans="1:27" ht="25.5" customHeight="1">
      <c r="A41" s="50" t="s">
        <v>773</v>
      </c>
      <c r="B41" s="51" t="s">
        <v>1244</v>
      </c>
      <c r="C41" s="51" t="s">
        <v>159</v>
      </c>
      <c r="D41" s="51" t="s">
        <v>3461</v>
      </c>
      <c r="E41" s="50">
        <v>915</v>
      </c>
      <c r="F41" s="50">
        <v>920</v>
      </c>
      <c r="G41" s="50" t="s">
        <v>3404</v>
      </c>
      <c r="H41" s="50">
        <v>2024</v>
      </c>
      <c r="I41" s="132">
        <v>45602</v>
      </c>
      <c r="J41" s="50"/>
      <c r="K41" s="50" t="s">
        <v>3426</v>
      </c>
      <c r="L41" s="50"/>
      <c r="M41" s="50" t="s">
        <v>163</v>
      </c>
      <c r="N41" s="50"/>
      <c r="O41" s="50"/>
      <c r="P41" s="50"/>
      <c r="Q41" s="50"/>
      <c r="R41" s="50"/>
      <c r="S41" s="50" t="str">
        <f t="shared" si="8"/>
        <v/>
      </c>
      <c r="T41" s="50" t="str">
        <f t="shared" si="7"/>
        <v/>
      </c>
      <c r="U41" s="50" t="str">
        <f t="shared" si="9"/>
        <v/>
      </c>
      <c r="V41" s="50" t="str">
        <f t="shared" si="10"/>
        <v/>
      </c>
      <c r="W41" s="50"/>
      <c r="X41" s="50" t="s">
        <v>4</v>
      </c>
      <c r="Y41" s="50" t="s">
        <v>50</v>
      </c>
      <c r="Z41" s="50" t="s">
        <v>3406</v>
      </c>
      <c r="AA41" s="50"/>
    </row>
    <row r="42" spans="1:27" ht="25.5" customHeight="1">
      <c r="A42" s="50" t="s">
        <v>773</v>
      </c>
      <c r="B42" s="51" t="s">
        <v>1244</v>
      </c>
      <c r="C42" s="51" t="s">
        <v>159</v>
      </c>
      <c r="D42" s="51" t="s">
        <v>3462</v>
      </c>
      <c r="E42" s="50">
        <v>1420</v>
      </c>
      <c r="F42" s="50">
        <v>1466</v>
      </c>
      <c r="G42" s="50" t="s">
        <v>3404</v>
      </c>
      <c r="H42" s="50">
        <v>2024</v>
      </c>
      <c r="I42" s="132">
        <v>45552</v>
      </c>
      <c r="J42" s="50"/>
      <c r="K42" s="50" t="s">
        <v>3426</v>
      </c>
      <c r="L42" s="50"/>
      <c r="M42" s="50" t="s">
        <v>163</v>
      </c>
      <c r="N42" s="50"/>
      <c r="O42" s="50"/>
      <c r="P42" s="50"/>
      <c r="Q42" s="50"/>
      <c r="R42" s="50"/>
      <c r="S42" s="50" t="str">
        <f t="shared" si="8"/>
        <v/>
      </c>
      <c r="T42" s="50" t="str">
        <f t="shared" si="7"/>
        <v/>
      </c>
      <c r="U42" s="50" t="str">
        <f t="shared" si="9"/>
        <v/>
      </c>
      <c r="V42" s="50" t="str">
        <f t="shared" si="10"/>
        <v/>
      </c>
      <c r="W42" s="50"/>
      <c r="X42" s="50" t="s">
        <v>4</v>
      </c>
      <c r="Y42" s="50" t="s">
        <v>50</v>
      </c>
      <c r="Z42" s="50"/>
      <c r="AA42" s="50"/>
    </row>
    <row r="43" spans="1:27" ht="25.5" customHeight="1">
      <c r="A43" s="50" t="s">
        <v>773</v>
      </c>
      <c r="B43" s="51" t="s">
        <v>1244</v>
      </c>
      <c r="C43" s="51" t="s">
        <v>159</v>
      </c>
      <c r="D43" s="51" t="s">
        <v>3463</v>
      </c>
      <c r="E43" s="50">
        <v>2485</v>
      </c>
      <c r="F43" s="50">
        <v>2726</v>
      </c>
      <c r="G43" s="50" t="s">
        <v>3404</v>
      </c>
      <c r="H43" s="50">
        <v>2024</v>
      </c>
      <c r="I43" s="132">
        <v>45601</v>
      </c>
      <c r="J43" s="50"/>
      <c r="K43" s="50" t="s">
        <v>3426</v>
      </c>
      <c r="L43" s="50"/>
      <c r="M43" s="50" t="s">
        <v>163</v>
      </c>
      <c r="N43" s="50"/>
      <c r="O43" s="50"/>
      <c r="P43" s="50"/>
      <c r="Q43" s="50"/>
      <c r="R43" s="50"/>
      <c r="S43" s="50" t="str">
        <f t="shared" si="8"/>
        <v/>
      </c>
      <c r="T43" s="50" t="str">
        <f t="shared" si="7"/>
        <v/>
      </c>
      <c r="U43" s="50" t="str">
        <f t="shared" si="9"/>
        <v/>
      </c>
      <c r="V43" s="50" t="str">
        <f t="shared" si="10"/>
        <v/>
      </c>
      <c r="W43" s="50"/>
      <c r="X43" s="50" t="s">
        <v>4</v>
      </c>
      <c r="Y43" s="50" t="s">
        <v>50</v>
      </c>
      <c r="Z43" s="50" t="s">
        <v>3406</v>
      </c>
      <c r="AA43" s="50"/>
    </row>
    <row r="44" spans="1:27" s="351" customFormat="1" ht="25.5" customHeight="1">
      <c r="A44" s="50" t="s">
        <v>773</v>
      </c>
      <c r="B44" s="51" t="s">
        <v>1244</v>
      </c>
      <c r="C44" s="51" t="s">
        <v>159</v>
      </c>
      <c r="D44" s="51" t="s">
        <v>3446</v>
      </c>
      <c r="E44" s="50">
        <v>1266</v>
      </c>
      <c r="F44" s="50">
        <v>1407</v>
      </c>
      <c r="G44" s="50" t="s">
        <v>3404</v>
      </c>
      <c r="H44" s="50">
        <v>2024</v>
      </c>
      <c r="I44" s="132">
        <v>45610</v>
      </c>
      <c r="J44" s="50"/>
      <c r="K44" s="50" t="s">
        <v>3426</v>
      </c>
      <c r="L44" s="50"/>
      <c r="M44" s="50" t="s">
        <v>163</v>
      </c>
      <c r="N44" s="50"/>
      <c r="O44" s="50"/>
      <c r="P44" s="50"/>
      <c r="Q44" s="50"/>
      <c r="R44" s="50"/>
      <c r="S44" s="50" t="str">
        <f t="shared" si="8"/>
        <v/>
      </c>
      <c r="T44" s="50" t="str">
        <f t="shared" si="7"/>
        <v/>
      </c>
      <c r="U44" s="50" t="str">
        <f t="shared" si="9"/>
        <v/>
      </c>
      <c r="V44" s="50" t="str">
        <f t="shared" si="10"/>
        <v/>
      </c>
      <c r="W44" s="50"/>
      <c r="X44" s="50" t="s">
        <v>4</v>
      </c>
      <c r="Y44" s="50" t="s">
        <v>50</v>
      </c>
      <c r="Z44" s="50" t="s">
        <v>3406</v>
      </c>
      <c r="AA44" s="50"/>
    </row>
    <row r="45" spans="1:27" ht="25.5" customHeight="1">
      <c r="A45" s="141" t="s">
        <v>773</v>
      </c>
      <c r="B45" s="141" t="s">
        <v>1244</v>
      </c>
      <c r="C45" s="141" t="s">
        <v>159</v>
      </c>
      <c r="D45" s="141" t="s">
        <v>3464</v>
      </c>
      <c r="E45" s="141">
        <v>511</v>
      </c>
      <c r="F45" s="141">
        <v>473</v>
      </c>
      <c r="G45" s="141" t="s">
        <v>3404</v>
      </c>
      <c r="H45" s="141">
        <v>2025</v>
      </c>
      <c r="I45" s="470">
        <v>45720</v>
      </c>
      <c r="J45" s="141" t="s">
        <v>3416</v>
      </c>
      <c r="K45" s="141" t="s">
        <v>3426</v>
      </c>
      <c r="L45" s="141"/>
      <c r="M45" s="141" t="s">
        <v>163</v>
      </c>
      <c r="N45" s="141" t="s">
        <v>3465</v>
      </c>
      <c r="O45" s="470">
        <v>45720</v>
      </c>
      <c r="P45" s="141"/>
      <c r="Q45" s="470">
        <v>45721</v>
      </c>
      <c r="R45" s="470">
        <v>45721</v>
      </c>
      <c r="S45" s="50">
        <f t="shared" si="8"/>
        <v>1</v>
      </c>
      <c r="T45" s="50" t="str">
        <f t="shared" si="7"/>
        <v/>
      </c>
      <c r="U45" s="50">
        <f t="shared" si="9"/>
        <v>1</v>
      </c>
      <c r="V45" s="50">
        <f t="shared" si="10"/>
        <v>1</v>
      </c>
      <c r="W45" s="141" t="s">
        <v>150</v>
      </c>
      <c r="X45" s="50" t="s">
        <v>1078</v>
      </c>
      <c r="Y45" s="141" t="s">
        <v>50</v>
      </c>
      <c r="Z45" s="141" t="s">
        <v>3406</v>
      </c>
      <c r="AA45" s="141"/>
    </row>
    <row r="46" spans="1:27" ht="25.5" customHeight="1">
      <c r="A46" s="50" t="s">
        <v>773</v>
      </c>
      <c r="B46" s="51" t="s">
        <v>1244</v>
      </c>
      <c r="C46" s="51" t="s">
        <v>159</v>
      </c>
      <c r="D46" s="51" t="s">
        <v>3466</v>
      </c>
      <c r="E46" s="50">
        <v>1869</v>
      </c>
      <c r="F46" s="50">
        <v>1915</v>
      </c>
      <c r="G46" s="50" t="s">
        <v>3404</v>
      </c>
      <c r="H46" s="50">
        <v>2024</v>
      </c>
      <c r="I46" s="132">
        <v>45580</v>
      </c>
      <c r="J46" s="50"/>
      <c r="K46" s="50" t="s">
        <v>3426</v>
      </c>
      <c r="L46" s="50"/>
      <c r="M46" s="50" t="s">
        <v>163</v>
      </c>
      <c r="N46" s="50"/>
      <c r="O46" s="50"/>
      <c r="P46" s="50"/>
      <c r="Q46" s="50"/>
      <c r="R46" s="50"/>
      <c r="S46" s="50" t="str">
        <f t="shared" si="8"/>
        <v/>
      </c>
      <c r="T46" s="50" t="str">
        <f t="shared" si="7"/>
        <v/>
      </c>
      <c r="U46" s="50" t="str">
        <f t="shared" si="9"/>
        <v/>
      </c>
      <c r="V46" s="50" t="str">
        <f t="shared" si="10"/>
        <v/>
      </c>
      <c r="W46" s="50"/>
      <c r="X46" s="50" t="s">
        <v>4</v>
      </c>
      <c r="Y46" s="50" t="s">
        <v>50</v>
      </c>
      <c r="Z46" s="50" t="s">
        <v>3406</v>
      </c>
      <c r="AA46" s="50"/>
    </row>
    <row r="47" spans="1:27" ht="25.5" customHeight="1">
      <c r="A47" s="50" t="s">
        <v>773</v>
      </c>
      <c r="B47" s="51" t="s">
        <v>1244</v>
      </c>
      <c r="C47" s="51" t="s">
        <v>159</v>
      </c>
      <c r="D47" s="51" t="s">
        <v>3467</v>
      </c>
      <c r="E47" s="50">
        <v>1742</v>
      </c>
      <c r="F47" s="50">
        <v>1841</v>
      </c>
      <c r="G47" s="50" t="s">
        <v>3404</v>
      </c>
      <c r="H47" s="50">
        <v>2024</v>
      </c>
      <c r="I47" s="132">
        <v>45552</v>
      </c>
      <c r="J47" s="50"/>
      <c r="K47" s="50" t="s">
        <v>3426</v>
      </c>
      <c r="L47" s="50"/>
      <c r="M47" s="50" t="s">
        <v>163</v>
      </c>
      <c r="N47" s="50"/>
      <c r="O47" s="50"/>
      <c r="P47" s="50"/>
      <c r="Q47" s="50"/>
      <c r="R47" s="50"/>
      <c r="S47" s="50" t="str">
        <f t="shared" si="8"/>
        <v/>
      </c>
      <c r="T47" s="50" t="str">
        <f t="shared" si="7"/>
        <v/>
      </c>
      <c r="U47" s="50" t="str">
        <f t="shared" si="9"/>
        <v/>
      </c>
      <c r="V47" s="50" t="str">
        <f t="shared" si="10"/>
        <v/>
      </c>
      <c r="W47" s="50"/>
      <c r="X47" s="50" t="s">
        <v>4</v>
      </c>
      <c r="Y47" s="50" t="s">
        <v>50</v>
      </c>
      <c r="Z47" s="50" t="s">
        <v>3406</v>
      </c>
      <c r="AA47" s="50"/>
    </row>
    <row r="48" spans="1:27" s="110" customFormat="1" ht="25.5" customHeight="1">
      <c r="A48" s="50" t="s">
        <v>773</v>
      </c>
      <c r="B48" s="51" t="s">
        <v>1244</v>
      </c>
      <c r="C48" s="51" t="s">
        <v>159</v>
      </c>
      <c r="D48" s="51" t="s">
        <v>3468</v>
      </c>
      <c r="E48" s="50">
        <v>1841</v>
      </c>
      <c r="F48" s="50">
        <v>2280</v>
      </c>
      <c r="G48" s="50" t="s">
        <v>3404</v>
      </c>
      <c r="H48" s="50">
        <v>2024</v>
      </c>
      <c r="I48" s="132">
        <v>45580</v>
      </c>
      <c r="J48" s="50"/>
      <c r="K48" s="50" t="s">
        <v>3426</v>
      </c>
      <c r="L48" s="50"/>
      <c r="M48" s="50" t="s">
        <v>163</v>
      </c>
      <c r="N48" s="50"/>
      <c r="O48" s="50"/>
      <c r="P48" s="50"/>
      <c r="Q48" s="50"/>
      <c r="R48" s="50"/>
      <c r="S48" s="50" t="str">
        <f t="shared" si="8"/>
        <v/>
      </c>
      <c r="T48" s="50" t="str">
        <f t="shared" si="7"/>
        <v/>
      </c>
      <c r="U48" s="50" t="str">
        <f t="shared" si="9"/>
        <v/>
      </c>
      <c r="V48" s="50" t="str">
        <f t="shared" si="10"/>
        <v/>
      </c>
      <c r="W48" s="50"/>
      <c r="X48" s="50" t="s">
        <v>4</v>
      </c>
      <c r="Y48" s="50" t="s">
        <v>50</v>
      </c>
      <c r="Z48" s="50" t="s">
        <v>3406</v>
      </c>
      <c r="AA48" s="50"/>
    </row>
    <row r="49" spans="1:27" ht="25.5" customHeight="1">
      <c r="A49" s="517" t="s">
        <v>773</v>
      </c>
      <c r="B49" s="51" t="s">
        <v>1244</v>
      </c>
      <c r="C49" s="51" t="s">
        <v>159</v>
      </c>
      <c r="D49" s="54" t="s">
        <v>3469</v>
      </c>
      <c r="E49" s="50">
        <v>634</v>
      </c>
      <c r="F49" s="50">
        <v>719</v>
      </c>
      <c r="G49" s="50" t="s">
        <v>3404</v>
      </c>
      <c r="H49" s="50">
        <v>2025</v>
      </c>
      <c r="I49" s="132">
        <v>45755</v>
      </c>
      <c r="J49" s="50" t="s">
        <v>3470</v>
      </c>
      <c r="K49" s="50" t="s">
        <v>3426</v>
      </c>
      <c r="L49" s="50"/>
      <c r="M49" s="50" t="s">
        <v>163</v>
      </c>
      <c r="N49" s="50" t="s">
        <v>3471</v>
      </c>
      <c r="O49" s="60">
        <v>45755</v>
      </c>
      <c r="P49" s="50"/>
      <c r="Q49" s="60">
        <v>45757</v>
      </c>
      <c r="R49" s="60">
        <v>45757</v>
      </c>
      <c r="S49" s="50">
        <f t="shared" si="8"/>
        <v>1</v>
      </c>
      <c r="T49" s="50" t="str">
        <f t="shared" si="7"/>
        <v/>
      </c>
      <c r="U49" s="50">
        <f t="shared" si="9"/>
        <v>2</v>
      </c>
      <c r="V49" s="50">
        <f t="shared" si="10"/>
        <v>1</v>
      </c>
      <c r="W49" s="50" t="s">
        <v>150</v>
      </c>
      <c r="X49" s="50" t="s">
        <v>1078</v>
      </c>
      <c r="Y49" s="50" t="s">
        <v>50</v>
      </c>
      <c r="Z49" s="50" t="s">
        <v>3406</v>
      </c>
      <c r="AA49" s="50"/>
    </row>
    <row r="50" spans="1:27" ht="25.5" customHeight="1">
      <c r="A50" s="50" t="s">
        <v>773</v>
      </c>
      <c r="B50" s="51" t="s">
        <v>974</v>
      </c>
      <c r="C50" s="51" t="s">
        <v>159</v>
      </c>
      <c r="D50" s="51" t="s">
        <v>3472</v>
      </c>
      <c r="E50" s="50">
        <v>1236</v>
      </c>
      <c r="F50" s="50">
        <v>1293</v>
      </c>
      <c r="G50" s="50" t="s">
        <v>3404</v>
      </c>
      <c r="H50" s="50">
        <v>2024</v>
      </c>
      <c r="I50" s="132">
        <v>45546</v>
      </c>
      <c r="J50" s="50"/>
      <c r="K50" s="50" t="s">
        <v>3426</v>
      </c>
      <c r="L50" s="50"/>
      <c r="M50" s="50" t="s">
        <v>163</v>
      </c>
      <c r="N50" s="50"/>
      <c r="O50" s="50"/>
      <c r="P50" s="50"/>
      <c r="Q50" s="50"/>
      <c r="R50" s="50"/>
      <c r="S50" s="50" t="str">
        <f t="shared" si="8"/>
        <v/>
      </c>
      <c r="T50" s="50" t="str">
        <f t="shared" si="7"/>
        <v/>
      </c>
      <c r="U50" s="50" t="str">
        <f t="shared" si="9"/>
        <v/>
      </c>
      <c r="V50" s="50" t="str">
        <f t="shared" si="10"/>
        <v/>
      </c>
      <c r="W50" s="50"/>
      <c r="X50" s="50" t="s">
        <v>4</v>
      </c>
      <c r="Y50" s="50" t="s">
        <v>50</v>
      </c>
      <c r="Z50" s="50" t="s">
        <v>3406</v>
      </c>
      <c r="AA50" s="50"/>
    </row>
    <row r="51" spans="1:27" ht="25.5" customHeight="1">
      <c r="A51" s="50" t="s">
        <v>773</v>
      </c>
      <c r="B51" s="51" t="s">
        <v>974</v>
      </c>
      <c r="C51" s="51" t="s">
        <v>159</v>
      </c>
      <c r="D51" s="51" t="s">
        <v>1746</v>
      </c>
      <c r="E51" s="50">
        <v>1292</v>
      </c>
      <c r="F51" s="50">
        <v>1682</v>
      </c>
      <c r="G51" s="50" t="s">
        <v>3404</v>
      </c>
      <c r="H51" s="50">
        <v>2024</v>
      </c>
      <c r="I51" s="132">
        <v>45393</v>
      </c>
      <c r="J51" s="50"/>
      <c r="K51" s="50" t="s">
        <v>3426</v>
      </c>
      <c r="L51" s="50"/>
      <c r="M51" s="50" t="s">
        <v>163</v>
      </c>
      <c r="N51" s="50"/>
      <c r="O51" s="50"/>
      <c r="P51" s="50"/>
      <c r="Q51" s="50"/>
      <c r="R51" s="50"/>
      <c r="S51" s="50" t="str">
        <f t="shared" si="8"/>
        <v/>
      </c>
      <c r="T51" s="50" t="str">
        <f t="shared" si="7"/>
        <v/>
      </c>
      <c r="U51" s="50" t="str">
        <f t="shared" si="9"/>
        <v/>
      </c>
      <c r="V51" s="50" t="str">
        <f t="shared" si="10"/>
        <v/>
      </c>
      <c r="W51" s="50"/>
      <c r="X51" s="50"/>
      <c r="Y51" s="50"/>
      <c r="Z51" s="50" t="s">
        <v>3406</v>
      </c>
      <c r="AA51" s="50"/>
    </row>
    <row r="52" spans="1:27" ht="25.5" customHeight="1">
      <c r="A52" s="50" t="s">
        <v>773</v>
      </c>
      <c r="B52" s="51" t="s">
        <v>974</v>
      </c>
      <c r="C52" s="51" t="s">
        <v>159</v>
      </c>
      <c r="D52" s="51" t="s">
        <v>3473</v>
      </c>
      <c r="E52" s="50">
        <v>659</v>
      </c>
      <c r="F52" s="50">
        <v>777</v>
      </c>
      <c r="G52" s="50" t="s">
        <v>3404</v>
      </c>
      <c r="H52" s="50">
        <v>2024</v>
      </c>
      <c r="I52" s="132">
        <v>45546</v>
      </c>
      <c r="J52" s="50"/>
      <c r="K52" s="50" t="s">
        <v>3426</v>
      </c>
      <c r="L52" s="50"/>
      <c r="M52" s="50" t="s">
        <v>163</v>
      </c>
      <c r="N52" s="50"/>
      <c r="O52" s="50"/>
      <c r="P52" s="50"/>
      <c r="Q52" s="50"/>
      <c r="R52" s="50"/>
      <c r="S52" s="50" t="str">
        <f t="shared" si="8"/>
        <v/>
      </c>
      <c r="T52" s="50" t="str">
        <f t="shared" si="7"/>
        <v/>
      </c>
      <c r="U52" s="50" t="str">
        <f t="shared" si="9"/>
        <v/>
      </c>
      <c r="V52" s="50" t="str">
        <f t="shared" si="10"/>
        <v/>
      </c>
      <c r="W52" s="50"/>
      <c r="X52" s="50" t="s">
        <v>4</v>
      </c>
      <c r="Y52" s="50" t="s">
        <v>50</v>
      </c>
      <c r="Z52" s="50" t="s">
        <v>3406</v>
      </c>
      <c r="AA52" s="50"/>
    </row>
    <row r="53" spans="1:27" s="152" customFormat="1" ht="25.5" customHeight="1">
      <c r="A53" s="50" t="s">
        <v>773</v>
      </c>
      <c r="B53" s="51" t="s">
        <v>974</v>
      </c>
      <c r="C53" s="51" t="s">
        <v>159</v>
      </c>
      <c r="D53" s="51" t="s">
        <v>3474</v>
      </c>
      <c r="E53" s="50">
        <v>763</v>
      </c>
      <c r="F53" s="50">
        <v>952</v>
      </c>
      <c r="G53" s="50" t="s">
        <v>3404</v>
      </c>
      <c r="H53" s="50">
        <v>2024</v>
      </c>
      <c r="I53" s="132">
        <v>45449</v>
      </c>
      <c r="J53" s="50"/>
      <c r="K53" s="50" t="s">
        <v>3426</v>
      </c>
      <c r="L53" s="50"/>
      <c r="M53" s="50" t="s">
        <v>163</v>
      </c>
      <c r="N53" s="50"/>
      <c r="O53" s="50"/>
      <c r="P53" s="50"/>
      <c r="Q53" s="50"/>
      <c r="R53" s="50"/>
      <c r="S53" s="50" t="str">
        <f t="shared" si="8"/>
        <v/>
      </c>
      <c r="T53" s="50" t="str">
        <f t="shared" si="7"/>
        <v/>
      </c>
      <c r="U53" s="50" t="str">
        <f t="shared" si="9"/>
        <v/>
      </c>
      <c r="V53" s="50" t="str">
        <f t="shared" si="10"/>
        <v/>
      </c>
      <c r="W53" s="50"/>
      <c r="X53" s="50"/>
      <c r="Y53" s="50"/>
      <c r="Z53" s="50" t="s">
        <v>3406</v>
      </c>
      <c r="AA53" s="50"/>
    </row>
    <row r="54" spans="1:27" ht="25.5" customHeight="1">
      <c r="A54" s="141" t="s">
        <v>773</v>
      </c>
      <c r="B54" s="141" t="s">
        <v>974</v>
      </c>
      <c r="C54" s="51" t="s">
        <v>159</v>
      </c>
      <c r="D54" s="141" t="s">
        <v>3475</v>
      </c>
      <c r="E54" s="141">
        <v>905</v>
      </c>
      <c r="F54" s="141">
        <v>1355</v>
      </c>
      <c r="G54" s="141" t="s">
        <v>3404</v>
      </c>
      <c r="H54" s="141" t="s">
        <v>3449</v>
      </c>
      <c r="I54" s="470" t="s">
        <v>3476</v>
      </c>
      <c r="J54" s="141" t="s">
        <v>3416</v>
      </c>
      <c r="K54" s="141" t="s">
        <v>3426</v>
      </c>
      <c r="L54" s="141"/>
      <c r="M54" s="141" t="s">
        <v>163</v>
      </c>
      <c r="N54" s="151" t="s">
        <v>3477</v>
      </c>
      <c r="O54" s="151" t="s">
        <v>3476</v>
      </c>
      <c r="P54" s="141"/>
      <c r="Q54" s="151" t="s">
        <v>3478</v>
      </c>
      <c r="R54" s="151" t="s">
        <v>3479</v>
      </c>
      <c r="S54" s="50"/>
      <c r="T54" s="50" t="str">
        <f t="shared" si="7"/>
        <v/>
      </c>
      <c r="U54" s="50"/>
      <c r="V54" s="50"/>
      <c r="W54" s="141" t="s">
        <v>150</v>
      </c>
      <c r="X54" s="50" t="s">
        <v>1078</v>
      </c>
      <c r="Y54" s="141" t="s">
        <v>50</v>
      </c>
      <c r="Z54" s="141" t="s">
        <v>3406</v>
      </c>
      <c r="AA54" s="141"/>
    </row>
    <row r="55" spans="1:27" ht="25.5" customHeight="1">
      <c r="A55" s="141" t="s">
        <v>773</v>
      </c>
      <c r="B55" s="141" t="s">
        <v>974</v>
      </c>
      <c r="C55" s="51" t="s">
        <v>159</v>
      </c>
      <c r="D55" s="141" t="s">
        <v>3480</v>
      </c>
      <c r="E55" s="141">
        <v>1203</v>
      </c>
      <c r="F55" s="141">
        <v>1298</v>
      </c>
      <c r="G55" s="141" t="s">
        <v>3404</v>
      </c>
      <c r="H55" s="141" t="s">
        <v>3449</v>
      </c>
      <c r="I55" s="470" t="s">
        <v>3481</v>
      </c>
      <c r="J55" s="141" t="s">
        <v>3416</v>
      </c>
      <c r="K55" s="141" t="s">
        <v>3426</v>
      </c>
      <c r="L55" s="141"/>
      <c r="M55" s="141" t="s">
        <v>163</v>
      </c>
      <c r="N55" s="141" t="s">
        <v>3482</v>
      </c>
      <c r="O55" s="141" t="s">
        <v>3483</v>
      </c>
      <c r="P55" s="141"/>
      <c r="Q55" s="141" t="s">
        <v>3419</v>
      </c>
      <c r="R55" s="141" t="s">
        <v>3420</v>
      </c>
      <c r="S55" s="50"/>
      <c r="T55" s="50" t="str">
        <f t="shared" si="7"/>
        <v/>
      </c>
      <c r="U55" s="50"/>
      <c r="V55" s="50"/>
      <c r="W55" s="141" t="s">
        <v>150</v>
      </c>
      <c r="X55" s="141" t="s">
        <v>4</v>
      </c>
      <c r="Y55" s="141" t="s">
        <v>50</v>
      </c>
      <c r="Z55" s="141" t="s">
        <v>3406</v>
      </c>
      <c r="AA55" s="141"/>
    </row>
    <row r="56" spans="1:27" ht="25.5" customHeight="1">
      <c r="A56" s="50" t="s">
        <v>773</v>
      </c>
      <c r="B56" s="51" t="s">
        <v>974</v>
      </c>
      <c r="C56" s="51" t="s">
        <v>159</v>
      </c>
      <c r="D56" s="51" t="s">
        <v>3484</v>
      </c>
      <c r="E56" s="50">
        <v>1717</v>
      </c>
      <c r="F56" s="50">
        <v>1750</v>
      </c>
      <c r="G56" s="50" t="s">
        <v>3404</v>
      </c>
      <c r="H56" s="50">
        <v>2024</v>
      </c>
      <c r="I56" s="132">
        <v>45450</v>
      </c>
      <c r="J56" s="50"/>
      <c r="K56" s="50" t="s">
        <v>3426</v>
      </c>
      <c r="L56" s="50"/>
      <c r="M56" s="50" t="s">
        <v>163</v>
      </c>
      <c r="N56" s="50"/>
      <c r="O56" s="50"/>
      <c r="P56" s="50"/>
      <c r="Q56" s="50"/>
      <c r="R56" s="50"/>
      <c r="S56" s="50" t="str">
        <f t="shared" ref="S56:S61" si="11">IF(
    OR(ISBLANK(I56), ISBLANK(O56)),
    "",
    MAX(1, IF(
        NETWORKDAYS(I56, O56) &lt;= 0,
        1,
        NETWORKDAYS(I56, O56) - IF(I56 = O56, 0, 1)
    ))
)</f>
        <v/>
      </c>
      <c r="T56" s="50" t="str">
        <f t="shared" si="7"/>
        <v/>
      </c>
      <c r="U56" s="50" t="str">
        <f t="shared" ref="U56:U61" si="12">IF(
    OR(ISBLANK(O56), ISBLANK(Q56)),
    "",
    MAX(1, IF(
        NETWORKDAYS(O56, Q56) &lt;= 0,
        1,
        NETWORKDAYS(O56, Q56) - IF(O56 = Q56, 0, 1)
    ))
)</f>
        <v/>
      </c>
      <c r="V56" s="50" t="str">
        <f t="shared" ref="V56:V61" si="13">IF(
    OR(ISBLANK(Q56), ISBLANK(R56)),
    "",
    MAX(1, IF(
        NETWORKDAYS(Q56, R56) &lt;= 0,
        1,
        NETWORKDAYS(Q56, R56) - IF(P56 = R56, 0, 1)
    ))
)</f>
        <v/>
      </c>
      <c r="W56" s="50"/>
      <c r="X56" s="50"/>
      <c r="Y56" s="50"/>
      <c r="Z56" s="50" t="s">
        <v>3406</v>
      </c>
      <c r="AA56" s="50"/>
    </row>
    <row r="57" spans="1:27" s="152" customFormat="1" ht="25.5" customHeight="1">
      <c r="A57" s="50" t="s">
        <v>773</v>
      </c>
      <c r="B57" s="51" t="s">
        <v>974</v>
      </c>
      <c r="C57" s="51" t="s">
        <v>159</v>
      </c>
      <c r="D57" s="51" t="s">
        <v>3485</v>
      </c>
      <c r="E57" s="50">
        <v>1881</v>
      </c>
      <c r="F57" s="50">
        <v>1553</v>
      </c>
      <c r="G57" s="50" t="s">
        <v>3404</v>
      </c>
      <c r="H57" s="50">
        <v>2024</v>
      </c>
      <c r="I57" s="105" t="s">
        <v>3486</v>
      </c>
      <c r="J57" s="50"/>
      <c r="K57" s="50" t="s">
        <v>3426</v>
      </c>
      <c r="L57" s="50"/>
      <c r="M57" s="50" t="s">
        <v>163</v>
      </c>
      <c r="N57" s="50"/>
      <c r="O57" s="50"/>
      <c r="P57" s="50"/>
      <c r="Q57" s="50"/>
      <c r="R57" s="50"/>
      <c r="S57" s="50" t="str">
        <f t="shared" si="11"/>
        <v/>
      </c>
      <c r="T57" s="50" t="str">
        <f t="shared" si="7"/>
        <v/>
      </c>
      <c r="U57" s="50" t="str">
        <f t="shared" si="12"/>
        <v/>
      </c>
      <c r="V57" s="50" t="str">
        <f t="shared" si="13"/>
        <v/>
      </c>
      <c r="W57" s="50"/>
      <c r="X57" s="50"/>
      <c r="Y57" s="50"/>
      <c r="Z57" s="50" t="s">
        <v>3406</v>
      </c>
      <c r="AA57" s="50"/>
    </row>
    <row r="58" spans="1:27" ht="25.5" customHeight="1">
      <c r="A58" s="50" t="s">
        <v>773</v>
      </c>
      <c r="B58" s="51" t="s">
        <v>974</v>
      </c>
      <c r="C58" s="51" t="s">
        <v>159</v>
      </c>
      <c r="D58" s="51" t="s">
        <v>3487</v>
      </c>
      <c r="E58" s="50">
        <v>1666</v>
      </c>
      <c r="F58" s="50">
        <v>1848</v>
      </c>
      <c r="G58" s="50" t="s">
        <v>3404</v>
      </c>
      <c r="H58" s="50">
        <v>2024</v>
      </c>
      <c r="I58" s="105" t="s">
        <v>3486</v>
      </c>
      <c r="J58" s="50"/>
      <c r="K58" s="50" t="s">
        <v>3426</v>
      </c>
      <c r="L58" s="50"/>
      <c r="M58" s="50" t="s">
        <v>163</v>
      </c>
      <c r="N58" s="50"/>
      <c r="O58" s="50"/>
      <c r="P58" s="50"/>
      <c r="Q58" s="50"/>
      <c r="R58" s="50"/>
      <c r="S58" s="50" t="str">
        <f t="shared" si="11"/>
        <v/>
      </c>
      <c r="T58" s="50" t="str">
        <f t="shared" si="7"/>
        <v/>
      </c>
      <c r="U58" s="50" t="str">
        <f t="shared" si="12"/>
        <v/>
      </c>
      <c r="V58" s="50" t="str">
        <f t="shared" si="13"/>
        <v/>
      </c>
      <c r="W58" s="50"/>
      <c r="X58" s="50"/>
      <c r="Y58" s="50"/>
      <c r="Z58" s="50" t="s">
        <v>3406</v>
      </c>
      <c r="AA58" s="50"/>
    </row>
    <row r="59" spans="1:27" ht="25.5" customHeight="1">
      <c r="A59" s="50" t="s">
        <v>773</v>
      </c>
      <c r="B59" s="51" t="s">
        <v>825</v>
      </c>
      <c r="C59" s="51" t="s">
        <v>159</v>
      </c>
      <c r="D59" s="51" t="s">
        <v>3488</v>
      </c>
      <c r="E59" s="50">
        <v>1802</v>
      </c>
      <c r="F59" s="50">
        <v>2148</v>
      </c>
      <c r="G59" s="50" t="s">
        <v>3404</v>
      </c>
      <c r="H59" s="50">
        <v>2024</v>
      </c>
      <c r="I59" s="518">
        <v>45611</v>
      </c>
      <c r="J59" s="50"/>
      <c r="K59" s="50" t="s">
        <v>14</v>
      </c>
      <c r="L59" s="50"/>
      <c r="M59" s="50" t="s">
        <v>163</v>
      </c>
      <c r="N59" s="50"/>
      <c r="O59" s="50"/>
      <c r="P59" s="50"/>
      <c r="Q59" s="50"/>
      <c r="R59" s="50"/>
      <c r="S59" s="50" t="str">
        <f t="shared" si="11"/>
        <v/>
      </c>
      <c r="T59" s="50" t="str">
        <f t="shared" si="7"/>
        <v/>
      </c>
      <c r="U59" s="50" t="str">
        <f t="shared" si="12"/>
        <v/>
      </c>
      <c r="V59" s="50" t="str">
        <f t="shared" si="13"/>
        <v/>
      </c>
      <c r="W59" s="50"/>
      <c r="X59" s="50" t="s">
        <v>4</v>
      </c>
      <c r="Y59" s="50" t="s">
        <v>50</v>
      </c>
      <c r="Z59" s="50" t="s">
        <v>3406</v>
      </c>
      <c r="AA59" s="50"/>
    </row>
    <row r="60" spans="1:27" ht="25.5" customHeight="1">
      <c r="A60" s="50" t="s">
        <v>773</v>
      </c>
      <c r="B60" s="51" t="s">
        <v>825</v>
      </c>
      <c r="C60" s="51" t="s">
        <v>159</v>
      </c>
      <c r="D60" s="51" t="s">
        <v>3489</v>
      </c>
      <c r="E60" s="50">
        <v>909</v>
      </c>
      <c r="F60" s="50">
        <v>996</v>
      </c>
      <c r="G60" s="50" t="s">
        <v>3404</v>
      </c>
      <c r="H60" s="50">
        <v>2024</v>
      </c>
      <c r="I60" s="132">
        <v>45611</v>
      </c>
      <c r="J60" s="50"/>
      <c r="K60" s="50" t="s">
        <v>14</v>
      </c>
      <c r="L60" s="50"/>
      <c r="M60" s="50" t="s">
        <v>163</v>
      </c>
      <c r="N60" s="50"/>
      <c r="O60" s="50"/>
      <c r="P60" s="50"/>
      <c r="Q60" s="50"/>
      <c r="R60" s="50"/>
      <c r="S60" s="50" t="str">
        <f t="shared" si="11"/>
        <v/>
      </c>
      <c r="T60" s="50" t="str">
        <f t="shared" si="7"/>
        <v/>
      </c>
      <c r="U60" s="50" t="str">
        <f t="shared" si="12"/>
        <v/>
      </c>
      <c r="V60" s="50" t="str">
        <f t="shared" si="13"/>
        <v/>
      </c>
      <c r="W60" s="50"/>
      <c r="X60" s="50" t="s">
        <v>4</v>
      </c>
      <c r="Y60" s="50" t="s">
        <v>50</v>
      </c>
      <c r="Z60" s="50" t="s">
        <v>3406</v>
      </c>
      <c r="AA60" s="50"/>
    </row>
    <row r="61" spans="1:27" ht="25.5" customHeight="1">
      <c r="A61" s="50" t="s">
        <v>773</v>
      </c>
      <c r="B61" s="51" t="s">
        <v>825</v>
      </c>
      <c r="C61" s="51" t="s">
        <v>159</v>
      </c>
      <c r="D61" s="51" t="s">
        <v>3490</v>
      </c>
      <c r="E61" s="50">
        <v>3356</v>
      </c>
      <c r="F61" s="50">
        <v>3502</v>
      </c>
      <c r="G61" s="50" t="s">
        <v>3404</v>
      </c>
      <c r="H61" s="50">
        <v>2024</v>
      </c>
      <c r="I61" s="132">
        <v>45610</v>
      </c>
      <c r="J61" s="50"/>
      <c r="K61" s="50" t="s">
        <v>14</v>
      </c>
      <c r="L61" s="50"/>
      <c r="M61" s="50" t="s">
        <v>163</v>
      </c>
      <c r="N61" s="50"/>
      <c r="O61" s="50"/>
      <c r="P61" s="50"/>
      <c r="Q61" s="50"/>
      <c r="R61" s="50"/>
      <c r="S61" s="50" t="str">
        <f t="shared" si="11"/>
        <v/>
      </c>
      <c r="T61" s="50" t="str">
        <f t="shared" si="7"/>
        <v/>
      </c>
      <c r="U61" s="50" t="str">
        <f t="shared" si="12"/>
        <v/>
      </c>
      <c r="V61" s="50" t="str">
        <f t="shared" si="13"/>
        <v/>
      </c>
      <c r="W61" s="50"/>
      <c r="X61" s="50" t="s">
        <v>4</v>
      </c>
      <c r="Y61" s="50" t="s">
        <v>50</v>
      </c>
      <c r="Z61" s="50" t="s">
        <v>3406</v>
      </c>
      <c r="AA61" s="50"/>
    </row>
    <row r="62" spans="1:27" s="152" customFormat="1" ht="25.5" customHeight="1">
      <c r="A62" s="141" t="s">
        <v>773</v>
      </c>
      <c r="B62" s="141" t="s">
        <v>825</v>
      </c>
      <c r="C62" s="51" t="s">
        <v>159</v>
      </c>
      <c r="D62" s="141" t="s">
        <v>1248</v>
      </c>
      <c r="E62" s="141">
        <v>2992</v>
      </c>
      <c r="F62" s="141">
        <v>3502</v>
      </c>
      <c r="G62" s="141" t="s">
        <v>3404</v>
      </c>
      <c r="H62" s="141" t="s">
        <v>3449</v>
      </c>
      <c r="I62" s="470" t="s">
        <v>3491</v>
      </c>
      <c r="J62" s="141" t="s">
        <v>3416</v>
      </c>
      <c r="K62" s="141" t="s">
        <v>14</v>
      </c>
      <c r="L62" s="141"/>
      <c r="M62" s="141" t="s">
        <v>163</v>
      </c>
      <c r="N62" s="141" t="s">
        <v>3492</v>
      </c>
      <c r="O62" s="470" t="s">
        <v>3493</v>
      </c>
      <c r="P62" s="141"/>
      <c r="Q62" s="470" t="s">
        <v>3494</v>
      </c>
      <c r="R62" s="470" t="s">
        <v>3495</v>
      </c>
      <c r="S62" s="50"/>
      <c r="T62" s="50" t="str">
        <f t="shared" si="7"/>
        <v/>
      </c>
      <c r="U62" s="50"/>
      <c r="V62" s="50"/>
      <c r="W62" s="141" t="s">
        <v>150</v>
      </c>
      <c r="X62" s="141" t="s">
        <v>4</v>
      </c>
      <c r="Y62" s="141" t="s">
        <v>50</v>
      </c>
      <c r="Z62" s="141" t="s">
        <v>3406</v>
      </c>
      <c r="AA62" s="141"/>
    </row>
    <row r="63" spans="1:27" ht="25.5" customHeight="1">
      <c r="A63" s="50" t="s">
        <v>773</v>
      </c>
      <c r="B63" s="51" t="s">
        <v>825</v>
      </c>
      <c r="C63" s="51" t="s">
        <v>159</v>
      </c>
      <c r="D63" s="51" t="s">
        <v>3496</v>
      </c>
      <c r="E63" s="50">
        <v>1036</v>
      </c>
      <c r="F63" s="50">
        <v>1064</v>
      </c>
      <c r="G63" s="50" t="s">
        <v>3404</v>
      </c>
      <c r="H63" s="50">
        <v>2024</v>
      </c>
      <c r="I63" s="105" t="s">
        <v>3497</v>
      </c>
      <c r="J63" s="50"/>
      <c r="K63" s="50" t="s">
        <v>14</v>
      </c>
      <c r="L63" s="50"/>
      <c r="M63" s="50" t="s">
        <v>163</v>
      </c>
      <c r="N63" s="50"/>
      <c r="O63" s="50"/>
      <c r="P63" s="50"/>
      <c r="Q63" s="50"/>
      <c r="R63" s="50"/>
      <c r="S63" s="50" t="str">
        <f>IF(
    OR(ISBLANK(I63), ISBLANK(O63)),
    "",
    MAX(1, IF(
        NETWORKDAYS(I63, O63) &lt;= 0,
        1,
        NETWORKDAYS(I63, O63) - IF(I63 = O63, 0, 1)
    ))
)</f>
        <v/>
      </c>
      <c r="T63" s="50" t="str">
        <f t="shared" si="7"/>
        <v/>
      </c>
      <c r="U63" s="50" t="str">
        <f>IF(
    OR(ISBLANK(O63), ISBLANK(Q63)),
    "",
    MAX(1, IF(
        NETWORKDAYS(O63, Q63) &lt;= 0,
        1,
        NETWORKDAYS(O63, Q63) - IF(O63 = Q63, 0, 1)
    ))
)</f>
        <v/>
      </c>
      <c r="V63" s="50" t="str">
        <f>IF(
    OR(ISBLANK(Q63), ISBLANK(R63)),
    "",
    MAX(1, IF(
        NETWORKDAYS(Q63, R63) &lt;= 0,
        1,
        NETWORKDAYS(Q63, R63) - IF(P63 = R63, 0, 1)
    ))
)</f>
        <v/>
      </c>
      <c r="W63" s="50"/>
      <c r="X63" s="50"/>
      <c r="Y63" s="50"/>
      <c r="Z63" s="50"/>
      <c r="AA63" s="50"/>
    </row>
    <row r="64" spans="1:27" s="110" customFormat="1" ht="25.5" customHeight="1">
      <c r="A64" s="517" t="s">
        <v>773</v>
      </c>
      <c r="B64" s="51" t="s">
        <v>825</v>
      </c>
      <c r="C64" s="51" t="s">
        <v>159</v>
      </c>
      <c r="D64" s="54" t="s">
        <v>3498</v>
      </c>
      <c r="E64" s="50">
        <v>404</v>
      </c>
      <c r="F64" s="50">
        <v>414</v>
      </c>
      <c r="G64" s="50" t="s">
        <v>3404</v>
      </c>
      <c r="H64" s="50">
        <v>2025</v>
      </c>
      <c r="I64" s="132">
        <v>45944</v>
      </c>
      <c r="J64" s="50" t="s">
        <v>3128</v>
      </c>
      <c r="K64" s="50" t="s">
        <v>14</v>
      </c>
      <c r="L64" s="50"/>
      <c r="M64" s="50" t="s">
        <v>163</v>
      </c>
      <c r="N64" s="50" t="s">
        <v>3499</v>
      </c>
      <c r="O64" s="60">
        <v>45945</v>
      </c>
      <c r="P64" s="50"/>
      <c r="Q64" s="60">
        <v>45946</v>
      </c>
      <c r="R64" s="60">
        <v>45946</v>
      </c>
      <c r="S64" s="50">
        <f>IF(
    OR(ISBLANK(I64), ISBLANK(O64)),
    "",
    MAX(1, IF(
        NETWORKDAYS(I64, O64) &lt;= 0,
        1,
        NETWORKDAYS(I64, O64) - IF(I64 = O64, 0, 1)
    ))
)</f>
        <v>1</v>
      </c>
      <c r="T64" s="50" t="str">
        <f t="shared" si="7"/>
        <v/>
      </c>
      <c r="U64" s="50">
        <f>IF(
    OR(ISBLANK(O64), ISBLANK(Q64)),
    "",
    MAX(1, IF(
        NETWORKDAYS(O64, Q64) &lt;= 0,
        1,
        NETWORKDAYS(O64, Q64) - IF(O64 = Q64, 0, 1)
    ))
)</f>
        <v>1</v>
      </c>
      <c r="V64" s="50">
        <f>IF(
    OR(ISBLANK(Q64), ISBLANK(R64)),
    "",
    MAX(1, IF(
        NETWORKDAYS(Q64, R64) &lt;= 0,
        1,
        NETWORKDAYS(Q64, R64) - IF(P64 = R64, 0, 1)
    ))
)</f>
        <v>1</v>
      </c>
      <c r="W64" s="50" t="s">
        <v>150</v>
      </c>
      <c r="X64" s="50" t="s">
        <v>1078</v>
      </c>
      <c r="Y64" s="50" t="s">
        <v>50</v>
      </c>
      <c r="Z64" s="50" t="s">
        <v>3406</v>
      </c>
      <c r="AA64" s="50"/>
    </row>
    <row r="65" spans="1:27" ht="25.5" customHeight="1">
      <c r="A65" s="50" t="s">
        <v>773</v>
      </c>
      <c r="B65" s="51" t="s">
        <v>825</v>
      </c>
      <c r="C65" s="51" t="s">
        <v>159</v>
      </c>
      <c r="D65" s="51" t="s">
        <v>3500</v>
      </c>
      <c r="E65" s="50">
        <v>3624</v>
      </c>
      <c r="F65" s="50">
        <v>3814</v>
      </c>
      <c r="G65" s="50" t="s">
        <v>3404</v>
      </c>
      <c r="H65" s="50">
        <v>2024</v>
      </c>
      <c r="I65" s="132">
        <v>45421</v>
      </c>
      <c r="J65" s="50"/>
      <c r="K65" s="50" t="s">
        <v>14</v>
      </c>
      <c r="L65" s="50"/>
      <c r="M65" s="50" t="s">
        <v>163</v>
      </c>
      <c r="N65" s="50"/>
      <c r="O65" s="50"/>
      <c r="P65" s="50"/>
      <c r="Q65" s="50"/>
      <c r="R65" s="50"/>
      <c r="S65" s="50" t="str">
        <f>IF(
    OR(ISBLANK(I65), ISBLANK(O65)),
    "",
    MAX(1, IF(
        NETWORKDAYS(I65, O65) &lt;= 0,
        1,
        NETWORKDAYS(I65, O65) - IF(I65 = O65, 0, 1)
    ))
)</f>
        <v/>
      </c>
      <c r="T65" s="50" t="str">
        <f t="shared" si="7"/>
        <v/>
      </c>
      <c r="U65" s="50" t="str">
        <f>IF(
    OR(ISBLANK(O65), ISBLANK(Q65)),
    "",
    MAX(1, IF(
        NETWORKDAYS(O65, Q65) &lt;= 0,
        1,
        NETWORKDAYS(O65, Q65) - IF(O65 = Q65, 0, 1)
    ))
)</f>
        <v/>
      </c>
      <c r="V65" s="50" t="str">
        <f>IF(
    OR(ISBLANK(Q65), ISBLANK(R65)),
    "",
    MAX(1, IF(
        NETWORKDAYS(Q65, R65) &lt;= 0,
        1,
        NETWORKDAYS(Q65, R65) - IF(P65 = R65, 0, 1)
    ))
)</f>
        <v/>
      </c>
      <c r="W65" s="50"/>
      <c r="X65" s="50"/>
      <c r="Y65" s="50"/>
      <c r="Z65" s="50" t="s">
        <v>3406</v>
      </c>
      <c r="AA65" s="50"/>
    </row>
    <row r="66" spans="1:27" ht="25.5" customHeight="1">
      <c r="A66" s="50" t="s">
        <v>773</v>
      </c>
      <c r="B66" s="51" t="s">
        <v>825</v>
      </c>
      <c r="C66" s="51" t="s">
        <v>159</v>
      </c>
      <c r="D66" s="51" t="s">
        <v>3501</v>
      </c>
      <c r="E66" s="50">
        <v>5075</v>
      </c>
      <c r="F66" s="50">
        <v>5754</v>
      </c>
      <c r="G66" s="50" t="s">
        <v>3404</v>
      </c>
      <c r="H66" s="50">
        <v>2024</v>
      </c>
      <c r="I66" s="132">
        <v>45610</v>
      </c>
      <c r="J66" s="50"/>
      <c r="K66" s="50" t="s">
        <v>14</v>
      </c>
      <c r="L66" s="50"/>
      <c r="M66" s="50" t="s">
        <v>163</v>
      </c>
      <c r="N66" s="50"/>
      <c r="O66" s="50"/>
      <c r="P66" s="50"/>
      <c r="Q66" s="50"/>
      <c r="R66" s="50"/>
      <c r="S66" s="50" t="str">
        <f>IF(
    OR(ISBLANK(I66), ISBLANK(O66)),
    "",
    MAX(1, IF(
        NETWORKDAYS(I66, O66) &lt;= 0,
        1,
        NETWORKDAYS(I66, O66) - IF(I66 = O66, 0, 1)
    ))
)</f>
        <v/>
      </c>
      <c r="T66" s="50" t="str">
        <f t="shared" ref="T66:T97" si="14">IF(
    OR(ISBLANK(P66), ISBLANK(Q66)),
    "",
    MAX(1, IF(
        NETWORKDAYS(P66, Q66) &lt;= 0,
        1,
        NETWORKDAYS(P66, Q66) - IF(P66 = Q66, 0, 1)
    ))
)</f>
        <v/>
      </c>
      <c r="U66" s="50" t="str">
        <f>IF(
    OR(ISBLANK(O66), ISBLANK(Q66)),
    "",
    MAX(1, IF(
        NETWORKDAYS(O66, Q66) &lt;= 0,
        1,
        NETWORKDAYS(O66, Q66) - IF(O66 = Q66, 0, 1)
    ))
)</f>
        <v/>
      </c>
      <c r="V66" s="50" t="str">
        <f>IF(
    OR(ISBLANK(Q66), ISBLANK(R66)),
    "",
    MAX(1, IF(
        NETWORKDAYS(Q66, R66) &lt;= 0,
        1,
        NETWORKDAYS(Q66, R66) - IF(P66 = R66, 0, 1)
    ))
)</f>
        <v/>
      </c>
      <c r="W66" s="50"/>
      <c r="X66" s="50" t="s">
        <v>4</v>
      </c>
      <c r="Y66" s="50" t="s">
        <v>50</v>
      </c>
      <c r="Z66" s="50" t="s">
        <v>3406</v>
      </c>
      <c r="AA66" s="50"/>
    </row>
    <row r="67" spans="1:27" ht="25.5" customHeight="1">
      <c r="A67" s="50" t="s">
        <v>773</v>
      </c>
      <c r="B67" s="51" t="s">
        <v>825</v>
      </c>
      <c r="C67" s="51" t="s">
        <v>159</v>
      </c>
      <c r="D67" s="51" t="s">
        <v>1056</v>
      </c>
      <c r="E67" s="50">
        <v>1084</v>
      </c>
      <c r="F67" s="50">
        <v>1092</v>
      </c>
      <c r="G67" s="50" t="s">
        <v>3404</v>
      </c>
      <c r="H67" s="50">
        <v>2024</v>
      </c>
      <c r="I67" s="105" t="s">
        <v>3405</v>
      </c>
      <c r="J67" s="50"/>
      <c r="K67" s="50" t="s">
        <v>14</v>
      </c>
      <c r="L67" s="50"/>
      <c r="M67" s="50" t="s">
        <v>163</v>
      </c>
      <c r="N67" s="50"/>
      <c r="O67" s="50"/>
      <c r="P67" s="50"/>
      <c r="Q67" s="50"/>
      <c r="R67" s="50"/>
      <c r="S67" s="50" t="str">
        <f>IF(
    OR(ISBLANK(I67), ISBLANK(O67)),
    "",
    MAX(1, IF(
        NETWORKDAYS(I67, O67) &lt;= 0,
        1,
        NETWORKDAYS(I67, O67) - IF(I67 = O67, 0, 1)
    ))
)</f>
        <v/>
      </c>
      <c r="T67" s="50" t="str">
        <f t="shared" si="14"/>
        <v/>
      </c>
      <c r="U67" s="50" t="str">
        <f>IF(
    OR(ISBLANK(O67), ISBLANK(Q67)),
    "",
    MAX(1, IF(
        NETWORKDAYS(O67, Q67) &lt;= 0,
        1,
        NETWORKDAYS(O67, Q67) - IF(O67 = Q67, 0, 1)
    ))
)</f>
        <v/>
      </c>
      <c r="V67" s="50" t="str">
        <f>IF(
    OR(ISBLANK(Q67), ISBLANK(R67)),
    "",
    MAX(1, IF(
        NETWORKDAYS(Q67, R67) &lt;= 0,
        1,
        NETWORKDAYS(Q67, R67) - IF(P67 = R67, 0, 1)
    ))
)</f>
        <v/>
      </c>
      <c r="W67" s="50"/>
      <c r="X67" s="50"/>
      <c r="Y67" s="50"/>
      <c r="Z67" s="50" t="s">
        <v>3406</v>
      </c>
      <c r="AA67" s="50"/>
    </row>
    <row r="68" spans="1:27" s="152" customFormat="1" ht="25.5" customHeight="1">
      <c r="A68" s="141" t="s">
        <v>773</v>
      </c>
      <c r="B68" s="141" t="s">
        <v>825</v>
      </c>
      <c r="C68" s="51" t="s">
        <v>159</v>
      </c>
      <c r="D68" s="141" t="s">
        <v>1819</v>
      </c>
      <c r="E68" s="141">
        <v>820</v>
      </c>
      <c r="F68" s="141">
        <v>1039</v>
      </c>
      <c r="G68" s="141" t="s">
        <v>3404</v>
      </c>
      <c r="H68" s="141" t="s">
        <v>3449</v>
      </c>
      <c r="I68" s="470" t="s">
        <v>3502</v>
      </c>
      <c r="J68" s="141" t="s">
        <v>3416</v>
      </c>
      <c r="K68" s="141" t="s">
        <v>14</v>
      </c>
      <c r="L68" s="141"/>
      <c r="M68" s="141" t="s">
        <v>163</v>
      </c>
      <c r="N68" s="141" t="s">
        <v>3503</v>
      </c>
      <c r="O68" s="470" t="s">
        <v>3504</v>
      </c>
      <c r="P68" s="141"/>
      <c r="Q68" s="470" t="s">
        <v>3505</v>
      </c>
      <c r="R68" s="470" t="s">
        <v>3505</v>
      </c>
      <c r="S68" s="50"/>
      <c r="T68" s="50" t="str">
        <f t="shared" si="14"/>
        <v/>
      </c>
      <c r="U68" s="50"/>
      <c r="V68" s="50"/>
      <c r="W68" s="141" t="s">
        <v>150</v>
      </c>
      <c r="X68" s="141" t="s">
        <v>4</v>
      </c>
      <c r="Y68" s="141" t="s">
        <v>50</v>
      </c>
      <c r="Z68" s="141" t="s">
        <v>3406</v>
      </c>
      <c r="AA68" s="141"/>
    </row>
    <row r="69" spans="1:27" ht="25.5" customHeight="1">
      <c r="A69" s="50" t="s">
        <v>773</v>
      </c>
      <c r="B69" s="51" t="s">
        <v>825</v>
      </c>
      <c r="C69" s="51" t="s">
        <v>159</v>
      </c>
      <c r="D69" s="51" t="s">
        <v>826</v>
      </c>
      <c r="E69" s="50">
        <v>4380</v>
      </c>
      <c r="F69" s="50">
        <v>4553</v>
      </c>
      <c r="G69" s="50" t="s">
        <v>3404</v>
      </c>
      <c r="H69" s="50">
        <v>2024</v>
      </c>
      <c r="I69" s="132">
        <v>45610</v>
      </c>
      <c r="J69" s="50"/>
      <c r="K69" s="50" t="s">
        <v>14</v>
      </c>
      <c r="L69" s="50"/>
      <c r="M69" s="50" t="s">
        <v>163</v>
      </c>
      <c r="N69" s="50"/>
      <c r="O69" s="50"/>
      <c r="P69" s="50"/>
      <c r="Q69" s="50"/>
      <c r="R69" s="50"/>
      <c r="S69" s="50" t="str">
        <f t="shared" ref="S69:S87" si="15">IF(
    OR(ISBLANK(I69), ISBLANK(O69)),
    "",
    MAX(1, IF(
        NETWORKDAYS(I69, O69) &lt;= 0,
        1,
        NETWORKDAYS(I69, O69) - IF(I69 = O69, 0, 1)
    ))
)</f>
        <v/>
      </c>
      <c r="T69" s="50" t="str">
        <f t="shared" si="14"/>
        <v/>
      </c>
      <c r="U69" s="50" t="str">
        <f t="shared" ref="U69:U87" si="16">IF(
    OR(ISBLANK(O69), ISBLANK(Q69)),
    "",
    MAX(1, IF(
        NETWORKDAYS(O69, Q69) &lt;= 0,
        1,
        NETWORKDAYS(O69, Q69) - IF(O69 = Q69, 0, 1)
    ))
)</f>
        <v/>
      </c>
      <c r="V69" s="50" t="str">
        <f t="shared" ref="V69:V87" si="17">IF(
    OR(ISBLANK(Q69), ISBLANK(R69)),
    "",
    MAX(1, IF(
        NETWORKDAYS(Q69, R69) &lt;= 0,
        1,
        NETWORKDAYS(Q69, R69) - IF(P69 = R69, 0, 1)
    ))
)</f>
        <v/>
      </c>
      <c r="W69" s="50"/>
      <c r="X69" s="50" t="s">
        <v>4</v>
      </c>
      <c r="Y69" s="50" t="s">
        <v>50</v>
      </c>
      <c r="Z69" s="50" t="s">
        <v>3406</v>
      </c>
      <c r="AA69" s="50"/>
    </row>
    <row r="70" spans="1:27" ht="25.5" customHeight="1">
      <c r="A70" s="50" t="s">
        <v>773</v>
      </c>
      <c r="B70" s="51" t="s">
        <v>829</v>
      </c>
      <c r="C70" s="51" t="s">
        <v>159</v>
      </c>
      <c r="D70" s="51" t="s">
        <v>3506</v>
      </c>
      <c r="E70" s="50">
        <v>915</v>
      </c>
      <c r="F70" s="50">
        <v>929</v>
      </c>
      <c r="G70" s="50" t="s">
        <v>3404</v>
      </c>
      <c r="H70" s="50">
        <v>2024</v>
      </c>
      <c r="I70" s="132">
        <v>45568</v>
      </c>
      <c r="J70" s="50"/>
      <c r="K70" s="50" t="s">
        <v>172</v>
      </c>
      <c r="L70" s="50"/>
      <c r="M70" s="50" t="s">
        <v>163</v>
      </c>
      <c r="N70" s="50"/>
      <c r="O70" s="50"/>
      <c r="P70" s="50"/>
      <c r="Q70" s="50"/>
      <c r="R70" s="50"/>
      <c r="S70" s="50" t="str">
        <f t="shared" si="15"/>
        <v/>
      </c>
      <c r="T70" s="50" t="str">
        <f t="shared" si="14"/>
        <v/>
      </c>
      <c r="U70" s="50" t="str">
        <f t="shared" si="16"/>
        <v/>
      </c>
      <c r="V70" s="50" t="str">
        <f t="shared" si="17"/>
        <v/>
      </c>
      <c r="W70" s="50"/>
      <c r="X70" s="50" t="s">
        <v>4</v>
      </c>
      <c r="Y70" s="50" t="s">
        <v>50</v>
      </c>
      <c r="Z70" s="50" t="s">
        <v>3406</v>
      </c>
      <c r="AA70" s="50"/>
    </row>
    <row r="71" spans="1:27" ht="25.5" customHeight="1">
      <c r="A71" s="50" t="s">
        <v>773</v>
      </c>
      <c r="B71" s="51" t="s">
        <v>829</v>
      </c>
      <c r="C71" s="51" t="s">
        <v>159</v>
      </c>
      <c r="D71" s="51" t="s">
        <v>3507</v>
      </c>
      <c r="E71" s="50">
        <v>2416</v>
      </c>
      <c r="F71" s="50">
        <v>2756</v>
      </c>
      <c r="G71" s="50" t="s">
        <v>3404</v>
      </c>
      <c r="H71" s="50">
        <v>2024</v>
      </c>
      <c r="I71" s="132">
        <v>45609</v>
      </c>
      <c r="J71" s="50"/>
      <c r="K71" s="50" t="s">
        <v>172</v>
      </c>
      <c r="L71" s="50"/>
      <c r="M71" s="50" t="s">
        <v>163</v>
      </c>
      <c r="N71" s="50"/>
      <c r="O71" s="50"/>
      <c r="P71" s="50"/>
      <c r="Q71" s="50"/>
      <c r="R71" s="50"/>
      <c r="S71" s="50" t="str">
        <f t="shared" si="15"/>
        <v/>
      </c>
      <c r="T71" s="50" t="str">
        <f t="shared" si="14"/>
        <v/>
      </c>
      <c r="U71" s="50" t="str">
        <f t="shared" si="16"/>
        <v/>
      </c>
      <c r="V71" s="50" t="str">
        <f t="shared" si="17"/>
        <v/>
      </c>
      <c r="W71" s="50"/>
      <c r="X71" s="50" t="s">
        <v>4</v>
      </c>
      <c r="Y71" s="50" t="s">
        <v>50</v>
      </c>
      <c r="Z71" s="50"/>
      <c r="AA71" s="50"/>
    </row>
    <row r="72" spans="1:27" ht="25.5" customHeight="1">
      <c r="A72" s="50" t="s">
        <v>773</v>
      </c>
      <c r="B72" s="51" t="s">
        <v>829</v>
      </c>
      <c r="C72" s="51" t="s">
        <v>159</v>
      </c>
      <c r="D72" s="51" t="s">
        <v>3508</v>
      </c>
      <c r="E72" s="50">
        <v>569</v>
      </c>
      <c r="F72" s="50">
        <v>736</v>
      </c>
      <c r="G72" s="50" t="s">
        <v>3404</v>
      </c>
      <c r="H72" s="50">
        <v>2024</v>
      </c>
      <c r="I72" s="132">
        <v>45449</v>
      </c>
      <c r="J72" s="50"/>
      <c r="K72" s="50" t="s">
        <v>172</v>
      </c>
      <c r="L72" s="50"/>
      <c r="M72" s="50" t="s">
        <v>163</v>
      </c>
      <c r="N72" s="50"/>
      <c r="O72" s="50"/>
      <c r="P72" s="50"/>
      <c r="Q72" s="50"/>
      <c r="R72" s="50"/>
      <c r="S72" s="50" t="str">
        <f t="shared" si="15"/>
        <v/>
      </c>
      <c r="T72" s="50" t="str">
        <f t="shared" si="14"/>
        <v/>
      </c>
      <c r="U72" s="50" t="str">
        <f t="shared" si="16"/>
        <v/>
      </c>
      <c r="V72" s="50" t="str">
        <f t="shared" si="17"/>
        <v/>
      </c>
      <c r="W72" s="50"/>
      <c r="X72" s="50"/>
      <c r="Y72" s="50"/>
      <c r="Z72" s="50" t="s">
        <v>3406</v>
      </c>
      <c r="AA72" s="50"/>
    </row>
    <row r="73" spans="1:27" ht="25.5" customHeight="1">
      <c r="A73" s="50" t="s">
        <v>773</v>
      </c>
      <c r="B73" s="51" t="s">
        <v>829</v>
      </c>
      <c r="C73" s="51" t="s">
        <v>159</v>
      </c>
      <c r="D73" s="54" t="s">
        <v>3509</v>
      </c>
      <c r="E73" s="50">
        <v>816</v>
      </c>
      <c r="F73" s="50">
        <v>838</v>
      </c>
      <c r="G73" s="50" t="s">
        <v>3404</v>
      </c>
      <c r="H73" s="50">
        <v>2024</v>
      </c>
      <c r="I73" s="132">
        <v>45608</v>
      </c>
      <c r="J73" s="50"/>
      <c r="K73" s="50" t="s">
        <v>172</v>
      </c>
      <c r="L73" s="50"/>
      <c r="M73" s="50" t="s">
        <v>163</v>
      </c>
      <c r="N73" s="50"/>
      <c r="O73" s="50"/>
      <c r="P73" s="50"/>
      <c r="Q73" s="50"/>
      <c r="R73" s="50"/>
      <c r="S73" s="50" t="str">
        <f t="shared" si="15"/>
        <v/>
      </c>
      <c r="T73" s="50" t="str">
        <f t="shared" si="14"/>
        <v/>
      </c>
      <c r="U73" s="50" t="str">
        <f t="shared" si="16"/>
        <v/>
      </c>
      <c r="V73" s="50" t="str">
        <f t="shared" si="17"/>
        <v/>
      </c>
      <c r="W73" s="50"/>
      <c r="X73" s="50" t="s">
        <v>4</v>
      </c>
      <c r="Y73" s="50" t="s">
        <v>50</v>
      </c>
      <c r="Z73" s="50" t="s">
        <v>3406</v>
      </c>
      <c r="AA73" s="50"/>
    </row>
    <row r="74" spans="1:27" ht="25.5" customHeight="1">
      <c r="A74" s="50" t="s">
        <v>773</v>
      </c>
      <c r="B74" s="51" t="s">
        <v>829</v>
      </c>
      <c r="C74" s="51" t="s">
        <v>159</v>
      </c>
      <c r="D74" s="51" t="s">
        <v>3510</v>
      </c>
      <c r="E74" s="50">
        <v>722</v>
      </c>
      <c r="F74" s="50">
        <v>780</v>
      </c>
      <c r="G74" s="50" t="s">
        <v>3404</v>
      </c>
      <c r="H74" s="50">
        <v>2024</v>
      </c>
      <c r="I74" s="132">
        <v>45608</v>
      </c>
      <c r="J74" s="50"/>
      <c r="K74" s="50" t="s">
        <v>172</v>
      </c>
      <c r="L74" s="50"/>
      <c r="M74" s="50" t="s">
        <v>163</v>
      </c>
      <c r="N74" s="50"/>
      <c r="O74" s="50"/>
      <c r="P74" s="50"/>
      <c r="Q74" s="50"/>
      <c r="R74" s="50"/>
      <c r="S74" s="50" t="str">
        <f t="shared" si="15"/>
        <v/>
      </c>
      <c r="T74" s="50" t="str">
        <f t="shared" si="14"/>
        <v/>
      </c>
      <c r="U74" s="50" t="str">
        <f t="shared" si="16"/>
        <v/>
      </c>
      <c r="V74" s="50" t="str">
        <f t="shared" si="17"/>
        <v/>
      </c>
      <c r="W74" s="50"/>
      <c r="X74" s="50" t="s">
        <v>4</v>
      </c>
      <c r="Y74" s="50" t="s">
        <v>50</v>
      </c>
      <c r="Z74" s="50"/>
      <c r="AA74" s="50"/>
    </row>
    <row r="75" spans="1:27" ht="25.5" customHeight="1">
      <c r="A75" s="50" t="s">
        <v>773</v>
      </c>
      <c r="B75" s="51" t="s">
        <v>829</v>
      </c>
      <c r="C75" s="51" t="s">
        <v>159</v>
      </c>
      <c r="D75" s="51" t="s">
        <v>3511</v>
      </c>
      <c r="E75" s="50">
        <v>1730</v>
      </c>
      <c r="F75" s="50">
        <v>1801</v>
      </c>
      <c r="G75" s="50" t="s">
        <v>3404</v>
      </c>
      <c r="H75" s="50">
        <v>2024</v>
      </c>
      <c r="I75" s="132">
        <v>45609</v>
      </c>
      <c r="J75" s="50"/>
      <c r="K75" s="50" t="s">
        <v>172</v>
      </c>
      <c r="L75" s="50"/>
      <c r="M75" s="50" t="s">
        <v>163</v>
      </c>
      <c r="N75" s="50"/>
      <c r="O75" s="50"/>
      <c r="P75" s="50"/>
      <c r="Q75" s="50"/>
      <c r="R75" s="50"/>
      <c r="S75" s="50" t="str">
        <f t="shared" si="15"/>
        <v/>
      </c>
      <c r="T75" s="50" t="str">
        <f t="shared" si="14"/>
        <v/>
      </c>
      <c r="U75" s="50" t="str">
        <f t="shared" si="16"/>
        <v/>
      </c>
      <c r="V75" s="50" t="str">
        <f t="shared" si="17"/>
        <v/>
      </c>
      <c r="W75" s="50"/>
      <c r="X75" s="50" t="s">
        <v>4</v>
      </c>
      <c r="Y75" s="50" t="s">
        <v>50</v>
      </c>
      <c r="Z75" s="50"/>
      <c r="AA75" s="50"/>
    </row>
    <row r="76" spans="1:27" ht="25.5" customHeight="1">
      <c r="A76" s="50" t="s">
        <v>773</v>
      </c>
      <c r="B76" s="51" t="s">
        <v>829</v>
      </c>
      <c r="C76" s="51" t="s">
        <v>159</v>
      </c>
      <c r="D76" s="51" t="s">
        <v>3512</v>
      </c>
      <c r="E76" s="50">
        <v>860</v>
      </c>
      <c r="F76" s="50">
        <v>878</v>
      </c>
      <c r="G76" s="50" t="s">
        <v>3404</v>
      </c>
      <c r="H76" s="50">
        <v>2024</v>
      </c>
      <c r="I76" s="132">
        <v>45519</v>
      </c>
      <c r="J76" s="50"/>
      <c r="K76" s="50" t="s">
        <v>172</v>
      </c>
      <c r="L76" s="50"/>
      <c r="M76" s="50" t="s">
        <v>163</v>
      </c>
      <c r="N76" s="50"/>
      <c r="O76" s="50"/>
      <c r="P76" s="50"/>
      <c r="Q76" s="50"/>
      <c r="R76" s="50"/>
      <c r="S76" s="50" t="str">
        <f t="shared" si="15"/>
        <v/>
      </c>
      <c r="T76" s="50" t="str">
        <f t="shared" si="14"/>
        <v/>
      </c>
      <c r="U76" s="50" t="str">
        <f t="shared" si="16"/>
        <v/>
      </c>
      <c r="V76" s="50" t="str">
        <f t="shared" si="17"/>
        <v/>
      </c>
      <c r="W76" s="50"/>
      <c r="X76" s="50" t="s">
        <v>4</v>
      </c>
      <c r="Y76" s="50" t="s">
        <v>50</v>
      </c>
      <c r="Z76" s="50" t="s">
        <v>3406</v>
      </c>
      <c r="AA76" s="50"/>
    </row>
    <row r="77" spans="1:27" ht="25.5" customHeight="1">
      <c r="A77" s="50" t="s">
        <v>773</v>
      </c>
      <c r="B77" s="51" t="s">
        <v>829</v>
      </c>
      <c r="C77" s="51" t="s">
        <v>159</v>
      </c>
      <c r="D77" s="54" t="s">
        <v>3513</v>
      </c>
      <c r="E77" s="50">
        <v>1195</v>
      </c>
      <c r="F77" s="50">
        <v>1378</v>
      </c>
      <c r="G77" s="50" t="s">
        <v>3404</v>
      </c>
      <c r="H77" s="50">
        <v>2024</v>
      </c>
      <c r="I77" s="132">
        <v>45520</v>
      </c>
      <c r="J77" s="50"/>
      <c r="K77" s="50" t="s">
        <v>172</v>
      </c>
      <c r="L77" s="50"/>
      <c r="M77" s="50" t="s">
        <v>163</v>
      </c>
      <c r="N77" s="50"/>
      <c r="O77" s="50"/>
      <c r="P77" s="50"/>
      <c r="Q77" s="50"/>
      <c r="R77" s="50"/>
      <c r="S77" s="50" t="str">
        <f t="shared" si="15"/>
        <v/>
      </c>
      <c r="T77" s="50" t="str">
        <f t="shared" si="14"/>
        <v/>
      </c>
      <c r="U77" s="50" t="str">
        <f t="shared" si="16"/>
        <v/>
      </c>
      <c r="V77" s="50" t="str">
        <f t="shared" si="17"/>
        <v/>
      </c>
      <c r="W77" s="50"/>
      <c r="X77" s="50" t="s">
        <v>4</v>
      </c>
      <c r="Y77" s="50" t="s">
        <v>50</v>
      </c>
      <c r="Z77" s="50" t="s">
        <v>3406</v>
      </c>
      <c r="AA77" s="50"/>
    </row>
    <row r="78" spans="1:27" ht="25.5" customHeight="1">
      <c r="A78" s="50" t="s">
        <v>773</v>
      </c>
      <c r="B78" s="51" t="s">
        <v>829</v>
      </c>
      <c r="C78" s="51" t="s">
        <v>159</v>
      </c>
      <c r="D78" s="51" t="s">
        <v>833</v>
      </c>
      <c r="E78" s="50">
        <v>3733</v>
      </c>
      <c r="F78" s="50">
        <v>4344</v>
      </c>
      <c r="G78" s="50" t="s">
        <v>3404</v>
      </c>
      <c r="H78" s="50">
        <v>2024</v>
      </c>
      <c r="I78" s="132">
        <v>45520</v>
      </c>
      <c r="J78" s="50"/>
      <c r="K78" s="50" t="s">
        <v>172</v>
      </c>
      <c r="L78" s="50"/>
      <c r="M78" s="50" t="s">
        <v>163</v>
      </c>
      <c r="N78" s="50"/>
      <c r="O78" s="50"/>
      <c r="P78" s="50"/>
      <c r="Q78" s="50"/>
      <c r="R78" s="50"/>
      <c r="S78" s="50" t="str">
        <f t="shared" si="15"/>
        <v/>
      </c>
      <c r="T78" s="50" t="str">
        <f t="shared" si="14"/>
        <v/>
      </c>
      <c r="U78" s="50" t="str">
        <f t="shared" si="16"/>
        <v/>
      </c>
      <c r="V78" s="50" t="str">
        <f t="shared" si="17"/>
        <v/>
      </c>
      <c r="W78" s="50"/>
      <c r="X78" s="50" t="s">
        <v>4</v>
      </c>
      <c r="Y78" s="50" t="s">
        <v>50</v>
      </c>
      <c r="Z78" s="50" t="s">
        <v>3406</v>
      </c>
      <c r="AA78" s="50"/>
    </row>
    <row r="79" spans="1:27" ht="25.5" customHeight="1">
      <c r="A79" s="50" t="s">
        <v>773</v>
      </c>
      <c r="B79" s="51" t="s">
        <v>829</v>
      </c>
      <c r="C79" s="51" t="s">
        <v>159</v>
      </c>
      <c r="D79" s="51" t="s">
        <v>3514</v>
      </c>
      <c r="E79" s="50">
        <v>1398</v>
      </c>
      <c r="F79" s="50">
        <v>1651</v>
      </c>
      <c r="G79" s="50" t="s">
        <v>3404</v>
      </c>
      <c r="H79" s="50">
        <v>2024</v>
      </c>
      <c r="I79" s="132">
        <v>45519</v>
      </c>
      <c r="J79" s="50"/>
      <c r="K79" s="50" t="s">
        <v>172</v>
      </c>
      <c r="L79" s="50"/>
      <c r="M79" s="50" t="s">
        <v>163</v>
      </c>
      <c r="N79" s="50"/>
      <c r="O79" s="50"/>
      <c r="P79" s="50"/>
      <c r="Q79" s="50"/>
      <c r="R79" s="50"/>
      <c r="S79" s="50" t="str">
        <f t="shared" si="15"/>
        <v/>
      </c>
      <c r="T79" s="50" t="str">
        <f t="shared" si="14"/>
        <v/>
      </c>
      <c r="U79" s="50" t="str">
        <f t="shared" si="16"/>
        <v/>
      </c>
      <c r="V79" s="50" t="str">
        <f t="shared" si="17"/>
        <v/>
      </c>
      <c r="W79" s="50"/>
      <c r="X79" s="50" t="s">
        <v>1078</v>
      </c>
      <c r="Y79" s="50" t="s">
        <v>50</v>
      </c>
      <c r="Z79" s="50" t="s">
        <v>3406</v>
      </c>
      <c r="AA79" s="50"/>
    </row>
    <row r="80" spans="1:27" ht="25.5" customHeight="1">
      <c r="A80" s="50" t="s">
        <v>773</v>
      </c>
      <c r="B80" s="51" t="s">
        <v>829</v>
      </c>
      <c r="C80" s="51" t="s">
        <v>159</v>
      </c>
      <c r="D80" s="51" t="s">
        <v>835</v>
      </c>
      <c r="E80" s="50">
        <v>1037</v>
      </c>
      <c r="F80" s="50">
        <v>1114</v>
      </c>
      <c r="G80" s="50" t="s">
        <v>3404</v>
      </c>
      <c r="H80" s="50">
        <v>2024</v>
      </c>
      <c r="I80" s="132">
        <v>45512</v>
      </c>
      <c r="J80" s="50"/>
      <c r="K80" s="50" t="s">
        <v>172</v>
      </c>
      <c r="L80" s="50"/>
      <c r="M80" s="50" t="s">
        <v>163</v>
      </c>
      <c r="N80" s="50"/>
      <c r="O80" s="50"/>
      <c r="P80" s="50"/>
      <c r="Q80" s="50"/>
      <c r="R80" s="50"/>
      <c r="S80" s="50" t="str">
        <f t="shared" si="15"/>
        <v/>
      </c>
      <c r="T80" s="50" t="str">
        <f t="shared" si="14"/>
        <v/>
      </c>
      <c r="U80" s="50" t="str">
        <f t="shared" si="16"/>
        <v/>
      </c>
      <c r="V80" s="50" t="str">
        <f t="shared" si="17"/>
        <v/>
      </c>
      <c r="W80" s="50"/>
      <c r="X80" s="50" t="s">
        <v>4</v>
      </c>
      <c r="Y80" s="50" t="s">
        <v>50</v>
      </c>
      <c r="Z80" s="50" t="s">
        <v>3406</v>
      </c>
      <c r="AA80" s="50"/>
    </row>
    <row r="81" spans="1:27" ht="25.5" customHeight="1">
      <c r="A81" s="50" t="s">
        <v>773</v>
      </c>
      <c r="B81" s="51" t="s">
        <v>829</v>
      </c>
      <c r="C81" s="51" t="s">
        <v>159</v>
      </c>
      <c r="D81" s="51" t="s">
        <v>3515</v>
      </c>
      <c r="E81" s="50">
        <v>1154</v>
      </c>
      <c r="F81" s="50">
        <v>1272</v>
      </c>
      <c r="G81" s="50" t="s">
        <v>3404</v>
      </c>
      <c r="H81" s="50">
        <v>2024</v>
      </c>
      <c r="I81" s="105" t="s">
        <v>3516</v>
      </c>
      <c r="J81" s="50"/>
      <c r="K81" s="50" t="s">
        <v>172</v>
      </c>
      <c r="L81" s="50"/>
      <c r="M81" s="50" t="s">
        <v>163</v>
      </c>
      <c r="N81" s="50"/>
      <c r="O81" s="50"/>
      <c r="P81" s="50"/>
      <c r="Q81" s="50"/>
      <c r="R81" s="50"/>
      <c r="S81" s="50" t="str">
        <f t="shared" si="15"/>
        <v/>
      </c>
      <c r="T81" s="50" t="str">
        <f t="shared" si="14"/>
        <v/>
      </c>
      <c r="U81" s="50" t="str">
        <f t="shared" si="16"/>
        <v/>
      </c>
      <c r="V81" s="50" t="str">
        <f t="shared" si="17"/>
        <v/>
      </c>
      <c r="W81" s="50"/>
      <c r="X81" s="50"/>
      <c r="Y81" s="50"/>
      <c r="Z81" s="50"/>
      <c r="AA81" s="50"/>
    </row>
    <row r="82" spans="1:27" ht="25.5" customHeight="1">
      <c r="A82" s="50" t="s">
        <v>773</v>
      </c>
      <c r="B82" s="51" t="s">
        <v>829</v>
      </c>
      <c r="C82" s="51" t="s">
        <v>159</v>
      </c>
      <c r="D82" s="51" t="s">
        <v>3517</v>
      </c>
      <c r="E82" s="50">
        <v>454</v>
      </c>
      <c r="F82" s="50">
        <v>515</v>
      </c>
      <c r="G82" s="50" t="s">
        <v>3404</v>
      </c>
      <c r="H82" s="50">
        <v>2024</v>
      </c>
      <c r="I82" s="132">
        <v>45568</v>
      </c>
      <c r="J82" s="50"/>
      <c r="K82" s="50" t="s">
        <v>172</v>
      </c>
      <c r="L82" s="50"/>
      <c r="M82" s="50" t="s">
        <v>163</v>
      </c>
      <c r="N82" s="50"/>
      <c r="O82" s="50"/>
      <c r="P82" s="50"/>
      <c r="Q82" s="50"/>
      <c r="R82" s="50"/>
      <c r="S82" s="50" t="str">
        <f t="shared" si="15"/>
        <v/>
      </c>
      <c r="T82" s="50" t="str">
        <f t="shared" si="14"/>
        <v/>
      </c>
      <c r="U82" s="50" t="str">
        <f t="shared" si="16"/>
        <v/>
      </c>
      <c r="V82" s="50" t="str">
        <f t="shared" si="17"/>
        <v/>
      </c>
      <c r="W82" s="50"/>
      <c r="X82" s="50" t="s">
        <v>4</v>
      </c>
      <c r="Y82" s="50" t="s">
        <v>50</v>
      </c>
      <c r="Z82" s="50" t="s">
        <v>3406</v>
      </c>
      <c r="AA82" s="50"/>
    </row>
    <row r="83" spans="1:27" ht="25.5" customHeight="1">
      <c r="A83" s="50" t="s">
        <v>773</v>
      </c>
      <c r="B83" s="51" t="s">
        <v>829</v>
      </c>
      <c r="C83" s="51" t="s">
        <v>159</v>
      </c>
      <c r="D83" s="51" t="s">
        <v>3518</v>
      </c>
      <c r="E83" s="50">
        <v>968</v>
      </c>
      <c r="F83" s="50">
        <v>1073</v>
      </c>
      <c r="G83" s="50" t="s">
        <v>3404</v>
      </c>
      <c r="H83" s="50">
        <v>2024</v>
      </c>
      <c r="I83" s="132">
        <v>45552</v>
      </c>
      <c r="J83" s="50"/>
      <c r="K83" s="50" t="s">
        <v>172</v>
      </c>
      <c r="L83" s="50"/>
      <c r="M83" s="50" t="s">
        <v>163</v>
      </c>
      <c r="N83" s="50"/>
      <c r="O83" s="50"/>
      <c r="P83" s="50"/>
      <c r="Q83" s="50"/>
      <c r="R83" s="50"/>
      <c r="S83" s="50" t="str">
        <f t="shared" si="15"/>
        <v/>
      </c>
      <c r="T83" s="50" t="str">
        <f t="shared" si="14"/>
        <v/>
      </c>
      <c r="U83" s="50" t="str">
        <f t="shared" si="16"/>
        <v/>
      </c>
      <c r="V83" s="50" t="str">
        <f t="shared" si="17"/>
        <v/>
      </c>
      <c r="W83" s="50"/>
      <c r="X83" s="50" t="s">
        <v>4</v>
      </c>
      <c r="Y83" s="50" t="s">
        <v>50</v>
      </c>
      <c r="Z83" s="50" t="s">
        <v>3406</v>
      </c>
      <c r="AA83" s="50"/>
    </row>
    <row r="84" spans="1:27" ht="25.5" customHeight="1">
      <c r="A84" s="50" t="s">
        <v>773</v>
      </c>
      <c r="B84" s="51" t="s">
        <v>829</v>
      </c>
      <c r="C84" s="51" t="s">
        <v>159</v>
      </c>
      <c r="D84" s="51" t="s">
        <v>3519</v>
      </c>
      <c r="E84" s="50">
        <v>580</v>
      </c>
      <c r="F84" s="50">
        <v>622</v>
      </c>
      <c r="G84" s="50" t="s">
        <v>3404</v>
      </c>
      <c r="H84" s="50">
        <v>2024</v>
      </c>
      <c r="I84" s="132">
        <v>45575</v>
      </c>
      <c r="J84" s="50"/>
      <c r="K84" s="50" t="s">
        <v>172</v>
      </c>
      <c r="L84" s="50"/>
      <c r="M84" s="50" t="s">
        <v>163</v>
      </c>
      <c r="N84" s="50"/>
      <c r="O84" s="50"/>
      <c r="P84" s="50"/>
      <c r="Q84" s="50"/>
      <c r="R84" s="50"/>
      <c r="S84" s="50" t="str">
        <f t="shared" si="15"/>
        <v/>
      </c>
      <c r="T84" s="50" t="str">
        <f t="shared" si="14"/>
        <v/>
      </c>
      <c r="U84" s="50" t="str">
        <f t="shared" si="16"/>
        <v/>
      </c>
      <c r="V84" s="50" t="str">
        <f t="shared" si="17"/>
        <v/>
      </c>
      <c r="W84" s="50"/>
      <c r="X84" s="50" t="s">
        <v>4</v>
      </c>
      <c r="Y84" s="50" t="s">
        <v>50</v>
      </c>
      <c r="Z84" s="50" t="s">
        <v>3406</v>
      </c>
      <c r="AA84" s="50"/>
    </row>
    <row r="85" spans="1:27" ht="25.5" customHeight="1">
      <c r="A85" s="50" t="s">
        <v>773</v>
      </c>
      <c r="B85" s="51" t="s">
        <v>829</v>
      </c>
      <c r="C85" s="51" t="s">
        <v>159</v>
      </c>
      <c r="D85" s="51" t="s">
        <v>1245</v>
      </c>
      <c r="E85" s="50">
        <v>665</v>
      </c>
      <c r="F85" s="50">
        <v>822</v>
      </c>
      <c r="G85" s="50" t="s">
        <v>3404</v>
      </c>
      <c r="H85" s="50">
        <v>2024</v>
      </c>
      <c r="I85" s="132">
        <v>45552</v>
      </c>
      <c r="J85" s="50"/>
      <c r="K85" s="50" t="s">
        <v>172</v>
      </c>
      <c r="L85" s="50"/>
      <c r="M85" s="50" t="s">
        <v>163</v>
      </c>
      <c r="N85" s="50"/>
      <c r="O85" s="50"/>
      <c r="P85" s="50"/>
      <c r="Q85" s="50"/>
      <c r="R85" s="50"/>
      <c r="S85" s="50" t="str">
        <f t="shared" si="15"/>
        <v/>
      </c>
      <c r="T85" s="50" t="str">
        <f t="shared" si="14"/>
        <v/>
      </c>
      <c r="U85" s="50" t="str">
        <f t="shared" si="16"/>
        <v/>
      </c>
      <c r="V85" s="50" t="str">
        <f t="shared" si="17"/>
        <v/>
      </c>
      <c r="W85" s="50"/>
      <c r="X85" s="50" t="s">
        <v>4</v>
      </c>
      <c r="Y85" s="50" t="s">
        <v>50</v>
      </c>
      <c r="Z85" s="50" t="s">
        <v>3406</v>
      </c>
      <c r="AA85" s="50"/>
    </row>
    <row r="86" spans="1:27" ht="25.5" customHeight="1">
      <c r="A86" s="50" t="s">
        <v>773</v>
      </c>
      <c r="B86" s="51" t="s">
        <v>829</v>
      </c>
      <c r="C86" s="51" t="s">
        <v>159</v>
      </c>
      <c r="D86" s="51" t="s">
        <v>3520</v>
      </c>
      <c r="E86" s="50">
        <v>1134</v>
      </c>
      <c r="F86" s="50">
        <v>1240</v>
      </c>
      <c r="G86" s="50" t="s">
        <v>3404</v>
      </c>
      <c r="H86" s="50">
        <v>2024</v>
      </c>
      <c r="I86" s="132">
        <v>45516</v>
      </c>
      <c r="J86" s="50"/>
      <c r="K86" s="50" t="s">
        <v>172</v>
      </c>
      <c r="L86" s="50"/>
      <c r="M86" s="50" t="s">
        <v>163</v>
      </c>
      <c r="N86" s="50"/>
      <c r="O86" s="50"/>
      <c r="P86" s="50"/>
      <c r="Q86" s="50"/>
      <c r="R86" s="50"/>
      <c r="S86" s="50" t="str">
        <f t="shared" si="15"/>
        <v/>
      </c>
      <c r="T86" s="50" t="str">
        <f t="shared" si="14"/>
        <v/>
      </c>
      <c r="U86" s="50" t="str">
        <f t="shared" si="16"/>
        <v/>
      </c>
      <c r="V86" s="50" t="str">
        <f t="shared" si="17"/>
        <v/>
      </c>
      <c r="W86" s="50"/>
      <c r="X86" s="50" t="s">
        <v>4</v>
      </c>
      <c r="Y86" s="50" t="s">
        <v>50</v>
      </c>
      <c r="Z86" s="50" t="s">
        <v>3406</v>
      </c>
      <c r="AA86" s="50"/>
    </row>
    <row r="87" spans="1:27" ht="25.5" customHeight="1">
      <c r="A87" s="50" t="s">
        <v>773</v>
      </c>
      <c r="B87" s="51" t="s">
        <v>829</v>
      </c>
      <c r="C87" s="51" t="s">
        <v>159</v>
      </c>
      <c r="D87" s="51" t="s">
        <v>3521</v>
      </c>
      <c r="E87" s="50">
        <v>1479</v>
      </c>
      <c r="F87" s="50">
        <v>1497</v>
      </c>
      <c r="G87" s="50" t="s">
        <v>3404</v>
      </c>
      <c r="H87" s="50">
        <v>2024</v>
      </c>
      <c r="I87" s="132">
        <v>45546</v>
      </c>
      <c r="J87" s="50"/>
      <c r="K87" s="50" t="s">
        <v>172</v>
      </c>
      <c r="L87" s="50"/>
      <c r="M87" s="50" t="s">
        <v>163</v>
      </c>
      <c r="N87" s="50"/>
      <c r="O87" s="50"/>
      <c r="P87" s="50"/>
      <c r="Q87" s="50"/>
      <c r="R87" s="50"/>
      <c r="S87" s="50" t="str">
        <f t="shared" si="15"/>
        <v/>
      </c>
      <c r="T87" s="50" t="str">
        <f t="shared" si="14"/>
        <v/>
      </c>
      <c r="U87" s="50" t="str">
        <f t="shared" si="16"/>
        <v/>
      </c>
      <c r="V87" s="50" t="str">
        <f t="shared" si="17"/>
        <v/>
      </c>
      <c r="W87" s="50"/>
      <c r="X87" s="50" t="s">
        <v>4</v>
      </c>
      <c r="Y87" s="50" t="s">
        <v>50</v>
      </c>
      <c r="Z87" s="50" t="s">
        <v>3406</v>
      </c>
      <c r="AA87" s="50"/>
    </row>
    <row r="88" spans="1:27" s="152" customFormat="1" ht="25.5" customHeight="1">
      <c r="A88" s="141" t="s">
        <v>773</v>
      </c>
      <c r="B88" s="141" t="s">
        <v>829</v>
      </c>
      <c r="C88" s="51" t="s">
        <v>159</v>
      </c>
      <c r="D88" s="141" t="s">
        <v>947</v>
      </c>
      <c r="E88" s="141">
        <v>2059</v>
      </c>
      <c r="F88" s="141">
        <v>2181</v>
      </c>
      <c r="G88" s="141" t="s">
        <v>3404</v>
      </c>
      <c r="H88" s="141" t="s">
        <v>3449</v>
      </c>
      <c r="I88" s="470" t="s">
        <v>3522</v>
      </c>
      <c r="J88" s="141" t="s">
        <v>3416</v>
      </c>
      <c r="K88" s="141" t="s">
        <v>172</v>
      </c>
      <c r="L88" s="141"/>
      <c r="M88" s="141" t="s">
        <v>163</v>
      </c>
      <c r="N88" s="141" t="s">
        <v>3523</v>
      </c>
      <c r="O88" s="470" t="s">
        <v>3524</v>
      </c>
      <c r="P88" s="141"/>
      <c r="Q88" s="470" t="s">
        <v>3525</v>
      </c>
      <c r="R88" s="470" t="s">
        <v>3526</v>
      </c>
      <c r="S88" s="50"/>
      <c r="T88" s="50" t="str">
        <f t="shared" si="14"/>
        <v/>
      </c>
      <c r="U88" s="50"/>
      <c r="V88" s="50"/>
      <c r="W88" s="141" t="s">
        <v>150</v>
      </c>
      <c r="X88" s="141" t="s">
        <v>3527</v>
      </c>
      <c r="Y88" s="50" t="s">
        <v>3528</v>
      </c>
      <c r="Z88" s="141" t="s">
        <v>3406</v>
      </c>
      <c r="AA88" s="141"/>
    </row>
    <row r="89" spans="1:27" ht="25.5" customHeight="1">
      <c r="A89" s="50" t="s">
        <v>773</v>
      </c>
      <c r="B89" s="51" t="s">
        <v>829</v>
      </c>
      <c r="C89" s="51" t="s">
        <v>159</v>
      </c>
      <c r="D89" s="51" t="s">
        <v>3529</v>
      </c>
      <c r="E89" s="50">
        <v>1430</v>
      </c>
      <c r="F89" s="50">
        <v>1789</v>
      </c>
      <c r="G89" s="50" t="s">
        <v>3404</v>
      </c>
      <c r="H89" s="50">
        <v>2024</v>
      </c>
      <c r="I89" s="132">
        <v>45450</v>
      </c>
      <c r="J89" s="50"/>
      <c r="K89" s="50" t="s">
        <v>172</v>
      </c>
      <c r="L89" s="50"/>
      <c r="M89" s="50" t="s">
        <v>163</v>
      </c>
      <c r="N89" s="50"/>
      <c r="O89" s="50"/>
      <c r="P89" s="50"/>
      <c r="Q89" s="50"/>
      <c r="R89" s="50"/>
      <c r="S89" s="50" t="str">
        <f t="shared" ref="S89:S134" si="18">IF(
    OR(ISBLANK(I89), ISBLANK(O89)),
    "",
    MAX(1, IF(
        NETWORKDAYS(I89, O89) &lt;= 0,
        1,
        NETWORKDAYS(I89, O89) - IF(I89 = O89, 0, 1)
    ))
)</f>
        <v/>
      </c>
      <c r="T89" s="50" t="str">
        <f t="shared" si="14"/>
        <v/>
      </c>
      <c r="U89" s="50" t="str">
        <f t="shared" ref="U89:U134" si="19">IF(
    OR(ISBLANK(O89), ISBLANK(Q89)),
    "",
    MAX(1, IF(
        NETWORKDAYS(O89, Q89) &lt;= 0,
        1,
        NETWORKDAYS(O89, Q89) - IF(O89 = Q89, 0, 1)
    ))
)</f>
        <v/>
      </c>
      <c r="V89" s="50" t="str">
        <f t="shared" ref="V89:V134" si="20">IF(
    OR(ISBLANK(Q89), ISBLANK(R89)),
    "",
    MAX(1, IF(
        NETWORKDAYS(Q89, R89) &lt;= 0,
        1,
        NETWORKDAYS(Q89, R89) - IF(P89 = R89, 0, 1)
    ))
)</f>
        <v/>
      </c>
      <c r="W89" s="50"/>
      <c r="X89" s="50" t="s">
        <v>4</v>
      </c>
      <c r="Y89" s="50"/>
      <c r="Z89" s="50" t="s">
        <v>3406</v>
      </c>
      <c r="AA89" s="50"/>
    </row>
    <row r="90" spans="1:27" ht="25.5" customHeight="1">
      <c r="A90" s="50" t="s">
        <v>773</v>
      </c>
      <c r="B90" s="51" t="s">
        <v>829</v>
      </c>
      <c r="C90" s="51" t="s">
        <v>159</v>
      </c>
      <c r="D90" s="51" t="s">
        <v>3530</v>
      </c>
      <c r="E90" s="50">
        <v>1417</v>
      </c>
      <c r="F90" s="50">
        <v>1440</v>
      </c>
      <c r="G90" s="50" t="s">
        <v>3404</v>
      </c>
      <c r="H90" s="50">
        <v>2024</v>
      </c>
      <c r="I90" s="132">
        <v>45604</v>
      </c>
      <c r="J90" s="50"/>
      <c r="K90" s="50" t="s">
        <v>172</v>
      </c>
      <c r="L90" s="50"/>
      <c r="M90" s="50" t="s">
        <v>163</v>
      </c>
      <c r="N90" s="50"/>
      <c r="O90" s="50"/>
      <c r="P90" s="50"/>
      <c r="Q90" s="50"/>
      <c r="R90" s="50"/>
      <c r="S90" s="50" t="str">
        <f t="shared" si="18"/>
        <v/>
      </c>
      <c r="T90" s="50" t="str">
        <f t="shared" si="14"/>
        <v/>
      </c>
      <c r="U90" s="50" t="str">
        <f t="shared" si="19"/>
        <v/>
      </c>
      <c r="V90" s="50" t="str">
        <f t="shared" si="20"/>
        <v/>
      </c>
      <c r="W90" s="50"/>
      <c r="X90" s="50" t="s">
        <v>4</v>
      </c>
      <c r="Y90" s="50"/>
      <c r="Z90" s="50" t="s">
        <v>3406</v>
      </c>
      <c r="AA90" s="50"/>
    </row>
    <row r="91" spans="1:27" s="110" customFormat="1" ht="25.5" customHeight="1">
      <c r="A91" s="517" t="s">
        <v>773</v>
      </c>
      <c r="B91" s="51" t="s">
        <v>829</v>
      </c>
      <c r="C91" s="51" t="s">
        <v>159</v>
      </c>
      <c r="D91" s="54" t="s">
        <v>3531</v>
      </c>
      <c r="E91" s="50">
        <v>405</v>
      </c>
      <c r="F91" s="50">
        <v>442</v>
      </c>
      <c r="G91" s="50" t="s">
        <v>3404</v>
      </c>
      <c r="H91" s="50">
        <v>2025</v>
      </c>
      <c r="I91" s="132">
        <v>45792</v>
      </c>
      <c r="J91" s="50" t="s">
        <v>3532</v>
      </c>
      <c r="K91" s="50" t="s">
        <v>172</v>
      </c>
      <c r="L91" s="50"/>
      <c r="M91" s="50" t="s">
        <v>163</v>
      </c>
      <c r="N91" s="50" t="s">
        <v>3533</v>
      </c>
      <c r="O91" s="60">
        <v>45796</v>
      </c>
      <c r="P91" s="50"/>
      <c r="Q91" s="60">
        <v>45796</v>
      </c>
      <c r="R91" s="60">
        <v>45797</v>
      </c>
      <c r="S91" s="50">
        <f t="shared" si="18"/>
        <v>2</v>
      </c>
      <c r="T91" s="50" t="str">
        <f t="shared" si="14"/>
        <v/>
      </c>
      <c r="U91" s="50">
        <f t="shared" si="19"/>
        <v>1</v>
      </c>
      <c r="V91" s="50">
        <f t="shared" si="20"/>
        <v>1</v>
      </c>
      <c r="W91" s="50" t="s">
        <v>150</v>
      </c>
      <c r="X91" s="50" t="s">
        <v>1078</v>
      </c>
      <c r="Y91" s="50" t="s">
        <v>50</v>
      </c>
      <c r="Z91" s="50" t="s">
        <v>3406</v>
      </c>
      <c r="AA91" s="50"/>
    </row>
    <row r="92" spans="1:27" ht="25.5" customHeight="1">
      <c r="A92" s="50" t="s">
        <v>773</v>
      </c>
      <c r="B92" s="51" t="s">
        <v>829</v>
      </c>
      <c r="C92" s="51" t="s">
        <v>159</v>
      </c>
      <c r="D92" s="51" t="s">
        <v>954</v>
      </c>
      <c r="E92" s="50">
        <v>1693</v>
      </c>
      <c r="F92" s="50">
        <v>1924</v>
      </c>
      <c r="G92" s="50" t="s">
        <v>3404</v>
      </c>
      <c r="H92" s="50">
        <v>2024</v>
      </c>
      <c r="I92" s="132">
        <v>45575</v>
      </c>
      <c r="J92" s="50"/>
      <c r="K92" s="50" t="s">
        <v>172</v>
      </c>
      <c r="L92" s="50"/>
      <c r="M92" s="50" t="s">
        <v>163</v>
      </c>
      <c r="N92" s="50"/>
      <c r="O92" s="50"/>
      <c r="P92" s="50"/>
      <c r="Q92" s="50"/>
      <c r="R92" s="50"/>
      <c r="S92" s="50" t="str">
        <f t="shared" si="18"/>
        <v/>
      </c>
      <c r="T92" s="50" t="str">
        <f t="shared" si="14"/>
        <v/>
      </c>
      <c r="U92" s="50" t="str">
        <f t="shared" si="19"/>
        <v/>
      </c>
      <c r="V92" s="50" t="str">
        <f t="shared" si="20"/>
        <v/>
      </c>
      <c r="W92" s="50"/>
      <c r="X92" s="50" t="s">
        <v>1078</v>
      </c>
      <c r="Y92" s="50"/>
      <c r="Z92" s="50" t="s">
        <v>3406</v>
      </c>
      <c r="AA92" s="50"/>
    </row>
    <row r="93" spans="1:27" ht="25.5" customHeight="1">
      <c r="A93" s="50" t="s">
        <v>773</v>
      </c>
      <c r="B93" s="51" t="s">
        <v>829</v>
      </c>
      <c r="C93" s="51" t="s">
        <v>159</v>
      </c>
      <c r="D93" s="51" t="s">
        <v>979</v>
      </c>
      <c r="E93" s="50">
        <v>576</v>
      </c>
      <c r="F93" s="50">
        <v>706</v>
      </c>
      <c r="G93" s="50" t="s">
        <v>3404</v>
      </c>
      <c r="H93" s="50">
        <v>2024</v>
      </c>
      <c r="I93" s="132">
        <v>45576</v>
      </c>
      <c r="J93" s="50"/>
      <c r="K93" s="50" t="s">
        <v>172</v>
      </c>
      <c r="L93" s="50"/>
      <c r="M93" s="50" t="s">
        <v>163</v>
      </c>
      <c r="N93" s="50"/>
      <c r="O93" s="50"/>
      <c r="P93" s="50"/>
      <c r="Q93" s="50"/>
      <c r="R93" s="50"/>
      <c r="S93" s="50" t="str">
        <f t="shared" si="18"/>
        <v/>
      </c>
      <c r="T93" s="50" t="str">
        <f t="shared" si="14"/>
        <v/>
      </c>
      <c r="U93" s="50" t="str">
        <f t="shared" si="19"/>
        <v/>
      </c>
      <c r="V93" s="50" t="str">
        <f t="shared" si="20"/>
        <v/>
      </c>
      <c r="W93" s="50"/>
      <c r="X93" s="50" t="s">
        <v>4</v>
      </c>
      <c r="Y93" s="50" t="s">
        <v>50</v>
      </c>
      <c r="Z93" s="50" t="s">
        <v>3406</v>
      </c>
      <c r="AA93" s="50"/>
    </row>
    <row r="94" spans="1:27" s="110" customFormat="1" ht="25.5" customHeight="1">
      <c r="A94" s="517" t="s">
        <v>773</v>
      </c>
      <c r="B94" s="51" t="s">
        <v>829</v>
      </c>
      <c r="C94" s="51" t="s">
        <v>159</v>
      </c>
      <c r="D94" s="54" t="s">
        <v>3534</v>
      </c>
      <c r="E94" s="50">
        <v>331</v>
      </c>
      <c r="F94" s="50">
        <v>403</v>
      </c>
      <c r="G94" s="50" t="s">
        <v>3404</v>
      </c>
      <c r="H94" s="50">
        <v>2025</v>
      </c>
      <c r="I94" s="132">
        <v>45902</v>
      </c>
      <c r="J94" s="50" t="s">
        <v>3127</v>
      </c>
      <c r="K94" s="50" t="s">
        <v>172</v>
      </c>
      <c r="L94" s="50"/>
      <c r="M94" s="50" t="s">
        <v>163</v>
      </c>
      <c r="N94" s="50" t="s">
        <v>3535</v>
      </c>
      <c r="O94" s="132">
        <v>45904</v>
      </c>
      <c r="P94" s="50"/>
      <c r="Q94" s="132">
        <v>45908</v>
      </c>
      <c r="R94" s="132">
        <v>45908</v>
      </c>
      <c r="S94" s="50">
        <f t="shared" si="18"/>
        <v>2</v>
      </c>
      <c r="T94" s="50" t="str">
        <f t="shared" si="14"/>
        <v/>
      </c>
      <c r="U94" s="50">
        <f t="shared" si="19"/>
        <v>2</v>
      </c>
      <c r="V94" s="50">
        <f t="shared" si="20"/>
        <v>1</v>
      </c>
      <c r="W94" s="50" t="s">
        <v>150</v>
      </c>
      <c r="X94" s="50" t="s">
        <v>4</v>
      </c>
      <c r="Y94" s="50" t="s">
        <v>50</v>
      </c>
      <c r="Z94" s="50" t="s">
        <v>3406</v>
      </c>
      <c r="AA94" s="50"/>
    </row>
    <row r="95" spans="1:27" ht="25.5" customHeight="1">
      <c r="A95" s="50" t="s">
        <v>773</v>
      </c>
      <c r="B95" s="51" t="s">
        <v>983</v>
      </c>
      <c r="C95" s="51" t="s">
        <v>159</v>
      </c>
      <c r="D95" s="51" t="s">
        <v>3536</v>
      </c>
      <c r="E95" s="50">
        <v>553</v>
      </c>
      <c r="F95" s="50">
        <v>613</v>
      </c>
      <c r="G95" s="50" t="s">
        <v>3404</v>
      </c>
      <c r="H95" s="50">
        <v>2024</v>
      </c>
      <c r="I95" s="132">
        <v>45448</v>
      </c>
      <c r="J95" s="50"/>
      <c r="K95" s="50" t="s">
        <v>14</v>
      </c>
      <c r="L95" s="50"/>
      <c r="M95" s="50" t="s">
        <v>163</v>
      </c>
      <c r="N95" s="50"/>
      <c r="O95" s="50"/>
      <c r="P95" s="50"/>
      <c r="Q95" s="50"/>
      <c r="R95" s="50"/>
      <c r="S95" s="50" t="str">
        <f t="shared" si="18"/>
        <v/>
      </c>
      <c r="T95" s="50" t="str">
        <f t="shared" si="14"/>
        <v/>
      </c>
      <c r="U95" s="50" t="str">
        <f t="shared" si="19"/>
        <v/>
      </c>
      <c r="V95" s="50" t="str">
        <f t="shared" si="20"/>
        <v/>
      </c>
      <c r="W95" s="50"/>
      <c r="X95" s="50"/>
      <c r="Y95" s="50"/>
      <c r="Z95" s="50" t="s">
        <v>3406</v>
      </c>
      <c r="AA95" s="50"/>
    </row>
    <row r="96" spans="1:27" ht="25.5" customHeight="1">
      <c r="A96" s="50" t="s">
        <v>773</v>
      </c>
      <c r="B96" s="51" t="s">
        <v>983</v>
      </c>
      <c r="C96" s="51" t="s">
        <v>159</v>
      </c>
      <c r="D96" s="51" t="s">
        <v>3537</v>
      </c>
      <c r="E96" s="50">
        <v>779</v>
      </c>
      <c r="F96" s="50">
        <v>849</v>
      </c>
      <c r="G96" s="50" t="s">
        <v>3404</v>
      </c>
      <c r="H96" s="50">
        <v>2024</v>
      </c>
      <c r="I96" s="132">
        <v>45482</v>
      </c>
      <c r="J96" s="50"/>
      <c r="K96" s="50" t="s">
        <v>14</v>
      </c>
      <c r="L96" s="50"/>
      <c r="M96" s="50" t="s">
        <v>163</v>
      </c>
      <c r="N96" s="50"/>
      <c r="O96" s="50"/>
      <c r="P96" s="50"/>
      <c r="Q96" s="50"/>
      <c r="R96" s="50"/>
      <c r="S96" s="50" t="str">
        <f t="shared" si="18"/>
        <v/>
      </c>
      <c r="T96" s="50" t="str">
        <f t="shared" si="14"/>
        <v/>
      </c>
      <c r="U96" s="50" t="str">
        <f t="shared" si="19"/>
        <v/>
      </c>
      <c r="V96" s="50" t="str">
        <f t="shared" si="20"/>
        <v/>
      </c>
      <c r="W96" s="50"/>
      <c r="X96" s="50" t="s">
        <v>4</v>
      </c>
      <c r="Y96" s="50" t="s">
        <v>50</v>
      </c>
      <c r="Z96" s="519" t="s">
        <v>3406</v>
      </c>
      <c r="AA96" s="50"/>
    </row>
    <row r="97" spans="1:27" ht="25.5" customHeight="1">
      <c r="A97" s="50" t="s">
        <v>773</v>
      </c>
      <c r="B97" s="51" t="s">
        <v>983</v>
      </c>
      <c r="C97" s="51" t="s">
        <v>159</v>
      </c>
      <c r="D97" s="51" t="s">
        <v>3538</v>
      </c>
      <c r="E97" s="50">
        <v>676</v>
      </c>
      <c r="F97" s="50">
        <v>766</v>
      </c>
      <c r="G97" s="50" t="s">
        <v>3404</v>
      </c>
      <c r="H97" s="50">
        <v>2024</v>
      </c>
      <c r="I97" s="132">
        <v>45454</v>
      </c>
      <c r="J97" s="50"/>
      <c r="K97" s="50" t="s">
        <v>14</v>
      </c>
      <c r="L97" s="50"/>
      <c r="M97" s="50" t="s">
        <v>163</v>
      </c>
      <c r="N97" s="50"/>
      <c r="O97" s="50"/>
      <c r="P97" s="50"/>
      <c r="Q97" s="50"/>
      <c r="R97" s="50"/>
      <c r="S97" s="50" t="str">
        <f t="shared" si="18"/>
        <v/>
      </c>
      <c r="T97" s="50" t="str">
        <f t="shared" si="14"/>
        <v/>
      </c>
      <c r="U97" s="50" t="str">
        <f t="shared" si="19"/>
        <v/>
      </c>
      <c r="V97" s="50" t="str">
        <f t="shared" si="20"/>
        <v/>
      </c>
      <c r="W97" s="50"/>
      <c r="X97" s="50"/>
      <c r="Y97" s="50"/>
      <c r="Z97" s="50" t="s">
        <v>3406</v>
      </c>
      <c r="AA97" s="50"/>
    </row>
    <row r="98" spans="1:27" ht="25.5" customHeight="1">
      <c r="A98" s="50" t="s">
        <v>773</v>
      </c>
      <c r="B98" s="51" t="s">
        <v>983</v>
      </c>
      <c r="C98" s="51" t="s">
        <v>159</v>
      </c>
      <c r="D98" s="51" t="s">
        <v>984</v>
      </c>
      <c r="E98" s="50">
        <v>496</v>
      </c>
      <c r="F98" s="50">
        <v>603</v>
      </c>
      <c r="G98" s="50" t="s">
        <v>3404</v>
      </c>
      <c r="H98" s="50">
        <v>2024</v>
      </c>
      <c r="I98" s="132">
        <v>45552</v>
      </c>
      <c r="J98" s="50"/>
      <c r="K98" s="50" t="s">
        <v>14</v>
      </c>
      <c r="L98" s="50"/>
      <c r="M98" s="50" t="s">
        <v>163</v>
      </c>
      <c r="N98" s="50"/>
      <c r="O98" s="50"/>
      <c r="P98" s="50"/>
      <c r="Q98" s="50"/>
      <c r="R98" s="50"/>
      <c r="S98" s="50" t="str">
        <f t="shared" si="18"/>
        <v/>
      </c>
      <c r="T98" s="50" t="str">
        <f t="shared" ref="T98:T129" si="21">IF(
    OR(ISBLANK(P98), ISBLANK(Q98)),
    "",
    MAX(1, IF(
        NETWORKDAYS(P98, Q98) &lt;= 0,
        1,
        NETWORKDAYS(P98, Q98) - IF(P98 = Q98, 0, 1)
    ))
)</f>
        <v/>
      </c>
      <c r="U98" s="50" t="str">
        <f t="shared" si="19"/>
        <v/>
      </c>
      <c r="V98" s="50" t="str">
        <f t="shared" si="20"/>
        <v/>
      </c>
      <c r="W98" s="50"/>
      <c r="X98" s="50" t="s">
        <v>4</v>
      </c>
      <c r="Y98" s="50" t="s">
        <v>50</v>
      </c>
      <c r="Z98" s="50" t="s">
        <v>3406</v>
      </c>
      <c r="AA98" s="50"/>
    </row>
    <row r="99" spans="1:27" ht="25.5" customHeight="1">
      <c r="A99" s="50" t="s">
        <v>773</v>
      </c>
      <c r="B99" s="51" t="s">
        <v>983</v>
      </c>
      <c r="C99" s="51" t="s">
        <v>159</v>
      </c>
      <c r="D99" s="51" t="s">
        <v>3403</v>
      </c>
      <c r="E99" s="50">
        <v>1356</v>
      </c>
      <c r="F99" s="50">
        <v>1327</v>
      </c>
      <c r="G99" s="50" t="s">
        <v>3404</v>
      </c>
      <c r="H99" s="50">
        <v>2024</v>
      </c>
      <c r="I99" s="105" t="s">
        <v>3539</v>
      </c>
      <c r="J99" s="50"/>
      <c r="K99" s="50" t="s">
        <v>14</v>
      </c>
      <c r="L99" s="50"/>
      <c r="M99" s="50" t="s">
        <v>163</v>
      </c>
      <c r="N99" s="50"/>
      <c r="O99" s="50"/>
      <c r="P99" s="50"/>
      <c r="Q99" s="50"/>
      <c r="R99" s="50"/>
      <c r="S99" s="50" t="str">
        <f t="shared" si="18"/>
        <v/>
      </c>
      <c r="T99" s="50" t="str">
        <f t="shared" si="21"/>
        <v/>
      </c>
      <c r="U99" s="50" t="str">
        <f t="shared" si="19"/>
        <v/>
      </c>
      <c r="V99" s="50" t="str">
        <f t="shared" si="20"/>
        <v/>
      </c>
      <c r="W99" s="50"/>
      <c r="X99" s="50"/>
      <c r="Y99" s="50"/>
      <c r="Z99" s="50" t="s">
        <v>3406</v>
      </c>
      <c r="AA99" s="50"/>
    </row>
    <row r="100" spans="1:27" ht="25.5" customHeight="1">
      <c r="A100" s="50" t="s">
        <v>773</v>
      </c>
      <c r="B100" s="51" t="s">
        <v>983</v>
      </c>
      <c r="C100" s="51" t="s">
        <v>159</v>
      </c>
      <c r="D100" s="51" t="s">
        <v>3407</v>
      </c>
      <c r="E100" s="50">
        <v>1930</v>
      </c>
      <c r="F100" s="50">
        <v>2317</v>
      </c>
      <c r="G100" s="50" t="s">
        <v>3404</v>
      </c>
      <c r="H100" s="50">
        <v>2024</v>
      </c>
      <c r="I100" s="105" t="s">
        <v>3540</v>
      </c>
      <c r="J100" s="50"/>
      <c r="K100" s="50" t="s">
        <v>14</v>
      </c>
      <c r="L100" s="50"/>
      <c r="M100" s="50" t="s">
        <v>163</v>
      </c>
      <c r="N100" s="50"/>
      <c r="O100" s="50"/>
      <c r="P100" s="50"/>
      <c r="Q100" s="50"/>
      <c r="R100" s="50"/>
      <c r="S100" s="50" t="str">
        <f t="shared" si="18"/>
        <v/>
      </c>
      <c r="T100" s="50" t="str">
        <f t="shared" si="21"/>
        <v/>
      </c>
      <c r="U100" s="50" t="str">
        <f t="shared" si="19"/>
        <v/>
      </c>
      <c r="V100" s="50" t="str">
        <f t="shared" si="20"/>
        <v/>
      </c>
      <c r="W100" s="50"/>
      <c r="X100" s="50"/>
      <c r="Y100" s="50"/>
      <c r="Z100" s="50" t="s">
        <v>3406</v>
      </c>
      <c r="AA100" s="50"/>
    </row>
    <row r="101" spans="1:27" ht="25.5" customHeight="1">
      <c r="A101" s="50" t="s">
        <v>773</v>
      </c>
      <c r="B101" s="51" t="s">
        <v>983</v>
      </c>
      <c r="C101" s="51" t="s">
        <v>159</v>
      </c>
      <c r="D101" s="51" t="s">
        <v>3409</v>
      </c>
      <c r="E101" s="50">
        <v>894</v>
      </c>
      <c r="F101" s="50">
        <v>1052</v>
      </c>
      <c r="G101" s="50" t="s">
        <v>3404</v>
      </c>
      <c r="H101" s="50">
        <v>2024</v>
      </c>
      <c r="I101" s="105" t="s">
        <v>3422</v>
      </c>
      <c r="J101" s="50"/>
      <c r="K101" s="50" t="s">
        <v>14</v>
      </c>
      <c r="L101" s="50"/>
      <c r="M101" s="50" t="s">
        <v>163</v>
      </c>
      <c r="N101" s="50"/>
      <c r="O101" s="50"/>
      <c r="P101" s="50"/>
      <c r="Q101" s="50"/>
      <c r="R101" s="50"/>
      <c r="S101" s="50" t="str">
        <f t="shared" si="18"/>
        <v/>
      </c>
      <c r="T101" s="50" t="str">
        <f t="shared" si="21"/>
        <v/>
      </c>
      <c r="U101" s="50" t="str">
        <f t="shared" si="19"/>
        <v/>
      </c>
      <c r="V101" s="50" t="str">
        <f t="shared" si="20"/>
        <v/>
      </c>
      <c r="W101" s="50"/>
      <c r="X101" s="50"/>
      <c r="Y101" s="50"/>
      <c r="Z101" s="50"/>
      <c r="AA101" s="50"/>
    </row>
    <row r="102" spans="1:27" ht="25.5" customHeight="1">
      <c r="A102" s="50" t="s">
        <v>773</v>
      </c>
      <c r="B102" s="51" t="s">
        <v>983</v>
      </c>
      <c r="C102" s="51" t="s">
        <v>159</v>
      </c>
      <c r="D102" s="51" t="s">
        <v>3410</v>
      </c>
      <c r="E102" s="50">
        <v>2458</v>
      </c>
      <c r="F102" s="50">
        <v>2535</v>
      </c>
      <c r="G102" s="50" t="s">
        <v>3404</v>
      </c>
      <c r="H102" s="50">
        <v>2024</v>
      </c>
      <c r="I102" s="132">
        <v>45511</v>
      </c>
      <c r="J102" s="50"/>
      <c r="K102" s="50" t="s">
        <v>14</v>
      </c>
      <c r="L102" s="50"/>
      <c r="M102" s="50" t="s">
        <v>163</v>
      </c>
      <c r="N102" s="50"/>
      <c r="O102" s="50"/>
      <c r="P102" s="50"/>
      <c r="Q102" s="50"/>
      <c r="R102" s="50"/>
      <c r="S102" s="50" t="str">
        <f t="shared" si="18"/>
        <v/>
      </c>
      <c r="T102" s="50" t="str">
        <f t="shared" si="21"/>
        <v/>
      </c>
      <c r="U102" s="50" t="str">
        <f t="shared" si="19"/>
        <v/>
      </c>
      <c r="V102" s="50" t="str">
        <f t="shared" si="20"/>
        <v/>
      </c>
      <c r="W102" s="50"/>
      <c r="X102" s="50" t="s">
        <v>4</v>
      </c>
      <c r="Y102" s="50" t="s">
        <v>50</v>
      </c>
      <c r="Z102" s="50" t="s">
        <v>3406</v>
      </c>
      <c r="AA102" s="50"/>
    </row>
    <row r="103" spans="1:27" ht="25.5" customHeight="1">
      <c r="A103" s="50" t="s">
        <v>773</v>
      </c>
      <c r="B103" s="51" t="s">
        <v>983</v>
      </c>
      <c r="C103" s="51" t="s">
        <v>159</v>
      </c>
      <c r="D103" s="51" t="s">
        <v>3541</v>
      </c>
      <c r="E103" s="50">
        <v>642</v>
      </c>
      <c r="F103" s="50">
        <v>683</v>
      </c>
      <c r="G103" s="50" t="s">
        <v>3404</v>
      </c>
      <c r="H103" s="50">
        <v>2024</v>
      </c>
      <c r="I103" s="132">
        <v>45510</v>
      </c>
      <c r="J103" s="50"/>
      <c r="K103" s="50" t="s">
        <v>14</v>
      </c>
      <c r="L103" s="50"/>
      <c r="M103" s="50" t="s">
        <v>163</v>
      </c>
      <c r="N103" s="50"/>
      <c r="O103" s="50"/>
      <c r="P103" s="50"/>
      <c r="Q103" s="50"/>
      <c r="R103" s="50"/>
      <c r="S103" s="50" t="str">
        <f t="shared" si="18"/>
        <v/>
      </c>
      <c r="T103" s="50" t="str">
        <f t="shared" si="21"/>
        <v/>
      </c>
      <c r="U103" s="50" t="str">
        <f t="shared" si="19"/>
        <v/>
      </c>
      <c r="V103" s="50" t="str">
        <f t="shared" si="20"/>
        <v/>
      </c>
      <c r="W103" s="50"/>
      <c r="X103" s="50" t="s">
        <v>4</v>
      </c>
      <c r="Y103" s="50" t="s">
        <v>50</v>
      </c>
      <c r="Z103" s="50" t="s">
        <v>3406</v>
      </c>
      <c r="AA103" s="50"/>
    </row>
    <row r="104" spans="1:27" ht="25.5" customHeight="1">
      <c r="A104" s="50" t="s">
        <v>773</v>
      </c>
      <c r="B104" s="51" t="s">
        <v>983</v>
      </c>
      <c r="C104" s="51" t="s">
        <v>159</v>
      </c>
      <c r="D104" s="51" t="s">
        <v>3542</v>
      </c>
      <c r="E104" s="50">
        <v>1425</v>
      </c>
      <c r="F104" s="50">
        <v>1418</v>
      </c>
      <c r="G104" s="50" t="s">
        <v>3404</v>
      </c>
      <c r="H104" s="50">
        <v>2024</v>
      </c>
      <c r="I104" s="132">
        <v>45552</v>
      </c>
      <c r="J104" s="50"/>
      <c r="K104" s="50" t="s">
        <v>14</v>
      </c>
      <c r="L104" s="50"/>
      <c r="M104" s="50" t="s">
        <v>163</v>
      </c>
      <c r="N104" s="50"/>
      <c r="O104" s="50"/>
      <c r="P104" s="50"/>
      <c r="Q104" s="50"/>
      <c r="R104" s="50"/>
      <c r="S104" s="50" t="str">
        <f t="shared" si="18"/>
        <v/>
      </c>
      <c r="T104" s="50" t="str">
        <f t="shared" si="21"/>
        <v/>
      </c>
      <c r="U104" s="50" t="str">
        <f t="shared" si="19"/>
        <v/>
      </c>
      <c r="V104" s="50" t="str">
        <f t="shared" si="20"/>
        <v/>
      </c>
      <c r="W104" s="50"/>
      <c r="X104" s="50" t="s">
        <v>4</v>
      </c>
      <c r="Y104" s="50" t="s">
        <v>50</v>
      </c>
      <c r="Z104" s="50" t="s">
        <v>3406</v>
      </c>
      <c r="AA104" s="50"/>
    </row>
    <row r="105" spans="1:27" ht="25.5" customHeight="1">
      <c r="A105" s="50" t="s">
        <v>773</v>
      </c>
      <c r="B105" s="51" t="s">
        <v>983</v>
      </c>
      <c r="C105" s="51" t="s">
        <v>159</v>
      </c>
      <c r="D105" s="51" t="s">
        <v>3543</v>
      </c>
      <c r="E105" s="50">
        <v>1368</v>
      </c>
      <c r="F105" s="50">
        <v>1538</v>
      </c>
      <c r="G105" s="50" t="s">
        <v>3404</v>
      </c>
      <c r="H105" s="50">
        <v>2024</v>
      </c>
      <c r="I105" s="105" t="s">
        <v>3428</v>
      </c>
      <c r="J105" s="50"/>
      <c r="K105" s="50" t="s">
        <v>14</v>
      </c>
      <c r="L105" s="50"/>
      <c r="M105" s="50" t="s">
        <v>163</v>
      </c>
      <c r="N105" s="50"/>
      <c r="O105" s="50"/>
      <c r="P105" s="50"/>
      <c r="Q105" s="50"/>
      <c r="R105" s="50"/>
      <c r="S105" s="50" t="str">
        <f t="shared" si="18"/>
        <v/>
      </c>
      <c r="T105" s="50" t="str">
        <f t="shared" si="21"/>
        <v/>
      </c>
      <c r="U105" s="50" t="str">
        <f t="shared" si="19"/>
        <v/>
      </c>
      <c r="V105" s="50" t="str">
        <f t="shared" si="20"/>
        <v/>
      </c>
      <c r="W105" s="50"/>
      <c r="X105" s="50"/>
      <c r="Y105" s="50"/>
      <c r="Z105" s="50"/>
      <c r="AA105" s="50"/>
    </row>
    <row r="106" spans="1:27" ht="25.5" customHeight="1">
      <c r="A106" s="50" t="s">
        <v>773</v>
      </c>
      <c r="B106" s="51" t="s">
        <v>983</v>
      </c>
      <c r="C106" s="51" t="s">
        <v>159</v>
      </c>
      <c r="D106" s="51" t="s">
        <v>3544</v>
      </c>
      <c r="E106" s="50">
        <v>676</v>
      </c>
      <c r="F106" s="50">
        <v>679</v>
      </c>
      <c r="G106" s="50" t="s">
        <v>3404</v>
      </c>
      <c r="H106" s="50">
        <v>2024</v>
      </c>
      <c r="I106" s="132">
        <v>45540</v>
      </c>
      <c r="J106" s="50"/>
      <c r="K106" s="50" t="s">
        <v>14</v>
      </c>
      <c r="L106" s="50"/>
      <c r="M106" s="50" t="s">
        <v>163</v>
      </c>
      <c r="N106" s="50"/>
      <c r="O106" s="50"/>
      <c r="P106" s="50"/>
      <c r="Q106" s="50"/>
      <c r="R106" s="50"/>
      <c r="S106" s="50" t="str">
        <f t="shared" si="18"/>
        <v/>
      </c>
      <c r="T106" s="50" t="str">
        <f t="shared" si="21"/>
        <v/>
      </c>
      <c r="U106" s="50" t="str">
        <f t="shared" si="19"/>
        <v/>
      </c>
      <c r="V106" s="50" t="str">
        <f t="shared" si="20"/>
        <v/>
      </c>
      <c r="W106" s="50"/>
      <c r="X106" s="50" t="s">
        <v>4</v>
      </c>
      <c r="Y106" s="50" t="s">
        <v>50</v>
      </c>
      <c r="Z106" s="50" t="s">
        <v>3406</v>
      </c>
      <c r="AA106" s="50"/>
    </row>
    <row r="107" spans="1:27" ht="25.5" customHeight="1">
      <c r="A107" s="50" t="s">
        <v>773</v>
      </c>
      <c r="B107" s="51" t="s">
        <v>983</v>
      </c>
      <c r="C107" s="51" t="s">
        <v>159</v>
      </c>
      <c r="D107" s="51" t="s">
        <v>3545</v>
      </c>
      <c r="E107" s="50">
        <v>534</v>
      </c>
      <c r="F107" s="50">
        <v>604</v>
      </c>
      <c r="G107" s="50" t="s">
        <v>3404</v>
      </c>
      <c r="H107" s="50">
        <v>2024</v>
      </c>
      <c r="I107" s="105" t="s">
        <v>3439</v>
      </c>
      <c r="J107" s="50"/>
      <c r="K107" s="50" t="s">
        <v>14</v>
      </c>
      <c r="L107" s="50"/>
      <c r="M107" s="50" t="s">
        <v>163</v>
      </c>
      <c r="N107" s="50"/>
      <c r="O107" s="50"/>
      <c r="P107" s="50"/>
      <c r="Q107" s="50"/>
      <c r="R107" s="50"/>
      <c r="S107" s="50" t="str">
        <f t="shared" si="18"/>
        <v/>
      </c>
      <c r="T107" s="50" t="str">
        <f t="shared" si="21"/>
        <v/>
      </c>
      <c r="U107" s="50" t="str">
        <f t="shared" si="19"/>
        <v/>
      </c>
      <c r="V107" s="50" t="str">
        <f t="shared" si="20"/>
        <v/>
      </c>
      <c r="W107" s="50"/>
      <c r="X107" s="50"/>
      <c r="Y107" s="50"/>
      <c r="Z107" s="50"/>
      <c r="AA107" s="50"/>
    </row>
    <row r="108" spans="1:27" ht="25.5" customHeight="1">
      <c r="A108" s="50" t="s">
        <v>773</v>
      </c>
      <c r="B108" s="51" t="s">
        <v>983</v>
      </c>
      <c r="C108" s="51" t="s">
        <v>159</v>
      </c>
      <c r="D108" s="51" t="s">
        <v>3546</v>
      </c>
      <c r="E108" s="50">
        <v>1357</v>
      </c>
      <c r="F108" s="50">
        <v>1531</v>
      </c>
      <c r="G108" s="50" t="s">
        <v>3404</v>
      </c>
      <c r="H108" s="50">
        <v>2024</v>
      </c>
      <c r="I108" s="132">
        <v>45483</v>
      </c>
      <c r="J108" s="50"/>
      <c r="K108" s="50" t="s">
        <v>14</v>
      </c>
      <c r="L108" s="50"/>
      <c r="M108" s="50" t="s">
        <v>163</v>
      </c>
      <c r="N108" s="50"/>
      <c r="O108" s="50"/>
      <c r="P108" s="50"/>
      <c r="Q108" s="50"/>
      <c r="R108" s="50"/>
      <c r="S108" s="50" t="str">
        <f t="shared" si="18"/>
        <v/>
      </c>
      <c r="T108" s="50" t="str">
        <f t="shared" si="21"/>
        <v/>
      </c>
      <c r="U108" s="50" t="str">
        <f t="shared" si="19"/>
        <v/>
      </c>
      <c r="V108" s="50" t="str">
        <f t="shared" si="20"/>
        <v/>
      </c>
      <c r="W108" s="50"/>
      <c r="X108" s="50" t="s">
        <v>4</v>
      </c>
      <c r="Y108" s="50" t="s">
        <v>50</v>
      </c>
      <c r="Z108" s="50" t="s">
        <v>3406</v>
      </c>
      <c r="AA108" s="50"/>
    </row>
    <row r="109" spans="1:27" ht="25.5" customHeight="1">
      <c r="A109" s="50" t="s">
        <v>773</v>
      </c>
      <c r="B109" s="51" t="s">
        <v>983</v>
      </c>
      <c r="C109" s="51" t="s">
        <v>159</v>
      </c>
      <c r="D109" s="51" t="s">
        <v>3547</v>
      </c>
      <c r="E109" s="50">
        <v>1385</v>
      </c>
      <c r="F109" s="50">
        <v>1479</v>
      </c>
      <c r="G109" s="50" t="s">
        <v>3404</v>
      </c>
      <c r="H109" s="50">
        <v>2024</v>
      </c>
      <c r="I109" s="132">
        <v>45483</v>
      </c>
      <c r="J109" s="50"/>
      <c r="K109" s="50" t="s">
        <v>14</v>
      </c>
      <c r="L109" s="50"/>
      <c r="M109" s="50" t="s">
        <v>163</v>
      </c>
      <c r="N109" s="50"/>
      <c r="O109" s="50"/>
      <c r="P109" s="50"/>
      <c r="Q109" s="50"/>
      <c r="R109" s="50"/>
      <c r="S109" s="50" t="str">
        <f t="shared" si="18"/>
        <v/>
      </c>
      <c r="T109" s="50" t="str">
        <f t="shared" si="21"/>
        <v/>
      </c>
      <c r="U109" s="50" t="str">
        <f t="shared" si="19"/>
        <v/>
      </c>
      <c r="V109" s="50" t="str">
        <f t="shared" si="20"/>
        <v/>
      </c>
      <c r="W109" s="50"/>
      <c r="X109" s="50" t="s">
        <v>4</v>
      </c>
      <c r="Y109" s="50" t="s">
        <v>50</v>
      </c>
      <c r="Z109" s="50" t="s">
        <v>3406</v>
      </c>
      <c r="AA109" s="50"/>
    </row>
    <row r="110" spans="1:27" ht="25.5" customHeight="1">
      <c r="A110" s="50" t="s">
        <v>773</v>
      </c>
      <c r="B110" s="51" t="s">
        <v>983</v>
      </c>
      <c r="C110" s="51" t="s">
        <v>159</v>
      </c>
      <c r="D110" s="51" t="s">
        <v>3548</v>
      </c>
      <c r="E110" s="50">
        <v>472</v>
      </c>
      <c r="F110" s="50">
        <v>486</v>
      </c>
      <c r="G110" s="50" t="s">
        <v>3404</v>
      </c>
      <c r="H110" s="50">
        <v>2024</v>
      </c>
      <c r="I110" s="132">
        <v>45573</v>
      </c>
      <c r="J110" s="50"/>
      <c r="K110" s="50" t="s">
        <v>14</v>
      </c>
      <c r="L110" s="50"/>
      <c r="M110" s="50" t="s">
        <v>163</v>
      </c>
      <c r="N110" s="50"/>
      <c r="O110" s="50"/>
      <c r="P110" s="50"/>
      <c r="Q110" s="50"/>
      <c r="R110" s="50"/>
      <c r="S110" s="50" t="str">
        <f t="shared" si="18"/>
        <v/>
      </c>
      <c r="T110" s="50" t="str">
        <f t="shared" si="21"/>
        <v/>
      </c>
      <c r="U110" s="50" t="str">
        <f t="shared" si="19"/>
        <v/>
      </c>
      <c r="V110" s="50" t="str">
        <f t="shared" si="20"/>
        <v/>
      </c>
      <c r="W110" s="50"/>
      <c r="X110" s="50" t="s">
        <v>4</v>
      </c>
      <c r="Y110" s="50" t="s">
        <v>50</v>
      </c>
      <c r="Z110" s="50" t="s">
        <v>3406</v>
      </c>
      <c r="AA110" s="50"/>
    </row>
    <row r="111" spans="1:27" ht="25.5" customHeight="1">
      <c r="A111" s="50" t="s">
        <v>773</v>
      </c>
      <c r="B111" s="51" t="s">
        <v>983</v>
      </c>
      <c r="C111" s="51" t="s">
        <v>159</v>
      </c>
      <c r="D111" s="51" t="s">
        <v>3549</v>
      </c>
      <c r="E111" s="50">
        <v>879</v>
      </c>
      <c r="F111" s="50">
        <v>989</v>
      </c>
      <c r="G111" s="50" t="s">
        <v>3404</v>
      </c>
      <c r="H111" s="50">
        <v>2024</v>
      </c>
      <c r="I111" s="132">
        <v>45419</v>
      </c>
      <c r="J111" s="50"/>
      <c r="K111" s="50" t="s">
        <v>14</v>
      </c>
      <c r="L111" s="50"/>
      <c r="M111" s="50" t="s">
        <v>163</v>
      </c>
      <c r="N111" s="50"/>
      <c r="O111" s="50"/>
      <c r="P111" s="50"/>
      <c r="Q111" s="50"/>
      <c r="R111" s="50"/>
      <c r="S111" s="50" t="str">
        <f t="shared" si="18"/>
        <v/>
      </c>
      <c r="T111" s="50" t="str">
        <f t="shared" si="21"/>
        <v/>
      </c>
      <c r="U111" s="50" t="str">
        <f t="shared" si="19"/>
        <v/>
      </c>
      <c r="V111" s="50" t="str">
        <f t="shared" si="20"/>
        <v/>
      </c>
      <c r="W111" s="50"/>
      <c r="X111" s="50"/>
      <c r="Y111" s="50"/>
      <c r="Z111" s="50" t="s">
        <v>3406</v>
      </c>
      <c r="AA111" s="50"/>
    </row>
    <row r="112" spans="1:27" ht="25.5" customHeight="1">
      <c r="A112" s="50" t="s">
        <v>773</v>
      </c>
      <c r="B112" s="51" t="s">
        <v>983</v>
      </c>
      <c r="C112" s="51" t="s">
        <v>159</v>
      </c>
      <c r="D112" s="51" t="s">
        <v>3550</v>
      </c>
      <c r="E112" s="50">
        <v>1528</v>
      </c>
      <c r="F112" s="50">
        <v>1576</v>
      </c>
      <c r="G112" s="50" t="s">
        <v>3404</v>
      </c>
      <c r="H112" s="50">
        <v>2024</v>
      </c>
      <c r="I112" s="132">
        <v>45517</v>
      </c>
      <c r="J112" s="50"/>
      <c r="K112" s="50" t="s">
        <v>14</v>
      </c>
      <c r="L112" s="50"/>
      <c r="M112" s="50" t="s">
        <v>163</v>
      </c>
      <c r="N112" s="50"/>
      <c r="O112" s="50"/>
      <c r="P112" s="50"/>
      <c r="Q112" s="50"/>
      <c r="R112" s="50"/>
      <c r="S112" s="50" t="str">
        <f t="shared" si="18"/>
        <v/>
      </c>
      <c r="T112" s="50" t="str">
        <f t="shared" si="21"/>
        <v/>
      </c>
      <c r="U112" s="50" t="str">
        <f t="shared" si="19"/>
        <v/>
      </c>
      <c r="V112" s="50" t="str">
        <f t="shared" si="20"/>
        <v/>
      </c>
      <c r="W112" s="50"/>
      <c r="X112" s="50" t="s">
        <v>4</v>
      </c>
      <c r="Y112" s="50" t="s">
        <v>50</v>
      </c>
      <c r="Z112" s="50" t="s">
        <v>3406</v>
      </c>
      <c r="AA112" s="50"/>
    </row>
    <row r="113" spans="1:27" ht="25.5" customHeight="1">
      <c r="A113" s="50" t="s">
        <v>773</v>
      </c>
      <c r="B113" s="51" t="s">
        <v>983</v>
      </c>
      <c r="C113" s="51" t="s">
        <v>159</v>
      </c>
      <c r="D113" s="51" t="s">
        <v>3551</v>
      </c>
      <c r="E113" s="50">
        <v>198</v>
      </c>
      <c r="F113" s="50">
        <v>229</v>
      </c>
      <c r="G113" s="50" t="s">
        <v>3404</v>
      </c>
      <c r="H113" s="50">
        <v>2024</v>
      </c>
      <c r="I113" s="132">
        <v>45580</v>
      </c>
      <c r="J113" s="50"/>
      <c r="K113" s="50" t="s">
        <v>14</v>
      </c>
      <c r="L113" s="50"/>
      <c r="M113" s="50" t="s">
        <v>163</v>
      </c>
      <c r="N113" s="50"/>
      <c r="O113" s="50"/>
      <c r="P113" s="50"/>
      <c r="Q113" s="50"/>
      <c r="R113" s="50"/>
      <c r="S113" s="50" t="str">
        <f t="shared" si="18"/>
        <v/>
      </c>
      <c r="T113" s="50" t="str">
        <f t="shared" si="21"/>
        <v/>
      </c>
      <c r="U113" s="50" t="str">
        <f t="shared" si="19"/>
        <v/>
      </c>
      <c r="V113" s="50" t="str">
        <f t="shared" si="20"/>
        <v/>
      </c>
      <c r="W113" s="50"/>
      <c r="X113" s="50" t="s">
        <v>4</v>
      </c>
      <c r="Y113" s="50" t="s">
        <v>50</v>
      </c>
      <c r="Z113" s="50" t="s">
        <v>3406</v>
      </c>
      <c r="AA113" s="50"/>
    </row>
    <row r="114" spans="1:27" ht="25.5" customHeight="1">
      <c r="A114" s="50" t="s">
        <v>773</v>
      </c>
      <c r="B114" s="51" t="s">
        <v>983</v>
      </c>
      <c r="C114" s="51" t="s">
        <v>159</v>
      </c>
      <c r="D114" s="51" t="s">
        <v>3552</v>
      </c>
      <c r="E114" s="50">
        <v>257</v>
      </c>
      <c r="F114" s="50">
        <v>252</v>
      </c>
      <c r="G114" s="50" t="s">
        <v>3404</v>
      </c>
      <c r="H114" s="50">
        <v>2024</v>
      </c>
      <c r="I114" s="132">
        <v>45580</v>
      </c>
      <c r="J114" s="50"/>
      <c r="K114" s="50" t="s">
        <v>14</v>
      </c>
      <c r="L114" s="50"/>
      <c r="M114" s="50" t="s">
        <v>163</v>
      </c>
      <c r="N114" s="50"/>
      <c r="O114" s="50"/>
      <c r="P114" s="50"/>
      <c r="Q114" s="50"/>
      <c r="R114" s="50"/>
      <c r="S114" s="50" t="str">
        <f t="shared" si="18"/>
        <v/>
      </c>
      <c r="T114" s="50" t="str">
        <f t="shared" si="21"/>
        <v/>
      </c>
      <c r="U114" s="50" t="str">
        <f t="shared" si="19"/>
        <v/>
      </c>
      <c r="V114" s="50" t="str">
        <f t="shared" si="20"/>
        <v/>
      </c>
      <c r="W114" s="50"/>
      <c r="X114" s="50" t="s">
        <v>4</v>
      </c>
      <c r="Y114" s="50" t="s">
        <v>50</v>
      </c>
      <c r="Z114" s="50" t="s">
        <v>3406</v>
      </c>
      <c r="AA114" s="50"/>
    </row>
    <row r="115" spans="1:27" ht="25.5" customHeight="1">
      <c r="A115" s="50" t="s">
        <v>773</v>
      </c>
      <c r="B115" s="51" t="s">
        <v>983</v>
      </c>
      <c r="C115" s="51" t="s">
        <v>159</v>
      </c>
      <c r="D115" s="51" t="s">
        <v>3553</v>
      </c>
      <c r="E115" s="50">
        <v>1191</v>
      </c>
      <c r="F115" s="50">
        <v>1343</v>
      </c>
      <c r="G115" s="50" t="s">
        <v>3404</v>
      </c>
      <c r="H115" s="50">
        <v>2024</v>
      </c>
      <c r="I115" s="132">
        <v>45576</v>
      </c>
      <c r="J115" s="50"/>
      <c r="K115" s="50" t="s">
        <v>14</v>
      </c>
      <c r="L115" s="50"/>
      <c r="M115" s="50" t="s">
        <v>163</v>
      </c>
      <c r="N115" s="50"/>
      <c r="O115" s="50"/>
      <c r="P115" s="50"/>
      <c r="Q115" s="50"/>
      <c r="R115" s="50"/>
      <c r="S115" s="50" t="str">
        <f t="shared" si="18"/>
        <v/>
      </c>
      <c r="T115" s="50" t="str">
        <f t="shared" si="21"/>
        <v/>
      </c>
      <c r="U115" s="50" t="str">
        <f t="shared" si="19"/>
        <v/>
      </c>
      <c r="V115" s="50" t="str">
        <f t="shared" si="20"/>
        <v/>
      </c>
      <c r="W115" s="50"/>
      <c r="X115" s="50" t="s">
        <v>4</v>
      </c>
      <c r="Y115" s="50" t="s">
        <v>50</v>
      </c>
      <c r="Z115" s="50" t="s">
        <v>3406</v>
      </c>
      <c r="AA115" s="50"/>
    </row>
    <row r="116" spans="1:27" ht="25.5" customHeight="1">
      <c r="A116" s="50" t="s">
        <v>773</v>
      </c>
      <c r="B116" s="51" t="s">
        <v>983</v>
      </c>
      <c r="C116" s="51" t="s">
        <v>159</v>
      </c>
      <c r="D116" s="51" t="s">
        <v>3554</v>
      </c>
      <c r="E116" s="50">
        <v>1019</v>
      </c>
      <c r="F116" s="50">
        <v>1208</v>
      </c>
      <c r="G116" s="50" t="s">
        <v>3404</v>
      </c>
      <c r="H116" s="50">
        <v>2024</v>
      </c>
      <c r="I116" s="105" t="s">
        <v>3428</v>
      </c>
      <c r="J116" s="50"/>
      <c r="K116" s="50" t="s">
        <v>14</v>
      </c>
      <c r="L116" s="50"/>
      <c r="M116" s="50" t="s">
        <v>163</v>
      </c>
      <c r="N116" s="50"/>
      <c r="O116" s="50"/>
      <c r="P116" s="50"/>
      <c r="Q116" s="50"/>
      <c r="R116" s="50"/>
      <c r="S116" s="50" t="str">
        <f t="shared" si="18"/>
        <v/>
      </c>
      <c r="T116" s="50" t="str">
        <f t="shared" si="21"/>
        <v/>
      </c>
      <c r="U116" s="50" t="str">
        <f t="shared" si="19"/>
        <v/>
      </c>
      <c r="V116" s="50" t="str">
        <f t="shared" si="20"/>
        <v/>
      </c>
      <c r="W116" s="50"/>
      <c r="X116" s="50"/>
      <c r="Y116" s="50"/>
      <c r="Z116" s="50"/>
      <c r="AA116" s="50"/>
    </row>
    <row r="117" spans="1:27" ht="25.5" customHeight="1">
      <c r="A117" s="50" t="s">
        <v>773</v>
      </c>
      <c r="B117" s="51" t="s">
        <v>983</v>
      </c>
      <c r="C117" s="51" t="s">
        <v>159</v>
      </c>
      <c r="D117" s="51" t="s">
        <v>3555</v>
      </c>
      <c r="E117" s="50">
        <v>1353</v>
      </c>
      <c r="F117" s="50">
        <v>1440</v>
      </c>
      <c r="G117" s="50" t="s">
        <v>3404</v>
      </c>
      <c r="H117" s="50">
        <v>2024</v>
      </c>
      <c r="I117" s="105" t="s">
        <v>3439</v>
      </c>
      <c r="J117" s="50"/>
      <c r="K117" s="50" t="s">
        <v>14</v>
      </c>
      <c r="L117" s="50"/>
      <c r="M117" s="50" t="s">
        <v>163</v>
      </c>
      <c r="N117" s="50"/>
      <c r="O117" s="50"/>
      <c r="P117" s="50"/>
      <c r="Q117" s="50"/>
      <c r="R117" s="50"/>
      <c r="S117" s="50" t="str">
        <f t="shared" si="18"/>
        <v/>
      </c>
      <c r="T117" s="50" t="str">
        <f t="shared" si="21"/>
        <v/>
      </c>
      <c r="U117" s="50" t="str">
        <f t="shared" si="19"/>
        <v/>
      </c>
      <c r="V117" s="50" t="str">
        <f t="shared" si="20"/>
        <v/>
      </c>
      <c r="W117" s="50"/>
      <c r="X117" s="50"/>
      <c r="Y117" s="50"/>
      <c r="Z117" s="50"/>
      <c r="AA117" s="50"/>
    </row>
    <row r="118" spans="1:27" ht="25.5" customHeight="1">
      <c r="A118" s="50" t="s">
        <v>773</v>
      </c>
      <c r="B118" s="51" t="s">
        <v>983</v>
      </c>
      <c r="C118" s="51" t="s">
        <v>159</v>
      </c>
      <c r="D118" s="51" t="s">
        <v>3556</v>
      </c>
      <c r="E118" s="50">
        <v>857</v>
      </c>
      <c r="F118" s="50">
        <v>872</v>
      </c>
      <c r="G118" s="50" t="s">
        <v>3404</v>
      </c>
      <c r="H118" s="50">
        <v>2024</v>
      </c>
      <c r="I118" s="132">
        <v>45517</v>
      </c>
      <c r="J118" s="50"/>
      <c r="K118" s="50" t="s">
        <v>14</v>
      </c>
      <c r="L118" s="50"/>
      <c r="M118" s="50" t="s">
        <v>163</v>
      </c>
      <c r="N118" s="50"/>
      <c r="O118" s="50"/>
      <c r="P118" s="50"/>
      <c r="Q118" s="50"/>
      <c r="R118" s="50"/>
      <c r="S118" s="50" t="str">
        <f t="shared" si="18"/>
        <v/>
      </c>
      <c r="T118" s="50" t="str">
        <f t="shared" si="21"/>
        <v/>
      </c>
      <c r="U118" s="50" t="str">
        <f t="shared" si="19"/>
        <v/>
      </c>
      <c r="V118" s="50" t="str">
        <f t="shared" si="20"/>
        <v/>
      </c>
      <c r="W118" s="50"/>
      <c r="X118" s="50" t="s">
        <v>4</v>
      </c>
      <c r="Y118" s="50" t="s">
        <v>50</v>
      </c>
      <c r="Z118" s="50" t="s">
        <v>3406</v>
      </c>
      <c r="AA118" s="50"/>
    </row>
    <row r="119" spans="1:27" ht="25.5" customHeight="1">
      <c r="A119" s="50" t="s">
        <v>773</v>
      </c>
      <c r="B119" s="51" t="s">
        <v>983</v>
      </c>
      <c r="C119" s="51" t="s">
        <v>159</v>
      </c>
      <c r="D119" s="51" t="s">
        <v>3557</v>
      </c>
      <c r="E119" s="50">
        <v>784</v>
      </c>
      <c r="F119" s="50">
        <v>900</v>
      </c>
      <c r="G119" s="50" t="s">
        <v>3404</v>
      </c>
      <c r="H119" s="50">
        <v>2024</v>
      </c>
      <c r="I119" s="520">
        <v>45544</v>
      </c>
      <c r="J119" s="50"/>
      <c r="K119" s="50" t="s">
        <v>14</v>
      </c>
      <c r="L119" s="50"/>
      <c r="M119" s="50" t="s">
        <v>163</v>
      </c>
      <c r="N119" s="50"/>
      <c r="O119" s="50"/>
      <c r="P119" s="50"/>
      <c r="Q119" s="50"/>
      <c r="R119" s="50"/>
      <c r="S119" s="50" t="str">
        <f t="shared" si="18"/>
        <v/>
      </c>
      <c r="T119" s="50" t="str">
        <f t="shared" si="21"/>
        <v/>
      </c>
      <c r="U119" s="50" t="str">
        <f t="shared" si="19"/>
        <v/>
      </c>
      <c r="V119" s="50" t="str">
        <f t="shared" si="20"/>
        <v/>
      </c>
      <c r="W119" s="50"/>
      <c r="X119" s="50" t="s">
        <v>4</v>
      </c>
      <c r="Y119" s="50" t="s">
        <v>57</v>
      </c>
      <c r="Z119" s="50" t="s">
        <v>3406</v>
      </c>
      <c r="AA119" s="50"/>
    </row>
    <row r="120" spans="1:27" ht="25.5" customHeight="1">
      <c r="A120" s="50" t="s">
        <v>773</v>
      </c>
      <c r="B120" s="51" t="s">
        <v>983</v>
      </c>
      <c r="C120" s="51" t="s">
        <v>159</v>
      </c>
      <c r="D120" s="51" t="s">
        <v>3558</v>
      </c>
      <c r="E120" s="50">
        <v>1825</v>
      </c>
      <c r="F120" s="50">
        <v>2210</v>
      </c>
      <c r="G120" s="50" t="s">
        <v>3404</v>
      </c>
      <c r="H120" s="50">
        <v>2024</v>
      </c>
      <c r="I120" s="132">
        <v>45608</v>
      </c>
      <c r="J120" s="50"/>
      <c r="K120" s="50" t="s">
        <v>14</v>
      </c>
      <c r="L120" s="50"/>
      <c r="M120" s="50" t="s">
        <v>163</v>
      </c>
      <c r="N120" s="50"/>
      <c r="O120" s="50"/>
      <c r="P120" s="50"/>
      <c r="Q120" s="50"/>
      <c r="R120" s="50"/>
      <c r="S120" s="50" t="str">
        <f t="shared" si="18"/>
        <v/>
      </c>
      <c r="T120" s="50" t="str">
        <f t="shared" si="21"/>
        <v/>
      </c>
      <c r="U120" s="50" t="str">
        <f t="shared" si="19"/>
        <v/>
      </c>
      <c r="V120" s="50" t="str">
        <f t="shared" si="20"/>
        <v/>
      </c>
      <c r="W120" s="50"/>
      <c r="X120" s="50" t="s">
        <v>4</v>
      </c>
      <c r="Y120" s="50" t="s">
        <v>50</v>
      </c>
      <c r="Z120" s="50" t="s">
        <v>3406</v>
      </c>
      <c r="AA120" s="50"/>
    </row>
    <row r="121" spans="1:27" ht="25.5" customHeight="1">
      <c r="A121" s="50" t="s">
        <v>773</v>
      </c>
      <c r="B121" s="51" t="s">
        <v>983</v>
      </c>
      <c r="C121" s="51" t="s">
        <v>159</v>
      </c>
      <c r="D121" s="51" t="s">
        <v>3559</v>
      </c>
      <c r="E121" s="50">
        <v>729</v>
      </c>
      <c r="F121" s="50">
        <v>974</v>
      </c>
      <c r="G121" s="50" t="s">
        <v>3404</v>
      </c>
      <c r="H121" s="50">
        <v>2024</v>
      </c>
      <c r="I121" s="132">
        <v>45576</v>
      </c>
      <c r="J121" s="50"/>
      <c r="K121" s="50" t="s">
        <v>14</v>
      </c>
      <c r="L121" s="50"/>
      <c r="M121" s="50" t="s">
        <v>163</v>
      </c>
      <c r="N121" s="50"/>
      <c r="O121" s="50"/>
      <c r="P121" s="50"/>
      <c r="Q121" s="50"/>
      <c r="R121" s="50"/>
      <c r="S121" s="50" t="str">
        <f t="shared" si="18"/>
        <v/>
      </c>
      <c r="T121" s="50" t="str">
        <f t="shared" si="21"/>
        <v/>
      </c>
      <c r="U121" s="50" t="str">
        <f t="shared" si="19"/>
        <v/>
      </c>
      <c r="V121" s="50" t="str">
        <f t="shared" si="20"/>
        <v/>
      </c>
      <c r="W121" s="50"/>
      <c r="X121" s="50" t="s">
        <v>4</v>
      </c>
      <c r="Y121" s="50" t="s">
        <v>50</v>
      </c>
      <c r="Z121" s="50" t="s">
        <v>3406</v>
      </c>
      <c r="AA121" s="50"/>
    </row>
    <row r="122" spans="1:27" ht="25.5" customHeight="1">
      <c r="A122" s="50" t="s">
        <v>773</v>
      </c>
      <c r="B122" s="51" t="s">
        <v>983</v>
      </c>
      <c r="C122" s="51" t="s">
        <v>159</v>
      </c>
      <c r="D122" s="51" t="s">
        <v>1867</v>
      </c>
      <c r="E122" s="50">
        <v>654</v>
      </c>
      <c r="F122" s="50">
        <v>788</v>
      </c>
      <c r="G122" s="50" t="s">
        <v>3404</v>
      </c>
      <c r="H122" s="50">
        <v>2024</v>
      </c>
      <c r="I122" s="132">
        <v>45420</v>
      </c>
      <c r="J122" s="50"/>
      <c r="K122" s="50" t="s">
        <v>14</v>
      </c>
      <c r="L122" s="50"/>
      <c r="M122" s="50" t="s">
        <v>163</v>
      </c>
      <c r="N122" s="50"/>
      <c r="O122" s="50"/>
      <c r="P122" s="50"/>
      <c r="Q122" s="50"/>
      <c r="R122" s="50"/>
      <c r="S122" s="50" t="str">
        <f t="shared" si="18"/>
        <v/>
      </c>
      <c r="T122" s="50" t="str">
        <f t="shared" si="21"/>
        <v/>
      </c>
      <c r="U122" s="50" t="str">
        <f t="shared" si="19"/>
        <v/>
      </c>
      <c r="V122" s="50" t="str">
        <f t="shared" si="20"/>
        <v/>
      </c>
      <c r="W122" s="50"/>
      <c r="X122" s="50"/>
      <c r="Y122" s="50"/>
      <c r="Z122" s="50" t="s">
        <v>3406</v>
      </c>
      <c r="AA122" s="50"/>
    </row>
    <row r="123" spans="1:27" s="110" customFormat="1" ht="25.5" customHeight="1">
      <c r="A123" s="517" t="s">
        <v>773</v>
      </c>
      <c r="B123" s="51" t="s">
        <v>983</v>
      </c>
      <c r="C123" s="51" t="s">
        <v>159</v>
      </c>
      <c r="D123" s="54" t="s">
        <v>3560</v>
      </c>
      <c r="E123" s="50">
        <v>466</v>
      </c>
      <c r="F123" s="50">
        <v>448</v>
      </c>
      <c r="G123" s="50" t="s">
        <v>3404</v>
      </c>
      <c r="H123" s="50">
        <v>2025</v>
      </c>
      <c r="I123" s="60">
        <v>45965</v>
      </c>
      <c r="J123" s="50"/>
      <c r="K123" s="50" t="s">
        <v>14</v>
      </c>
      <c r="L123" s="50"/>
      <c r="M123" s="50" t="s">
        <v>163</v>
      </c>
      <c r="N123" s="50" t="s">
        <v>3561</v>
      </c>
      <c r="O123" s="60">
        <v>45965</v>
      </c>
      <c r="P123" s="60"/>
      <c r="Q123" s="60">
        <v>45966</v>
      </c>
      <c r="R123" s="60">
        <v>45966</v>
      </c>
      <c r="S123" s="50">
        <f t="shared" si="18"/>
        <v>1</v>
      </c>
      <c r="T123" s="50" t="str">
        <f t="shared" si="21"/>
        <v/>
      </c>
      <c r="U123" s="50">
        <f t="shared" si="19"/>
        <v>1</v>
      </c>
      <c r="V123" s="50">
        <f t="shared" si="20"/>
        <v>1</v>
      </c>
      <c r="W123" s="50" t="s">
        <v>150</v>
      </c>
      <c r="X123" s="50" t="s">
        <v>1078</v>
      </c>
      <c r="Y123" s="50" t="s">
        <v>50</v>
      </c>
      <c r="Z123" s="50" t="s">
        <v>3406</v>
      </c>
      <c r="AA123" s="50"/>
    </row>
    <row r="124" spans="1:27" ht="25.5" customHeight="1">
      <c r="A124" s="50" t="s">
        <v>773</v>
      </c>
      <c r="B124" s="51" t="s">
        <v>983</v>
      </c>
      <c r="C124" s="51" t="s">
        <v>159</v>
      </c>
      <c r="D124" s="51" t="s">
        <v>3562</v>
      </c>
      <c r="E124" s="50">
        <v>1843</v>
      </c>
      <c r="F124" s="50">
        <v>1913</v>
      </c>
      <c r="G124" s="50" t="s">
        <v>3404</v>
      </c>
      <c r="H124" s="50">
        <v>2024</v>
      </c>
      <c r="I124" s="132">
        <v>45552</v>
      </c>
      <c r="J124" s="50"/>
      <c r="K124" s="50" t="s">
        <v>14</v>
      </c>
      <c r="L124" s="50"/>
      <c r="M124" s="50" t="s">
        <v>163</v>
      </c>
      <c r="N124" s="50"/>
      <c r="O124" s="50"/>
      <c r="P124" s="50"/>
      <c r="Q124" s="50"/>
      <c r="R124" s="50"/>
      <c r="S124" s="50" t="str">
        <f t="shared" si="18"/>
        <v/>
      </c>
      <c r="T124" s="50" t="str">
        <f t="shared" si="21"/>
        <v/>
      </c>
      <c r="U124" s="50" t="str">
        <f t="shared" si="19"/>
        <v/>
      </c>
      <c r="V124" s="50" t="str">
        <f t="shared" si="20"/>
        <v/>
      </c>
      <c r="W124" s="50"/>
      <c r="X124" s="50" t="s">
        <v>4</v>
      </c>
      <c r="Y124" s="50" t="s">
        <v>50</v>
      </c>
      <c r="Z124" s="50" t="s">
        <v>3406</v>
      </c>
      <c r="AA124" s="50"/>
    </row>
    <row r="125" spans="1:27" ht="25.5" customHeight="1">
      <c r="A125" s="50" t="s">
        <v>773</v>
      </c>
      <c r="B125" s="51" t="s">
        <v>983</v>
      </c>
      <c r="C125" s="51" t="s">
        <v>159</v>
      </c>
      <c r="D125" s="51" t="s">
        <v>3563</v>
      </c>
      <c r="E125" s="50">
        <v>1843</v>
      </c>
      <c r="F125" s="50">
        <v>1382</v>
      </c>
      <c r="G125" s="50" t="s">
        <v>3404</v>
      </c>
      <c r="H125" s="50">
        <v>2024</v>
      </c>
      <c r="I125" s="132">
        <v>45399</v>
      </c>
      <c r="J125" s="50"/>
      <c r="K125" s="50" t="s">
        <v>14</v>
      </c>
      <c r="L125" s="50"/>
      <c r="M125" s="50" t="s">
        <v>163</v>
      </c>
      <c r="N125" s="50"/>
      <c r="O125" s="50"/>
      <c r="P125" s="50"/>
      <c r="Q125" s="50"/>
      <c r="R125" s="50"/>
      <c r="S125" s="50" t="str">
        <f t="shared" si="18"/>
        <v/>
      </c>
      <c r="T125" s="50" t="str">
        <f t="shared" si="21"/>
        <v/>
      </c>
      <c r="U125" s="50" t="str">
        <f t="shared" si="19"/>
        <v/>
      </c>
      <c r="V125" s="50" t="str">
        <f t="shared" si="20"/>
        <v/>
      </c>
      <c r="W125" s="50"/>
      <c r="X125" s="50"/>
      <c r="Y125" s="50"/>
      <c r="Z125" s="50" t="s">
        <v>3406</v>
      </c>
      <c r="AA125" s="50"/>
    </row>
    <row r="126" spans="1:27" ht="25.5" customHeight="1">
      <c r="A126" s="50" t="s">
        <v>773</v>
      </c>
      <c r="B126" s="51" t="s">
        <v>983</v>
      </c>
      <c r="C126" s="51" t="s">
        <v>159</v>
      </c>
      <c r="D126" s="51" t="s">
        <v>987</v>
      </c>
      <c r="E126" s="50">
        <v>1714</v>
      </c>
      <c r="F126" s="50">
        <v>2086</v>
      </c>
      <c r="G126" s="50" t="s">
        <v>3404</v>
      </c>
      <c r="H126" s="50">
        <v>2024</v>
      </c>
      <c r="I126" s="105" t="s">
        <v>3422</v>
      </c>
      <c r="J126" s="50"/>
      <c r="K126" s="50" t="s">
        <v>14</v>
      </c>
      <c r="L126" s="50"/>
      <c r="M126" s="50" t="s">
        <v>163</v>
      </c>
      <c r="N126" s="50"/>
      <c r="O126" s="50"/>
      <c r="P126" s="50"/>
      <c r="Q126" s="50"/>
      <c r="R126" s="50"/>
      <c r="S126" s="50" t="str">
        <f t="shared" si="18"/>
        <v/>
      </c>
      <c r="T126" s="50" t="str">
        <f t="shared" si="21"/>
        <v/>
      </c>
      <c r="U126" s="50" t="str">
        <f t="shared" si="19"/>
        <v/>
      </c>
      <c r="V126" s="50" t="str">
        <f t="shared" si="20"/>
        <v/>
      </c>
      <c r="W126" s="50"/>
      <c r="X126" s="50"/>
      <c r="Y126" s="50"/>
      <c r="Z126" s="50"/>
      <c r="AA126" s="50"/>
    </row>
    <row r="127" spans="1:27" ht="25.5" customHeight="1">
      <c r="A127" s="50" t="s">
        <v>773</v>
      </c>
      <c r="B127" s="51" t="s">
        <v>983</v>
      </c>
      <c r="C127" s="51" t="s">
        <v>159</v>
      </c>
      <c r="D127" s="51" t="s">
        <v>858</v>
      </c>
      <c r="E127" s="50">
        <v>1677</v>
      </c>
      <c r="F127" s="50">
        <v>1773</v>
      </c>
      <c r="G127" s="50" t="s">
        <v>3404</v>
      </c>
      <c r="H127" s="50">
        <v>2024</v>
      </c>
      <c r="I127" s="105" t="s">
        <v>3564</v>
      </c>
      <c r="J127" s="50"/>
      <c r="K127" s="50" t="s">
        <v>14</v>
      </c>
      <c r="L127" s="50"/>
      <c r="M127" s="50" t="s">
        <v>163</v>
      </c>
      <c r="N127" s="50"/>
      <c r="O127" s="50"/>
      <c r="P127" s="50"/>
      <c r="Q127" s="50"/>
      <c r="R127" s="50"/>
      <c r="S127" s="50" t="str">
        <f t="shared" si="18"/>
        <v/>
      </c>
      <c r="T127" s="50" t="str">
        <f t="shared" si="21"/>
        <v/>
      </c>
      <c r="U127" s="50" t="str">
        <f t="shared" si="19"/>
        <v/>
      </c>
      <c r="V127" s="50" t="str">
        <f t="shared" si="20"/>
        <v/>
      </c>
      <c r="W127" s="50"/>
      <c r="X127" s="50"/>
      <c r="Y127" s="50"/>
      <c r="Z127" s="50" t="s">
        <v>3406</v>
      </c>
      <c r="AA127" s="50"/>
    </row>
    <row r="128" spans="1:27" ht="25.5" customHeight="1">
      <c r="A128" s="50" t="s">
        <v>773</v>
      </c>
      <c r="B128" s="51" t="s">
        <v>983</v>
      </c>
      <c r="C128" s="51" t="s">
        <v>159</v>
      </c>
      <c r="D128" s="51" t="s">
        <v>918</v>
      </c>
      <c r="E128" s="50">
        <v>876</v>
      </c>
      <c r="F128" s="50">
        <v>1048</v>
      </c>
      <c r="G128" s="50" t="s">
        <v>3404</v>
      </c>
      <c r="H128" s="50">
        <v>2024</v>
      </c>
      <c r="I128" s="132">
        <v>45574</v>
      </c>
      <c r="J128" s="50"/>
      <c r="K128" s="50" t="s">
        <v>14</v>
      </c>
      <c r="L128" s="50"/>
      <c r="M128" s="50" t="s">
        <v>163</v>
      </c>
      <c r="N128" s="50"/>
      <c r="O128" s="50"/>
      <c r="P128" s="50"/>
      <c r="Q128" s="50"/>
      <c r="R128" s="50"/>
      <c r="S128" s="50" t="str">
        <f t="shared" si="18"/>
        <v/>
      </c>
      <c r="T128" s="50" t="str">
        <f t="shared" si="21"/>
        <v/>
      </c>
      <c r="U128" s="50" t="str">
        <f t="shared" si="19"/>
        <v/>
      </c>
      <c r="V128" s="50" t="str">
        <f t="shared" si="20"/>
        <v/>
      </c>
      <c r="W128" s="50"/>
      <c r="X128" s="50" t="s">
        <v>4</v>
      </c>
      <c r="Y128" s="50" t="s">
        <v>50</v>
      </c>
      <c r="Z128" s="50" t="s">
        <v>3406</v>
      </c>
      <c r="AA128" s="50"/>
    </row>
    <row r="129" spans="1:27" ht="25.5" customHeight="1">
      <c r="A129" s="50" t="s">
        <v>773</v>
      </c>
      <c r="B129" s="51" t="s">
        <v>983</v>
      </c>
      <c r="C129" s="51" t="s">
        <v>159</v>
      </c>
      <c r="D129" s="51" t="s">
        <v>1314</v>
      </c>
      <c r="E129" s="50">
        <v>455</v>
      </c>
      <c r="F129" s="50">
        <v>595</v>
      </c>
      <c r="G129" s="50" t="s">
        <v>3404</v>
      </c>
      <c r="H129" s="50">
        <v>2024</v>
      </c>
      <c r="I129" s="132">
        <v>45449</v>
      </c>
      <c r="J129" s="50"/>
      <c r="K129" s="50" t="s">
        <v>14</v>
      </c>
      <c r="L129" s="50"/>
      <c r="M129" s="50" t="s">
        <v>163</v>
      </c>
      <c r="N129" s="50"/>
      <c r="O129" s="50"/>
      <c r="P129" s="50"/>
      <c r="Q129" s="50"/>
      <c r="R129" s="50"/>
      <c r="S129" s="50" t="str">
        <f t="shared" si="18"/>
        <v/>
      </c>
      <c r="T129" s="50" t="str">
        <f t="shared" si="21"/>
        <v/>
      </c>
      <c r="U129" s="50" t="str">
        <f t="shared" si="19"/>
        <v/>
      </c>
      <c r="V129" s="50" t="str">
        <f t="shared" si="20"/>
        <v/>
      </c>
      <c r="W129" s="50"/>
      <c r="X129" s="50"/>
      <c r="Y129" s="50"/>
      <c r="Z129" s="50" t="s">
        <v>3406</v>
      </c>
      <c r="AA129" s="50"/>
    </row>
    <row r="130" spans="1:27" ht="25.5" customHeight="1">
      <c r="A130" s="50" t="s">
        <v>773</v>
      </c>
      <c r="B130" s="51" t="s">
        <v>983</v>
      </c>
      <c r="C130" s="51" t="s">
        <v>159</v>
      </c>
      <c r="D130" s="51" t="s">
        <v>3565</v>
      </c>
      <c r="E130" s="50">
        <v>578</v>
      </c>
      <c r="F130" s="50">
        <v>566</v>
      </c>
      <c r="G130" s="50" t="s">
        <v>3404</v>
      </c>
      <c r="H130" s="50">
        <v>2024</v>
      </c>
      <c r="I130" s="132">
        <v>45454</v>
      </c>
      <c r="J130" s="50"/>
      <c r="K130" s="50" t="s">
        <v>14</v>
      </c>
      <c r="L130" s="50"/>
      <c r="M130" s="50" t="s">
        <v>163</v>
      </c>
      <c r="N130" s="50"/>
      <c r="O130" s="50"/>
      <c r="P130" s="50"/>
      <c r="Q130" s="50"/>
      <c r="R130" s="50"/>
      <c r="S130" s="50" t="str">
        <f t="shared" si="18"/>
        <v/>
      </c>
      <c r="T130" s="50" t="str">
        <f t="shared" ref="T130:T152" si="22">IF(
    OR(ISBLANK(P130), ISBLANK(Q130)),
    "",
    MAX(1, IF(
        NETWORKDAYS(P130, Q130) &lt;= 0,
        1,
        NETWORKDAYS(P130, Q130) - IF(P130 = Q130, 0, 1)
    ))
)</f>
        <v/>
      </c>
      <c r="U130" s="50" t="str">
        <f t="shared" si="19"/>
        <v/>
      </c>
      <c r="V130" s="50" t="str">
        <f t="shared" si="20"/>
        <v/>
      </c>
      <c r="W130" s="50"/>
      <c r="X130" s="50"/>
      <c r="Y130" s="50"/>
      <c r="Z130" s="50" t="s">
        <v>3406</v>
      </c>
      <c r="AA130" s="50"/>
    </row>
    <row r="131" spans="1:27" ht="25.5" customHeight="1">
      <c r="A131" s="50" t="s">
        <v>773</v>
      </c>
      <c r="B131" s="51" t="s">
        <v>983</v>
      </c>
      <c r="C131" s="51" t="s">
        <v>159</v>
      </c>
      <c r="D131" s="51" t="s">
        <v>3566</v>
      </c>
      <c r="E131" s="50">
        <v>697</v>
      </c>
      <c r="F131" s="50">
        <v>776</v>
      </c>
      <c r="G131" s="50" t="s">
        <v>3404</v>
      </c>
      <c r="H131" s="50">
        <v>2024</v>
      </c>
      <c r="I131" s="132">
        <v>45510</v>
      </c>
      <c r="J131" s="50"/>
      <c r="K131" s="50" t="s">
        <v>14</v>
      </c>
      <c r="L131" s="50"/>
      <c r="M131" s="50" t="s">
        <v>163</v>
      </c>
      <c r="N131" s="50"/>
      <c r="O131" s="50"/>
      <c r="P131" s="50"/>
      <c r="Q131" s="50"/>
      <c r="R131" s="50"/>
      <c r="S131" s="50" t="str">
        <f t="shared" si="18"/>
        <v/>
      </c>
      <c r="T131" s="50" t="str">
        <f t="shared" si="22"/>
        <v/>
      </c>
      <c r="U131" s="50" t="str">
        <f t="shared" si="19"/>
        <v/>
      </c>
      <c r="V131" s="50" t="str">
        <f t="shared" si="20"/>
        <v/>
      </c>
      <c r="W131" s="50"/>
      <c r="X131" s="50" t="s">
        <v>4</v>
      </c>
      <c r="Y131" s="50" t="s">
        <v>50</v>
      </c>
      <c r="Z131" s="50" t="s">
        <v>3406</v>
      </c>
      <c r="AA131" s="50"/>
    </row>
    <row r="132" spans="1:27" ht="25.5" customHeight="1">
      <c r="A132" s="50" t="s">
        <v>773</v>
      </c>
      <c r="B132" s="51" t="s">
        <v>983</v>
      </c>
      <c r="C132" s="51" t="s">
        <v>159</v>
      </c>
      <c r="D132" s="51" t="s">
        <v>3567</v>
      </c>
      <c r="E132" s="50">
        <v>604</v>
      </c>
      <c r="F132" s="50">
        <v>608</v>
      </c>
      <c r="G132" s="50" t="s">
        <v>3404</v>
      </c>
      <c r="H132" s="50">
        <v>2024</v>
      </c>
      <c r="I132" s="132">
        <v>45581</v>
      </c>
      <c r="J132" s="50"/>
      <c r="K132" s="50" t="s">
        <v>14</v>
      </c>
      <c r="L132" s="50"/>
      <c r="M132" s="50" t="s">
        <v>163</v>
      </c>
      <c r="N132" s="50"/>
      <c r="O132" s="50"/>
      <c r="P132" s="50"/>
      <c r="Q132" s="50"/>
      <c r="R132" s="50"/>
      <c r="S132" s="50" t="str">
        <f t="shared" si="18"/>
        <v/>
      </c>
      <c r="T132" s="50" t="str">
        <f t="shared" si="22"/>
        <v/>
      </c>
      <c r="U132" s="50" t="str">
        <f t="shared" si="19"/>
        <v/>
      </c>
      <c r="V132" s="50" t="str">
        <f t="shared" si="20"/>
        <v/>
      </c>
      <c r="W132" s="50"/>
      <c r="X132" s="50" t="s">
        <v>4</v>
      </c>
      <c r="Y132" s="50" t="s">
        <v>50</v>
      </c>
      <c r="Z132" s="50" t="s">
        <v>3406</v>
      </c>
      <c r="AA132" s="50"/>
    </row>
    <row r="133" spans="1:27" ht="25.5" customHeight="1">
      <c r="A133" s="50" t="s">
        <v>773</v>
      </c>
      <c r="B133" s="51" t="s">
        <v>983</v>
      </c>
      <c r="C133" s="51" t="s">
        <v>159</v>
      </c>
      <c r="D133" s="51" t="s">
        <v>3568</v>
      </c>
      <c r="E133" s="50">
        <v>878</v>
      </c>
      <c r="F133" s="50">
        <v>845</v>
      </c>
      <c r="G133" s="50" t="s">
        <v>3404</v>
      </c>
      <c r="H133" s="50">
        <v>2024</v>
      </c>
      <c r="I133" s="132">
        <v>45609</v>
      </c>
      <c r="J133" s="50"/>
      <c r="K133" s="50" t="s">
        <v>14</v>
      </c>
      <c r="L133" s="50"/>
      <c r="M133" s="50" t="s">
        <v>163</v>
      </c>
      <c r="N133" s="50"/>
      <c r="O133" s="50"/>
      <c r="P133" s="50"/>
      <c r="Q133" s="50"/>
      <c r="R133" s="50"/>
      <c r="S133" s="50" t="str">
        <f t="shared" si="18"/>
        <v/>
      </c>
      <c r="T133" s="50" t="str">
        <f t="shared" si="22"/>
        <v/>
      </c>
      <c r="U133" s="50" t="str">
        <f t="shared" si="19"/>
        <v/>
      </c>
      <c r="V133" s="50" t="str">
        <f t="shared" si="20"/>
        <v/>
      </c>
      <c r="W133" s="50"/>
      <c r="X133" s="50" t="s">
        <v>4</v>
      </c>
      <c r="Y133" s="50" t="s">
        <v>50</v>
      </c>
      <c r="Z133" s="50" t="s">
        <v>3406</v>
      </c>
      <c r="AA133" s="50"/>
    </row>
    <row r="134" spans="1:27" ht="25.5" customHeight="1">
      <c r="A134" s="50" t="s">
        <v>773</v>
      </c>
      <c r="B134" s="51" t="s">
        <v>983</v>
      </c>
      <c r="C134" s="51" t="s">
        <v>159</v>
      </c>
      <c r="D134" s="51" t="s">
        <v>3569</v>
      </c>
      <c r="E134" s="50">
        <v>1499</v>
      </c>
      <c r="F134" s="50">
        <v>1657</v>
      </c>
      <c r="G134" s="50" t="s">
        <v>3404</v>
      </c>
      <c r="H134" s="50">
        <v>2024</v>
      </c>
      <c r="I134" s="132">
        <v>45482</v>
      </c>
      <c r="J134" s="50"/>
      <c r="K134" s="50" t="s">
        <v>14</v>
      </c>
      <c r="L134" s="50"/>
      <c r="M134" s="50" t="s">
        <v>163</v>
      </c>
      <c r="N134" s="50"/>
      <c r="O134" s="50"/>
      <c r="P134" s="50"/>
      <c r="Q134" s="50"/>
      <c r="R134" s="50"/>
      <c r="S134" s="50" t="str">
        <f t="shared" si="18"/>
        <v/>
      </c>
      <c r="T134" s="50" t="str">
        <f t="shared" si="22"/>
        <v/>
      </c>
      <c r="U134" s="50" t="str">
        <f t="shared" si="19"/>
        <v/>
      </c>
      <c r="V134" s="50" t="str">
        <f t="shared" si="20"/>
        <v/>
      </c>
      <c r="W134" s="50"/>
      <c r="X134" s="50" t="s">
        <v>4</v>
      </c>
      <c r="Y134" s="50" t="s">
        <v>50</v>
      </c>
      <c r="Z134" s="50" t="s">
        <v>3406</v>
      </c>
      <c r="AA134" s="50"/>
    </row>
    <row r="135" spans="1:27" s="152" customFormat="1" ht="25.5" customHeight="1">
      <c r="A135" s="141" t="s">
        <v>773</v>
      </c>
      <c r="B135" s="141" t="s">
        <v>992</v>
      </c>
      <c r="C135" s="51" t="s">
        <v>159</v>
      </c>
      <c r="D135" s="141" t="s">
        <v>3570</v>
      </c>
      <c r="E135" s="141">
        <v>1773</v>
      </c>
      <c r="F135" s="141">
        <v>2026</v>
      </c>
      <c r="G135" s="141" t="s">
        <v>3404</v>
      </c>
      <c r="H135" s="141" t="s">
        <v>3449</v>
      </c>
      <c r="I135" s="470" t="s">
        <v>3571</v>
      </c>
      <c r="J135" s="141" t="s">
        <v>3416</v>
      </c>
      <c r="K135" s="141" t="s">
        <v>172</v>
      </c>
      <c r="L135" s="141"/>
      <c r="M135" s="141" t="s">
        <v>163</v>
      </c>
      <c r="N135" s="141" t="s">
        <v>3572</v>
      </c>
      <c r="O135" s="141" t="s">
        <v>3573</v>
      </c>
      <c r="P135" s="141"/>
      <c r="Q135" s="141" t="s">
        <v>3453</v>
      </c>
      <c r="R135" s="141" t="s">
        <v>3574</v>
      </c>
      <c r="S135" s="50"/>
      <c r="T135" s="50" t="str">
        <f t="shared" si="22"/>
        <v/>
      </c>
      <c r="U135" s="50"/>
      <c r="V135" s="50"/>
      <c r="W135" s="141" t="s">
        <v>150</v>
      </c>
      <c r="X135" s="141" t="s">
        <v>4</v>
      </c>
      <c r="Y135" s="141" t="s">
        <v>50</v>
      </c>
      <c r="Z135" s="141" t="s">
        <v>3406</v>
      </c>
      <c r="AA135" s="141"/>
    </row>
    <row r="136" spans="1:27" ht="25.5" customHeight="1">
      <c r="A136" s="50" t="s">
        <v>773</v>
      </c>
      <c r="B136" s="51" t="s">
        <v>992</v>
      </c>
      <c r="C136" s="51" t="s">
        <v>159</v>
      </c>
      <c r="D136" s="51" t="s">
        <v>3403</v>
      </c>
      <c r="E136" s="50">
        <v>368</v>
      </c>
      <c r="F136" s="50">
        <v>449</v>
      </c>
      <c r="G136" s="50" t="s">
        <v>3404</v>
      </c>
      <c r="H136" s="50">
        <v>2024</v>
      </c>
      <c r="I136" s="105" t="s">
        <v>3486</v>
      </c>
      <c r="J136" s="50"/>
      <c r="K136" s="50" t="s">
        <v>172</v>
      </c>
      <c r="L136" s="50"/>
      <c r="M136" s="50" t="s">
        <v>163</v>
      </c>
      <c r="N136" s="50"/>
      <c r="O136" s="50"/>
      <c r="P136" s="50"/>
      <c r="Q136" s="50"/>
      <c r="R136" s="50"/>
      <c r="S136" s="50" t="str">
        <f t="shared" ref="S136:S199" si="23">IF(
    OR(ISBLANK(I136), ISBLANK(O136)),
    "",
    MAX(1, IF(
        NETWORKDAYS(I136, O136) &lt;= 0,
        1,
        NETWORKDAYS(I136, O136) - IF(I136 = O136, 0, 1)
    ))
)</f>
        <v/>
      </c>
      <c r="T136" s="50" t="str">
        <f t="shared" si="22"/>
        <v/>
      </c>
      <c r="U136" s="50" t="str">
        <f t="shared" ref="U136:U199" si="24">IF(
    OR(ISBLANK(O136), ISBLANK(Q136)),
    "",
    MAX(1, IF(
        NETWORKDAYS(O136, Q136) &lt;= 0,
        1,
        NETWORKDAYS(O136, Q136) - IF(O136 = Q136, 0, 1)
    ))
)</f>
        <v/>
      </c>
      <c r="V136" s="50" t="str">
        <f t="shared" ref="V136:V152" si="25">IF(
    OR(ISBLANK(Q136), ISBLANK(R136)),
    "",
    MAX(1, IF(
        NETWORKDAYS(Q136, R136) &lt;= 0,
        1,
        NETWORKDAYS(Q136, R136) - IF(P136 = R136, 0, 1)
    ))
)</f>
        <v/>
      </c>
      <c r="W136" s="50"/>
      <c r="X136" s="50"/>
      <c r="Y136" s="50"/>
      <c r="Z136" s="50"/>
      <c r="AA136" s="50"/>
    </row>
    <row r="137" spans="1:27" ht="25.5" customHeight="1">
      <c r="A137" s="50" t="s">
        <v>773</v>
      </c>
      <c r="B137" s="51" t="s">
        <v>992</v>
      </c>
      <c r="C137" s="51" t="s">
        <v>159</v>
      </c>
      <c r="D137" s="51" t="s">
        <v>3407</v>
      </c>
      <c r="E137" s="50">
        <v>756</v>
      </c>
      <c r="F137" s="50">
        <v>737</v>
      </c>
      <c r="G137" s="50" t="s">
        <v>3404</v>
      </c>
      <c r="H137" s="50">
        <v>2024</v>
      </c>
      <c r="I137" s="105" t="s">
        <v>3575</v>
      </c>
      <c r="J137" s="50"/>
      <c r="K137" s="50" t="s">
        <v>172</v>
      </c>
      <c r="L137" s="50"/>
      <c r="M137" s="50" t="s">
        <v>163</v>
      </c>
      <c r="N137" s="50"/>
      <c r="O137" s="50"/>
      <c r="P137" s="50"/>
      <c r="Q137" s="50"/>
      <c r="R137" s="50"/>
      <c r="S137" s="50" t="str">
        <f t="shared" si="23"/>
        <v/>
      </c>
      <c r="T137" s="50" t="str">
        <f t="shared" si="22"/>
        <v/>
      </c>
      <c r="U137" s="50" t="str">
        <f t="shared" si="24"/>
        <v/>
      </c>
      <c r="V137" s="50" t="str">
        <f t="shared" si="25"/>
        <v/>
      </c>
      <c r="W137" s="50"/>
      <c r="X137" s="50"/>
      <c r="Y137" s="50"/>
      <c r="Z137" s="50"/>
      <c r="AA137" s="50"/>
    </row>
    <row r="138" spans="1:27" ht="25.5" customHeight="1">
      <c r="A138" s="50" t="s">
        <v>773</v>
      </c>
      <c r="B138" s="51" t="s">
        <v>992</v>
      </c>
      <c r="C138" s="51" t="s">
        <v>159</v>
      </c>
      <c r="D138" s="51" t="s">
        <v>3409</v>
      </c>
      <c r="E138" s="50">
        <v>730</v>
      </c>
      <c r="F138" s="50">
        <v>842</v>
      </c>
      <c r="G138" s="50" t="s">
        <v>3404</v>
      </c>
      <c r="H138" s="50">
        <v>2024</v>
      </c>
      <c r="I138" s="105" t="s">
        <v>3575</v>
      </c>
      <c r="J138" s="50"/>
      <c r="K138" s="50" t="s">
        <v>172</v>
      </c>
      <c r="L138" s="50"/>
      <c r="M138" s="50" t="s">
        <v>163</v>
      </c>
      <c r="N138" s="50"/>
      <c r="O138" s="50"/>
      <c r="P138" s="50"/>
      <c r="Q138" s="50"/>
      <c r="R138" s="50"/>
      <c r="S138" s="50" t="str">
        <f t="shared" si="23"/>
        <v/>
      </c>
      <c r="T138" s="50" t="str">
        <f t="shared" si="22"/>
        <v/>
      </c>
      <c r="U138" s="50" t="str">
        <f t="shared" si="24"/>
        <v/>
      </c>
      <c r="V138" s="50" t="str">
        <f t="shared" si="25"/>
        <v/>
      </c>
      <c r="W138" s="50"/>
      <c r="X138" s="50"/>
      <c r="Y138" s="50"/>
      <c r="Z138" s="50"/>
      <c r="AA138" s="50"/>
    </row>
    <row r="139" spans="1:27" ht="25.5" customHeight="1">
      <c r="A139" s="50" t="s">
        <v>773</v>
      </c>
      <c r="B139" s="51" t="s">
        <v>992</v>
      </c>
      <c r="C139" s="51" t="s">
        <v>159</v>
      </c>
      <c r="D139" s="51" t="s">
        <v>3410</v>
      </c>
      <c r="E139" s="50">
        <v>1301</v>
      </c>
      <c r="F139" s="50">
        <v>1214</v>
      </c>
      <c r="G139" s="50" t="s">
        <v>3404</v>
      </c>
      <c r="H139" s="50">
        <v>2024</v>
      </c>
      <c r="I139" s="132">
        <v>45569</v>
      </c>
      <c r="J139" s="50"/>
      <c r="K139" s="50" t="s">
        <v>172</v>
      </c>
      <c r="L139" s="50"/>
      <c r="M139" s="50" t="s">
        <v>163</v>
      </c>
      <c r="N139" s="50"/>
      <c r="O139" s="50"/>
      <c r="P139" s="50"/>
      <c r="Q139" s="50"/>
      <c r="R139" s="50"/>
      <c r="S139" s="50" t="str">
        <f t="shared" si="23"/>
        <v/>
      </c>
      <c r="T139" s="50" t="str">
        <f t="shared" si="22"/>
        <v/>
      </c>
      <c r="U139" s="50" t="str">
        <f t="shared" si="24"/>
        <v/>
      </c>
      <c r="V139" s="50" t="str">
        <f t="shared" si="25"/>
        <v/>
      </c>
      <c r="W139" s="50"/>
      <c r="X139" s="50" t="s">
        <v>4</v>
      </c>
      <c r="Y139" s="50" t="s">
        <v>50</v>
      </c>
      <c r="Z139" s="50" t="s">
        <v>3406</v>
      </c>
      <c r="AA139" s="50"/>
    </row>
    <row r="140" spans="1:27" ht="25.5" customHeight="1">
      <c r="A140" s="50" t="s">
        <v>773</v>
      </c>
      <c r="B140" s="51" t="s">
        <v>992</v>
      </c>
      <c r="C140" s="51" t="s">
        <v>159</v>
      </c>
      <c r="D140" s="54" t="s">
        <v>3576</v>
      </c>
      <c r="E140" s="50">
        <v>137</v>
      </c>
      <c r="F140" s="50">
        <v>182</v>
      </c>
      <c r="G140" s="50" t="s">
        <v>3404</v>
      </c>
      <c r="H140" s="50">
        <v>2024</v>
      </c>
      <c r="I140" s="132">
        <v>45603</v>
      </c>
      <c r="J140" s="50"/>
      <c r="K140" s="50" t="s">
        <v>172</v>
      </c>
      <c r="L140" s="50"/>
      <c r="M140" s="50" t="s">
        <v>163</v>
      </c>
      <c r="N140" s="50"/>
      <c r="O140" s="50"/>
      <c r="P140" s="50"/>
      <c r="Q140" s="50"/>
      <c r="R140" s="50"/>
      <c r="S140" s="50" t="str">
        <f t="shared" si="23"/>
        <v/>
      </c>
      <c r="T140" s="50" t="str">
        <f t="shared" si="22"/>
        <v/>
      </c>
      <c r="U140" s="50" t="str">
        <f t="shared" si="24"/>
        <v/>
      </c>
      <c r="V140" s="50" t="str">
        <f t="shared" si="25"/>
        <v/>
      </c>
      <c r="W140" s="50"/>
      <c r="X140" s="50" t="s">
        <v>1078</v>
      </c>
      <c r="Y140" s="50" t="s">
        <v>3528</v>
      </c>
      <c r="Z140" s="50" t="s">
        <v>3406</v>
      </c>
      <c r="AA140" s="50"/>
    </row>
    <row r="141" spans="1:27" ht="25.5" customHeight="1">
      <c r="A141" s="517" t="s">
        <v>773</v>
      </c>
      <c r="B141" s="51" t="s">
        <v>992</v>
      </c>
      <c r="C141" s="51" t="s">
        <v>159</v>
      </c>
      <c r="D141" s="54" t="s">
        <v>3577</v>
      </c>
      <c r="E141" s="50">
        <v>1177</v>
      </c>
      <c r="F141" s="50">
        <v>1008</v>
      </c>
      <c r="G141" s="50" t="s">
        <v>3404</v>
      </c>
      <c r="H141" s="50">
        <v>2025</v>
      </c>
      <c r="I141" s="132">
        <v>45834</v>
      </c>
      <c r="J141" s="50" t="s">
        <v>3125</v>
      </c>
      <c r="K141" s="50" t="s">
        <v>172</v>
      </c>
      <c r="L141" s="50"/>
      <c r="M141" s="50" t="s">
        <v>163</v>
      </c>
      <c r="N141" s="50" t="s">
        <v>3578</v>
      </c>
      <c r="O141" s="60">
        <v>45839</v>
      </c>
      <c r="P141" s="50"/>
      <c r="Q141" s="60">
        <v>45845</v>
      </c>
      <c r="R141" s="60">
        <v>45845</v>
      </c>
      <c r="S141" s="50">
        <f t="shared" si="23"/>
        <v>3</v>
      </c>
      <c r="T141" s="50" t="str">
        <f t="shared" si="22"/>
        <v/>
      </c>
      <c r="U141" s="50">
        <f t="shared" si="24"/>
        <v>4</v>
      </c>
      <c r="V141" s="50">
        <f t="shared" si="25"/>
        <v>1</v>
      </c>
      <c r="W141" s="50" t="s">
        <v>150</v>
      </c>
      <c r="X141" s="50" t="s">
        <v>4</v>
      </c>
      <c r="Y141" s="50" t="s">
        <v>57</v>
      </c>
      <c r="Z141" s="50" t="s">
        <v>3406</v>
      </c>
      <c r="AA141" s="50"/>
    </row>
    <row r="142" spans="1:27" ht="25.5" customHeight="1">
      <c r="A142" s="517" t="s">
        <v>773</v>
      </c>
      <c r="B142" s="51" t="s">
        <v>992</v>
      </c>
      <c r="C142" s="51" t="s">
        <v>159</v>
      </c>
      <c r="D142" s="54" t="s">
        <v>3579</v>
      </c>
      <c r="E142" s="50">
        <v>909</v>
      </c>
      <c r="F142" s="50">
        <v>779</v>
      </c>
      <c r="G142" s="50" t="s">
        <v>3404</v>
      </c>
      <c r="H142" s="50">
        <v>2025</v>
      </c>
      <c r="I142" s="132">
        <v>45835</v>
      </c>
      <c r="J142" s="50" t="s">
        <v>3125</v>
      </c>
      <c r="K142" s="50" t="s">
        <v>172</v>
      </c>
      <c r="L142" s="50"/>
      <c r="M142" s="50" t="s">
        <v>163</v>
      </c>
      <c r="N142" s="50" t="s">
        <v>3580</v>
      </c>
      <c r="O142" s="60">
        <v>45839</v>
      </c>
      <c r="P142" s="50"/>
      <c r="Q142" s="60">
        <v>45840</v>
      </c>
      <c r="R142" s="60">
        <v>45845</v>
      </c>
      <c r="S142" s="50">
        <f t="shared" si="23"/>
        <v>2</v>
      </c>
      <c r="T142" s="50" t="str">
        <f t="shared" si="22"/>
        <v/>
      </c>
      <c r="U142" s="50">
        <f t="shared" si="24"/>
        <v>1</v>
      </c>
      <c r="V142" s="50">
        <f t="shared" si="25"/>
        <v>3</v>
      </c>
      <c r="W142" s="50" t="s">
        <v>150</v>
      </c>
      <c r="X142" s="50" t="s">
        <v>1078</v>
      </c>
      <c r="Y142" s="50" t="s">
        <v>57</v>
      </c>
      <c r="Z142" s="50" t="s">
        <v>3406</v>
      </c>
      <c r="AA142" s="50"/>
    </row>
    <row r="143" spans="1:27" ht="25.5" customHeight="1">
      <c r="A143" s="517" t="s">
        <v>773</v>
      </c>
      <c r="B143" s="51" t="s">
        <v>992</v>
      </c>
      <c r="C143" s="51" t="s">
        <v>159</v>
      </c>
      <c r="D143" s="54" t="s">
        <v>3581</v>
      </c>
      <c r="E143" s="50">
        <v>2159</v>
      </c>
      <c r="F143" s="50">
        <v>1836</v>
      </c>
      <c r="G143" s="50" t="s">
        <v>3404</v>
      </c>
      <c r="H143" s="50">
        <v>2025</v>
      </c>
      <c r="I143" s="132">
        <v>45834</v>
      </c>
      <c r="J143" s="50" t="s">
        <v>3125</v>
      </c>
      <c r="K143" s="50" t="s">
        <v>172</v>
      </c>
      <c r="L143" s="50"/>
      <c r="M143" s="50" t="s">
        <v>163</v>
      </c>
      <c r="N143" s="50" t="s">
        <v>3582</v>
      </c>
      <c r="O143" s="60">
        <v>45839</v>
      </c>
      <c r="P143" s="50"/>
      <c r="Q143" s="60">
        <v>45845</v>
      </c>
      <c r="R143" s="60">
        <v>45845</v>
      </c>
      <c r="S143" s="50">
        <f t="shared" si="23"/>
        <v>3</v>
      </c>
      <c r="T143" s="50" t="str">
        <f t="shared" si="22"/>
        <v/>
      </c>
      <c r="U143" s="50">
        <f t="shared" si="24"/>
        <v>4</v>
      </c>
      <c r="V143" s="50">
        <f t="shared" si="25"/>
        <v>1</v>
      </c>
      <c r="W143" s="50" t="s">
        <v>150</v>
      </c>
      <c r="X143" s="50" t="s">
        <v>1078</v>
      </c>
      <c r="Y143" s="50" t="s">
        <v>57</v>
      </c>
      <c r="Z143" s="50" t="s">
        <v>3406</v>
      </c>
      <c r="AA143" s="50"/>
    </row>
    <row r="144" spans="1:27" s="110" customFormat="1" ht="25.5" customHeight="1">
      <c r="A144" s="517" t="s">
        <v>773</v>
      </c>
      <c r="B144" s="51" t="s">
        <v>992</v>
      </c>
      <c r="C144" s="51" t="s">
        <v>159</v>
      </c>
      <c r="D144" s="54" t="s">
        <v>3583</v>
      </c>
      <c r="E144" s="50">
        <v>1243</v>
      </c>
      <c r="F144" s="50">
        <v>1322</v>
      </c>
      <c r="G144" s="50" t="s">
        <v>3404</v>
      </c>
      <c r="H144" s="50">
        <v>2025</v>
      </c>
      <c r="I144" s="132">
        <v>45832</v>
      </c>
      <c r="J144" s="50" t="s">
        <v>3125</v>
      </c>
      <c r="K144" s="50" t="s">
        <v>172</v>
      </c>
      <c r="L144" s="50"/>
      <c r="M144" s="50" t="s">
        <v>163</v>
      </c>
      <c r="N144" s="50" t="s">
        <v>3584</v>
      </c>
      <c r="O144" s="60">
        <v>45839</v>
      </c>
      <c r="P144" s="60"/>
      <c r="Q144" s="60">
        <v>45840</v>
      </c>
      <c r="R144" s="60">
        <v>45845</v>
      </c>
      <c r="S144" s="50">
        <f t="shared" si="23"/>
        <v>5</v>
      </c>
      <c r="T144" s="50" t="str">
        <f t="shared" si="22"/>
        <v/>
      </c>
      <c r="U144" s="50">
        <f t="shared" si="24"/>
        <v>1</v>
      </c>
      <c r="V144" s="50">
        <f t="shared" si="25"/>
        <v>3</v>
      </c>
      <c r="W144" s="50" t="s">
        <v>150</v>
      </c>
      <c r="X144" s="50" t="s">
        <v>3527</v>
      </c>
      <c r="Y144" s="50" t="s">
        <v>3528</v>
      </c>
      <c r="Z144" s="50" t="s">
        <v>3406</v>
      </c>
      <c r="AA144" s="50"/>
    </row>
    <row r="145" spans="1:27" ht="25.5" customHeight="1">
      <c r="A145" s="50" t="s">
        <v>773</v>
      </c>
      <c r="B145" s="51" t="s">
        <v>992</v>
      </c>
      <c r="C145" s="51" t="s">
        <v>159</v>
      </c>
      <c r="D145" s="51" t="s">
        <v>3585</v>
      </c>
      <c r="E145" s="50">
        <v>1573</v>
      </c>
      <c r="F145" s="50">
        <v>1784</v>
      </c>
      <c r="G145" s="50" t="s">
        <v>3404</v>
      </c>
      <c r="H145" s="50">
        <v>2024</v>
      </c>
      <c r="I145" s="105" t="s">
        <v>3486</v>
      </c>
      <c r="J145" s="50"/>
      <c r="K145" s="50" t="s">
        <v>172</v>
      </c>
      <c r="L145" s="50"/>
      <c r="M145" s="50" t="s">
        <v>163</v>
      </c>
      <c r="N145" s="50"/>
      <c r="O145" s="50"/>
      <c r="P145" s="50"/>
      <c r="Q145" s="50"/>
      <c r="R145" s="50"/>
      <c r="S145" s="50" t="str">
        <f t="shared" si="23"/>
        <v/>
      </c>
      <c r="T145" s="50" t="str">
        <f t="shared" si="22"/>
        <v/>
      </c>
      <c r="U145" s="50" t="str">
        <f t="shared" si="24"/>
        <v/>
      </c>
      <c r="V145" s="50" t="str">
        <f t="shared" si="25"/>
        <v/>
      </c>
      <c r="W145" s="50"/>
      <c r="X145" s="50"/>
      <c r="Y145" s="50"/>
      <c r="Z145" s="50"/>
      <c r="AA145" s="50"/>
    </row>
    <row r="146" spans="1:27" ht="25.5" customHeight="1">
      <c r="A146" s="50" t="s">
        <v>773</v>
      </c>
      <c r="B146" s="51" t="s">
        <v>992</v>
      </c>
      <c r="C146" s="51" t="s">
        <v>159</v>
      </c>
      <c r="D146" s="51" t="s">
        <v>3586</v>
      </c>
      <c r="E146" s="50">
        <v>3485</v>
      </c>
      <c r="F146" s="50">
        <v>3888</v>
      </c>
      <c r="G146" s="50" t="s">
        <v>3404</v>
      </c>
      <c r="H146" s="50">
        <v>2024</v>
      </c>
      <c r="I146" s="132">
        <v>45454</v>
      </c>
      <c r="J146" s="50"/>
      <c r="K146" s="50" t="s">
        <v>172</v>
      </c>
      <c r="L146" s="50"/>
      <c r="M146" s="50" t="s">
        <v>163</v>
      </c>
      <c r="N146" s="50"/>
      <c r="O146" s="50"/>
      <c r="P146" s="50"/>
      <c r="Q146" s="50"/>
      <c r="R146" s="50"/>
      <c r="S146" s="50" t="str">
        <f t="shared" si="23"/>
        <v/>
      </c>
      <c r="T146" s="50" t="str">
        <f t="shared" si="22"/>
        <v/>
      </c>
      <c r="U146" s="50" t="str">
        <f t="shared" si="24"/>
        <v/>
      </c>
      <c r="V146" s="50" t="str">
        <f t="shared" si="25"/>
        <v/>
      </c>
      <c r="W146" s="50"/>
      <c r="X146" s="50"/>
      <c r="Y146" s="50"/>
      <c r="Z146" s="50" t="s">
        <v>3406</v>
      </c>
      <c r="AA146" s="50"/>
    </row>
    <row r="147" spans="1:27" ht="25.5" customHeight="1">
      <c r="A147" s="50" t="s">
        <v>773</v>
      </c>
      <c r="B147" s="51" t="s">
        <v>992</v>
      </c>
      <c r="C147" s="51" t="s">
        <v>159</v>
      </c>
      <c r="D147" s="51" t="s">
        <v>993</v>
      </c>
      <c r="E147" s="50">
        <v>1074</v>
      </c>
      <c r="F147" s="50">
        <v>1220</v>
      </c>
      <c r="G147" s="50" t="s">
        <v>3404</v>
      </c>
      <c r="H147" s="50">
        <v>2024</v>
      </c>
      <c r="I147" s="132">
        <v>45545</v>
      </c>
      <c r="J147" s="50"/>
      <c r="K147" s="50" t="s">
        <v>172</v>
      </c>
      <c r="L147" s="50"/>
      <c r="M147" s="50" t="s">
        <v>163</v>
      </c>
      <c r="N147" s="50"/>
      <c r="O147" s="50"/>
      <c r="P147" s="50"/>
      <c r="Q147" s="50"/>
      <c r="R147" s="50"/>
      <c r="S147" s="50" t="str">
        <f t="shared" si="23"/>
        <v/>
      </c>
      <c r="T147" s="50" t="str">
        <f t="shared" si="22"/>
        <v/>
      </c>
      <c r="U147" s="50" t="str">
        <f t="shared" si="24"/>
        <v/>
      </c>
      <c r="V147" s="50" t="str">
        <f t="shared" si="25"/>
        <v/>
      </c>
      <c r="W147" s="50"/>
      <c r="X147" s="50" t="s">
        <v>4</v>
      </c>
      <c r="Y147" s="50" t="s">
        <v>50</v>
      </c>
      <c r="Z147" s="50" t="s">
        <v>3406</v>
      </c>
      <c r="AA147" s="50"/>
    </row>
    <row r="148" spans="1:27" ht="25.5" customHeight="1">
      <c r="A148" s="50" t="s">
        <v>773</v>
      </c>
      <c r="B148" s="51" t="s">
        <v>992</v>
      </c>
      <c r="C148" s="51" t="s">
        <v>159</v>
      </c>
      <c r="D148" s="51" t="s">
        <v>3587</v>
      </c>
      <c r="E148" s="50">
        <v>4278</v>
      </c>
      <c r="F148" s="50">
        <v>5206</v>
      </c>
      <c r="G148" s="50" t="s">
        <v>3404</v>
      </c>
      <c r="H148" s="50">
        <v>2024</v>
      </c>
      <c r="I148" s="132">
        <v>45393</v>
      </c>
      <c r="J148" s="50"/>
      <c r="K148" s="50" t="s">
        <v>172</v>
      </c>
      <c r="L148" s="50"/>
      <c r="M148" s="50" t="s">
        <v>163</v>
      </c>
      <c r="N148" s="50"/>
      <c r="O148" s="50"/>
      <c r="P148" s="50"/>
      <c r="Q148" s="50"/>
      <c r="R148" s="50"/>
      <c r="S148" s="50" t="str">
        <f t="shared" si="23"/>
        <v/>
      </c>
      <c r="T148" s="50" t="str">
        <f t="shared" si="22"/>
        <v/>
      </c>
      <c r="U148" s="50" t="str">
        <f t="shared" si="24"/>
        <v/>
      </c>
      <c r="V148" s="50" t="str">
        <f t="shared" si="25"/>
        <v/>
      </c>
      <c r="W148" s="50"/>
      <c r="X148" s="50"/>
      <c r="Y148" s="50"/>
      <c r="Z148" s="50" t="s">
        <v>3406</v>
      </c>
      <c r="AA148" s="50"/>
    </row>
    <row r="149" spans="1:27" ht="25.5" customHeight="1">
      <c r="A149" s="50" t="s">
        <v>773</v>
      </c>
      <c r="B149" s="51" t="s">
        <v>992</v>
      </c>
      <c r="C149" s="51" t="s">
        <v>159</v>
      </c>
      <c r="D149" s="51" t="s">
        <v>3588</v>
      </c>
      <c r="E149" s="50">
        <v>1228</v>
      </c>
      <c r="F149" s="50">
        <v>1300</v>
      </c>
      <c r="G149" s="50" t="s">
        <v>3404</v>
      </c>
      <c r="H149" s="50">
        <v>2024</v>
      </c>
      <c r="I149" s="105" t="s">
        <v>3589</v>
      </c>
      <c r="J149" s="50"/>
      <c r="K149" s="50" t="s">
        <v>172</v>
      </c>
      <c r="L149" s="50"/>
      <c r="M149" s="50" t="s">
        <v>163</v>
      </c>
      <c r="N149" s="50"/>
      <c r="O149" s="50"/>
      <c r="P149" s="50"/>
      <c r="Q149" s="50"/>
      <c r="R149" s="50"/>
      <c r="S149" s="50" t="str">
        <f t="shared" si="23"/>
        <v/>
      </c>
      <c r="T149" s="50" t="str">
        <f t="shared" si="22"/>
        <v/>
      </c>
      <c r="U149" s="50" t="str">
        <f t="shared" si="24"/>
        <v/>
      </c>
      <c r="V149" s="50" t="str">
        <f t="shared" si="25"/>
        <v/>
      </c>
      <c r="W149" s="50"/>
      <c r="X149" s="50"/>
      <c r="Y149" s="50"/>
      <c r="Z149" s="50"/>
      <c r="AA149" s="50"/>
    </row>
    <row r="150" spans="1:27" ht="25.5" customHeight="1">
      <c r="A150" s="50" t="s">
        <v>773</v>
      </c>
      <c r="B150" s="51" t="s">
        <v>992</v>
      </c>
      <c r="C150" s="51" t="s">
        <v>159</v>
      </c>
      <c r="D150" s="51" t="s">
        <v>1180</v>
      </c>
      <c r="E150" s="50">
        <v>2171</v>
      </c>
      <c r="F150" s="50">
        <v>2596</v>
      </c>
      <c r="G150" s="50" t="s">
        <v>3404</v>
      </c>
      <c r="H150" s="50">
        <v>2024</v>
      </c>
      <c r="I150" s="132">
        <v>45461</v>
      </c>
      <c r="J150" s="50"/>
      <c r="K150" s="50" t="s">
        <v>172</v>
      </c>
      <c r="L150" s="50"/>
      <c r="M150" s="50" t="s">
        <v>163</v>
      </c>
      <c r="N150" s="50"/>
      <c r="O150" s="50"/>
      <c r="P150" s="50"/>
      <c r="Q150" s="50"/>
      <c r="R150" s="50"/>
      <c r="S150" s="50" t="str">
        <f t="shared" si="23"/>
        <v/>
      </c>
      <c r="T150" s="50" t="str">
        <f t="shared" si="22"/>
        <v/>
      </c>
      <c r="U150" s="50" t="str">
        <f t="shared" si="24"/>
        <v/>
      </c>
      <c r="V150" s="50" t="str">
        <f t="shared" si="25"/>
        <v/>
      </c>
      <c r="W150" s="50"/>
      <c r="X150" s="50"/>
      <c r="Y150" s="50"/>
      <c r="Z150" s="50" t="s">
        <v>3406</v>
      </c>
      <c r="AA150" s="50"/>
    </row>
    <row r="151" spans="1:27" ht="25.5" customHeight="1">
      <c r="A151" s="50" t="s">
        <v>773</v>
      </c>
      <c r="B151" s="51" t="s">
        <v>992</v>
      </c>
      <c r="C151" s="51" t="s">
        <v>159</v>
      </c>
      <c r="D151" s="51" t="s">
        <v>858</v>
      </c>
      <c r="E151" s="50">
        <v>541</v>
      </c>
      <c r="F151" s="50">
        <v>547</v>
      </c>
      <c r="G151" s="50" t="s">
        <v>3404</v>
      </c>
      <c r="H151" s="50">
        <v>2024</v>
      </c>
      <c r="I151" s="132">
        <v>45545</v>
      </c>
      <c r="J151" s="50"/>
      <c r="K151" s="50" t="s">
        <v>172</v>
      </c>
      <c r="L151" s="50"/>
      <c r="M151" s="50" t="s">
        <v>163</v>
      </c>
      <c r="N151" s="50"/>
      <c r="O151" s="50"/>
      <c r="P151" s="50"/>
      <c r="Q151" s="50"/>
      <c r="R151" s="50"/>
      <c r="S151" s="50" t="str">
        <f t="shared" si="23"/>
        <v/>
      </c>
      <c r="T151" s="50" t="str">
        <f t="shared" si="22"/>
        <v/>
      </c>
      <c r="U151" s="50" t="str">
        <f t="shared" si="24"/>
        <v/>
      </c>
      <c r="V151" s="50" t="str">
        <f t="shared" si="25"/>
        <v/>
      </c>
      <c r="W151" s="50"/>
      <c r="X151" s="50" t="s">
        <v>4</v>
      </c>
      <c r="Y151" s="50" t="s">
        <v>50</v>
      </c>
      <c r="Z151" s="50" t="s">
        <v>3406</v>
      </c>
      <c r="AA151" s="50"/>
    </row>
    <row r="152" spans="1:27" ht="25.5" customHeight="1">
      <c r="A152" s="50" t="s">
        <v>773</v>
      </c>
      <c r="B152" s="51" t="s">
        <v>992</v>
      </c>
      <c r="C152" s="51" t="s">
        <v>159</v>
      </c>
      <c r="D152" s="51" t="s">
        <v>3590</v>
      </c>
      <c r="E152" s="50">
        <v>2449</v>
      </c>
      <c r="F152" s="50">
        <v>2888</v>
      </c>
      <c r="G152" s="50" t="s">
        <v>3404</v>
      </c>
      <c r="H152" s="50">
        <v>2024</v>
      </c>
      <c r="I152" s="132">
        <v>45428</v>
      </c>
      <c r="J152" s="50"/>
      <c r="K152" s="50" t="s">
        <v>172</v>
      </c>
      <c r="L152" s="50"/>
      <c r="M152" s="50" t="s">
        <v>163</v>
      </c>
      <c r="N152" s="50"/>
      <c r="O152" s="50"/>
      <c r="P152" s="50"/>
      <c r="Q152" s="50"/>
      <c r="R152" s="50"/>
      <c r="S152" s="50" t="str">
        <f t="shared" si="23"/>
        <v/>
      </c>
      <c r="T152" s="50" t="str">
        <f t="shared" si="22"/>
        <v/>
      </c>
      <c r="U152" s="50" t="str">
        <f t="shared" si="24"/>
        <v/>
      </c>
      <c r="V152" s="50" t="str">
        <f t="shared" si="25"/>
        <v/>
      </c>
      <c r="W152" s="50"/>
      <c r="X152" s="50"/>
      <c r="Y152" s="50"/>
      <c r="Z152" s="50" t="s">
        <v>3406</v>
      </c>
      <c r="AA152" s="50"/>
    </row>
    <row r="153" spans="1:27" ht="25.5" customHeight="1">
      <c r="A153" s="50" t="s">
        <v>774</v>
      </c>
      <c r="B153" s="51" t="s">
        <v>842</v>
      </c>
      <c r="C153" s="51" t="s">
        <v>143</v>
      </c>
      <c r="D153" s="51" t="s">
        <v>3591</v>
      </c>
      <c r="E153" s="50">
        <v>695</v>
      </c>
      <c r="F153" s="50">
        <v>843</v>
      </c>
      <c r="G153" s="50" t="s">
        <v>3404</v>
      </c>
      <c r="H153" s="50">
        <v>2024</v>
      </c>
      <c r="I153" s="105" t="s">
        <v>3592</v>
      </c>
      <c r="J153" s="50"/>
      <c r="K153" s="50" t="s">
        <v>188</v>
      </c>
      <c r="L153" s="50"/>
      <c r="M153" s="50" t="s">
        <v>2445</v>
      </c>
      <c r="N153" s="50"/>
      <c r="O153" s="50"/>
      <c r="P153" s="50"/>
      <c r="Q153" s="50"/>
      <c r="R153" s="50"/>
      <c r="S153" s="50" t="str">
        <f t="shared" si="23"/>
        <v/>
      </c>
      <c r="T153" s="50" t="str">
        <f t="shared" ref="T153:T216" si="26">IF(
    OR(ISBLANK(O153), ISBLANK(P153)),
    "",
    MAX(1, IF(
        NETWORKDAYS(O153, P153) &lt;= 0,
        1,
        NETWORKDAYS(O153, P153) - IF(O153 = P153, 0, 1)
    ))
)</f>
        <v/>
      </c>
      <c r="U153" s="50" t="str">
        <f t="shared" si="24"/>
        <v/>
      </c>
      <c r="V153" s="50" t="str">
        <f t="shared" ref="V153:V216" si="27">IF(
    OR(ISBLANK(Q153), ISBLANK(R153)),
    "",
    MAX(1, IF(
        NETWORKDAYS(Q153, R153) &lt;= 0,
        1,
        NETWORKDAYS(Q153, R153) - IF(Q153 = R153, 0, 1)
    ))
)</f>
        <v/>
      </c>
      <c r="W153" s="50"/>
      <c r="X153" s="50" t="s">
        <v>1078</v>
      </c>
      <c r="Y153" s="50" t="s">
        <v>50</v>
      </c>
      <c r="Z153" s="50" t="s">
        <v>3406</v>
      </c>
      <c r="AA153" s="50"/>
    </row>
    <row r="154" spans="1:27" ht="25.5" customHeight="1">
      <c r="A154" s="50" t="s">
        <v>774</v>
      </c>
      <c r="B154" s="51" t="s">
        <v>842</v>
      </c>
      <c r="C154" s="51" t="s">
        <v>143</v>
      </c>
      <c r="D154" s="51" t="s">
        <v>3593</v>
      </c>
      <c r="E154" s="50">
        <v>4833</v>
      </c>
      <c r="F154" s="50">
        <v>5627</v>
      </c>
      <c r="G154" s="50" t="s">
        <v>3404</v>
      </c>
      <c r="H154" s="50">
        <v>2024</v>
      </c>
      <c r="I154" s="105" t="s">
        <v>3594</v>
      </c>
      <c r="J154" s="50"/>
      <c r="K154" s="50" t="s">
        <v>188</v>
      </c>
      <c r="L154" s="50"/>
      <c r="M154" s="50" t="s">
        <v>2445</v>
      </c>
      <c r="N154" s="50"/>
      <c r="O154" s="50"/>
      <c r="P154" s="50"/>
      <c r="Q154" s="50"/>
      <c r="R154" s="50"/>
      <c r="S154" s="50" t="str">
        <f t="shared" si="23"/>
        <v/>
      </c>
      <c r="T154" s="50" t="str">
        <f t="shared" si="26"/>
        <v/>
      </c>
      <c r="U154" s="50" t="str">
        <f t="shared" si="24"/>
        <v/>
      </c>
      <c r="V154" s="50" t="str">
        <f t="shared" si="27"/>
        <v/>
      </c>
      <c r="W154" s="50"/>
      <c r="X154" s="50" t="s">
        <v>4</v>
      </c>
      <c r="Y154" s="50" t="s">
        <v>50</v>
      </c>
      <c r="Z154" s="50" t="s">
        <v>3406</v>
      </c>
      <c r="AA154" s="50"/>
    </row>
    <row r="155" spans="1:27" ht="25.5" customHeight="1">
      <c r="A155" s="50" t="s">
        <v>774</v>
      </c>
      <c r="B155" s="51" t="s">
        <v>842</v>
      </c>
      <c r="C155" s="51" t="s">
        <v>143</v>
      </c>
      <c r="D155" s="51" t="s">
        <v>843</v>
      </c>
      <c r="E155" s="50">
        <v>6742</v>
      </c>
      <c r="F155" s="50">
        <v>7280</v>
      </c>
      <c r="G155" s="50" t="s">
        <v>3404</v>
      </c>
      <c r="H155" s="50">
        <v>2024</v>
      </c>
      <c r="I155" s="105" t="s">
        <v>3595</v>
      </c>
      <c r="J155" s="50"/>
      <c r="K155" s="50" t="s">
        <v>188</v>
      </c>
      <c r="L155" s="50"/>
      <c r="M155" s="50" t="s">
        <v>2445</v>
      </c>
      <c r="N155" s="50"/>
      <c r="O155" s="50"/>
      <c r="P155" s="50"/>
      <c r="Q155" s="50"/>
      <c r="R155" s="50"/>
      <c r="S155" s="50" t="str">
        <f t="shared" si="23"/>
        <v/>
      </c>
      <c r="T155" s="50" t="str">
        <f t="shared" si="26"/>
        <v/>
      </c>
      <c r="U155" s="50" t="str">
        <f t="shared" si="24"/>
        <v/>
      </c>
      <c r="V155" s="50" t="str">
        <f t="shared" si="27"/>
        <v/>
      </c>
      <c r="W155" s="50"/>
      <c r="X155" s="50" t="s">
        <v>1078</v>
      </c>
      <c r="Y155" s="50" t="s">
        <v>3528</v>
      </c>
      <c r="Z155" s="50" t="s">
        <v>3406</v>
      </c>
      <c r="AA155" s="50"/>
    </row>
    <row r="156" spans="1:27" ht="25.5" customHeight="1">
      <c r="A156" s="50" t="s">
        <v>774</v>
      </c>
      <c r="B156" s="51" t="s">
        <v>842</v>
      </c>
      <c r="C156" s="51" t="s">
        <v>143</v>
      </c>
      <c r="D156" s="51" t="s">
        <v>3596</v>
      </c>
      <c r="E156" s="50">
        <v>5405</v>
      </c>
      <c r="F156" s="50">
        <v>5707</v>
      </c>
      <c r="G156" s="50" t="s">
        <v>3404</v>
      </c>
      <c r="H156" s="50">
        <v>2024</v>
      </c>
      <c r="I156" s="105" t="s">
        <v>3597</v>
      </c>
      <c r="J156" s="50"/>
      <c r="K156" s="50" t="s">
        <v>188</v>
      </c>
      <c r="L156" s="50"/>
      <c r="M156" s="50" t="s">
        <v>2445</v>
      </c>
      <c r="N156" s="50"/>
      <c r="O156" s="50"/>
      <c r="P156" s="50"/>
      <c r="Q156" s="50"/>
      <c r="R156" s="50"/>
      <c r="S156" s="50" t="str">
        <f t="shared" si="23"/>
        <v/>
      </c>
      <c r="T156" s="50" t="str">
        <f t="shared" si="26"/>
        <v/>
      </c>
      <c r="U156" s="50" t="str">
        <f t="shared" si="24"/>
        <v/>
      </c>
      <c r="V156" s="50" t="str">
        <f t="shared" si="27"/>
        <v/>
      </c>
      <c r="W156" s="50"/>
      <c r="X156" s="50" t="s">
        <v>1078</v>
      </c>
      <c r="Y156" s="50" t="s">
        <v>50</v>
      </c>
      <c r="Z156" s="50" t="s">
        <v>3406</v>
      </c>
      <c r="AA156" s="50"/>
    </row>
    <row r="157" spans="1:27" ht="25.5" customHeight="1">
      <c r="A157" s="50" t="s">
        <v>774</v>
      </c>
      <c r="B157" s="51" t="s">
        <v>842</v>
      </c>
      <c r="C157" s="51" t="s">
        <v>143</v>
      </c>
      <c r="D157" s="51" t="s">
        <v>3598</v>
      </c>
      <c r="E157" s="50">
        <v>2303</v>
      </c>
      <c r="F157" s="50">
        <v>2415</v>
      </c>
      <c r="G157" s="50" t="s">
        <v>3404</v>
      </c>
      <c r="H157" s="50">
        <v>2024</v>
      </c>
      <c r="I157" s="105" t="s">
        <v>3599</v>
      </c>
      <c r="J157" s="50"/>
      <c r="K157" s="50" t="s">
        <v>188</v>
      </c>
      <c r="L157" s="50"/>
      <c r="M157" s="50" t="s">
        <v>2445</v>
      </c>
      <c r="N157" s="50"/>
      <c r="O157" s="50"/>
      <c r="P157" s="50"/>
      <c r="Q157" s="50"/>
      <c r="R157" s="50"/>
      <c r="S157" s="50" t="str">
        <f t="shared" si="23"/>
        <v/>
      </c>
      <c r="T157" s="50" t="str">
        <f t="shared" si="26"/>
        <v/>
      </c>
      <c r="U157" s="50" t="str">
        <f t="shared" si="24"/>
        <v/>
      </c>
      <c r="V157" s="50" t="str">
        <f t="shared" si="27"/>
        <v/>
      </c>
      <c r="W157" s="50"/>
      <c r="X157" s="50" t="s">
        <v>1078</v>
      </c>
      <c r="Y157" s="50" t="s">
        <v>50</v>
      </c>
      <c r="Z157" s="50" t="s">
        <v>3406</v>
      </c>
      <c r="AA157" s="50"/>
    </row>
    <row r="158" spans="1:27" ht="25.5" customHeight="1">
      <c r="A158" s="50" t="s">
        <v>774</v>
      </c>
      <c r="B158" s="51" t="s">
        <v>842</v>
      </c>
      <c r="C158" s="51" t="s">
        <v>143</v>
      </c>
      <c r="D158" s="50" t="s">
        <v>3600</v>
      </c>
      <c r="E158" s="50">
        <v>9165</v>
      </c>
      <c r="F158" s="50">
        <v>9650</v>
      </c>
      <c r="G158" s="50" t="s">
        <v>3404</v>
      </c>
      <c r="H158" s="50">
        <v>2024</v>
      </c>
      <c r="I158" s="105" t="s">
        <v>3601</v>
      </c>
      <c r="J158" s="50"/>
      <c r="K158" s="50" t="s">
        <v>188</v>
      </c>
      <c r="L158" s="50"/>
      <c r="M158" s="50" t="s">
        <v>2445</v>
      </c>
      <c r="N158" s="50"/>
      <c r="O158" s="50"/>
      <c r="P158" s="50"/>
      <c r="Q158" s="50"/>
      <c r="R158" s="50"/>
      <c r="S158" s="50" t="str">
        <f t="shared" si="23"/>
        <v/>
      </c>
      <c r="T158" s="50" t="str">
        <f t="shared" si="26"/>
        <v/>
      </c>
      <c r="U158" s="50" t="str">
        <f t="shared" si="24"/>
        <v/>
      </c>
      <c r="V158" s="50" t="str">
        <f t="shared" si="27"/>
        <v/>
      </c>
      <c r="W158" s="50"/>
      <c r="X158" s="50" t="s">
        <v>1078</v>
      </c>
      <c r="Y158" s="50" t="s">
        <v>50</v>
      </c>
      <c r="Z158" s="50" t="s">
        <v>3406</v>
      </c>
      <c r="AA158" s="50"/>
    </row>
    <row r="159" spans="1:27" ht="25.5" customHeight="1">
      <c r="A159" s="50" t="s">
        <v>774</v>
      </c>
      <c r="B159" s="51" t="s">
        <v>842</v>
      </c>
      <c r="C159" s="51" t="s">
        <v>143</v>
      </c>
      <c r="D159" s="50" t="s">
        <v>3602</v>
      </c>
      <c r="E159" s="50">
        <v>3149</v>
      </c>
      <c r="F159" s="50">
        <v>3387</v>
      </c>
      <c r="G159" s="50" t="s">
        <v>3404</v>
      </c>
      <c r="H159" s="50">
        <v>2024</v>
      </c>
      <c r="I159" s="105" t="s">
        <v>3601</v>
      </c>
      <c r="J159" s="50"/>
      <c r="K159" s="50" t="s">
        <v>188</v>
      </c>
      <c r="L159" s="50"/>
      <c r="M159" s="50" t="s">
        <v>2445</v>
      </c>
      <c r="N159" s="50"/>
      <c r="O159" s="50"/>
      <c r="P159" s="50"/>
      <c r="Q159" s="50"/>
      <c r="R159" s="50"/>
      <c r="S159" s="50" t="str">
        <f t="shared" si="23"/>
        <v/>
      </c>
      <c r="T159" s="50" t="str">
        <f t="shared" si="26"/>
        <v/>
      </c>
      <c r="U159" s="50" t="str">
        <f t="shared" si="24"/>
        <v/>
      </c>
      <c r="V159" s="50" t="str">
        <f t="shared" si="27"/>
        <v/>
      </c>
      <c r="W159" s="50"/>
      <c r="X159" s="50" t="s">
        <v>1078</v>
      </c>
      <c r="Y159" s="50" t="s">
        <v>50</v>
      </c>
      <c r="Z159" s="50" t="s">
        <v>3406</v>
      </c>
      <c r="AA159" s="50"/>
    </row>
    <row r="160" spans="1:27" ht="25.5" customHeight="1">
      <c r="A160" s="50" t="s">
        <v>774</v>
      </c>
      <c r="B160" s="51" t="s">
        <v>842</v>
      </c>
      <c r="C160" s="51" t="s">
        <v>143</v>
      </c>
      <c r="D160" s="51" t="s">
        <v>3603</v>
      </c>
      <c r="E160" s="50">
        <v>3199</v>
      </c>
      <c r="F160" s="50">
        <v>3832</v>
      </c>
      <c r="G160" s="50" t="s">
        <v>3404</v>
      </c>
      <c r="H160" s="50">
        <v>2024</v>
      </c>
      <c r="I160" s="105" t="s">
        <v>3604</v>
      </c>
      <c r="J160" s="50"/>
      <c r="K160" s="50" t="s">
        <v>188</v>
      </c>
      <c r="L160" s="50"/>
      <c r="M160" s="50" t="s">
        <v>2445</v>
      </c>
      <c r="N160" s="50"/>
      <c r="O160" s="50"/>
      <c r="P160" s="50"/>
      <c r="Q160" s="50"/>
      <c r="R160" s="50"/>
      <c r="S160" s="50" t="str">
        <f t="shared" si="23"/>
        <v/>
      </c>
      <c r="T160" s="50" t="str">
        <f t="shared" si="26"/>
        <v/>
      </c>
      <c r="U160" s="50" t="str">
        <f t="shared" si="24"/>
        <v/>
      </c>
      <c r="V160" s="50" t="str">
        <f t="shared" si="27"/>
        <v/>
      </c>
      <c r="W160" s="50"/>
      <c r="X160" s="50" t="s">
        <v>1078</v>
      </c>
      <c r="Y160" s="50" t="s">
        <v>50</v>
      </c>
      <c r="Z160" s="50" t="s">
        <v>3406</v>
      </c>
      <c r="AA160" s="50"/>
    </row>
    <row r="161" spans="1:27" ht="25.5" customHeight="1">
      <c r="A161" s="50" t="s">
        <v>774</v>
      </c>
      <c r="B161" s="51" t="s">
        <v>842</v>
      </c>
      <c r="C161" s="51" t="s">
        <v>143</v>
      </c>
      <c r="D161" s="51" t="s">
        <v>3605</v>
      </c>
      <c r="E161" s="50">
        <v>4389</v>
      </c>
      <c r="F161" s="50">
        <v>4243</v>
      </c>
      <c r="G161" s="50" t="s">
        <v>3404</v>
      </c>
      <c r="H161" s="50">
        <v>2024</v>
      </c>
      <c r="I161" s="105" t="s">
        <v>3606</v>
      </c>
      <c r="J161" s="50"/>
      <c r="K161" s="50" t="s">
        <v>188</v>
      </c>
      <c r="L161" s="50"/>
      <c r="M161" s="50" t="s">
        <v>2445</v>
      </c>
      <c r="N161" s="50"/>
      <c r="O161" s="50"/>
      <c r="P161" s="50"/>
      <c r="Q161" s="50"/>
      <c r="R161" s="50"/>
      <c r="S161" s="50" t="str">
        <f t="shared" si="23"/>
        <v/>
      </c>
      <c r="T161" s="50" t="str">
        <f t="shared" si="26"/>
        <v/>
      </c>
      <c r="U161" s="50" t="str">
        <f t="shared" si="24"/>
        <v/>
      </c>
      <c r="V161" s="50" t="str">
        <f t="shared" si="27"/>
        <v/>
      </c>
      <c r="W161" s="50"/>
      <c r="X161" s="50" t="s">
        <v>1078</v>
      </c>
      <c r="Y161" s="50" t="s">
        <v>50</v>
      </c>
      <c r="Z161" s="50" t="s">
        <v>3406</v>
      </c>
      <c r="AA161" s="50"/>
    </row>
    <row r="162" spans="1:27" ht="25.5" customHeight="1">
      <c r="A162" s="50" t="s">
        <v>774</v>
      </c>
      <c r="B162" s="51" t="s">
        <v>848</v>
      </c>
      <c r="C162" s="51" t="s">
        <v>143</v>
      </c>
      <c r="D162" s="51" t="s">
        <v>3607</v>
      </c>
      <c r="E162" s="50">
        <v>2447</v>
      </c>
      <c r="F162" s="50">
        <v>3319</v>
      </c>
      <c r="G162" s="50" t="s">
        <v>3404</v>
      </c>
      <c r="H162" s="50">
        <v>2024</v>
      </c>
      <c r="I162" s="132">
        <v>45580</v>
      </c>
      <c r="J162" s="50"/>
      <c r="K162" s="50" t="s">
        <v>19</v>
      </c>
      <c r="L162" s="50"/>
      <c r="M162" s="50" t="s">
        <v>2445</v>
      </c>
      <c r="N162" s="50"/>
      <c r="O162" s="50"/>
      <c r="P162" s="50"/>
      <c r="Q162" s="50"/>
      <c r="R162" s="50"/>
      <c r="S162" s="50" t="str">
        <f t="shared" si="23"/>
        <v/>
      </c>
      <c r="T162" s="50" t="str">
        <f t="shared" si="26"/>
        <v/>
      </c>
      <c r="U162" s="50" t="str">
        <f t="shared" si="24"/>
        <v/>
      </c>
      <c r="V162" s="50" t="str">
        <f t="shared" si="27"/>
        <v/>
      </c>
      <c r="W162" s="50"/>
      <c r="X162" s="50" t="s">
        <v>4</v>
      </c>
      <c r="Y162" s="50" t="s">
        <v>50</v>
      </c>
      <c r="Z162" s="50" t="s">
        <v>3406</v>
      </c>
      <c r="AA162" s="50"/>
    </row>
    <row r="163" spans="1:27" ht="25.5" customHeight="1">
      <c r="A163" s="50" t="s">
        <v>774</v>
      </c>
      <c r="B163" s="51" t="s">
        <v>848</v>
      </c>
      <c r="C163" s="51" t="s">
        <v>143</v>
      </c>
      <c r="D163" s="51" t="s">
        <v>3608</v>
      </c>
      <c r="E163" s="50">
        <v>1978</v>
      </c>
      <c r="F163" s="50">
        <v>2135</v>
      </c>
      <c r="G163" s="50" t="s">
        <v>3404</v>
      </c>
      <c r="H163" s="50">
        <v>2024</v>
      </c>
      <c r="I163" s="105" t="s">
        <v>3609</v>
      </c>
      <c r="J163" s="50"/>
      <c r="K163" s="50" t="s">
        <v>19</v>
      </c>
      <c r="L163" s="50"/>
      <c r="M163" s="50" t="s">
        <v>2445</v>
      </c>
      <c r="N163" s="50"/>
      <c r="O163" s="50"/>
      <c r="P163" s="50"/>
      <c r="Q163" s="50"/>
      <c r="R163" s="50"/>
      <c r="S163" s="50" t="str">
        <f t="shared" si="23"/>
        <v/>
      </c>
      <c r="T163" s="50" t="str">
        <f t="shared" si="26"/>
        <v/>
      </c>
      <c r="U163" s="50" t="str">
        <f t="shared" si="24"/>
        <v/>
      </c>
      <c r="V163" s="50" t="str">
        <f t="shared" si="27"/>
        <v/>
      </c>
      <c r="W163" s="50"/>
      <c r="X163" s="50" t="s">
        <v>4</v>
      </c>
      <c r="Y163" s="50" t="s">
        <v>50</v>
      </c>
      <c r="Z163" s="50" t="s">
        <v>3406</v>
      </c>
      <c r="AA163" s="50"/>
    </row>
    <row r="164" spans="1:27" ht="25.5" customHeight="1">
      <c r="A164" s="50" t="s">
        <v>774</v>
      </c>
      <c r="B164" s="51" t="s">
        <v>848</v>
      </c>
      <c r="C164" s="51" t="s">
        <v>143</v>
      </c>
      <c r="D164" s="51" t="s">
        <v>849</v>
      </c>
      <c r="E164" s="50">
        <v>2784</v>
      </c>
      <c r="F164" s="50">
        <v>3460</v>
      </c>
      <c r="G164" s="50" t="s">
        <v>3404</v>
      </c>
      <c r="H164" s="50">
        <v>2024</v>
      </c>
      <c r="I164" s="105" t="s">
        <v>3610</v>
      </c>
      <c r="J164" s="50"/>
      <c r="K164" s="50" t="s">
        <v>19</v>
      </c>
      <c r="L164" s="50"/>
      <c r="M164" s="50" t="s">
        <v>2445</v>
      </c>
      <c r="N164" s="50"/>
      <c r="O164" s="50"/>
      <c r="P164" s="50"/>
      <c r="Q164" s="50"/>
      <c r="R164" s="50"/>
      <c r="S164" s="50" t="str">
        <f t="shared" si="23"/>
        <v/>
      </c>
      <c r="T164" s="50" t="str">
        <f t="shared" si="26"/>
        <v/>
      </c>
      <c r="U164" s="50" t="str">
        <f t="shared" si="24"/>
        <v/>
      </c>
      <c r="V164" s="50" t="str">
        <f t="shared" si="27"/>
        <v/>
      </c>
      <c r="W164" s="50"/>
      <c r="X164" s="50" t="s">
        <v>4</v>
      </c>
      <c r="Y164" s="50" t="s">
        <v>50</v>
      </c>
      <c r="Z164" s="50" t="s">
        <v>3406</v>
      </c>
      <c r="AA164" s="50"/>
    </row>
    <row r="165" spans="1:27" ht="25.5" customHeight="1">
      <c r="A165" s="50" t="s">
        <v>774</v>
      </c>
      <c r="B165" s="51" t="s">
        <v>848</v>
      </c>
      <c r="C165" s="51" t="s">
        <v>143</v>
      </c>
      <c r="D165" s="51" t="s">
        <v>902</v>
      </c>
      <c r="E165" s="50">
        <v>613</v>
      </c>
      <c r="F165" s="50">
        <v>752</v>
      </c>
      <c r="G165" s="50" t="s">
        <v>3404</v>
      </c>
      <c r="H165" s="50">
        <v>2024</v>
      </c>
      <c r="I165" s="132">
        <v>45601</v>
      </c>
      <c r="J165" s="50"/>
      <c r="K165" s="50" t="s">
        <v>19</v>
      </c>
      <c r="L165" s="50"/>
      <c r="M165" s="50" t="s">
        <v>2445</v>
      </c>
      <c r="N165" s="50"/>
      <c r="O165" s="50"/>
      <c r="P165" s="50"/>
      <c r="Q165" s="50"/>
      <c r="R165" s="50"/>
      <c r="S165" s="50" t="str">
        <f t="shared" si="23"/>
        <v/>
      </c>
      <c r="T165" s="50" t="str">
        <f t="shared" si="26"/>
        <v/>
      </c>
      <c r="U165" s="50" t="str">
        <f t="shared" si="24"/>
        <v/>
      </c>
      <c r="V165" s="50" t="str">
        <f t="shared" si="27"/>
        <v/>
      </c>
      <c r="W165" s="50"/>
      <c r="X165" s="50" t="s">
        <v>4</v>
      </c>
      <c r="Y165" s="50" t="s">
        <v>50</v>
      </c>
      <c r="Z165" s="50" t="s">
        <v>3406</v>
      </c>
      <c r="AA165" s="50"/>
    </row>
    <row r="166" spans="1:27" s="110" customFormat="1" ht="25.5" customHeight="1">
      <c r="A166" s="50" t="s">
        <v>774</v>
      </c>
      <c r="B166" s="51" t="s">
        <v>848</v>
      </c>
      <c r="C166" s="51" t="s">
        <v>143</v>
      </c>
      <c r="D166" s="51" t="s">
        <v>3611</v>
      </c>
      <c r="E166" s="50">
        <v>2356</v>
      </c>
      <c r="F166" s="50">
        <v>2814</v>
      </c>
      <c r="G166" s="50" t="s">
        <v>3404</v>
      </c>
      <c r="H166" s="50">
        <v>2024</v>
      </c>
      <c r="I166" s="105" t="s">
        <v>3612</v>
      </c>
      <c r="J166" s="50"/>
      <c r="K166" s="50" t="s">
        <v>19</v>
      </c>
      <c r="L166" s="50"/>
      <c r="M166" s="50" t="s">
        <v>2445</v>
      </c>
      <c r="N166" s="50"/>
      <c r="O166" s="50"/>
      <c r="P166" s="50"/>
      <c r="Q166" s="50"/>
      <c r="R166" s="50"/>
      <c r="S166" s="50" t="str">
        <f t="shared" si="23"/>
        <v/>
      </c>
      <c r="T166" s="50" t="str">
        <f t="shared" si="26"/>
        <v/>
      </c>
      <c r="U166" s="50" t="str">
        <f t="shared" si="24"/>
        <v/>
      </c>
      <c r="V166" s="50" t="str">
        <f t="shared" si="27"/>
        <v/>
      </c>
      <c r="W166" s="50"/>
      <c r="X166" s="50" t="s">
        <v>4</v>
      </c>
      <c r="Y166" s="50" t="s">
        <v>50</v>
      </c>
      <c r="Z166" s="50" t="s">
        <v>3406</v>
      </c>
      <c r="AA166" s="50"/>
    </row>
    <row r="167" spans="1:27" ht="25.5" customHeight="1">
      <c r="A167" s="517" t="s">
        <v>774</v>
      </c>
      <c r="B167" s="517" t="s">
        <v>848</v>
      </c>
      <c r="C167" s="51" t="s">
        <v>143</v>
      </c>
      <c r="D167" s="517" t="s">
        <v>3613</v>
      </c>
      <c r="E167" s="50">
        <v>1689</v>
      </c>
      <c r="F167" s="50">
        <v>1920</v>
      </c>
      <c r="G167" s="50" t="s">
        <v>3404</v>
      </c>
      <c r="H167" s="50">
        <v>2025</v>
      </c>
      <c r="I167" s="132">
        <v>45744</v>
      </c>
      <c r="J167" s="50" t="s">
        <v>3470</v>
      </c>
      <c r="K167" s="50" t="s">
        <v>19</v>
      </c>
      <c r="L167" s="50"/>
      <c r="M167" s="50" t="s">
        <v>2445</v>
      </c>
      <c r="N167" s="50" t="s">
        <v>3614</v>
      </c>
      <c r="O167" s="60">
        <v>45747</v>
      </c>
      <c r="P167" s="50"/>
      <c r="Q167" s="60">
        <v>45747</v>
      </c>
      <c r="R167" s="60">
        <v>45749</v>
      </c>
      <c r="S167" s="50">
        <f t="shared" si="23"/>
        <v>1</v>
      </c>
      <c r="T167" s="50" t="str">
        <f t="shared" si="26"/>
        <v/>
      </c>
      <c r="U167" s="50">
        <f t="shared" si="24"/>
        <v>1</v>
      </c>
      <c r="V167" s="50">
        <f t="shared" si="27"/>
        <v>2</v>
      </c>
      <c r="W167" s="50" t="s">
        <v>150</v>
      </c>
      <c r="X167" s="50" t="s">
        <v>3527</v>
      </c>
      <c r="Y167" s="50" t="s">
        <v>3528</v>
      </c>
      <c r="Z167" s="50" t="s">
        <v>3406</v>
      </c>
      <c r="AA167" s="50"/>
    </row>
    <row r="168" spans="1:27" ht="25.5" customHeight="1">
      <c r="A168" s="50" t="s">
        <v>774</v>
      </c>
      <c r="B168" s="51" t="s">
        <v>848</v>
      </c>
      <c r="C168" s="51" t="s">
        <v>143</v>
      </c>
      <c r="D168" s="51" t="s">
        <v>3615</v>
      </c>
      <c r="E168" s="50">
        <v>1660</v>
      </c>
      <c r="F168" s="50">
        <v>1884</v>
      </c>
      <c r="G168" s="50" t="s">
        <v>3404</v>
      </c>
      <c r="H168" s="50">
        <v>2024</v>
      </c>
      <c r="I168" s="132">
        <v>45594</v>
      </c>
      <c r="J168" s="50"/>
      <c r="K168" s="50" t="s">
        <v>19</v>
      </c>
      <c r="L168" s="50"/>
      <c r="M168" s="50" t="s">
        <v>2445</v>
      </c>
      <c r="N168" s="50"/>
      <c r="O168" s="50"/>
      <c r="P168" s="50"/>
      <c r="Q168" s="50"/>
      <c r="R168" s="50"/>
      <c r="S168" s="50" t="str">
        <f t="shared" si="23"/>
        <v/>
      </c>
      <c r="T168" s="50" t="str">
        <f t="shared" si="26"/>
        <v/>
      </c>
      <c r="U168" s="50" t="str">
        <f t="shared" si="24"/>
        <v/>
      </c>
      <c r="V168" s="50" t="str">
        <f t="shared" si="27"/>
        <v/>
      </c>
      <c r="W168" s="50"/>
      <c r="X168" s="50" t="s">
        <v>4</v>
      </c>
      <c r="Y168" s="50" t="s">
        <v>50</v>
      </c>
      <c r="Z168" s="50" t="s">
        <v>3406</v>
      </c>
      <c r="AA168" s="50"/>
    </row>
    <row r="169" spans="1:27" ht="25.5" customHeight="1">
      <c r="A169" s="50" t="s">
        <v>774</v>
      </c>
      <c r="B169" s="51" t="s">
        <v>848</v>
      </c>
      <c r="C169" s="51" t="s">
        <v>143</v>
      </c>
      <c r="D169" s="51" t="s">
        <v>892</v>
      </c>
      <c r="E169" s="50">
        <v>3271</v>
      </c>
      <c r="F169" s="50">
        <v>3729</v>
      </c>
      <c r="G169" s="50" t="s">
        <v>3404</v>
      </c>
      <c r="H169" s="50">
        <v>2024</v>
      </c>
      <c r="I169" s="132">
        <v>45587</v>
      </c>
      <c r="J169" s="50"/>
      <c r="K169" s="50" t="s">
        <v>19</v>
      </c>
      <c r="L169" s="50"/>
      <c r="M169" s="50" t="s">
        <v>2445</v>
      </c>
      <c r="N169" s="50"/>
      <c r="O169" s="50"/>
      <c r="P169" s="50"/>
      <c r="Q169" s="50"/>
      <c r="R169" s="50"/>
      <c r="S169" s="50" t="str">
        <f t="shared" si="23"/>
        <v/>
      </c>
      <c r="T169" s="50" t="str">
        <f t="shared" si="26"/>
        <v/>
      </c>
      <c r="U169" s="50" t="str">
        <f t="shared" si="24"/>
        <v/>
      </c>
      <c r="V169" s="50" t="str">
        <f t="shared" si="27"/>
        <v/>
      </c>
      <c r="W169" s="50"/>
      <c r="X169" s="50" t="s">
        <v>4</v>
      </c>
      <c r="Y169" s="50" t="s">
        <v>50</v>
      </c>
      <c r="Z169" s="50" t="s">
        <v>3406</v>
      </c>
      <c r="AA169" s="50"/>
    </row>
    <row r="170" spans="1:27" ht="25.5" customHeight="1">
      <c r="A170" s="50" t="s">
        <v>774</v>
      </c>
      <c r="B170" s="51" t="s">
        <v>848</v>
      </c>
      <c r="C170" s="51" t="s">
        <v>143</v>
      </c>
      <c r="D170" s="51" t="s">
        <v>3616</v>
      </c>
      <c r="E170" s="50">
        <v>3248</v>
      </c>
      <c r="F170" s="50">
        <v>3480</v>
      </c>
      <c r="G170" s="50" t="s">
        <v>3404</v>
      </c>
      <c r="H170" s="50">
        <v>2024</v>
      </c>
      <c r="I170" s="105" t="s">
        <v>3617</v>
      </c>
      <c r="J170" s="50"/>
      <c r="K170" s="50" t="s">
        <v>19</v>
      </c>
      <c r="L170" s="50"/>
      <c r="M170" s="50" t="s">
        <v>2445</v>
      </c>
      <c r="N170" s="50"/>
      <c r="O170" s="50"/>
      <c r="P170" s="50"/>
      <c r="Q170" s="50"/>
      <c r="R170" s="50"/>
      <c r="S170" s="50" t="str">
        <f t="shared" si="23"/>
        <v/>
      </c>
      <c r="T170" s="50" t="str">
        <f t="shared" si="26"/>
        <v/>
      </c>
      <c r="U170" s="50" t="str">
        <f t="shared" si="24"/>
        <v/>
      </c>
      <c r="V170" s="50" t="str">
        <f t="shared" si="27"/>
        <v/>
      </c>
      <c r="W170" s="50"/>
      <c r="X170" s="50" t="s">
        <v>4</v>
      </c>
      <c r="Y170" s="50" t="s">
        <v>50</v>
      </c>
      <c r="Z170" s="50" t="s">
        <v>3406</v>
      </c>
      <c r="AA170" s="50"/>
    </row>
    <row r="171" spans="1:27" ht="25.5" customHeight="1">
      <c r="A171" s="50" t="s">
        <v>774</v>
      </c>
      <c r="B171" s="51" t="s">
        <v>848</v>
      </c>
      <c r="C171" s="51" t="s">
        <v>143</v>
      </c>
      <c r="D171" s="51" t="s">
        <v>3618</v>
      </c>
      <c r="E171" s="50">
        <v>731</v>
      </c>
      <c r="F171" s="50">
        <v>862</v>
      </c>
      <c r="G171" s="50" t="s">
        <v>3404</v>
      </c>
      <c r="H171" s="50">
        <v>2024</v>
      </c>
      <c r="I171" s="132">
        <v>45601</v>
      </c>
      <c r="J171" s="50"/>
      <c r="K171" s="50" t="s">
        <v>19</v>
      </c>
      <c r="L171" s="50"/>
      <c r="M171" s="50" t="s">
        <v>2445</v>
      </c>
      <c r="N171" s="50"/>
      <c r="O171" s="50"/>
      <c r="P171" s="50"/>
      <c r="Q171" s="50"/>
      <c r="R171" s="50"/>
      <c r="S171" s="50" t="str">
        <f t="shared" si="23"/>
        <v/>
      </c>
      <c r="T171" s="50" t="str">
        <f t="shared" si="26"/>
        <v/>
      </c>
      <c r="U171" s="50" t="str">
        <f t="shared" si="24"/>
        <v/>
      </c>
      <c r="V171" s="50" t="str">
        <f t="shared" si="27"/>
        <v/>
      </c>
      <c r="W171" s="50"/>
      <c r="X171" s="50" t="s">
        <v>4</v>
      </c>
      <c r="Y171" s="50" t="s">
        <v>50</v>
      </c>
      <c r="Z171" s="50" t="s">
        <v>3406</v>
      </c>
      <c r="AA171" s="50"/>
    </row>
    <row r="172" spans="1:27" ht="25.5" customHeight="1">
      <c r="A172" s="50" t="s">
        <v>774</v>
      </c>
      <c r="B172" s="51" t="s">
        <v>848</v>
      </c>
      <c r="C172" s="51" t="s">
        <v>143</v>
      </c>
      <c r="D172" s="51" t="s">
        <v>912</v>
      </c>
      <c r="E172" s="50">
        <v>574</v>
      </c>
      <c r="F172" s="50">
        <v>710</v>
      </c>
      <c r="G172" s="50" t="s">
        <v>3404</v>
      </c>
      <c r="H172" s="50">
        <v>2024</v>
      </c>
      <c r="I172" s="132">
        <v>45604</v>
      </c>
      <c r="J172" s="50"/>
      <c r="K172" s="50" t="s">
        <v>19</v>
      </c>
      <c r="L172" s="50"/>
      <c r="M172" s="50" t="s">
        <v>2445</v>
      </c>
      <c r="N172" s="50"/>
      <c r="O172" s="50"/>
      <c r="P172" s="50"/>
      <c r="Q172" s="50"/>
      <c r="R172" s="50"/>
      <c r="S172" s="50" t="str">
        <f t="shared" si="23"/>
        <v/>
      </c>
      <c r="T172" s="50" t="str">
        <f t="shared" si="26"/>
        <v/>
      </c>
      <c r="U172" s="50" t="str">
        <f t="shared" si="24"/>
        <v/>
      </c>
      <c r="V172" s="50" t="str">
        <f t="shared" si="27"/>
        <v/>
      </c>
      <c r="W172" s="50"/>
      <c r="X172" s="50" t="s">
        <v>4</v>
      </c>
      <c r="Y172" s="50" t="s">
        <v>50</v>
      </c>
      <c r="Z172" s="50" t="s">
        <v>3406</v>
      </c>
      <c r="AA172" s="50"/>
    </row>
    <row r="173" spans="1:27" ht="25.5" customHeight="1">
      <c r="A173" s="50" t="s">
        <v>774</v>
      </c>
      <c r="B173" s="51" t="s">
        <v>848</v>
      </c>
      <c r="C173" s="51" t="s">
        <v>143</v>
      </c>
      <c r="D173" s="51" t="s">
        <v>914</v>
      </c>
      <c r="E173" s="50">
        <v>1445</v>
      </c>
      <c r="F173" s="50">
        <v>1511</v>
      </c>
      <c r="G173" s="50" t="s">
        <v>3404</v>
      </c>
      <c r="H173" s="50">
        <v>2024</v>
      </c>
      <c r="I173" s="105" t="s">
        <v>3619</v>
      </c>
      <c r="J173" s="50"/>
      <c r="K173" s="50" t="s">
        <v>19</v>
      </c>
      <c r="L173" s="50"/>
      <c r="M173" s="50" t="s">
        <v>2445</v>
      </c>
      <c r="N173" s="50"/>
      <c r="O173" s="50"/>
      <c r="P173" s="50"/>
      <c r="Q173" s="50"/>
      <c r="R173" s="50"/>
      <c r="S173" s="50" t="str">
        <f t="shared" si="23"/>
        <v/>
      </c>
      <c r="T173" s="50" t="str">
        <f t="shared" si="26"/>
        <v/>
      </c>
      <c r="U173" s="50" t="str">
        <f t="shared" si="24"/>
        <v/>
      </c>
      <c r="V173" s="50" t="str">
        <f t="shared" si="27"/>
        <v/>
      </c>
      <c r="W173" s="50"/>
      <c r="X173" s="50" t="s">
        <v>4</v>
      </c>
      <c r="Y173" s="50" t="s">
        <v>50</v>
      </c>
      <c r="Z173" s="50" t="s">
        <v>3406</v>
      </c>
      <c r="AA173" s="50"/>
    </row>
    <row r="174" spans="1:27" ht="25.5" customHeight="1">
      <c r="A174" s="50" t="s">
        <v>774</v>
      </c>
      <c r="B174" s="51" t="s">
        <v>848</v>
      </c>
      <c r="C174" s="51" t="s">
        <v>143</v>
      </c>
      <c r="D174" s="51" t="s">
        <v>3620</v>
      </c>
      <c r="E174" s="50">
        <v>2859</v>
      </c>
      <c r="F174" s="50">
        <v>3468</v>
      </c>
      <c r="G174" s="50" t="s">
        <v>3404</v>
      </c>
      <c r="H174" s="50">
        <v>2024</v>
      </c>
      <c r="I174" s="132">
        <v>45596</v>
      </c>
      <c r="J174" s="50"/>
      <c r="K174" s="50" t="s">
        <v>19</v>
      </c>
      <c r="L174" s="50"/>
      <c r="M174" s="50" t="s">
        <v>2445</v>
      </c>
      <c r="N174" s="50"/>
      <c r="O174" s="50"/>
      <c r="P174" s="50"/>
      <c r="Q174" s="50"/>
      <c r="R174" s="50"/>
      <c r="S174" s="50" t="str">
        <f t="shared" si="23"/>
        <v/>
      </c>
      <c r="T174" s="50" t="str">
        <f t="shared" si="26"/>
        <v/>
      </c>
      <c r="U174" s="50" t="str">
        <f t="shared" si="24"/>
        <v/>
      </c>
      <c r="V174" s="50" t="str">
        <f t="shared" si="27"/>
        <v/>
      </c>
      <c r="W174" s="50"/>
      <c r="X174" s="50" t="s">
        <v>4</v>
      </c>
      <c r="Y174" s="50" t="s">
        <v>50</v>
      </c>
      <c r="Z174" s="50" t="s">
        <v>3406</v>
      </c>
      <c r="AA174" s="50"/>
    </row>
    <row r="175" spans="1:27" ht="25.5" customHeight="1">
      <c r="A175" s="50" t="s">
        <v>774</v>
      </c>
      <c r="B175" s="51" t="s">
        <v>848</v>
      </c>
      <c r="C175" s="51" t="s">
        <v>143</v>
      </c>
      <c r="D175" s="51" t="s">
        <v>3621</v>
      </c>
      <c r="E175" s="50">
        <v>1281</v>
      </c>
      <c r="F175" s="50">
        <v>1321</v>
      </c>
      <c r="G175" s="50" t="s">
        <v>3404</v>
      </c>
      <c r="H175" s="50">
        <v>2024</v>
      </c>
      <c r="I175" s="132">
        <v>45583</v>
      </c>
      <c r="J175" s="50"/>
      <c r="K175" s="50" t="s">
        <v>19</v>
      </c>
      <c r="L175" s="50"/>
      <c r="M175" s="50" t="s">
        <v>2445</v>
      </c>
      <c r="N175" s="50"/>
      <c r="O175" s="50"/>
      <c r="P175" s="50"/>
      <c r="Q175" s="50"/>
      <c r="R175" s="50"/>
      <c r="S175" s="50" t="str">
        <f t="shared" si="23"/>
        <v/>
      </c>
      <c r="T175" s="50" t="str">
        <f t="shared" si="26"/>
        <v/>
      </c>
      <c r="U175" s="50" t="str">
        <f t="shared" si="24"/>
        <v/>
      </c>
      <c r="V175" s="50" t="str">
        <f t="shared" si="27"/>
        <v/>
      </c>
      <c r="W175" s="50"/>
      <c r="X175" s="50" t="s">
        <v>4</v>
      </c>
      <c r="Y175" s="50" t="s">
        <v>50</v>
      </c>
      <c r="Z175" s="50" t="s">
        <v>3406</v>
      </c>
      <c r="AA175" s="50"/>
    </row>
    <row r="176" spans="1:27" ht="25.5" customHeight="1">
      <c r="A176" s="50" t="s">
        <v>774</v>
      </c>
      <c r="B176" s="51" t="s">
        <v>3622</v>
      </c>
      <c r="C176" s="51" t="s">
        <v>143</v>
      </c>
      <c r="D176" s="51" t="s">
        <v>1332</v>
      </c>
      <c r="E176" s="50">
        <v>5472</v>
      </c>
      <c r="F176" s="50">
        <v>6388</v>
      </c>
      <c r="G176" s="50" t="s">
        <v>3404</v>
      </c>
      <c r="H176" s="50">
        <v>2024</v>
      </c>
      <c r="I176" s="105" t="s">
        <v>3612</v>
      </c>
      <c r="J176" s="50"/>
      <c r="K176" s="50" t="s">
        <v>188</v>
      </c>
      <c r="L176" s="50"/>
      <c r="M176" s="50" t="s">
        <v>2445</v>
      </c>
      <c r="N176" s="50"/>
      <c r="O176" s="50"/>
      <c r="P176" s="50"/>
      <c r="Q176" s="50"/>
      <c r="R176" s="50"/>
      <c r="S176" s="50" t="str">
        <f t="shared" si="23"/>
        <v/>
      </c>
      <c r="T176" s="50" t="str">
        <f t="shared" si="26"/>
        <v/>
      </c>
      <c r="U176" s="50" t="str">
        <f t="shared" si="24"/>
        <v/>
      </c>
      <c r="V176" s="50" t="str">
        <f t="shared" si="27"/>
        <v/>
      </c>
      <c r="W176" s="50"/>
      <c r="X176" s="50" t="s">
        <v>4</v>
      </c>
      <c r="Y176" s="50" t="s">
        <v>50</v>
      </c>
      <c r="Z176" s="50" t="s">
        <v>3406</v>
      </c>
      <c r="AA176" s="50"/>
    </row>
    <row r="177" spans="1:27" ht="25.5" customHeight="1">
      <c r="A177" s="50" t="s">
        <v>774</v>
      </c>
      <c r="B177" s="51" t="s">
        <v>3622</v>
      </c>
      <c r="C177" s="51" t="s">
        <v>143</v>
      </c>
      <c r="D177" s="51" t="s">
        <v>1881</v>
      </c>
      <c r="E177" s="50">
        <v>2074</v>
      </c>
      <c r="F177" s="50">
        <v>2067</v>
      </c>
      <c r="G177" s="50" t="s">
        <v>3404</v>
      </c>
      <c r="H177" s="50">
        <v>2024</v>
      </c>
      <c r="I177" s="105" t="s">
        <v>3623</v>
      </c>
      <c r="J177" s="50"/>
      <c r="K177" s="50" t="s">
        <v>188</v>
      </c>
      <c r="L177" s="50"/>
      <c r="M177" s="50" t="s">
        <v>2445</v>
      </c>
      <c r="N177" s="50"/>
      <c r="O177" s="50"/>
      <c r="P177" s="50"/>
      <c r="Q177" s="50"/>
      <c r="R177" s="50"/>
      <c r="S177" s="50" t="str">
        <f t="shared" si="23"/>
        <v/>
      </c>
      <c r="T177" s="50" t="str">
        <f t="shared" si="26"/>
        <v/>
      </c>
      <c r="U177" s="50" t="str">
        <f t="shared" si="24"/>
        <v/>
      </c>
      <c r="V177" s="50" t="str">
        <f t="shared" si="27"/>
        <v/>
      </c>
      <c r="W177" s="50"/>
      <c r="X177" s="50" t="s">
        <v>4</v>
      </c>
      <c r="Y177" s="50" t="s">
        <v>50</v>
      </c>
      <c r="Z177" s="50" t="s">
        <v>3406</v>
      </c>
      <c r="AA177" s="50"/>
    </row>
    <row r="178" spans="1:27" ht="25.5" customHeight="1">
      <c r="A178" s="50" t="s">
        <v>774</v>
      </c>
      <c r="B178" s="51" t="s">
        <v>3622</v>
      </c>
      <c r="C178" s="51" t="s">
        <v>143</v>
      </c>
      <c r="D178" s="51" t="s">
        <v>3624</v>
      </c>
      <c r="E178" s="50">
        <v>2046</v>
      </c>
      <c r="F178" s="50">
        <v>2211</v>
      </c>
      <c r="G178" s="50" t="s">
        <v>3404</v>
      </c>
      <c r="H178" s="50">
        <v>2024</v>
      </c>
      <c r="I178" s="105" t="s">
        <v>3625</v>
      </c>
      <c r="J178" s="50"/>
      <c r="K178" s="50" t="s">
        <v>188</v>
      </c>
      <c r="L178" s="50"/>
      <c r="M178" s="50" t="s">
        <v>2445</v>
      </c>
      <c r="N178" s="50"/>
      <c r="O178" s="50"/>
      <c r="P178" s="50"/>
      <c r="Q178" s="50"/>
      <c r="R178" s="50"/>
      <c r="S178" s="50" t="str">
        <f t="shared" si="23"/>
        <v/>
      </c>
      <c r="T178" s="50" t="str">
        <f t="shared" si="26"/>
        <v/>
      </c>
      <c r="U178" s="50" t="str">
        <f t="shared" si="24"/>
        <v/>
      </c>
      <c r="V178" s="50" t="str">
        <f t="shared" si="27"/>
        <v/>
      </c>
      <c r="W178" s="50"/>
      <c r="X178" s="50" t="s">
        <v>4</v>
      </c>
      <c r="Y178" s="50" t="s">
        <v>50</v>
      </c>
      <c r="Z178" s="50" t="s">
        <v>3406</v>
      </c>
      <c r="AA178" s="50"/>
    </row>
    <row r="179" spans="1:27" ht="25.5" customHeight="1">
      <c r="A179" s="50" t="s">
        <v>774</v>
      </c>
      <c r="B179" s="51" t="s">
        <v>3622</v>
      </c>
      <c r="C179" s="51" t="s">
        <v>143</v>
      </c>
      <c r="D179" s="51" t="s">
        <v>3626</v>
      </c>
      <c r="E179" s="50">
        <v>4170</v>
      </c>
      <c r="F179" s="50">
        <v>3844</v>
      </c>
      <c r="G179" s="50" t="s">
        <v>3404</v>
      </c>
      <c r="H179" s="50">
        <v>2024</v>
      </c>
      <c r="I179" s="105" t="s">
        <v>3627</v>
      </c>
      <c r="J179" s="50"/>
      <c r="K179" s="50" t="s">
        <v>188</v>
      </c>
      <c r="L179" s="50"/>
      <c r="M179" s="50" t="s">
        <v>2445</v>
      </c>
      <c r="N179" s="50"/>
      <c r="O179" s="50"/>
      <c r="P179" s="50"/>
      <c r="Q179" s="50"/>
      <c r="R179" s="50"/>
      <c r="S179" s="50" t="str">
        <f t="shared" si="23"/>
        <v/>
      </c>
      <c r="T179" s="50" t="str">
        <f t="shared" si="26"/>
        <v/>
      </c>
      <c r="U179" s="50" t="str">
        <f t="shared" si="24"/>
        <v/>
      </c>
      <c r="V179" s="50" t="str">
        <f t="shared" si="27"/>
        <v/>
      </c>
      <c r="W179" s="50"/>
      <c r="X179" s="50" t="s">
        <v>4</v>
      </c>
      <c r="Y179" s="50" t="s">
        <v>50</v>
      </c>
      <c r="Z179" s="50" t="s">
        <v>3406</v>
      </c>
      <c r="AA179" s="50"/>
    </row>
    <row r="180" spans="1:27" ht="25.5" customHeight="1">
      <c r="A180" s="50" t="s">
        <v>774</v>
      </c>
      <c r="B180" s="51" t="s">
        <v>3622</v>
      </c>
      <c r="C180" s="51" t="s">
        <v>143</v>
      </c>
      <c r="D180" s="51" t="s">
        <v>3628</v>
      </c>
      <c r="E180" s="50">
        <v>8137</v>
      </c>
      <c r="F180" s="50">
        <v>9775</v>
      </c>
      <c r="G180" s="50" t="s">
        <v>3404</v>
      </c>
      <c r="H180" s="50">
        <v>2024</v>
      </c>
      <c r="I180" s="105" t="s">
        <v>3629</v>
      </c>
      <c r="J180" s="50"/>
      <c r="K180" s="50" t="s">
        <v>188</v>
      </c>
      <c r="L180" s="50"/>
      <c r="M180" s="50" t="s">
        <v>2445</v>
      </c>
      <c r="N180" s="50"/>
      <c r="O180" s="50"/>
      <c r="P180" s="50"/>
      <c r="Q180" s="50"/>
      <c r="R180" s="50"/>
      <c r="S180" s="50" t="str">
        <f t="shared" si="23"/>
        <v/>
      </c>
      <c r="T180" s="50" t="str">
        <f t="shared" si="26"/>
        <v/>
      </c>
      <c r="U180" s="50" t="str">
        <f t="shared" si="24"/>
        <v/>
      </c>
      <c r="V180" s="50" t="str">
        <f t="shared" si="27"/>
        <v/>
      </c>
      <c r="W180" s="50"/>
      <c r="X180" s="50" t="s">
        <v>4</v>
      </c>
      <c r="Y180" s="50" t="s">
        <v>50</v>
      </c>
      <c r="Z180" s="50" t="s">
        <v>3406</v>
      </c>
      <c r="AA180" s="50"/>
    </row>
    <row r="181" spans="1:27" ht="25.5" customHeight="1">
      <c r="A181" s="517" t="s">
        <v>774</v>
      </c>
      <c r="B181" s="51" t="s">
        <v>3622</v>
      </c>
      <c r="C181" s="51" t="s">
        <v>143</v>
      </c>
      <c r="D181" s="517" t="s">
        <v>3630</v>
      </c>
      <c r="E181" s="50">
        <v>5472</v>
      </c>
      <c r="F181" s="50">
        <v>7083</v>
      </c>
      <c r="G181" s="50" t="s">
        <v>3404</v>
      </c>
      <c r="H181" s="50">
        <v>2025</v>
      </c>
      <c r="I181" s="132">
        <v>45706</v>
      </c>
      <c r="J181" s="50" t="s">
        <v>3458</v>
      </c>
      <c r="K181" s="50" t="s">
        <v>188</v>
      </c>
      <c r="L181" s="50"/>
      <c r="M181" s="50" t="s">
        <v>2445</v>
      </c>
      <c r="N181" s="50" t="s">
        <v>3631</v>
      </c>
      <c r="O181" s="60">
        <v>45706</v>
      </c>
      <c r="P181" s="50"/>
      <c r="Q181" s="60">
        <v>45706</v>
      </c>
      <c r="R181" s="60">
        <v>45707</v>
      </c>
      <c r="S181" s="50">
        <f t="shared" si="23"/>
        <v>1</v>
      </c>
      <c r="T181" s="50" t="str">
        <f t="shared" si="26"/>
        <v/>
      </c>
      <c r="U181" s="50">
        <f t="shared" si="24"/>
        <v>1</v>
      </c>
      <c r="V181" s="50">
        <f t="shared" si="27"/>
        <v>1</v>
      </c>
      <c r="W181" s="50" t="s">
        <v>150</v>
      </c>
      <c r="X181" s="50" t="s">
        <v>4</v>
      </c>
      <c r="Y181" s="50" t="s">
        <v>50</v>
      </c>
      <c r="Z181" s="50" t="s">
        <v>3406</v>
      </c>
      <c r="AA181" s="50"/>
    </row>
    <row r="182" spans="1:27" ht="25.5" customHeight="1">
      <c r="A182" s="50" t="s">
        <v>774</v>
      </c>
      <c r="B182" s="51" t="s">
        <v>3622</v>
      </c>
      <c r="C182" s="51" t="s">
        <v>143</v>
      </c>
      <c r="D182" s="51" t="s">
        <v>3632</v>
      </c>
      <c r="E182" s="50">
        <v>2536</v>
      </c>
      <c r="F182" s="50">
        <v>2543</v>
      </c>
      <c r="G182" s="50" t="s">
        <v>3404</v>
      </c>
      <c r="H182" s="50">
        <v>2024</v>
      </c>
      <c r="I182" s="105" t="s">
        <v>3633</v>
      </c>
      <c r="J182" s="50"/>
      <c r="K182" s="50" t="s">
        <v>188</v>
      </c>
      <c r="L182" s="50"/>
      <c r="M182" s="50" t="s">
        <v>2445</v>
      </c>
      <c r="N182" s="50"/>
      <c r="O182" s="50"/>
      <c r="P182" s="50"/>
      <c r="Q182" s="50"/>
      <c r="R182" s="50"/>
      <c r="S182" s="50" t="str">
        <f t="shared" si="23"/>
        <v/>
      </c>
      <c r="T182" s="50" t="str">
        <f t="shared" si="26"/>
        <v/>
      </c>
      <c r="U182" s="50" t="str">
        <f t="shared" si="24"/>
        <v/>
      </c>
      <c r="V182" s="50" t="str">
        <f t="shared" si="27"/>
        <v/>
      </c>
      <c r="W182" s="50"/>
      <c r="X182" s="50" t="s">
        <v>4</v>
      </c>
      <c r="Y182" s="50" t="s">
        <v>50</v>
      </c>
      <c r="Z182" s="50" t="s">
        <v>3406</v>
      </c>
      <c r="AA182" s="50"/>
    </row>
    <row r="183" spans="1:27" s="110" customFormat="1" ht="25.5" customHeight="1">
      <c r="A183" s="517" t="s">
        <v>774</v>
      </c>
      <c r="B183" s="51" t="s">
        <v>3622</v>
      </c>
      <c r="C183" s="51" t="s">
        <v>143</v>
      </c>
      <c r="D183" s="517" t="s">
        <v>3634</v>
      </c>
      <c r="E183" s="50">
        <v>9583</v>
      </c>
      <c r="F183" s="50">
        <v>11581</v>
      </c>
      <c r="G183" s="50" t="s">
        <v>3404</v>
      </c>
      <c r="H183" s="50">
        <v>2025</v>
      </c>
      <c r="I183" s="132">
        <v>45793</v>
      </c>
      <c r="J183" s="50" t="s">
        <v>3532</v>
      </c>
      <c r="K183" s="50" t="s">
        <v>188</v>
      </c>
      <c r="L183" s="50"/>
      <c r="M183" s="50" t="s">
        <v>2445</v>
      </c>
      <c r="N183" s="50" t="s">
        <v>3635</v>
      </c>
      <c r="O183" s="60">
        <v>45796</v>
      </c>
      <c r="P183" s="50"/>
      <c r="Q183" s="60">
        <v>45796</v>
      </c>
      <c r="R183" s="60">
        <v>45797</v>
      </c>
      <c r="S183" s="50">
        <f t="shared" si="23"/>
        <v>1</v>
      </c>
      <c r="T183" s="50" t="str">
        <f t="shared" si="26"/>
        <v/>
      </c>
      <c r="U183" s="50">
        <f t="shared" si="24"/>
        <v>1</v>
      </c>
      <c r="V183" s="50">
        <f t="shared" si="27"/>
        <v>1</v>
      </c>
      <c r="W183" s="50" t="s">
        <v>150</v>
      </c>
      <c r="X183" s="50" t="s">
        <v>1078</v>
      </c>
      <c r="Y183" s="50" t="s">
        <v>50</v>
      </c>
      <c r="Z183" s="50" t="s">
        <v>3406</v>
      </c>
      <c r="AA183" s="50"/>
    </row>
    <row r="184" spans="1:27" ht="25.5" customHeight="1">
      <c r="A184" s="517" t="s">
        <v>774</v>
      </c>
      <c r="B184" s="51" t="s">
        <v>3622</v>
      </c>
      <c r="C184" s="51" t="s">
        <v>143</v>
      </c>
      <c r="D184" s="517" t="s">
        <v>3636</v>
      </c>
      <c r="E184" s="50">
        <v>1811</v>
      </c>
      <c r="F184" s="50">
        <v>2031</v>
      </c>
      <c r="G184" s="50" t="s">
        <v>3404</v>
      </c>
      <c r="H184" s="50">
        <v>2025</v>
      </c>
      <c r="I184" s="132">
        <v>45679</v>
      </c>
      <c r="J184" s="50" t="s">
        <v>3424</v>
      </c>
      <c r="K184" s="50" t="s">
        <v>188</v>
      </c>
      <c r="L184" s="50"/>
      <c r="M184" s="50" t="s">
        <v>2445</v>
      </c>
      <c r="N184" s="50" t="s">
        <v>3637</v>
      </c>
      <c r="O184" s="60">
        <v>45679</v>
      </c>
      <c r="P184" s="50"/>
      <c r="Q184" s="60">
        <v>45679</v>
      </c>
      <c r="R184" s="60">
        <v>45680</v>
      </c>
      <c r="S184" s="50">
        <f t="shared" si="23"/>
        <v>1</v>
      </c>
      <c r="T184" s="50" t="str">
        <f t="shared" si="26"/>
        <v/>
      </c>
      <c r="U184" s="50">
        <f t="shared" si="24"/>
        <v>1</v>
      </c>
      <c r="V184" s="50">
        <f t="shared" si="27"/>
        <v>1</v>
      </c>
      <c r="W184" s="50" t="s">
        <v>150</v>
      </c>
      <c r="X184" s="50" t="s">
        <v>4</v>
      </c>
      <c r="Y184" s="50" t="s">
        <v>50</v>
      </c>
      <c r="Z184" s="50" t="s">
        <v>3406</v>
      </c>
      <c r="AA184" s="50"/>
    </row>
    <row r="185" spans="1:27" ht="25.5" customHeight="1">
      <c r="A185" s="517" t="s">
        <v>774</v>
      </c>
      <c r="B185" s="51" t="s">
        <v>3622</v>
      </c>
      <c r="C185" s="51" t="s">
        <v>143</v>
      </c>
      <c r="D185" s="517" t="s">
        <v>3638</v>
      </c>
      <c r="E185" s="50">
        <v>1784</v>
      </c>
      <c r="F185" s="50">
        <v>1776</v>
      </c>
      <c r="G185" s="50" t="s">
        <v>3404</v>
      </c>
      <c r="H185" s="50">
        <v>2025</v>
      </c>
      <c r="I185" s="132">
        <v>45743</v>
      </c>
      <c r="J185" s="50" t="s">
        <v>3470</v>
      </c>
      <c r="K185" s="50" t="s">
        <v>188</v>
      </c>
      <c r="L185" s="50"/>
      <c r="M185" s="50" t="s">
        <v>2445</v>
      </c>
      <c r="N185" s="50" t="s">
        <v>3639</v>
      </c>
      <c r="O185" s="60">
        <v>45746</v>
      </c>
      <c r="P185" s="50"/>
      <c r="Q185" s="60">
        <v>45746</v>
      </c>
      <c r="R185" s="60">
        <v>45747</v>
      </c>
      <c r="S185" s="50">
        <f t="shared" si="23"/>
        <v>1</v>
      </c>
      <c r="T185" s="50" t="str">
        <f t="shared" si="26"/>
        <v/>
      </c>
      <c r="U185" s="50">
        <f t="shared" si="24"/>
        <v>1</v>
      </c>
      <c r="V185" s="50">
        <f t="shared" si="27"/>
        <v>1</v>
      </c>
      <c r="W185" s="50" t="s">
        <v>150</v>
      </c>
      <c r="X185" s="50" t="s">
        <v>1078</v>
      </c>
      <c r="Y185" s="50" t="s">
        <v>57</v>
      </c>
      <c r="Z185" s="50" t="s">
        <v>3406</v>
      </c>
      <c r="AA185" s="50"/>
    </row>
    <row r="186" spans="1:27" ht="25.5" customHeight="1">
      <c r="A186" s="50" t="s">
        <v>774</v>
      </c>
      <c r="B186" s="51" t="s">
        <v>3622</v>
      </c>
      <c r="C186" s="51" t="s">
        <v>143</v>
      </c>
      <c r="D186" s="51" t="s">
        <v>3640</v>
      </c>
      <c r="E186" s="50">
        <v>2219</v>
      </c>
      <c r="F186" s="50">
        <v>2322</v>
      </c>
      <c r="G186" s="50" t="s">
        <v>3404</v>
      </c>
      <c r="H186" s="50">
        <v>2024</v>
      </c>
      <c r="I186" s="105" t="s">
        <v>3623</v>
      </c>
      <c r="J186" s="50"/>
      <c r="K186" s="50" t="s">
        <v>188</v>
      </c>
      <c r="L186" s="50"/>
      <c r="M186" s="50" t="s">
        <v>2445</v>
      </c>
      <c r="N186" s="50"/>
      <c r="O186" s="50"/>
      <c r="P186" s="50"/>
      <c r="Q186" s="50"/>
      <c r="R186" s="50"/>
      <c r="S186" s="50" t="str">
        <f t="shared" si="23"/>
        <v/>
      </c>
      <c r="T186" s="50" t="str">
        <f t="shared" si="26"/>
        <v/>
      </c>
      <c r="U186" s="50" t="str">
        <f t="shared" si="24"/>
        <v/>
      </c>
      <c r="V186" s="50" t="str">
        <f t="shared" si="27"/>
        <v/>
      </c>
      <c r="W186" s="50"/>
      <c r="X186" s="50" t="s">
        <v>4</v>
      </c>
      <c r="Y186" s="50" t="s">
        <v>57</v>
      </c>
      <c r="Z186" s="50" t="s">
        <v>3406</v>
      </c>
      <c r="AA186" s="50"/>
    </row>
    <row r="187" spans="1:27" ht="25.5" customHeight="1">
      <c r="A187" s="50" t="s">
        <v>774</v>
      </c>
      <c r="B187" s="51" t="s">
        <v>3622</v>
      </c>
      <c r="C187" s="51" t="s">
        <v>143</v>
      </c>
      <c r="D187" s="51" t="s">
        <v>3641</v>
      </c>
      <c r="E187" s="50">
        <v>2570</v>
      </c>
      <c r="F187" s="50">
        <v>2277</v>
      </c>
      <c r="G187" s="50" t="s">
        <v>3404</v>
      </c>
      <c r="H187" s="50">
        <v>2024</v>
      </c>
      <c r="I187" s="105" t="s">
        <v>3642</v>
      </c>
      <c r="J187" s="50"/>
      <c r="K187" s="50" t="s">
        <v>188</v>
      </c>
      <c r="L187" s="50"/>
      <c r="M187" s="50" t="s">
        <v>2445</v>
      </c>
      <c r="N187" s="50"/>
      <c r="O187" s="50"/>
      <c r="P187" s="50"/>
      <c r="Q187" s="50"/>
      <c r="R187" s="50"/>
      <c r="S187" s="50" t="str">
        <f t="shared" si="23"/>
        <v/>
      </c>
      <c r="T187" s="50" t="str">
        <f t="shared" si="26"/>
        <v/>
      </c>
      <c r="U187" s="50" t="str">
        <f t="shared" si="24"/>
        <v/>
      </c>
      <c r="V187" s="50" t="str">
        <f t="shared" si="27"/>
        <v/>
      </c>
      <c r="W187" s="50"/>
      <c r="X187" s="50" t="s">
        <v>4</v>
      </c>
      <c r="Y187" s="50" t="s">
        <v>50</v>
      </c>
      <c r="Z187" s="50" t="s">
        <v>3406</v>
      </c>
      <c r="AA187" s="50"/>
    </row>
    <row r="188" spans="1:27" ht="25.5" customHeight="1">
      <c r="A188" s="50" t="s">
        <v>774</v>
      </c>
      <c r="B188" s="51" t="s">
        <v>3622</v>
      </c>
      <c r="C188" s="51" t="s">
        <v>143</v>
      </c>
      <c r="D188" s="51" t="s">
        <v>3643</v>
      </c>
      <c r="E188" s="50">
        <v>2483</v>
      </c>
      <c r="F188" s="50">
        <v>2670</v>
      </c>
      <c r="G188" s="50" t="s">
        <v>3404</v>
      </c>
      <c r="H188" s="50">
        <v>2024</v>
      </c>
      <c r="I188" s="105" t="s">
        <v>3644</v>
      </c>
      <c r="J188" s="50"/>
      <c r="K188" s="50" t="s">
        <v>188</v>
      </c>
      <c r="L188" s="50"/>
      <c r="M188" s="50" t="s">
        <v>2445</v>
      </c>
      <c r="N188" s="50"/>
      <c r="O188" s="50"/>
      <c r="P188" s="50"/>
      <c r="Q188" s="50"/>
      <c r="R188" s="50"/>
      <c r="S188" s="50" t="str">
        <f t="shared" si="23"/>
        <v/>
      </c>
      <c r="T188" s="50" t="str">
        <f t="shared" si="26"/>
        <v/>
      </c>
      <c r="U188" s="50" t="str">
        <f t="shared" si="24"/>
        <v/>
      </c>
      <c r="V188" s="50" t="str">
        <f t="shared" si="27"/>
        <v/>
      </c>
      <c r="W188" s="50"/>
      <c r="X188" s="50" t="s">
        <v>4</v>
      </c>
      <c r="Y188" s="50" t="s">
        <v>50</v>
      </c>
      <c r="Z188" s="50" t="s">
        <v>3406</v>
      </c>
      <c r="AA188" s="50"/>
    </row>
    <row r="189" spans="1:27" ht="25.5" customHeight="1">
      <c r="A189" s="50" t="s">
        <v>774</v>
      </c>
      <c r="B189" s="51" t="s">
        <v>3622</v>
      </c>
      <c r="C189" s="51" t="s">
        <v>143</v>
      </c>
      <c r="D189" s="51" t="s">
        <v>3645</v>
      </c>
      <c r="E189" s="50">
        <v>723</v>
      </c>
      <c r="F189" s="50">
        <v>725</v>
      </c>
      <c r="G189" s="50" t="s">
        <v>3404</v>
      </c>
      <c r="H189" s="50">
        <v>2024</v>
      </c>
      <c r="I189" s="105" t="s">
        <v>3646</v>
      </c>
      <c r="J189" s="50"/>
      <c r="K189" s="50" t="s">
        <v>188</v>
      </c>
      <c r="L189" s="50"/>
      <c r="M189" s="50" t="s">
        <v>2445</v>
      </c>
      <c r="N189" s="50"/>
      <c r="O189" s="50"/>
      <c r="P189" s="50"/>
      <c r="Q189" s="50"/>
      <c r="R189" s="50"/>
      <c r="S189" s="50" t="str">
        <f t="shared" si="23"/>
        <v/>
      </c>
      <c r="T189" s="50" t="str">
        <f t="shared" si="26"/>
        <v/>
      </c>
      <c r="U189" s="50" t="str">
        <f t="shared" si="24"/>
        <v/>
      </c>
      <c r="V189" s="50" t="str">
        <f t="shared" si="27"/>
        <v/>
      </c>
      <c r="W189" s="50"/>
      <c r="X189" s="50" t="s">
        <v>4</v>
      </c>
      <c r="Y189" s="50" t="s">
        <v>50</v>
      </c>
      <c r="Z189" s="50" t="s">
        <v>3406</v>
      </c>
      <c r="AA189" s="50"/>
    </row>
    <row r="190" spans="1:27" ht="25.5" customHeight="1">
      <c r="A190" s="50" t="s">
        <v>774</v>
      </c>
      <c r="B190" s="51" t="s">
        <v>3622</v>
      </c>
      <c r="C190" s="51" t="s">
        <v>143</v>
      </c>
      <c r="D190" s="51" t="s">
        <v>873</v>
      </c>
      <c r="E190" s="50">
        <v>2755</v>
      </c>
      <c r="F190" s="50">
        <v>3320</v>
      </c>
      <c r="G190" s="50" t="s">
        <v>3404</v>
      </c>
      <c r="H190" s="50">
        <v>2024</v>
      </c>
      <c r="I190" s="105" t="s">
        <v>3647</v>
      </c>
      <c r="J190" s="50"/>
      <c r="K190" s="50" t="s">
        <v>188</v>
      </c>
      <c r="L190" s="50"/>
      <c r="M190" s="50" t="s">
        <v>2445</v>
      </c>
      <c r="N190" s="50"/>
      <c r="O190" s="50"/>
      <c r="P190" s="50"/>
      <c r="Q190" s="50"/>
      <c r="R190" s="50"/>
      <c r="S190" s="50" t="str">
        <f t="shared" si="23"/>
        <v/>
      </c>
      <c r="T190" s="50" t="str">
        <f t="shared" si="26"/>
        <v/>
      </c>
      <c r="U190" s="50" t="str">
        <f t="shared" si="24"/>
        <v/>
      </c>
      <c r="V190" s="50" t="str">
        <f t="shared" si="27"/>
        <v/>
      </c>
      <c r="W190" s="50"/>
      <c r="X190" s="50" t="s">
        <v>4</v>
      </c>
      <c r="Y190" s="50" t="s">
        <v>50</v>
      </c>
      <c r="Z190" s="50" t="s">
        <v>3406</v>
      </c>
      <c r="AA190" s="50"/>
    </row>
    <row r="191" spans="1:27" ht="25.5" customHeight="1">
      <c r="A191" s="50" t="s">
        <v>774</v>
      </c>
      <c r="B191" s="51" t="s">
        <v>3622</v>
      </c>
      <c r="C191" s="51" t="s">
        <v>143</v>
      </c>
      <c r="D191" s="51" t="s">
        <v>1056</v>
      </c>
      <c r="E191" s="50">
        <v>799</v>
      </c>
      <c r="F191" s="50">
        <v>736</v>
      </c>
      <c r="G191" s="50" t="s">
        <v>3404</v>
      </c>
      <c r="H191" s="50">
        <v>2024</v>
      </c>
      <c r="I191" s="105" t="s">
        <v>3648</v>
      </c>
      <c r="J191" s="50"/>
      <c r="K191" s="50" t="s">
        <v>188</v>
      </c>
      <c r="L191" s="50"/>
      <c r="M191" s="50" t="s">
        <v>2445</v>
      </c>
      <c r="N191" s="50"/>
      <c r="O191" s="50"/>
      <c r="P191" s="50"/>
      <c r="Q191" s="50"/>
      <c r="R191" s="50"/>
      <c r="S191" s="50" t="str">
        <f t="shared" si="23"/>
        <v/>
      </c>
      <c r="T191" s="50" t="str">
        <f t="shared" si="26"/>
        <v/>
      </c>
      <c r="U191" s="50" t="str">
        <f t="shared" si="24"/>
        <v/>
      </c>
      <c r="V191" s="50" t="str">
        <f t="shared" si="27"/>
        <v/>
      </c>
      <c r="W191" s="50"/>
      <c r="X191" s="50" t="s">
        <v>4</v>
      </c>
      <c r="Y191" s="50" t="s">
        <v>50</v>
      </c>
      <c r="Z191" s="50" t="s">
        <v>3406</v>
      </c>
      <c r="AA191" s="50"/>
    </row>
    <row r="192" spans="1:27" ht="25.5" customHeight="1">
      <c r="A192" s="50" t="s">
        <v>774</v>
      </c>
      <c r="B192" s="51" t="s">
        <v>3622</v>
      </c>
      <c r="C192" s="51" t="s">
        <v>143</v>
      </c>
      <c r="D192" s="50" t="s">
        <v>3649</v>
      </c>
      <c r="E192" s="50">
        <v>4315</v>
      </c>
      <c r="F192" s="50">
        <v>4287</v>
      </c>
      <c r="G192" s="50" t="s">
        <v>3404</v>
      </c>
      <c r="H192" s="50">
        <v>2024</v>
      </c>
      <c r="I192" s="105" t="s">
        <v>3650</v>
      </c>
      <c r="J192" s="50"/>
      <c r="K192" s="50" t="s">
        <v>188</v>
      </c>
      <c r="L192" s="50"/>
      <c r="M192" s="50" t="s">
        <v>2445</v>
      </c>
      <c r="N192" s="50"/>
      <c r="O192" s="50"/>
      <c r="P192" s="50"/>
      <c r="Q192" s="50"/>
      <c r="R192" s="50"/>
      <c r="S192" s="50" t="str">
        <f t="shared" si="23"/>
        <v/>
      </c>
      <c r="T192" s="50" t="str">
        <f t="shared" si="26"/>
        <v/>
      </c>
      <c r="U192" s="50" t="str">
        <f t="shared" si="24"/>
        <v/>
      </c>
      <c r="V192" s="50" t="str">
        <f t="shared" si="27"/>
        <v/>
      </c>
      <c r="W192" s="50"/>
      <c r="X192" s="50" t="s">
        <v>4</v>
      </c>
      <c r="Y192" s="50"/>
      <c r="Z192" s="50" t="s">
        <v>3406</v>
      </c>
      <c r="AA192" s="50"/>
    </row>
    <row r="193" spans="1:27" s="110" customFormat="1" ht="25.5" customHeight="1">
      <c r="A193" s="50" t="s">
        <v>774</v>
      </c>
      <c r="B193" s="51" t="s">
        <v>3622</v>
      </c>
      <c r="C193" s="51" t="s">
        <v>143</v>
      </c>
      <c r="D193" s="50" t="s">
        <v>3651</v>
      </c>
      <c r="E193" s="50">
        <v>1816</v>
      </c>
      <c r="F193" s="50">
        <v>1822</v>
      </c>
      <c r="G193" s="50" t="s">
        <v>3404</v>
      </c>
      <c r="H193" s="50">
        <v>2024</v>
      </c>
      <c r="I193" s="105" t="s">
        <v>3650</v>
      </c>
      <c r="J193" s="50"/>
      <c r="K193" s="50" t="s">
        <v>188</v>
      </c>
      <c r="L193" s="50"/>
      <c r="M193" s="50" t="s">
        <v>2445</v>
      </c>
      <c r="N193" s="50"/>
      <c r="O193" s="50"/>
      <c r="P193" s="50"/>
      <c r="Q193" s="50"/>
      <c r="R193" s="50"/>
      <c r="S193" s="50" t="str">
        <f t="shared" si="23"/>
        <v/>
      </c>
      <c r="T193" s="50" t="str">
        <f t="shared" si="26"/>
        <v/>
      </c>
      <c r="U193" s="50" t="str">
        <f t="shared" si="24"/>
        <v/>
      </c>
      <c r="V193" s="50" t="str">
        <f t="shared" si="27"/>
        <v/>
      </c>
      <c r="W193" s="50"/>
      <c r="X193" s="50" t="s">
        <v>4</v>
      </c>
      <c r="Y193" s="50"/>
      <c r="Z193" s="50" t="s">
        <v>3406</v>
      </c>
      <c r="AA193" s="50"/>
    </row>
    <row r="194" spans="1:27" ht="25.5" customHeight="1">
      <c r="A194" s="50" t="s">
        <v>774</v>
      </c>
      <c r="B194" s="51" t="s">
        <v>3622</v>
      </c>
      <c r="C194" s="51" t="s">
        <v>143</v>
      </c>
      <c r="D194" s="50" t="s">
        <v>858</v>
      </c>
      <c r="E194" s="50">
        <v>6274</v>
      </c>
      <c r="F194" s="50">
        <v>6718</v>
      </c>
      <c r="G194" s="50" t="s">
        <v>3404</v>
      </c>
      <c r="H194" s="50">
        <v>2024</v>
      </c>
      <c r="I194" s="105" t="s">
        <v>3652</v>
      </c>
      <c r="J194" s="50"/>
      <c r="K194" s="50" t="s">
        <v>188</v>
      </c>
      <c r="L194" s="50"/>
      <c r="M194" s="50" t="s">
        <v>2445</v>
      </c>
      <c r="N194" s="50"/>
      <c r="O194" s="50"/>
      <c r="P194" s="50"/>
      <c r="Q194" s="50"/>
      <c r="R194" s="50"/>
      <c r="S194" s="50" t="str">
        <f t="shared" si="23"/>
        <v/>
      </c>
      <c r="T194" s="50" t="str">
        <f t="shared" si="26"/>
        <v/>
      </c>
      <c r="U194" s="50" t="str">
        <f t="shared" si="24"/>
        <v/>
      </c>
      <c r="V194" s="50" t="str">
        <f t="shared" si="27"/>
        <v/>
      </c>
      <c r="W194" s="50"/>
      <c r="X194" s="50" t="s">
        <v>4</v>
      </c>
      <c r="Y194" s="50" t="s">
        <v>50</v>
      </c>
      <c r="Z194" s="50" t="s">
        <v>3406</v>
      </c>
      <c r="AA194" s="50"/>
    </row>
    <row r="195" spans="1:27" ht="25.5" customHeight="1">
      <c r="A195" s="50" t="s">
        <v>774</v>
      </c>
      <c r="B195" s="51" t="s">
        <v>3622</v>
      </c>
      <c r="C195" s="51" t="s">
        <v>143</v>
      </c>
      <c r="D195" s="51" t="s">
        <v>3653</v>
      </c>
      <c r="E195" s="50">
        <v>2256</v>
      </c>
      <c r="F195" s="50">
        <v>2766</v>
      </c>
      <c r="G195" s="50" t="s">
        <v>3404</v>
      </c>
      <c r="H195" s="50">
        <v>2024</v>
      </c>
      <c r="I195" s="132">
        <v>45602</v>
      </c>
      <c r="J195" s="50"/>
      <c r="K195" s="50" t="s">
        <v>188</v>
      </c>
      <c r="L195" s="50"/>
      <c r="M195" s="50" t="s">
        <v>2445</v>
      </c>
      <c r="N195" s="50"/>
      <c r="O195" s="50"/>
      <c r="P195" s="50"/>
      <c r="Q195" s="50"/>
      <c r="R195" s="50"/>
      <c r="S195" s="50" t="str">
        <f t="shared" si="23"/>
        <v/>
      </c>
      <c r="T195" s="50" t="str">
        <f t="shared" si="26"/>
        <v/>
      </c>
      <c r="U195" s="50" t="str">
        <f t="shared" si="24"/>
        <v/>
      </c>
      <c r="V195" s="50" t="str">
        <f t="shared" si="27"/>
        <v/>
      </c>
      <c r="W195" s="50"/>
      <c r="X195" s="50" t="s">
        <v>4</v>
      </c>
      <c r="Y195" s="50" t="s">
        <v>50</v>
      </c>
      <c r="Z195" s="50" t="s">
        <v>3406</v>
      </c>
      <c r="AA195" s="50"/>
    </row>
    <row r="196" spans="1:27" ht="25.5" customHeight="1">
      <c r="A196" s="50" t="s">
        <v>774</v>
      </c>
      <c r="B196" s="51" t="s">
        <v>3622</v>
      </c>
      <c r="C196" s="51" t="s">
        <v>143</v>
      </c>
      <c r="D196" s="51" t="s">
        <v>3654</v>
      </c>
      <c r="E196" s="50">
        <v>1907</v>
      </c>
      <c r="F196" s="50">
        <v>2181</v>
      </c>
      <c r="G196" s="50" t="s">
        <v>3404</v>
      </c>
      <c r="H196" s="50">
        <v>2024</v>
      </c>
      <c r="I196" s="105" t="s">
        <v>3655</v>
      </c>
      <c r="J196" s="50"/>
      <c r="K196" s="50" t="s">
        <v>188</v>
      </c>
      <c r="L196" s="50"/>
      <c r="M196" s="50" t="s">
        <v>2445</v>
      </c>
      <c r="N196" s="50"/>
      <c r="O196" s="50"/>
      <c r="P196" s="50"/>
      <c r="Q196" s="50"/>
      <c r="R196" s="50"/>
      <c r="S196" s="50" t="str">
        <f t="shared" si="23"/>
        <v/>
      </c>
      <c r="T196" s="50" t="str">
        <f t="shared" si="26"/>
        <v/>
      </c>
      <c r="U196" s="50" t="str">
        <f t="shared" si="24"/>
        <v/>
      </c>
      <c r="V196" s="50" t="str">
        <f t="shared" si="27"/>
        <v/>
      </c>
      <c r="W196" s="50"/>
      <c r="X196" s="50" t="s">
        <v>4</v>
      </c>
      <c r="Y196" s="50" t="s">
        <v>57</v>
      </c>
      <c r="Z196" s="50" t="s">
        <v>3406</v>
      </c>
      <c r="AA196" s="50"/>
    </row>
    <row r="197" spans="1:27" ht="25.5" customHeight="1">
      <c r="A197" s="517" t="s">
        <v>774</v>
      </c>
      <c r="B197" s="51" t="s">
        <v>3656</v>
      </c>
      <c r="C197" s="51" t="s">
        <v>143</v>
      </c>
      <c r="D197" s="517" t="s">
        <v>3657</v>
      </c>
      <c r="E197" s="50">
        <v>818</v>
      </c>
      <c r="F197" s="50">
        <v>914</v>
      </c>
      <c r="G197" s="50" t="s">
        <v>3404</v>
      </c>
      <c r="H197" s="50">
        <v>2025</v>
      </c>
      <c r="I197" s="132">
        <v>45875</v>
      </c>
      <c r="J197" s="50" t="s">
        <v>3126</v>
      </c>
      <c r="K197" s="50" t="s">
        <v>188</v>
      </c>
      <c r="L197" s="50"/>
      <c r="M197" s="50" t="s">
        <v>2445</v>
      </c>
      <c r="N197" s="50" t="s">
        <v>3658</v>
      </c>
      <c r="O197" s="60">
        <v>45880</v>
      </c>
      <c r="P197" s="50"/>
      <c r="Q197" s="60">
        <v>45880</v>
      </c>
      <c r="R197" s="60">
        <v>45882</v>
      </c>
      <c r="S197" s="50">
        <f t="shared" si="23"/>
        <v>3</v>
      </c>
      <c r="T197" s="50" t="str">
        <f t="shared" si="26"/>
        <v/>
      </c>
      <c r="U197" s="50">
        <f t="shared" si="24"/>
        <v>1</v>
      </c>
      <c r="V197" s="50">
        <f t="shared" si="27"/>
        <v>2</v>
      </c>
      <c r="W197" s="50" t="s">
        <v>150</v>
      </c>
      <c r="X197" s="50" t="s">
        <v>1078</v>
      </c>
      <c r="Y197" s="50" t="s">
        <v>50</v>
      </c>
      <c r="Z197" s="50" t="s">
        <v>3406</v>
      </c>
      <c r="AA197" s="50"/>
    </row>
    <row r="198" spans="1:27" ht="25.5" customHeight="1">
      <c r="A198" s="50" t="s">
        <v>774</v>
      </c>
      <c r="B198" s="51" t="s">
        <v>3622</v>
      </c>
      <c r="C198" s="51" t="s">
        <v>143</v>
      </c>
      <c r="D198" s="51" t="s">
        <v>3659</v>
      </c>
      <c r="E198" s="50">
        <v>10964</v>
      </c>
      <c r="F198" s="50">
        <v>9227</v>
      </c>
      <c r="G198" s="50" t="s">
        <v>3404</v>
      </c>
      <c r="H198" s="50">
        <v>2024</v>
      </c>
      <c r="I198" s="105" t="s">
        <v>3660</v>
      </c>
      <c r="J198" s="50"/>
      <c r="K198" s="50" t="s">
        <v>188</v>
      </c>
      <c r="L198" s="50"/>
      <c r="M198" s="50" t="s">
        <v>2445</v>
      </c>
      <c r="N198" s="50"/>
      <c r="O198" s="50"/>
      <c r="P198" s="50"/>
      <c r="Q198" s="50"/>
      <c r="R198" s="50"/>
      <c r="S198" s="50" t="str">
        <f t="shared" si="23"/>
        <v/>
      </c>
      <c r="T198" s="50" t="str">
        <f t="shared" si="26"/>
        <v/>
      </c>
      <c r="U198" s="50" t="str">
        <f t="shared" si="24"/>
        <v/>
      </c>
      <c r="V198" s="50" t="str">
        <f t="shared" si="27"/>
        <v/>
      </c>
      <c r="W198" s="50"/>
      <c r="X198" s="50" t="s">
        <v>4</v>
      </c>
      <c r="Y198" s="50" t="s">
        <v>50</v>
      </c>
      <c r="Z198" s="50" t="s">
        <v>3406</v>
      </c>
      <c r="AA198" s="50"/>
    </row>
    <row r="199" spans="1:27" ht="25.5" customHeight="1">
      <c r="A199" s="50" t="s">
        <v>774</v>
      </c>
      <c r="B199" s="51" t="s">
        <v>3622</v>
      </c>
      <c r="C199" s="51" t="s">
        <v>143</v>
      </c>
      <c r="D199" s="51" t="s">
        <v>3661</v>
      </c>
      <c r="E199" s="50">
        <v>2971</v>
      </c>
      <c r="F199" s="50">
        <v>2852</v>
      </c>
      <c r="G199" s="50" t="s">
        <v>3404</v>
      </c>
      <c r="H199" s="50">
        <v>2024</v>
      </c>
      <c r="I199" s="105" t="s">
        <v>3662</v>
      </c>
      <c r="J199" s="50"/>
      <c r="K199" s="50" t="s">
        <v>188</v>
      </c>
      <c r="L199" s="50"/>
      <c r="M199" s="50" t="s">
        <v>2445</v>
      </c>
      <c r="N199" s="50"/>
      <c r="O199" s="50"/>
      <c r="P199" s="50"/>
      <c r="Q199" s="50"/>
      <c r="R199" s="50"/>
      <c r="S199" s="50" t="str">
        <f t="shared" si="23"/>
        <v/>
      </c>
      <c r="T199" s="50" t="str">
        <f t="shared" si="26"/>
        <v/>
      </c>
      <c r="U199" s="50" t="str">
        <f t="shared" si="24"/>
        <v/>
      </c>
      <c r="V199" s="50" t="str">
        <f t="shared" si="27"/>
        <v/>
      </c>
      <c r="W199" s="50"/>
      <c r="X199" s="50" t="s">
        <v>4</v>
      </c>
      <c r="Y199" s="50" t="s">
        <v>50</v>
      </c>
      <c r="Z199" s="50" t="s">
        <v>3406</v>
      </c>
      <c r="AA199" s="50"/>
    </row>
    <row r="200" spans="1:27" ht="25.5" customHeight="1">
      <c r="A200" s="50" t="s">
        <v>774</v>
      </c>
      <c r="B200" s="51" t="s">
        <v>3622</v>
      </c>
      <c r="C200" s="51" t="s">
        <v>143</v>
      </c>
      <c r="D200" s="51" t="s">
        <v>3663</v>
      </c>
      <c r="E200" s="50">
        <v>10106</v>
      </c>
      <c r="F200" s="50">
        <v>12057</v>
      </c>
      <c r="G200" s="50" t="s">
        <v>3404</v>
      </c>
      <c r="H200" s="50">
        <v>2024</v>
      </c>
      <c r="I200" s="105" t="s">
        <v>3664</v>
      </c>
      <c r="J200" s="50"/>
      <c r="K200" s="50" t="s">
        <v>188</v>
      </c>
      <c r="L200" s="50"/>
      <c r="M200" s="50" t="s">
        <v>2445</v>
      </c>
      <c r="N200" s="50"/>
      <c r="O200" s="50"/>
      <c r="P200" s="50"/>
      <c r="Q200" s="50"/>
      <c r="R200" s="50"/>
      <c r="S200" s="50" t="str">
        <f t="shared" ref="S200:S263" si="28">IF(
    OR(ISBLANK(I200), ISBLANK(O200)),
    "",
    MAX(1, IF(
        NETWORKDAYS(I200, O200) &lt;= 0,
        1,
        NETWORKDAYS(I200, O200) - IF(I200 = O200, 0, 1)
    ))
)</f>
        <v/>
      </c>
      <c r="T200" s="50" t="str">
        <f t="shared" si="26"/>
        <v/>
      </c>
      <c r="U200" s="50" t="str">
        <f t="shared" ref="U200:U263" si="29">IF(
    OR(ISBLANK(O200), ISBLANK(Q200)),
    "",
    MAX(1, IF(
        NETWORKDAYS(O200, Q200) &lt;= 0,
        1,
        NETWORKDAYS(O200, Q200) - IF(O200 = Q200, 0, 1)
    ))
)</f>
        <v/>
      </c>
      <c r="V200" s="50" t="str">
        <f t="shared" si="27"/>
        <v/>
      </c>
      <c r="W200" s="50"/>
      <c r="X200" s="50" t="s">
        <v>4</v>
      </c>
      <c r="Y200" s="50" t="s">
        <v>57</v>
      </c>
      <c r="Z200" s="50" t="s">
        <v>3406</v>
      </c>
      <c r="AA200" s="50"/>
    </row>
    <row r="201" spans="1:27" ht="25.5" customHeight="1">
      <c r="A201" s="517" t="s">
        <v>774</v>
      </c>
      <c r="B201" s="51" t="s">
        <v>861</v>
      </c>
      <c r="C201" s="51" t="s">
        <v>143</v>
      </c>
      <c r="D201" s="51" t="s">
        <v>3665</v>
      </c>
      <c r="E201" s="50">
        <v>6803</v>
      </c>
      <c r="F201" s="50">
        <v>7829</v>
      </c>
      <c r="G201" s="50" t="s">
        <v>3404</v>
      </c>
      <c r="H201" s="50">
        <v>2025</v>
      </c>
      <c r="I201" s="132">
        <v>45916</v>
      </c>
      <c r="J201" s="50" t="s">
        <v>3127</v>
      </c>
      <c r="K201" s="50" t="s">
        <v>188</v>
      </c>
      <c r="L201" s="50"/>
      <c r="M201" s="50" t="s">
        <v>2445</v>
      </c>
      <c r="N201" s="50" t="s">
        <v>3666</v>
      </c>
      <c r="O201" s="60">
        <v>45917</v>
      </c>
      <c r="P201" s="50"/>
      <c r="Q201" s="60">
        <v>45917</v>
      </c>
      <c r="R201" s="60">
        <v>45918</v>
      </c>
      <c r="S201" s="50">
        <f t="shared" si="28"/>
        <v>1</v>
      </c>
      <c r="T201" s="50" t="str">
        <f t="shared" si="26"/>
        <v/>
      </c>
      <c r="U201" s="50">
        <f t="shared" si="29"/>
        <v>1</v>
      </c>
      <c r="V201" s="50">
        <f t="shared" si="27"/>
        <v>1</v>
      </c>
      <c r="W201" s="50" t="s">
        <v>150</v>
      </c>
      <c r="X201" s="50" t="s">
        <v>1078</v>
      </c>
      <c r="Y201" s="50" t="s">
        <v>50</v>
      </c>
      <c r="Z201" s="50" t="s">
        <v>3406</v>
      </c>
      <c r="AA201" s="50"/>
    </row>
    <row r="202" spans="1:27" ht="25.5" customHeight="1">
      <c r="A202" s="50" t="s">
        <v>774</v>
      </c>
      <c r="B202" s="51" t="s">
        <v>926</v>
      </c>
      <c r="C202" s="51" t="s">
        <v>143</v>
      </c>
      <c r="D202" s="51" t="s">
        <v>3667</v>
      </c>
      <c r="E202" s="50">
        <v>95</v>
      </c>
      <c r="F202" s="50">
        <v>114</v>
      </c>
      <c r="G202" s="50" t="s">
        <v>3404</v>
      </c>
      <c r="H202" s="50">
        <v>2024</v>
      </c>
      <c r="I202" s="132">
        <v>45596</v>
      </c>
      <c r="J202" s="50"/>
      <c r="K202" s="50" t="s">
        <v>179</v>
      </c>
      <c r="L202" s="50"/>
      <c r="M202" s="50" t="s">
        <v>2445</v>
      </c>
      <c r="N202" s="50"/>
      <c r="O202" s="50"/>
      <c r="P202" s="50"/>
      <c r="Q202" s="50"/>
      <c r="R202" s="50"/>
      <c r="S202" s="50" t="str">
        <f t="shared" si="28"/>
        <v/>
      </c>
      <c r="T202" s="50" t="str">
        <f t="shared" si="26"/>
        <v/>
      </c>
      <c r="U202" s="50" t="str">
        <f t="shared" si="29"/>
        <v/>
      </c>
      <c r="V202" s="50" t="str">
        <f t="shared" si="27"/>
        <v/>
      </c>
      <c r="W202" s="50"/>
      <c r="X202" s="50" t="s">
        <v>4</v>
      </c>
      <c r="Y202" s="50" t="s">
        <v>50</v>
      </c>
      <c r="Z202" s="50" t="s">
        <v>3406</v>
      </c>
      <c r="AA202" s="50"/>
    </row>
    <row r="203" spans="1:27" ht="25.5" customHeight="1">
      <c r="A203" s="50" t="s">
        <v>774</v>
      </c>
      <c r="B203" s="51" t="s">
        <v>926</v>
      </c>
      <c r="C203" s="51" t="s">
        <v>143</v>
      </c>
      <c r="D203" s="51" t="s">
        <v>3668</v>
      </c>
      <c r="E203" s="50">
        <v>4774</v>
      </c>
      <c r="F203" s="50">
        <v>5053</v>
      </c>
      <c r="G203" s="50" t="s">
        <v>3404</v>
      </c>
      <c r="H203" s="50">
        <v>2024</v>
      </c>
      <c r="I203" s="105" t="s">
        <v>3669</v>
      </c>
      <c r="J203" s="50"/>
      <c r="K203" s="50" t="s">
        <v>179</v>
      </c>
      <c r="L203" s="50"/>
      <c r="M203" s="50" t="s">
        <v>2445</v>
      </c>
      <c r="N203" s="50"/>
      <c r="O203" s="50"/>
      <c r="P203" s="50"/>
      <c r="Q203" s="50"/>
      <c r="R203" s="50"/>
      <c r="S203" s="50" t="str">
        <f t="shared" si="28"/>
        <v/>
      </c>
      <c r="T203" s="50" t="str">
        <f t="shared" si="26"/>
        <v/>
      </c>
      <c r="U203" s="50" t="str">
        <f t="shared" si="29"/>
        <v/>
      </c>
      <c r="V203" s="50" t="str">
        <f t="shared" si="27"/>
        <v/>
      </c>
      <c r="W203" s="50"/>
      <c r="X203" s="50" t="s">
        <v>4</v>
      </c>
      <c r="Y203" s="50" t="s">
        <v>50</v>
      </c>
      <c r="Z203" s="50" t="s">
        <v>3406</v>
      </c>
      <c r="AA203" s="50"/>
    </row>
    <row r="204" spans="1:27" ht="25.5" customHeight="1">
      <c r="A204" s="517" t="s">
        <v>774</v>
      </c>
      <c r="B204" s="51" t="s">
        <v>926</v>
      </c>
      <c r="C204" s="51" t="s">
        <v>143</v>
      </c>
      <c r="D204" s="51" t="s">
        <v>3670</v>
      </c>
      <c r="E204" s="50">
        <v>608</v>
      </c>
      <c r="F204" s="50">
        <v>528</v>
      </c>
      <c r="G204" s="50" t="s">
        <v>3404</v>
      </c>
      <c r="H204" s="50">
        <v>2025</v>
      </c>
      <c r="I204" s="132">
        <v>45902</v>
      </c>
      <c r="J204" s="50" t="s">
        <v>3127</v>
      </c>
      <c r="K204" s="50" t="s">
        <v>179</v>
      </c>
      <c r="L204" s="50"/>
      <c r="M204" s="50" t="s">
        <v>2445</v>
      </c>
      <c r="N204" s="50" t="s">
        <v>3671</v>
      </c>
      <c r="O204" s="60">
        <v>45908</v>
      </c>
      <c r="P204" s="50"/>
      <c r="Q204" s="60">
        <v>45909</v>
      </c>
      <c r="R204" s="60">
        <v>45909</v>
      </c>
      <c r="S204" s="50">
        <f t="shared" si="28"/>
        <v>4</v>
      </c>
      <c r="T204" s="50" t="str">
        <f t="shared" si="26"/>
        <v/>
      </c>
      <c r="U204" s="50">
        <f t="shared" si="29"/>
        <v>1</v>
      </c>
      <c r="V204" s="50">
        <f t="shared" si="27"/>
        <v>1</v>
      </c>
      <c r="W204" s="50" t="s">
        <v>150</v>
      </c>
      <c r="X204" s="50" t="s">
        <v>1078</v>
      </c>
      <c r="Y204" s="50" t="s">
        <v>50</v>
      </c>
      <c r="Z204" s="50" t="s">
        <v>3406</v>
      </c>
      <c r="AA204" s="50"/>
    </row>
    <row r="205" spans="1:27" s="110" customFormat="1" ht="25.5" customHeight="1">
      <c r="A205" s="50" t="s">
        <v>774</v>
      </c>
      <c r="B205" s="51" t="s">
        <v>926</v>
      </c>
      <c r="C205" s="51" t="s">
        <v>143</v>
      </c>
      <c r="D205" s="51" t="s">
        <v>3672</v>
      </c>
      <c r="E205" s="50">
        <v>488</v>
      </c>
      <c r="F205" s="50">
        <v>366</v>
      </c>
      <c r="G205" s="50" t="s">
        <v>3404</v>
      </c>
      <c r="H205" s="50">
        <v>2024</v>
      </c>
      <c r="I205" s="105" t="s">
        <v>3673</v>
      </c>
      <c r="J205" s="50"/>
      <c r="K205" s="50" t="s">
        <v>179</v>
      </c>
      <c r="L205" s="50"/>
      <c r="M205" s="50" t="s">
        <v>2445</v>
      </c>
      <c r="N205" s="50"/>
      <c r="O205" s="50"/>
      <c r="P205" s="50"/>
      <c r="Q205" s="50"/>
      <c r="R205" s="50"/>
      <c r="S205" s="50" t="str">
        <f t="shared" si="28"/>
        <v/>
      </c>
      <c r="T205" s="50" t="str">
        <f t="shared" si="26"/>
        <v/>
      </c>
      <c r="U205" s="50" t="str">
        <f t="shared" si="29"/>
        <v/>
      </c>
      <c r="V205" s="50" t="str">
        <f t="shared" si="27"/>
        <v/>
      </c>
      <c r="W205" s="50"/>
      <c r="X205" s="50" t="s">
        <v>4</v>
      </c>
      <c r="Y205" s="50" t="s">
        <v>50</v>
      </c>
      <c r="Z205" s="50" t="s">
        <v>3406</v>
      </c>
      <c r="AA205" s="50"/>
    </row>
    <row r="206" spans="1:27" ht="25.5" customHeight="1">
      <c r="A206" s="50" t="s">
        <v>774</v>
      </c>
      <c r="B206" s="51" t="s">
        <v>926</v>
      </c>
      <c r="C206" s="51" t="s">
        <v>143</v>
      </c>
      <c r="D206" s="51" t="s">
        <v>3674</v>
      </c>
      <c r="E206" s="50">
        <v>411</v>
      </c>
      <c r="F206" s="50">
        <v>331</v>
      </c>
      <c r="G206" s="50" t="s">
        <v>3404</v>
      </c>
      <c r="H206" s="50">
        <v>2024</v>
      </c>
      <c r="I206" s="105" t="s">
        <v>3675</v>
      </c>
      <c r="J206" s="50"/>
      <c r="K206" s="50" t="s">
        <v>179</v>
      </c>
      <c r="L206" s="50"/>
      <c r="M206" s="50" t="s">
        <v>2445</v>
      </c>
      <c r="N206" s="50"/>
      <c r="O206" s="50"/>
      <c r="P206" s="50"/>
      <c r="Q206" s="50"/>
      <c r="R206" s="50"/>
      <c r="S206" s="50" t="str">
        <f t="shared" si="28"/>
        <v/>
      </c>
      <c r="T206" s="50" t="str">
        <f t="shared" si="26"/>
        <v/>
      </c>
      <c r="U206" s="50" t="str">
        <f t="shared" si="29"/>
        <v/>
      </c>
      <c r="V206" s="50" t="str">
        <f t="shared" si="27"/>
        <v/>
      </c>
      <c r="W206" s="50"/>
      <c r="X206" s="50" t="s">
        <v>4</v>
      </c>
      <c r="Y206" s="50" t="s">
        <v>57</v>
      </c>
      <c r="Z206" s="50" t="s">
        <v>3406</v>
      </c>
      <c r="AA206" s="50"/>
    </row>
    <row r="207" spans="1:27" ht="25.5" customHeight="1">
      <c r="A207" s="50" t="s">
        <v>774</v>
      </c>
      <c r="B207" s="51" t="s">
        <v>926</v>
      </c>
      <c r="C207" s="51" t="s">
        <v>143</v>
      </c>
      <c r="D207" s="51" t="s">
        <v>3676</v>
      </c>
      <c r="E207" s="50">
        <v>3135</v>
      </c>
      <c r="F207" s="50">
        <v>3651</v>
      </c>
      <c r="G207" s="50" t="s">
        <v>3404</v>
      </c>
      <c r="H207" s="50">
        <v>2024</v>
      </c>
      <c r="I207" s="105" t="s">
        <v>3642</v>
      </c>
      <c r="J207" s="50"/>
      <c r="K207" s="50" t="s">
        <v>179</v>
      </c>
      <c r="L207" s="50"/>
      <c r="M207" s="50" t="s">
        <v>2445</v>
      </c>
      <c r="N207" s="50"/>
      <c r="O207" s="50"/>
      <c r="P207" s="50"/>
      <c r="Q207" s="50"/>
      <c r="R207" s="50"/>
      <c r="S207" s="50" t="str">
        <f t="shared" si="28"/>
        <v/>
      </c>
      <c r="T207" s="50" t="str">
        <f t="shared" si="26"/>
        <v/>
      </c>
      <c r="U207" s="50" t="str">
        <f t="shared" si="29"/>
        <v/>
      </c>
      <c r="V207" s="50" t="str">
        <f t="shared" si="27"/>
        <v/>
      </c>
      <c r="W207" s="50"/>
      <c r="X207" s="50" t="s">
        <v>4</v>
      </c>
      <c r="Y207" s="50" t="s">
        <v>50</v>
      </c>
      <c r="Z207" s="50" t="s">
        <v>3406</v>
      </c>
      <c r="AA207" s="50"/>
    </row>
    <row r="208" spans="1:27" s="110" customFormat="1" ht="25.5" customHeight="1">
      <c r="A208" s="517" t="s">
        <v>774</v>
      </c>
      <c r="B208" s="51" t="s">
        <v>926</v>
      </c>
      <c r="C208" s="51" t="s">
        <v>143</v>
      </c>
      <c r="D208" s="51" t="s">
        <v>3677</v>
      </c>
      <c r="E208" s="50">
        <v>2822</v>
      </c>
      <c r="F208" s="50">
        <v>3247</v>
      </c>
      <c r="G208" s="50" t="s">
        <v>3404</v>
      </c>
      <c r="H208" s="50">
        <v>2025</v>
      </c>
      <c r="I208" s="132">
        <v>45687</v>
      </c>
      <c r="J208" s="50" t="s">
        <v>3458</v>
      </c>
      <c r="K208" s="50" t="s">
        <v>179</v>
      </c>
      <c r="L208" s="50"/>
      <c r="M208" s="50" t="s">
        <v>2445</v>
      </c>
      <c r="N208" s="50" t="s">
        <v>3678</v>
      </c>
      <c r="O208" s="60">
        <v>45689</v>
      </c>
      <c r="P208" s="50"/>
      <c r="Q208" s="60">
        <v>45691</v>
      </c>
      <c r="R208" s="60">
        <v>45692</v>
      </c>
      <c r="S208" s="50">
        <f t="shared" si="28"/>
        <v>1</v>
      </c>
      <c r="T208" s="50" t="str">
        <f t="shared" si="26"/>
        <v/>
      </c>
      <c r="U208" s="50">
        <f t="shared" si="29"/>
        <v>1</v>
      </c>
      <c r="V208" s="50">
        <f t="shared" si="27"/>
        <v>1</v>
      </c>
      <c r="W208" s="50" t="s">
        <v>150</v>
      </c>
      <c r="X208" s="50" t="s">
        <v>1078</v>
      </c>
      <c r="Y208" s="50" t="s">
        <v>57</v>
      </c>
      <c r="Z208" s="50" t="s">
        <v>3406</v>
      </c>
      <c r="AA208" s="50"/>
    </row>
    <row r="209" spans="1:27" ht="25.5" customHeight="1">
      <c r="A209" s="50" t="s">
        <v>774</v>
      </c>
      <c r="B209" s="51" t="s">
        <v>926</v>
      </c>
      <c r="C209" s="51" t="s">
        <v>143</v>
      </c>
      <c r="D209" s="51" t="s">
        <v>3679</v>
      </c>
      <c r="E209" s="50">
        <v>1573</v>
      </c>
      <c r="F209" s="50">
        <v>1830</v>
      </c>
      <c r="G209" s="50" t="s">
        <v>3404</v>
      </c>
      <c r="H209" s="50">
        <v>2024</v>
      </c>
      <c r="I209" s="105" t="s">
        <v>3623</v>
      </c>
      <c r="J209" s="50"/>
      <c r="K209" s="50" t="s">
        <v>179</v>
      </c>
      <c r="L209" s="50"/>
      <c r="M209" s="50" t="s">
        <v>2445</v>
      </c>
      <c r="N209" s="50"/>
      <c r="O209" s="50"/>
      <c r="P209" s="50"/>
      <c r="Q209" s="50"/>
      <c r="R209" s="50"/>
      <c r="S209" s="50" t="str">
        <f t="shared" si="28"/>
        <v/>
      </c>
      <c r="T209" s="50" t="str">
        <f t="shared" si="26"/>
        <v/>
      </c>
      <c r="U209" s="50" t="str">
        <f t="shared" si="29"/>
        <v/>
      </c>
      <c r="V209" s="50" t="str">
        <f t="shared" si="27"/>
        <v/>
      </c>
      <c r="W209" s="50"/>
      <c r="X209" s="50" t="s">
        <v>4</v>
      </c>
      <c r="Y209" s="50" t="s">
        <v>50</v>
      </c>
      <c r="Z209" s="50" t="s">
        <v>3406</v>
      </c>
      <c r="AA209" s="50"/>
    </row>
    <row r="210" spans="1:27" ht="25.5" customHeight="1">
      <c r="A210" s="50" t="s">
        <v>774</v>
      </c>
      <c r="B210" s="51" t="s">
        <v>926</v>
      </c>
      <c r="C210" s="51" t="s">
        <v>143</v>
      </c>
      <c r="D210" s="51" t="s">
        <v>3680</v>
      </c>
      <c r="E210" s="50">
        <v>291</v>
      </c>
      <c r="F210" s="50">
        <v>265</v>
      </c>
      <c r="G210" s="50" t="s">
        <v>3404</v>
      </c>
      <c r="H210" s="50">
        <v>2024</v>
      </c>
      <c r="I210" s="105" t="s">
        <v>3681</v>
      </c>
      <c r="J210" s="50"/>
      <c r="K210" s="50" t="s">
        <v>179</v>
      </c>
      <c r="L210" s="50"/>
      <c r="M210" s="50" t="s">
        <v>2445</v>
      </c>
      <c r="N210" s="50"/>
      <c r="O210" s="50"/>
      <c r="P210" s="50"/>
      <c r="Q210" s="50"/>
      <c r="R210" s="50"/>
      <c r="S210" s="50" t="str">
        <f t="shared" si="28"/>
        <v/>
      </c>
      <c r="T210" s="50" t="str">
        <f t="shared" si="26"/>
        <v/>
      </c>
      <c r="U210" s="50" t="str">
        <f t="shared" si="29"/>
        <v/>
      </c>
      <c r="V210" s="50" t="str">
        <f t="shared" si="27"/>
        <v/>
      </c>
      <c r="W210" s="50"/>
      <c r="X210" s="50" t="s">
        <v>4</v>
      </c>
      <c r="Y210" s="50" t="s">
        <v>50</v>
      </c>
      <c r="Z210" s="50" t="s">
        <v>3406</v>
      </c>
      <c r="AA210" s="50"/>
    </row>
    <row r="211" spans="1:27" ht="25.5" customHeight="1">
      <c r="A211" s="517" t="s">
        <v>774</v>
      </c>
      <c r="B211" s="51" t="s">
        <v>926</v>
      </c>
      <c r="C211" s="51" t="s">
        <v>143</v>
      </c>
      <c r="D211" s="51" t="s">
        <v>3682</v>
      </c>
      <c r="E211" s="50">
        <v>728</v>
      </c>
      <c r="F211" s="50">
        <v>953</v>
      </c>
      <c r="G211" s="50" t="s">
        <v>3404</v>
      </c>
      <c r="H211" s="50">
        <v>2025</v>
      </c>
      <c r="I211" s="132">
        <v>45944</v>
      </c>
      <c r="J211" s="50" t="s">
        <v>3128</v>
      </c>
      <c r="K211" s="50" t="s">
        <v>179</v>
      </c>
      <c r="L211" s="50"/>
      <c r="M211" s="50" t="s">
        <v>2445</v>
      </c>
      <c r="N211" s="50" t="s">
        <v>3683</v>
      </c>
      <c r="O211" s="60">
        <v>45946</v>
      </c>
      <c r="P211" s="50"/>
      <c r="Q211" s="60">
        <v>45946</v>
      </c>
      <c r="R211" s="60">
        <v>45946</v>
      </c>
      <c r="S211" s="50">
        <f t="shared" si="28"/>
        <v>2</v>
      </c>
      <c r="T211" s="50" t="str">
        <f t="shared" si="26"/>
        <v/>
      </c>
      <c r="U211" s="50">
        <f t="shared" si="29"/>
        <v>1</v>
      </c>
      <c r="V211" s="50">
        <f t="shared" si="27"/>
        <v>1</v>
      </c>
      <c r="W211" s="50" t="s">
        <v>150</v>
      </c>
      <c r="X211" s="50" t="s">
        <v>4</v>
      </c>
      <c r="Y211" s="50" t="s">
        <v>50</v>
      </c>
      <c r="Z211" s="50" t="s">
        <v>3406</v>
      </c>
      <c r="AA211" s="50"/>
    </row>
    <row r="212" spans="1:27" ht="25.5" customHeight="1">
      <c r="A212" s="50" t="s">
        <v>774</v>
      </c>
      <c r="B212" s="51" t="s">
        <v>926</v>
      </c>
      <c r="C212" s="51" t="s">
        <v>143</v>
      </c>
      <c r="D212" s="51" t="s">
        <v>3684</v>
      </c>
      <c r="E212" s="50">
        <v>292</v>
      </c>
      <c r="F212" s="50">
        <v>307</v>
      </c>
      <c r="G212" s="50" t="s">
        <v>3404</v>
      </c>
      <c r="H212" s="50">
        <v>2024</v>
      </c>
      <c r="I212" s="105" t="s">
        <v>3685</v>
      </c>
      <c r="J212" s="50"/>
      <c r="K212" s="50" t="s">
        <v>179</v>
      </c>
      <c r="L212" s="50"/>
      <c r="M212" s="50" t="s">
        <v>2445</v>
      </c>
      <c r="N212" s="50"/>
      <c r="O212" s="50"/>
      <c r="P212" s="50"/>
      <c r="Q212" s="50"/>
      <c r="R212" s="50"/>
      <c r="S212" s="50" t="str">
        <f t="shared" si="28"/>
        <v/>
      </c>
      <c r="T212" s="50" t="str">
        <f t="shared" si="26"/>
        <v/>
      </c>
      <c r="U212" s="50" t="str">
        <f t="shared" si="29"/>
        <v/>
      </c>
      <c r="V212" s="50" t="str">
        <f t="shared" si="27"/>
        <v/>
      </c>
      <c r="W212" s="50"/>
      <c r="X212" s="50" t="s">
        <v>4</v>
      </c>
      <c r="Y212" s="50" t="s">
        <v>50</v>
      </c>
      <c r="Z212" s="50" t="s">
        <v>3406</v>
      </c>
      <c r="AA212" s="50"/>
    </row>
    <row r="213" spans="1:27" ht="25.5" customHeight="1">
      <c r="A213" s="50" t="s">
        <v>774</v>
      </c>
      <c r="B213" s="51" t="s">
        <v>926</v>
      </c>
      <c r="C213" s="51" t="s">
        <v>143</v>
      </c>
      <c r="D213" s="51" t="s">
        <v>3686</v>
      </c>
      <c r="E213" s="50">
        <v>1744</v>
      </c>
      <c r="F213" s="50">
        <v>1913</v>
      </c>
      <c r="G213" s="50" t="s">
        <v>3404</v>
      </c>
      <c r="H213" s="50">
        <v>2024</v>
      </c>
      <c r="I213" s="105" t="s">
        <v>3687</v>
      </c>
      <c r="J213" s="50"/>
      <c r="K213" s="50" t="s">
        <v>179</v>
      </c>
      <c r="L213" s="50"/>
      <c r="M213" s="50" t="s">
        <v>2445</v>
      </c>
      <c r="N213" s="50"/>
      <c r="O213" s="50"/>
      <c r="P213" s="50"/>
      <c r="Q213" s="50"/>
      <c r="R213" s="50"/>
      <c r="S213" s="50" t="str">
        <f t="shared" si="28"/>
        <v/>
      </c>
      <c r="T213" s="50" t="str">
        <f t="shared" si="26"/>
        <v/>
      </c>
      <c r="U213" s="50" t="str">
        <f t="shared" si="29"/>
        <v/>
      </c>
      <c r="V213" s="50" t="str">
        <f t="shared" si="27"/>
        <v/>
      </c>
      <c r="W213" s="50"/>
      <c r="X213" s="50" t="s">
        <v>4</v>
      </c>
      <c r="Y213" s="50" t="s">
        <v>57</v>
      </c>
      <c r="Z213" s="50" t="s">
        <v>3406</v>
      </c>
      <c r="AA213" s="50"/>
    </row>
    <row r="214" spans="1:27" ht="25.5" customHeight="1">
      <c r="A214" s="517" t="s">
        <v>774</v>
      </c>
      <c r="B214" s="51" t="s">
        <v>926</v>
      </c>
      <c r="C214" s="51" t="s">
        <v>143</v>
      </c>
      <c r="D214" s="51" t="s">
        <v>3688</v>
      </c>
      <c r="E214" s="50">
        <v>3360</v>
      </c>
      <c r="F214" s="50">
        <v>3906</v>
      </c>
      <c r="G214" s="50" t="s">
        <v>3404</v>
      </c>
      <c r="H214" s="50">
        <v>2025</v>
      </c>
      <c r="I214" s="132">
        <v>45825</v>
      </c>
      <c r="J214" s="50" t="s">
        <v>3689</v>
      </c>
      <c r="K214" s="50" t="s">
        <v>179</v>
      </c>
      <c r="L214" s="50"/>
      <c r="M214" s="50" t="s">
        <v>2445</v>
      </c>
      <c r="N214" s="50" t="s">
        <v>3690</v>
      </c>
      <c r="O214" s="60">
        <v>45826</v>
      </c>
      <c r="P214" s="50"/>
      <c r="Q214" s="60">
        <v>45826</v>
      </c>
      <c r="R214" s="60">
        <v>45827</v>
      </c>
      <c r="S214" s="50">
        <f t="shared" si="28"/>
        <v>1</v>
      </c>
      <c r="T214" s="50" t="str">
        <f t="shared" si="26"/>
        <v/>
      </c>
      <c r="U214" s="50">
        <f t="shared" si="29"/>
        <v>1</v>
      </c>
      <c r="V214" s="50">
        <f t="shared" si="27"/>
        <v>1</v>
      </c>
      <c r="W214" s="50" t="s">
        <v>150</v>
      </c>
      <c r="X214" s="50" t="s">
        <v>1078</v>
      </c>
      <c r="Y214" s="50" t="s">
        <v>50</v>
      </c>
      <c r="Z214" s="50" t="s">
        <v>3406</v>
      </c>
      <c r="AA214" s="50"/>
    </row>
    <row r="215" spans="1:27" ht="25.5" customHeight="1">
      <c r="A215" s="50" t="s">
        <v>774</v>
      </c>
      <c r="B215" s="51" t="s">
        <v>926</v>
      </c>
      <c r="C215" s="51" t="s">
        <v>143</v>
      </c>
      <c r="D215" s="50" t="s">
        <v>3691</v>
      </c>
      <c r="E215" s="50">
        <v>2990</v>
      </c>
      <c r="F215" s="50">
        <v>3082</v>
      </c>
      <c r="G215" s="50" t="s">
        <v>3404</v>
      </c>
      <c r="H215" s="50">
        <v>2024</v>
      </c>
      <c r="I215" s="105" t="s">
        <v>3650</v>
      </c>
      <c r="J215" s="50"/>
      <c r="K215" s="50" t="s">
        <v>179</v>
      </c>
      <c r="L215" s="50"/>
      <c r="M215" s="50" t="s">
        <v>2445</v>
      </c>
      <c r="N215" s="50"/>
      <c r="O215" s="50"/>
      <c r="P215" s="50"/>
      <c r="Q215" s="50"/>
      <c r="R215" s="50"/>
      <c r="S215" s="50" t="str">
        <f t="shared" si="28"/>
        <v/>
      </c>
      <c r="T215" s="50" t="str">
        <f t="shared" si="26"/>
        <v/>
      </c>
      <c r="U215" s="50" t="str">
        <f t="shared" si="29"/>
        <v/>
      </c>
      <c r="V215" s="50" t="str">
        <f t="shared" si="27"/>
        <v/>
      </c>
      <c r="W215" s="50"/>
      <c r="X215" s="50" t="s">
        <v>4</v>
      </c>
      <c r="Y215" s="50" t="s">
        <v>50</v>
      </c>
      <c r="Z215" s="50" t="s">
        <v>3406</v>
      </c>
      <c r="AA215" s="50"/>
    </row>
    <row r="216" spans="1:27" s="110" customFormat="1" ht="25.5" customHeight="1">
      <c r="A216" s="50" t="s">
        <v>774</v>
      </c>
      <c r="B216" s="51" t="s">
        <v>926</v>
      </c>
      <c r="C216" s="51" t="s">
        <v>143</v>
      </c>
      <c r="D216" s="51" t="s">
        <v>3692</v>
      </c>
      <c r="E216" s="50">
        <v>1416</v>
      </c>
      <c r="F216" s="50">
        <v>1363</v>
      </c>
      <c r="G216" s="50" t="s">
        <v>3404</v>
      </c>
      <c r="H216" s="50">
        <v>2024</v>
      </c>
      <c r="I216" s="132">
        <v>45604</v>
      </c>
      <c r="J216" s="50"/>
      <c r="K216" s="50" t="s">
        <v>179</v>
      </c>
      <c r="L216" s="50"/>
      <c r="M216" s="50" t="s">
        <v>2445</v>
      </c>
      <c r="N216" s="50"/>
      <c r="O216" s="50"/>
      <c r="P216" s="50"/>
      <c r="Q216" s="50"/>
      <c r="R216" s="50"/>
      <c r="S216" s="50" t="str">
        <f t="shared" si="28"/>
        <v/>
      </c>
      <c r="T216" s="50" t="str">
        <f t="shared" si="26"/>
        <v/>
      </c>
      <c r="U216" s="50" t="str">
        <f t="shared" si="29"/>
        <v/>
      </c>
      <c r="V216" s="50" t="str">
        <f t="shared" si="27"/>
        <v/>
      </c>
      <c r="W216" s="50"/>
      <c r="X216" s="50" t="s">
        <v>4</v>
      </c>
      <c r="Y216" s="50" t="s">
        <v>50</v>
      </c>
      <c r="Z216" s="50" t="s">
        <v>3406</v>
      </c>
      <c r="AA216" s="50"/>
    </row>
    <row r="217" spans="1:27" ht="25.5" customHeight="1">
      <c r="A217" s="50" t="s">
        <v>774</v>
      </c>
      <c r="B217" s="51" t="s">
        <v>926</v>
      </c>
      <c r="C217" s="51" t="s">
        <v>143</v>
      </c>
      <c r="D217" s="51" t="s">
        <v>3693</v>
      </c>
      <c r="E217" s="50">
        <v>6184</v>
      </c>
      <c r="F217" s="50">
        <v>5953</v>
      </c>
      <c r="G217" s="50" t="s">
        <v>3404</v>
      </c>
      <c r="H217" s="50">
        <v>2024</v>
      </c>
      <c r="I217" s="105" t="s">
        <v>3694</v>
      </c>
      <c r="J217" s="50"/>
      <c r="K217" s="50" t="s">
        <v>179</v>
      </c>
      <c r="L217" s="50"/>
      <c r="M217" s="50" t="s">
        <v>2445</v>
      </c>
      <c r="N217" s="50"/>
      <c r="O217" s="50"/>
      <c r="P217" s="50"/>
      <c r="Q217" s="50"/>
      <c r="R217" s="50"/>
      <c r="S217" s="50" t="str">
        <f t="shared" si="28"/>
        <v/>
      </c>
      <c r="T217" s="50" t="str">
        <f t="shared" ref="T217:T280" si="30">IF(
    OR(ISBLANK(O217), ISBLANK(P217)),
    "",
    MAX(1, IF(
        NETWORKDAYS(O217, P217) &lt;= 0,
        1,
        NETWORKDAYS(O217, P217) - IF(O217 = P217, 0, 1)
    ))
)</f>
        <v/>
      </c>
      <c r="U217" s="50" t="str">
        <f t="shared" si="29"/>
        <v/>
      </c>
      <c r="V217" s="50" t="str">
        <f t="shared" ref="V217:V280" si="31">IF(
    OR(ISBLANK(Q217), ISBLANK(R217)),
    "",
    MAX(1, IF(
        NETWORKDAYS(Q217, R217) &lt;= 0,
        1,
        NETWORKDAYS(Q217, R217) - IF(Q217 = R217, 0, 1)
    ))
)</f>
        <v/>
      </c>
      <c r="W217" s="50"/>
      <c r="X217" s="50" t="s">
        <v>4</v>
      </c>
      <c r="Y217" s="50" t="s">
        <v>50</v>
      </c>
      <c r="Z217" s="50" t="s">
        <v>3406</v>
      </c>
      <c r="AA217" s="50"/>
    </row>
    <row r="218" spans="1:27" ht="25.5" customHeight="1">
      <c r="A218" s="50" t="s">
        <v>774</v>
      </c>
      <c r="B218" s="51" t="s">
        <v>926</v>
      </c>
      <c r="C218" s="51" t="s">
        <v>143</v>
      </c>
      <c r="D218" s="51" t="s">
        <v>3695</v>
      </c>
      <c r="E218" s="50">
        <v>703</v>
      </c>
      <c r="F218" s="50">
        <v>726</v>
      </c>
      <c r="G218" s="50" t="s">
        <v>3404</v>
      </c>
      <c r="H218" s="50">
        <v>2024</v>
      </c>
      <c r="I218" s="105" t="s">
        <v>3609</v>
      </c>
      <c r="J218" s="50"/>
      <c r="K218" s="50" t="s">
        <v>179</v>
      </c>
      <c r="L218" s="50"/>
      <c r="M218" s="50" t="s">
        <v>2445</v>
      </c>
      <c r="N218" s="50"/>
      <c r="O218" s="50"/>
      <c r="P218" s="50"/>
      <c r="Q218" s="50"/>
      <c r="R218" s="50"/>
      <c r="S218" s="50" t="str">
        <f t="shared" si="28"/>
        <v/>
      </c>
      <c r="T218" s="50" t="str">
        <f t="shared" si="30"/>
        <v/>
      </c>
      <c r="U218" s="50" t="str">
        <f t="shared" si="29"/>
        <v/>
      </c>
      <c r="V218" s="50" t="str">
        <f t="shared" si="31"/>
        <v/>
      </c>
      <c r="W218" s="50"/>
      <c r="X218" s="50" t="s">
        <v>4</v>
      </c>
      <c r="Y218" s="50" t="s">
        <v>50</v>
      </c>
      <c r="Z218" s="50" t="s">
        <v>3406</v>
      </c>
      <c r="AA218" s="50"/>
    </row>
    <row r="219" spans="1:27" ht="25.5" customHeight="1">
      <c r="A219" s="50" t="s">
        <v>774</v>
      </c>
      <c r="B219" s="51" t="s">
        <v>926</v>
      </c>
      <c r="C219" s="51" t="s">
        <v>143</v>
      </c>
      <c r="D219" s="51" t="s">
        <v>3696</v>
      </c>
      <c r="E219" s="50">
        <v>324</v>
      </c>
      <c r="F219" s="50">
        <v>321</v>
      </c>
      <c r="G219" s="50" t="s">
        <v>3404</v>
      </c>
      <c r="H219" s="50">
        <v>2024</v>
      </c>
      <c r="I219" s="105" t="s">
        <v>3609</v>
      </c>
      <c r="J219" s="50"/>
      <c r="K219" s="50" t="s">
        <v>179</v>
      </c>
      <c r="L219" s="50"/>
      <c r="M219" s="50" t="s">
        <v>2445</v>
      </c>
      <c r="N219" s="50"/>
      <c r="O219" s="50"/>
      <c r="P219" s="50"/>
      <c r="Q219" s="50"/>
      <c r="R219" s="50"/>
      <c r="S219" s="50" t="str">
        <f t="shared" si="28"/>
        <v/>
      </c>
      <c r="T219" s="50" t="str">
        <f t="shared" si="30"/>
        <v/>
      </c>
      <c r="U219" s="50" t="str">
        <f t="shared" si="29"/>
        <v/>
      </c>
      <c r="V219" s="50" t="str">
        <f t="shared" si="31"/>
        <v/>
      </c>
      <c r="W219" s="50"/>
      <c r="X219" s="50" t="s">
        <v>4</v>
      </c>
      <c r="Y219" s="50" t="s">
        <v>50</v>
      </c>
      <c r="Z219" s="50" t="s">
        <v>3406</v>
      </c>
      <c r="AA219" s="50"/>
    </row>
    <row r="220" spans="1:27" s="110" customFormat="1" ht="25.5" customHeight="1">
      <c r="A220" s="517" t="s">
        <v>774</v>
      </c>
      <c r="B220" s="51" t="s">
        <v>926</v>
      </c>
      <c r="C220" s="51" t="s">
        <v>143</v>
      </c>
      <c r="D220" s="51" t="s">
        <v>3697</v>
      </c>
      <c r="E220" s="50">
        <v>159</v>
      </c>
      <c r="F220" s="50">
        <v>189</v>
      </c>
      <c r="G220" s="50" t="s">
        <v>3404</v>
      </c>
      <c r="H220" s="50">
        <v>2025</v>
      </c>
      <c r="I220" s="132">
        <v>45916</v>
      </c>
      <c r="J220" s="50" t="s">
        <v>3127</v>
      </c>
      <c r="K220" s="50" t="s">
        <v>179</v>
      </c>
      <c r="L220" s="50"/>
      <c r="M220" s="50" t="s">
        <v>2445</v>
      </c>
      <c r="N220" s="50" t="s">
        <v>3698</v>
      </c>
      <c r="O220" s="60">
        <v>45917</v>
      </c>
      <c r="P220" s="50"/>
      <c r="Q220" s="60">
        <v>45917</v>
      </c>
      <c r="R220" s="60">
        <v>45918</v>
      </c>
      <c r="S220" s="50">
        <f t="shared" si="28"/>
        <v>1</v>
      </c>
      <c r="T220" s="50" t="str">
        <f t="shared" si="30"/>
        <v/>
      </c>
      <c r="U220" s="50">
        <f t="shared" si="29"/>
        <v>1</v>
      </c>
      <c r="V220" s="50">
        <f t="shared" si="31"/>
        <v>1</v>
      </c>
      <c r="W220" s="50" t="s">
        <v>150</v>
      </c>
      <c r="X220" s="50" t="s">
        <v>1078</v>
      </c>
      <c r="Y220" s="50" t="s">
        <v>57</v>
      </c>
      <c r="Z220" s="50" t="s">
        <v>3406</v>
      </c>
      <c r="AA220" s="50"/>
    </row>
    <row r="221" spans="1:27" ht="25.5" customHeight="1">
      <c r="A221" s="517" t="s">
        <v>774</v>
      </c>
      <c r="B221" s="51" t="s">
        <v>926</v>
      </c>
      <c r="C221" s="51" t="s">
        <v>143</v>
      </c>
      <c r="D221" s="51" t="s">
        <v>3699</v>
      </c>
      <c r="E221" s="50">
        <v>1737</v>
      </c>
      <c r="F221" s="50">
        <v>2103</v>
      </c>
      <c r="G221" s="50" t="s">
        <v>3404</v>
      </c>
      <c r="H221" s="50">
        <v>2025</v>
      </c>
      <c r="I221" s="132">
        <v>45874</v>
      </c>
      <c r="J221" s="50" t="s">
        <v>3126</v>
      </c>
      <c r="K221" s="50" t="s">
        <v>179</v>
      </c>
      <c r="L221" s="50"/>
      <c r="M221" s="50" t="s">
        <v>2445</v>
      </c>
      <c r="N221" s="50" t="s">
        <v>3700</v>
      </c>
      <c r="O221" s="60">
        <v>45880</v>
      </c>
      <c r="P221" s="50"/>
      <c r="Q221" s="60">
        <v>45880</v>
      </c>
      <c r="R221" s="60">
        <v>45882</v>
      </c>
      <c r="S221" s="50">
        <f t="shared" si="28"/>
        <v>4</v>
      </c>
      <c r="T221" s="50" t="str">
        <f t="shared" si="30"/>
        <v/>
      </c>
      <c r="U221" s="50">
        <f t="shared" si="29"/>
        <v>1</v>
      </c>
      <c r="V221" s="50">
        <f t="shared" si="31"/>
        <v>2</v>
      </c>
      <c r="W221" s="50" t="s">
        <v>150</v>
      </c>
      <c r="X221" s="50" t="s">
        <v>1078</v>
      </c>
      <c r="Y221" s="50" t="s">
        <v>57</v>
      </c>
      <c r="Z221" s="50" t="s">
        <v>3406</v>
      </c>
      <c r="AA221" s="50"/>
    </row>
    <row r="222" spans="1:27" ht="25.5" customHeight="1">
      <c r="A222" s="50" t="s">
        <v>774</v>
      </c>
      <c r="B222" s="51" t="s">
        <v>926</v>
      </c>
      <c r="C222" s="51" t="s">
        <v>143</v>
      </c>
      <c r="D222" s="51" t="s">
        <v>3701</v>
      </c>
      <c r="E222" s="50">
        <v>2705</v>
      </c>
      <c r="F222" s="50">
        <v>3105</v>
      </c>
      <c r="G222" s="50" t="s">
        <v>3404</v>
      </c>
      <c r="H222" s="50">
        <v>2024</v>
      </c>
      <c r="I222" s="105" t="s">
        <v>3664</v>
      </c>
      <c r="J222" s="50"/>
      <c r="K222" s="50" t="s">
        <v>179</v>
      </c>
      <c r="L222" s="50"/>
      <c r="M222" s="50" t="s">
        <v>2445</v>
      </c>
      <c r="N222" s="50"/>
      <c r="O222" s="50"/>
      <c r="P222" s="50"/>
      <c r="Q222" s="50"/>
      <c r="R222" s="50"/>
      <c r="S222" s="50" t="str">
        <f t="shared" si="28"/>
        <v/>
      </c>
      <c r="T222" s="50" t="str">
        <f t="shared" si="30"/>
        <v/>
      </c>
      <c r="U222" s="50" t="str">
        <f t="shared" si="29"/>
        <v/>
      </c>
      <c r="V222" s="50" t="str">
        <f t="shared" si="31"/>
        <v/>
      </c>
      <c r="W222" s="50"/>
      <c r="X222" s="50" t="s">
        <v>4</v>
      </c>
      <c r="Y222" s="50" t="s">
        <v>50</v>
      </c>
      <c r="Z222" s="50" t="s">
        <v>3406</v>
      </c>
      <c r="AA222" s="50"/>
    </row>
    <row r="223" spans="1:27" s="110" customFormat="1" ht="25.5" customHeight="1">
      <c r="A223" s="50" t="s">
        <v>774</v>
      </c>
      <c r="B223" s="51" t="s">
        <v>926</v>
      </c>
      <c r="C223" s="51" t="s">
        <v>143</v>
      </c>
      <c r="D223" s="50" t="s">
        <v>3702</v>
      </c>
      <c r="E223" s="50">
        <v>6012</v>
      </c>
      <c r="F223" s="50">
        <v>6646</v>
      </c>
      <c r="G223" s="50" t="s">
        <v>3404</v>
      </c>
      <c r="H223" s="50">
        <v>2024</v>
      </c>
      <c r="I223" s="105" t="s">
        <v>3703</v>
      </c>
      <c r="J223" s="50"/>
      <c r="K223" s="50" t="s">
        <v>179</v>
      </c>
      <c r="L223" s="50"/>
      <c r="M223" s="50" t="s">
        <v>2445</v>
      </c>
      <c r="N223" s="50"/>
      <c r="O223" s="50"/>
      <c r="P223" s="50"/>
      <c r="Q223" s="50"/>
      <c r="R223" s="50"/>
      <c r="S223" s="50" t="str">
        <f t="shared" si="28"/>
        <v/>
      </c>
      <c r="T223" s="50" t="str">
        <f t="shared" si="30"/>
        <v/>
      </c>
      <c r="U223" s="50" t="str">
        <f t="shared" si="29"/>
        <v/>
      </c>
      <c r="V223" s="50" t="str">
        <f t="shared" si="31"/>
        <v/>
      </c>
      <c r="W223" s="50"/>
      <c r="X223" s="50" t="s">
        <v>4</v>
      </c>
      <c r="Y223" s="50" t="s">
        <v>57</v>
      </c>
      <c r="Z223" s="50" t="s">
        <v>3406</v>
      </c>
      <c r="AA223" s="50"/>
    </row>
    <row r="224" spans="1:27" ht="25.5" customHeight="1">
      <c r="A224" s="517" t="s">
        <v>774</v>
      </c>
      <c r="B224" s="51" t="s">
        <v>926</v>
      </c>
      <c r="C224" s="51" t="s">
        <v>143</v>
      </c>
      <c r="D224" s="51" t="s">
        <v>3704</v>
      </c>
      <c r="E224" s="50">
        <v>2421</v>
      </c>
      <c r="F224" s="50">
        <v>2485</v>
      </c>
      <c r="G224" s="50" t="s">
        <v>3404</v>
      </c>
      <c r="H224" s="50">
        <v>2025</v>
      </c>
      <c r="I224" s="132">
        <v>45715</v>
      </c>
      <c r="J224" s="50" t="s">
        <v>3416</v>
      </c>
      <c r="K224" s="50" t="s">
        <v>179</v>
      </c>
      <c r="L224" s="50"/>
      <c r="M224" s="50" t="s">
        <v>2445</v>
      </c>
      <c r="N224" s="50" t="s">
        <v>3705</v>
      </c>
      <c r="O224" s="60">
        <v>45717</v>
      </c>
      <c r="P224" s="50"/>
      <c r="Q224" s="60">
        <v>45719</v>
      </c>
      <c r="R224" s="60">
        <v>45719</v>
      </c>
      <c r="S224" s="50">
        <f t="shared" si="28"/>
        <v>1</v>
      </c>
      <c r="T224" s="50" t="str">
        <f t="shared" si="30"/>
        <v/>
      </c>
      <c r="U224" s="50">
        <f t="shared" si="29"/>
        <v>1</v>
      </c>
      <c r="V224" s="50">
        <f t="shared" si="31"/>
        <v>1</v>
      </c>
      <c r="W224" s="50" t="s">
        <v>150</v>
      </c>
      <c r="X224" s="50" t="s">
        <v>1078</v>
      </c>
      <c r="Y224" s="50" t="s">
        <v>50</v>
      </c>
      <c r="Z224" s="50" t="s">
        <v>3406</v>
      </c>
      <c r="AA224" s="50"/>
    </row>
    <row r="225" spans="1:27" ht="25.5" customHeight="1">
      <c r="A225" s="50" t="s">
        <v>774</v>
      </c>
      <c r="B225" s="51" t="s">
        <v>926</v>
      </c>
      <c r="C225" s="51" t="s">
        <v>143</v>
      </c>
      <c r="D225" s="51" t="s">
        <v>1760</v>
      </c>
      <c r="E225" s="50">
        <v>3931</v>
      </c>
      <c r="F225" s="50">
        <v>4214</v>
      </c>
      <c r="G225" s="50" t="s">
        <v>3404</v>
      </c>
      <c r="H225" s="50">
        <v>2024</v>
      </c>
      <c r="I225" s="105" t="s">
        <v>3706</v>
      </c>
      <c r="J225" s="50"/>
      <c r="K225" s="50" t="s">
        <v>179</v>
      </c>
      <c r="L225" s="50"/>
      <c r="M225" s="50" t="s">
        <v>2445</v>
      </c>
      <c r="N225" s="50"/>
      <c r="O225" s="50"/>
      <c r="P225" s="50"/>
      <c r="Q225" s="50"/>
      <c r="R225" s="50"/>
      <c r="S225" s="50" t="str">
        <f t="shared" si="28"/>
        <v/>
      </c>
      <c r="T225" s="50" t="str">
        <f t="shared" si="30"/>
        <v/>
      </c>
      <c r="U225" s="50" t="str">
        <f t="shared" si="29"/>
        <v/>
      </c>
      <c r="V225" s="50" t="str">
        <f t="shared" si="31"/>
        <v/>
      </c>
      <c r="W225" s="50"/>
      <c r="X225" s="50" t="s">
        <v>4</v>
      </c>
      <c r="Y225" s="50" t="s">
        <v>50</v>
      </c>
      <c r="Z225" s="50" t="s">
        <v>3406</v>
      </c>
      <c r="AA225" s="50"/>
    </row>
    <row r="226" spans="1:27" ht="25.5" customHeight="1">
      <c r="A226" s="50" t="s">
        <v>774</v>
      </c>
      <c r="B226" s="51" t="s">
        <v>926</v>
      </c>
      <c r="C226" s="51" t="s">
        <v>143</v>
      </c>
      <c r="D226" s="51" t="s">
        <v>892</v>
      </c>
      <c r="E226" s="50">
        <v>1981</v>
      </c>
      <c r="F226" s="50">
        <v>2466</v>
      </c>
      <c r="G226" s="50" t="s">
        <v>3404</v>
      </c>
      <c r="H226" s="50">
        <v>2024</v>
      </c>
      <c r="I226" s="105" t="s">
        <v>3642</v>
      </c>
      <c r="J226" s="50"/>
      <c r="K226" s="50" t="s">
        <v>179</v>
      </c>
      <c r="L226" s="50"/>
      <c r="M226" s="50" t="s">
        <v>2445</v>
      </c>
      <c r="N226" s="50"/>
      <c r="O226" s="50"/>
      <c r="P226" s="50"/>
      <c r="Q226" s="50"/>
      <c r="R226" s="50"/>
      <c r="S226" s="50" t="str">
        <f t="shared" si="28"/>
        <v/>
      </c>
      <c r="T226" s="50" t="str">
        <f t="shared" si="30"/>
        <v/>
      </c>
      <c r="U226" s="50" t="str">
        <f t="shared" si="29"/>
        <v/>
      </c>
      <c r="V226" s="50" t="str">
        <f t="shared" si="31"/>
        <v/>
      </c>
      <c r="W226" s="50"/>
      <c r="X226" s="50" t="s">
        <v>4</v>
      </c>
      <c r="Y226" s="50" t="s">
        <v>50</v>
      </c>
      <c r="Z226" s="50" t="s">
        <v>3406</v>
      </c>
      <c r="AA226" s="50"/>
    </row>
    <row r="227" spans="1:27" ht="25.5" customHeight="1">
      <c r="A227" s="50" t="s">
        <v>774</v>
      </c>
      <c r="B227" s="51" t="s">
        <v>926</v>
      </c>
      <c r="C227" s="51" t="s">
        <v>143</v>
      </c>
      <c r="D227" s="51" t="s">
        <v>3707</v>
      </c>
      <c r="E227" s="50">
        <v>770</v>
      </c>
      <c r="F227" s="50">
        <v>888</v>
      </c>
      <c r="G227" s="50" t="s">
        <v>3404</v>
      </c>
      <c r="H227" s="50">
        <v>2024</v>
      </c>
      <c r="I227" s="105" t="s">
        <v>3708</v>
      </c>
      <c r="J227" s="50"/>
      <c r="K227" s="50" t="s">
        <v>179</v>
      </c>
      <c r="L227" s="50"/>
      <c r="M227" s="50" t="s">
        <v>2445</v>
      </c>
      <c r="N227" s="50"/>
      <c r="O227" s="50"/>
      <c r="P227" s="50"/>
      <c r="Q227" s="50"/>
      <c r="R227" s="50"/>
      <c r="S227" s="50" t="str">
        <f t="shared" si="28"/>
        <v/>
      </c>
      <c r="T227" s="50" t="str">
        <f t="shared" si="30"/>
        <v/>
      </c>
      <c r="U227" s="50" t="str">
        <f t="shared" si="29"/>
        <v/>
      </c>
      <c r="V227" s="50" t="str">
        <f t="shared" si="31"/>
        <v/>
      </c>
      <c r="W227" s="50"/>
      <c r="X227" s="50" t="s">
        <v>4</v>
      </c>
      <c r="Y227" s="50" t="s">
        <v>57</v>
      </c>
      <c r="Z227" s="50" t="s">
        <v>3406</v>
      </c>
      <c r="AA227" s="50"/>
    </row>
    <row r="228" spans="1:27" ht="25.5" customHeight="1">
      <c r="A228" s="50" t="s">
        <v>774</v>
      </c>
      <c r="B228" s="51" t="s">
        <v>926</v>
      </c>
      <c r="C228" s="51" t="s">
        <v>143</v>
      </c>
      <c r="D228" s="51" t="s">
        <v>3709</v>
      </c>
      <c r="E228" s="50">
        <v>3041</v>
      </c>
      <c r="F228" s="50">
        <v>3283</v>
      </c>
      <c r="G228" s="50" t="s">
        <v>3404</v>
      </c>
      <c r="H228" s="50">
        <v>2024</v>
      </c>
      <c r="I228" s="105" t="s">
        <v>3710</v>
      </c>
      <c r="J228" s="50"/>
      <c r="K228" s="50" t="s">
        <v>179</v>
      </c>
      <c r="L228" s="50"/>
      <c r="M228" s="50" t="s">
        <v>2445</v>
      </c>
      <c r="N228" s="50"/>
      <c r="O228" s="50"/>
      <c r="P228" s="50"/>
      <c r="Q228" s="50"/>
      <c r="R228" s="50"/>
      <c r="S228" s="50" t="str">
        <f t="shared" si="28"/>
        <v/>
      </c>
      <c r="T228" s="50" t="str">
        <f t="shared" si="30"/>
        <v/>
      </c>
      <c r="U228" s="50" t="str">
        <f t="shared" si="29"/>
        <v/>
      </c>
      <c r="V228" s="50" t="str">
        <f t="shared" si="31"/>
        <v/>
      </c>
      <c r="W228" s="50"/>
      <c r="X228" s="50" t="s">
        <v>4</v>
      </c>
      <c r="Y228" s="50" t="s">
        <v>50</v>
      </c>
      <c r="Z228" s="50" t="s">
        <v>3406</v>
      </c>
      <c r="AA228" s="50"/>
    </row>
    <row r="229" spans="1:27" s="110" customFormat="1" ht="25.5" customHeight="1">
      <c r="A229" s="517" t="s">
        <v>774</v>
      </c>
      <c r="B229" s="51" t="s">
        <v>926</v>
      </c>
      <c r="C229" s="51" t="s">
        <v>143</v>
      </c>
      <c r="D229" s="51" t="s">
        <v>1245</v>
      </c>
      <c r="E229" s="50">
        <v>1565</v>
      </c>
      <c r="F229" s="50">
        <v>1953</v>
      </c>
      <c r="G229" s="50" t="s">
        <v>3404</v>
      </c>
      <c r="H229" s="50">
        <v>2025</v>
      </c>
      <c r="I229" s="132">
        <v>45869</v>
      </c>
      <c r="J229" s="50" t="s">
        <v>3126</v>
      </c>
      <c r="K229" s="50" t="s">
        <v>179</v>
      </c>
      <c r="L229" s="50"/>
      <c r="M229" s="50" t="s">
        <v>2445</v>
      </c>
      <c r="N229" s="50" t="s">
        <v>3711</v>
      </c>
      <c r="O229" s="60">
        <v>45873</v>
      </c>
      <c r="P229" s="50"/>
      <c r="Q229" s="60">
        <v>45874</v>
      </c>
      <c r="R229" s="60">
        <v>45874</v>
      </c>
      <c r="S229" s="50">
        <f t="shared" si="28"/>
        <v>2</v>
      </c>
      <c r="T229" s="50" t="str">
        <f t="shared" si="30"/>
        <v/>
      </c>
      <c r="U229" s="50">
        <f t="shared" si="29"/>
        <v>1</v>
      </c>
      <c r="V229" s="50">
        <f t="shared" si="31"/>
        <v>1</v>
      </c>
      <c r="W229" s="50" t="s">
        <v>150</v>
      </c>
      <c r="X229" s="50" t="s">
        <v>1078</v>
      </c>
      <c r="Y229" s="50" t="s">
        <v>57</v>
      </c>
      <c r="Z229" s="50" t="s">
        <v>3406</v>
      </c>
      <c r="AA229" s="50"/>
    </row>
    <row r="230" spans="1:27" ht="25.5" customHeight="1">
      <c r="A230" s="50" t="s">
        <v>774</v>
      </c>
      <c r="B230" s="51" t="s">
        <v>926</v>
      </c>
      <c r="C230" s="51" t="s">
        <v>143</v>
      </c>
      <c r="D230" s="51" t="s">
        <v>3712</v>
      </c>
      <c r="E230" s="50">
        <v>3578</v>
      </c>
      <c r="F230" s="50">
        <v>4080</v>
      </c>
      <c r="G230" s="50" t="s">
        <v>3404</v>
      </c>
      <c r="H230" s="50">
        <v>2024</v>
      </c>
      <c r="I230" s="105" t="s">
        <v>3497</v>
      </c>
      <c r="J230" s="50"/>
      <c r="K230" s="50" t="s">
        <v>179</v>
      </c>
      <c r="L230" s="50"/>
      <c r="M230" s="50" t="s">
        <v>2445</v>
      </c>
      <c r="N230" s="50"/>
      <c r="O230" s="50"/>
      <c r="P230" s="50"/>
      <c r="Q230" s="50"/>
      <c r="R230" s="50"/>
      <c r="S230" s="50" t="str">
        <f t="shared" si="28"/>
        <v/>
      </c>
      <c r="T230" s="50" t="str">
        <f t="shared" si="30"/>
        <v/>
      </c>
      <c r="U230" s="50" t="str">
        <f t="shared" si="29"/>
        <v/>
      </c>
      <c r="V230" s="50" t="str">
        <f t="shared" si="31"/>
        <v/>
      </c>
      <c r="W230" s="50"/>
      <c r="X230" s="50" t="s">
        <v>4</v>
      </c>
      <c r="Y230" s="50" t="s">
        <v>50</v>
      </c>
      <c r="Z230" s="50" t="s">
        <v>3406</v>
      </c>
      <c r="AA230" s="50"/>
    </row>
    <row r="231" spans="1:27" ht="25.5" customHeight="1">
      <c r="A231" s="50" t="s">
        <v>774</v>
      </c>
      <c r="B231" s="51" t="s">
        <v>926</v>
      </c>
      <c r="C231" s="51" t="s">
        <v>143</v>
      </c>
      <c r="D231" s="51" t="s">
        <v>3713</v>
      </c>
      <c r="E231" s="50">
        <v>249</v>
      </c>
      <c r="F231" s="50">
        <v>211</v>
      </c>
      <c r="G231" s="50" t="s">
        <v>3404</v>
      </c>
      <c r="H231" s="50">
        <v>2024</v>
      </c>
      <c r="I231" s="105" t="s">
        <v>3673</v>
      </c>
      <c r="J231" s="50"/>
      <c r="K231" s="50" t="s">
        <v>179</v>
      </c>
      <c r="L231" s="50"/>
      <c r="M231" s="50" t="s">
        <v>2445</v>
      </c>
      <c r="N231" s="50"/>
      <c r="O231" s="50"/>
      <c r="P231" s="50"/>
      <c r="Q231" s="50"/>
      <c r="R231" s="50"/>
      <c r="S231" s="50" t="str">
        <f t="shared" si="28"/>
        <v/>
      </c>
      <c r="T231" s="50" t="str">
        <f t="shared" si="30"/>
        <v/>
      </c>
      <c r="U231" s="50" t="str">
        <f t="shared" si="29"/>
        <v/>
      </c>
      <c r="V231" s="50" t="str">
        <f t="shared" si="31"/>
        <v/>
      </c>
      <c r="W231" s="50"/>
      <c r="X231" s="50" t="s">
        <v>1078</v>
      </c>
      <c r="Y231" s="50" t="s">
        <v>50</v>
      </c>
      <c r="Z231" s="50" t="s">
        <v>3406</v>
      </c>
      <c r="AA231" s="50"/>
    </row>
    <row r="232" spans="1:27" ht="25.5" customHeight="1">
      <c r="A232" s="50" t="s">
        <v>774</v>
      </c>
      <c r="B232" s="51" t="s">
        <v>926</v>
      </c>
      <c r="C232" s="51" t="s">
        <v>143</v>
      </c>
      <c r="D232" s="51" t="s">
        <v>3714</v>
      </c>
      <c r="E232" s="50">
        <v>9032</v>
      </c>
      <c r="F232" s="50">
        <v>11011</v>
      </c>
      <c r="G232" s="50" t="s">
        <v>3404</v>
      </c>
      <c r="H232" s="50">
        <v>2024</v>
      </c>
      <c r="I232" s="105" t="s">
        <v>3633</v>
      </c>
      <c r="J232" s="50"/>
      <c r="K232" s="50" t="s">
        <v>179</v>
      </c>
      <c r="L232" s="50"/>
      <c r="M232" s="50" t="s">
        <v>2445</v>
      </c>
      <c r="N232" s="50"/>
      <c r="O232" s="50"/>
      <c r="P232" s="50"/>
      <c r="Q232" s="50"/>
      <c r="R232" s="50"/>
      <c r="S232" s="50" t="str">
        <f t="shared" si="28"/>
        <v/>
      </c>
      <c r="T232" s="50" t="str">
        <f t="shared" si="30"/>
        <v/>
      </c>
      <c r="U232" s="50" t="str">
        <f t="shared" si="29"/>
        <v/>
      </c>
      <c r="V232" s="50" t="str">
        <f t="shared" si="31"/>
        <v/>
      </c>
      <c r="W232" s="50"/>
      <c r="X232" s="50" t="s">
        <v>4</v>
      </c>
      <c r="Y232" s="50" t="s">
        <v>57</v>
      </c>
      <c r="Z232" s="50" t="s">
        <v>3406</v>
      </c>
      <c r="AA232" s="50"/>
    </row>
    <row r="233" spans="1:27" ht="25.5" customHeight="1">
      <c r="A233" s="517" t="s">
        <v>774</v>
      </c>
      <c r="B233" s="51" t="s">
        <v>926</v>
      </c>
      <c r="C233" s="51" t="s">
        <v>143</v>
      </c>
      <c r="D233" s="51" t="s">
        <v>3715</v>
      </c>
      <c r="E233" s="50">
        <v>293</v>
      </c>
      <c r="F233" s="50">
        <v>272</v>
      </c>
      <c r="G233" s="50" t="s">
        <v>3404</v>
      </c>
      <c r="H233" s="50">
        <v>2025</v>
      </c>
      <c r="I233" s="132">
        <v>45792</v>
      </c>
      <c r="J233" s="50" t="s">
        <v>3532</v>
      </c>
      <c r="K233" s="50" t="s">
        <v>179</v>
      </c>
      <c r="L233" s="50"/>
      <c r="M233" s="50" t="s">
        <v>2445</v>
      </c>
      <c r="N233" s="50" t="s">
        <v>3716</v>
      </c>
      <c r="O233" s="60">
        <v>45796</v>
      </c>
      <c r="P233" s="50"/>
      <c r="Q233" s="60">
        <v>45796</v>
      </c>
      <c r="R233" s="60">
        <v>45797</v>
      </c>
      <c r="S233" s="50">
        <f t="shared" si="28"/>
        <v>2</v>
      </c>
      <c r="T233" s="50" t="str">
        <f t="shared" si="30"/>
        <v/>
      </c>
      <c r="U233" s="50">
        <f t="shared" si="29"/>
        <v>1</v>
      </c>
      <c r="V233" s="50">
        <f t="shared" si="31"/>
        <v>1</v>
      </c>
      <c r="W233" s="50" t="s">
        <v>150</v>
      </c>
      <c r="X233" s="50" t="s">
        <v>1078</v>
      </c>
      <c r="Y233" s="50" t="s">
        <v>50</v>
      </c>
      <c r="Z233" s="50" t="s">
        <v>3406</v>
      </c>
      <c r="AA233" s="50"/>
    </row>
    <row r="234" spans="1:27" ht="25.5" customHeight="1">
      <c r="A234" s="517" t="s">
        <v>774</v>
      </c>
      <c r="B234" s="51" t="s">
        <v>926</v>
      </c>
      <c r="C234" s="51" t="s">
        <v>143</v>
      </c>
      <c r="D234" s="51" t="s">
        <v>3717</v>
      </c>
      <c r="E234" s="50">
        <v>4455</v>
      </c>
      <c r="F234" s="50">
        <v>5192</v>
      </c>
      <c r="G234" s="50" t="s">
        <v>3404</v>
      </c>
      <c r="H234" s="50">
        <v>2025</v>
      </c>
      <c r="I234" s="132">
        <v>45784</v>
      </c>
      <c r="J234" s="50" t="s">
        <v>3532</v>
      </c>
      <c r="K234" s="50" t="s">
        <v>179</v>
      </c>
      <c r="L234" s="50"/>
      <c r="M234" s="50" t="s">
        <v>2445</v>
      </c>
      <c r="N234" s="50" t="s">
        <v>3718</v>
      </c>
      <c r="O234" s="60">
        <v>45789</v>
      </c>
      <c r="P234" s="50"/>
      <c r="Q234" s="60">
        <v>45789</v>
      </c>
      <c r="R234" s="60">
        <v>45791</v>
      </c>
      <c r="S234" s="50">
        <f t="shared" si="28"/>
        <v>3</v>
      </c>
      <c r="T234" s="50" t="str">
        <f t="shared" si="30"/>
        <v/>
      </c>
      <c r="U234" s="50">
        <f t="shared" si="29"/>
        <v>1</v>
      </c>
      <c r="V234" s="50">
        <f t="shared" si="31"/>
        <v>2</v>
      </c>
      <c r="W234" s="50" t="s">
        <v>150</v>
      </c>
      <c r="X234" s="50" t="s">
        <v>1078</v>
      </c>
      <c r="Y234" s="50" t="s">
        <v>57</v>
      </c>
      <c r="Z234" s="50" t="s">
        <v>3406</v>
      </c>
      <c r="AA234" s="50"/>
    </row>
    <row r="235" spans="1:27" ht="25.5" customHeight="1">
      <c r="A235" s="517" t="s">
        <v>774</v>
      </c>
      <c r="B235" s="51" t="s">
        <v>926</v>
      </c>
      <c r="C235" s="51" t="s">
        <v>143</v>
      </c>
      <c r="D235" s="51" t="s">
        <v>3719</v>
      </c>
      <c r="E235" s="50">
        <v>4159</v>
      </c>
      <c r="F235" s="50">
        <v>4555</v>
      </c>
      <c r="G235" s="50" t="s">
        <v>3404</v>
      </c>
      <c r="H235" s="50">
        <v>2025</v>
      </c>
      <c r="I235" s="132">
        <v>45839</v>
      </c>
      <c r="J235" s="50" t="s">
        <v>3125</v>
      </c>
      <c r="K235" s="50" t="s">
        <v>179</v>
      </c>
      <c r="L235" s="50"/>
      <c r="M235" s="50" t="s">
        <v>2445</v>
      </c>
      <c r="N235" s="50" t="s">
        <v>3720</v>
      </c>
      <c r="O235" s="60">
        <v>45845</v>
      </c>
      <c r="P235" s="50"/>
      <c r="Q235" s="60">
        <v>45845</v>
      </c>
      <c r="R235" s="60">
        <v>45847</v>
      </c>
      <c r="S235" s="50">
        <f t="shared" si="28"/>
        <v>4</v>
      </c>
      <c r="T235" s="50" t="str">
        <f t="shared" si="30"/>
        <v/>
      </c>
      <c r="U235" s="50">
        <f t="shared" si="29"/>
        <v>1</v>
      </c>
      <c r="V235" s="50">
        <f t="shared" si="31"/>
        <v>2</v>
      </c>
      <c r="W235" s="50" t="s">
        <v>150</v>
      </c>
      <c r="X235" s="50" t="s">
        <v>1078</v>
      </c>
      <c r="Y235" s="50" t="s">
        <v>50</v>
      </c>
      <c r="Z235" s="50" t="s">
        <v>3406</v>
      </c>
      <c r="AA235" s="50"/>
    </row>
    <row r="236" spans="1:27" ht="25.5" customHeight="1">
      <c r="A236" s="50" t="s">
        <v>774</v>
      </c>
      <c r="B236" s="51" t="s">
        <v>926</v>
      </c>
      <c r="C236" s="51" t="s">
        <v>143</v>
      </c>
      <c r="D236" s="51" t="s">
        <v>3721</v>
      </c>
      <c r="E236" s="50">
        <v>983</v>
      </c>
      <c r="F236" s="50">
        <v>899</v>
      </c>
      <c r="G236" s="50" t="s">
        <v>3404</v>
      </c>
      <c r="H236" s="50">
        <v>2024</v>
      </c>
      <c r="I236" s="105" t="s">
        <v>3722</v>
      </c>
      <c r="J236" s="50"/>
      <c r="K236" s="50" t="s">
        <v>179</v>
      </c>
      <c r="L236" s="50"/>
      <c r="M236" s="50" t="s">
        <v>2445</v>
      </c>
      <c r="N236" s="50"/>
      <c r="O236" s="50"/>
      <c r="P236" s="50"/>
      <c r="Q236" s="50"/>
      <c r="R236" s="50"/>
      <c r="S236" s="50" t="str">
        <f t="shared" si="28"/>
        <v/>
      </c>
      <c r="T236" s="50" t="str">
        <f t="shared" si="30"/>
        <v/>
      </c>
      <c r="U236" s="50" t="str">
        <f t="shared" si="29"/>
        <v/>
      </c>
      <c r="V236" s="50" t="str">
        <f t="shared" si="31"/>
        <v/>
      </c>
      <c r="W236" s="50"/>
      <c r="X236" s="50" t="s">
        <v>4</v>
      </c>
      <c r="Y236" s="50" t="s">
        <v>50</v>
      </c>
      <c r="Z236" s="50" t="s">
        <v>3406</v>
      </c>
      <c r="AA236" s="50"/>
    </row>
    <row r="237" spans="1:27" s="110" customFormat="1" ht="25.5" customHeight="1">
      <c r="A237" s="50" t="s">
        <v>774</v>
      </c>
      <c r="B237" s="51" t="s">
        <v>926</v>
      </c>
      <c r="C237" s="51" t="s">
        <v>143</v>
      </c>
      <c r="D237" s="51" t="s">
        <v>3723</v>
      </c>
      <c r="E237" s="50">
        <v>5942</v>
      </c>
      <c r="F237" s="50">
        <v>7735</v>
      </c>
      <c r="G237" s="50" t="s">
        <v>3404</v>
      </c>
      <c r="H237" s="50">
        <v>2024</v>
      </c>
      <c r="I237" s="105" t="s">
        <v>3655</v>
      </c>
      <c r="J237" s="50"/>
      <c r="K237" s="50" t="s">
        <v>179</v>
      </c>
      <c r="L237" s="50"/>
      <c r="M237" s="50" t="s">
        <v>2445</v>
      </c>
      <c r="N237" s="50"/>
      <c r="O237" s="50"/>
      <c r="P237" s="50"/>
      <c r="Q237" s="50"/>
      <c r="R237" s="50"/>
      <c r="S237" s="50" t="str">
        <f t="shared" si="28"/>
        <v/>
      </c>
      <c r="T237" s="50" t="str">
        <f t="shared" si="30"/>
        <v/>
      </c>
      <c r="U237" s="50" t="str">
        <f t="shared" si="29"/>
        <v/>
      </c>
      <c r="V237" s="50" t="str">
        <f t="shared" si="31"/>
        <v/>
      </c>
      <c r="W237" s="50"/>
      <c r="X237" s="50" t="s">
        <v>4</v>
      </c>
      <c r="Y237" s="50" t="s">
        <v>50</v>
      </c>
      <c r="Z237" s="50" t="s">
        <v>3406</v>
      </c>
      <c r="AA237" s="50"/>
    </row>
    <row r="238" spans="1:27" ht="25.5" customHeight="1">
      <c r="A238" s="50" t="s">
        <v>774</v>
      </c>
      <c r="B238" s="51" t="s">
        <v>926</v>
      </c>
      <c r="C238" s="51" t="s">
        <v>143</v>
      </c>
      <c r="D238" s="51" t="s">
        <v>3724</v>
      </c>
      <c r="E238" s="50">
        <v>3904</v>
      </c>
      <c r="F238" s="50">
        <v>3784</v>
      </c>
      <c r="G238" s="50" t="s">
        <v>3404</v>
      </c>
      <c r="H238" s="50">
        <v>2024</v>
      </c>
      <c r="I238" s="132">
        <v>45581</v>
      </c>
      <c r="J238" s="50"/>
      <c r="K238" s="50" t="s">
        <v>179</v>
      </c>
      <c r="L238" s="50"/>
      <c r="M238" s="50" t="s">
        <v>2445</v>
      </c>
      <c r="N238" s="50"/>
      <c r="O238" s="50"/>
      <c r="P238" s="50"/>
      <c r="Q238" s="50"/>
      <c r="R238" s="50"/>
      <c r="S238" s="50" t="str">
        <f t="shared" si="28"/>
        <v/>
      </c>
      <c r="T238" s="50" t="str">
        <f t="shared" si="30"/>
        <v/>
      </c>
      <c r="U238" s="50" t="str">
        <f t="shared" si="29"/>
        <v/>
      </c>
      <c r="V238" s="50" t="str">
        <f t="shared" si="31"/>
        <v/>
      </c>
      <c r="W238" s="50"/>
      <c r="X238" s="50" t="s">
        <v>4</v>
      </c>
      <c r="Y238" s="50" t="s">
        <v>50</v>
      </c>
      <c r="Z238" s="50" t="s">
        <v>3406</v>
      </c>
      <c r="AA238" s="50"/>
    </row>
    <row r="239" spans="1:27" ht="25.5" customHeight="1">
      <c r="A239" s="50" t="s">
        <v>774</v>
      </c>
      <c r="B239" s="51" t="s">
        <v>926</v>
      </c>
      <c r="C239" s="51" t="s">
        <v>143</v>
      </c>
      <c r="D239" s="51" t="s">
        <v>1423</v>
      </c>
      <c r="E239" s="50">
        <v>1800</v>
      </c>
      <c r="F239" s="50">
        <v>1890</v>
      </c>
      <c r="G239" s="50" t="s">
        <v>3404</v>
      </c>
      <c r="H239" s="50">
        <v>2024</v>
      </c>
      <c r="I239" s="105" t="s">
        <v>3706</v>
      </c>
      <c r="J239" s="50"/>
      <c r="K239" s="50" t="s">
        <v>179</v>
      </c>
      <c r="L239" s="50"/>
      <c r="M239" s="50" t="s">
        <v>2445</v>
      </c>
      <c r="N239" s="50"/>
      <c r="O239" s="50"/>
      <c r="P239" s="50"/>
      <c r="Q239" s="50"/>
      <c r="R239" s="50"/>
      <c r="S239" s="50" t="str">
        <f t="shared" si="28"/>
        <v/>
      </c>
      <c r="T239" s="50" t="str">
        <f t="shared" si="30"/>
        <v/>
      </c>
      <c r="U239" s="50" t="str">
        <f t="shared" si="29"/>
        <v/>
      </c>
      <c r="V239" s="50" t="str">
        <f t="shared" si="31"/>
        <v/>
      </c>
      <c r="W239" s="50"/>
      <c r="X239" s="50" t="s">
        <v>4</v>
      </c>
      <c r="Y239" s="50" t="s">
        <v>57</v>
      </c>
      <c r="Z239" s="50" t="s">
        <v>3406</v>
      </c>
      <c r="AA239" s="50"/>
    </row>
    <row r="240" spans="1:27" ht="25.5" customHeight="1">
      <c r="A240" s="517" t="s">
        <v>774</v>
      </c>
      <c r="B240" s="51" t="s">
        <v>926</v>
      </c>
      <c r="C240" s="51" t="s">
        <v>143</v>
      </c>
      <c r="D240" s="51" t="s">
        <v>3725</v>
      </c>
      <c r="E240" s="50">
        <v>2412</v>
      </c>
      <c r="F240" s="50">
        <v>2699</v>
      </c>
      <c r="G240" s="50" t="s">
        <v>3404</v>
      </c>
      <c r="H240" s="50">
        <v>2025</v>
      </c>
      <c r="I240" s="132">
        <v>45811</v>
      </c>
      <c r="J240" s="50" t="s">
        <v>3689</v>
      </c>
      <c r="K240" s="50" t="s">
        <v>179</v>
      </c>
      <c r="L240" s="50"/>
      <c r="M240" s="50" t="s">
        <v>2445</v>
      </c>
      <c r="N240" s="50" t="s">
        <v>3726</v>
      </c>
      <c r="O240" s="60">
        <v>45815</v>
      </c>
      <c r="P240" s="50"/>
      <c r="Q240" s="60">
        <v>45815</v>
      </c>
      <c r="R240" s="60">
        <v>45817</v>
      </c>
      <c r="S240" s="50">
        <f t="shared" si="28"/>
        <v>3</v>
      </c>
      <c r="T240" s="50" t="str">
        <f t="shared" si="30"/>
        <v/>
      </c>
      <c r="U240" s="50">
        <f t="shared" si="29"/>
        <v>1</v>
      </c>
      <c r="V240" s="50">
        <f t="shared" si="31"/>
        <v>1</v>
      </c>
      <c r="W240" s="50" t="s">
        <v>150</v>
      </c>
      <c r="X240" s="50" t="s">
        <v>1078</v>
      </c>
      <c r="Y240" s="50" t="s">
        <v>50</v>
      </c>
      <c r="Z240" s="50" t="s">
        <v>3406</v>
      </c>
      <c r="AA240" s="50"/>
    </row>
    <row r="241" spans="1:27" ht="25.5" customHeight="1">
      <c r="A241" s="50" t="s">
        <v>774</v>
      </c>
      <c r="B241" s="51" t="s">
        <v>926</v>
      </c>
      <c r="C241" s="51" t="s">
        <v>143</v>
      </c>
      <c r="D241" s="50" t="s">
        <v>3727</v>
      </c>
      <c r="E241" s="50">
        <v>3190</v>
      </c>
      <c r="F241" s="50">
        <v>3478</v>
      </c>
      <c r="G241" s="50" t="s">
        <v>3404</v>
      </c>
      <c r="H241" s="50">
        <v>2024</v>
      </c>
      <c r="I241" s="105" t="s">
        <v>3650</v>
      </c>
      <c r="J241" s="50"/>
      <c r="K241" s="50" t="s">
        <v>179</v>
      </c>
      <c r="L241" s="50"/>
      <c r="M241" s="50" t="s">
        <v>2445</v>
      </c>
      <c r="N241" s="50"/>
      <c r="O241" s="50"/>
      <c r="P241" s="50"/>
      <c r="Q241" s="50"/>
      <c r="R241" s="50"/>
      <c r="S241" s="50" t="str">
        <f t="shared" si="28"/>
        <v/>
      </c>
      <c r="T241" s="50" t="str">
        <f t="shared" si="30"/>
        <v/>
      </c>
      <c r="U241" s="50" t="str">
        <f t="shared" si="29"/>
        <v/>
      </c>
      <c r="V241" s="50" t="str">
        <f t="shared" si="31"/>
        <v/>
      </c>
      <c r="W241" s="50"/>
      <c r="X241" s="50" t="s">
        <v>4</v>
      </c>
      <c r="Y241" s="50" t="s">
        <v>57</v>
      </c>
      <c r="Z241" s="50" t="s">
        <v>3406</v>
      </c>
      <c r="AA241" s="50"/>
    </row>
    <row r="242" spans="1:27" s="110" customFormat="1" ht="25.5" customHeight="1">
      <c r="A242" s="517" t="s">
        <v>774</v>
      </c>
      <c r="B242" s="51" t="s">
        <v>926</v>
      </c>
      <c r="C242" s="51" t="s">
        <v>143</v>
      </c>
      <c r="D242" s="51" t="s">
        <v>3728</v>
      </c>
      <c r="E242" s="50">
        <v>2739</v>
      </c>
      <c r="F242" s="50">
        <v>2953</v>
      </c>
      <c r="G242" s="50" t="s">
        <v>3404</v>
      </c>
      <c r="H242" s="50">
        <v>2025</v>
      </c>
      <c r="I242" s="132">
        <v>45937</v>
      </c>
      <c r="J242" s="50" t="s">
        <v>3128</v>
      </c>
      <c r="K242" s="50" t="s">
        <v>179</v>
      </c>
      <c r="L242" s="50"/>
      <c r="M242" s="50" t="s">
        <v>2445</v>
      </c>
      <c r="N242" s="50" t="s">
        <v>3729</v>
      </c>
      <c r="O242" s="60">
        <v>45940</v>
      </c>
      <c r="P242" s="50"/>
      <c r="Q242" s="60">
        <v>45940</v>
      </c>
      <c r="R242" s="60">
        <v>45945</v>
      </c>
      <c r="S242" s="50">
        <f t="shared" si="28"/>
        <v>3</v>
      </c>
      <c r="T242" s="50" t="str">
        <f t="shared" si="30"/>
        <v/>
      </c>
      <c r="U242" s="50">
        <f t="shared" si="29"/>
        <v>1</v>
      </c>
      <c r="V242" s="50">
        <f t="shared" si="31"/>
        <v>3</v>
      </c>
      <c r="W242" s="50" t="s">
        <v>150</v>
      </c>
      <c r="X242" s="50" t="s">
        <v>1078</v>
      </c>
      <c r="Y242" s="50" t="s">
        <v>57</v>
      </c>
      <c r="Z242" s="50" t="s">
        <v>3406</v>
      </c>
      <c r="AA242" s="50"/>
    </row>
    <row r="243" spans="1:27" ht="25.5" customHeight="1">
      <c r="A243" s="517" t="s">
        <v>774</v>
      </c>
      <c r="B243" s="51" t="s">
        <v>926</v>
      </c>
      <c r="C243" s="51" t="s">
        <v>143</v>
      </c>
      <c r="D243" s="51" t="s">
        <v>3730</v>
      </c>
      <c r="E243" s="50">
        <v>915</v>
      </c>
      <c r="F243" s="50">
        <v>858</v>
      </c>
      <c r="G243" s="50" t="s">
        <v>3404</v>
      </c>
      <c r="H243" s="50">
        <v>2025</v>
      </c>
      <c r="I243" s="132">
        <v>45818</v>
      </c>
      <c r="J243" s="50" t="s">
        <v>3689</v>
      </c>
      <c r="K243" s="50" t="s">
        <v>179</v>
      </c>
      <c r="L243" s="50"/>
      <c r="M243" s="50" t="s">
        <v>2445</v>
      </c>
      <c r="N243" s="50" t="s">
        <v>3731</v>
      </c>
      <c r="O243" s="60">
        <v>45822</v>
      </c>
      <c r="P243" s="50"/>
      <c r="Q243" s="60">
        <v>45824</v>
      </c>
      <c r="R243" s="60">
        <v>45824</v>
      </c>
      <c r="S243" s="50">
        <f t="shared" si="28"/>
        <v>3</v>
      </c>
      <c r="T243" s="50" t="str">
        <f t="shared" si="30"/>
        <v/>
      </c>
      <c r="U243" s="50">
        <f t="shared" si="29"/>
        <v>1</v>
      </c>
      <c r="V243" s="50">
        <f t="shared" si="31"/>
        <v>1</v>
      </c>
      <c r="W243" s="50" t="s">
        <v>150</v>
      </c>
      <c r="X243" s="50" t="s">
        <v>1078</v>
      </c>
      <c r="Y243" s="50" t="s">
        <v>50</v>
      </c>
      <c r="Z243" s="50" t="s">
        <v>3406</v>
      </c>
      <c r="AA243" s="50"/>
    </row>
    <row r="244" spans="1:27" ht="25.5" customHeight="1">
      <c r="A244" s="50" t="s">
        <v>774</v>
      </c>
      <c r="B244" s="51" t="s">
        <v>926</v>
      </c>
      <c r="C244" s="51" t="s">
        <v>143</v>
      </c>
      <c r="D244" s="51" t="s">
        <v>3732</v>
      </c>
      <c r="E244" s="50">
        <v>549</v>
      </c>
      <c r="F244" s="50">
        <v>856</v>
      </c>
      <c r="G244" s="50" t="s">
        <v>3404</v>
      </c>
      <c r="H244" s="50">
        <v>2024</v>
      </c>
      <c r="I244" s="105" t="s">
        <v>3733</v>
      </c>
      <c r="J244" s="50"/>
      <c r="K244" s="50" t="s">
        <v>179</v>
      </c>
      <c r="L244" s="50"/>
      <c r="M244" s="50" t="s">
        <v>2445</v>
      </c>
      <c r="N244" s="50"/>
      <c r="O244" s="50"/>
      <c r="P244" s="50"/>
      <c r="Q244" s="50"/>
      <c r="R244" s="50"/>
      <c r="S244" s="50" t="str">
        <f t="shared" si="28"/>
        <v/>
      </c>
      <c r="T244" s="50" t="str">
        <f t="shared" si="30"/>
        <v/>
      </c>
      <c r="U244" s="50" t="str">
        <f t="shared" si="29"/>
        <v/>
      </c>
      <c r="V244" s="50" t="str">
        <f t="shared" si="31"/>
        <v/>
      </c>
      <c r="W244" s="50"/>
      <c r="X244" s="50" t="s">
        <v>4</v>
      </c>
      <c r="Y244" s="50" t="s">
        <v>57</v>
      </c>
      <c r="Z244" s="50" t="s">
        <v>3406</v>
      </c>
      <c r="AA244" s="50"/>
    </row>
    <row r="245" spans="1:27" ht="25.5" customHeight="1">
      <c r="A245" s="50" t="s">
        <v>774</v>
      </c>
      <c r="B245" s="51" t="s">
        <v>926</v>
      </c>
      <c r="C245" s="51" t="s">
        <v>143</v>
      </c>
      <c r="D245" s="51" t="s">
        <v>3734</v>
      </c>
      <c r="E245" s="50">
        <v>4284</v>
      </c>
      <c r="F245" s="50">
        <v>4580</v>
      </c>
      <c r="G245" s="50" t="s">
        <v>3404</v>
      </c>
      <c r="H245" s="50">
        <v>2024</v>
      </c>
      <c r="I245" s="105" t="s">
        <v>3735</v>
      </c>
      <c r="J245" s="50"/>
      <c r="K245" s="50" t="s">
        <v>179</v>
      </c>
      <c r="L245" s="50"/>
      <c r="M245" s="50" t="s">
        <v>2445</v>
      </c>
      <c r="N245" s="50"/>
      <c r="O245" s="50"/>
      <c r="P245" s="50"/>
      <c r="Q245" s="50"/>
      <c r="R245" s="50"/>
      <c r="S245" s="50" t="str">
        <f t="shared" si="28"/>
        <v/>
      </c>
      <c r="T245" s="50" t="str">
        <f t="shared" si="30"/>
        <v/>
      </c>
      <c r="U245" s="50" t="str">
        <f t="shared" si="29"/>
        <v/>
      </c>
      <c r="V245" s="50" t="str">
        <f t="shared" si="31"/>
        <v/>
      </c>
      <c r="W245" s="50"/>
      <c r="X245" s="50" t="s">
        <v>4</v>
      </c>
      <c r="Y245" s="50" t="s">
        <v>50</v>
      </c>
      <c r="Z245" s="50" t="s">
        <v>3406</v>
      </c>
      <c r="AA245" s="50"/>
    </row>
    <row r="246" spans="1:27" s="110" customFormat="1" ht="25.5" customHeight="1">
      <c r="A246" s="50" t="s">
        <v>774</v>
      </c>
      <c r="B246" s="51" t="s">
        <v>926</v>
      </c>
      <c r="C246" s="51" t="s">
        <v>143</v>
      </c>
      <c r="D246" s="51" t="s">
        <v>3736</v>
      </c>
      <c r="E246" s="50">
        <v>356</v>
      </c>
      <c r="F246" s="50">
        <v>372</v>
      </c>
      <c r="G246" s="50" t="s">
        <v>3404</v>
      </c>
      <c r="H246" s="50">
        <v>2024</v>
      </c>
      <c r="I246" s="105" t="s">
        <v>3737</v>
      </c>
      <c r="J246" s="50"/>
      <c r="K246" s="50" t="s">
        <v>179</v>
      </c>
      <c r="L246" s="50"/>
      <c r="M246" s="50" t="s">
        <v>2445</v>
      </c>
      <c r="N246" s="50"/>
      <c r="O246" s="50"/>
      <c r="P246" s="50"/>
      <c r="Q246" s="50"/>
      <c r="R246" s="50"/>
      <c r="S246" s="50" t="str">
        <f t="shared" si="28"/>
        <v/>
      </c>
      <c r="T246" s="50" t="str">
        <f t="shared" si="30"/>
        <v/>
      </c>
      <c r="U246" s="50" t="str">
        <f t="shared" si="29"/>
        <v/>
      </c>
      <c r="V246" s="50" t="str">
        <f t="shared" si="31"/>
        <v/>
      </c>
      <c r="W246" s="50"/>
      <c r="X246" s="50" t="s">
        <v>4</v>
      </c>
      <c r="Y246" s="50" t="s">
        <v>57</v>
      </c>
      <c r="Z246" s="50" t="s">
        <v>3406</v>
      </c>
      <c r="AA246" s="50"/>
    </row>
    <row r="247" spans="1:27" ht="25.5" customHeight="1">
      <c r="A247" s="50" t="s">
        <v>774</v>
      </c>
      <c r="B247" s="51" t="s">
        <v>884</v>
      </c>
      <c r="C247" s="51" t="s">
        <v>143</v>
      </c>
      <c r="D247" s="51" t="s">
        <v>3738</v>
      </c>
      <c r="E247" s="50">
        <v>1675</v>
      </c>
      <c r="F247" s="50">
        <v>1705</v>
      </c>
      <c r="G247" s="50" t="s">
        <v>3404</v>
      </c>
      <c r="H247" s="50">
        <v>2024</v>
      </c>
      <c r="I247" s="105" t="s">
        <v>3739</v>
      </c>
      <c r="J247" s="50"/>
      <c r="K247" s="50" t="s">
        <v>179</v>
      </c>
      <c r="L247" s="50"/>
      <c r="M247" s="50" t="s">
        <v>2445</v>
      </c>
      <c r="N247" s="50"/>
      <c r="O247" s="50"/>
      <c r="P247" s="50"/>
      <c r="Q247" s="50"/>
      <c r="R247" s="50"/>
      <c r="S247" s="50" t="str">
        <f t="shared" si="28"/>
        <v/>
      </c>
      <c r="T247" s="50" t="str">
        <f t="shared" si="30"/>
        <v/>
      </c>
      <c r="U247" s="50" t="str">
        <f t="shared" si="29"/>
        <v/>
      </c>
      <c r="V247" s="50" t="str">
        <f t="shared" si="31"/>
        <v/>
      </c>
      <c r="W247" s="50"/>
      <c r="X247" s="50" t="s">
        <v>4</v>
      </c>
      <c r="Y247" s="50" t="s">
        <v>50</v>
      </c>
      <c r="Z247" s="50" t="s">
        <v>3406</v>
      </c>
      <c r="AA247" s="50"/>
    </row>
    <row r="248" spans="1:27" ht="25.5" customHeight="1">
      <c r="A248" s="50" t="s">
        <v>774</v>
      </c>
      <c r="B248" s="51" t="s">
        <v>884</v>
      </c>
      <c r="C248" s="51" t="s">
        <v>143</v>
      </c>
      <c r="D248" s="51" t="s">
        <v>3740</v>
      </c>
      <c r="E248" s="50">
        <v>2175</v>
      </c>
      <c r="F248" s="50">
        <v>2176</v>
      </c>
      <c r="G248" s="50" t="s">
        <v>3404</v>
      </c>
      <c r="H248" s="50">
        <v>2024</v>
      </c>
      <c r="I248" s="105" t="s">
        <v>3741</v>
      </c>
      <c r="J248" s="50"/>
      <c r="K248" s="50" t="s">
        <v>179</v>
      </c>
      <c r="L248" s="50"/>
      <c r="M248" s="50" t="s">
        <v>2445</v>
      </c>
      <c r="N248" s="50"/>
      <c r="O248" s="50"/>
      <c r="P248" s="50"/>
      <c r="Q248" s="50"/>
      <c r="R248" s="50"/>
      <c r="S248" s="50" t="str">
        <f t="shared" si="28"/>
        <v/>
      </c>
      <c r="T248" s="50" t="str">
        <f t="shared" si="30"/>
        <v/>
      </c>
      <c r="U248" s="50" t="str">
        <f t="shared" si="29"/>
        <v/>
      </c>
      <c r="V248" s="50" t="str">
        <f t="shared" si="31"/>
        <v/>
      </c>
      <c r="W248" s="50"/>
      <c r="X248" s="50" t="s">
        <v>4</v>
      </c>
      <c r="Y248" s="50" t="s">
        <v>50</v>
      </c>
      <c r="Z248" s="50" t="s">
        <v>3406</v>
      </c>
      <c r="AA248" s="50"/>
    </row>
    <row r="249" spans="1:27" ht="25.5" customHeight="1">
      <c r="A249" s="50" t="s">
        <v>774</v>
      </c>
      <c r="B249" s="51" t="s">
        <v>884</v>
      </c>
      <c r="C249" s="51" t="s">
        <v>143</v>
      </c>
      <c r="D249" s="51" t="s">
        <v>3570</v>
      </c>
      <c r="E249" s="50">
        <v>2828</v>
      </c>
      <c r="F249" s="50">
        <v>3117</v>
      </c>
      <c r="G249" s="50" t="s">
        <v>3404</v>
      </c>
      <c r="H249" s="50">
        <v>2024</v>
      </c>
      <c r="I249" s="105" t="s">
        <v>3742</v>
      </c>
      <c r="J249" s="50"/>
      <c r="K249" s="50" t="s">
        <v>179</v>
      </c>
      <c r="L249" s="50"/>
      <c r="M249" s="50" t="s">
        <v>2445</v>
      </c>
      <c r="N249" s="50"/>
      <c r="O249" s="50"/>
      <c r="P249" s="50"/>
      <c r="Q249" s="50"/>
      <c r="R249" s="50"/>
      <c r="S249" s="50" t="str">
        <f t="shared" si="28"/>
        <v/>
      </c>
      <c r="T249" s="50" t="str">
        <f t="shared" si="30"/>
        <v/>
      </c>
      <c r="U249" s="50" t="str">
        <f t="shared" si="29"/>
        <v/>
      </c>
      <c r="V249" s="50" t="str">
        <f t="shared" si="31"/>
        <v/>
      </c>
      <c r="W249" s="50"/>
      <c r="X249" s="50" t="s">
        <v>4</v>
      </c>
      <c r="Y249" s="50" t="s">
        <v>50</v>
      </c>
      <c r="Z249" s="50" t="s">
        <v>3406</v>
      </c>
      <c r="AA249" s="50"/>
    </row>
    <row r="250" spans="1:27" ht="25.5" customHeight="1">
      <c r="A250" s="50" t="s">
        <v>774</v>
      </c>
      <c r="B250" s="51" t="s">
        <v>884</v>
      </c>
      <c r="C250" s="51" t="s">
        <v>143</v>
      </c>
      <c r="D250" s="51" t="s">
        <v>3743</v>
      </c>
      <c r="E250" s="50">
        <v>6594</v>
      </c>
      <c r="F250" s="50">
        <v>7840</v>
      </c>
      <c r="G250" s="50" t="s">
        <v>3404</v>
      </c>
      <c r="H250" s="50">
        <v>2024</v>
      </c>
      <c r="I250" s="105" t="s">
        <v>3627</v>
      </c>
      <c r="J250" s="50"/>
      <c r="K250" s="50" t="s">
        <v>179</v>
      </c>
      <c r="L250" s="50"/>
      <c r="M250" s="50" t="s">
        <v>2445</v>
      </c>
      <c r="N250" s="50"/>
      <c r="O250" s="50"/>
      <c r="P250" s="50"/>
      <c r="Q250" s="50"/>
      <c r="R250" s="50"/>
      <c r="S250" s="50" t="str">
        <f t="shared" si="28"/>
        <v/>
      </c>
      <c r="T250" s="50" t="str">
        <f t="shared" si="30"/>
        <v/>
      </c>
      <c r="U250" s="50" t="str">
        <f t="shared" si="29"/>
        <v/>
      </c>
      <c r="V250" s="50" t="str">
        <f t="shared" si="31"/>
        <v/>
      </c>
      <c r="W250" s="50"/>
      <c r="X250" s="50"/>
      <c r="Y250" s="50"/>
      <c r="Z250" s="50" t="s">
        <v>3406</v>
      </c>
      <c r="AA250" s="50"/>
    </row>
    <row r="251" spans="1:27" ht="25.5" customHeight="1">
      <c r="A251" s="50" t="s">
        <v>774</v>
      </c>
      <c r="B251" s="51" t="s">
        <v>884</v>
      </c>
      <c r="C251" s="51" t="s">
        <v>143</v>
      </c>
      <c r="D251" s="51" t="s">
        <v>1445</v>
      </c>
      <c r="E251" s="50">
        <v>2379</v>
      </c>
      <c r="F251" s="50">
        <v>2613</v>
      </c>
      <c r="G251" s="50" t="s">
        <v>3404</v>
      </c>
      <c r="H251" s="50">
        <v>2024</v>
      </c>
      <c r="I251" s="105" t="s">
        <v>3744</v>
      </c>
      <c r="J251" s="50"/>
      <c r="K251" s="50" t="s">
        <v>179</v>
      </c>
      <c r="L251" s="50"/>
      <c r="M251" s="50" t="s">
        <v>2445</v>
      </c>
      <c r="N251" s="50"/>
      <c r="O251" s="50"/>
      <c r="P251" s="50"/>
      <c r="Q251" s="50"/>
      <c r="R251" s="50"/>
      <c r="S251" s="50" t="str">
        <f t="shared" si="28"/>
        <v/>
      </c>
      <c r="T251" s="50" t="str">
        <f t="shared" si="30"/>
        <v/>
      </c>
      <c r="U251" s="50" t="str">
        <f t="shared" si="29"/>
        <v/>
      </c>
      <c r="V251" s="50" t="str">
        <f t="shared" si="31"/>
        <v/>
      </c>
      <c r="W251" s="50"/>
      <c r="X251" s="50" t="s">
        <v>4</v>
      </c>
      <c r="Y251" s="50" t="s">
        <v>50</v>
      </c>
      <c r="Z251" s="50" t="s">
        <v>3406</v>
      </c>
      <c r="AA251" s="50"/>
    </row>
    <row r="252" spans="1:27" ht="25.5" customHeight="1">
      <c r="A252" s="50" t="s">
        <v>774</v>
      </c>
      <c r="B252" s="51" t="s">
        <v>884</v>
      </c>
      <c r="C252" s="51" t="s">
        <v>143</v>
      </c>
      <c r="D252" s="51" t="s">
        <v>3745</v>
      </c>
      <c r="E252" s="50">
        <v>556</v>
      </c>
      <c r="F252" s="50">
        <v>437</v>
      </c>
      <c r="G252" s="50" t="s">
        <v>3404</v>
      </c>
      <c r="H252" s="50">
        <v>2024</v>
      </c>
      <c r="I252" s="105" t="s">
        <v>3746</v>
      </c>
      <c r="J252" s="50"/>
      <c r="K252" s="50" t="s">
        <v>179</v>
      </c>
      <c r="L252" s="50"/>
      <c r="M252" s="50" t="s">
        <v>2445</v>
      </c>
      <c r="N252" s="50"/>
      <c r="O252" s="50"/>
      <c r="P252" s="50"/>
      <c r="Q252" s="50"/>
      <c r="R252" s="50"/>
      <c r="S252" s="50" t="str">
        <f t="shared" si="28"/>
        <v/>
      </c>
      <c r="T252" s="50" t="str">
        <f t="shared" si="30"/>
        <v/>
      </c>
      <c r="U252" s="50" t="str">
        <f t="shared" si="29"/>
        <v/>
      </c>
      <c r="V252" s="50" t="str">
        <f t="shared" si="31"/>
        <v/>
      </c>
      <c r="W252" s="50"/>
      <c r="X252" s="50" t="s">
        <v>4</v>
      </c>
      <c r="Y252" s="50" t="s">
        <v>50</v>
      </c>
      <c r="Z252" s="50" t="s">
        <v>3406</v>
      </c>
      <c r="AA252" s="50"/>
    </row>
    <row r="253" spans="1:27" ht="25.5" customHeight="1">
      <c r="A253" s="50" t="s">
        <v>774</v>
      </c>
      <c r="B253" s="51" t="s">
        <v>884</v>
      </c>
      <c r="C253" s="51" t="s">
        <v>143</v>
      </c>
      <c r="D253" s="51" t="s">
        <v>3747</v>
      </c>
      <c r="E253" s="50">
        <v>3018</v>
      </c>
      <c r="F253" s="50">
        <v>3000</v>
      </c>
      <c r="G253" s="50" t="s">
        <v>3404</v>
      </c>
      <c r="H253" s="50">
        <v>2024</v>
      </c>
      <c r="I253" s="105" t="s">
        <v>3748</v>
      </c>
      <c r="J253" s="50"/>
      <c r="K253" s="50" t="s">
        <v>179</v>
      </c>
      <c r="L253" s="50"/>
      <c r="M253" s="50" t="s">
        <v>2445</v>
      </c>
      <c r="N253" s="50"/>
      <c r="O253" s="50"/>
      <c r="P253" s="50"/>
      <c r="Q253" s="50"/>
      <c r="R253" s="50"/>
      <c r="S253" s="50" t="str">
        <f t="shared" si="28"/>
        <v/>
      </c>
      <c r="T253" s="50" t="str">
        <f t="shared" si="30"/>
        <v/>
      </c>
      <c r="U253" s="50" t="str">
        <f t="shared" si="29"/>
        <v/>
      </c>
      <c r="V253" s="50" t="str">
        <f t="shared" si="31"/>
        <v/>
      </c>
      <c r="W253" s="50"/>
      <c r="X253" s="50" t="s">
        <v>4</v>
      </c>
      <c r="Y253" s="50" t="s">
        <v>50</v>
      </c>
      <c r="Z253" s="50" t="s">
        <v>3406</v>
      </c>
      <c r="AA253" s="50"/>
    </row>
    <row r="254" spans="1:27" ht="25.5" customHeight="1">
      <c r="A254" s="50" t="s">
        <v>774</v>
      </c>
      <c r="B254" s="51" t="s">
        <v>884</v>
      </c>
      <c r="C254" s="51" t="s">
        <v>143</v>
      </c>
      <c r="D254" s="51" t="s">
        <v>3749</v>
      </c>
      <c r="E254" s="50">
        <v>8610</v>
      </c>
      <c r="F254" s="50">
        <v>10322</v>
      </c>
      <c r="G254" s="50" t="s">
        <v>3404</v>
      </c>
      <c r="H254" s="50">
        <v>2024</v>
      </c>
      <c r="I254" s="105" t="s">
        <v>3646</v>
      </c>
      <c r="J254" s="50"/>
      <c r="K254" s="50" t="s">
        <v>179</v>
      </c>
      <c r="L254" s="50"/>
      <c r="M254" s="50" t="s">
        <v>2445</v>
      </c>
      <c r="N254" s="50"/>
      <c r="O254" s="50"/>
      <c r="P254" s="50"/>
      <c r="Q254" s="50"/>
      <c r="R254" s="50"/>
      <c r="S254" s="50" t="str">
        <f t="shared" si="28"/>
        <v/>
      </c>
      <c r="T254" s="50" t="str">
        <f t="shared" si="30"/>
        <v/>
      </c>
      <c r="U254" s="50" t="str">
        <f t="shared" si="29"/>
        <v/>
      </c>
      <c r="V254" s="50" t="str">
        <f t="shared" si="31"/>
        <v/>
      </c>
      <c r="W254" s="50"/>
      <c r="X254" s="50" t="s">
        <v>4</v>
      </c>
      <c r="Y254" s="50" t="s">
        <v>50</v>
      </c>
      <c r="Z254" s="50" t="s">
        <v>3406</v>
      </c>
      <c r="AA254" s="50"/>
    </row>
    <row r="255" spans="1:27" ht="25.5" customHeight="1">
      <c r="A255" s="50" t="s">
        <v>774</v>
      </c>
      <c r="B255" s="51" t="s">
        <v>884</v>
      </c>
      <c r="C255" s="51" t="s">
        <v>143</v>
      </c>
      <c r="D255" s="51" t="s">
        <v>3750</v>
      </c>
      <c r="E255" s="50">
        <v>962</v>
      </c>
      <c r="F255" s="50">
        <v>943</v>
      </c>
      <c r="G255" s="50" t="s">
        <v>3404</v>
      </c>
      <c r="H255" s="50">
        <v>2024</v>
      </c>
      <c r="I255" s="105" t="s">
        <v>3751</v>
      </c>
      <c r="J255" s="50"/>
      <c r="K255" s="50" t="s">
        <v>179</v>
      </c>
      <c r="L255" s="50"/>
      <c r="M255" s="50" t="s">
        <v>2445</v>
      </c>
      <c r="N255" s="50"/>
      <c r="O255" s="50"/>
      <c r="P255" s="50"/>
      <c r="Q255" s="50"/>
      <c r="R255" s="50"/>
      <c r="S255" s="50" t="str">
        <f t="shared" si="28"/>
        <v/>
      </c>
      <c r="T255" s="50" t="str">
        <f t="shared" si="30"/>
        <v/>
      </c>
      <c r="U255" s="50" t="str">
        <f t="shared" si="29"/>
        <v/>
      </c>
      <c r="V255" s="50" t="str">
        <f t="shared" si="31"/>
        <v/>
      </c>
      <c r="W255" s="50"/>
      <c r="X255" s="50" t="s">
        <v>4</v>
      </c>
      <c r="Y255" s="50" t="s">
        <v>50</v>
      </c>
      <c r="Z255" s="50" t="s">
        <v>3406</v>
      </c>
      <c r="AA255" s="50"/>
    </row>
    <row r="256" spans="1:27" ht="25.5" customHeight="1">
      <c r="A256" s="50" t="s">
        <v>774</v>
      </c>
      <c r="B256" s="51" t="s">
        <v>884</v>
      </c>
      <c r="C256" s="51" t="s">
        <v>143</v>
      </c>
      <c r="D256" s="51" t="s">
        <v>3752</v>
      </c>
      <c r="E256" s="50">
        <v>3816</v>
      </c>
      <c r="F256" s="50">
        <v>4544</v>
      </c>
      <c r="G256" s="50" t="s">
        <v>3404</v>
      </c>
      <c r="H256" s="50">
        <v>2024</v>
      </c>
      <c r="I256" s="105" t="s">
        <v>3748</v>
      </c>
      <c r="J256" s="50"/>
      <c r="K256" s="50" t="s">
        <v>179</v>
      </c>
      <c r="L256" s="50"/>
      <c r="M256" s="50" t="s">
        <v>2445</v>
      </c>
      <c r="N256" s="50"/>
      <c r="O256" s="50"/>
      <c r="P256" s="50"/>
      <c r="Q256" s="50"/>
      <c r="R256" s="50"/>
      <c r="S256" s="50" t="str">
        <f t="shared" si="28"/>
        <v/>
      </c>
      <c r="T256" s="50" t="str">
        <f t="shared" si="30"/>
        <v/>
      </c>
      <c r="U256" s="50" t="str">
        <f t="shared" si="29"/>
        <v/>
      </c>
      <c r="V256" s="50" t="str">
        <f t="shared" si="31"/>
        <v/>
      </c>
      <c r="W256" s="50"/>
      <c r="X256" s="50" t="s">
        <v>4</v>
      </c>
      <c r="Y256" s="50" t="s">
        <v>50</v>
      </c>
      <c r="Z256" s="50" t="s">
        <v>3406</v>
      </c>
      <c r="AA256" s="50"/>
    </row>
    <row r="257" spans="1:27" ht="25.5" customHeight="1">
      <c r="A257" s="50" t="s">
        <v>774</v>
      </c>
      <c r="B257" s="51" t="s">
        <v>884</v>
      </c>
      <c r="C257" s="51" t="s">
        <v>143</v>
      </c>
      <c r="D257" s="51" t="s">
        <v>3753</v>
      </c>
      <c r="E257" s="50">
        <v>2902</v>
      </c>
      <c r="F257" s="50">
        <v>3287</v>
      </c>
      <c r="G257" s="50" t="s">
        <v>3404</v>
      </c>
      <c r="H257" s="50">
        <v>2024</v>
      </c>
      <c r="I257" s="105" t="s">
        <v>3754</v>
      </c>
      <c r="J257" s="50"/>
      <c r="K257" s="50" t="s">
        <v>179</v>
      </c>
      <c r="L257" s="50"/>
      <c r="M257" s="50" t="s">
        <v>2445</v>
      </c>
      <c r="N257" s="50"/>
      <c r="O257" s="50"/>
      <c r="P257" s="50"/>
      <c r="Q257" s="50"/>
      <c r="R257" s="50"/>
      <c r="S257" s="50" t="str">
        <f t="shared" si="28"/>
        <v/>
      </c>
      <c r="T257" s="50" t="str">
        <f t="shared" si="30"/>
        <v/>
      </c>
      <c r="U257" s="50" t="str">
        <f t="shared" si="29"/>
        <v/>
      </c>
      <c r="V257" s="50" t="str">
        <f t="shared" si="31"/>
        <v/>
      </c>
      <c r="W257" s="50"/>
      <c r="X257" s="50" t="s">
        <v>4</v>
      </c>
      <c r="Y257" s="50" t="s">
        <v>50</v>
      </c>
      <c r="Z257" s="50" t="s">
        <v>3406</v>
      </c>
      <c r="AA257" s="50"/>
    </row>
    <row r="258" spans="1:27" ht="25.5" customHeight="1">
      <c r="A258" s="50" t="s">
        <v>774</v>
      </c>
      <c r="B258" s="51" t="s">
        <v>884</v>
      </c>
      <c r="C258" s="51" t="s">
        <v>143</v>
      </c>
      <c r="D258" s="50" t="s">
        <v>3755</v>
      </c>
      <c r="E258" s="50">
        <v>3238</v>
      </c>
      <c r="F258" s="50">
        <v>5496</v>
      </c>
      <c r="G258" s="50" t="s">
        <v>3404</v>
      </c>
      <c r="H258" s="50">
        <v>2024</v>
      </c>
      <c r="I258" s="105" t="s">
        <v>3597</v>
      </c>
      <c r="J258" s="50"/>
      <c r="K258" s="50" t="s">
        <v>179</v>
      </c>
      <c r="L258" s="50"/>
      <c r="M258" s="50" t="s">
        <v>2445</v>
      </c>
      <c r="N258" s="50"/>
      <c r="O258" s="50"/>
      <c r="P258" s="50"/>
      <c r="Q258" s="50"/>
      <c r="R258" s="50"/>
      <c r="S258" s="50" t="str">
        <f t="shared" si="28"/>
        <v/>
      </c>
      <c r="T258" s="50" t="str">
        <f t="shared" si="30"/>
        <v/>
      </c>
      <c r="U258" s="50" t="str">
        <f t="shared" si="29"/>
        <v/>
      </c>
      <c r="V258" s="50" t="str">
        <f t="shared" si="31"/>
        <v/>
      </c>
      <c r="W258" s="50"/>
      <c r="X258" s="50" t="s">
        <v>4</v>
      </c>
      <c r="Y258" s="50" t="s">
        <v>50</v>
      </c>
      <c r="Z258" s="50" t="s">
        <v>3406</v>
      </c>
      <c r="AA258" s="50"/>
    </row>
    <row r="259" spans="1:27" ht="25.5" customHeight="1">
      <c r="A259" s="50" t="s">
        <v>774</v>
      </c>
      <c r="B259" s="51" t="s">
        <v>884</v>
      </c>
      <c r="C259" s="51" t="s">
        <v>143</v>
      </c>
      <c r="D259" s="51" t="s">
        <v>3756</v>
      </c>
      <c r="E259" s="50">
        <v>1706</v>
      </c>
      <c r="F259" s="50">
        <v>2025</v>
      </c>
      <c r="G259" s="50" t="s">
        <v>3404</v>
      </c>
      <c r="H259" s="50">
        <v>2024</v>
      </c>
      <c r="I259" s="105" t="s">
        <v>3757</v>
      </c>
      <c r="J259" s="50"/>
      <c r="K259" s="50" t="s">
        <v>179</v>
      </c>
      <c r="L259" s="50"/>
      <c r="M259" s="50" t="s">
        <v>2445</v>
      </c>
      <c r="N259" s="50"/>
      <c r="O259" s="50"/>
      <c r="P259" s="50"/>
      <c r="Q259" s="50"/>
      <c r="R259" s="50"/>
      <c r="S259" s="50" t="str">
        <f t="shared" si="28"/>
        <v/>
      </c>
      <c r="T259" s="50" t="str">
        <f t="shared" si="30"/>
        <v/>
      </c>
      <c r="U259" s="50" t="str">
        <f t="shared" si="29"/>
        <v/>
      </c>
      <c r="V259" s="50" t="str">
        <f t="shared" si="31"/>
        <v/>
      </c>
      <c r="W259" s="50"/>
      <c r="X259" s="50" t="s">
        <v>4</v>
      </c>
      <c r="Y259" s="50" t="s">
        <v>50</v>
      </c>
      <c r="Z259" s="50" t="s">
        <v>3406</v>
      </c>
      <c r="AA259" s="50"/>
    </row>
    <row r="260" spans="1:27" ht="25.5" customHeight="1">
      <c r="A260" s="50" t="s">
        <v>774</v>
      </c>
      <c r="B260" s="51" t="s">
        <v>884</v>
      </c>
      <c r="C260" s="51" t="s">
        <v>143</v>
      </c>
      <c r="D260" s="51" t="s">
        <v>3758</v>
      </c>
      <c r="E260" s="50">
        <v>2922</v>
      </c>
      <c r="F260" s="50">
        <v>3699</v>
      </c>
      <c r="G260" s="50" t="s">
        <v>3404</v>
      </c>
      <c r="H260" s="50">
        <v>2024</v>
      </c>
      <c r="I260" s="105" t="s">
        <v>3759</v>
      </c>
      <c r="J260" s="50"/>
      <c r="K260" s="50" t="s">
        <v>179</v>
      </c>
      <c r="L260" s="50"/>
      <c r="M260" s="50" t="s">
        <v>2445</v>
      </c>
      <c r="N260" s="50"/>
      <c r="O260" s="50"/>
      <c r="P260" s="50"/>
      <c r="Q260" s="50"/>
      <c r="R260" s="50"/>
      <c r="S260" s="50" t="str">
        <f t="shared" si="28"/>
        <v/>
      </c>
      <c r="T260" s="50" t="str">
        <f t="shared" si="30"/>
        <v/>
      </c>
      <c r="U260" s="50" t="str">
        <f t="shared" si="29"/>
        <v/>
      </c>
      <c r="V260" s="50" t="str">
        <f t="shared" si="31"/>
        <v/>
      </c>
      <c r="W260" s="50"/>
      <c r="X260" s="50" t="s">
        <v>4</v>
      </c>
      <c r="Y260" s="50" t="s">
        <v>50</v>
      </c>
      <c r="Z260" s="50" t="s">
        <v>3406</v>
      </c>
      <c r="AA260" s="50"/>
    </row>
    <row r="261" spans="1:27" ht="25.5" customHeight="1">
      <c r="A261" s="50" t="s">
        <v>774</v>
      </c>
      <c r="B261" s="51" t="s">
        <v>884</v>
      </c>
      <c r="C261" s="51" t="s">
        <v>143</v>
      </c>
      <c r="D261" s="51" t="s">
        <v>3760</v>
      </c>
      <c r="E261" s="50">
        <v>6129</v>
      </c>
      <c r="F261" s="50">
        <v>6556</v>
      </c>
      <c r="G261" s="50" t="s">
        <v>3404</v>
      </c>
      <c r="H261" s="50">
        <v>2024</v>
      </c>
      <c r="I261" s="105" t="s">
        <v>3646</v>
      </c>
      <c r="J261" s="50"/>
      <c r="K261" s="50" t="s">
        <v>179</v>
      </c>
      <c r="L261" s="50"/>
      <c r="M261" s="50" t="s">
        <v>2445</v>
      </c>
      <c r="N261" s="50"/>
      <c r="O261" s="50"/>
      <c r="P261" s="50"/>
      <c r="Q261" s="50"/>
      <c r="R261" s="50"/>
      <c r="S261" s="50" t="str">
        <f t="shared" si="28"/>
        <v/>
      </c>
      <c r="T261" s="50" t="str">
        <f t="shared" si="30"/>
        <v/>
      </c>
      <c r="U261" s="50" t="str">
        <f t="shared" si="29"/>
        <v/>
      </c>
      <c r="V261" s="50" t="str">
        <f t="shared" si="31"/>
        <v/>
      </c>
      <c r="W261" s="50"/>
      <c r="X261" s="50" t="s">
        <v>4</v>
      </c>
      <c r="Y261" s="50" t="s">
        <v>50</v>
      </c>
      <c r="Z261" s="50" t="s">
        <v>3406</v>
      </c>
      <c r="AA261" s="50"/>
    </row>
    <row r="262" spans="1:27" ht="25.5" customHeight="1">
      <c r="A262" s="50" t="s">
        <v>774</v>
      </c>
      <c r="B262" s="51" t="s">
        <v>884</v>
      </c>
      <c r="C262" s="51" t="s">
        <v>143</v>
      </c>
      <c r="D262" s="51" t="s">
        <v>3761</v>
      </c>
      <c r="E262" s="50">
        <v>2048</v>
      </c>
      <c r="F262" s="50">
        <v>2421</v>
      </c>
      <c r="G262" s="50" t="s">
        <v>3404</v>
      </c>
      <c r="H262" s="50">
        <v>2024</v>
      </c>
      <c r="I262" s="105" t="s">
        <v>3762</v>
      </c>
      <c r="J262" s="50"/>
      <c r="K262" s="50" t="s">
        <v>179</v>
      </c>
      <c r="L262" s="50"/>
      <c r="M262" s="50" t="s">
        <v>2445</v>
      </c>
      <c r="N262" s="50"/>
      <c r="O262" s="50"/>
      <c r="P262" s="50"/>
      <c r="Q262" s="50"/>
      <c r="R262" s="50"/>
      <c r="S262" s="50" t="str">
        <f t="shared" si="28"/>
        <v/>
      </c>
      <c r="T262" s="50" t="str">
        <f t="shared" si="30"/>
        <v/>
      </c>
      <c r="U262" s="50" t="str">
        <f t="shared" si="29"/>
        <v/>
      </c>
      <c r="V262" s="50" t="str">
        <f t="shared" si="31"/>
        <v/>
      </c>
      <c r="W262" s="50"/>
      <c r="X262" s="50" t="s">
        <v>4</v>
      </c>
      <c r="Y262" s="50" t="s">
        <v>50</v>
      </c>
      <c r="Z262" s="50" t="s">
        <v>3406</v>
      </c>
      <c r="AA262" s="50"/>
    </row>
    <row r="263" spans="1:27" ht="25.5" customHeight="1">
      <c r="A263" s="50" t="s">
        <v>774</v>
      </c>
      <c r="B263" s="51" t="s">
        <v>884</v>
      </c>
      <c r="C263" s="51" t="s">
        <v>143</v>
      </c>
      <c r="D263" s="51" t="s">
        <v>3763</v>
      </c>
      <c r="E263" s="50">
        <v>579</v>
      </c>
      <c r="F263" s="50">
        <v>631</v>
      </c>
      <c r="G263" s="50" t="s">
        <v>3404</v>
      </c>
      <c r="H263" s="50">
        <v>2024</v>
      </c>
      <c r="I263" s="105" t="s">
        <v>3764</v>
      </c>
      <c r="J263" s="50"/>
      <c r="K263" s="50" t="s">
        <v>179</v>
      </c>
      <c r="L263" s="50"/>
      <c r="M263" s="50" t="s">
        <v>2445</v>
      </c>
      <c r="N263" s="50"/>
      <c r="O263" s="50"/>
      <c r="P263" s="50"/>
      <c r="Q263" s="50"/>
      <c r="R263" s="50"/>
      <c r="S263" s="50" t="str">
        <f t="shared" si="28"/>
        <v/>
      </c>
      <c r="T263" s="50" t="str">
        <f t="shared" si="30"/>
        <v/>
      </c>
      <c r="U263" s="50" t="str">
        <f t="shared" si="29"/>
        <v/>
      </c>
      <c r="V263" s="50" t="str">
        <f t="shared" si="31"/>
        <v/>
      </c>
      <c r="W263" s="50"/>
      <c r="X263" s="50" t="s">
        <v>4</v>
      </c>
      <c r="Y263" s="50" t="s">
        <v>50</v>
      </c>
      <c r="Z263" s="50" t="s">
        <v>3406</v>
      </c>
      <c r="AA263" s="50"/>
    </row>
    <row r="264" spans="1:27" ht="25.5" customHeight="1">
      <c r="A264" s="50" t="s">
        <v>774</v>
      </c>
      <c r="B264" s="51" t="s">
        <v>884</v>
      </c>
      <c r="C264" s="51" t="s">
        <v>143</v>
      </c>
      <c r="D264" s="51" t="s">
        <v>3765</v>
      </c>
      <c r="E264" s="50">
        <v>1875</v>
      </c>
      <c r="F264" s="50">
        <v>2151</v>
      </c>
      <c r="G264" s="50" t="s">
        <v>3404</v>
      </c>
      <c r="H264" s="50">
        <v>2024</v>
      </c>
      <c r="I264" s="105" t="s">
        <v>3625</v>
      </c>
      <c r="J264" s="50"/>
      <c r="K264" s="50" t="s">
        <v>179</v>
      </c>
      <c r="L264" s="50"/>
      <c r="M264" s="50" t="s">
        <v>2445</v>
      </c>
      <c r="N264" s="50"/>
      <c r="O264" s="50"/>
      <c r="P264" s="50"/>
      <c r="Q264" s="50"/>
      <c r="R264" s="50"/>
      <c r="S264" s="50" t="str">
        <f t="shared" ref="S264:S327" si="32">IF(
    OR(ISBLANK(I264), ISBLANK(O264)),
    "",
    MAX(1, IF(
        NETWORKDAYS(I264, O264) &lt;= 0,
        1,
        NETWORKDAYS(I264, O264) - IF(I264 = O264, 0, 1)
    ))
)</f>
        <v/>
      </c>
      <c r="T264" s="50" t="str">
        <f t="shared" si="30"/>
        <v/>
      </c>
      <c r="U264" s="50" t="str">
        <f t="shared" ref="U264:U327" si="33">IF(
    OR(ISBLANK(O264), ISBLANK(Q264)),
    "",
    MAX(1, IF(
        NETWORKDAYS(O264, Q264) &lt;= 0,
        1,
        NETWORKDAYS(O264, Q264) - IF(O264 = Q264, 0, 1)
    ))
)</f>
        <v/>
      </c>
      <c r="V264" s="50" t="str">
        <f t="shared" si="31"/>
        <v/>
      </c>
      <c r="W264" s="50"/>
      <c r="X264" s="50" t="s">
        <v>4</v>
      </c>
      <c r="Y264" s="50" t="s">
        <v>50</v>
      </c>
      <c r="Z264" s="50" t="s">
        <v>3406</v>
      </c>
      <c r="AA264" s="50"/>
    </row>
    <row r="265" spans="1:27" ht="25.5" customHeight="1">
      <c r="A265" s="50" t="s">
        <v>774</v>
      </c>
      <c r="B265" s="51" t="s">
        <v>884</v>
      </c>
      <c r="C265" s="51" t="s">
        <v>143</v>
      </c>
      <c r="D265" s="51" t="s">
        <v>3766</v>
      </c>
      <c r="E265" s="50">
        <v>1248</v>
      </c>
      <c r="F265" s="50">
        <v>1746</v>
      </c>
      <c r="G265" s="50" t="s">
        <v>3404</v>
      </c>
      <c r="H265" s="50">
        <v>2024</v>
      </c>
      <c r="I265" s="105" t="s">
        <v>3648</v>
      </c>
      <c r="J265" s="50"/>
      <c r="K265" s="50" t="s">
        <v>179</v>
      </c>
      <c r="L265" s="50"/>
      <c r="M265" s="50" t="s">
        <v>2445</v>
      </c>
      <c r="N265" s="50"/>
      <c r="O265" s="50"/>
      <c r="P265" s="50"/>
      <c r="Q265" s="50"/>
      <c r="R265" s="50"/>
      <c r="S265" s="50" t="str">
        <f t="shared" si="32"/>
        <v/>
      </c>
      <c r="T265" s="50" t="str">
        <f t="shared" si="30"/>
        <v/>
      </c>
      <c r="U265" s="50" t="str">
        <f t="shared" si="33"/>
        <v/>
      </c>
      <c r="V265" s="50" t="str">
        <f t="shared" si="31"/>
        <v/>
      </c>
      <c r="W265" s="50"/>
      <c r="X265" s="50" t="s">
        <v>4</v>
      </c>
      <c r="Y265" s="50" t="s">
        <v>50</v>
      </c>
      <c r="Z265" s="50" t="s">
        <v>3406</v>
      </c>
      <c r="AA265" s="50"/>
    </row>
    <row r="266" spans="1:27" ht="25.5" customHeight="1">
      <c r="A266" s="50" t="s">
        <v>774</v>
      </c>
      <c r="B266" s="51" t="s">
        <v>884</v>
      </c>
      <c r="C266" s="51" t="s">
        <v>143</v>
      </c>
      <c r="D266" s="50" t="s">
        <v>3767</v>
      </c>
      <c r="E266" s="50">
        <v>2318</v>
      </c>
      <c r="F266" s="50">
        <v>2324</v>
      </c>
      <c r="G266" s="50" t="s">
        <v>3404</v>
      </c>
      <c r="H266" s="50">
        <v>2024</v>
      </c>
      <c r="I266" s="105" t="s">
        <v>3652</v>
      </c>
      <c r="J266" s="50"/>
      <c r="K266" s="50" t="s">
        <v>179</v>
      </c>
      <c r="L266" s="50"/>
      <c r="M266" s="50" t="s">
        <v>2445</v>
      </c>
      <c r="N266" s="50"/>
      <c r="O266" s="50"/>
      <c r="P266" s="50"/>
      <c r="Q266" s="50"/>
      <c r="R266" s="50"/>
      <c r="S266" s="50" t="str">
        <f t="shared" si="32"/>
        <v/>
      </c>
      <c r="T266" s="50" t="str">
        <f t="shared" si="30"/>
        <v/>
      </c>
      <c r="U266" s="50" t="str">
        <f t="shared" si="33"/>
        <v/>
      </c>
      <c r="V266" s="50" t="str">
        <f t="shared" si="31"/>
        <v/>
      </c>
      <c r="W266" s="50"/>
      <c r="X266" s="50" t="s">
        <v>4</v>
      </c>
      <c r="Y266" s="50" t="s">
        <v>50</v>
      </c>
      <c r="Z266" s="50" t="s">
        <v>3406</v>
      </c>
      <c r="AA266" s="50"/>
    </row>
    <row r="267" spans="1:27" ht="25.5" customHeight="1">
      <c r="A267" s="50" t="s">
        <v>774</v>
      </c>
      <c r="B267" s="51" t="s">
        <v>884</v>
      </c>
      <c r="C267" s="51" t="s">
        <v>143</v>
      </c>
      <c r="D267" s="51" t="s">
        <v>3768</v>
      </c>
      <c r="E267" s="50">
        <v>896</v>
      </c>
      <c r="F267" s="50">
        <v>896</v>
      </c>
      <c r="G267" s="50" t="s">
        <v>3404</v>
      </c>
      <c r="H267" s="50">
        <v>2024</v>
      </c>
      <c r="I267" s="105" t="s">
        <v>3769</v>
      </c>
      <c r="J267" s="50"/>
      <c r="K267" s="50" t="s">
        <v>179</v>
      </c>
      <c r="L267" s="50"/>
      <c r="M267" s="50" t="s">
        <v>2445</v>
      </c>
      <c r="N267" s="50"/>
      <c r="O267" s="50"/>
      <c r="P267" s="50"/>
      <c r="Q267" s="50"/>
      <c r="R267" s="50"/>
      <c r="S267" s="50" t="str">
        <f t="shared" si="32"/>
        <v/>
      </c>
      <c r="T267" s="50" t="str">
        <f t="shared" si="30"/>
        <v/>
      </c>
      <c r="U267" s="50" t="str">
        <f t="shared" si="33"/>
        <v/>
      </c>
      <c r="V267" s="50" t="str">
        <f t="shared" si="31"/>
        <v/>
      </c>
      <c r="W267" s="50"/>
      <c r="X267" s="50"/>
      <c r="Y267" s="50"/>
      <c r="Z267" s="50" t="s">
        <v>3406</v>
      </c>
      <c r="AA267" s="50"/>
    </row>
    <row r="268" spans="1:27" ht="25.5" customHeight="1">
      <c r="A268" s="50" t="s">
        <v>774</v>
      </c>
      <c r="B268" s="51" t="s">
        <v>884</v>
      </c>
      <c r="C268" s="51" t="s">
        <v>143</v>
      </c>
      <c r="D268" s="51" t="s">
        <v>3770</v>
      </c>
      <c r="E268" s="50">
        <v>1923</v>
      </c>
      <c r="F268" s="50">
        <v>2640</v>
      </c>
      <c r="G268" s="50" t="s">
        <v>3404</v>
      </c>
      <c r="H268" s="50">
        <v>2024</v>
      </c>
      <c r="I268" s="105" t="s">
        <v>3771</v>
      </c>
      <c r="J268" s="50"/>
      <c r="K268" s="50" t="s">
        <v>179</v>
      </c>
      <c r="L268" s="50"/>
      <c r="M268" s="50" t="s">
        <v>2445</v>
      </c>
      <c r="N268" s="50"/>
      <c r="O268" s="50"/>
      <c r="P268" s="50"/>
      <c r="Q268" s="50"/>
      <c r="R268" s="50"/>
      <c r="S268" s="50" t="str">
        <f t="shared" si="32"/>
        <v/>
      </c>
      <c r="T268" s="50" t="str">
        <f t="shared" si="30"/>
        <v/>
      </c>
      <c r="U268" s="50" t="str">
        <f t="shared" si="33"/>
        <v/>
      </c>
      <c r="V268" s="50" t="str">
        <f t="shared" si="31"/>
        <v/>
      </c>
      <c r="W268" s="50"/>
      <c r="X268" s="50" t="s">
        <v>4</v>
      </c>
      <c r="Y268" s="50" t="s">
        <v>50</v>
      </c>
      <c r="Z268" s="50" t="s">
        <v>3406</v>
      </c>
      <c r="AA268" s="50"/>
    </row>
    <row r="269" spans="1:27" ht="25.5" customHeight="1">
      <c r="A269" s="50" t="s">
        <v>774</v>
      </c>
      <c r="B269" s="51" t="s">
        <v>884</v>
      </c>
      <c r="C269" s="51" t="s">
        <v>143</v>
      </c>
      <c r="D269" s="51" t="s">
        <v>3772</v>
      </c>
      <c r="E269" s="50">
        <v>5465</v>
      </c>
      <c r="F269" s="50">
        <v>6874</v>
      </c>
      <c r="G269" s="50" t="s">
        <v>3404</v>
      </c>
      <c r="H269" s="50">
        <v>2024</v>
      </c>
      <c r="I269" s="105" t="s">
        <v>3757</v>
      </c>
      <c r="J269" s="50"/>
      <c r="K269" s="50" t="s">
        <v>179</v>
      </c>
      <c r="L269" s="50"/>
      <c r="M269" s="50" t="s">
        <v>2445</v>
      </c>
      <c r="N269" s="50"/>
      <c r="O269" s="50"/>
      <c r="P269" s="50"/>
      <c r="Q269" s="50"/>
      <c r="R269" s="50"/>
      <c r="S269" s="50" t="str">
        <f t="shared" si="32"/>
        <v/>
      </c>
      <c r="T269" s="50" t="str">
        <f t="shared" si="30"/>
        <v/>
      </c>
      <c r="U269" s="50" t="str">
        <f t="shared" si="33"/>
        <v/>
      </c>
      <c r="V269" s="50" t="str">
        <f t="shared" si="31"/>
        <v/>
      </c>
      <c r="W269" s="50"/>
      <c r="X269" s="50" t="s">
        <v>4</v>
      </c>
      <c r="Y269" s="50" t="s">
        <v>50</v>
      </c>
      <c r="Z269" s="50" t="s">
        <v>3406</v>
      </c>
      <c r="AA269" s="50"/>
    </row>
    <row r="270" spans="1:27" ht="25.5" customHeight="1">
      <c r="A270" s="50" t="s">
        <v>774</v>
      </c>
      <c r="B270" s="51" t="s">
        <v>865</v>
      </c>
      <c r="C270" s="51" t="s">
        <v>143</v>
      </c>
      <c r="D270" s="51" t="s">
        <v>1763</v>
      </c>
      <c r="E270" s="50">
        <v>5803</v>
      </c>
      <c r="F270" s="50">
        <v>6869</v>
      </c>
      <c r="G270" s="50" t="s">
        <v>3404</v>
      </c>
      <c r="H270" s="50">
        <v>2024</v>
      </c>
      <c r="I270" s="105" t="s">
        <v>3735</v>
      </c>
      <c r="J270" s="50"/>
      <c r="K270" s="50" t="s">
        <v>188</v>
      </c>
      <c r="L270" s="50"/>
      <c r="M270" s="50" t="s">
        <v>2445</v>
      </c>
      <c r="N270" s="50"/>
      <c r="O270" s="50"/>
      <c r="P270" s="50"/>
      <c r="Q270" s="50"/>
      <c r="R270" s="50"/>
      <c r="S270" s="50" t="str">
        <f t="shared" si="32"/>
        <v/>
      </c>
      <c r="T270" s="50" t="str">
        <f t="shared" si="30"/>
        <v/>
      </c>
      <c r="U270" s="50" t="str">
        <f t="shared" si="33"/>
        <v/>
      </c>
      <c r="V270" s="50" t="str">
        <f t="shared" si="31"/>
        <v/>
      </c>
      <c r="W270" s="50"/>
      <c r="X270" s="50" t="s">
        <v>4</v>
      </c>
      <c r="Y270" s="50" t="s">
        <v>50</v>
      </c>
      <c r="Z270" s="50" t="s">
        <v>3406</v>
      </c>
      <c r="AA270" s="50"/>
    </row>
    <row r="271" spans="1:27" ht="25.5" customHeight="1">
      <c r="A271" s="50" t="s">
        <v>774</v>
      </c>
      <c r="B271" s="51" t="s">
        <v>865</v>
      </c>
      <c r="C271" s="51" t="s">
        <v>143</v>
      </c>
      <c r="D271" s="51" t="s">
        <v>3773</v>
      </c>
      <c r="E271" s="50">
        <v>7358</v>
      </c>
      <c r="F271" s="50">
        <v>8905</v>
      </c>
      <c r="G271" s="50" t="s">
        <v>3404</v>
      </c>
      <c r="H271" s="50">
        <v>2024</v>
      </c>
      <c r="I271" s="105" t="s">
        <v>3735</v>
      </c>
      <c r="J271" s="50"/>
      <c r="K271" s="50" t="s">
        <v>188</v>
      </c>
      <c r="L271" s="50"/>
      <c r="M271" s="50" t="s">
        <v>2445</v>
      </c>
      <c r="N271" s="50"/>
      <c r="O271" s="50"/>
      <c r="P271" s="50"/>
      <c r="Q271" s="50"/>
      <c r="R271" s="50"/>
      <c r="S271" s="50" t="str">
        <f t="shared" si="32"/>
        <v/>
      </c>
      <c r="T271" s="50" t="str">
        <f t="shared" si="30"/>
        <v/>
      </c>
      <c r="U271" s="50" t="str">
        <f t="shared" si="33"/>
        <v/>
      </c>
      <c r="V271" s="50" t="str">
        <f t="shared" si="31"/>
        <v/>
      </c>
      <c r="W271" s="50"/>
      <c r="X271" s="50" t="s">
        <v>4</v>
      </c>
      <c r="Y271" s="50" t="s">
        <v>50</v>
      </c>
      <c r="Z271" s="50" t="s">
        <v>3406</v>
      </c>
      <c r="AA271" s="50"/>
    </row>
    <row r="272" spans="1:27" ht="25.5" customHeight="1">
      <c r="A272" s="50" t="s">
        <v>774</v>
      </c>
      <c r="B272" s="51" t="s">
        <v>865</v>
      </c>
      <c r="C272" s="51" t="s">
        <v>143</v>
      </c>
      <c r="D272" s="50" t="s">
        <v>3774</v>
      </c>
      <c r="E272" s="50">
        <v>4777</v>
      </c>
      <c r="F272" s="50">
        <v>6141</v>
      </c>
      <c r="G272" s="50" t="s">
        <v>3404</v>
      </c>
      <c r="H272" s="50">
        <v>2024</v>
      </c>
      <c r="I272" s="105" t="s">
        <v>3775</v>
      </c>
      <c r="J272" s="50"/>
      <c r="K272" s="50" t="s">
        <v>188</v>
      </c>
      <c r="L272" s="50"/>
      <c r="M272" s="50" t="s">
        <v>2445</v>
      </c>
      <c r="N272" s="50"/>
      <c r="O272" s="50"/>
      <c r="P272" s="50"/>
      <c r="Q272" s="50"/>
      <c r="R272" s="50"/>
      <c r="S272" s="50" t="str">
        <f t="shared" si="32"/>
        <v/>
      </c>
      <c r="T272" s="50" t="str">
        <f t="shared" si="30"/>
        <v/>
      </c>
      <c r="U272" s="50" t="str">
        <f t="shared" si="33"/>
        <v/>
      </c>
      <c r="V272" s="50" t="str">
        <f t="shared" si="31"/>
        <v/>
      </c>
      <c r="W272" s="50"/>
      <c r="X272" s="50" t="s">
        <v>4</v>
      </c>
      <c r="Y272" s="50" t="s">
        <v>50</v>
      </c>
      <c r="Z272" s="50" t="s">
        <v>3406</v>
      </c>
      <c r="AA272" s="50"/>
    </row>
    <row r="273" spans="1:27" ht="25.5" customHeight="1">
      <c r="A273" s="50" t="s">
        <v>774</v>
      </c>
      <c r="B273" s="51" t="s">
        <v>865</v>
      </c>
      <c r="C273" s="51" t="s">
        <v>143</v>
      </c>
      <c r="D273" s="51" t="s">
        <v>3776</v>
      </c>
      <c r="E273" s="50">
        <v>1930</v>
      </c>
      <c r="F273" s="50">
        <v>2089</v>
      </c>
      <c r="G273" s="50" t="s">
        <v>3404</v>
      </c>
      <c r="H273" s="50">
        <v>2024</v>
      </c>
      <c r="I273" s="105" t="s">
        <v>3777</v>
      </c>
      <c r="J273" s="50"/>
      <c r="K273" s="50" t="s">
        <v>188</v>
      </c>
      <c r="L273" s="50"/>
      <c r="M273" s="50" t="s">
        <v>2445</v>
      </c>
      <c r="N273" s="50"/>
      <c r="O273" s="50"/>
      <c r="P273" s="50"/>
      <c r="Q273" s="50"/>
      <c r="R273" s="50"/>
      <c r="S273" s="50" t="str">
        <f t="shared" si="32"/>
        <v/>
      </c>
      <c r="T273" s="50" t="str">
        <f t="shared" si="30"/>
        <v/>
      </c>
      <c r="U273" s="50" t="str">
        <f t="shared" si="33"/>
        <v/>
      </c>
      <c r="V273" s="50" t="str">
        <f t="shared" si="31"/>
        <v/>
      </c>
      <c r="W273" s="50"/>
      <c r="X273" s="50" t="s">
        <v>4</v>
      </c>
      <c r="Y273" s="50" t="s">
        <v>50</v>
      </c>
      <c r="Z273" s="50" t="s">
        <v>3406</v>
      </c>
      <c r="AA273" s="50"/>
    </row>
    <row r="274" spans="1:27" ht="25.5" customHeight="1">
      <c r="A274" s="50" t="s">
        <v>774</v>
      </c>
      <c r="B274" s="51" t="s">
        <v>865</v>
      </c>
      <c r="C274" s="51" t="s">
        <v>143</v>
      </c>
      <c r="D274" s="51" t="s">
        <v>3778</v>
      </c>
      <c r="E274" s="50">
        <v>19329</v>
      </c>
      <c r="F274" s="50">
        <v>19946</v>
      </c>
      <c r="G274" s="50" t="s">
        <v>3404</v>
      </c>
      <c r="H274" s="50">
        <v>2024</v>
      </c>
      <c r="I274" s="105" t="s">
        <v>3735</v>
      </c>
      <c r="J274" s="50"/>
      <c r="K274" s="50" t="s">
        <v>188</v>
      </c>
      <c r="L274" s="50"/>
      <c r="M274" s="50" t="s">
        <v>2445</v>
      </c>
      <c r="N274" s="50"/>
      <c r="O274" s="50"/>
      <c r="P274" s="50"/>
      <c r="Q274" s="50"/>
      <c r="R274" s="50"/>
      <c r="S274" s="50" t="str">
        <f t="shared" si="32"/>
        <v/>
      </c>
      <c r="T274" s="50" t="str">
        <f t="shared" si="30"/>
        <v/>
      </c>
      <c r="U274" s="50" t="str">
        <f t="shared" si="33"/>
        <v/>
      </c>
      <c r="V274" s="50" t="str">
        <f t="shared" si="31"/>
        <v/>
      </c>
      <c r="W274" s="50"/>
      <c r="X274" s="50" t="s">
        <v>4</v>
      </c>
      <c r="Y274" s="50" t="s">
        <v>50</v>
      </c>
      <c r="Z274" s="50" t="s">
        <v>3406</v>
      </c>
      <c r="AA274" s="50"/>
    </row>
    <row r="275" spans="1:27" ht="25.5" customHeight="1">
      <c r="A275" s="50" t="s">
        <v>774</v>
      </c>
      <c r="B275" s="51" t="s">
        <v>865</v>
      </c>
      <c r="C275" s="51" t="s">
        <v>143</v>
      </c>
      <c r="D275" s="51" t="s">
        <v>3779</v>
      </c>
      <c r="E275" s="50">
        <v>3209</v>
      </c>
      <c r="F275" s="50">
        <v>3191</v>
      </c>
      <c r="G275" s="50" t="s">
        <v>3404</v>
      </c>
      <c r="H275" s="50">
        <v>2024</v>
      </c>
      <c r="I275" s="105" t="s">
        <v>3780</v>
      </c>
      <c r="J275" s="50"/>
      <c r="K275" s="50" t="s">
        <v>188</v>
      </c>
      <c r="L275" s="50"/>
      <c r="M275" s="50" t="s">
        <v>2445</v>
      </c>
      <c r="N275" s="50"/>
      <c r="O275" s="50"/>
      <c r="P275" s="50"/>
      <c r="Q275" s="50"/>
      <c r="R275" s="50"/>
      <c r="S275" s="50" t="str">
        <f t="shared" si="32"/>
        <v/>
      </c>
      <c r="T275" s="50" t="str">
        <f t="shared" si="30"/>
        <v/>
      </c>
      <c r="U275" s="50" t="str">
        <f t="shared" si="33"/>
        <v/>
      </c>
      <c r="V275" s="50" t="str">
        <f t="shared" si="31"/>
        <v/>
      </c>
      <c r="W275" s="50"/>
      <c r="X275" s="50" t="s">
        <v>4</v>
      </c>
      <c r="Y275" s="50" t="s">
        <v>50</v>
      </c>
      <c r="Z275" s="50" t="s">
        <v>3406</v>
      </c>
      <c r="AA275" s="50"/>
    </row>
    <row r="276" spans="1:27" ht="25.5" customHeight="1">
      <c r="A276" s="50" t="s">
        <v>774</v>
      </c>
      <c r="B276" s="51" t="s">
        <v>865</v>
      </c>
      <c r="C276" s="51" t="s">
        <v>143</v>
      </c>
      <c r="D276" s="51" t="s">
        <v>1056</v>
      </c>
      <c r="E276" s="50">
        <v>701</v>
      </c>
      <c r="F276" s="50">
        <v>653</v>
      </c>
      <c r="G276" s="50" t="s">
        <v>3404</v>
      </c>
      <c r="H276" s="50">
        <v>2024</v>
      </c>
      <c r="I276" s="105" t="s">
        <v>3741</v>
      </c>
      <c r="J276" s="50"/>
      <c r="K276" s="50" t="s">
        <v>188</v>
      </c>
      <c r="L276" s="50"/>
      <c r="M276" s="50" t="s">
        <v>2445</v>
      </c>
      <c r="N276" s="50"/>
      <c r="O276" s="50"/>
      <c r="P276" s="50"/>
      <c r="Q276" s="50"/>
      <c r="R276" s="50"/>
      <c r="S276" s="50" t="str">
        <f t="shared" si="32"/>
        <v/>
      </c>
      <c r="T276" s="50" t="str">
        <f t="shared" si="30"/>
        <v/>
      </c>
      <c r="U276" s="50" t="str">
        <f t="shared" si="33"/>
        <v/>
      </c>
      <c r="V276" s="50" t="str">
        <f t="shared" si="31"/>
        <v/>
      </c>
      <c r="W276" s="50"/>
      <c r="X276" s="50" t="s">
        <v>4</v>
      </c>
      <c r="Y276" s="50" t="s">
        <v>50</v>
      </c>
      <c r="Z276" s="50" t="s">
        <v>3406</v>
      </c>
      <c r="AA276" s="50"/>
    </row>
    <row r="277" spans="1:27" ht="25.5" customHeight="1">
      <c r="A277" s="50" t="s">
        <v>774</v>
      </c>
      <c r="B277" s="51" t="s">
        <v>865</v>
      </c>
      <c r="C277" s="51" t="s">
        <v>143</v>
      </c>
      <c r="D277" s="51" t="s">
        <v>3781</v>
      </c>
      <c r="E277" s="50">
        <v>4711</v>
      </c>
      <c r="F277" s="50">
        <v>5169</v>
      </c>
      <c r="G277" s="50" t="s">
        <v>3404</v>
      </c>
      <c r="H277" s="50">
        <v>2024</v>
      </c>
      <c r="I277" s="105" t="s">
        <v>3782</v>
      </c>
      <c r="J277" s="50"/>
      <c r="K277" s="50" t="s">
        <v>188</v>
      </c>
      <c r="L277" s="50"/>
      <c r="M277" s="50" t="s">
        <v>2445</v>
      </c>
      <c r="N277" s="50"/>
      <c r="O277" s="50"/>
      <c r="P277" s="50"/>
      <c r="Q277" s="50"/>
      <c r="R277" s="50"/>
      <c r="S277" s="50" t="str">
        <f t="shared" si="32"/>
        <v/>
      </c>
      <c r="T277" s="50" t="str">
        <f t="shared" si="30"/>
        <v/>
      </c>
      <c r="U277" s="50" t="str">
        <f t="shared" si="33"/>
        <v/>
      </c>
      <c r="V277" s="50" t="str">
        <f t="shared" si="31"/>
        <v/>
      </c>
      <c r="W277" s="50"/>
      <c r="X277" s="50" t="s">
        <v>4</v>
      </c>
      <c r="Y277" s="50" t="s">
        <v>50</v>
      </c>
      <c r="Z277" s="50" t="s">
        <v>3406</v>
      </c>
      <c r="AA277" s="50"/>
    </row>
    <row r="278" spans="1:27" ht="25.5" customHeight="1">
      <c r="A278" s="50" t="s">
        <v>774</v>
      </c>
      <c r="B278" s="51" t="s">
        <v>865</v>
      </c>
      <c r="C278" s="51" t="s">
        <v>143</v>
      </c>
      <c r="D278" s="51" t="s">
        <v>3783</v>
      </c>
      <c r="E278" s="50">
        <v>5900</v>
      </c>
      <c r="F278" s="50">
        <v>6290</v>
      </c>
      <c r="G278" s="50" t="s">
        <v>3404</v>
      </c>
      <c r="H278" s="50">
        <v>2024</v>
      </c>
      <c r="I278" s="105" t="s">
        <v>3742</v>
      </c>
      <c r="J278" s="50"/>
      <c r="K278" s="50" t="s">
        <v>188</v>
      </c>
      <c r="L278" s="50"/>
      <c r="M278" s="50" t="s">
        <v>2445</v>
      </c>
      <c r="N278" s="50"/>
      <c r="O278" s="50"/>
      <c r="P278" s="50"/>
      <c r="Q278" s="50"/>
      <c r="R278" s="50"/>
      <c r="S278" s="50" t="str">
        <f t="shared" si="32"/>
        <v/>
      </c>
      <c r="T278" s="50" t="str">
        <f t="shared" si="30"/>
        <v/>
      </c>
      <c r="U278" s="50" t="str">
        <f t="shared" si="33"/>
        <v/>
      </c>
      <c r="V278" s="50" t="str">
        <f t="shared" si="31"/>
        <v/>
      </c>
      <c r="W278" s="50"/>
      <c r="X278" s="50" t="s">
        <v>1078</v>
      </c>
      <c r="Y278" s="50" t="s">
        <v>50</v>
      </c>
      <c r="Z278" s="50" t="s">
        <v>3406</v>
      </c>
      <c r="AA278" s="50"/>
    </row>
    <row r="279" spans="1:27" ht="25.5" customHeight="1">
      <c r="A279" s="50" t="s">
        <v>774</v>
      </c>
      <c r="B279" s="51" t="s">
        <v>865</v>
      </c>
      <c r="C279" s="51" t="s">
        <v>143</v>
      </c>
      <c r="D279" s="51" t="s">
        <v>3784</v>
      </c>
      <c r="E279" s="50">
        <v>8615</v>
      </c>
      <c r="F279" s="50">
        <v>12852</v>
      </c>
      <c r="G279" s="50" t="s">
        <v>3404</v>
      </c>
      <c r="H279" s="50">
        <v>2024</v>
      </c>
      <c r="I279" s="105" t="s">
        <v>3746</v>
      </c>
      <c r="J279" s="50"/>
      <c r="K279" s="50" t="s">
        <v>188</v>
      </c>
      <c r="L279" s="50"/>
      <c r="M279" s="50" t="s">
        <v>2445</v>
      </c>
      <c r="N279" s="50"/>
      <c r="O279" s="50"/>
      <c r="P279" s="50"/>
      <c r="Q279" s="50"/>
      <c r="R279" s="50"/>
      <c r="S279" s="50" t="str">
        <f t="shared" si="32"/>
        <v/>
      </c>
      <c r="T279" s="50" t="str">
        <f t="shared" si="30"/>
        <v/>
      </c>
      <c r="U279" s="50" t="str">
        <f t="shared" si="33"/>
        <v/>
      </c>
      <c r="V279" s="50" t="str">
        <f t="shared" si="31"/>
        <v/>
      </c>
      <c r="W279" s="50"/>
      <c r="X279" s="50" t="s">
        <v>1078</v>
      </c>
      <c r="Y279" s="50" t="s">
        <v>50</v>
      </c>
      <c r="Z279" s="50" t="s">
        <v>3406</v>
      </c>
      <c r="AA279" s="50"/>
    </row>
    <row r="280" spans="1:27" ht="25.5" customHeight="1">
      <c r="A280" s="521" t="s">
        <v>774</v>
      </c>
      <c r="B280" s="51" t="s">
        <v>865</v>
      </c>
      <c r="C280" s="51" t="s">
        <v>143</v>
      </c>
      <c r="D280" s="51" t="s">
        <v>3785</v>
      </c>
      <c r="E280" s="50">
        <v>5178</v>
      </c>
      <c r="F280" s="50">
        <v>5623</v>
      </c>
      <c r="G280" s="50" t="s">
        <v>3404</v>
      </c>
      <c r="H280" s="50">
        <v>2024</v>
      </c>
      <c r="I280" s="105" t="s">
        <v>3708</v>
      </c>
      <c r="J280" s="50"/>
      <c r="K280" s="50" t="s">
        <v>188</v>
      </c>
      <c r="L280" s="50"/>
      <c r="M280" s="50" t="s">
        <v>2445</v>
      </c>
      <c r="N280" s="50"/>
      <c r="O280" s="50"/>
      <c r="P280" s="50"/>
      <c r="Q280" s="50"/>
      <c r="R280" s="50"/>
      <c r="S280" s="50" t="str">
        <f t="shared" si="32"/>
        <v/>
      </c>
      <c r="T280" s="50" t="str">
        <f t="shared" si="30"/>
        <v/>
      </c>
      <c r="U280" s="50" t="str">
        <f t="shared" si="33"/>
        <v/>
      </c>
      <c r="V280" s="50" t="str">
        <f t="shared" si="31"/>
        <v/>
      </c>
      <c r="W280" s="50"/>
      <c r="X280" s="50" t="s">
        <v>4</v>
      </c>
      <c r="Y280" s="50" t="s">
        <v>50</v>
      </c>
      <c r="Z280" s="50" t="s">
        <v>3406</v>
      </c>
      <c r="AA280" s="50"/>
    </row>
    <row r="281" spans="1:27" ht="25.5" customHeight="1">
      <c r="A281" s="50" t="s">
        <v>774</v>
      </c>
      <c r="B281" s="51" t="s">
        <v>865</v>
      </c>
      <c r="C281" s="51" t="s">
        <v>143</v>
      </c>
      <c r="D281" s="51" t="s">
        <v>3786</v>
      </c>
      <c r="E281" s="50">
        <v>560</v>
      </c>
      <c r="F281" s="50">
        <v>544</v>
      </c>
      <c r="G281" s="50" t="s">
        <v>3404</v>
      </c>
      <c r="H281" s="50">
        <v>2024</v>
      </c>
      <c r="I281" s="105" t="s">
        <v>3787</v>
      </c>
      <c r="J281" s="50"/>
      <c r="K281" s="50" t="s">
        <v>188</v>
      </c>
      <c r="L281" s="50"/>
      <c r="M281" s="50" t="s">
        <v>2445</v>
      </c>
      <c r="N281" s="50"/>
      <c r="O281" s="50"/>
      <c r="P281" s="50"/>
      <c r="Q281" s="50"/>
      <c r="R281" s="50"/>
      <c r="S281" s="50" t="str">
        <f t="shared" si="32"/>
        <v/>
      </c>
      <c r="T281" s="50" t="str">
        <f t="shared" ref="T281:T344" si="34">IF(
    OR(ISBLANK(O281), ISBLANK(P281)),
    "",
    MAX(1, IF(
        NETWORKDAYS(O281, P281) &lt;= 0,
        1,
        NETWORKDAYS(O281, P281) - IF(O281 = P281, 0, 1)
    ))
)</f>
        <v/>
      </c>
      <c r="U281" s="50" t="str">
        <f t="shared" si="33"/>
        <v/>
      </c>
      <c r="V281" s="50" t="str">
        <f t="shared" ref="V281:V344" si="35">IF(
    OR(ISBLANK(Q281), ISBLANK(R281)),
    "",
    MAX(1, IF(
        NETWORKDAYS(Q281, R281) &lt;= 0,
        1,
        NETWORKDAYS(Q281, R281) - IF(Q281 = R281, 0, 1)
    ))
)</f>
        <v/>
      </c>
      <c r="W281" s="50"/>
      <c r="X281" s="50" t="s">
        <v>1078</v>
      </c>
      <c r="Y281" s="50" t="s">
        <v>50</v>
      </c>
      <c r="Z281" s="50" t="s">
        <v>3406</v>
      </c>
      <c r="AA281" s="50"/>
    </row>
    <row r="282" spans="1:27" ht="25.5" customHeight="1">
      <c r="A282" s="517" t="s">
        <v>774</v>
      </c>
      <c r="B282" s="51" t="s">
        <v>926</v>
      </c>
      <c r="C282" s="51" t="s">
        <v>143</v>
      </c>
      <c r="D282" s="51" t="s">
        <v>3788</v>
      </c>
      <c r="E282" s="50">
        <v>1271</v>
      </c>
      <c r="F282" s="50">
        <v>1543</v>
      </c>
      <c r="G282" s="50" t="s">
        <v>3404</v>
      </c>
      <c r="H282" s="50">
        <v>2025</v>
      </c>
      <c r="I282" s="132">
        <v>45854</v>
      </c>
      <c r="J282" s="50" t="s">
        <v>3125</v>
      </c>
      <c r="K282" s="50" t="s">
        <v>179</v>
      </c>
      <c r="L282" s="50"/>
      <c r="M282" s="50" t="s">
        <v>2445</v>
      </c>
      <c r="N282" s="50" t="s">
        <v>3789</v>
      </c>
      <c r="O282" s="60">
        <v>45855</v>
      </c>
      <c r="P282" s="50"/>
      <c r="Q282" s="60">
        <v>45855</v>
      </c>
      <c r="R282" s="60">
        <v>45855</v>
      </c>
      <c r="S282" s="50">
        <f t="shared" si="32"/>
        <v>1</v>
      </c>
      <c r="T282" s="50" t="str">
        <f t="shared" si="34"/>
        <v/>
      </c>
      <c r="U282" s="50">
        <f t="shared" si="33"/>
        <v>1</v>
      </c>
      <c r="V282" s="50">
        <f t="shared" si="35"/>
        <v>1</v>
      </c>
      <c r="W282" s="50" t="s">
        <v>150</v>
      </c>
      <c r="X282" s="50" t="s">
        <v>1078</v>
      </c>
      <c r="Y282" s="50" t="s">
        <v>50</v>
      </c>
      <c r="Z282" s="50" t="s">
        <v>3406</v>
      </c>
      <c r="AA282" s="50"/>
    </row>
    <row r="283" spans="1:27" ht="25.5" customHeight="1">
      <c r="A283" s="517" t="s">
        <v>774</v>
      </c>
      <c r="B283" s="51" t="s">
        <v>895</v>
      </c>
      <c r="C283" s="51" t="s">
        <v>143</v>
      </c>
      <c r="D283" s="51" t="s">
        <v>3790</v>
      </c>
      <c r="E283" s="50">
        <v>15047</v>
      </c>
      <c r="F283" s="50">
        <v>18868</v>
      </c>
      <c r="G283" s="50" t="s">
        <v>3404</v>
      </c>
      <c r="H283" s="50">
        <v>2025</v>
      </c>
      <c r="I283" s="132">
        <v>45694</v>
      </c>
      <c r="J283" s="50" t="s">
        <v>3458</v>
      </c>
      <c r="K283" s="50" t="s">
        <v>19</v>
      </c>
      <c r="L283" s="50"/>
      <c r="M283" s="50" t="s">
        <v>2445</v>
      </c>
      <c r="N283" s="50" t="s">
        <v>3791</v>
      </c>
      <c r="O283" s="60">
        <v>45698</v>
      </c>
      <c r="P283" s="50"/>
      <c r="Q283" s="60">
        <v>45698</v>
      </c>
      <c r="R283" s="60">
        <v>45698</v>
      </c>
      <c r="S283" s="50">
        <f t="shared" si="32"/>
        <v>2</v>
      </c>
      <c r="T283" s="50" t="str">
        <f t="shared" si="34"/>
        <v/>
      </c>
      <c r="U283" s="50">
        <f t="shared" si="33"/>
        <v>1</v>
      </c>
      <c r="V283" s="50">
        <f t="shared" si="35"/>
        <v>1</v>
      </c>
      <c r="W283" s="50" t="s">
        <v>150</v>
      </c>
      <c r="X283" s="50" t="s">
        <v>4</v>
      </c>
      <c r="Y283" s="50" t="s">
        <v>50</v>
      </c>
      <c r="Z283" s="50" t="s">
        <v>3406</v>
      </c>
      <c r="AA283" s="50"/>
    </row>
    <row r="284" spans="1:27" s="110" customFormat="1" ht="25.5" customHeight="1">
      <c r="A284" s="517" t="s">
        <v>774</v>
      </c>
      <c r="B284" s="51" t="s">
        <v>895</v>
      </c>
      <c r="C284" s="51" t="s">
        <v>143</v>
      </c>
      <c r="D284" s="51" t="s">
        <v>898</v>
      </c>
      <c r="E284" s="50">
        <v>3264</v>
      </c>
      <c r="F284" s="50">
        <v>3389</v>
      </c>
      <c r="G284" s="50" t="s">
        <v>3404</v>
      </c>
      <c r="H284" s="50">
        <v>2025</v>
      </c>
      <c r="I284" s="132">
        <v>45772</v>
      </c>
      <c r="J284" s="50" t="s">
        <v>3532</v>
      </c>
      <c r="K284" s="50" t="s">
        <v>19</v>
      </c>
      <c r="L284" s="50"/>
      <c r="M284" s="50" t="s">
        <v>2445</v>
      </c>
      <c r="N284" s="50" t="s">
        <v>3792</v>
      </c>
      <c r="O284" s="60">
        <v>45775</v>
      </c>
      <c r="P284" s="50"/>
      <c r="Q284" s="60">
        <v>45775</v>
      </c>
      <c r="R284" s="60">
        <v>45779</v>
      </c>
      <c r="S284" s="50">
        <f t="shared" si="32"/>
        <v>1</v>
      </c>
      <c r="T284" s="50" t="str">
        <f t="shared" si="34"/>
        <v/>
      </c>
      <c r="U284" s="50">
        <f t="shared" si="33"/>
        <v>1</v>
      </c>
      <c r="V284" s="50">
        <f t="shared" si="35"/>
        <v>4</v>
      </c>
      <c r="W284" s="50" t="s">
        <v>150</v>
      </c>
      <c r="X284" s="50" t="s">
        <v>4</v>
      </c>
      <c r="Y284" s="50" t="s">
        <v>50</v>
      </c>
      <c r="Z284" s="50" t="s">
        <v>3406</v>
      </c>
      <c r="AA284" s="50"/>
    </row>
    <row r="285" spans="1:27" ht="25.5" customHeight="1">
      <c r="A285" s="517" t="s">
        <v>774</v>
      </c>
      <c r="B285" s="51" t="s">
        <v>895</v>
      </c>
      <c r="C285" s="51" t="s">
        <v>143</v>
      </c>
      <c r="D285" s="51" t="s">
        <v>932</v>
      </c>
      <c r="E285" s="50">
        <v>4910</v>
      </c>
      <c r="F285" s="50">
        <v>4939</v>
      </c>
      <c r="G285" s="50" t="s">
        <v>3404</v>
      </c>
      <c r="H285" s="50">
        <v>2025</v>
      </c>
      <c r="I285" s="132">
        <v>45909</v>
      </c>
      <c r="J285" s="50" t="s">
        <v>3127</v>
      </c>
      <c r="K285" s="50" t="s">
        <v>19</v>
      </c>
      <c r="L285" s="50"/>
      <c r="M285" s="50" t="s">
        <v>2445</v>
      </c>
      <c r="N285" s="50" t="s">
        <v>3793</v>
      </c>
      <c r="O285" s="60">
        <v>45915</v>
      </c>
      <c r="P285" s="50"/>
      <c r="Q285" s="60">
        <v>45915</v>
      </c>
      <c r="R285" s="60">
        <v>45917</v>
      </c>
      <c r="S285" s="50">
        <f t="shared" si="32"/>
        <v>4</v>
      </c>
      <c r="T285" s="50" t="str">
        <f t="shared" si="34"/>
        <v/>
      </c>
      <c r="U285" s="50">
        <f t="shared" si="33"/>
        <v>1</v>
      </c>
      <c r="V285" s="50">
        <f t="shared" si="35"/>
        <v>2</v>
      </c>
      <c r="W285" s="50" t="s">
        <v>150</v>
      </c>
      <c r="X285" s="50" t="s">
        <v>4</v>
      </c>
      <c r="Y285" s="50" t="s">
        <v>50</v>
      </c>
      <c r="Z285" s="50" t="s">
        <v>3406</v>
      </c>
      <c r="AA285" s="50"/>
    </row>
    <row r="286" spans="1:27" ht="25.5" customHeight="1">
      <c r="A286" s="517" t="s">
        <v>774</v>
      </c>
      <c r="B286" s="51" t="s">
        <v>895</v>
      </c>
      <c r="C286" s="51" t="s">
        <v>143</v>
      </c>
      <c r="D286" s="51" t="s">
        <v>900</v>
      </c>
      <c r="E286" s="50">
        <v>12286</v>
      </c>
      <c r="F286" s="50">
        <v>15820</v>
      </c>
      <c r="G286" s="50" t="s">
        <v>3404</v>
      </c>
      <c r="H286" s="50">
        <v>2025</v>
      </c>
      <c r="I286" s="132">
        <v>45946</v>
      </c>
      <c r="J286" s="50" t="s">
        <v>3128</v>
      </c>
      <c r="K286" s="50" t="s">
        <v>19</v>
      </c>
      <c r="L286" s="50"/>
      <c r="M286" s="50" t="s">
        <v>2445</v>
      </c>
      <c r="N286" s="50" t="s">
        <v>3794</v>
      </c>
      <c r="O286" s="60">
        <v>45947</v>
      </c>
      <c r="P286" s="50"/>
      <c r="Q286" s="60">
        <v>45948</v>
      </c>
      <c r="R286" s="60">
        <v>45950</v>
      </c>
      <c r="S286" s="50">
        <f t="shared" si="32"/>
        <v>1</v>
      </c>
      <c r="T286" s="50" t="str">
        <f t="shared" si="34"/>
        <v/>
      </c>
      <c r="U286" s="50">
        <f t="shared" si="33"/>
        <v>1</v>
      </c>
      <c r="V286" s="50">
        <f t="shared" si="35"/>
        <v>1</v>
      </c>
      <c r="W286" s="50" t="s">
        <v>150</v>
      </c>
      <c r="X286" s="50" t="s">
        <v>4</v>
      </c>
      <c r="Y286" s="50" t="s">
        <v>50</v>
      </c>
      <c r="Z286" s="50" t="s">
        <v>3406</v>
      </c>
      <c r="AA286" s="50"/>
    </row>
    <row r="287" spans="1:27" ht="25.5" customHeight="1">
      <c r="A287" s="517" t="s">
        <v>774</v>
      </c>
      <c r="B287" s="51" t="s">
        <v>895</v>
      </c>
      <c r="C287" s="51" t="s">
        <v>143</v>
      </c>
      <c r="D287" s="51" t="s">
        <v>3795</v>
      </c>
      <c r="E287" s="50">
        <v>5951</v>
      </c>
      <c r="F287" s="50">
        <v>5811</v>
      </c>
      <c r="G287" s="50" t="s">
        <v>3404</v>
      </c>
      <c r="H287" s="50">
        <v>2025</v>
      </c>
      <c r="I287" s="132">
        <v>45741</v>
      </c>
      <c r="J287" s="50" t="s">
        <v>3470</v>
      </c>
      <c r="K287" s="50" t="s">
        <v>19</v>
      </c>
      <c r="L287" s="50"/>
      <c r="M287" s="50" t="s">
        <v>2445</v>
      </c>
      <c r="N287" s="50" t="s">
        <v>3796</v>
      </c>
      <c r="O287" s="60">
        <v>45747</v>
      </c>
      <c r="P287" s="50"/>
      <c r="Q287" s="60">
        <v>45747</v>
      </c>
      <c r="R287" s="60">
        <v>45747</v>
      </c>
      <c r="S287" s="50">
        <f t="shared" si="32"/>
        <v>4</v>
      </c>
      <c r="T287" s="50" t="str">
        <f t="shared" si="34"/>
        <v/>
      </c>
      <c r="U287" s="50">
        <f t="shared" si="33"/>
        <v>1</v>
      </c>
      <c r="V287" s="50">
        <f t="shared" si="35"/>
        <v>1</v>
      </c>
      <c r="W287" s="50" t="s">
        <v>150</v>
      </c>
      <c r="X287" s="50" t="s">
        <v>4</v>
      </c>
      <c r="Y287" s="50" t="s">
        <v>50</v>
      </c>
      <c r="Z287" s="50" t="s">
        <v>3406</v>
      </c>
      <c r="AA287" s="50"/>
    </row>
    <row r="288" spans="1:27" s="110" customFormat="1" ht="25.5" customHeight="1">
      <c r="A288" s="50" t="s">
        <v>774</v>
      </c>
      <c r="B288" s="51" t="s">
        <v>895</v>
      </c>
      <c r="C288" s="51" t="s">
        <v>143</v>
      </c>
      <c r="D288" s="51" t="s">
        <v>3797</v>
      </c>
      <c r="E288" s="50">
        <v>1837</v>
      </c>
      <c r="F288" s="50">
        <v>2663</v>
      </c>
      <c r="G288" s="50" t="s">
        <v>3404</v>
      </c>
      <c r="H288" s="50">
        <v>2024</v>
      </c>
      <c r="I288" s="132">
        <v>45581</v>
      </c>
      <c r="J288" s="50"/>
      <c r="K288" s="50" t="s">
        <v>19</v>
      </c>
      <c r="L288" s="50"/>
      <c r="M288" s="50" t="s">
        <v>2445</v>
      </c>
      <c r="N288" s="50"/>
      <c r="O288" s="50"/>
      <c r="P288" s="50"/>
      <c r="Q288" s="50"/>
      <c r="R288" s="50"/>
      <c r="S288" s="50" t="str">
        <f t="shared" si="32"/>
        <v/>
      </c>
      <c r="T288" s="50" t="str">
        <f t="shared" si="34"/>
        <v/>
      </c>
      <c r="U288" s="50" t="str">
        <f t="shared" si="33"/>
        <v/>
      </c>
      <c r="V288" s="50" t="str">
        <f t="shared" si="35"/>
        <v/>
      </c>
      <c r="W288" s="50"/>
      <c r="X288" s="50" t="s">
        <v>4</v>
      </c>
      <c r="Y288" s="50" t="s">
        <v>57</v>
      </c>
      <c r="Z288" s="50" t="s">
        <v>3406</v>
      </c>
      <c r="AA288" s="50"/>
    </row>
    <row r="289" spans="1:27" ht="25.5" customHeight="1">
      <c r="A289" s="50" t="s">
        <v>774</v>
      </c>
      <c r="B289" s="51" t="s">
        <v>895</v>
      </c>
      <c r="C289" s="51" t="s">
        <v>143</v>
      </c>
      <c r="D289" s="51" t="s">
        <v>3798</v>
      </c>
      <c r="E289" s="50">
        <v>6427</v>
      </c>
      <c r="F289" s="50">
        <v>7665</v>
      </c>
      <c r="G289" s="50" t="s">
        <v>3404</v>
      </c>
      <c r="H289" s="50">
        <v>2024</v>
      </c>
      <c r="I289" s="132">
        <v>45575</v>
      </c>
      <c r="J289" s="50"/>
      <c r="K289" s="50" t="s">
        <v>19</v>
      </c>
      <c r="L289" s="50"/>
      <c r="M289" s="50" t="s">
        <v>2445</v>
      </c>
      <c r="N289" s="50"/>
      <c r="O289" s="50"/>
      <c r="P289" s="50"/>
      <c r="Q289" s="50"/>
      <c r="R289" s="50"/>
      <c r="S289" s="50" t="str">
        <f t="shared" si="32"/>
        <v/>
      </c>
      <c r="T289" s="50" t="str">
        <f t="shared" si="34"/>
        <v/>
      </c>
      <c r="U289" s="50" t="str">
        <f t="shared" si="33"/>
        <v/>
      </c>
      <c r="V289" s="50" t="str">
        <f t="shared" si="35"/>
        <v/>
      </c>
      <c r="W289" s="50"/>
      <c r="X289" s="50" t="s">
        <v>4</v>
      </c>
      <c r="Y289" s="50" t="s">
        <v>57</v>
      </c>
      <c r="Z289" s="50" t="s">
        <v>3406</v>
      </c>
      <c r="AA289" s="50"/>
    </row>
    <row r="290" spans="1:27" ht="25.5" customHeight="1">
      <c r="A290" s="517" t="s">
        <v>774</v>
      </c>
      <c r="B290" s="51" t="s">
        <v>895</v>
      </c>
      <c r="C290" s="51" t="s">
        <v>143</v>
      </c>
      <c r="D290" s="51" t="s">
        <v>3799</v>
      </c>
      <c r="E290" s="50">
        <v>14869</v>
      </c>
      <c r="F290" s="50">
        <v>18803</v>
      </c>
      <c r="G290" s="50" t="s">
        <v>3404</v>
      </c>
      <c r="H290" s="50">
        <v>2025</v>
      </c>
      <c r="I290" s="132">
        <v>45713</v>
      </c>
      <c r="J290" s="50" t="s">
        <v>3416</v>
      </c>
      <c r="K290" s="50" t="s">
        <v>19</v>
      </c>
      <c r="L290" s="50"/>
      <c r="M290" s="50" t="s">
        <v>2445</v>
      </c>
      <c r="N290" s="50" t="s">
        <v>3800</v>
      </c>
      <c r="O290" s="60">
        <v>45719</v>
      </c>
      <c r="P290" s="50"/>
      <c r="Q290" s="60">
        <v>45719</v>
      </c>
      <c r="R290" s="60">
        <v>45719</v>
      </c>
      <c r="S290" s="50">
        <f t="shared" si="32"/>
        <v>4</v>
      </c>
      <c r="T290" s="50" t="str">
        <f t="shared" si="34"/>
        <v/>
      </c>
      <c r="U290" s="50">
        <f t="shared" si="33"/>
        <v>1</v>
      </c>
      <c r="V290" s="50">
        <f t="shared" si="35"/>
        <v>1</v>
      </c>
      <c r="W290" s="50" t="s">
        <v>150</v>
      </c>
      <c r="X290" s="50" t="s">
        <v>1078</v>
      </c>
      <c r="Y290" s="50" t="s">
        <v>57</v>
      </c>
      <c r="Z290" s="50" t="s">
        <v>3406</v>
      </c>
      <c r="AA290" s="50"/>
    </row>
    <row r="291" spans="1:27" ht="25.5" customHeight="1">
      <c r="A291" s="517" t="s">
        <v>774</v>
      </c>
      <c r="B291" s="51" t="s">
        <v>895</v>
      </c>
      <c r="C291" s="51" t="s">
        <v>143</v>
      </c>
      <c r="D291" s="51" t="s">
        <v>3801</v>
      </c>
      <c r="E291" s="50">
        <v>4581</v>
      </c>
      <c r="F291" s="50">
        <v>4781</v>
      </c>
      <c r="G291" s="50" t="s">
        <v>3404</v>
      </c>
      <c r="H291" s="50">
        <v>2025</v>
      </c>
      <c r="I291" s="132">
        <v>45847</v>
      </c>
      <c r="J291" s="50" t="s">
        <v>3125</v>
      </c>
      <c r="K291" s="50" t="s">
        <v>19</v>
      </c>
      <c r="L291" s="50"/>
      <c r="M291" s="50" t="s">
        <v>2445</v>
      </c>
      <c r="N291" s="50" t="s">
        <v>3802</v>
      </c>
      <c r="O291" s="60">
        <v>45852</v>
      </c>
      <c r="P291" s="60"/>
      <c r="Q291" s="60">
        <v>45853</v>
      </c>
      <c r="R291" s="60">
        <v>45854</v>
      </c>
      <c r="S291" s="50">
        <f t="shared" si="32"/>
        <v>3</v>
      </c>
      <c r="T291" s="50" t="str">
        <f t="shared" si="34"/>
        <v/>
      </c>
      <c r="U291" s="50">
        <f t="shared" si="33"/>
        <v>1</v>
      </c>
      <c r="V291" s="50">
        <f t="shared" si="35"/>
        <v>1</v>
      </c>
      <c r="W291" s="50" t="s">
        <v>150</v>
      </c>
      <c r="X291" s="50" t="s">
        <v>4</v>
      </c>
      <c r="Y291" s="50" t="s">
        <v>50</v>
      </c>
      <c r="Z291" s="50" t="s">
        <v>3406</v>
      </c>
      <c r="AA291" s="50"/>
    </row>
    <row r="292" spans="1:27" s="110" customFormat="1" ht="25.5" customHeight="1">
      <c r="A292" s="517" t="s">
        <v>774</v>
      </c>
      <c r="B292" s="51" t="s">
        <v>895</v>
      </c>
      <c r="C292" s="51" t="s">
        <v>143</v>
      </c>
      <c r="D292" s="51" t="s">
        <v>905</v>
      </c>
      <c r="E292" s="50">
        <v>10010</v>
      </c>
      <c r="F292" s="50">
        <v>11503</v>
      </c>
      <c r="G292" s="50" t="s">
        <v>3404</v>
      </c>
      <c r="H292" s="50">
        <v>2025</v>
      </c>
      <c r="I292" s="132">
        <v>45876</v>
      </c>
      <c r="J292" s="50" t="s">
        <v>3126</v>
      </c>
      <c r="K292" s="50" t="s">
        <v>19</v>
      </c>
      <c r="L292" s="50"/>
      <c r="M292" s="50" t="s">
        <v>2445</v>
      </c>
      <c r="N292" s="50" t="s">
        <v>3803</v>
      </c>
      <c r="O292" s="60">
        <v>45880</v>
      </c>
      <c r="P292" s="50"/>
      <c r="Q292" s="60">
        <v>45881</v>
      </c>
      <c r="R292" s="60">
        <v>45882</v>
      </c>
      <c r="S292" s="50">
        <f t="shared" si="32"/>
        <v>2</v>
      </c>
      <c r="T292" s="50" t="str">
        <f t="shared" si="34"/>
        <v/>
      </c>
      <c r="U292" s="50">
        <f t="shared" si="33"/>
        <v>1</v>
      </c>
      <c r="V292" s="50">
        <f t="shared" si="35"/>
        <v>1</v>
      </c>
      <c r="W292" s="50" t="s">
        <v>150</v>
      </c>
      <c r="X292" s="50" t="s">
        <v>1078</v>
      </c>
      <c r="Y292" s="50" t="s">
        <v>50</v>
      </c>
      <c r="Z292" s="50" t="s">
        <v>3406</v>
      </c>
      <c r="AA292" s="50"/>
    </row>
    <row r="293" spans="1:27" ht="25.5" customHeight="1">
      <c r="A293" s="517" t="s">
        <v>774</v>
      </c>
      <c r="B293" s="51" t="s">
        <v>895</v>
      </c>
      <c r="C293" s="51" t="s">
        <v>143</v>
      </c>
      <c r="D293" s="51" t="s">
        <v>3804</v>
      </c>
      <c r="E293" s="50">
        <v>5169</v>
      </c>
      <c r="F293" s="50">
        <v>7189</v>
      </c>
      <c r="G293" s="50" t="s">
        <v>3404</v>
      </c>
      <c r="H293" s="50">
        <v>2025</v>
      </c>
      <c r="I293" s="132">
        <v>45946</v>
      </c>
      <c r="J293" s="50" t="s">
        <v>3128</v>
      </c>
      <c r="K293" s="50" t="s">
        <v>19</v>
      </c>
      <c r="L293" s="50"/>
      <c r="M293" s="50" t="s">
        <v>2445</v>
      </c>
      <c r="N293" s="50" t="s">
        <v>3805</v>
      </c>
      <c r="O293" s="60">
        <v>45947</v>
      </c>
      <c r="P293" s="50"/>
      <c r="Q293" s="60">
        <v>45948</v>
      </c>
      <c r="R293" s="60">
        <v>45950</v>
      </c>
      <c r="S293" s="50">
        <f t="shared" si="32"/>
        <v>1</v>
      </c>
      <c r="T293" s="50" t="str">
        <f t="shared" si="34"/>
        <v/>
      </c>
      <c r="U293" s="50">
        <f t="shared" si="33"/>
        <v>1</v>
      </c>
      <c r="V293" s="50">
        <f t="shared" si="35"/>
        <v>1</v>
      </c>
      <c r="W293" s="50" t="s">
        <v>150</v>
      </c>
      <c r="X293" s="50" t="s">
        <v>3527</v>
      </c>
      <c r="Y293" s="50" t="s">
        <v>3528</v>
      </c>
      <c r="Z293" s="50" t="s">
        <v>3406</v>
      </c>
      <c r="AA293" s="50"/>
    </row>
    <row r="294" spans="1:27" ht="25.5" customHeight="1">
      <c r="A294" s="50" t="s">
        <v>774</v>
      </c>
      <c r="B294" s="51" t="s">
        <v>895</v>
      </c>
      <c r="C294" s="51" t="s">
        <v>143</v>
      </c>
      <c r="D294" s="51" t="s">
        <v>3806</v>
      </c>
      <c r="E294" s="50">
        <v>10461</v>
      </c>
      <c r="F294" s="50">
        <v>13082</v>
      </c>
      <c r="G294" s="50" t="s">
        <v>3404</v>
      </c>
      <c r="H294" s="50">
        <v>2024</v>
      </c>
      <c r="I294" s="105" t="s">
        <v>3807</v>
      </c>
      <c r="J294" s="50"/>
      <c r="K294" s="50" t="s">
        <v>19</v>
      </c>
      <c r="L294" s="50"/>
      <c r="M294" s="50" t="s">
        <v>2445</v>
      </c>
      <c r="N294" s="50"/>
      <c r="O294" s="50"/>
      <c r="P294" s="50"/>
      <c r="Q294" s="50"/>
      <c r="R294" s="50"/>
      <c r="S294" s="50" t="str">
        <f t="shared" si="32"/>
        <v/>
      </c>
      <c r="T294" s="50" t="str">
        <f t="shared" si="34"/>
        <v/>
      </c>
      <c r="U294" s="50" t="str">
        <f t="shared" si="33"/>
        <v/>
      </c>
      <c r="V294" s="50" t="str">
        <f t="shared" si="35"/>
        <v/>
      </c>
      <c r="W294" s="50"/>
      <c r="X294" s="50" t="s">
        <v>1078</v>
      </c>
      <c r="Y294" s="50" t="s">
        <v>50</v>
      </c>
      <c r="Z294" s="50" t="s">
        <v>3406</v>
      </c>
      <c r="AA294" s="50"/>
    </row>
    <row r="295" spans="1:27" ht="25.5" customHeight="1">
      <c r="A295" s="517" t="s">
        <v>774</v>
      </c>
      <c r="B295" s="51" t="s">
        <v>895</v>
      </c>
      <c r="C295" s="51" t="s">
        <v>143</v>
      </c>
      <c r="D295" s="51" t="s">
        <v>1056</v>
      </c>
      <c r="E295" s="50">
        <v>7938</v>
      </c>
      <c r="F295" s="50">
        <v>8458</v>
      </c>
      <c r="G295" s="50" t="s">
        <v>3404</v>
      </c>
      <c r="H295" s="50">
        <v>2025</v>
      </c>
      <c r="I295" s="132">
        <v>45678</v>
      </c>
      <c r="J295" s="50" t="s">
        <v>3424</v>
      </c>
      <c r="K295" s="50" t="s">
        <v>19</v>
      </c>
      <c r="L295" s="50"/>
      <c r="M295" s="50" t="s">
        <v>2445</v>
      </c>
      <c r="N295" s="50" t="s">
        <v>3808</v>
      </c>
      <c r="O295" s="60">
        <v>45678</v>
      </c>
      <c r="P295" s="50"/>
      <c r="Q295" s="60">
        <v>45679</v>
      </c>
      <c r="R295" s="60">
        <v>45680</v>
      </c>
      <c r="S295" s="50">
        <f t="shared" si="32"/>
        <v>1</v>
      </c>
      <c r="T295" s="50" t="str">
        <f t="shared" si="34"/>
        <v/>
      </c>
      <c r="U295" s="50">
        <f t="shared" si="33"/>
        <v>1</v>
      </c>
      <c r="V295" s="50">
        <f t="shared" si="35"/>
        <v>1</v>
      </c>
      <c r="W295" s="50" t="s">
        <v>150</v>
      </c>
      <c r="X295" s="50" t="s">
        <v>1078</v>
      </c>
      <c r="Y295" s="50" t="s">
        <v>57</v>
      </c>
      <c r="Z295" s="50" t="s">
        <v>3406</v>
      </c>
      <c r="AA295" s="50"/>
    </row>
    <row r="296" spans="1:27" ht="25.5" customHeight="1">
      <c r="A296" s="50" t="s">
        <v>774</v>
      </c>
      <c r="B296" s="51" t="s">
        <v>895</v>
      </c>
      <c r="C296" s="51" t="s">
        <v>143</v>
      </c>
      <c r="D296" s="51" t="s">
        <v>3809</v>
      </c>
      <c r="E296" s="50">
        <v>1517</v>
      </c>
      <c r="F296" s="50">
        <v>1481</v>
      </c>
      <c r="G296" s="50" t="s">
        <v>3404</v>
      </c>
      <c r="H296" s="50">
        <v>2024</v>
      </c>
      <c r="I296" s="132">
        <v>45595</v>
      </c>
      <c r="J296" s="50"/>
      <c r="K296" s="50" t="s">
        <v>19</v>
      </c>
      <c r="L296" s="50"/>
      <c r="M296" s="50" t="s">
        <v>2445</v>
      </c>
      <c r="N296" s="50"/>
      <c r="O296" s="50"/>
      <c r="P296" s="50"/>
      <c r="Q296" s="50"/>
      <c r="R296" s="50"/>
      <c r="S296" s="50" t="str">
        <f t="shared" si="32"/>
        <v/>
      </c>
      <c r="T296" s="50" t="str">
        <f t="shared" si="34"/>
        <v/>
      </c>
      <c r="U296" s="50" t="str">
        <f t="shared" si="33"/>
        <v/>
      </c>
      <c r="V296" s="50" t="str">
        <f t="shared" si="35"/>
        <v/>
      </c>
      <c r="W296" s="50"/>
      <c r="X296" s="50" t="s">
        <v>1078</v>
      </c>
      <c r="Y296" s="50" t="s">
        <v>50</v>
      </c>
      <c r="Z296" s="50" t="s">
        <v>3406</v>
      </c>
      <c r="AA296" s="50"/>
    </row>
    <row r="297" spans="1:27" s="110" customFormat="1" ht="25.5" customHeight="1">
      <c r="A297" s="517" t="s">
        <v>774</v>
      </c>
      <c r="B297" s="51" t="s">
        <v>895</v>
      </c>
      <c r="C297" s="51" t="s">
        <v>143</v>
      </c>
      <c r="D297" s="51" t="s">
        <v>1245</v>
      </c>
      <c r="E297" s="50">
        <v>4407</v>
      </c>
      <c r="F297" s="50">
        <v>4442</v>
      </c>
      <c r="G297" s="50" t="s">
        <v>3404</v>
      </c>
      <c r="H297" s="50">
        <v>2025</v>
      </c>
      <c r="I297" s="132">
        <v>45896</v>
      </c>
      <c r="J297" s="50" t="s">
        <v>3127</v>
      </c>
      <c r="K297" s="50" t="s">
        <v>19</v>
      </c>
      <c r="L297" s="50"/>
      <c r="M297" s="50" t="s">
        <v>2445</v>
      </c>
      <c r="N297" s="50" t="s">
        <v>3810</v>
      </c>
      <c r="O297" s="60">
        <v>45901</v>
      </c>
      <c r="P297" s="50"/>
      <c r="Q297" s="60">
        <v>45901</v>
      </c>
      <c r="R297" s="60">
        <v>45902</v>
      </c>
      <c r="S297" s="50">
        <f t="shared" si="32"/>
        <v>3</v>
      </c>
      <c r="T297" s="50" t="str">
        <f t="shared" si="34"/>
        <v/>
      </c>
      <c r="U297" s="50">
        <f t="shared" si="33"/>
        <v>1</v>
      </c>
      <c r="V297" s="50">
        <f t="shared" si="35"/>
        <v>1</v>
      </c>
      <c r="W297" s="50" t="s">
        <v>150</v>
      </c>
      <c r="X297" s="50" t="s">
        <v>1078</v>
      </c>
      <c r="Y297" s="50" t="s">
        <v>50</v>
      </c>
      <c r="Z297" s="50" t="s">
        <v>3406</v>
      </c>
      <c r="AA297" s="50"/>
    </row>
    <row r="298" spans="1:27" ht="25.5" customHeight="1">
      <c r="A298" s="517" t="s">
        <v>774</v>
      </c>
      <c r="B298" s="51" t="s">
        <v>895</v>
      </c>
      <c r="C298" s="51" t="s">
        <v>143</v>
      </c>
      <c r="D298" s="51" t="s">
        <v>1180</v>
      </c>
      <c r="E298" s="50">
        <v>5761</v>
      </c>
      <c r="F298" s="50">
        <v>6515</v>
      </c>
      <c r="G298" s="50" t="s">
        <v>3404</v>
      </c>
      <c r="H298" s="50">
        <v>2025</v>
      </c>
      <c r="I298" s="132">
        <v>45937</v>
      </c>
      <c r="J298" s="50" t="s">
        <v>3128</v>
      </c>
      <c r="K298" s="50" t="s">
        <v>19</v>
      </c>
      <c r="L298" s="50"/>
      <c r="M298" s="50" t="s">
        <v>2445</v>
      </c>
      <c r="N298" s="50" t="s">
        <v>3811</v>
      </c>
      <c r="O298" s="60">
        <v>45940</v>
      </c>
      <c r="P298" s="50"/>
      <c r="Q298" s="60">
        <v>45943</v>
      </c>
      <c r="R298" s="60">
        <v>45944</v>
      </c>
      <c r="S298" s="50">
        <f t="shared" si="32"/>
        <v>3</v>
      </c>
      <c r="T298" s="50" t="str">
        <f t="shared" si="34"/>
        <v/>
      </c>
      <c r="U298" s="50">
        <f t="shared" si="33"/>
        <v>1</v>
      </c>
      <c r="V298" s="50">
        <f t="shared" si="35"/>
        <v>1</v>
      </c>
      <c r="W298" s="50" t="s">
        <v>150</v>
      </c>
      <c r="X298" s="50" t="s">
        <v>1078</v>
      </c>
      <c r="Y298" s="50" t="s">
        <v>50</v>
      </c>
      <c r="Z298" s="50" t="s">
        <v>3406</v>
      </c>
      <c r="AA298" s="50"/>
    </row>
    <row r="299" spans="1:27" ht="25.5" customHeight="1">
      <c r="A299" s="517" t="s">
        <v>774</v>
      </c>
      <c r="B299" s="51" t="s">
        <v>895</v>
      </c>
      <c r="C299" s="51" t="s">
        <v>143</v>
      </c>
      <c r="D299" s="51" t="s">
        <v>3812</v>
      </c>
      <c r="E299" s="50">
        <v>6221</v>
      </c>
      <c r="F299" s="50">
        <v>7267</v>
      </c>
      <c r="G299" s="50" t="s">
        <v>3404</v>
      </c>
      <c r="H299" s="50">
        <v>2025</v>
      </c>
      <c r="I299" s="132">
        <v>45847</v>
      </c>
      <c r="J299" s="50" t="s">
        <v>3125</v>
      </c>
      <c r="K299" s="50" t="s">
        <v>19</v>
      </c>
      <c r="L299" s="50"/>
      <c r="M299" s="50" t="s">
        <v>2445</v>
      </c>
      <c r="N299" s="50" t="s">
        <v>3813</v>
      </c>
      <c r="O299" s="60">
        <v>45852</v>
      </c>
      <c r="P299" s="50"/>
      <c r="Q299" s="60">
        <v>45853</v>
      </c>
      <c r="R299" s="60">
        <v>45855</v>
      </c>
      <c r="S299" s="50">
        <f t="shared" si="32"/>
        <v>3</v>
      </c>
      <c r="T299" s="50" t="str">
        <f t="shared" si="34"/>
        <v/>
      </c>
      <c r="U299" s="50">
        <f t="shared" si="33"/>
        <v>1</v>
      </c>
      <c r="V299" s="50">
        <f t="shared" si="35"/>
        <v>2</v>
      </c>
      <c r="W299" s="50" t="s">
        <v>150</v>
      </c>
      <c r="X299" s="50" t="s">
        <v>4</v>
      </c>
      <c r="Y299" s="50" t="s">
        <v>50</v>
      </c>
      <c r="Z299" s="50" t="s">
        <v>3406</v>
      </c>
      <c r="AA299" s="50"/>
    </row>
    <row r="300" spans="1:27" ht="25.5" customHeight="1">
      <c r="A300" s="517" t="s">
        <v>774</v>
      </c>
      <c r="B300" s="51" t="s">
        <v>1775</v>
      </c>
      <c r="C300" s="51" t="s">
        <v>143</v>
      </c>
      <c r="D300" s="51" t="s">
        <v>1776</v>
      </c>
      <c r="E300" s="50">
        <v>5966</v>
      </c>
      <c r="F300" s="50">
        <v>7122</v>
      </c>
      <c r="G300" s="50" t="s">
        <v>3404</v>
      </c>
      <c r="H300" s="50">
        <v>2025</v>
      </c>
      <c r="I300" s="132">
        <v>45708</v>
      </c>
      <c r="J300" s="105" t="s">
        <v>3416</v>
      </c>
      <c r="K300" s="50" t="s">
        <v>19</v>
      </c>
      <c r="L300" s="50"/>
      <c r="M300" s="50" t="s">
        <v>2445</v>
      </c>
      <c r="N300" s="50" t="s">
        <v>3814</v>
      </c>
      <c r="O300" s="60">
        <v>45708</v>
      </c>
      <c r="P300" s="60"/>
      <c r="Q300" s="60">
        <v>45712</v>
      </c>
      <c r="R300" s="60">
        <v>45716</v>
      </c>
      <c r="S300" s="50">
        <f t="shared" si="32"/>
        <v>1</v>
      </c>
      <c r="T300" s="50" t="str">
        <f t="shared" si="34"/>
        <v/>
      </c>
      <c r="U300" s="50">
        <f t="shared" si="33"/>
        <v>2</v>
      </c>
      <c r="V300" s="50">
        <f t="shared" si="35"/>
        <v>4</v>
      </c>
      <c r="W300" s="50" t="s">
        <v>150</v>
      </c>
      <c r="X300" s="50" t="s">
        <v>1078</v>
      </c>
      <c r="Y300" s="50" t="s">
        <v>50</v>
      </c>
      <c r="Z300" s="50" t="s">
        <v>3406</v>
      </c>
      <c r="AA300" s="50"/>
    </row>
    <row r="301" spans="1:27" s="110" customFormat="1" ht="25.5" customHeight="1">
      <c r="A301" s="517" t="s">
        <v>774</v>
      </c>
      <c r="B301" s="51" t="s">
        <v>895</v>
      </c>
      <c r="C301" s="51" t="s">
        <v>143</v>
      </c>
      <c r="D301" s="51" t="s">
        <v>3785</v>
      </c>
      <c r="E301" s="50">
        <v>6880</v>
      </c>
      <c r="F301" s="50">
        <v>7203</v>
      </c>
      <c r="G301" s="50" t="s">
        <v>3404</v>
      </c>
      <c r="H301" s="50">
        <v>2025</v>
      </c>
      <c r="I301" s="132">
        <v>45946</v>
      </c>
      <c r="J301" s="50" t="s">
        <v>3128</v>
      </c>
      <c r="K301" s="50" t="s">
        <v>19</v>
      </c>
      <c r="L301" s="50"/>
      <c r="M301" s="50" t="s">
        <v>2445</v>
      </c>
      <c r="N301" s="50" t="s">
        <v>3815</v>
      </c>
      <c r="O301" s="60">
        <v>45947</v>
      </c>
      <c r="P301" s="50"/>
      <c r="Q301" s="60">
        <v>45948</v>
      </c>
      <c r="R301" s="60">
        <v>45950</v>
      </c>
      <c r="S301" s="50">
        <f t="shared" si="32"/>
        <v>1</v>
      </c>
      <c r="T301" s="50" t="str">
        <f t="shared" si="34"/>
        <v/>
      </c>
      <c r="U301" s="50">
        <f t="shared" si="33"/>
        <v>1</v>
      </c>
      <c r="V301" s="50">
        <f t="shared" si="35"/>
        <v>1</v>
      </c>
      <c r="W301" s="50" t="s">
        <v>150</v>
      </c>
      <c r="X301" s="50" t="s">
        <v>3527</v>
      </c>
      <c r="Y301" s="50" t="s">
        <v>3528</v>
      </c>
      <c r="Z301" s="50" t="s">
        <v>3406</v>
      </c>
      <c r="AA301" s="50"/>
    </row>
    <row r="302" spans="1:27" ht="25.5" customHeight="1">
      <c r="A302" s="50" t="s">
        <v>774</v>
      </c>
      <c r="B302" s="51" t="s">
        <v>1775</v>
      </c>
      <c r="C302" s="51" t="s">
        <v>143</v>
      </c>
      <c r="D302" s="51" t="s">
        <v>3816</v>
      </c>
      <c r="E302" s="50">
        <v>6207</v>
      </c>
      <c r="F302" s="50">
        <v>6756</v>
      </c>
      <c r="G302" s="50" t="s">
        <v>3404</v>
      </c>
      <c r="H302" s="50">
        <v>2024</v>
      </c>
      <c r="I302" s="105" t="s">
        <v>3817</v>
      </c>
      <c r="J302" s="50"/>
      <c r="K302" s="50" t="s">
        <v>19</v>
      </c>
      <c r="L302" s="50"/>
      <c r="M302" s="50" t="s">
        <v>2445</v>
      </c>
      <c r="N302" s="50"/>
      <c r="O302" s="50"/>
      <c r="P302" s="50"/>
      <c r="Q302" s="50"/>
      <c r="R302" s="50"/>
      <c r="S302" s="50" t="str">
        <f t="shared" si="32"/>
        <v/>
      </c>
      <c r="T302" s="50" t="str">
        <f t="shared" si="34"/>
        <v/>
      </c>
      <c r="U302" s="50" t="str">
        <f t="shared" si="33"/>
        <v/>
      </c>
      <c r="V302" s="50" t="str">
        <f t="shared" si="35"/>
        <v/>
      </c>
      <c r="W302" s="50"/>
      <c r="X302" s="50" t="s">
        <v>4</v>
      </c>
      <c r="Y302" s="50" t="s">
        <v>57</v>
      </c>
      <c r="Z302" s="50" t="s">
        <v>3406</v>
      </c>
      <c r="AA302" s="50"/>
    </row>
    <row r="303" spans="1:27" ht="25.5" customHeight="1">
      <c r="A303" s="50" t="s">
        <v>774</v>
      </c>
      <c r="B303" s="51" t="s">
        <v>1775</v>
      </c>
      <c r="C303" s="51" t="s">
        <v>143</v>
      </c>
      <c r="D303" s="51" t="s">
        <v>1056</v>
      </c>
      <c r="E303" s="50">
        <v>5511</v>
      </c>
      <c r="F303" s="50">
        <v>7329</v>
      </c>
      <c r="G303" s="50" t="s">
        <v>3404</v>
      </c>
      <c r="H303" s="50">
        <v>2024</v>
      </c>
      <c r="I303" s="105" t="s">
        <v>3737</v>
      </c>
      <c r="J303" s="50"/>
      <c r="K303" s="50" t="s">
        <v>19</v>
      </c>
      <c r="L303" s="50"/>
      <c r="M303" s="50" t="s">
        <v>2445</v>
      </c>
      <c r="N303" s="50"/>
      <c r="O303" s="50"/>
      <c r="P303" s="50"/>
      <c r="Q303" s="50"/>
      <c r="R303" s="50"/>
      <c r="S303" s="50" t="str">
        <f t="shared" si="32"/>
        <v/>
      </c>
      <c r="T303" s="50" t="str">
        <f t="shared" si="34"/>
        <v/>
      </c>
      <c r="U303" s="50" t="str">
        <f t="shared" si="33"/>
        <v/>
      </c>
      <c r="V303" s="50" t="str">
        <f t="shared" si="35"/>
        <v/>
      </c>
      <c r="W303" s="50"/>
      <c r="X303" s="50" t="s">
        <v>4</v>
      </c>
      <c r="Y303" s="50" t="s">
        <v>50</v>
      </c>
      <c r="Z303" s="50" t="s">
        <v>3406</v>
      </c>
      <c r="AA303" s="50"/>
    </row>
    <row r="304" spans="1:27" ht="25.5" customHeight="1">
      <c r="A304" s="50" t="s">
        <v>774</v>
      </c>
      <c r="B304" s="51" t="s">
        <v>1775</v>
      </c>
      <c r="C304" s="51" t="s">
        <v>143</v>
      </c>
      <c r="D304" s="51" t="s">
        <v>1241</v>
      </c>
      <c r="E304" s="50">
        <v>7446</v>
      </c>
      <c r="F304" s="50">
        <v>8031</v>
      </c>
      <c r="G304" s="50" t="s">
        <v>3404</v>
      </c>
      <c r="H304" s="50">
        <v>2024</v>
      </c>
      <c r="I304" s="132">
        <v>45582</v>
      </c>
      <c r="J304" s="50"/>
      <c r="K304" s="50" t="s">
        <v>19</v>
      </c>
      <c r="L304" s="50"/>
      <c r="M304" s="50" t="s">
        <v>2445</v>
      </c>
      <c r="N304" s="50"/>
      <c r="O304" s="50"/>
      <c r="P304" s="50"/>
      <c r="Q304" s="50"/>
      <c r="R304" s="50"/>
      <c r="S304" s="50" t="str">
        <f t="shared" si="32"/>
        <v/>
      </c>
      <c r="T304" s="50" t="str">
        <f t="shared" si="34"/>
        <v/>
      </c>
      <c r="U304" s="50" t="str">
        <f t="shared" si="33"/>
        <v/>
      </c>
      <c r="V304" s="50" t="str">
        <f t="shared" si="35"/>
        <v/>
      </c>
      <c r="W304" s="50"/>
      <c r="X304" s="50" t="s">
        <v>1078</v>
      </c>
      <c r="Y304" s="50" t="s">
        <v>3528</v>
      </c>
      <c r="Z304" s="50" t="s">
        <v>3406</v>
      </c>
      <c r="AA304" s="50"/>
    </row>
    <row r="305" spans="1:27" ht="25.5" customHeight="1">
      <c r="A305" s="50" t="s">
        <v>774</v>
      </c>
      <c r="B305" s="51" t="s">
        <v>891</v>
      </c>
      <c r="C305" s="51" t="s">
        <v>143</v>
      </c>
      <c r="D305" s="51" t="s">
        <v>3818</v>
      </c>
      <c r="E305" s="50">
        <v>1955</v>
      </c>
      <c r="F305" s="50">
        <v>1865</v>
      </c>
      <c r="G305" s="50" t="s">
        <v>3404</v>
      </c>
      <c r="H305" s="50">
        <v>2024</v>
      </c>
      <c r="I305" s="105" t="s">
        <v>3819</v>
      </c>
      <c r="J305" s="50"/>
      <c r="K305" s="50" t="s">
        <v>179</v>
      </c>
      <c r="L305" s="50"/>
      <c r="M305" s="50" t="s">
        <v>2445</v>
      </c>
      <c r="N305" s="50"/>
      <c r="O305" s="50"/>
      <c r="P305" s="50"/>
      <c r="Q305" s="50"/>
      <c r="R305" s="50"/>
      <c r="S305" s="50" t="str">
        <f t="shared" si="32"/>
        <v/>
      </c>
      <c r="T305" s="50" t="str">
        <f t="shared" si="34"/>
        <v/>
      </c>
      <c r="U305" s="50" t="str">
        <f t="shared" si="33"/>
        <v/>
      </c>
      <c r="V305" s="50" t="str">
        <f t="shared" si="35"/>
        <v/>
      </c>
      <c r="W305" s="50"/>
      <c r="X305" s="50"/>
      <c r="Y305" s="50"/>
      <c r="Z305" s="50" t="s">
        <v>3406</v>
      </c>
      <c r="AA305" s="50"/>
    </row>
    <row r="306" spans="1:27" ht="25.5" customHeight="1">
      <c r="A306" s="50" t="s">
        <v>774</v>
      </c>
      <c r="B306" s="51" t="s">
        <v>891</v>
      </c>
      <c r="C306" s="51" t="s">
        <v>143</v>
      </c>
      <c r="D306" s="51" t="s">
        <v>3820</v>
      </c>
      <c r="E306" s="50">
        <v>2835</v>
      </c>
      <c r="F306" s="50">
        <v>3119</v>
      </c>
      <c r="G306" s="50" t="s">
        <v>3404</v>
      </c>
      <c r="H306" s="50">
        <v>2024</v>
      </c>
      <c r="I306" s="105" t="s">
        <v>3594</v>
      </c>
      <c r="J306" s="50"/>
      <c r="K306" s="50" t="s">
        <v>179</v>
      </c>
      <c r="L306" s="50"/>
      <c r="M306" s="50" t="s">
        <v>2445</v>
      </c>
      <c r="N306" s="50"/>
      <c r="O306" s="50"/>
      <c r="P306" s="50"/>
      <c r="Q306" s="50"/>
      <c r="R306" s="50"/>
      <c r="S306" s="50" t="str">
        <f t="shared" si="32"/>
        <v/>
      </c>
      <c r="T306" s="50" t="str">
        <f t="shared" si="34"/>
        <v/>
      </c>
      <c r="U306" s="50" t="str">
        <f t="shared" si="33"/>
        <v/>
      </c>
      <c r="V306" s="50" t="str">
        <f t="shared" si="35"/>
        <v/>
      </c>
      <c r="W306" s="50"/>
      <c r="X306" s="50" t="s">
        <v>4</v>
      </c>
      <c r="Y306" s="50" t="s">
        <v>50</v>
      </c>
      <c r="Z306" s="50" t="s">
        <v>3406</v>
      </c>
      <c r="AA306" s="50"/>
    </row>
    <row r="307" spans="1:27" ht="25.5" customHeight="1">
      <c r="A307" s="50" t="s">
        <v>774</v>
      </c>
      <c r="B307" s="51" t="s">
        <v>891</v>
      </c>
      <c r="C307" s="51" t="s">
        <v>143</v>
      </c>
      <c r="D307" s="51" t="s">
        <v>3821</v>
      </c>
      <c r="E307" s="50">
        <v>1355</v>
      </c>
      <c r="F307" s="50">
        <v>1263</v>
      </c>
      <c r="G307" s="50" t="s">
        <v>3404</v>
      </c>
      <c r="H307" s="50">
        <v>2024</v>
      </c>
      <c r="I307" s="105" t="s">
        <v>3822</v>
      </c>
      <c r="J307" s="50"/>
      <c r="K307" s="50" t="s">
        <v>179</v>
      </c>
      <c r="L307" s="50"/>
      <c r="M307" s="50" t="s">
        <v>2445</v>
      </c>
      <c r="N307" s="50"/>
      <c r="O307" s="50"/>
      <c r="P307" s="50"/>
      <c r="Q307" s="50"/>
      <c r="R307" s="50"/>
      <c r="S307" s="50" t="str">
        <f t="shared" si="32"/>
        <v/>
      </c>
      <c r="T307" s="50" t="str">
        <f t="shared" si="34"/>
        <v/>
      </c>
      <c r="U307" s="50" t="str">
        <f t="shared" si="33"/>
        <v/>
      </c>
      <c r="V307" s="50" t="str">
        <f t="shared" si="35"/>
        <v/>
      </c>
      <c r="W307" s="50"/>
      <c r="X307" s="50" t="s">
        <v>4</v>
      </c>
      <c r="Y307" s="50" t="s">
        <v>50</v>
      </c>
      <c r="Z307" s="50" t="s">
        <v>3406</v>
      </c>
      <c r="AA307" s="50"/>
    </row>
    <row r="308" spans="1:27" ht="25.5" customHeight="1">
      <c r="A308" s="50" t="s">
        <v>774</v>
      </c>
      <c r="B308" s="51" t="s">
        <v>891</v>
      </c>
      <c r="C308" s="51" t="s">
        <v>143</v>
      </c>
      <c r="D308" s="51" t="s">
        <v>3823</v>
      </c>
      <c r="E308" s="50">
        <v>6018</v>
      </c>
      <c r="F308" s="50">
        <v>6378</v>
      </c>
      <c r="G308" s="50" t="s">
        <v>3404</v>
      </c>
      <c r="H308" s="50">
        <v>2024</v>
      </c>
      <c r="I308" s="132">
        <v>45602</v>
      </c>
      <c r="J308" s="50"/>
      <c r="K308" s="50" t="s">
        <v>179</v>
      </c>
      <c r="L308" s="50"/>
      <c r="M308" s="50" t="s">
        <v>2445</v>
      </c>
      <c r="N308" s="50"/>
      <c r="O308" s="50"/>
      <c r="P308" s="50"/>
      <c r="Q308" s="50"/>
      <c r="R308" s="50"/>
      <c r="S308" s="50" t="str">
        <f t="shared" si="32"/>
        <v/>
      </c>
      <c r="T308" s="50" t="str">
        <f t="shared" si="34"/>
        <v/>
      </c>
      <c r="U308" s="50" t="str">
        <f t="shared" si="33"/>
        <v/>
      </c>
      <c r="V308" s="50" t="str">
        <f t="shared" si="35"/>
        <v/>
      </c>
      <c r="W308" s="50"/>
      <c r="X308" s="50" t="s">
        <v>4</v>
      </c>
      <c r="Y308" s="50" t="s">
        <v>57</v>
      </c>
      <c r="Z308" s="50" t="s">
        <v>3406</v>
      </c>
      <c r="AA308" s="50"/>
    </row>
    <row r="309" spans="1:27" ht="25.5" customHeight="1">
      <c r="A309" s="50" t="s">
        <v>774</v>
      </c>
      <c r="B309" s="51" t="s">
        <v>891</v>
      </c>
      <c r="C309" s="51" t="s">
        <v>143</v>
      </c>
      <c r="D309" s="51" t="s">
        <v>3824</v>
      </c>
      <c r="E309" s="50">
        <v>1438</v>
      </c>
      <c r="F309" s="50">
        <v>1402</v>
      </c>
      <c r="G309" s="50" t="s">
        <v>3404</v>
      </c>
      <c r="H309" s="50">
        <v>2024</v>
      </c>
      <c r="I309" s="105" t="s">
        <v>3619</v>
      </c>
      <c r="J309" s="50"/>
      <c r="K309" s="50" t="s">
        <v>179</v>
      </c>
      <c r="L309" s="50"/>
      <c r="M309" s="50" t="s">
        <v>2445</v>
      </c>
      <c r="N309" s="50"/>
      <c r="O309" s="50"/>
      <c r="P309" s="50"/>
      <c r="Q309" s="50"/>
      <c r="R309" s="50"/>
      <c r="S309" s="50" t="str">
        <f t="shared" si="32"/>
        <v/>
      </c>
      <c r="T309" s="50" t="str">
        <f t="shared" si="34"/>
        <v/>
      </c>
      <c r="U309" s="50" t="str">
        <f t="shared" si="33"/>
        <v/>
      </c>
      <c r="V309" s="50" t="str">
        <f t="shared" si="35"/>
        <v/>
      </c>
      <c r="W309" s="50"/>
      <c r="X309" s="50" t="s">
        <v>4</v>
      </c>
      <c r="Y309" s="50" t="s">
        <v>50</v>
      </c>
      <c r="Z309" s="50" t="s">
        <v>3406</v>
      </c>
      <c r="AA309" s="50"/>
    </row>
    <row r="310" spans="1:27" ht="25.5" customHeight="1">
      <c r="A310" s="50" t="s">
        <v>774</v>
      </c>
      <c r="B310" s="51" t="s">
        <v>891</v>
      </c>
      <c r="C310" s="51" t="s">
        <v>143</v>
      </c>
      <c r="D310" s="51" t="s">
        <v>3825</v>
      </c>
      <c r="E310" s="50">
        <v>501</v>
      </c>
      <c r="F310" s="50">
        <v>491</v>
      </c>
      <c r="G310" s="50" t="s">
        <v>3404</v>
      </c>
      <c r="H310" s="50">
        <v>2024</v>
      </c>
      <c r="I310" s="105" t="s">
        <v>3826</v>
      </c>
      <c r="J310" s="50"/>
      <c r="K310" s="50" t="s">
        <v>179</v>
      </c>
      <c r="L310" s="50"/>
      <c r="M310" s="50" t="s">
        <v>2445</v>
      </c>
      <c r="N310" s="50"/>
      <c r="O310" s="50"/>
      <c r="P310" s="50"/>
      <c r="Q310" s="50"/>
      <c r="R310" s="50"/>
      <c r="S310" s="50" t="str">
        <f t="shared" si="32"/>
        <v/>
      </c>
      <c r="T310" s="50" t="str">
        <f t="shared" si="34"/>
        <v/>
      </c>
      <c r="U310" s="50" t="str">
        <f t="shared" si="33"/>
        <v/>
      </c>
      <c r="V310" s="50" t="str">
        <f t="shared" si="35"/>
        <v/>
      </c>
      <c r="W310" s="50"/>
      <c r="X310" s="50" t="s">
        <v>4</v>
      </c>
      <c r="Y310" s="50" t="s">
        <v>50</v>
      </c>
      <c r="Z310" s="50" t="s">
        <v>3406</v>
      </c>
      <c r="AA310" s="50"/>
    </row>
    <row r="311" spans="1:27" ht="25.5" customHeight="1">
      <c r="A311" s="50" t="s">
        <v>774</v>
      </c>
      <c r="B311" s="51" t="s">
        <v>891</v>
      </c>
      <c r="C311" s="51" t="s">
        <v>143</v>
      </c>
      <c r="D311" s="51" t="s">
        <v>3827</v>
      </c>
      <c r="E311" s="50">
        <v>431</v>
      </c>
      <c r="F311" s="50">
        <v>434</v>
      </c>
      <c r="G311" s="50" t="s">
        <v>3404</v>
      </c>
      <c r="H311" s="50">
        <v>2024</v>
      </c>
      <c r="I311" s="105" t="s">
        <v>3828</v>
      </c>
      <c r="J311" s="50"/>
      <c r="K311" s="50" t="s">
        <v>179</v>
      </c>
      <c r="L311" s="50"/>
      <c r="M311" s="50" t="s">
        <v>2445</v>
      </c>
      <c r="N311" s="50"/>
      <c r="O311" s="50"/>
      <c r="P311" s="50"/>
      <c r="Q311" s="50"/>
      <c r="R311" s="50"/>
      <c r="S311" s="50" t="str">
        <f t="shared" si="32"/>
        <v/>
      </c>
      <c r="T311" s="50" t="str">
        <f t="shared" si="34"/>
        <v/>
      </c>
      <c r="U311" s="50" t="str">
        <f t="shared" si="33"/>
        <v/>
      </c>
      <c r="V311" s="50" t="str">
        <f t="shared" si="35"/>
        <v/>
      </c>
      <c r="W311" s="50"/>
      <c r="X311" s="50" t="s">
        <v>4</v>
      </c>
      <c r="Y311" s="50" t="s">
        <v>57</v>
      </c>
      <c r="Z311" s="50" t="s">
        <v>3406</v>
      </c>
      <c r="AA311" s="50"/>
    </row>
    <row r="312" spans="1:27" ht="25.5" customHeight="1">
      <c r="A312" s="50" t="s">
        <v>774</v>
      </c>
      <c r="B312" s="51" t="s">
        <v>891</v>
      </c>
      <c r="C312" s="51" t="s">
        <v>143</v>
      </c>
      <c r="D312" s="51" t="s">
        <v>3829</v>
      </c>
      <c r="E312" s="50">
        <v>1249</v>
      </c>
      <c r="F312" s="50">
        <v>1788</v>
      </c>
      <c r="G312" s="50" t="s">
        <v>3404</v>
      </c>
      <c r="H312" s="50">
        <v>2024</v>
      </c>
      <c r="I312" s="105" t="s">
        <v>3830</v>
      </c>
      <c r="J312" s="50"/>
      <c r="K312" s="50" t="s">
        <v>179</v>
      </c>
      <c r="L312" s="50"/>
      <c r="M312" s="50" t="s">
        <v>2445</v>
      </c>
      <c r="N312" s="50"/>
      <c r="O312" s="50"/>
      <c r="P312" s="50"/>
      <c r="Q312" s="50"/>
      <c r="R312" s="50"/>
      <c r="S312" s="50" t="str">
        <f t="shared" si="32"/>
        <v/>
      </c>
      <c r="T312" s="50" t="str">
        <f t="shared" si="34"/>
        <v/>
      </c>
      <c r="U312" s="50" t="str">
        <f t="shared" si="33"/>
        <v/>
      </c>
      <c r="V312" s="50" t="str">
        <f t="shared" si="35"/>
        <v/>
      </c>
      <c r="W312" s="50"/>
      <c r="X312" s="50" t="s">
        <v>4</v>
      </c>
      <c r="Y312" s="50" t="s">
        <v>57</v>
      </c>
      <c r="Z312" s="50" t="s">
        <v>3406</v>
      </c>
      <c r="AA312" s="50"/>
    </row>
    <row r="313" spans="1:27" ht="25.5" customHeight="1">
      <c r="A313" s="517" t="s">
        <v>774</v>
      </c>
      <c r="B313" s="51" t="s">
        <v>891</v>
      </c>
      <c r="C313" s="51" t="s">
        <v>143</v>
      </c>
      <c r="D313" s="51" t="s">
        <v>3831</v>
      </c>
      <c r="E313" s="50">
        <v>2462</v>
      </c>
      <c r="F313" s="50">
        <v>3019</v>
      </c>
      <c r="G313" s="50" t="s">
        <v>3404</v>
      </c>
      <c r="H313" s="50">
        <v>2025</v>
      </c>
      <c r="I313" s="132">
        <v>45679</v>
      </c>
      <c r="J313" s="50" t="s">
        <v>3424</v>
      </c>
      <c r="K313" s="50" t="s">
        <v>179</v>
      </c>
      <c r="L313" s="50"/>
      <c r="M313" s="50" t="s">
        <v>2445</v>
      </c>
      <c r="N313" s="50" t="s">
        <v>3832</v>
      </c>
      <c r="O313" s="60">
        <v>45679</v>
      </c>
      <c r="P313" s="50"/>
      <c r="Q313" s="60">
        <v>45679</v>
      </c>
      <c r="R313" s="60">
        <v>45680</v>
      </c>
      <c r="S313" s="50">
        <f t="shared" si="32"/>
        <v>1</v>
      </c>
      <c r="T313" s="50" t="str">
        <f t="shared" si="34"/>
        <v/>
      </c>
      <c r="U313" s="50">
        <f t="shared" si="33"/>
        <v>1</v>
      </c>
      <c r="V313" s="50">
        <f t="shared" si="35"/>
        <v>1</v>
      </c>
      <c r="W313" s="50" t="s">
        <v>150</v>
      </c>
      <c r="X313" s="50" t="s">
        <v>1078</v>
      </c>
      <c r="Y313" s="50" t="s">
        <v>50</v>
      </c>
      <c r="Z313" s="50" t="s">
        <v>3406</v>
      </c>
      <c r="AA313" s="50"/>
    </row>
    <row r="314" spans="1:27" ht="25.5" customHeight="1">
      <c r="A314" s="50" t="s">
        <v>774</v>
      </c>
      <c r="B314" s="51" t="s">
        <v>891</v>
      </c>
      <c r="C314" s="51" t="s">
        <v>143</v>
      </c>
      <c r="D314" s="51" t="s">
        <v>3833</v>
      </c>
      <c r="E314" s="50">
        <v>3021</v>
      </c>
      <c r="F314" s="50">
        <v>2975</v>
      </c>
      <c r="G314" s="50" t="s">
        <v>3404</v>
      </c>
      <c r="H314" s="50">
        <v>2024</v>
      </c>
      <c r="I314" s="105" t="s">
        <v>3612</v>
      </c>
      <c r="J314" s="50"/>
      <c r="K314" s="50" t="s">
        <v>179</v>
      </c>
      <c r="L314" s="50"/>
      <c r="M314" s="50" t="s">
        <v>2445</v>
      </c>
      <c r="N314" s="50"/>
      <c r="O314" s="50"/>
      <c r="P314" s="50"/>
      <c r="Q314" s="50"/>
      <c r="R314" s="50"/>
      <c r="S314" s="50" t="str">
        <f t="shared" si="32"/>
        <v/>
      </c>
      <c r="T314" s="50" t="str">
        <f t="shared" si="34"/>
        <v/>
      </c>
      <c r="U314" s="50" t="str">
        <f t="shared" si="33"/>
        <v/>
      </c>
      <c r="V314" s="50" t="str">
        <f t="shared" si="35"/>
        <v/>
      </c>
      <c r="W314" s="50"/>
      <c r="X314" s="50" t="s">
        <v>4</v>
      </c>
      <c r="Y314" s="50" t="s">
        <v>57</v>
      </c>
      <c r="Z314" s="50" t="s">
        <v>3834</v>
      </c>
      <c r="AA314" s="50"/>
    </row>
    <row r="315" spans="1:27" ht="25.5" customHeight="1">
      <c r="A315" s="50" t="s">
        <v>774</v>
      </c>
      <c r="B315" s="51" t="s">
        <v>891</v>
      </c>
      <c r="C315" s="51" t="s">
        <v>143</v>
      </c>
      <c r="D315" s="51" t="s">
        <v>3835</v>
      </c>
      <c r="E315" s="50">
        <v>2146</v>
      </c>
      <c r="F315" s="50">
        <v>2192</v>
      </c>
      <c r="G315" s="50" t="s">
        <v>3404</v>
      </c>
      <c r="H315" s="50">
        <v>2024</v>
      </c>
      <c r="I315" s="105" t="s">
        <v>3594</v>
      </c>
      <c r="J315" s="50"/>
      <c r="K315" s="50" t="s">
        <v>179</v>
      </c>
      <c r="L315" s="50"/>
      <c r="M315" s="50" t="s">
        <v>2445</v>
      </c>
      <c r="N315" s="50"/>
      <c r="O315" s="50"/>
      <c r="P315" s="50"/>
      <c r="Q315" s="50"/>
      <c r="R315" s="50"/>
      <c r="S315" s="50" t="str">
        <f t="shared" si="32"/>
        <v/>
      </c>
      <c r="T315" s="50" t="str">
        <f t="shared" si="34"/>
        <v/>
      </c>
      <c r="U315" s="50" t="str">
        <f t="shared" si="33"/>
        <v/>
      </c>
      <c r="V315" s="50" t="str">
        <f t="shared" si="35"/>
        <v/>
      </c>
      <c r="W315" s="50"/>
      <c r="X315" s="50" t="s">
        <v>4</v>
      </c>
      <c r="Y315" s="50" t="s">
        <v>50</v>
      </c>
      <c r="Z315" s="50" t="s">
        <v>3406</v>
      </c>
      <c r="AA315" s="50"/>
    </row>
    <row r="316" spans="1:27" ht="25.5" customHeight="1">
      <c r="A316" s="50" t="s">
        <v>774</v>
      </c>
      <c r="B316" s="51" t="s">
        <v>891</v>
      </c>
      <c r="C316" s="51" t="s">
        <v>143</v>
      </c>
      <c r="D316" s="51" t="s">
        <v>1400</v>
      </c>
      <c r="E316" s="50">
        <v>690</v>
      </c>
      <c r="F316" s="50">
        <v>530</v>
      </c>
      <c r="G316" s="50" t="s">
        <v>3404</v>
      </c>
      <c r="H316" s="50">
        <v>2024</v>
      </c>
      <c r="I316" s="105" t="s">
        <v>3836</v>
      </c>
      <c r="J316" s="50"/>
      <c r="K316" s="50" t="s">
        <v>179</v>
      </c>
      <c r="L316" s="50"/>
      <c r="M316" s="50" t="s">
        <v>2445</v>
      </c>
      <c r="N316" s="50"/>
      <c r="O316" s="50"/>
      <c r="P316" s="50"/>
      <c r="Q316" s="50"/>
      <c r="R316" s="50"/>
      <c r="S316" s="50" t="str">
        <f t="shared" si="32"/>
        <v/>
      </c>
      <c r="T316" s="50" t="str">
        <f t="shared" si="34"/>
        <v/>
      </c>
      <c r="U316" s="50" t="str">
        <f t="shared" si="33"/>
        <v/>
      </c>
      <c r="V316" s="50" t="str">
        <f t="shared" si="35"/>
        <v/>
      </c>
      <c r="W316" s="50"/>
      <c r="X316" s="50" t="s">
        <v>1078</v>
      </c>
      <c r="Y316" s="50" t="s">
        <v>57</v>
      </c>
      <c r="Z316" s="50" t="s">
        <v>3406</v>
      </c>
      <c r="AA316" s="50"/>
    </row>
    <row r="317" spans="1:27" ht="25.5" customHeight="1">
      <c r="A317" s="50" t="s">
        <v>774</v>
      </c>
      <c r="B317" s="51" t="s">
        <v>891</v>
      </c>
      <c r="C317" s="51" t="s">
        <v>143</v>
      </c>
      <c r="D317" s="51" t="s">
        <v>3837</v>
      </c>
      <c r="E317" s="50">
        <v>4380</v>
      </c>
      <c r="F317" s="50">
        <v>4746</v>
      </c>
      <c r="G317" s="50" t="s">
        <v>3404</v>
      </c>
      <c r="H317" s="50">
        <v>2024</v>
      </c>
      <c r="I317" s="105" t="s">
        <v>3838</v>
      </c>
      <c r="J317" s="50"/>
      <c r="K317" s="50" t="s">
        <v>179</v>
      </c>
      <c r="L317" s="50"/>
      <c r="M317" s="50" t="s">
        <v>2445</v>
      </c>
      <c r="N317" s="50"/>
      <c r="O317" s="50"/>
      <c r="P317" s="50"/>
      <c r="Q317" s="50"/>
      <c r="R317" s="50"/>
      <c r="S317" s="50" t="str">
        <f t="shared" si="32"/>
        <v/>
      </c>
      <c r="T317" s="50" t="str">
        <f t="shared" si="34"/>
        <v/>
      </c>
      <c r="U317" s="50" t="str">
        <f t="shared" si="33"/>
        <v/>
      </c>
      <c r="V317" s="50" t="str">
        <f t="shared" si="35"/>
        <v/>
      </c>
      <c r="W317" s="50"/>
      <c r="X317" s="50" t="s">
        <v>4</v>
      </c>
      <c r="Y317" s="50" t="s">
        <v>50</v>
      </c>
      <c r="Z317" s="50" t="s">
        <v>3406</v>
      </c>
      <c r="AA317" s="50"/>
    </row>
    <row r="318" spans="1:27" ht="25.5" customHeight="1">
      <c r="A318" s="50" t="s">
        <v>774</v>
      </c>
      <c r="B318" s="51" t="s">
        <v>891</v>
      </c>
      <c r="C318" s="51" t="s">
        <v>143</v>
      </c>
      <c r="D318" s="51" t="s">
        <v>892</v>
      </c>
      <c r="E318" s="50">
        <v>2486</v>
      </c>
      <c r="F318" s="50">
        <v>2802</v>
      </c>
      <c r="G318" s="50" t="s">
        <v>3404</v>
      </c>
      <c r="H318" s="50">
        <v>2024</v>
      </c>
      <c r="I318" s="105" t="s">
        <v>3839</v>
      </c>
      <c r="J318" s="50"/>
      <c r="K318" s="50" t="s">
        <v>179</v>
      </c>
      <c r="L318" s="50"/>
      <c r="M318" s="50" t="s">
        <v>2445</v>
      </c>
      <c r="N318" s="50"/>
      <c r="O318" s="50"/>
      <c r="P318" s="50"/>
      <c r="Q318" s="50"/>
      <c r="R318" s="50"/>
      <c r="S318" s="50" t="str">
        <f t="shared" si="32"/>
        <v/>
      </c>
      <c r="T318" s="50" t="str">
        <f t="shared" si="34"/>
        <v/>
      </c>
      <c r="U318" s="50" t="str">
        <f t="shared" si="33"/>
        <v/>
      </c>
      <c r="V318" s="50" t="str">
        <f t="shared" si="35"/>
        <v/>
      </c>
      <c r="W318" s="50"/>
      <c r="X318" s="50" t="s">
        <v>4</v>
      </c>
      <c r="Y318" s="50" t="s">
        <v>50</v>
      </c>
      <c r="Z318" s="50" t="s">
        <v>3406</v>
      </c>
      <c r="AA318" s="50"/>
    </row>
    <row r="319" spans="1:27" ht="25.5" customHeight="1">
      <c r="A319" s="50" t="s">
        <v>774</v>
      </c>
      <c r="B319" s="51" t="s">
        <v>891</v>
      </c>
      <c r="C319" s="51" t="s">
        <v>143</v>
      </c>
      <c r="D319" s="51" t="s">
        <v>3840</v>
      </c>
      <c r="E319" s="50">
        <v>1164</v>
      </c>
      <c r="F319" s="50">
        <v>927</v>
      </c>
      <c r="G319" s="50" t="s">
        <v>3404</v>
      </c>
      <c r="H319" s="50">
        <v>2024</v>
      </c>
      <c r="I319" s="105" t="s">
        <v>3841</v>
      </c>
      <c r="J319" s="50"/>
      <c r="K319" s="50" t="s">
        <v>179</v>
      </c>
      <c r="L319" s="50"/>
      <c r="M319" s="50" t="s">
        <v>2445</v>
      </c>
      <c r="N319" s="50"/>
      <c r="O319" s="50"/>
      <c r="P319" s="50"/>
      <c r="Q319" s="50"/>
      <c r="R319" s="50"/>
      <c r="S319" s="50" t="str">
        <f t="shared" si="32"/>
        <v/>
      </c>
      <c r="T319" s="50" t="str">
        <f t="shared" si="34"/>
        <v/>
      </c>
      <c r="U319" s="50" t="str">
        <f t="shared" si="33"/>
        <v/>
      </c>
      <c r="V319" s="50" t="str">
        <f t="shared" si="35"/>
        <v/>
      </c>
      <c r="W319" s="50"/>
      <c r="X319" s="50" t="s">
        <v>4</v>
      </c>
      <c r="Y319" s="50" t="s">
        <v>57</v>
      </c>
      <c r="Z319" s="50" t="s">
        <v>3406</v>
      </c>
      <c r="AA319" s="50"/>
    </row>
    <row r="320" spans="1:27" ht="25.5" customHeight="1">
      <c r="A320" s="50" t="s">
        <v>774</v>
      </c>
      <c r="B320" s="51" t="s">
        <v>891</v>
      </c>
      <c r="C320" s="51" t="s">
        <v>143</v>
      </c>
      <c r="D320" s="51" t="s">
        <v>3842</v>
      </c>
      <c r="E320" s="50">
        <v>2581</v>
      </c>
      <c r="F320" s="50">
        <v>2521</v>
      </c>
      <c r="G320" s="50" t="s">
        <v>3404</v>
      </c>
      <c r="H320" s="50">
        <v>2024</v>
      </c>
      <c r="I320" s="105" t="s">
        <v>3647</v>
      </c>
      <c r="J320" s="50"/>
      <c r="K320" s="50" t="s">
        <v>179</v>
      </c>
      <c r="L320" s="50"/>
      <c r="M320" s="50" t="s">
        <v>2445</v>
      </c>
      <c r="N320" s="50"/>
      <c r="O320" s="50"/>
      <c r="P320" s="50"/>
      <c r="Q320" s="50"/>
      <c r="R320" s="50"/>
      <c r="S320" s="50" t="str">
        <f t="shared" si="32"/>
        <v/>
      </c>
      <c r="T320" s="50" t="str">
        <f t="shared" si="34"/>
        <v/>
      </c>
      <c r="U320" s="50" t="str">
        <f t="shared" si="33"/>
        <v/>
      </c>
      <c r="V320" s="50" t="str">
        <f t="shared" si="35"/>
        <v/>
      </c>
      <c r="W320" s="50"/>
      <c r="X320" s="50" t="s">
        <v>4</v>
      </c>
      <c r="Y320" s="50" t="s">
        <v>57</v>
      </c>
      <c r="Z320" s="50" t="s">
        <v>3406</v>
      </c>
      <c r="AA320" s="50"/>
    </row>
    <row r="321" spans="1:27" ht="25.5" customHeight="1">
      <c r="A321" s="50" t="s">
        <v>774</v>
      </c>
      <c r="B321" s="51" t="s">
        <v>891</v>
      </c>
      <c r="C321" s="51" t="s">
        <v>143</v>
      </c>
      <c r="D321" s="50" t="s">
        <v>3843</v>
      </c>
      <c r="E321" s="50">
        <v>2250</v>
      </c>
      <c r="F321" s="50">
        <v>2269</v>
      </c>
      <c r="G321" s="50" t="s">
        <v>3404</v>
      </c>
      <c r="H321" s="50">
        <v>2024</v>
      </c>
      <c r="I321" s="105" t="s">
        <v>3775</v>
      </c>
      <c r="J321" s="50"/>
      <c r="K321" s="50" t="s">
        <v>179</v>
      </c>
      <c r="L321" s="50"/>
      <c r="M321" s="50" t="s">
        <v>2445</v>
      </c>
      <c r="N321" s="50"/>
      <c r="O321" s="50"/>
      <c r="P321" s="50"/>
      <c r="Q321" s="50"/>
      <c r="R321" s="50"/>
      <c r="S321" s="50" t="str">
        <f t="shared" si="32"/>
        <v/>
      </c>
      <c r="T321" s="50" t="str">
        <f t="shared" si="34"/>
        <v/>
      </c>
      <c r="U321" s="50" t="str">
        <f t="shared" si="33"/>
        <v/>
      </c>
      <c r="V321" s="50" t="str">
        <f t="shared" si="35"/>
        <v/>
      </c>
      <c r="W321" s="50"/>
      <c r="X321" s="50" t="s">
        <v>4</v>
      </c>
      <c r="Y321" s="50" t="s">
        <v>50</v>
      </c>
      <c r="Z321" s="50" t="s">
        <v>3406</v>
      </c>
      <c r="AA321" s="50"/>
    </row>
    <row r="322" spans="1:27" ht="25.5" customHeight="1">
      <c r="A322" s="50" t="s">
        <v>774</v>
      </c>
      <c r="B322" s="51" t="s">
        <v>891</v>
      </c>
      <c r="C322" s="51" t="s">
        <v>143</v>
      </c>
      <c r="D322" s="51" t="s">
        <v>3844</v>
      </c>
      <c r="E322" s="50">
        <v>5563</v>
      </c>
      <c r="F322" s="50">
        <v>5612</v>
      </c>
      <c r="G322" s="50" t="s">
        <v>3404</v>
      </c>
      <c r="H322" s="50">
        <v>2024</v>
      </c>
      <c r="I322" s="105" t="s">
        <v>3595</v>
      </c>
      <c r="J322" s="50"/>
      <c r="K322" s="50" t="s">
        <v>179</v>
      </c>
      <c r="L322" s="50"/>
      <c r="M322" s="50" t="s">
        <v>2445</v>
      </c>
      <c r="N322" s="50"/>
      <c r="O322" s="50"/>
      <c r="P322" s="50"/>
      <c r="Q322" s="50"/>
      <c r="R322" s="50"/>
      <c r="S322" s="50" t="str">
        <f t="shared" si="32"/>
        <v/>
      </c>
      <c r="T322" s="50" t="str">
        <f t="shared" si="34"/>
        <v/>
      </c>
      <c r="U322" s="50" t="str">
        <f t="shared" si="33"/>
        <v/>
      </c>
      <c r="V322" s="50" t="str">
        <f t="shared" si="35"/>
        <v/>
      </c>
      <c r="W322" s="50"/>
      <c r="X322" s="50" t="s">
        <v>4</v>
      </c>
      <c r="Y322" s="50" t="s">
        <v>50</v>
      </c>
      <c r="Z322" s="50" t="s">
        <v>3406</v>
      </c>
      <c r="AA322" s="50"/>
    </row>
    <row r="323" spans="1:27" ht="25.5" customHeight="1">
      <c r="A323" s="50" t="s">
        <v>774</v>
      </c>
      <c r="B323" s="51" t="s">
        <v>891</v>
      </c>
      <c r="C323" s="51" t="s">
        <v>143</v>
      </c>
      <c r="D323" s="51" t="s">
        <v>3845</v>
      </c>
      <c r="E323" s="50">
        <v>1407</v>
      </c>
      <c r="F323" s="50">
        <v>1305</v>
      </c>
      <c r="G323" s="50" t="s">
        <v>3404</v>
      </c>
      <c r="H323" s="50">
        <v>2024</v>
      </c>
      <c r="I323" s="105" t="s">
        <v>3838</v>
      </c>
      <c r="J323" s="50"/>
      <c r="K323" s="50" t="s">
        <v>179</v>
      </c>
      <c r="L323" s="50"/>
      <c r="M323" s="50" t="s">
        <v>2445</v>
      </c>
      <c r="N323" s="50"/>
      <c r="O323" s="50"/>
      <c r="P323" s="50"/>
      <c r="Q323" s="50"/>
      <c r="R323" s="50"/>
      <c r="S323" s="50" t="str">
        <f t="shared" si="32"/>
        <v/>
      </c>
      <c r="T323" s="50" t="str">
        <f t="shared" si="34"/>
        <v/>
      </c>
      <c r="U323" s="50" t="str">
        <f t="shared" si="33"/>
        <v/>
      </c>
      <c r="V323" s="50" t="str">
        <f t="shared" si="35"/>
        <v/>
      </c>
      <c r="W323" s="50"/>
      <c r="X323" s="50" t="s">
        <v>4</v>
      </c>
      <c r="Y323" s="50" t="s">
        <v>57</v>
      </c>
      <c r="Z323" s="50" t="s">
        <v>3406</v>
      </c>
      <c r="AA323" s="50"/>
    </row>
    <row r="324" spans="1:27" ht="25.5" customHeight="1">
      <c r="A324" s="50" t="s">
        <v>774</v>
      </c>
      <c r="B324" s="51" t="s">
        <v>891</v>
      </c>
      <c r="C324" s="51" t="s">
        <v>143</v>
      </c>
      <c r="D324" s="51" t="s">
        <v>3846</v>
      </c>
      <c r="E324" s="50">
        <v>645</v>
      </c>
      <c r="F324" s="50">
        <v>625</v>
      </c>
      <c r="G324" s="50" t="s">
        <v>3404</v>
      </c>
      <c r="H324" s="50">
        <v>2024</v>
      </c>
      <c r="I324" s="105" t="s">
        <v>3847</v>
      </c>
      <c r="J324" s="50"/>
      <c r="K324" s="50" t="s">
        <v>179</v>
      </c>
      <c r="L324" s="50"/>
      <c r="M324" s="50" t="s">
        <v>2445</v>
      </c>
      <c r="N324" s="50"/>
      <c r="O324" s="50"/>
      <c r="P324" s="50"/>
      <c r="Q324" s="50"/>
      <c r="R324" s="50"/>
      <c r="S324" s="50" t="str">
        <f t="shared" si="32"/>
        <v/>
      </c>
      <c r="T324" s="50" t="str">
        <f t="shared" si="34"/>
        <v/>
      </c>
      <c r="U324" s="50" t="str">
        <f t="shared" si="33"/>
        <v/>
      </c>
      <c r="V324" s="50" t="str">
        <f t="shared" si="35"/>
        <v/>
      </c>
      <c r="W324" s="50"/>
      <c r="X324" s="50" t="s">
        <v>4</v>
      </c>
      <c r="Y324" s="50" t="s">
        <v>57</v>
      </c>
      <c r="Z324" s="50" t="s">
        <v>3406</v>
      </c>
      <c r="AA324" s="50"/>
    </row>
    <row r="325" spans="1:27" ht="25.5" customHeight="1">
      <c r="A325" s="50" t="s">
        <v>774</v>
      </c>
      <c r="B325" s="51" t="s">
        <v>891</v>
      </c>
      <c r="C325" s="51" t="s">
        <v>143</v>
      </c>
      <c r="D325" s="51" t="s">
        <v>3848</v>
      </c>
      <c r="E325" s="50">
        <v>1283</v>
      </c>
      <c r="F325" s="50">
        <v>1366</v>
      </c>
      <c r="G325" s="50" t="s">
        <v>3404</v>
      </c>
      <c r="H325" s="50">
        <v>2024</v>
      </c>
      <c r="I325" s="132">
        <v>45595</v>
      </c>
      <c r="J325" s="50"/>
      <c r="K325" s="50" t="s">
        <v>179</v>
      </c>
      <c r="L325" s="50"/>
      <c r="M325" s="50" t="s">
        <v>2445</v>
      </c>
      <c r="N325" s="50"/>
      <c r="O325" s="50"/>
      <c r="P325" s="50"/>
      <c r="Q325" s="50"/>
      <c r="R325" s="50"/>
      <c r="S325" s="50" t="str">
        <f t="shared" si="32"/>
        <v/>
      </c>
      <c r="T325" s="50" t="str">
        <f t="shared" si="34"/>
        <v/>
      </c>
      <c r="U325" s="50" t="str">
        <f t="shared" si="33"/>
        <v/>
      </c>
      <c r="V325" s="50" t="str">
        <f t="shared" si="35"/>
        <v/>
      </c>
      <c r="W325" s="50"/>
      <c r="X325" s="50" t="s">
        <v>4</v>
      </c>
      <c r="Y325" s="50" t="s">
        <v>57</v>
      </c>
      <c r="Z325" s="50" t="s">
        <v>3406</v>
      </c>
      <c r="AA325" s="50"/>
    </row>
    <row r="326" spans="1:27" ht="25.5" customHeight="1">
      <c r="A326" s="50" t="s">
        <v>774</v>
      </c>
      <c r="B326" s="51" t="s">
        <v>891</v>
      </c>
      <c r="C326" s="51" t="s">
        <v>143</v>
      </c>
      <c r="D326" s="51" t="s">
        <v>3849</v>
      </c>
      <c r="E326" s="50">
        <v>510</v>
      </c>
      <c r="F326" s="50">
        <v>583</v>
      </c>
      <c r="G326" s="50" t="s">
        <v>3404</v>
      </c>
      <c r="H326" s="50">
        <v>2024</v>
      </c>
      <c r="I326" s="105" t="s">
        <v>3647</v>
      </c>
      <c r="J326" s="50"/>
      <c r="K326" s="50" t="s">
        <v>179</v>
      </c>
      <c r="L326" s="50"/>
      <c r="M326" s="50" t="s">
        <v>2445</v>
      </c>
      <c r="N326" s="50"/>
      <c r="O326" s="50"/>
      <c r="P326" s="50"/>
      <c r="Q326" s="50"/>
      <c r="R326" s="50"/>
      <c r="S326" s="50" t="str">
        <f t="shared" si="32"/>
        <v/>
      </c>
      <c r="T326" s="50" t="str">
        <f t="shared" si="34"/>
        <v/>
      </c>
      <c r="U326" s="50" t="str">
        <f t="shared" si="33"/>
        <v/>
      </c>
      <c r="V326" s="50" t="str">
        <f t="shared" si="35"/>
        <v/>
      </c>
      <c r="W326" s="50"/>
      <c r="X326" s="50" t="s">
        <v>4</v>
      </c>
      <c r="Y326" s="50" t="s">
        <v>50</v>
      </c>
      <c r="Z326" s="50" t="s">
        <v>3406</v>
      </c>
      <c r="AA326" s="50"/>
    </row>
    <row r="327" spans="1:27" ht="25.5" customHeight="1">
      <c r="A327" s="50" t="s">
        <v>774</v>
      </c>
      <c r="B327" s="51" t="s">
        <v>891</v>
      </c>
      <c r="C327" s="51" t="s">
        <v>143</v>
      </c>
      <c r="D327" s="51" t="s">
        <v>1315</v>
      </c>
      <c r="E327" s="50">
        <v>2003</v>
      </c>
      <c r="F327" s="50">
        <v>2551</v>
      </c>
      <c r="G327" s="50" t="s">
        <v>3404</v>
      </c>
      <c r="H327" s="50">
        <v>2024</v>
      </c>
      <c r="I327" s="105" t="s">
        <v>3850</v>
      </c>
      <c r="J327" s="50"/>
      <c r="K327" s="50" t="s">
        <v>179</v>
      </c>
      <c r="L327" s="50"/>
      <c r="M327" s="50" t="s">
        <v>2445</v>
      </c>
      <c r="N327" s="50"/>
      <c r="O327" s="50"/>
      <c r="P327" s="50"/>
      <c r="Q327" s="50"/>
      <c r="R327" s="50"/>
      <c r="S327" s="50" t="str">
        <f t="shared" si="32"/>
        <v/>
      </c>
      <c r="T327" s="50" t="str">
        <f t="shared" si="34"/>
        <v/>
      </c>
      <c r="U327" s="50" t="str">
        <f t="shared" si="33"/>
        <v/>
      </c>
      <c r="V327" s="50" t="str">
        <f t="shared" si="35"/>
        <v/>
      </c>
      <c r="W327" s="50"/>
      <c r="X327" s="50" t="s">
        <v>4</v>
      </c>
      <c r="Y327" s="50" t="s">
        <v>50</v>
      </c>
      <c r="Z327" s="50" t="s">
        <v>3406</v>
      </c>
      <c r="AA327" s="50"/>
    </row>
    <row r="328" spans="1:27" ht="25.5" customHeight="1">
      <c r="A328" s="50" t="s">
        <v>774</v>
      </c>
      <c r="B328" s="51" t="s">
        <v>891</v>
      </c>
      <c r="C328" s="51" t="s">
        <v>143</v>
      </c>
      <c r="D328" s="51" t="s">
        <v>3851</v>
      </c>
      <c r="E328" s="50">
        <v>1467</v>
      </c>
      <c r="F328" s="50">
        <v>1632</v>
      </c>
      <c r="G328" s="50" t="s">
        <v>3404</v>
      </c>
      <c r="H328" s="50">
        <v>2024</v>
      </c>
      <c r="I328" s="105" t="s">
        <v>3540</v>
      </c>
      <c r="J328" s="50"/>
      <c r="K328" s="50" t="s">
        <v>179</v>
      </c>
      <c r="L328" s="50"/>
      <c r="M328" s="50" t="s">
        <v>2445</v>
      </c>
      <c r="N328" s="50"/>
      <c r="O328" s="50"/>
      <c r="P328" s="50"/>
      <c r="Q328" s="50"/>
      <c r="R328" s="50"/>
      <c r="S328" s="50" t="str">
        <f t="shared" ref="S328:S391" si="36">IF(
    OR(ISBLANK(I328), ISBLANK(O328)),
    "",
    MAX(1, IF(
        NETWORKDAYS(I328, O328) &lt;= 0,
        1,
        NETWORKDAYS(I328, O328) - IF(I328 = O328, 0, 1)
    ))
)</f>
        <v/>
      </c>
      <c r="T328" s="50" t="str">
        <f t="shared" si="34"/>
        <v/>
      </c>
      <c r="U328" s="50" t="str">
        <f t="shared" ref="U328:U389" si="37">IF(
    OR(ISBLANK(O328), ISBLANK(Q328)),
    "",
    MAX(1, IF(
        NETWORKDAYS(O328, Q328) &lt;= 0,
        1,
        NETWORKDAYS(O328, Q328) - IF(O328 = Q328, 0, 1)
    ))
)</f>
        <v/>
      </c>
      <c r="V328" s="50" t="str">
        <f t="shared" si="35"/>
        <v/>
      </c>
      <c r="W328" s="50"/>
      <c r="X328" s="50" t="s">
        <v>4</v>
      </c>
      <c r="Y328" s="50" t="s">
        <v>50</v>
      </c>
      <c r="Z328" s="50" t="s">
        <v>3406</v>
      </c>
      <c r="AA328" s="50"/>
    </row>
    <row r="329" spans="1:27" ht="25.5" customHeight="1">
      <c r="A329" s="50" t="s">
        <v>774</v>
      </c>
      <c r="B329" s="51" t="s">
        <v>891</v>
      </c>
      <c r="C329" s="51" t="s">
        <v>143</v>
      </c>
      <c r="D329" s="51" t="s">
        <v>3852</v>
      </c>
      <c r="E329" s="50">
        <v>2493</v>
      </c>
      <c r="F329" s="50">
        <v>2511</v>
      </c>
      <c r="G329" s="50" t="s">
        <v>3404</v>
      </c>
      <c r="H329" s="50">
        <v>2024</v>
      </c>
      <c r="I329" s="105" t="s">
        <v>3853</v>
      </c>
      <c r="J329" s="50"/>
      <c r="K329" s="50" t="s">
        <v>179</v>
      </c>
      <c r="L329" s="50"/>
      <c r="M329" s="50" t="s">
        <v>2445</v>
      </c>
      <c r="N329" s="50"/>
      <c r="O329" s="50"/>
      <c r="P329" s="50"/>
      <c r="Q329" s="50"/>
      <c r="R329" s="50"/>
      <c r="S329" s="50" t="str">
        <f t="shared" si="36"/>
        <v/>
      </c>
      <c r="T329" s="50" t="str">
        <f t="shared" si="34"/>
        <v/>
      </c>
      <c r="U329" s="50" t="str">
        <f t="shared" si="37"/>
        <v/>
      </c>
      <c r="V329" s="50" t="str">
        <f t="shared" si="35"/>
        <v/>
      </c>
      <c r="W329" s="50"/>
      <c r="X329" s="50"/>
      <c r="Y329" s="50"/>
      <c r="Z329" s="50" t="s">
        <v>3406</v>
      </c>
      <c r="AA329" s="50"/>
    </row>
    <row r="330" spans="1:27" s="110" customFormat="1" ht="25.5" customHeight="1">
      <c r="A330" s="50" t="s">
        <v>774</v>
      </c>
      <c r="B330" s="51" t="s">
        <v>891</v>
      </c>
      <c r="C330" s="51" t="s">
        <v>143</v>
      </c>
      <c r="D330" s="51" t="s">
        <v>3854</v>
      </c>
      <c r="E330" s="50">
        <v>5023</v>
      </c>
      <c r="F330" s="50">
        <v>4928</v>
      </c>
      <c r="G330" s="50" t="s">
        <v>3404</v>
      </c>
      <c r="H330" s="50">
        <v>2024</v>
      </c>
      <c r="I330" s="105" t="s">
        <v>3439</v>
      </c>
      <c r="J330" s="50"/>
      <c r="K330" s="50" t="s">
        <v>179</v>
      </c>
      <c r="L330" s="50"/>
      <c r="M330" s="50" t="s">
        <v>2445</v>
      </c>
      <c r="N330" s="50"/>
      <c r="O330" s="50"/>
      <c r="P330" s="50"/>
      <c r="Q330" s="50"/>
      <c r="R330" s="50"/>
      <c r="S330" s="50" t="str">
        <f t="shared" si="36"/>
        <v/>
      </c>
      <c r="T330" s="50" t="str">
        <f t="shared" si="34"/>
        <v/>
      </c>
      <c r="U330" s="50" t="str">
        <f t="shared" si="37"/>
        <v/>
      </c>
      <c r="V330" s="50" t="str">
        <f t="shared" si="35"/>
        <v/>
      </c>
      <c r="W330" s="50"/>
      <c r="X330" s="50" t="s">
        <v>4</v>
      </c>
      <c r="Y330" s="50" t="s">
        <v>50</v>
      </c>
      <c r="Z330" s="50" t="s">
        <v>3406</v>
      </c>
      <c r="AA330" s="50"/>
    </row>
    <row r="331" spans="1:27" ht="25.5" customHeight="1">
      <c r="A331" s="50" t="s">
        <v>774</v>
      </c>
      <c r="B331" s="51" t="s">
        <v>891</v>
      </c>
      <c r="C331" s="51" t="s">
        <v>143</v>
      </c>
      <c r="D331" s="51" t="s">
        <v>3855</v>
      </c>
      <c r="E331" s="50">
        <v>1968</v>
      </c>
      <c r="F331" s="50">
        <v>1672</v>
      </c>
      <c r="G331" s="50" t="s">
        <v>3404</v>
      </c>
      <c r="H331" s="50">
        <v>2024</v>
      </c>
      <c r="I331" s="105" t="s">
        <v>3856</v>
      </c>
      <c r="J331" s="50"/>
      <c r="K331" s="50" t="s">
        <v>179</v>
      </c>
      <c r="L331" s="50"/>
      <c r="M331" s="50" t="s">
        <v>2445</v>
      </c>
      <c r="N331" s="50"/>
      <c r="O331" s="50"/>
      <c r="P331" s="50"/>
      <c r="Q331" s="50"/>
      <c r="R331" s="50"/>
      <c r="S331" s="50" t="str">
        <f t="shared" si="36"/>
        <v/>
      </c>
      <c r="T331" s="50" t="str">
        <f t="shared" si="34"/>
        <v/>
      </c>
      <c r="U331" s="50" t="str">
        <f t="shared" si="37"/>
        <v/>
      </c>
      <c r="V331" s="50" t="str">
        <f t="shared" si="35"/>
        <v/>
      </c>
      <c r="W331" s="50"/>
      <c r="X331" s="50"/>
      <c r="Y331" s="50"/>
      <c r="Z331" s="50" t="s">
        <v>3406</v>
      </c>
      <c r="AA331" s="50"/>
    </row>
    <row r="332" spans="1:27" ht="25.5" customHeight="1">
      <c r="A332" s="50" t="s">
        <v>774</v>
      </c>
      <c r="B332" s="51" t="s">
        <v>891</v>
      </c>
      <c r="C332" s="51" t="s">
        <v>143</v>
      </c>
      <c r="D332" s="51" t="s">
        <v>3857</v>
      </c>
      <c r="E332" s="50">
        <v>6856</v>
      </c>
      <c r="F332" s="50">
        <v>8138</v>
      </c>
      <c r="G332" s="50" t="s">
        <v>3404</v>
      </c>
      <c r="H332" s="50">
        <v>2024</v>
      </c>
      <c r="I332" s="132">
        <v>45595</v>
      </c>
      <c r="J332" s="50"/>
      <c r="K332" s="50" t="s">
        <v>179</v>
      </c>
      <c r="L332" s="50"/>
      <c r="M332" s="50" t="s">
        <v>2445</v>
      </c>
      <c r="N332" s="50"/>
      <c r="O332" s="50"/>
      <c r="P332" s="50"/>
      <c r="Q332" s="50"/>
      <c r="R332" s="50"/>
      <c r="S332" s="50" t="str">
        <f t="shared" si="36"/>
        <v/>
      </c>
      <c r="T332" s="50" t="str">
        <f t="shared" si="34"/>
        <v/>
      </c>
      <c r="U332" s="50" t="str">
        <f t="shared" si="37"/>
        <v/>
      </c>
      <c r="V332" s="50" t="str">
        <f t="shared" si="35"/>
        <v/>
      </c>
      <c r="W332" s="50"/>
      <c r="X332" s="50" t="s">
        <v>4</v>
      </c>
      <c r="Y332" s="50" t="s">
        <v>57</v>
      </c>
      <c r="Z332" s="50" t="s">
        <v>3406</v>
      </c>
      <c r="AA332" s="50"/>
    </row>
    <row r="333" spans="1:27" ht="25.5" customHeight="1">
      <c r="A333" s="50" t="s">
        <v>774</v>
      </c>
      <c r="B333" s="51" t="s">
        <v>891</v>
      </c>
      <c r="C333" s="51" t="s">
        <v>143</v>
      </c>
      <c r="D333" s="51" t="s">
        <v>3605</v>
      </c>
      <c r="E333" s="50">
        <v>729</v>
      </c>
      <c r="F333" s="50">
        <v>698</v>
      </c>
      <c r="G333" s="50" t="s">
        <v>3404</v>
      </c>
      <c r="H333" s="50">
        <v>2024</v>
      </c>
      <c r="I333" s="105" t="s">
        <v>3858</v>
      </c>
      <c r="J333" s="50"/>
      <c r="K333" s="50" t="s">
        <v>179</v>
      </c>
      <c r="L333" s="50"/>
      <c r="M333" s="50" t="s">
        <v>2445</v>
      </c>
      <c r="N333" s="50"/>
      <c r="O333" s="50"/>
      <c r="P333" s="50"/>
      <c r="Q333" s="50"/>
      <c r="R333" s="50"/>
      <c r="S333" s="50" t="str">
        <f t="shared" si="36"/>
        <v/>
      </c>
      <c r="T333" s="50" t="str">
        <f t="shared" si="34"/>
        <v/>
      </c>
      <c r="U333" s="50" t="str">
        <f t="shared" si="37"/>
        <v/>
      </c>
      <c r="V333" s="50" t="str">
        <f t="shared" si="35"/>
        <v/>
      </c>
      <c r="W333" s="50"/>
      <c r="X333" s="50" t="s">
        <v>4</v>
      </c>
      <c r="Y333" s="50" t="s">
        <v>50</v>
      </c>
      <c r="Z333" s="50" t="s">
        <v>3406</v>
      </c>
      <c r="AA333" s="50"/>
    </row>
    <row r="334" spans="1:27" ht="25.5" customHeight="1">
      <c r="A334" s="517" t="s">
        <v>774</v>
      </c>
      <c r="B334" s="51" t="s">
        <v>1775</v>
      </c>
      <c r="C334" s="51" t="s">
        <v>143</v>
      </c>
      <c r="D334" s="51" t="s">
        <v>2180</v>
      </c>
      <c r="E334" s="50">
        <v>4771</v>
      </c>
      <c r="F334" s="50">
        <v>6156</v>
      </c>
      <c r="G334" s="50" t="s">
        <v>3404</v>
      </c>
      <c r="H334" s="50">
        <v>2025</v>
      </c>
      <c r="I334" s="132">
        <v>45848</v>
      </c>
      <c r="J334" s="50" t="s">
        <v>3125</v>
      </c>
      <c r="K334" s="50" t="s">
        <v>19</v>
      </c>
      <c r="L334" s="50"/>
      <c r="M334" s="50" t="s">
        <v>2445</v>
      </c>
      <c r="N334" s="50" t="s">
        <v>3859</v>
      </c>
      <c r="O334" s="60">
        <v>45852</v>
      </c>
      <c r="P334" s="50"/>
      <c r="Q334" s="60">
        <v>45853</v>
      </c>
      <c r="R334" s="60">
        <v>45855</v>
      </c>
      <c r="S334" s="50">
        <f t="shared" si="36"/>
        <v>2</v>
      </c>
      <c r="T334" s="50" t="str">
        <f t="shared" si="34"/>
        <v/>
      </c>
      <c r="U334" s="50">
        <f t="shared" si="37"/>
        <v>1</v>
      </c>
      <c r="V334" s="50">
        <f t="shared" si="35"/>
        <v>2</v>
      </c>
      <c r="W334" s="50" t="s">
        <v>150</v>
      </c>
      <c r="X334" s="50" t="s">
        <v>3527</v>
      </c>
      <c r="Y334" s="50" t="s">
        <v>3528</v>
      </c>
      <c r="Z334" s="50" t="s">
        <v>3406</v>
      </c>
      <c r="AA334" s="50"/>
    </row>
    <row r="335" spans="1:27" ht="25.5" customHeight="1">
      <c r="A335" s="50" t="s">
        <v>774</v>
      </c>
      <c r="B335" s="51" t="s">
        <v>861</v>
      </c>
      <c r="C335" s="51" t="s">
        <v>143</v>
      </c>
      <c r="D335" s="51" t="s">
        <v>3860</v>
      </c>
      <c r="E335" s="50">
        <v>644</v>
      </c>
      <c r="F335" s="50">
        <v>516</v>
      </c>
      <c r="G335" s="50" t="s">
        <v>3404</v>
      </c>
      <c r="H335" s="50">
        <v>2024</v>
      </c>
      <c r="I335" s="105" t="s">
        <v>3439</v>
      </c>
      <c r="J335" s="50"/>
      <c r="K335" s="50" t="s">
        <v>188</v>
      </c>
      <c r="L335" s="50"/>
      <c r="M335" s="50" t="s">
        <v>2445</v>
      </c>
      <c r="N335" s="50"/>
      <c r="O335" s="50"/>
      <c r="P335" s="50"/>
      <c r="Q335" s="50"/>
      <c r="R335" s="50"/>
      <c r="S335" s="50" t="str">
        <f t="shared" si="36"/>
        <v/>
      </c>
      <c r="T335" s="50" t="str">
        <f t="shared" si="34"/>
        <v/>
      </c>
      <c r="U335" s="50" t="str">
        <f t="shared" si="37"/>
        <v/>
      </c>
      <c r="V335" s="50" t="str">
        <f t="shared" si="35"/>
        <v/>
      </c>
      <c r="W335" s="50"/>
      <c r="X335" s="50" t="s">
        <v>4</v>
      </c>
      <c r="Y335" s="50" t="s">
        <v>50</v>
      </c>
      <c r="Z335" s="50" t="s">
        <v>3406</v>
      </c>
      <c r="AA335" s="50"/>
    </row>
    <row r="336" spans="1:27" ht="25.5" customHeight="1">
      <c r="A336" s="50" t="s">
        <v>774</v>
      </c>
      <c r="B336" s="51" t="s">
        <v>861</v>
      </c>
      <c r="C336" s="51" t="s">
        <v>143</v>
      </c>
      <c r="D336" s="51" t="s">
        <v>3608</v>
      </c>
      <c r="E336" s="50">
        <v>1309</v>
      </c>
      <c r="F336" s="50">
        <v>1146</v>
      </c>
      <c r="G336" s="50" t="s">
        <v>3404</v>
      </c>
      <c r="H336" s="50">
        <v>2024</v>
      </c>
      <c r="I336" s="105" t="s">
        <v>3861</v>
      </c>
      <c r="J336" s="50"/>
      <c r="K336" s="50" t="s">
        <v>188</v>
      </c>
      <c r="L336" s="50"/>
      <c r="M336" s="50" t="s">
        <v>2445</v>
      </c>
      <c r="N336" s="50"/>
      <c r="O336" s="50"/>
      <c r="P336" s="50"/>
      <c r="Q336" s="50"/>
      <c r="R336" s="50"/>
      <c r="S336" s="50" t="str">
        <f t="shared" si="36"/>
        <v/>
      </c>
      <c r="T336" s="50" t="str">
        <f t="shared" si="34"/>
        <v/>
      </c>
      <c r="U336" s="50" t="str">
        <f t="shared" si="37"/>
        <v/>
      </c>
      <c r="V336" s="50" t="str">
        <f t="shared" si="35"/>
        <v/>
      </c>
      <c r="W336" s="50"/>
      <c r="X336" s="50" t="s">
        <v>4</v>
      </c>
      <c r="Y336" s="50" t="s">
        <v>50</v>
      </c>
      <c r="Z336" s="50" t="s">
        <v>3406</v>
      </c>
      <c r="AA336" s="50"/>
    </row>
    <row r="337" spans="1:27" ht="25.5" customHeight="1">
      <c r="A337" s="50" t="s">
        <v>774</v>
      </c>
      <c r="B337" s="51" t="s">
        <v>861</v>
      </c>
      <c r="C337" s="51" t="s">
        <v>143</v>
      </c>
      <c r="D337" s="51" t="s">
        <v>3862</v>
      </c>
      <c r="E337" s="50">
        <v>1963</v>
      </c>
      <c r="F337" s="50">
        <v>1995</v>
      </c>
      <c r="G337" s="50" t="s">
        <v>3404</v>
      </c>
      <c r="H337" s="50">
        <v>2024</v>
      </c>
      <c r="I337" s="132">
        <v>45427</v>
      </c>
      <c r="J337" s="50"/>
      <c r="K337" s="50" t="s">
        <v>188</v>
      </c>
      <c r="L337" s="50"/>
      <c r="M337" s="50" t="s">
        <v>2445</v>
      </c>
      <c r="N337" s="50"/>
      <c r="O337" s="50"/>
      <c r="P337" s="50"/>
      <c r="Q337" s="50"/>
      <c r="R337" s="50"/>
      <c r="S337" s="50" t="str">
        <f t="shared" si="36"/>
        <v/>
      </c>
      <c r="T337" s="50" t="str">
        <f t="shared" si="34"/>
        <v/>
      </c>
      <c r="U337" s="50" t="str">
        <f t="shared" si="37"/>
        <v/>
      </c>
      <c r="V337" s="50" t="str">
        <f t="shared" si="35"/>
        <v/>
      </c>
      <c r="W337" s="50"/>
      <c r="X337" s="50" t="s">
        <v>4</v>
      </c>
      <c r="Y337" s="50" t="s">
        <v>50</v>
      </c>
      <c r="Z337" s="50" t="s">
        <v>3406</v>
      </c>
      <c r="AA337" s="50"/>
    </row>
    <row r="338" spans="1:27" ht="25.5" customHeight="1">
      <c r="A338" s="50" t="s">
        <v>774</v>
      </c>
      <c r="B338" s="51" t="s">
        <v>861</v>
      </c>
      <c r="C338" s="51" t="s">
        <v>143</v>
      </c>
      <c r="D338" s="51" t="s">
        <v>3821</v>
      </c>
      <c r="E338" s="50">
        <v>1391</v>
      </c>
      <c r="F338" s="50">
        <v>1399</v>
      </c>
      <c r="G338" s="50" t="s">
        <v>3404</v>
      </c>
      <c r="H338" s="50">
        <v>2024</v>
      </c>
      <c r="I338" s="105" t="s">
        <v>3863</v>
      </c>
      <c r="J338" s="50"/>
      <c r="K338" s="50" t="s">
        <v>188</v>
      </c>
      <c r="L338" s="50"/>
      <c r="M338" s="50" t="s">
        <v>2445</v>
      </c>
      <c r="N338" s="50"/>
      <c r="O338" s="50"/>
      <c r="P338" s="50"/>
      <c r="Q338" s="50"/>
      <c r="R338" s="50"/>
      <c r="S338" s="50" t="str">
        <f t="shared" si="36"/>
        <v/>
      </c>
      <c r="T338" s="50" t="str">
        <f t="shared" si="34"/>
        <v/>
      </c>
      <c r="U338" s="50" t="str">
        <f t="shared" si="37"/>
        <v/>
      </c>
      <c r="V338" s="50" t="str">
        <f t="shared" si="35"/>
        <v/>
      </c>
      <c r="W338" s="50"/>
      <c r="X338" s="50" t="s">
        <v>4</v>
      </c>
      <c r="Y338" s="50" t="s">
        <v>50</v>
      </c>
      <c r="Z338" s="50" t="s">
        <v>3406</v>
      </c>
      <c r="AA338" s="50"/>
    </row>
    <row r="339" spans="1:27" s="110" customFormat="1" ht="25.5" customHeight="1">
      <c r="A339" s="50" t="s">
        <v>774</v>
      </c>
      <c r="B339" s="51" t="s">
        <v>861</v>
      </c>
      <c r="C339" s="51" t="s">
        <v>143</v>
      </c>
      <c r="D339" s="51" t="s">
        <v>3864</v>
      </c>
      <c r="E339" s="50">
        <v>1403</v>
      </c>
      <c r="F339" s="50">
        <v>1387</v>
      </c>
      <c r="G339" s="50" t="s">
        <v>3404</v>
      </c>
      <c r="H339" s="50">
        <v>2024</v>
      </c>
      <c r="I339" s="105" t="s">
        <v>3744</v>
      </c>
      <c r="J339" s="50"/>
      <c r="K339" s="50" t="s">
        <v>188</v>
      </c>
      <c r="L339" s="50"/>
      <c r="M339" s="50" t="s">
        <v>2445</v>
      </c>
      <c r="N339" s="50"/>
      <c r="O339" s="50"/>
      <c r="P339" s="50"/>
      <c r="Q339" s="50"/>
      <c r="R339" s="50"/>
      <c r="S339" s="50" t="str">
        <f t="shared" si="36"/>
        <v/>
      </c>
      <c r="T339" s="50" t="str">
        <f t="shared" si="34"/>
        <v/>
      </c>
      <c r="U339" s="50" t="str">
        <f t="shared" si="37"/>
        <v/>
      </c>
      <c r="V339" s="50" t="str">
        <f t="shared" si="35"/>
        <v/>
      </c>
      <c r="W339" s="50"/>
      <c r="X339" s="50" t="s">
        <v>4</v>
      </c>
      <c r="Y339" s="50" t="s">
        <v>50</v>
      </c>
      <c r="Z339" s="50" t="s">
        <v>3406</v>
      </c>
      <c r="AA339" s="50"/>
    </row>
    <row r="340" spans="1:27" ht="25.5" customHeight="1">
      <c r="A340" s="50" t="s">
        <v>774</v>
      </c>
      <c r="B340" s="51" t="s">
        <v>861</v>
      </c>
      <c r="C340" s="51" t="s">
        <v>143</v>
      </c>
      <c r="D340" s="51" t="s">
        <v>3865</v>
      </c>
      <c r="E340" s="50">
        <v>1610</v>
      </c>
      <c r="F340" s="50">
        <v>1807</v>
      </c>
      <c r="G340" s="50" t="s">
        <v>3404</v>
      </c>
      <c r="H340" s="50">
        <v>2024</v>
      </c>
      <c r="I340" s="105" t="s">
        <v>3866</v>
      </c>
      <c r="J340" s="50"/>
      <c r="K340" s="50" t="s">
        <v>188</v>
      </c>
      <c r="L340" s="50"/>
      <c r="M340" s="50" t="s">
        <v>2445</v>
      </c>
      <c r="N340" s="50"/>
      <c r="O340" s="50"/>
      <c r="P340" s="50"/>
      <c r="Q340" s="50"/>
      <c r="R340" s="50"/>
      <c r="S340" s="50" t="str">
        <f t="shared" si="36"/>
        <v/>
      </c>
      <c r="T340" s="50" t="str">
        <f t="shared" si="34"/>
        <v/>
      </c>
      <c r="U340" s="50" t="str">
        <f t="shared" si="37"/>
        <v/>
      </c>
      <c r="V340" s="50" t="str">
        <f t="shared" si="35"/>
        <v/>
      </c>
      <c r="W340" s="50"/>
      <c r="X340" s="50" t="s">
        <v>4</v>
      </c>
      <c r="Y340" s="50" t="s">
        <v>50</v>
      </c>
      <c r="Z340" s="50" t="s">
        <v>3406</v>
      </c>
      <c r="AA340" s="50"/>
    </row>
    <row r="341" spans="1:27" ht="25.5" customHeight="1">
      <c r="A341" s="50" t="s">
        <v>774</v>
      </c>
      <c r="B341" s="51" t="s">
        <v>861</v>
      </c>
      <c r="C341" s="51" t="s">
        <v>143</v>
      </c>
      <c r="D341" s="51" t="s">
        <v>1051</v>
      </c>
      <c r="E341" s="50">
        <v>1587</v>
      </c>
      <c r="F341" s="50">
        <v>1707</v>
      </c>
      <c r="G341" s="50" t="s">
        <v>3404</v>
      </c>
      <c r="H341" s="50">
        <v>2024</v>
      </c>
      <c r="I341" s="105" t="s">
        <v>3664</v>
      </c>
      <c r="J341" s="50"/>
      <c r="K341" s="50" t="s">
        <v>188</v>
      </c>
      <c r="L341" s="50"/>
      <c r="M341" s="50" t="s">
        <v>2445</v>
      </c>
      <c r="N341" s="50"/>
      <c r="O341" s="50"/>
      <c r="P341" s="50"/>
      <c r="Q341" s="50"/>
      <c r="R341" s="50"/>
      <c r="S341" s="50" t="str">
        <f t="shared" si="36"/>
        <v/>
      </c>
      <c r="T341" s="50" t="str">
        <f t="shared" si="34"/>
        <v/>
      </c>
      <c r="U341" s="50" t="str">
        <f t="shared" si="37"/>
        <v/>
      </c>
      <c r="V341" s="50" t="str">
        <f t="shared" si="35"/>
        <v/>
      </c>
      <c r="W341" s="50"/>
      <c r="X341" s="50" t="s">
        <v>4</v>
      </c>
      <c r="Y341" s="50" t="s">
        <v>50</v>
      </c>
      <c r="Z341" s="50" t="s">
        <v>3406</v>
      </c>
      <c r="AA341" s="50"/>
    </row>
    <row r="342" spans="1:27" ht="25.5" customHeight="1">
      <c r="A342" s="50" t="s">
        <v>774</v>
      </c>
      <c r="B342" s="51" t="s">
        <v>861</v>
      </c>
      <c r="C342" s="51" t="s">
        <v>143</v>
      </c>
      <c r="D342" s="51" t="s">
        <v>3867</v>
      </c>
      <c r="E342" s="50">
        <v>969</v>
      </c>
      <c r="F342" s="50">
        <v>1064</v>
      </c>
      <c r="G342" s="50" t="s">
        <v>3404</v>
      </c>
      <c r="H342" s="50">
        <v>2024</v>
      </c>
      <c r="I342" s="132">
        <v>45583</v>
      </c>
      <c r="J342" s="50"/>
      <c r="K342" s="50" t="s">
        <v>188</v>
      </c>
      <c r="L342" s="50"/>
      <c r="M342" s="50" t="s">
        <v>2445</v>
      </c>
      <c r="N342" s="50"/>
      <c r="O342" s="50"/>
      <c r="P342" s="50"/>
      <c r="Q342" s="50"/>
      <c r="R342" s="50"/>
      <c r="S342" s="50" t="str">
        <f t="shared" si="36"/>
        <v/>
      </c>
      <c r="T342" s="50" t="str">
        <f t="shared" si="34"/>
        <v/>
      </c>
      <c r="U342" s="50" t="str">
        <f t="shared" si="37"/>
        <v/>
      </c>
      <c r="V342" s="50" t="str">
        <f t="shared" si="35"/>
        <v/>
      </c>
      <c r="W342" s="50"/>
      <c r="X342" s="50" t="s">
        <v>4</v>
      </c>
      <c r="Y342" s="50" t="s">
        <v>50</v>
      </c>
      <c r="Z342" s="50" t="s">
        <v>3406</v>
      </c>
      <c r="AA342" s="50"/>
    </row>
    <row r="343" spans="1:27" ht="25.5" customHeight="1">
      <c r="A343" s="50" t="s">
        <v>774</v>
      </c>
      <c r="B343" s="51" t="s">
        <v>861</v>
      </c>
      <c r="C343" s="51" t="s">
        <v>143</v>
      </c>
      <c r="D343" s="51" t="s">
        <v>3868</v>
      </c>
      <c r="E343" s="50">
        <v>2745</v>
      </c>
      <c r="F343" s="50">
        <v>3069</v>
      </c>
      <c r="G343" s="50" t="s">
        <v>3404</v>
      </c>
      <c r="H343" s="50">
        <v>2024</v>
      </c>
      <c r="I343" s="132">
        <v>45596</v>
      </c>
      <c r="J343" s="50"/>
      <c r="K343" s="50" t="s">
        <v>188</v>
      </c>
      <c r="L343" s="50"/>
      <c r="M343" s="50" t="s">
        <v>2445</v>
      </c>
      <c r="N343" s="50"/>
      <c r="O343" s="50"/>
      <c r="P343" s="50"/>
      <c r="Q343" s="50"/>
      <c r="R343" s="50"/>
      <c r="S343" s="50" t="str">
        <f t="shared" si="36"/>
        <v/>
      </c>
      <c r="T343" s="50" t="str">
        <f t="shared" si="34"/>
        <v/>
      </c>
      <c r="U343" s="50" t="str">
        <f t="shared" si="37"/>
        <v/>
      </c>
      <c r="V343" s="50" t="str">
        <f t="shared" si="35"/>
        <v/>
      </c>
      <c r="W343" s="50"/>
      <c r="X343" s="50" t="s">
        <v>4</v>
      </c>
      <c r="Y343" s="50" t="s">
        <v>50</v>
      </c>
      <c r="Z343" s="50" t="s">
        <v>3406</v>
      </c>
      <c r="AA343" s="50"/>
    </row>
    <row r="344" spans="1:27" ht="25.5" customHeight="1">
      <c r="A344" s="50" t="s">
        <v>774</v>
      </c>
      <c r="B344" s="51" t="s">
        <v>861</v>
      </c>
      <c r="C344" s="51" t="s">
        <v>143</v>
      </c>
      <c r="D344" s="51" t="s">
        <v>3869</v>
      </c>
      <c r="E344" s="50">
        <v>6297</v>
      </c>
      <c r="F344" s="50">
        <v>8056</v>
      </c>
      <c r="G344" s="50" t="s">
        <v>3404</v>
      </c>
      <c r="H344" s="50">
        <v>2024</v>
      </c>
      <c r="I344" s="105" t="s">
        <v>3764</v>
      </c>
      <c r="J344" s="50"/>
      <c r="K344" s="50" t="s">
        <v>188</v>
      </c>
      <c r="L344" s="50"/>
      <c r="M344" s="50" t="s">
        <v>2445</v>
      </c>
      <c r="N344" s="50"/>
      <c r="O344" s="50"/>
      <c r="P344" s="50"/>
      <c r="Q344" s="50"/>
      <c r="R344" s="50"/>
      <c r="S344" s="50" t="str">
        <f t="shared" si="36"/>
        <v/>
      </c>
      <c r="T344" s="50" t="str">
        <f t="shared" si="34"/>
        <v/>
      </c>
      <c r="U344" s="50" t="str">
        <f t="shared" si="37"/>
        <v/>
      </c>
      <c r="V344" s="50" t="str">
        <f t="shared" si="35"/>
        <v/>
      </c>
      <c r="W344" s="50"/>
      <c r="X344" s="50" t="s">
        <v>4</v>
      </c>
      <c r="Y344" s="50" t="s">
        <v>50</v>
      </c>
      <c r="Z344" s="50" t="s">
        <v>3406</v>
      </c>
      <c r="AA344" s="50"/>
    </row>
    <row r="345" spans="1:27" s="110" customFormat="1" ht="25.5" customHeight="1">
      <c r="A345" s="517" t="s">
        <v>774</v>
      </c>
      <c r="B345" s="51" t="s">
        <v>861</v>
      </c>
      <c r="C345" s="51" t="s">
        <v>143</v>
      </c>
      <c r="D345" s="51" t="s">
        <v>862</v>
      </c>
      <c r="E345" s="50">
        <v>3956</v>
      </c>
      <c r="F345" s="50">
        <v>5343</v>
      </c>
      <c r="G345" s="50" t="s">
        <v>3404</v>
      </c>
      <c r="H345" s="50">
        <v>2025</v>
      </c>
      <c r="I345" s="132">
        <v>45762</v>
      </c>
      <c r="J345" s="50" t="s">
        <v>3470</v>
      </c>
      <c r="K345" s="50" t="s">
        <v>188</v>
      </c>
      <c r="L345" s="50"/>
      <c r="M345" s="50" t="s">
        <v>2445</v>
      </c>
      <c r="N345" s="50" t="s">
        <v>3870</v>
      </c>
      <c r="O345" s="60">
        <v>45762</v>
      </c>
      <c r="P345" s="60"/>
      <c r="Q345" s="60">
        <v>45762</v>
      </c>
      <c r="R345" s="60">
        <v>45763</v>
      </c>
      <c r="S345" s="50">
        <f t="shared" si="36"/>
        <v>1</v>
      </c>
      <c r="T345" s="50" t="str">
        <f t="shared" ref="T345:T389" si="38">IF(
    OR(ISBLANK(O345), ISBLANK(P345)),
    "",
    MAX(1, IF(
        NETWORKDAYS(O345, P345) &lt;= 0,
        1,
        NETWORKDAYS(O345, P345) - IF(O345 = P345, 0, 1)
    ))
)</f>
        <v/>
      </c>
      <c r="U345" s="50">
        <f t="shared" si="37"/>
        <v>1</v>
      </c>
      <c r="V345" s="50">
        <f t="shared" ref="V345:V408" si="39">IF(
    OR(ISBLANK(Q345), ISBLANK(R345)),
    "",
    MAX(1, IF(
        NETWORKDAYS(Q345, R345) &lt;= 0,
        1,
        NETWORKDAYS(Q345, R345) - IF(Q345 = R345, 0, 1)
    ))
)</f>
        <v>1</v>
      </c>
      <c r="W345" s="50" t="s">
        <v>150</v>
      </c>
      <c r="X345" s="50" t="s">
        <v>1078</v>
      </c>
      <c r="Y345" s="50" t="s">
        <v>50</v>
      </c>
      <c r="Z345" s="50" t="s">
        <v>3406</v>
      </c>
      <c r="AA345" s="50"/>
    </row>
    <row r="346" spans="1:27" ht="25.5" customHeight="1">
      <c r="A346" s="50" t="s">
        <v>774</v>
      </c>
      <c r="B346" s="51" t="s">
        <v>861</v>
      </c>
      <c r="C346" s="51" t="s">
        <v>143</v>
      </c>
      <c r="D346" s="51" t="s">
        <v>3871</v>
      </c>
      <c r="E346" s="50">
        <v>5237</v>
      </c>
      <c r="F346" s="50">
        <v>4137</v>
      </c>
      <c r="G346" s="50" t="s">
        <v>3404</v>
      </c>
      <c r="H346" s="50">
        <v>2024</v>
      </c>
      <c r="I346" s="105" t="s">
        <v>3872</v>
      </c>
      <c r="J346" s="50"/>
      <c r="K346" s="50" t="s">
        <v>188</v>
      </c>
      <c r="L346" s="50"/>
      <c r="M346" s="50" t="s">
        <v>2445</v>
      </c>
      <c r="N346" s="50"/>
      <c r="O346" s="50"/>
      <c r="P346" s="50"/>
      <c r="Q346" s="50"/>
      <c r="R346" s="50"/>
      <c r="S346" s="50" t="str">
        <f t="shared" si="36"/>
        <v/>
      </c>
      <c r="T346" s="50" t="str">
        <f t="shared" si="38"/>
        <v/>
      </c>
      <c r="U346" s="50" t="str">
        <f t="shared" si="37"/>
        <v/>
      </c>
      <c r="V346" s="50" t="str">
        <f t="shared" si="39"/>
        <v/>
      </c>
      <c r="W346" s="50"/>
      <c r="X346" s="50" t="s">
        <v>4</v>
      </c>
      <c r="Y346" s="50" t="s">
        <v>50</v>
      </c>
      <c r="Z346" s="50" t="s">
        <v>3406</v>
      </c>
      <c r="AA346" s="50"/>
    </row>
    <row r="347" spans="1:27" ht="25.5" customHeight="1">
      <c r="A347" s="50" t="s">
        <v>774</v>
      </c>
      <c r="B347" s="51" t="s">
        <v>861</v>
      </c>
      <c r="C347" s="51" t="s">
        <v>143</v>
      </c>
      <c r="D347" s="51" t="s">
        <v>3873</v>
      </c>
      <c r="E347" s="50">
        <v>1113</v>
      </c>
      <c r="F347" s="50">
        <v>1289</v>
      </c>
      <c r="G347" s="50" t="s">
        <v>3404</v>
      </c>
      <c r="H347" s="50">
        <v>2024</v>
      </c>
      <c r="I347" s="105" t="s">
        <v>3830</v>
      </c>
      <c r="J347" s="50"/>
      <c r="K347" s="50" t="s">
        <v>188</v>
      </c>
      <c r="L347" s="50"/>
      <c r="M347" s="50" t="s">
        <v>2445</v>
      </c>
      <c r="N347" s="50"/>
      <c r="O347" s="50"/>
      <c r="P347" s="50"/>
      <c r="Q347" s="50"/>
      <c r="R347" s="50"/>
      <c r="S347" s="50" t="str">
        <f t="shared" si="36"/>
        <v/>
      </c>
      <c r="T347" s="50" t="str">
        <f t="shared" si="38"/>
        <v/>
      </c>
      <c r="U347" s="50" t="str">
        <f t="shared" si="37"/>
        <v/>
      </c>
      <c r="V347" s="50" t="str">
        <f t="shared" si="39"/>
        <v/>
      </c>
      <c r="W347" s="50"/>
      <c r="X347" s="50" t="s">
        <v>4</v>
      </c>
      <c r="Y347" s="50" t="s">
        <v>50</v>
      </c>
      <c r="Z347" s="50" t="s">
        <v>3406</v>
      </c>
      <c r="AA347" s="50"/>
    </row>
    <row r="348" spans="1:27" ht="25.5" customHeight="1">
      <c r="A348" s="50" t="s">
        <v>774</v>
      </c>
      <c r="B348" s="51" t="s">
        <v>861</v>
      </c>
      <c r="C348" s="51" t="s">
        <v>143</v>
      </c>
      <c r="D348" s="51" t="s">
        <v>3874</v>
      </c>
      <c r="E348" s="50">
        <v>1647</v>
      </c>
      <c r="F348" s="50">
        <v>1456</v>
      </c>
      <c r="G348" s="50" t="s">
        <v>3404</v>
      </c>
      <c r="H348" s="50">
        <v>2024</v>
      </c>
      <c r="I348" s="132">
        <v>45583</v>
      </c>
      <c r="J348" s="50"/>
      <c r="K348" s="50" t="s">
        <v>188</v>
      </c>
      <c r="L348" s="50"/>
      <c r="M348" s="50" t="s">
        <v>2445</v>
      </c>
      <c r="N348" s="50"/>
      <c r="O348" s="50"/>
      <c r="P348" s="50"/>
      <c r="Q348" s="50"/>
      <c r="R348" s="50"/>
      <c r="S348" s="50" t="str">
        <f t="shared" si="36"/>
        <v/>
      </c>
      <c r="T348" s="50" t="str">
        <f t="shared" si="38"/>
        <v/>
      </c>
      <c r="U348" s="50" t="str">
        <f t="shared" si="37"/>
        <v/>
      </c>
      <c r="V348" s="50" t="str">
        <f t="shared" si="39"/>
        <v/>
      </c>
      <c r="W348" s="50"/>
      <c r="X348" s="50" t="s">
        <v>4</v>
      </c>
      <c r="Y348" s="50" t="s">
        <v>50</v>
      </c>
      <c r="Z348" s="50" t="s">
        <v>3406</v>
      </c>
      <c r="AA348" s="50"/>
    </row>
    <row r="349" spans="1:27" ht="25.5" customHeight="1">
      <c r="A349" s="50" t="s">
        <v>774</v>
      </c>
      <c r="B349" s="51" t="s">
        <v>861</v>
      </c>
      <c r="C349" s="51" t="s">
        <v>143</v>
      </c>
      <c r="D349" s="51" t="s">
        <v>3875</v>
      </c>
      <c r="E349" s="50">
        <v>2696</v>
      </c>
      <c r="F349" s="50">
        <v>3053</v>
      </c>
      <c r="G349" s="50" t="s">
        <v>3404</v>
      </c>
      <c r="H349" s="50">
        <v>2024</v>
      </c>
      <c r="I349" s="105" t="s">
        <v>3685</v>
      </c>
      <c r="J349" s="50"/>
      <c r="K349" s="50" t="s">
        <v>188</v>
      </c>
      <c r="L349" s="50"/>
      <c r="M349" s="50" t="s">
        <v>2445</v>
      </c>
      <c r="N349" s="50"/>
      <c r="O349" s="50"/>
      <c r="P349" s="50"/>
      <c r="Q349" s="50"/>
      <c r="R349" s="50"/>
      <c r="S349" s="50" t="str">
        <f t="shared" si="36"/>
        <v/>
      </c>
      <c r="T349" s="50" t="str">
        <f t="shared" si="38"/>
        <v/>
      </c>
      <c r="U349" s="50" t="str">
        <f t="shared" si="37"/>
        <v/>
      </c>
      <c r="V349" s="50" t="str">
        <f t="shared" si="39"/>
        <v/>
      </c>
      <c r="W349" s="50"/>
      <c r="X349" s="50" t="s">
        <v>4</v>
      </c>
      <c r="Y349" s="50" t="s">
        <v>50</v>
      </c>
      <c r="Z349" s="50" t="s">
        <v>3406</v>
      </c>
      <c r="AA349" s="50"/>
    </row>
    <row r="350" spans="1:27" s="110" customFormat="1" ht="25.5" customHeight="1">
      <c r="A350" s="517" t="s">
        <v>774</v>
      </c>
      <c r="B350" s="51" t="s">
        <v>861</v>
      </c>
      <c r="C350" s="51" t="s">
        <v>143</v>
      </c>
      <c r="D350" s="51" t="s">
        <v>3876</v>
      </c>
      <c r="E350" s="50">
        <v>3651</v>
      </c>
      <c r="F350" s="50">
        <v>3763</v>
      </c>
      <c r="G350" s="50" t="s">
        <v>3404</v>
      </c>
      <c r="H350" s="50">
        <v>2025</v>
      </c>
      <c r="I350" s="132">
        <v>45819</v>
      </c>
      <c r="J350" s="50" t="s">
        <v>3689</v>
      </c>
      <c r="K350" s="50" t="s">
        <v>188</v>
      </c>
      <c r="L350" s="50"/>
      <c r="M350" s="50" t="s">
        <v>2445</v>
      </c>
      <c r="N350" s="50" t="s">
        <v>3877</v>
      </c>
      <c r="O350" s="60">
        <v>45823</v>
      </c>
      <c r="P350" s="50"/>
      <c r="Q350" s="60">
        <v>45824</v>
      </c>
      <c r="R350" s="60">
        <v>45825</v>
      </c>
      <c r="S350" s="50">
        <f t="shared" si="36"/>
        <v>2</v>
      </c>
      <c r="T350" s="50" t="str">
        <f t="shared" si="38"/>
        <v/>
      </c>
      <c r="U350" s="50">
        <f t="shared" si="37"/>
        <v>1</v>
      </c>
      <c r="V350" s="50">
        <f t="shared" si="39"/>
        <v>1</v>
      </c>
      <c r="W350" s="50" t="s">
        <v>150</v>
      </c>
      <c r="X350" s="50" t="s">
        <v>1078</v>
      </c>
      <c r="Y350" s="50" t="s">
        <v>50</v>
      </c>
      <c r="Z350" s="50" t="s">
        <v>3406</v>
      </c>
      <c r="AA350" s="50"/>
    </row>
    <row r="351" spans="1:27" ht="25.5" customHeight="1">
      <c r="A351" s="50" t="s">
        <v>774</v>
      </c>
      <c r="B351" s="51" t="s">
        <v>861</v>
      </c>
      <c r="C351" s="51" t="s">
        <v>143</v>
      </c>
      <c r="D351" s="51" t="s">
        <v>3878</v>
      </c>
      <c r="E351" s="50">
        <v>1391</v>
      </c>
      <c r="F351" s="50">
        <v>1332</v>
      </c>
      <c r="G351" s="50" t="s">
        <v>3404</v>
      </c>
      <c r="H351" s="50">
        <v>2024</v>
      </c>
      <c r="I351" s="105" t="s">
        <v>3879</v>
      </c>
      <c r="J351" s="50"/>
      <c r="K351" s="50" t="s">
        <v>188</v>
      </c>
      <c r="L351" s="50"/>
      <c r="M351" s="50" t="s">
        <v>2445</v>
      </c>
      <c r="N351" s="50"/>
      <c r="O351" s="50"/>
      <c r="P351" s="50"/>
      <c r="Q351" s="50"/>
      <c r="R351" s="50"/>
      <c r="S351" s="50" t="str">
        <f t="shared" si="36"/>
        <v/>
      </c>
      <c r="T351" s="50" t="str">
        <f t="shared" si="38"/>
        <v/>
      </c>
      <c r="U351" s="50" t="str">
        <f t="shared" si="37"/>
        <v/>
      </c>
      <c r="V351" s="50" t="str">
        <f t="shared" si="39"/>
        <v/>
      </c>
      <c r="W351" s="50"/>
      <c r="X351" s="50" t="s">
        <v>4</v>
      </c>
      <c r="Y351" s="50" t="s">
        <v>57</v>
      </c>
      <c r="Z351" s="50" t="s">
        <v>3406</v>
      </c>
      <c r="AA351" s="50"/>
    </row>
    <row r="352" spans="1:27" ht="25.5" customHeight="1">
      <c r="A352" s="50" t="s">
        <v>774</v>
      </c>
      <c r="B352" s="51" t="s">
        <v>861</v>
      </c>
      <c r="C352" s="51" t="s">
        <v>143</v>
      </c>
      <c r="D352" s="51" t="s">
        <v>3880</v>
      </c>
      <c r="E352" s="50">
        <v>1736</v>
      </c>
      <c r="F352" s="50">
        <v>1974</v>
      </c>
      <c r="G352" s="50" t="s">
        <v>3404</v>
      </c>
      <c r="H352" s="50">
        <v>2024</v>
      </c>
      <c r="I352" s="105" t="s">
        <v>3881</v>
      </c>
      <c r="J352" s="50"/>
      <c r="K352" s="50" t="s">
        <v>188</v>
      </c>
      <c r="L352" s="50"/>
      <c r="M352" s="50" t="s">
        <v>2445</v>
      </c>
      <c r="N352" s="50"/>
      <c r="O352" s="50"/>
      <c r="P352" s="50"/>
      <c r="Q352" s="50"/>
      <c r="R352" s="50"/>
      <c r="S352" s="50" t="str">
        <f t="shared" si="36"/>
        <v/>
      </c>
      <c r="T352" s="50" t="str">
        <f t="shared" si="38"/>
        <v/>
      </c>
      <c r="U352" s="50" t="str">
        <f t="shared" si="37"/>
        <v/>
      </c>
      <c r="V352" s="50" t="str">
        <f t="shared" si="39"/>
        <v/>
      </c>
      <c r="W352" s="50"/>
      <c r="X352" s="50" t="s">
        <v>4</v>
      </c>
      <c r="Y352" s="50" t="s">
        <v>57</v>
      </c>
      <c r="Z352" s="50" t="s">
        <v>3406</v>
      </c>
      <c r="AA352" s="50"/>
    </row>
    <row r="353" spans="1:27" ht="25.5" customHeight="1">
      <c r="A353" s="50" t="s">
        <v>774</v>
      </c>
      <c r="B353" s="51" t="s">
        <v>861</v>
      </c>
      <c r="C353" s="51" t="s">
        <v>143</v>
      </c>
      <c r="D353" s="51" t="s">
        <v>3133</v>
      </c>
      <c r="E353" s="50">
        <v>4107</v>
      </c>
      <c r="F353" s="50">
        <v>4394</v>
      </c>
      <c r="G353" s="50" t="s">
        <v>3404</v>
      </c>
      <c r="H353" s="50">
        <v>2024</v>
      </c>
      <c r="I353" s="105" t="s">
        <v>3733</v>
      </c>
      <c r="J353" s="50"/>
      <c r="K353" s="50" t="s">
        <v>188</v>
      </c>
      <c r="L353" s="50"/>
      <c r="M353" s="50" t="s">
        <v>2445</v>
      </c>
      <c r="N353" s="50"/>
      <c r="O353" s="50"/>
      <c r="P353" s="50"/>
      <c r="Q353" s="50"/>
      <c r="R353" s="50"/>
      <c r="S353" s="50" t="str">
        <f t="shared" si="36"/>
        <v/>
      </c>
      <c r="T353" s="50" t="str">
        <f t="shared" si="38"/>
        <v/>
      </c>
      <c r="U353" s="50" t="str">
        <f t="shared" si="37"/>
        <v/>
      </c>
      <c r="V353" s="50" t="str">
        <f t="shared" si="39"/>
        <v/>
      </c>
      <c r="W353" s="50"/>
      <c r="X353" s="50" t="s">
        <v>4</v>
      </c>
      <c r="Y353" s="50" t="s">
        <v>50</v>
      </c>
      <c r="Z353" s="50" t="s">
        <v>3406</v>
      </c>
      <c r="AA353" s="50"/>
    </row>
    <row r="354" spans="1:27" ht="25.5" customHeight="1">
      <c r="A354" s="50" t="s">
        <v>774</v>
      </c>
      <c r="B354" s="51" t="s">
        <v>861</v>
      </c>
      <c r="C354" s="51" t="s">
        <v>143</v>
      </c>
      <c r="D354" s="51" t="s">
        <v>3882</v>
      </c>
      <c r="E354" s="50">
        <v>1161</v>
      </c>
      <c r="F354" s="50">
        <v>1271</v>
      </c>
      <c r="G354" s="50" t="s">
        <v>3404</v>
      </c>
      <c r="H354" s="50">
        <v>2024</v>
      </c>
      <c r="I354" s="105" t="s">
        <v>3771</v>
      </c>
      <c r="J354" s="50"/>
      <c r="K354" s="50" t="s">
        <v>188</v>
      </c>
      <c r="L354" s="50"/>
      <c r="M354" s="50" t="s">
        <v>2445</v>
      </c>
      <c r="N354" s="50"/>
      <c r="O354" s="50"/>
      <c r="P354" s="50"/>
      <c r="Q354" s="50"/>
      <c r="R354" s="50"/>
      <c r="S354" s="50" t="str">
        <f t="shared" si="36"/>
        <v/>
      </c>
      <c r="T354" s="50" t="str">
        <f t="shared" si="38"/>
        <v/>
      </c>
      <c r="U354" s="50" t="str">
        <f t="shared" si="37"/>
        <v/>
      </c>
      <c r="V354" s="50" t="str">
        <f t="shared" si="39"/>
        <v/>
      </c>
      <c r="W354" s="50"/>
      <c r="X354" s="50" t="s">
        <v>4</v>
      </c>
      <c r="Y354" s="50" t="s">
        <v>50</v>
      </c>
      <c r="Z354" s="50" t="s">
        <v>3406</v>
      </c>
      <c r="AA354" s="50"/>
    </row>
    <row r="355" spans="1:27" ht="25.5" customHeight="1">
      <c r="A355" s="50" t="s">
        <v>774</v>
      </c>
      <c r="B355" s="51" t="s">
        <v>861</v>
      </c>
      <c r="C355" s="51" t="s">
        <v>143</v>
      </c>
      <c r="D355" s="51" t="s">
        <v>3883</v>
      </c>
      <c r="E355" s="50">
        <v>768</v>
      </c>
      <c r="F355" s="50">
        <v>977</v>
      </c>
      <c r="G355" s="50" t="s">
        <v>3404</v>
      </c>
      <c r="H355" s="50">
        <v>2024</v>
      </c>
      <c r="I355" s="105" t="s">
        <v>3687</v>
      </c>
      <c r="J355" s="50"/>
      <c r="K355" s="50" t="s">
        <v>188</v>
      </c>
      <c r="L355" s="50"/>
      <c r="M355" s="50" t="s">
        <v>2445</v>
      </c>
      <c r="N355" s="50"/>
      <c r="O355" s="50"/>
      <c r="P355" s="50"/>
      <c r="Q355" s="50"/>
      <c r="R355" s="50"/>
      <c r="S355" s="50" t="str">
        <f t="shared" si="36"/>
        <v/>
      </c>
      <c r="T355" s="50" t="str">
        <f t="shared" si="38"/>
        <v/>
      </c>
      <c r="U355" s="50" t="str">
        <f t="shared" si="37"/>
        <v/>
      </c>
      <c r="V355" s="50" t="str">
        <f t="shared" si="39"/>
        <v/>
      </c>
      <c r="W355" s="50"/>
      <c r="X355" s="50" t="s">
        <v>4</v>
      </c>
      <c r="Y355" s="50" t="s">
        <v>50</v>
      </c>
      <c r="Z355" s="50" t="s">
        <v>3406</v>
      </c>
      <c r="AA355" s="50"/>
    </row>
    <row r="356" spans="1:27" ht="25.5" customHeight="1">
      <c r="A356" s="50" t="s">
        <v>774</v>
      </c>
      <c r="B356" s="51" t="s">
        <v>861</v>
      </c>
      <c r="C356" s="51" t="s">
        <v>143</v>
      </c>
      <c r="D356" s="51" t="s">
        <v>3605</v>
      </c>
      <c r="E356" s="50">
        <v>1818</v>
      </c>
      <c r="F356" s="50">
        <v>1807</v>
      </c>
      <c r="G356" s="50" t="s">
        <v>3404</v>
      </c>
      <c r="H356" s="50">
        <v>2024</v>
      </c>
      <c r="I356" s="105" t="s">
        <v>3884</v>
      </c>
      <c r="J356" s="50"/>
      <c r="K356" s="50" t="s">
        <v>188</v>
      </c>
      <c r="L356" s="50"/>
      <c r="M356" s="50" t="s">
        <v>2445</v>
      </c>
      <c r="N356" s="50"/>
      <c r="O356" s="50"/>
      <c r="P356" s="50"/>
      <c r="Q356" s="50"/>
      <c r="R356" s="50"/>
      <c r="S356" s="50" t="str">
        <f t="shared" si="36"/>
        <v/>
      </c>
      <c r="T356" s="50" t="str">
        <f t="shared" si="38"/>
        <v/>
      </c>
      <c r="U356" s="50" t="str">
        <f t="shared" si="37"/>
        <v/>
      </c>
      <c r="V356" s="50" t="str">
        <f t="shared" si="39"/>
        <v/>
      </c>
      <c r="W356" s="50"/>
      <c r="X356" s="50" t="s">
        <v>4</v>
      </c>
      <c r="Y356" s="50" t="s">
        <v>50</v>
      </c>
      <c r="Z356" s="50" t="s">
        <v>3406</v>
      </c>
      <c r="AA356" s="50"/>
    </row>
    <row r="357" spans="1:27" ht="25.5" customHeight="1">
      <c r="A357" s="50" t="s">
        <v>774</v>
      </c>
      <c r="B357" s="51" t="s">
        <v>877</v>
      </c>
      <c r="C357" s="51" t="s">
        <v>143</v>
      </c>
      <c r="D357" s="51" t="s">
        <v>3885</v>
      </c>
      <c r="E357" s="50">
        <v>4458</v>
      </c>
      <c r="F357" s="50">
        <v>5414</v>
      </c>
      <c r="G357" s="50" t="s">
        <v>3404</v>
      </c>
      <c r="H357" s="50">
        <v>2024</v>
      </c>
      <c r="I357" s="105" t="s">
        <v>3886</v>
      </c>
      <c r="J357" s="50"/>
      <c r="K357" s="50" t="s">
        <v>188</v>
      </c>
      <c r="L357" s="50"/>
      <c r="M357" s="50" t="s">
        <v>2445</v>
      </c>
      <c r="N357" s="50"/>
      <c r="O357" s="50"/>
      <c r="P357" s="50"/>
      <c r="Q357" s="50"/>
      <c r="R357" s="50"/>
      <c r="S357" s="50" t="str">
        <f t="shared" si="36"/>
        <v/>
      </c>
      <c r="T357" s="50" t="str">
        <f t="shared" si="38"/>
        <v/>
      </c>
      <c r="U357" s="50" t="str">
        <f t="shared" si="37"/>
        <v/>
      </c>
      <c r="V357" s="50" t="str">
        <f t="shared" si="39"/>
        <v/>
      </c>
      <c r="W357" s="50"/>
      <c r="X357" s="50" t="s">
        <v>4</v>
      </c>
      <c r="Y357" s="50" t="s">
        <v>50</v>
      </c>
      <c r="Z357" s="50" t="s">
        <v>3406</v>
      </c>
      <c r="AA357" s="50"/>
    </row>
    <row r="358" spans="1:27" ht="25.5" customHeight="1">
      <c r="A358" s="50" t="s">
        <v>774</v>
      </c>
      <c r="B358" s="51" t="s">
        <v>877</v>
      </c>
      <c r="C358" s="51" t="s">
        <v>143</v>
      </c>
      <c r="D358" s="51" t="s">
        <v>1881</v>
      </c>
      <c r="E358" s="50">
        <v>1427</v>
      </c>
      <c r="F358" s="50">
        <v>1466</v>
      </c>
      <c r="G358" s="50" t="s">
        <v>3404</v>
      </c>
      <c r="H358" s="50">
        <v>2024</v>
      </c>
      <c r="I358" s="105" t="s">
        <v>3887</v>
      </c>
      <c r="J358" s="50"/>
      <c r="K358" s="50" t="s">
        <v>188</v>
      </c>
      <c r="L358" s="50"/>
      <c r="M358" s="50" t="s">
        <v>2445</v>
      </c>
      <c r="N358" s="50"/>
      <c r="O358" s="50"/>
      <c r="P358" s="50"/>
      <c r="Q358" s="50"/>
      <c r="R358" s="50"/>
      <c r="S358" s="50" t="str">
        <f t="shared" si="36"/>
        <v/>
      </c>
      <c r="T358" s="50" t="str">
        <f t="shared" si="38"/>
        <v/>
      </c>
      <c r="U358" s="50" t="str">
        <f t="shared" si="37"/>
        <v/>
      </c>
      <c r="V358" s="50" t="str">
        <f t="shared" si="39"/>
        <v/>
      </c>
      <c r="W358" s="50"/>
      <c r="X358" s="50" t="s">
        <v>4</v>
      </c>
      <c r="Y358" s="50" t="s">
        <v>50</v>
      </c>
      <c r="Z358" s="50" t="s">
        <v>3406</v>
      </c>
      <c r="AA358" s="50"/>
    </row>
    <row r="359" spans="1:27" ht="25.5" customHeight="1">
      <c r="A359" s="50" t="s">
        <v>774</v>
      </c>
      <c r="B359" s="51" t="s">
        <v>877</v>
      </c>
      <c r="C359" s="51" t="s">
        <v>143</v>
      </c>
      <c r="D359" s="51" t="s">
        <v>3888</v>
      </c>
      <c r="E359" s="50">
        <v>1151</v>
      </c>
      <c r="F359" s="50">
        <v>1315</v>
      </c>
      <c r="G359" s="50" t="s">
        <v>3404</v>
      </c>
      <c r="H359" s="50">
        <v>2024</v>
      </c>
      <c r="I359" s="105" t="s">
        <v>3828</v>
      </c>
      <c r="J359" s="50"/>
      <c r="K359" s="50" t="s">
        <v>188</v>
      </c>
      <c r="L359" s="50"/>
      <c r="M359" s="50" t="s">
        <v>2445</v>
      </c>
      <c r="N359" s="50"/>
      <c r="O359" s="50"/>
      <c r="P359" s="50"/>
      <c r="Q359" s="50"/>
      <c r="R359" s="50"/>
      <c r="S359" s="50" t="str">
        <f t="shared" si="36"/>
        <v/>
      </c>
      <c r="T359" s="50" t="str">
        <f t="shared" si="38"/>
        <v/>
      </c>
      <c r="U359" s="50" t="str">
        <f t="shared" si="37"/>
        <v/>
      </c>
      <c r="V359" s="50" t="str">
        <f t="shared" si="39"/>
        <v/>
      </c>
      <c r="W359" s="50"/>
      <c r="X359" s="50" t="s">
        <v>4</v>
      </c>
      <c r="Y359" s="50" t="s">
        <v>50</v>
      </c>
      <c r="Z359" s="50" t="s">
        <v>3406</v>
      </c>
      <c r="AA359" s="50"/>
    </row>
    <row r="360" spans="1:27" ht="25.5" customHeight="1">
      <c r="A360" s="50" t="s">
        <v>774</v>
      </c>
      <c r="B360" s="51" t="s">
        <v>877</v>
      </c>
      <c r="C360" s="51" t="s">
        <v>143</v>
      </c>
      <c r="D360" s="51" t="s">
        <v>3889</v>
      </c>
      <c r="E360" s="50">
        <v>1260</v>
      </c>
      <c r="F360" s="50">
        <v>1302</v>
      </c>
      <c r="G360" s="50" t="s">
        <v>3404</v>
      </c>
      <c r="H360" s="50">
        <v>2024</v>
      </c>
      <c r="I360" s="105" t="s">
        <v>3890</v>
      </c>
      <c r="J360" s="50"/>
      <c r="K360" s="50" t="s">
        <v>188</v>
      </c>
      <c r="L360" s="50"/>
      <c r="M360" s="50" t="s">
        <v>2445</v>
      </c>
      <c r="N360" s="50"/>
      <c r="O360" s="50"/>
      <c r="P360" s="50"/>
      <c r="Q360" s="50"/>
      <c r="R360" s="50"/>
      <c r="S360" s="50" t="str">
        <f t="shared" si="36"/>
        <v/>
      </c>
      <c r="T360" s="50" t="str">
        <f t="shared" si="38"/>
        <v/>
      </c>
      <c r="U360" s="50" t="str">
        <f t="shared" si="37"/>
        <v/>
      </c>
      <c r="V360" s="50" t="str">
        <f t="shared" si="39"/>
        <v/>
      </c>
      <c r="W360" s="50"/>
      <c r="X360" s="50" t="s">
        <v>4</v>
      </c>
      <c r="Y360" s="50" t="s">
        <v>50</v>
      </c>
      <c r="Z360" s="50" t="s">
        <v>3406</v>
      </c>
      <c r="AA360" s="50"/>
    </row>
    <row r="361" spans="1:27" ht="25.5" customHeight="1">
      <c r="A361" s="50" t="s">
        <v>774</v>
      </c>
      <c r="B361" s="51" t="s">
        <v>877</v>
      </c>
      <c r="C361" s="51" t="s">
        <v>143</v>
      </c>
      <c r="D361" s="51" t="s">
        <v>3891</v>
      </c>
      <c r="E361" s="50">
        <v>467</v>
      </c>
      <c r="F361" s="50">
        <v>484</v>
      </c>
      <c r="G361" s="50" t="s">
        <v>3404</v>
      </c>
      <c r="H361" s="50">
        <v>2024</v>
      </c>
      <c r="I361" s="105" t="s">
        <v>3751</v>
      </c>
      <c r="J361" s="50"/>
      <c r="K361" s="50" t="s">
        <v>188</v>
      </c>
      <c r="L361" s="50"/>
      <c r="M361" s="50" t="s">
        <v>2445</v>
      </c>
      <c r="N361" s="50"/>
      <c r="O361" s="50"/>
      <c r="P361" s="50"/>
      <c r="Q361" s="50"/>
      <c r="R361" s="50"/>
      <c r="S361" s="50" t="str">
        <f t="shared" si="36"/>
        <v/>
      </c>
      <c r="T361" s="50" t="str">
        <f t="shared" si="38"/>
        <v/>
      </c>
      <c r="U361" s="50" t="str">
        <f t="shared" si="37"/>
        <v/>
      </c>
      <c r="V361" s="50" t="str">
        <f t="shared" si="39"/>
        <v/>
      </c>
      <c r="W361" s="50"/>
      <c r="X361" s="50" t="s">
        <v>1078</v>
      </c>
      <c r="Y361" s="50" t="s">
        <v>50</v>
      </c>
      <c r="Z361" s="50" t="s">
        <v>3406</v>
      </c>
      <c r="AA361" s="50"/>
    </row>
    <row r="362" spans="1:27" ht="25.5" customHeight="1">
      <c r="A362" s="50" t="s">
        <v>774</v>
      </c>
      <c r="B362" s="51" t="s">
        <v>877</v>
      </c>
      <c r="C362" s="51" t="s">
        <v>143</v>
      </c>
      <c r="D362" s="51" t="s">
        <v>1490</v>
      </c>
      <c r="E362" s="50">
        <v>1227</v>
      </c>
      <c r="F362" s="50">
        <v>1188</v>
      </c>
      <c r="G362" s="50" t="s">
        <v>3404</v>
      </c>
      <c r="H362" s="50">
        <v>2024</v>
      </c>
      <c r="I362" s="105" t="s">
        <v>3892</v>
      </c>
      <c r="J362" s="50"/>
      <c r="K362" s="50" t="s">
        <v>188</v>
      </c>
      <c r="L362" s="50"/>
      <c r="M362" s="50" t="s">
        <v>2445</v>
      </c>
      <c r="N362" s="50"/>
      <c r="O362" s="50"/>
      <c r="P362" s="50"/>
      <c r="Q362" s="50"/>
      <c r="R362" s="50"/>
      <c r="S362" s="50" t="str">
        <f t="shared" si="36"/>
        <v/>
      </c>
      <c r="T362" s="50" t="str">
        <f t="shared" si="38"/>
        <v/>
      </c>
      <c r="U362" s="50" t="str">
        <f t="shared" si="37"/>
        <v/>
      </c>
      <c r="V362" s="50" t="str">
        <f t="shared" si="39"/>
        <v/>
      </c>
      <c r="W362" s="50"/>
      <c r="X362" s="50" t="s">
        <v>4</v>
      </c>
      <c r="Y362" s="50" t="s">
        <v>50</v>
      </c>
      <c r="Z362" s="50" t="s">
        <v>3406</v>
      </c>
      <c r="AA362" s="50"/>
    </row>
    <row r="363" spans="1:27" ht="25.5" customHeight="1">
      <c r="A363" s="50" t="s">
        <v>774</v>
      </c>
      <c r="B363" s="51" t="s">
        <v>877</v>
      </c>
      <c r="C363" s="51" t="s">
        <v>143</v>
      </c>
      <c r="D363" s="51" t="s">
        <v>3893</v>
      </c>
      <c r="E363" s="50">
        <v>1847</v>
      </c>
      <c r="F363" s="50">
        <v>2647</v>
      </c>
      <c r="G363" s="50" t="s">
        <v>3404</v>
      </c>
      <c r="H363" s="50">
        <v>2024</v>
      </c>
      <c r="I363" s="105" t="s">
        <v>3894</v>
      </c>
      <c r="J363" s="50"/>
      <c r="K363" s="50" t="s">
        <v>188</v>
      </c>
      <c r="L363" s="50"/>
      <c r="M363" s="50" t="s">
        <v>2445</v>
      </c>
      <c r="N363" s="50"/>
      <c r="O363" s="50"/>
      <c r="P363" s="50"/>
      <c r="Q363" s="50"/>
      <c r="R363" s="50"/>
      <c r="S363" s="50" t="str">
        <f t="shared" si="36"/>
        <v/>
      </c>
      <c r="T363" s="50" t="str">
        <f t="shared" si="38"/>
        <v/>
      </c>
      <c r="U363" s="50" t="str">
        <f t="shared" si="37"/>
        <v/>
      </c>
      <c r="V363" s="50" t="str">
        <f t="shared" si="39"/>
        <v/>
      </c>
      <c r="W363" s="50"/>
      <c r="X363" s="50"/>
      <c r="Y363" s="50"/>
      <c r="Z363" s="50" t="s">
        <v>3406</v>
      </c>
      <c r="AA363" s="50"/>
    </row>
    <row r="364" spans="1:27" ht="25.5" customHeight="1">
      <c r="A364" s="50" t="s">
        <v>774</v>
      </c>
      <c r="B364" s="51" t="s">
        <v>877</v>
      </c>
      <c r="C364" s="51" t="s">
        <v>143</v>
      </c>
      <c r="D364" s="51" t="s">
        <v>3895</v>
      </c>
      <c r="E364" s="50">
        <v>2491</v>
      </c>
      <c r="F364" s="50">
        <v>2816</v>
      </c>
      <c r="G364" s="50" t="s">
        <v>3404</v>
      </c>
      <c r="H364" s="50">
        <v>2024</v>
      </c>
      <c r="I364" s="105" t="s">
        <v>3681</v>
      </c>
      <c r="J364" s="50"/>
      <c r="K364" s="50" t="s">
        <v>188</v>
      </c>
      <c r="L364" s="50"/>
      <c r="M364" s="50" t="s">
        <v>2445</v>
      </c>
      <c r="N364" s="50"/>
      <c r="O364" s="50"/>
      <c r="P364" s="50"/>
      <c r="Q364" s="50"/>
      <c r="R364" s="50"/>
      <c r="S364" s="50" t="str">
        <f t="shared" si="36"/>
        <v/>
      </c>
      <c r="T364" s="50" t="str">
        <f t="shared" si="38"/>
        <v/>
      </c>
      <c r="U364" s="50" t="str">
        <f t="shared" si="37"/>
        <v/>
      </c>
      <c r="V364" s="50" t="str">
        <f t="shared" si="39"/>
        <v/>
      </c>
      <c r="W364" s="50"/>
      <c r="X364" s="50" t="s">
        <v>4</v>
      </c>
      <c r="Y364" s="50" t="s">
        <v>50</v>
      </c>
      <c r="Z364" s="50" t="s">
        <v>3406</v>
      </c>
      <c r="AA364" s="50"/>
    </row>
    <row r="365" spans="1:27" ht="25.5" customHeight="1">
      <c r="A365" s="50" t="s">
        <v>774</v>
      </c>
      <c r="B365" s="51" t="s">
        <v>877</v>
      </c>
      <c r="C365" s="51" t="s">
        <v>143</v>
      </c>
      <c r="D365" s="51" t="s">
        <v>3779</v>
      </c>
      <c r="E365" s="50">
        <v>1311</v>
      </c>
      <c r="F365" s="50">
        <v>1316</v>
      </c>
      <c r="G365" s="50" t="s">
        <v>3404</v>
      </c>
      <c r="H365" s="50">
        <v>2024</v>
      </c>
      <c r="I365" s="105" t="s">
        <v>3896</v>
      </c>
      <c r="J365" s="50"/>
      <c r="K365" s="50" t="s">
        <v>188</v>
      </c>
      <c r="L365" s="50"/>
      <c r="M365" s="50" t="s">
        <v>2445</v>
      </c>
      <c r="N365" s="50"/>
      <c r="O365" s="50"/>
      <c r="P365" s="50"/>
      <c r="Q365" s="50"/>
      <c r="R365" s="50"/>
      <c r="S365" s="50" t="str">
        <f t="shared" si="36"/>
        <v/>
      </c>
      <c r="T365" s="50" t="str">
        <f t="shared" si="38"/>
        <v/>
      </c>
      <c r="U365" s="50" t="str">
        <f t="shared" si="37"/>
        <v/>
      </c>
      <c r="V365" s="50" t="str">
        <f t="shared" si="39"/>
        <v/>
      </c>
      <c r="W365" s="50"/>
      <c r="X365" s="50" t="s">
        <v>4</v>
      </c>
      <c r="Y365" s="50" t="s">
        <v>50</v>
      </c>
      <c r="Z365" s="50" t="s">
        <v>3406</v>
      </c>
      <c r="AA365" s="50"/>
    </row>
    <row r="366" spans="1:27" ht="25.5" customHeight="1">
      <c r="A366" s="50" t="s">
        <v>774</v>
      </c>
      <c r="B366" s="51" t="s">
        <v>877</v>
      </c>
      <c r="C366" s="51" t="s">
        <v>143</v>
      </c>
      <c r="D366" s="51" t="s">
        <v>3897</v>
      </c>
      <c r="E366" s="50">
        <v>2345</v>
      </c>
      <c r="F366" s="50">
        <v>2728</v>
      </c>
      <c r="G366" s="50" t="s">
        <v>3404</v>
      </c>
      <c r="H366" s="50">
        <v>2024</v>
      </c>
      <c r="I366" s="105" t="s">
        <v>3610</v>
      </c>
      <c r="J366" s="50"/>
      <c r="K366" s="50" t="s">
        <v>188</v>
      </c>
      <c r="L366" s="50"/>
      <c r="M366" s="50" t="s">
        <v>2445</v>
      </c>
      <c r="N366" s="50"/>
      <c r="O366" s="50"/>
      <c r="P366" s="50"/>
      <c r="Q366" s="50"/>
      <c r="R366" s="50"/>
      <c r="S366" s="50" t="str">
        <f t="shared" si="36"/>
        <v/>
      </c>
      <c r="T366" s="50" t="str">
        <f t="shared" si="38"/>
        <v/>
      </c>
      <c r="U366" s="50" t="str">
        <f t="shared" si="37"/>
        <v/>
      </c>
      <c r="V366" s="50" t="str">
        <f t="shared" si="39"/>
        <v/>
      </c>
      <c r="W366" s="50"/>
      <c r="X366" s="50" t="s">
        <v>4</v>
      </c>
      <c r="Y366" s="50" t="s">
        <v>50</v>
      </c>
      <c r="Z366" s="50" t="s">
        <v>3406</v>
      </c>
      <c r="AA366" s="50"/>
    </row>
    <row r="367" spans="1:27" ht="25.5" customHeight="1">
      <c r="A367" s="50" t="s">
        <v>774</v>
      </c>
      <c r="B367" s="51" t="s">
        <v>877</v>
      </c>
      <c r="C367" s="51" t="s">
        <v>143</v>
      </c>
      <c r="D367" s="51" t="s">
        <v>3898</v>
      </c>
      <c r="E367" s="50">
        <v>3006</v>
      </c>
      <c r="F367" s="50">
        <v>3571</v>
      </c>
      <c r="G367" s="50" t="s">
        <v>3404</v>
      </c>
      <c r="H367" s="50">
        <v>2024</v>
      </c>
      <c r="I367" s="105" t="s">
        <v>3710</v>
      </c>
      <c r="J367" s="50"/>
      <c r="K367" s="50" t="s">
        <v>188</v>
      </c>
      <c r="L367" s="50"/>
      <c r="M367" s="50" t="s">
        <v>2445</v>
      </c>
      <c r="N367" s="50"/>
      <c r="O367" s="50"/>
      <c r="P367" s="50"/>
      <c r="Q367" s="50"/>
      <c r="R367" s="50"/>
      <c r="S367" s="50" t="str">
        <f t="shared" si="36"/>
        <v/>
      </c>
      <c r="T367" s="50" t="str">
        <f t="shared" si="38"/>
        <v/>
      </c>
      <c r="U367" s="50" t="str">
        <f t="shared" si="37"/>
        <v/>
      </c>
      <c r="V367" s="50" t="str">
        <f t="shared" si="39"/>
        <v/>
      </c>
      <c r="W367" s="50"/>
      <c r="X367" s="50" t="s">
        <v>4</v>
      </c>
      <c r="Y367" s="50" t="s">
        <v>57</v>
      </c>
      <c r="Z367" s="50" t="s">
        <v>3406</v>
      </c>
      <c r="AA367" s="50"/>
    </row>
    <row r="368" spans="1:27" ht="25.5" customHeight="1">
      <c r="A368" s="50" t="s">
        <v>774</v>
      </c>
      <c r="B368" s="51" t="s">
        <v>877</v>
      </c>
      <c r="C368" s="51" t="s">
        <v>143</v>
      </c>
      <c r="D368" s="51" t="s">
        <v>3899</v>
      </c>
      <c r="E368" s="50">
        <v>5488</v>
      </c>
      <c r="F368" s="50">
        <v>5857</v>
      </c>
      <c r="G368" s="50" t="s">
        <v>3404</v>
      </c>
      <c r="H368" s="50">
        <v>2024</v>
      </c>
      <c r="I368" s="105" t="s">
        <v>3748</v>
      </c>
      <c r="J368" s="50"/>
      <c r="K368" s="50" t="s">
        <v>188</v>
      </c>
      <c r="L368" s="50"/>
      <c r="M368" s="50" t="s">
        <v>2445</v>
      </c>
      <c r="N368" s="50"/>
      <c r="O368" s="50"/>
      <c r="P368" s="50"/>
      <c r="Q368" s="50"/>
      <c r="R368" s="50"/>
      <c r="S368" s="50" t="str">
        <f t="shared" si="36"/>
        <v/>
      </c>
      <c r="T368" s="50" t="str">
        <f t="shared" si="38"/>
        <v/>
      </c>
      <c r="U368" s="50" t="str">
        <f t="shared" si="37"/>
        <v/>
      </c>
      <c r="V368" s="50" t="str">
        <f t="shared" si="39"/>
        <v/>
      </c>
      <c r="W368" s="50"/>
      <c r="X368" s="50" t="s">
        <v>4</v>
      </c>
      <c r="Y368" s="50" t="s">
        <v>50</v>
      </c>
      <c r="Z368" s="50" t="s">
        <v>3406</v>
      </c>
      <c r="AA368" s="50"/>
    </row>
    <row r="369" spans="1:27" ht="25.5" customHeight="1">
      <c r="A369" s="50" t="s">
        <v>774</v>
      </c>
      <c r="B369" s="51" t="s">
        <v>877</v>
      </c>
      <c r="C369" s="51" t="s">
        <v>143</v>
      </c>
      <c r="D369" s="51" t="s">
        <v>3900</v>
      </c>
      <c r="E369" s="50">
        <v>1442</v>
      </c>
      <c r="F369" s="50">
        <v>1482</v>
      </c>
      <c r="G369" s="50" t="s">
        <v>3404</v>
      </c>
      <c r="H369" s="50">
        <v>2024</v>
      </c>
      <c r="I369" s="105" t="s">
        <v>3610</v>
      </c>
      <c r="J369" s="50"/>
      <c r="K369" s="50" t="s">
        <v>188</v>
      </c>
      <c r="L369" s="50"/>
      <c r="M369" s="50" t="s">
        <v>2445</v>
      </c>
      <c r="N369" s="50"/>
      <c r="O369" s="50"/>
      <c r="P369" s="50"/>
      <c r="Q369" s="50"/>
      <c r="R369" s="50"/>
      <c r="S369" s="50" t="str">
        <f t="shared" si="36"/>
        <v/>
      </c>
      <c r="T369" s="50" t="str">
        <f t="shared" si="38"/>
        <v/>
      </c>
      <c r="U369" s="50" t="str">
        <f t="shared" si="37"/>
        <v/>
      </c>
      <c r="V369" s="50" t="str">
        <f t="shared" si="39"/>
        <v/>
      </c>
      <c r="W369" s="50"/>
      <c r="X369" s="50" t="s">
        <v>4</v>
      </c>
      <c r="Y369" s="50" t="s">
        <v>50</v>
      </c>
      <c r="Z369" s="50" t="s">
        <v>3406</v>
      </c>
      <c r="AA369" s="50"/>
    </row>
    <row r="370" spans="1:27" ht="25.5" customHeight="1">
      <c r="A370" s="50" t="s">
        <v>774</v>
      </c>
      <c r="B370" s="51" t="s">
        <v>877</v>
      </c>
      <c r="C370" s="51" t="s">
        <v>143</v>
      </c>
      <c r="D370" s="50" t="s">
        <v>1056</v>
      </c>
      <c r="E370" s="50">
        <v>1399</v>
      </c>
      <c r="F370" s="50">
        <v>1311</v>
      </c>
      <c r="G370" s="50" t="s">
        <v>3404</v>
      </c>
      <c r="H370" s="50">
        <v>2024</v>
      </c>
      <c r="I370" s="105" t="s">
        <v>3901</v>
      </c>
      <c r="J370" s="50"/>
      <c r="K370" s="50" t="s">
        <v>188</v>
      </c>
      <c r="L370" s="50"/>
      <c r="M370" s="50" t="s">
        <v>2445</v>
      </c>
      <c r="N370" s="50"/>
      <c r="O370" s="50"/>
      <c r="P370" s="50"/>
      <c r="Q370" s="50"/>
      <c r="R370" s="50"/>
      <c r="S370" s="50" t="str">
        <f t="shared" si="36"/>
        <v/>
      </c>
      <c r="T370" s="50" t="str">
        <f t="shared" si="38"/>
        <v/>
      </c>
      <c r="U370" s="50" t="str">
        <f t="shared" si="37"/>
        <v/>
      </c>
      <c r="V370" s="50" t="str">
        <f t="shared" si="39"/>
        <v/>
      </c>
      <c r="W370" s="50"/>
      <c r="X370" s="50" t="s">
        <v>1078</v>
      </c>
      <c r="Y370" s="50" t="s">
        <v>50</v>
      </c>
      <c r="Z370" s="50" t="s">
        <v>3406</v>
      </c>
      <c r="AA370" s="50"/>
    </row>
    <row r="371" spans="1:27" ht="25.5" customHeight="1">
      <c r="A371" s="50" t="s">
        <v>774</v>
      </c>
      <c r="B371" s="51" t="s">
        <v>877</v>
      </c>
      <c r="C371" s="51" t="s">
        <v>143</v>
      </c>
      <c r="D371" s="51" t="s">
        <v>3713</v>
      </c>
      <c r="E371" s="50">
        <v>847</v>
      </c>
      <c r="F371" s="50">
        <v>1114</v>
      </c>
      <c r="G371" s="50" t="s">
        <v>3404</v>
      </c>
      <c r="H371" s="50">
        <v>2024</v>
      </c>
      <c r="I371" s="105" t="s">
        <v>3759</v>
      </c>
      <c r="J371" s="50"/>
      <c r="K371" s="50" t="s">
        <v>188</v>
      </c>
      <c r="L371" s="50"/>
      <c r="M371" s="50" t="s">
        <v>2445</v>
      </c>
      <c r="N371" s="50"/>
      <c r="O371" s="50"/>
      <c r="P371" s="50"/>
      <c r="Q371" s="50"/>
      <c r="R371" s="50"/>
      <c r="S371" s="50" t="str">
        <f t="shared" si="36"/>
        <v/>
      </c>
      <c r="T371" s="50" t="str">
        <f t="shared" si="38"/>
        <v/>
      </c>
      <c r="U371" s="50" t="str">
        <f t="shared" si="37"/>
        <v/>
      </c>
      <c r="V371" s="50" t="str">
        <f t="shared" si="39"/>
        <v/>
      </c>
      <c r="W371" s="50"/>
      <c r="X371" s="50" t="s">
        <v>4</v>
      </c>
      <c r="Y371" s="50" t="s">
        <v>50</v>
      </c>
      <c r="Z371" s="50" t="s">
        <v>3406</v>
      </c>
      <c r="AA371" s="50"/>
    </row>
    <row r="372" spans="1:27" ht="25.5" customHeight="1">
      <c r="A372" s="50" t="s">
        <v>774</v>
      </c>
      <c r="B372" s="51" t="s">
        <v>877</v>
      </c>
      <c r="C372" s="51" t="s">
        <v>143</v>
      </c>
      <c r="D372" s="51" t="s">
        <v>3132</v>
      </c>
      <c r="E372" s="50">
        <v>6942</v>
      </c>
      <c r="F372" s="50">
        <v>7179</v>
      </c>
      <c r="G372" s="50" t="s">
        <v>3404</v>
      </c>
      <c r="H372" s="50">
        <v>2024</v>
      </c>
      <c r="I372" s="105" t="s">
        <v>3646</v>
      </c>
      <c r="J372" s="50"/>
      <c r="K372" s="50" t="s">
        <v>188</v>
      </c>
      <c r="L372" s="50"/>
      <c r="M372" s="50" t="s">
        <v>2445</v>
      </c>
      <c r="N372" s="50"/>
      <c r="O372" s="50"/>
      <c r="P372" s="50"/>
      <c r="Q372" s="50"/>
      <c r="R372" s="50"/>
      <c r="S372" s="50" t="str">
        <f t="shared" si="36"/>
        <v/>
      </c>
      <c r="T372" s="50" t="str">
        <f t="shared" si="38"/>
        <v/>
      </c>
      <c r="U372" s="50" t="str">
        <f t="shared" si="37"/>
        <v/>
      </c>
      <c r="V372" s="50" t="str">
        <f t="shared" si="39"/>
        <v/>
      </c>
      <c r="W372" s="50"/>
      <c r="X372" s="50" t="s">
        <v>4</v>
      </c>
      <c r="Y372" s="50" t="s">
        <v>50</v>
      </c>
      <c r="Z372" s="50" t="s">
        <v>3406</v>
      </c>
      <c r="AA372" s="50"/>
    </row>
    <row r="373" spans="1:27" ht="25.5" customHeight="1">
      <c r="A373" s="50" t="s">
        <v>774</v>
      </c>
      <c r="B373" s="51" t="s">
        <v>877</v>
      </c>
      <c r="C373" s="51" t="s">
        <v>143</v>
      </c>
      <c r="D373" s="51" t="s">
        <v>3902</v>
      </c>
      <c r="E373" s="50">
        <v>1109</v>
      </c>
      <c r="F373" s="50">
        <v>1299</v>
      </c>
      <c r="G373" s="50" t="s">
        <v>3404</v>
      </c>
      <c r="H373" s="50">
        <v>2024</v>
      </c>
      <c r="I373" s="105" t="s">
        <v>3669</v>
      </c>
      <c r="J373" s="50"/>
      <c r="K373" s="50" t="s">
        <v>188</v>
      </c>
      <c r="L373" s="50"/>
      <c r="M373" s="50" t="s">
        <v>2445</v>
      </c>
      <c r="N373" s="50"/>
      <c r="O373" s="50"/>
      <c r="P373" s="50"/>
      <c r="Q373" s="50"/>
      <c r="R373" s="50"/>
      <c r="S373" s="50" t="str">
        <f t="shared" si="36"/>
        <v/>
      </c>
      <c r="T373" s="50" t="str">
        <f t="shared" si="38"/>
        <v/>
      </c>
      <c r="U373" s="50" t="str">
        <f t="shared" si="37"/>
        <v/>
      </c>
      <c r="V373" s="50" t="str">
        <f t="shared" si="39"/>
        <v/>
      </c>
      <c r="W373" s="50"/>
      <c r="X373" s="50" t="s">
        <v>4</v>
      </c>
      <c r="Y373" s="50" t="s">
        <v>50</v>
      </c>
      <c r="Z373" s="50" t="s">
        <v>3406</v>
      </c>
      <c r="AA373" s="50"/>
    </row>
    <row r="374" spans="1:27" ht="25.5" customHeight="1">
      <c r="A374" s="50" t="s">
        <v>774</v>
      </c>
      <c r="B374" s="51" t="s">
        <v>877</v>
      </c>
      <c r="C374" s="51" t="s">
        <v>143</v>
      </c>
      <c r="D374" s="51" t="s">
        <v>3903</v>
      </c>
      <c r="E374" s="50">
        <v>1616</v>
      </c>
      <c r="F374" s="50">
        <v>1461</v>
      </c>
      <c r="G374" s="50" t="s">
        <v>3404</v>
      </c>
      <c r="H374" s="50">
        <v>2024</v>
      </c>
      <c r="I374" s="105" t="s">
        <v>3904</v>
      </c>
      <c r="J374" s="50"/>
      <c r="K374" s="50" t="s">
        <v>188</v>
      </c>
      <c r="L374" s="50"/>
      <c r="M374" s="50" t="s">
        <v>2445</v>
      </c>
      <c r="N374" s="50"/>
      <c r="O374" s="50"/>
      <c r="P374" s="50"/>
      <c r="Q374" s="50"/>
      <c r="R374" s="50"/>
      <c r="S374" s="50" t="str">
        <f t="shared" si="36"/>
        <v/>
      </c>
      <c r="T374" s="50" t="str">
        <f t="shared" si="38"/>
        <v/>
      </c>
      <c r="U374" s="50" t="str">
        <f t="shared" si="37"/>
        <v/>
      </c>
      <c r="V374" s="50" t="str">
        <f t="shared" si="39"/>
        <v/>
      </c>
      <c r="W374" s="50"/>
      <c r="X374" s="50"/>
      <c r="Y374" s="50"/>
      <c r="Z374" s="50" t="s">
        <v>3406</v>
      </c>
      <c r="AA374" s="50"/>
    </row>
    <row r="375" spans="1:27" ht="25.5" customHeight="1">
      <c r="A375" s="50" t="s">
        <v>774</v>
      </c>
      <c r="B375" s="51" t="s">
        <v>877</v>
      </c>
      <c r="C375" s="51" t="s">
        <v>143</v>
      </c>
      <c r="D375" s="51" t="s">
        <v>3786</v>
      </c>
      <c r="E375" s="50">
        <v>1990</v>
      </c>
      <c r="F375" s="50">
        <v>2289</v>
      </c>
      <c r="G375" s="50" t="s">
        <v>3404</v>
      </c>
      <c r="H375" s="50">
        <v>2024</v>
      </c>
      <c r="I375" s="105" t="s">
        <v>3817</v>
      </c>
      <c r="J375" s="50"/>
      <c r="K375" s="50" t="s">
        <v>188</v>
      </c>
      <c r="L375" s="50"/>
      <c r="M375" s="50" t="s">
        <v>2445</v>
      </c>
      <c r="N375" s="50"/>
      <c r="O375" s="50"/>
      <c r="P375" s="50"/>
      <c r="Q375" s="50"/>
      <c r="R375" s="50"/>
      <c r="S375" s="50" t="str">
        <f t="shared" si="36"/>
        <v/>
      </c>
      <c r="T375" s="50" t="str">
        <f t="shared" si="38"/>
        <v/>
      </c>
      <c r="U375" s="50" t="str">
        <f t="shared" si="37"/>
        <v/>
      </c>
      <c r="V375" s="50" t="str">
        <f t="shared" si="39"/>
        <v/>
      </c>
      <c r="W375" s="50"/>
      <c r="X375" s="50" t="s">
        <v>4</v>
      </c>
      <c r="Y375" s="50" t="s">
        <v>50</v>
      </c>
      <c r="Z375" s="50" t="s">
        <v>3406</v>
      </c>
      <c r="AA375" s="50"/>
    </row>
    <row r="376" spans="1:27" ht="25.5" customHeight="1">
      <c r="A376" s="50" t="s">
        <v>774</v>
      </c>
      <c r="B376" s="51" t="s">
        <v>917</v>
      </c>
      <c r="C376" s="51" t="s">
        <v>143</v>
      </c>
      <c r="D376" s="51" t="s">
        <v>3905</v>
      </c>
      <c r="E376" s="50">
        <v>2573</v>
      </c>
      <c r="F376" s="50">
        <v>2789</v>
      </c>
      <c r="G376" s="50" t="s">
        <v>3404</v>
      </c>
      <c r="H376" s="50">
        <v>2024</v>
      </c>
      <c r="I376" s="105" t="s">
        <v>3660</v>
      </c>
      <c r="J376" s="50"/>
      <c r="K376" s="50" t="s">
        <v>179</v>
      </c>
      <c r="L376" s="50"/>
      <c r="M376" s="50" t="s">
        <v>2445</v>
      </c>
      <c r="N376" s="50"/>
      <c r="O376" s="50"/>
      <c r="P376" s="50"/>
      <c r="Q376" s="50"/>
      <c r="R376" s="50"/>
      <c r="S376" s="50" t="str">
        <f t="shared" si="36"/>
        <v/>
      </c>
      <c r="T376" s="50" t="str">
        <f t="shared" si="38"/>
        <v/>
      </c>
      <c r="U376" s="50" t="str">
        <f t="shared" si="37"/>
        <v/>
      </c>
      <c r="V376" s="50" t="str">
        <f t="shared" si="39"/>
        <v/>
      </c>
      <c r="W376" s="50"/>
      <c r="X376" s="50" t="s">
        <v>4</v>
      </c>
      <c r="Y376" s="50" t="s">
        <v>57</v>
      </c>
      <c r="Z376" s="50" t="s">
        <v>3406</v>
      </c>
      <c r="AA376" s="50"/>
    </row>
    <row r="377" spans="1:27" ht="25.5" customHeight="1">
      <c r="A377" s="50" t="s">
        <v>774</v>
      </c>
      <c r="B377" s="51" t="s">
        <v>917</v>
      </c>
      <c r="C377" s="51" t="s">
        <v>143</v>
      </c>
      <c r="D377" s="51" t="s">
        <v>3906</v>
      </c>
      <c r="E377" s="50">
        <v>1169</v>
      </c>
      <c r="F377" s="50">
        <v>1314</v>
      </c>
      <c r="G377" s="50" t="s">
        <v>3404</v>
      </c>
      <c r="H377" s="50">
        <v>2024</v>
      </c>
      <c r="I377" s="105" t="s">
        <v>3838</v>
      </c>
      <c r="J377" s="50"/>
      <c r="K377" s="50" t="s">
        <v>179</v>
      </c>
      <c r="L377" s="50"/>
      <c r="M377" s="50" t="s">
        <v>2445</v>
      </c>
      <c r="N377" s="50"/>
      <c r="O377" s="50"/>
      <c r="P377" s="50"/>
      <c r="Q377" s="50"/>
      <c r="R377" s="50"/>
      <c r="S377" s="50" t="str">
        <f t="shared" si="36"/>
        <v/>
      </c>
      <c r="T377" s="50" t="str">
        <f t="shared" si="38"/>
        <v/>
      </c>
      <c r="U377" s="50" t="str">
        <f t="shared" si="37"/>
        <v/>
      </c>
      <c r="V377" s="50" t="str">
        <f t="shared" si="39"/>
        <v/>
      </c>
      <c r="W377" s="50"/>
      <c r="X377" s="50" t="s">
        <v>4</v>
      </c>
      <c r="Y377" s="50" t="s">
        <v>50</v>
      </c>
      <c r="Z377" s="50" t="s">
        <v>3406</v>
      </c>
      <c r="AA377" s="50"/>
    </row>
    <row r="378" spans="1:27" ht="25.5" customHeight="1">
      <c r="A378" s="50" t="s">
        <v>774</v>
      </c>
      <c r="B378" s="51" t="s">
        <v>917</v>
      </c>
      <c r="C378" s="51" t="s">
        <v>143</v>
      </c>
      <c r="D378" s="51" t="s">
        <v>3907</v>
      </c>
      <c r="E378" s="50">
        <v>3756</v>
      </c>
      <c r="F378" s="50">
        <v>3639</v>
      </c>
      <c r="G378" s="50" t="s">
        <v>3404</v>
      </c>
      <c r="H378" s="50">
        <v>2024</v>
      </c>
      <c r="I378" s="105" t="s">
        <v>3592</v>
      </c>
      <c r="J378" s="50"/>
      <c r="K378" s="50" t="s">
        <v>179</v>
      </c>
      <c r="L378" s="50"/>
      <c r="M378" s="50" t="s">
        <v>2445</v>
      </c>
      <c r="N378" s="50"/>
      <c r="O378" s="50"/>
      <c r="P378" s="50"/>
      <c r="Q378" s="50"/>
      <c r="R378" s="50"/>
      <c r="S378" s="50" t="str">
        <f t="shared" si="36"/>
        <v/>
      </c>
      <c r="T378" s="50" t="str">
        <f t="shared" si="38"/>
        <v/>
      </c>
      <c r="U378" s="50" t="str">
        <f t="shared" si="37"/>
        <v/>
      </c>
      <c r="V378" s="50" t="str">
        <f t="shared" si="39"/>
        <v/>
      </c>
      <c r="W378" s="50"/>
      <c r="X378" s="50"/>
      <c r="Y378" s="50"/>
      <c r="Z378" s="50" t="s">
        <v>3406</v>
      </c>
      <c r="AA378" s="50"/>
    </row>
    <row r="379" spans="1:27" ht="25.5" customHeight="1">
      <c r="A379" s="50" t="s">
        <v>774</v>
      </c>
      <c r="B379" s="51" t="s">
        <v>917</v>
      </c>
      <c r="C379" s="51" t="s">
        <v>143</v>
      </c>
      <c r="D379" s="50" t="s">
        <v>3908</v>
      </c>
      <c r="E379" s="50">
        <v>3210</v>
      </c>
      <c r="F379" s="50">
        <v>3230</v>
      </c>
      <c r="G379" s="50" t="s">
        <v>3404</v>
      </c>
      <c r="H379" s="50">
        <v>2024</v>
      </c>
      <c r="I379" s="105" t="s">
        <v>3909</v>
      </c>
      <c r="J379" s="50"/>
      <c r="K379" s="50" t="s">
        <v>179</v>
      </c>
      <c r="L379" s="50"/>
      <c r="M379" s="50" t="s">
        <v>2445</v>
      </c>
      <c r="N379" s="50"/>
      <c r="O379" s="50"/>
      <c r="P379" s="50"/>
      <c r="Q379" s="50"/>
      <c r="R379" s="50"/>
      <c r="S379" s="50" t="str">
        <f t="shared" si="36"/>
        <v/>
      </c>
      <c r="T379" s="50" t="str">
        <f t="shared" si="38"/>
        <v/>
      </c>
      <c r="U379" s="50" t="str">
        <f t="shared" si="37"/>
        <v/>
      </c>
      <c r="V379" s="50" t="str">
        <f t="shared" si="39"/>
        <v/>
      </c>
      <c r="W379" s="50"/>
      <c r="X379" s="50" t="s">
        <v>4</v>
      </c>
      <c r="Y379" s="50" t="s">
        <v>50</v>
      </c>
      <c r="Z379" s="50" t="s">
        <v>3406</v>
      </c>
      <c r="AA379" s="50"/>
    </row>
    <row r="380" spans="1:27" ht="25.5" customHeight="1">
      <c r="A380" s="50" t="s">
        <v>774</v>
      </c>
      <c r="B380" s="51" t="s">
        <v>917</v>
      </c>
      <c r="C380" s="51" t="s">
        <v>143</v>
      </c>
      <c r="D380" s="51" t="s">
        <v>3910</v>
      </c>
      <c r="E380" s="50">
        <v>2665</v>
      </c>
      <c r="F380" s="50">
        <v>3058</v>
      </c>
      <c r="G380" s="50" t="s">
        <v>3404</v>
      </c>
      <c r="H380" s="50">
        <v>2024</v>
      </c>
      <c r="I380" s="105" t="s">
        <v>3879</v>
      </c>
      <c r="J380" s="50"/>
      <c r="K380" s="50" t="s">
        <v>179</v>
      </c>
      <c r="L380" s="50"/>
      <c r="M380" s="50" t="s">
        <v>2445</v>
      </c>
      <c r="N380" s="50"/>
      <c r="O380" s="50"/>
      <c r="P380" s="50"/>
      <c r="Q380" s="50"/>
      <c r="R380" s="50"/>
      <c r="S380" s="50" t="str">
        <f t="shared" si="36"/>
        <v/>
      </c>
      <c r="T380" s="50" t="str">
        <f t="shared" si="38"/>
        <v/>
      </c>
      <c r="U380" s="50" t="str">
        <f t="shared" si="37"/>
        <v/>
      </c>
      <c r="V380" s="50" t="str">
        <f t="shared" si="39"/>
        <v/>
      </c>
      <c r="W380" s="50"/>
      <c r="X380" s="50" t="s">
        <v>4</v>
      </c>
      <c r="Y380" s="50" t="s">
        <v>50</v>
      </c>
      <c r="Z380" s="50" t="s">
        <v>3406</v>
      </c>
      <c r="AA380" s="50"/>
    </row>
    <row r="381" spans="1:27" ht="25.5" customHeight="1">
      <c r="A381" s="50" t="s">
        <v>774</v>
      </c>
      <c r="B381" s="51" t="s">
        <v>917</v>
      </c>
      <c r="C381" s="51" t="s">
        <v>143</v>
      </c>
      <c r="D381" s="51" t="s">
        <v>3911</v>
      </c>
      <c r="E381" s="50">
        <v>3926</v>
      </c>
      <c r="F381" s="50">
        <v>4787</v>
      </c>
      <c r="G381" s="50" t="s">
        <v>3404</v>
      </c>
      <c r="H381" s="50">
        <v>2024</v>
      </c>
      <c r="I381" s="105" t="s">
        <v>3879</v>
      </c>
      <c r="J381" s="50"/>
      <c r="K381" s="50" t="s">
        <v>179</v>
      </c>
      <c r="L381" s="50"/>
      <c r="M381" s="50" t="s">
        <v>2445</v>
      </c>
      <c r="N381" s="50"/>
      <c r="O381" s="50"/>
      <c r="P381" s="50"/>
      <c r="Q381" s="50"/>
      <c r="R381" s="50"/>
      <c r="S381" s="50" t="str">
        <f t="shared" si="36"/>
        <v/>
      </c>
      <c r="T381" s="50" t="str">
        <f t="shared" si="38"/>
        <v/>
      </c>
      <c r="U381" s="50" t="str">
        <f t="shared" si="37"/>
        <v/>
      </c>
      <c r="V381" s="50" t="str">
        <f t="shared" si="39"/>
        <v/>
      </c>
      <c r="W381" s="50"/>
      <c r="X381" s="50" t="s">
        <v>4</v>
      </c>
      <c r="Y381" s="50" t="s">
        <v>57</v>
      </c>
      <c r="Z381" s="50" t="s">
        <v>3406</v>
      </c>
      <c r="AA381" s="50"/>
    </row>
    <row r="382" spans="1:27" ht="25.5" customHeight="1">
      <c r="A382" s="50" t="s">
        <v>774</v>
      </c>
      <c r="B382" s="51" t="s">
        <v>917</v>
      </c>
      <c r="C382" s="51" t="s">
        <v>143</v>
      </c>
      <c r="D382" s="51" t="s">
        <v>3912</v>
      </c>
      <c r="E382" s="50">
        <v>2092</v>
      </c>
      <c r="F382" s="50">
        <v>2284</v>
      </c>
      <c r="G382" s="50" t="s">
        <v>3404</v>
      </c>
      <c r="H382" s="50">
        <v>2024</v>
      </c>
      <c r="I382" s="105" t="s">
        <v>3892</v>
      </c>
      <c r="J382" s="50"/>
      <c r="K382" s="50" t="s">
        <v>179</v>
      </c>
      <c r="L382" s="50"/>
      <c r="M382" s="50" t="s">
        <v>2445</v>
      </c>
      <c r="N382" s="50"/>
      <c r="O382" s="50"/>
      <c r="P382" s="50"/>
      <c r="Q382" s="50"/>
      <c r="R382" s="50"/>
      <c r="S382" s="50" t="str">
        <f t="shared" si="36"/>
        <v/>
      </c>
      <c r="T382" s="50" t="str">
        <f t="shared" si="38"/>
        <v/>
      </c>
      <c r="U382" s="50" t="str">
        <f t="shared" si="37"/>
        <v/>
      </c>
      <c r="V382" s="50" t="str">
        <f t="shared" si="39"/>
        <v/>
      </c>
      <c r="W382" s="50"/>
      <c r="X382" s="50"/>
      <c r="Y382" s="50"/>
      <c r="Z382" s="50" t="s">
        <v>3406</v>
      </c>
      <c r="AA382" s="50"/>
    </row>
    <row r="383" spans="1:27" ht="25.5" customHeight="1">
      <c r="A383" s="50" t="s">
        <v>774</v>
      </c>
      <c r="B383" s="51" t="s">
        <v>917</v>
      </c>
      <c r="C383" s="51" t="s">
        <v>143</v>
      </c>
      <c r="D383" s="51" t="s">
        <v>3913</v>
      </c>
      <c r="E383" s="50">
        <v>4230</v>
      </c>
      <c r="F383" s="50">
        <v>4456</v>
      </c>
      <c r="G383" s="50" t="s">
        <v>3404</v>
      </c>
      <c r="H383" s="50">
        <v>2024</v>
      </c>
      <c r="I383" s="105" t="s">
        <v>3914</v>
      </c>
      <c r="J383" s="50"/>
      <c r="K383" s="50" t="s">
        <v>179</v>
      </c>
      <c r="L383" s="50"/>
      <c r="M383" s="50" t="s">
        <v>2445</v>
      </c>
      <c r="N383" s="50"/>
      <c r="O383" s="50"/>
      <c r="P383" s="50"/>
      <c r="Q383" s="50"/>
      <c r="R383" s="50"/>
      <c r="S383" s="50" t="str">
        <f t="shared" si="36"/>
        <v/>
      </c>
      <c r="T383" s="50" t="str">
        <f t="shared" si="38"/>
        <v/>
      </c>
      <c r="U383" s="50" t="str">
        <f t="shared" si="37"/>
        <v/>
      </c>
      <c r="V383" s="50" t="str">
        <f t="shared" si="39"/>
        <v/>
      </c>
      <c r="W383" s="50"/>
      <c r="X383" s="50"/>
      <c r="Y383" s="50"/>
      <c r="Z383" s="50" t="s">
        <v>3406</v>
      </c>
      <c r="AA383" s="50"/>
    </row>
    <row r="384" spans="1:27" ht="25.5" customHeight="1">
      <c r="A384" s="50" t="s">
        <v>774</v>
      </c>
      <c r="B384" s="51" t="s">
        <v>917</v>
      </c>
      <c r="C384" s="51" t="s">
        <v>143</v>
      </c>
      <c r="D384" s="51" t="s">
        <v>3915</v>
      </c>
      <c r="E384" s="50">
        <v>1159</v>
      </c>
      <c r="F384" s="50">
        <v>936</v>
      </c>
      <c r="G384" s="50" t="s">
        <v>3404</v>
      </c>
      <c r="H384" s="50">
        <v>2024</v>
      </c>
      <c r="I384" s="105" t="s">
        <v>3516</v>
      </c>
      <c r="J384" s="50"/>
      <c r="K384" s="50" t="s">
        <v>179</v>
      </c>
      <c r="L384" s="50"/>
      <c r="M384" s="50" t="s">
        <v>2445</v>
      </c>
      <c r="N384" s="50"/>
      <c r="O384" s="50"/>
      <c r="P384" s="50"/>
      <c r="Q384" s="50"/>
      <c r="R384" s="50"/>
      <c r="S384" s="50" t="str">
        <f t="shared" si="36"/>
        <v/>
      </c>
      <c r="T384" s="50" t="str">
        <f t="shared" si="38"/>
        <v/>
      </c>
      <c r="U384" s="50" t="str">
        <f t="shared" si="37"/>
        <v/>
      </c>
      <c r="V384" s="50" t="str">
        <f t="shared" si="39"/>
        <v/>
      </c>
      <c r="W384" s="50"/>
      <c r="X384" s="50" t="s">
        <v>4</v>
      </c>
      <c r="Y384" s="50" t="s">
        <v>50</v>
      </c>
      <c r="Z384" s="50" t="s">
        <v>3406</v>
      </c>
      <c r="AA384" s="50"/>
    </row>
    <row r="385" spans="1:27" ht="25.5" customHeight="1">
      <c r="A385" s="50" t="s">
        <v>774</v>
      </c>
      <c r="B385" s="51" t="s">
        <v>917</v>
      </c>
      <c r="C385" s="51" t="s">
        <v>143</v>
      </c>
      <c r="D385" s="51" t="s">
        <v>3565</v>
      </c>
      <c r="E385" s="50">
        <v>2480</v>
      </c>
      <c r="F385" s="50">
        <v>2555</v>
      </c>
      <c r="G385" s="50" t="s">
        <v>3404</v>
      </c>
      <c r="H385" s="50">
        <v>2024</v>
      </c>
      <c r="I385" s="105" t="s">
        <v>3894</v>
      </c>
      <c r="J385" s="50"/>
      <c r="K385" s="50" t="s">
        <v>179</v>
      </c>
      <c r="L385" s="50"/>
      <c r="M385" s="50" t="s">
        <v>2445</v>
      </c>
      <c r="N385" s="50"/>
      <c r="O385" s="50"/>
      <c r="P385" s="50"/>
      <c r="Q385" s="50"/>
      <c r="R385" s="50"/>
      <c r="S385" s="50" t="str">
        <f t="shared" si="36"/>
        <v/>
      </c>
      <c r="T385" s="50" t="str">
        <f t="shared" si="38"/>
        <v/>
      </c>
      <c r="U385" s="50" t="str">
        <f t="shared" si="37"/>
        <v/>
      </c>
      <c r="V385" s="50" t="str">
        <f t="shared" si="39"/>
        <v/>
      </c>
      <c r="W385" s="50"/>
      <c r="X385" s="50"/>
      <c r="Y385" s="50"/>
      <c r="Z385" s="50" t="s">
        <v>3406</v>
      </c>
      <c r="AA385" s="50"/>
    </row>
    <row r="386" spans="1:27" ht="25.5" customHeight="1">
      <c r="A386" s="50" t="s">
        <v>774</v>
      </c>
      <c r="B386" s="51" t="s">
        <v>917</v>
      </c>
      <c r="C386" s="51" t="s">
        <v>143</v>
      </c>
      <c r="D386" s="50" t="s">
        <v>3916</v>
      </c>
      <c r="E386" s="50">
        <v>3682</v>
      </c>
      <c r="F386" s="50">
        <v>4638</v>
      </c>
      <c r="G386" s="50" t="s">
        <v>3404</v>
      </c>
      <c r="H386" s="50">
        <v>2024</v>
      </c>
      <c r="I386" s="105" t="s">
        <v>3917</v>
      </c>
      <c r="J386" s="50"/>
      <c r="K386" s="50" t="s">
        <v>179</v>
      </c>
      <c r="L386" s="50"/>
      <c r="M386" s="50" t="s">
        <v>2445</v>
      </c>
      <c r="N386" s="50"/>
      <c r="O386" s="50"/>
      <c r="P386" s="50"/>
      <c r="Q386" s="50"/>
      <c r="R386" s="50"/>
      <c r="S386" s="50" t="str">
        <f t="shared" si="36"/>
        <v/>
      </c>
      <c r="T386" s="50" t="str">
        <f t="shared" si="38"/>
        <v/>
      </c>
      <c r="U386" s="50" t="str">
        <f t="shared" si="37"/>
        <v/>
      </c>
      <c r="V386" s="50" t="str">
        <f t="shared" si="39"/>
        <v/>
      </c>
      <c r="W386" s="50"/>
      <c r="X386" s="50" t="s">
        <v>4</v>
      </c>
      <c r="Y386" s="50" t="s">
        <v>50</v>
      </c>
      <c r="Z386" s="50" t="s">
        <v>3406</v>
      </c>
      <c r="AA386" s="50"/>
    </row>
    <row r="387" spans="1:27" ht="25.5" customHeight="1">
      <c r="A387" s="50" t="s">
        <v>774</v>
      </c>
      <c r="B387" s="51" t="s">
        <v>917</v>
      </c>
      <c r="C387" s="51" t="s">
        <v>143</v>
      </c>
      <c r="D387" s="51" t="s">
        <v>3918</v>
      </c>
      <c r="E387" s="50">
        <v>2184</v>
      </c>
      <c r="F387" s="50">
        <v>2289</v>
      </c>
      <c r="G387" s="50" t="s">
        <v>3404</v>
      </c>
      <c r="H387" s="50">
        <v>2024</v>
      </c>
      <c r="I387" s="105" t="s">
        <v>3516</v>
      </c>
      <c r="J387" s="50"/>
      <c r="K387" s="50" t="s">
        <v>179</v>
      </c>
      <c r="L387" s="50"/>
      <c r="M387" s="50" t="s">
        <v>2445</v>
      </c>
      <c r="N387" s="50"/>
      <c r="O387" s="50"/>
      <c r="P387" s="50"/>
      <c r="Q387" s="50"/>
      <c r="R387" s="50"/>
      <c r="S387" s="50" t="str">
        <f t="shared" si="36"/>
        <v/>
      </c>
      <c r="T387" s="50" t="str">
        <f t="shared" si="38"/>
        <v/>
      </c>
      <c r="U387" s="50" t="str">
        <f t="shared" si="37"/>
        <v/>
      </c>
      <c r="V387" s="50" t="str">
        <f t="shared" si="39"/>
        <v/>
      </c>
      <c r="W387" s="50"/>
      <c r="X387" s="50" t="s">
        <v>4</v>
      </c>
      <c r="Y387" s="50" t="s">
        <v>50</v>
      </c>
      <c r="Z387" s="50" t="s">
        <v>3406</v>
      </c>
      <c r="AA387" s="50"/>
    </row>
    <row r="388" spans="1:27" ht="25.5" customHeight="1">
      <c r="A388" s="521" t="s">
        <v>774</v>
      </c>
      <c r="B388" s="51" t="s">
        <v>917</v>
      </c>
      <c r="C388" s="51" t="s">
        <v>143</v>
      </c>
      <c r="D388" s="51" t="s">
        <v>3919</v>
      </c>
      <c r="E388" s="50">
        <v>1419</v>
      </c>
      <c r="F388" s="50">
        <v>1534</v>
      </c>
      <c r="G388" s="50" t="s">
        <v>3404</v>
      </c>
      <c r="H388" s="50">
        <v>2024</v>
      </c>
      <c r="I388" s="105" t="s">
        <v>3920</v>
      </c>
      <c r="J388" s="50"/>
      <c r="K388" s="50" t="s">
        <v>179</v>
      </c>
      <c r="L388" s="50"/>
      <c r="M388" s="50" t="s">
        <v>2445</v>
      </c>
      <c r="N388" s="50"/>
      <c r="O388" s="50"/>
      <c r="P388" s="50"/>
      <c r="Q388" s="50"/>
      <c r="R388" s="50"/>
      <c r="S388" s="50" t="str">
        <f t="shared" si="36"/>
        <v/>
      </c>
      <c r="T388" s="50" t="str">
        <f t="shared" si="38"/>
        <v/>
      </c>
      <c r="U388" s="50" t="str">
        <f t="shared" si="37"/>
        <v/>
      </c>
      <c r="V388" s="50" t="str">
        <f t="shared" si="39"/>
        <v/>
      </c>
      <c r="W388" s="50"/>
      <c r="X388" s="50" t="s">
        <v>4</v>
      </c>
      <c r="Y388" s="50" t="s">
        <v>50</v>
      </c>
      <c r="Z388" s="50" t="s">
        <v>3406</v>
      </c>
      <c r="AA388" s="50"/>
    </row>
    <row r="389" spans="1:27" ht="25.5" customHeight="1">
      <c r="A389" s="50" t="s">
        <v>774</v>
      </c>
      <c r="B389" s="51" t="s">
        <v>917</v>
      </c>
      <c r="C389" s="51" t="s">
        <v>143</v>
      </c>
      <c r="D389" s="51" t="s">
        <v>3921</v>
      </c>
      <c r="E389" s="50">
        <v>753</v>
      </c>
      <c r="F389" s="50">
        <v>793</v>
      </c>
      <c r="G389" s="50" t="s">
        <v>3404</v>
      </c>
      <c r="H389" s="50">
        <v>2024</v>
      </c>
      <c r="I389" s="105" t="s">
        <v>3838</v>
      </c>
      <c r="J389" s="50"/>
      <c r="K389" s="50" t="s">
        <v>179</v>
      </c>
      <c r="L389" s="50"/>
      <c r="M389" s="50" t="s">
        <v>2445</v>
      </c>
      <c r="N389" s="50"/>
      <c r="O389" s="50"/>
      <c r="P389" s="50"/>
      <c r="Q389" s="50"/>
      <c r="R389" s="50"/>
      <c r="S389" s="50" t="str">
        <f t="shared" si="36"/>
        <v/>
      </c>
      <c r="T389" s="50" t="str">
        <f t="shared" si="38"/>
        <v/>
      </c>
      <c r="U389" s="50" t="str">
        <f t="shared" si="37"/>
        <v/>
      </c>
      <c r="V389" s="50" t="str">
        <f t="shared" si="39"/>
        <v/>
      </c>
      <c r="W389" s="50"/>
      <c r="X389" s="50" t="s">
        <v>4</v>
      </c>
      <c r="Y389" s="50" t="s">
        <v>50</v>
      </c>
      <c r="Z389" s="50" t="s">
        <v>3406</v>
      </c>
      <c r="AA389" s="50"/>
    </row>
    <row r="390" spans="1:27" ht="25.5" customHeight="1">
      <c r="A390" s="517" t="s">
        <v>776</v>
      </c>
      <c r="B390" s="51" t="s">
        <v>934</v>
      </c>
      <c r="C390" s="51" t="s">
        <v>143</v>
      </c>
      <c r="D390" s="51" t="s">
        <v>3922</v>
      </c>
      <c r="E390" s="50">
        <v>2603</v>
      </c>
      <c r="F390" s="50">
        <v>2902</v>
      </c>
      <c r="G390" s="50" t="s">
        <v>3404</v>
      </c>
      <c r="H390" s="50">
        <v>2025</v>
      </c>
      <c r="I390" s="132">
        <v>45912</v>
      </c>
      <c r="J390" s="50" t="s">
        <v>3127</v>
      </c>
      <c r="K390" s="50" t="s">
        <v>200</v>
      </c>
      <c r="L390" s="50" t="s">
        <v>1838</v>
      </c>
      <c r="M390" s="50" t="s">
        <v>1982</v>
      </c>
      <c r="N390" s="50" t="s">
        <v>3923</v>
      </c>
      <c r="O390" s="60">
        <v>45915</v>
      </c>
      <c r="P390" s="60">
        <v>45916</v>
      </c>
      <c r="Q390" s="60">
        <v>45916</v>
      </c>
      <c r="R390" s="60">
        <v>45918</v>
      </c>
      <c r="S390" s="50">
        <f t="shared" si="36"/>
        <v>1</v>
      </c>
      <c r="T390" s="50">
        <f>IF(
    OR(ISBLANK(P390), ISBLANK(Q390)),
    "",
    MAX(1, IF(
        NETWORKDAYS(P390, Q390) &lt;= 0,
        1,
        NETWORKDAYS(P390, Q390) - IF(P390 = Q390, 0, 1)
    ))
)</f>
        <v>1</v>
      </c>
      <c r="U390" s="50">
        <f>IF(
    OR(ISBLANK(P390), ISBLANK(Q390)),
    "",
    MAX(1, IF(
        NETWORKDAYS(P390, Q390) &lt;= 0,
        1,
        NETWORKDAYS(P390, Q390) - IF(P390 = Q390, 0, 1)
    ))
)</f>
        <v>1</v>
      </c>
      <c r="V390" s="50">
        <f t="shared" si="39"/>
        <v>2</v>
      </c>
      <c r="W390" s="50" t="s">
        <v>150</v>
      </c>
      <c r="X390" s="50" t="s">
        <v>3527</v>
      </c>
      <c r="Y390" s="50" t="s">
        <v>3528</v>
      </c>
      <c r="Z390" s="50" t="s">
        <v>3406</v>
      </c>
      <c r="AA390" s="50"/>
    </row>
    <row r="391" spans="1:27" ht="25.5" customHeight="1">
      <c r="A391" s="517" t="s">
        <v>776</v>
      </c>
      <c r="B391" s="51" t="s">
        <v>934</v>
      </c>
      <c r="C391" s="51" t="s">
        <v>143</v>
      </c>
      <c r="D391" s="51" t="s">
        <v>3924</v>
      </c>
      <c r="E391" s="50">
        <v>2140</v>
      </c>
      <c r="F391" s="50">
        <v>2327</v>
      </c>
      <c r="G391" s="50" t="s">
        <v>3404</v>
      </c>
      <c r="H391" s="50">
        <v>2025</v>
      </c>
      <c r="I391" s="132">
        <v>45791</v>
      </c>
      <c r="J391" s="50" t="s">
        <v>3532</v>
      </c>
      <c r="K391" s="50" t="s">
        <v>200</v>
      </c>
      <c r="L391" s="50"/>
      <c r="M391" s="50" t="s">
        <v>1982</v>
      </c>
      <c r="N391" s="50" t="s">
        <v>3925</v>
      </c>
      <c r="O391" s="60">
        <v>45796</v>
      </c>
      <c r="P391" s="50"/>
      <c r="Q391" s="60">
        <v>45797</v>
      </c>
      <c r="R391" s="60">
        <v>45797</v>
      </c>
      <c r="S391" s="50">
        <f t="shared" si="36"/>
        <v>3</v>
      </c>
      <c r="T391" s="50" t="str">
        <f>IF(
    OR(ISBLANK(O391), ISBLANK(P391)),
    "",
    MAX(1, IF(
        NETWORKDAYS(O391, P391) &lt;= 0,
        1,
        NETWORKDAYS(O391:P391, Q391) - IF(P391 = Q391, 0, 1)
    ))
)</f>
        <v/>
      </c>
      <c r="U391" s="50">
        <f>IF(
    OR(ISBLANK(O391), ISBLANK(Q391)),
    "",
    MAX(1, IF(
        NETWORKDAYS(O391, Q391) &lt;= 0,
        1,
        NETWORKDAYS(O391, Q391) - IF(O391 = Q391, 0, 1)
    ))
)</f>
        <v>1</v>
      </c>
      <c r="V391" s="50">
        <f t="shared" si="39"/>
        <v>1</v>
      </c>
      <c r="W391" s="50" t="s">
        <v>150</v>
      </c>
      <c r="X391" s="50" t="s">
        <v>1078</v>
      </c>
      <c r="Y391" s="50" t="s">
        <v>50</v>
      </c>
      <c r="Z391" s="50" t="s">
        <v>3406</v>
      </c>
      <c r="AA391" s="50"/>
    </row>
    <row r="392" spans="1:27" ht="25.5" customHeight="1">
      <c r="A392" s="517" t="s">
        <v>776</v>
      </c>
      <c r="B392" s="51" t="s">
        <v>934</v>
      </c>
      <c r="C392" s="51" t="s">
        <v>143</v>
      </c>
      <c r="D392" s="51" t="s">
        <v>3926</v>
      </c>
      <c r="E392" s="50">
        <v>855</v>
      </c>
      <c r="F392" s="50">
        <v>910</v>
      </c>
      <c r="G392" s="50" t="s">
        <v>3404</v>
      </c>
      <c r="H392" s="50">
        <v>2025</v>
      </c>
      <c r="I392" s="132">
        <v>45791</v>
      </c>
      <c r="J392" s="50" t="s">
        <v>3532</v>
      </c>
      <c r="K392" s="50" t="s">
        <v>200</v>
      </c>
      <c r="L392" s="50"/>
      <c r="M392" s="50" t="s">
        <v>1982</v>
      </c>
      <c r="N392" s="50" t="s">
        <v>3927</v>
      </c>
      <c r="O392" s="60">
        <v>45796</v>
      </c>
      <c r="P392" s="50"/>
      <c r="Q392" s="60">
        <v>45797</v>
      </c>
      <c r="R392" s="60">
        <v>45797</v>
      </c>
      <c r="S392" s="50">
        <f t="shared" ref="S392:S453" si="40">IF(
    OR(ISBLANK(I392), ISBLANK(O392)),
    "",
    MAX(1, IF(
        NETWORKDAYS(I392, O392) &lt;= 0,
        1,
        NETWORKDAYS(I392, O392) - IF(I392 = O392, 0, 1)
    ))
)</f>
        <v>3</v>
      </c>
      <c r="T392" s="50" t="str">
        <f>IF(
    OR(ISBLANK(O392), ISBLANK(P392)),
    "",
    MAX(1, IF(
        NETWORKDAYS(O392, P392) &lt;= 0,
        1,
        NETWORKDAYS(O392:P392, Q392) - IF(P392 = Q392, 0, 1)
    ))
)</f>
        <v/>
      </c>
      <c r="U392" s="50">
        <f>IF(
    OR(ISBLANK(O392), ISBLANK(Q392)),
    "",
    MAX(1, IF(
        NETWORKDAYS(O392, Q392) &lt;= 0,
        1,
        NETWORKDAYS(O392, Q392) - IF(O392 = Q392, 0, 1)
    ))
)</f>
        <v>1</v>
      </c>
      <c r="V392" s="50">
        <f t="shared" si="39"/>
        <v>1</v>
      </c>
      <c r="W392" s="50" t="s">
        <v>150</v>
      </c>
      <c r="X392" s="50" t="s">
        <v>1078</v>
      </c>
      <c r="Y392" s="50" t="s">
        <v>50</v>
      </c>
      <c r="Z392" s="50" t="s">
        <v>3406</v>
      </c>
      <c r="AA392" s="50"/>
    </row>
    <row r="393" spans="1:27" ht="25.5" customHeight="1">
      <c r="A393" s="517" t="s">
        <v>776</v>
      </c>
      <c r="B393" s="51" t="s">
        <v>934</v>
      </c>
      <c r="C393" s="51" t="s">
        <v>143</v>
      </c>
      <c r="D393" s="51" t="s">
        <v>935</v>
      </c>
      <c r="E393" s="50">
        <v>5182</v>
      </c>
      <c r="F393" s="50">
        <v>5560</v>
      </c>
      <c r="G393" s="50" t="s">
        <v>3404</v>
      </c>
      <c r="H393" s="50">
        <v>2025</v>
      </c>
      <c r="I393" s="132">
        <v>45791</v>
      </c>
      <c r="J393" s="50" t="s">
        <v>3532</v>
      </c>
      <c r="K393" s="50" t="s">
        <v>200</v>
      </c>
      <c r="L393" s="50"/>
      <c r="M393" s="50" t="s">
        <v>1982</v>
      </c>
      <c r="N393" s="50" t="s">
        <v>3928</v>
      </c>
      <c r="O393" s="60">
        <v>45796</v>
      </c>
      <c r="P393" s="50"/>
      <c r="Q393" s="60">
        <v>45797</v>
      </c>
      <c r="R393" s="60">
        <v>45797</v>
      </c>
      <c r="S393" s="50">
        <f t="shared" si="40"/>
        <v>3</v>
      </c>
      <c r="T393" s="50" t="str">
        <f>IF(
    OR(ISBLANK(O393), ISBLANK(P393)),
    "",
    MAX(1, IF(
        NETWORKDAYS(O393, P393) &lt;= 0,
        1,
        NETWORKDAYS(O393:P393, Q393) - IF(P393 = Q393, 0, 1)
    ))
)</f>
        <v/>
      </c>
      <c r="U393" s="50">
        <f>IF(
    OR(ISBLANK(O393), ISBLANK(Q393)),
    "",
    MAX(1, IF(
        NETWORKDAYS(O393, Q393) &lt;= 0,
        1,
        NETWORKDAYS(O393, Q393) - IF(O393 = Q393, 0, 1)
    ))
)</f>
        <v>1</v>
      </c>
      <c r="V393" s="50">
        <f t="shared" si="39"/>
        <v>1</v>
      </c>
      <c r="W393" s="50" t="s">
        <v>150</v>
      </c>
      <c r="X393" s="50" t="s">
        <v>4</v>
      </c>
      <c r="Y393" s="50" t="s">
        <v>50</v>
      </c>
      <c r="Z393" s="50" t="s">
        <v>3406</v>
      </c>
      <c r="AA393" s="50"/>
    </row>
    <row r="394" spans="1:27" ht="25.5" customHeight="1">
      <c r="A394" s="517" t="s">
        <v>776</v>
      </c>
      <c r="B394" s="51" t="s">
        <v>934</v>
      </c>
      <c r="C394" s="51" t="s">
        <v>143</v>
      </c>
      <c r="D394" s="51" t="s">
        <v>3929</v>
      </c>
      <c r="E394" s="50">
        <v>4344</v>
      </c>
      <c r="F394" s="50">
        <v>5552</v>
      </c>
      <c r="G394" s="50" t="s">
        <v>3404</v>
      </c>
      <c r="H394" s="50">
        <v>2025</v>
      </c>
      <c r="I394" s="132">
        <v>45912</v>
      </c>
      <c r="J394" s="50" t="s">
        <v>3127</v>
      </c>
      <c r="K394" s="50" t="s">
        <v>200</v>
      </c>
      <c r="L394" s="50" t="s">
        <v>1838</v>
      </c>
      <c r="M394" s="50" t="s">
        <v>1982</v>
      </c>
      <c r="N394" s="50" t="s">
        <v>3930</v>
      </c>
      <c r="O394" s="60">
        <v>45915</v>
      </c>
      <c r="P394" s="60">
        <v>45916</v>
      </c>
      <c r="Q394" s="60">
        <v>45916</v>
      </c>
      <c r="R394" s="60">
        <v>45918</v>
      </c>
      <c r="S394" s="50">
        <f t="shared" si="40"/>
        <v>1</v>
      </c>
      <c r="T394" s="50">
        <f>IF(
    OR(ISBLANK(P394), ISBLANK(Q394)),
    "",
    MAX(1, IF(
        NETWORKDAYS(P394, Q394) &lt;= 0,
        1,
        NETWORKDAYS(P394, Q394) - IF(P394 = Q394, 0, 1)
    ))
)</f>
        <v>1</v>
      </c>
      <c r="U394" s="50">
        <f>IF(
    OR(ISBLANK(P394), ISBLANK(Q394)),
    "",
    MAX(1, IF(
        NETWORKDAYS(P394, Q394) &lt;= 0,
        1,
        NETWORKDAYS(P394, Q394) - IF(P394 = Q394, 0, 1)
    ))
)</f>
        <v>1</v>
      </c>
      <c r="V394" s="50">
        <f t="shared" si="39"/>
        <v>2</v>
      </c>
      <c r="W394" s="50" t="s">
        <v>150</v>
      </c>
      <c r="X394" s="50" t="s">
        <v>4</v>
      </c>
      <c r="Y394" s="50" t="s">
        <v>50</v>
      </c>
      <c r="Z394" s="50" t="s">
        <v>3406</v>
      </c>
      <c r="AA394" s="50"/>
    </row>
    <row r="395" spans="1:27" ht="25.5" customHeight="1">
      <c r="A395" s="517" t="s">
        <v>776</v>
      </c>
      <c r="B395" s="51" t="s">
        <v>934</v>
      </c>
      <c r="C395" s="51" t="s">
        <v>143</v>
      </c>
      <c r="D395" s="51" t="s">
        <v>3931</v>
      </c>
      <c r="E395" s="50">
        <v>4665</v>
      </c>
      <c r="F395" s="50">
        <v>5116</v>
      </c>
      <c r="G395" s="50" t="s">
        <v>3404</v>
      </c>
      <c r="H395" s="50">
        <v>2025</v>
      </c>
      <c r="I395" s="132">
        <v>45968</v>
      </c>
      <c r="J395" s="50" t="s">
        <v>3129</v>
      </c>
      <c r="K395" s="50" t="s">
        <v>200</v>
      </c>
      <c r="L395" s="50" t="s">
        <v>1838</v>
      </c>
      <c r="M395" s="50" t="s">
        <v>1982</v>
      </c>
      <c r="N395" s="50" t="s">
        <v>3932</v>
      </c>
      <c r="O395" s="60">
        <v>45971</v>
      </c>
      <c r="P395" s="60">
        <v>45979</v>
      </c>
      <c r="Q395" s="60">
        <v>45980</v>
      </c>
      <c r="R395" s="60">
        <v>45980</v>
      </c>
      <c r="S395" s="50">
        <f t="shared" si="40"/>
        <v>1</v>
      </c>
      <c r="T395" s="50">
        <f>IF(
    OR(ISBLANK(P395), ISBLANK(Q395)),
    "",
    MAX(1, IF(
        NETWORKDAYS(P395, Q395) &lt;= 0,
        1,
        NETWORKDAYS(P395, Q395) - IF(P395 = Q395, 0, 1)
    ))
)</f>
        <v>1</v>
      </c>
      <c r="U395" s="50">
        <f>IF(
    OR(ISBLANK(P395), ISBLANK(Q395)),
    "",
    MAX(1, IF(
        NETWORKDAYS(P395, Q395) &lt;= 0,
        1,
        NETWORKDAYS(P395, Q395) - IF(P395 = Q395, 0, 1)
    ))
)</f>
        <v>1</v>
      </c>
      <c r="V395" s="50">
        <f t="shared" si="39"/>
        <v>1</v>
      </c>
      <c r="W395" s="50" t="s">
        <v>150</v>
      </c>
      <c r="X395" s="50" t="s">
        <v>1078</v>
      </c>
      <c r="Y395" s="50" t="s">
        <v>50</v>
      </c>
      <c r="Z395" s="50" t="s">
        <v>3406</v>
      </c>
      <c r="AA395" s="50"/>
    </row>
    <row r="396" spans="1:27" ht="25.5" customHeight="1">
      <c r="A396" s="517" t="s">
        <v>776</v>
      </c>
      <c r="B396" s="51" t="s">
        <v>934</v>
      </c>
      <c r="C396" s="51" t="s">
        <v>143</v>
      </c>
      <c r="D396" s="51" t="s">
        <v>3933</v>
      </c>
      <c r="E396" s="50">
        <v>1225</v>
      </c>
      <c r="F396" s="50">
        <v>1787</v>
      </c>
      <c r="G396" s="50" t="s">
        <v>3404</v>
      </c>
      <c r="H396" s="50">
        <v>2025</v>
      </c>
      <c r="I396" s="132">
        <v>45968</v>
      </c>
      <c r="J396" s="50" t="s">
        <v>3129</v>
      </c>
      <c r="K396" s="50" t="s">
        <v>200</v>
      </c>
      <c r="L396" s="50" t="s">
        <v>1838</v>
      </c>
      <c r="M396" s="50" t="s">
        <v>1982</v>
      </c>
      <c r="N396" s="50" t="s">
        <v>3934</v>
      </c>
      <c r="O396" s="60">
        <v>45971</v>
      </c>
      <c r="P396" s="60">
        <v>45979</v>
      </c>
      <c r="Q396" s="60">
        <v>45980</v>
      </c>
      <c r="R396" s="60">
        <v>45980</v>
      </c>
      <c r="S396" s="50">
        <f t="shared" si="40"/>
        <v>1</v>
      </c>
      <c r="T396" s="50">
        <f>IF(
    OR(ISBLANK(P396), ISBLANK(Q396)),
    "",
    MAX(1, IF(
        NETWORKDAYS(P396, Q396) &lt;= 0,
        1,
        NETWORKDAYS(P396, Q396) - IF(P396 = Q396, 0, 1)
    ))
)</f>
        <v>1</v>
      </c>
      <c r="U396" s="50">
        <f>IF(
    OR(ISBLANK(P396), ISBLANK(Q396)),
    "",
    MAX(1, IF(
        NETWORKDAYS(P396, Q396) &lt;= 0,
        1,
        NETWORKDAYS(P396, Q396) - IF(P396 = Q396, 0, 1)
    ))
)</f>
        <v>1</v>
      </c>
      <c r="V396" s="50">
        <f t="shared" si="39"/>
        <v>1</v>
      </c>
      <c r="W396" s="50" t="s">
        <v>150</v>
      </c>
      <c r="X396" s="50" t="s">
        <v>4</v>
      </c>
      <c r="Y396" s="50" t="s">
        <v>57</v>
      </c>
      <c r="Z396" s="50" t="s">
        <v>3406</v>
      </c>
      <c r="AA396" s="50"/>
    </row>
    <row r="397" spans="1:27" ht="25.5" customHeight="1">
      <c r="A397" s="517" t="s">
        <v>776</v>
      </c>
      <c r="B397" s="51" t="s">
        <v>934</v>
      </c>
      <c r="C397" s="51" t="s">
        <v>143</v>
      </c>
      <c r="D397" s="51" t="s">
        <v>3935</v>
      </c>
      <c r="E397" s="50">
        <v>4607</v>
      </c>
      <c r="F397" s="50">
        <v>5256</v>
      </c>
      <c r="G397" s="50" t="s">
        <v>3404</v>
      </c>
      <c r="H397" s="50">
        <v>2025</v>
      </c>
      <c r="I397" s="132">
        <v>45912</v>
      </c>
      <c r="J397" s="50" t="s">
        <v>3127</v>
      </c>
      <c r="K397" s="50" t="s">
        <v>200</v>
      </c>
      <c r="L397" s="50" t="s">
        <v>1838</v>
      </c>
      <c r="M397" s="50" t="s">
        <v>1982</v>
      </c>
      <c r="N397" s="50" t="s">
        <v>3936</v>
      </c>
      <c r="O397" s="60">
        <v>45915</v>
      </c>
      <c r="P397" s="60">
        <v>45917</v>
      </c>
      <c r="Q397" s="60">
        <v>45917</v>
      </c>
      <c r="R397" s="60">
        <v>45918</v>
      </c>
      <c r="S397" s="50">
        <f t="shared" si="40"/>
        <v>1</v>
      </c>
      <c r="T397" s="50">
        <f>IF(
    OR(ISBLANK(P397), ISBLANK(Q397)),
    "",
    MAX(1, IF(
        NETWORKDAYS(P397, Q397) &lt;= 0,
        1,
        NETWORKDAYS(P397, Q397) - IF(P397 = Q397, 0, 1)
    ))
)</f>
        <v>1</v>
      </c>
      <c r="U397" s="50">
        <f>IF(
    OR(ISBLANK(P397), ISBLANK(Q397)),
    "",
    MAX(1, IF(
        NETWORKDAYS(P397, Q397) &lt;= 0,
        1,
        NETWORKDAYS(P397, Q397) - IF(P397 = Q397, 0, 1)
    ))
)</f>
        <v>1</v>
      </c>
      <c r="V397" s="50">
        <f t="shared" si="39"/>
        <v>1</v>
      </c>
      <c r="W397" s="50" t="s">
        <v>150</v>
      </c>
      <c r="X397" s="50" t="s">
        <v>4</v>
      </c>
      <c r="Y397" s="50" t="s">
        <v>57</v>
      </c>
      <c r="Z397" s="50" t="s">
        <v>3406</v>
      </c>
      <c r="AA397" s="50"/>
    </row>
    <row r="398" spans="1:27" ht="25.5" customHeight="1">
      <c r="A398" s="517" t="s">
        <v>776</v>
      </c>
      <c r="B398" s="51" t="s">
        <v>934</v>
      </c>
      <c r="C398" s="51" t="s">
        <v>143</v>
      </c>
      <c r="D398" s="51" t="s">
        <v>3937</v>
      </c>
      <c r="E398" s="50">
        <v>5641</v>
      </c>
      <c r="F398" s="50">
        <v>5875</v>
      </c>
      <c r="G398" s="50" t="s">
        <v>3404</v>
      </c>
      <c r="H398" s="50">
        <v>2025</v>
      </c>
      <c r="I398" s="132">
        <v>45912</v>
      </c>
      <c r="J398" s="50" t="s">
        <v>3127</v>
      </c>
      <c r="K398" s="50" t="s">
        <v>200</v>
      </c>
      <c r="L398" s="50" t="s">
        <v>1838</v>
      </c>
      <c r="M398" s="50" t="s">
        <v>1982</v>
      </c>
      <c r="N398" s="50" t="s">
        <v>3938</v>
      </c>
      <c r="O398" s="60">
        <v>45915</v>
      </c>
      <c r="P398" s="60">
        <v>45917</v>
      </c>
      <c r="Q398" s="60">
        <v>45917</v>
      </c>
      <c r="R398" s="60">
        <v>45918</v>
      </c>
      <c r="S398" s="50">
        <f t="shared" si="40"/>
        <v>1</v>
      </c>
      <c r="T398" s="50">
        <f>IF(
    OR(ISBLANK(P398), ISBLANK(Q398)),
    "",
    MAX(1, IF(
        NETWORKDAYS(P398, Q398) &lt;= 0,
        1,
        NETWORKDAYS(P398, Q398) - IF(P398 = Q398, 0, 1)
    ))
)</f>
        <v>1</v>
      </c>
      <c r="U398" s="50">
        <f>IF(
    OR(ISBLANK(P398), ISBLANK(Q398)),
    "",
    MAX(1, IF(
        NETWORKDAYS(P398, Q398) &lt;= 0,
        1,
        NETWORKDAYS(P398, Q398) - IF(P398 = Q398, 0, 1)
    ))
)</f>
        <v>1</v>
      </c>
      <c r="V398" s="50">
        <f t="shared" si="39"/>
        <v>1</v>
      </c>
      <c r="W398" s="50" t="s">
        <v>150</v>
      </c>
      <c r="X398" s="50" t="s">
        <v>3527</v>
      </c>
      <c r="Y398" s="50" t="s">
        <v>3528</v>
      </c>
      <c r="Z398" s="50" t="s">
        <v>3406</v>
      </c>
      <c r="AA398" s="50"/>
    </row>
    <row r="399" spans="1:27" ht="25.5" customHeight="1">
      <c r="A399" s="517" t="s">
        <v>776</v>
      </c>
      <c r="B399" s="51" t="s">
        <v>934</v>
      </c>
      <c r="C399" s="51" t="s">
        <v>143</v>
      </c>
      <c r="D399" s="51" t="s">
        <v>3939</v>
      </c>
      <c r="E399" s="50">
        <v>1447</v>
      </c>
      <c r="F399" s="50">
        <v>1738</v>
      </c>
      <c r="G399" s="50" t="s">
        <v>3404</v>
      </c>
      <c r="H399" s="50">
        <v>2025</v>
      </c>
      <c r="I399" s="132">
        <v>45881</v>
      </c>
      <c r="J399" s="50" t="s">
        <v>3126</v>
      </c>
      <c r="K399" s="50" t="s">
        <v>200</v>
      </c>
      <c r="L399" s="50"/>
      <c r="M399" s="50" t="s">
        <v>1982</v>
      </c>
      <c r="N399" s="50" t="s">
        <v>3940</v>
      </c>
      <c r="O399" s="60">
        <v>45885</v>
      </c>
      <c r="P399" s="50"/>
      <c r="Q399" s="60">
        <v>45887</v>
      </c>
      <c r="R399" s="60">
        <v>45888</v>
      </c>
      <c r="S399" s="50">
        <f t="shared" si="40"/>
        <v>3</v>
      </c>
      <c r="T399" s="50" t="str">
        <f>IF(
    OR(ISBLANK(O399), ISBLANK(P399)),
    "",
    MAX(1, IF(
        NETWORKDAYS(O399, P399) &lt;= 0,
        1,
        NETWORKDAYS(O399:P399, Q399) - IF(P399 = Q399, 0, 1)
    ))
)</f>
        <v/>
      </c>
      <c r="U399" s="50">
        <f>IF(
    OR(ISBLANK(O399), ISBLANK(Q399)),
    "",
    MAX(1, IF(
        NETWORKDAYS(O399, Q399) &lt;= 0,
        1,
        NETWORKDAYS(O399, Q399) - IF(O399 = Q399, 0, 1)
    ))
)</f>
        <v>1</v>
      </c>
      <c r="V399" s="50">
        <f t="shared" si="39"/>
        <v>1</v>
      </c>
      <c r="W399" s="50" t="s">
        <v>150</v>
      </c>
      <c r="X399" s="50" t="s">
        <v>4</v>
      </c>
      <c r="Y399" s="50" t="s">
        <v>57</v>
      </c>
      <c r="Z399" s="50" t="s">
        <v>3406</v>
      </c>
      <c r="AA399" s="50"/>
    </row>
    <row r="400" spans="1:27" ht="25.5" customHeight="1">
      <c r="A400" s="517" t="s">
        <v>776</v>
      </c>
      <c r="B400" s="51" t="s">
        <v>934</v>
      </c>
      <c r="C400" s="51" t="s">
        <v>143</v>
      </c>
      <c r="D400" s="51" t="s">
        <v>3941</v>
      </c>
      <c r="E400" s="50">
        <v>4940</v>
      </c>
      <c r="F400" s="50">
        <v>5940</v>
      </c>
      <c r="G400" s="50" t="s">
        <v>3404</v>
      </c>
      <c r="H400" s="50">
        <v>2025</v>
      </c>
      <c r="I400" s="132">
        <v>45968</v>
      </c>
      <c r="J400" s="50" t="s">
        <v>3129</v>
      </c>
      <c r="K400" s="50" t="s">
        <v>200</v>
      </c>
      <c r="L400" s="50" t="s">
        <v>1838</v>
      </c>
      <c r="M400" s="50" t="s">
        <v>1982</v>
      </c>
      <c r="N400" s="50" t="s">
        <v>3942</v>
      </c>
      <c r="O400" s="60">
        <v>45971</v>
      </c>
      <c r="P400" s="60">
        <v>45979</v>
      </c>
      <c r="Q400" s="60">
        <v>45980</v>
      </c>
      <c r="R400" s="60">
        <v>45980</v>
      </c>
      <c r="S400" s="50">
        <f t="shared" si="40"/>
        <v>1</v>
      </c>
      <c r="T400" s="50">
        <f>IF(
    OR(ISBLANK(P400), ISBLANK(Q400)),
    "",
    MAX(1, IF(
        NETWORKDAYS(P400, Q400) &lt;= 0,
        1,
        NETWORKDAYS(P400, Q400) - IF(P400 = Q400, 0, 1)
    ))
)</f>
        <v>1</v>
      </c>
      <c r="U400" s="50">
        <f>IF(
    OR(ISBLANK(P400), ISBLANK(Q400)),
    "",
    MAX(1, IF(
        NETWORKDAYS(P400, Q400) &lt;= 0,
        1,
        NETWORKDAYS(P400, Q400) - IF(P400 = Q400, 0, 1)
    ))
)</f>
        <v>1</v>
      </c>
      <c r="V400" s="50">
        <f t="shared" si="39"/>
        <v>1</v>
      </c>
      <c r="W400" s="50" t="s">
        <v>150</v>
      </c>
      <c r="X400" s="50" t="s">
        <v>4</v>
      </c>
      <c r="Y400" s="50" t="s">
        <v>57</v>
      </c>
      <c r="Z400" s="50" t="s">
        <v>3406</v>
      </c>
      <c r="AA400" s="50"/>
    </row>
    <row r="401" spans="1:27" ht="25.5" customHeight="1">
      <c r="A401" s="517" t="s">
        <v>776</v>
      </c>
      <c r="B401" s="51" t="s">
        <v>934</v>
      </c>
      <c r="C401" s="51" t="s">
        <v>143</v>
      </c>
      <c r="D401" s="51" t="s">
        <v>3915</v>
      </c>
      <c r="E401" s="50">
        <v>5168</v>
      </c>
      <c r="F401" s="50">
        <v>4747</v>
      </c>
      <c r="G401" s="50" t="s">
        <v>3404</v>
      </c>
      <c r="H401" s="50">
        <v>2025</v>
      </c>
      <c r="I401" s="132">
        <v>45881</v>
      </c>
      <c r="J401" s="50" t="s">
        <v>3126</v>
      </c>
      <c r="K401" s="50" t="s">
        <v>200</v>
      </c>
      <c r="L401" s="50"/>
      <c r="M401" s="50" t="s">
        <v>1982</v>
      </c>
      <c r="N401" s="50" t="s">
        <v>3943</v>
      </c>
      <c r="O401" s="60">
        <v>45885</v>
      </c>
      <c r="P401" s="50"/>
      <c r="Q401" s="60">
        <v>45888</v>
      </c>
      <c r="R401" s="60">
        <v>45888</v>
      </c>
      <c r="S401" s="50">
        <f t="shared" si="40"/>
        <v>3</v>
      </c>
      <c r="T401" s="50" t="str">
        <f>IF(
    OR(ISBLANK(O401), ISBLANK(P401)),
    "",
    MAX(1, IF(
        NETWORKDAYS(O401, P401) &lt;= 0,
        1,
        NETWORKDAYS(O401:P401, Q401) - IF(P401 = Q401, 0, 1)
    ))
)</f>
        <v/>
      </c>
      <c r="U401" s="50">
        <f>IF(
    OR(ISBLANK(O401), ISBLANK(Q401)),
    "",
    MAX(1, IF(
        NETWORKDAYS(O401, Q401) &lt;= 0,
        1,
        NETWORKDAYS(O401, Q401) - IF(O401 = Q401, 0, 1)
    ))
)</f>
        <v>1</v>
      </c>
      <c r="V401" s="50">
        <f t="shared" si="39"/>
        <v>1</v>
      </c>
      <c r="W401" s="50" t="s">
        <v>150</v>
      </c>
      <c r="X401" s="50" t="s">
        <v>4</v>
      </c>
      <c r="Y401" s="50" t="s">
        <v>50</v>
      </c>
      <c r="Z401" s="50" t="s">
        <v>3406</v>
      </c>
      <c r="AA401" s="50"/>
    </row>
    <row r="402" spans="1:27" ht="25.5" customHeight="1">
      <c r="A402" s="517" t="s">
        <v>776</v>
      </c>
      <c r="B402" s="51" t="s">
        <v>934</v>
      </c>
      <c r="C402" s="51" t="s">
        <v>143</v>
      </c>
      <c r="D402" s="51" t="s">
        <v>3565</v>
      </c>
      <c r="E402" s="50">
        <v>2475</v>
      </c>
      <c r="F402" s="50">
        <v>2911</v>
      </c>
      <c r="G402" s="50" t="s">
        <v>3404</v>
      </c>
      <c r="H402" s="50">
        <v>2025</v>
      </c>
      <c r="I402" s="132">
        <v>45912</v>
      </c>
      <c r="J402" s="50" t="s">
        <v>3127</v>
      </c>
      <c r="K402" s="50" t="s">
        <v>200</v>
      </c>
      <c r="L402" s="50" t="s">
        <v>1838</v>
      </c>
      <c r="M402" s="50" t="s">
        <v>1982</v>
      </c>
      <c r="N402" s="50" t="s">
        <v>3944</v>
      </c>
      <c r="O402" s="60">
        <v>45915</v>
      </c>
      <c r="P402" s="60">
        <v>45917</v>
      </c>
      <c r="Q402" s="60">
        <v>45917</v>
      </c>
      <c r="R402" s="60">
        <v>45918</v>
      </c>
      <c r="S402" s="50">
        <f t="shared" si="40"/>
        <v>1</v>
      </c>
      <c r="T402" s="50">
        <f>IF(
    OR(ISBLANK(P402), ISBLANK(Q402)),
    "",
    MAX(1, IF(
        NETWORKDAYS(P402, Q402) &lt;= 0,
        1,
        NETWORKDAYS(P402, Q402) - IF(P402 = Q402, 0, 1)
    ))
)</f>
        <v>1</v>
      </c>
      <c r="U402" s="50">
        <f>IF(
    OR(ISBLANK(P402), ISBLANK(Q402)),
    "",
    MAX(1, IF(
        NETWORKDAYS(P402, Q402) &lt;= 0,
        1,
        NETWORKDAYS(P402, Q402) - IF(P402 = Q402, 0, 1)
    ))
)</f>
        <v>1</v>
      </c>
      <c r="V402" s="50">
        <f t="shared" si="39"/>
        <v>1</v>
      </c>
      <c r="W402" s="50" t="s">
        <v>150</v>
      </c>
      <c r="X402" s="50" t="s">
        <v>3527</v>
      </c>
      <c r="Y402" s="50" t="s">
        <v>3528</v>
      </c>
      <c r="Z402" s="50" t="s">
        <v>3406</v>
      </c>
      <c r="AA402" s="50"/>
    </row>
    <row r="403" spans="1:27" ht="25.5" customHeight="1">
      <c r="A403" s="517" t="s">
        <v>776</v>
      </c>
      <c r="B403" s="51" t="s">
        <v>934</v>
      </c>
      <c r="C403" s="51" t="s">
        <v>143</v>
      </c>
      <c r="D403" s="51" t="s">
        <v>3768</v>
      </c>
      <c r="E403" s="50">
        <v>4999</v>
      </c>
      <c r="F403" s="50">
        <v>5132</v>
      </c>
      <c r="G403" s="50" t="s">
        <v>3404</v>
      </c>
      <c r="H403" s="50">
        <v>2025</v>
      </c>
      <c r="I403" s="132">
        <v>45912</v>
      </c>
      <c r="J403" s="50" t="s">
        <v>3127</v>
      </c>
      <c r="K403" s="50" t="s">
        <v>200</v>
      </c>
      <c r="L403" s="50" t="s">
        <v>1838</v>
      </c>
      <c r="M403" s="50" t="s">
        <v>1982</v>
      </c>
      <c r="N403" s="50" t="s">
        <v>3945</v>
      </c>
      <c r="O403" s="60">
        <v>45915</v>
      </c>
      <c r="P403" s="60">
        <v>45917</v>
      </c>
      <c r="Q403" s="60">
        <v>45917</v>
      </c>
      <c r="R403" s="60">
        <v>45918</v>
      </c>
      <c r="S403" s="50">
        <f t="shared" si="40"/>
        <v>1</v>
      </c>
      <c r="T403" s="50">
        <f>IF(
    OR(ISBLANK(P403), ISBLANK(Q403)),
    "",
    MAX(1, IF(
        NETWORKDAYS(P403, Q403) &lt;= 0,
        1,
        NETWORKDAYS(P403, Q403) - IF(P403 = Q403, 0, 1)
    ))
)</f>
        <v>1</v>
      </c>
      <c r="U403" s="50">
        <f>IF(
    OR(ISBLANK(P403), ISBLANK(Q403)),
    "",
    MAX(1, IF(
        NETWORKDAYS(P403, Q403) &lt;= 0,
        1,
        NETWORKDAYS(P403, Q403) - IF(P403 = Q403, 0, 1)
    ))
)</f>
        <v>1</v>
      </c>
      <c r="V403" s="50">
        <f t="shared" si="39"/>
        <v>1</v>
      </c>
      <c r="W403" s="50" t="s">
        <v>150</v>
      </c>
      <c r="X403" s="50" t="s">
        <v>4</v>
      </c>
      <c r="Y403" s="50" t="s">
        <v>50</v>
      </c>
      <c r="Z403" s="50" t="s">
        <v>3406</v>
      </c>
      <c r="AA403" s="50"/>
    </row>
    <row r="404" spans="1:27" ht="25.5" customHeight="1">
      <c r="A404" s="517" t="s">
        <v>776</v>
      </c>
      <c r="B404" s="51" t="s">
        <v>934</v>
      </c>
      <c r="C404" s="51" t="s">
        <v>143</v>
      </c>
      <c r="D404" s="51" t="s">
        <v>3946</v>
      </c>
      <c r="E404" s="50">
        <v>5723</v>
      </c>
      <c r="F404" s="50">
        <v>5910</v>
      </c>
      <c r="G404" s="50" t="s">
        <v>3404</v>
      </c>
      <c r="H404" s="50">
        <v>2025</v>
      </c>
      <c r="I404" s="132">
        <v>45881</v>
      </c>
      <c r="J404" s="50" t="s">
        <v>3126</v>
      </c>
      <c r="K404" s="50" t="s">
        <v>200</v>
      </c>
      <c r="L404" s="50"/>
      <c r="M404" s="50" t="s">
        <v>1982</v>
      </c>
      <c r="N404" s="50" t="s">
        <v>3947</v>
      </c>
      <c r="O404" s="60">
        <v>45885</v>
      </c>
      <c r="P404" s="50"/>
      <c r="Q404" s="60">
        <v>45887</v>
      </c>
      <c r="R404" s="60">
        <v>45888</v>
      </c>
      <c r="S404" s="50">
        <f t="shared" si="40"/>
        <v>3</v>
      </c>
      <c r="T404" s="50" t="str">
        <f>IF(
    OR(ISBLANK(O404), ISBLANK(P404)),
    "",
    MAX(1, IF(
        NETWORKDAYS(O404, P404) &lt;= 0,
        1,
        NETWORKDAYS(O404:P404, Q404) - IF(P404 = Q404, 0, 1)
    ))
)</f>
        <v/>
      </c>
      <c r="U404" s="50">
        <f>IF(
    OR(ISBLANK(O404), ISBLANK(Q404)),
    "",
    MAX(1, IF(
        NETWORKDAYS(O404, Q404) &lt;= 0,
        1,
        NETWORKDAYS(O404, Q404) - IF(O404 = Q404, 0, 1)
    ))
)</f>
        <v>1</v>
      </c>
      <c r="V404" s="50">
        <f t="shared" si="39"/>
        <v>1</v>
      </c>
      <c r="W404" s="50" t="s">
        <v>150</v>
      </c>
      <c r="X404" s="50" t="s">
        <v>4</v>
      </c>
      <c r="Y404" s="50" t="s">
        <v>57</v>
      </c>
      <c r="Z404" s="50" t="s">
        <v>3406</v>
      </c>
      <c r="AA404" s="50"/>
    </row>
    <row r="405" spans="1:27" s="110" customFormat="1" ht="25.5" customHeight="1">
      <c r="A405" s="517" t="s">
        <v>776</v>
      </c>
      <c r="B405" s="51" t="s">
        <v>934</v>
      </c>
      <c r="C405" s="51" t="s">
        <v>143</v>
      </c>
      <c r="D405" s="51" t="s">
        <v>3948</v>
      </c>
      <c r="E405" s="50">
        <v>3223</v>
      </c>
      <c r="F405" s="50">
        <v>3954</v>
      </c>
      <c r="G405" s="50" t="s">
        <v>3404</v>
      </c>
      <c r="H405" s="50">
        <v>2025</v>
      </c>
      <c r="I405" s="132">
        <v>45881</v>
      </c>
      <c r="J405" s="50" t="s">
        <v>3126</v>
      </c>
      <c r="K405" s="50" t="s">
        <v>200</v>
      </c>
      <c r="L405" s="50"/>
      <c r="M405" s="50" t="s">
        <v>1982</v>
      </c>
      <c r="N405" s="50" t="s">
        <v>3949</v>
      </c>
      <c r="O405" s="60">
        <v>45885</v>
      </c>
      <c r="P405" s="50"/>
      <c r="Q405" s="60">
        <v>45887</v>
      </c>
      <c r="R405" s="60">
        <v>45888</v>
      </c>
      <c r="S405" s="50">
        <f t="shared" si="40"/>
        <v>3</v>
      </c>
      <c r="T405" s="50" t="str">
        <f>IF(
    OR(ISBLANK(O405), ISBLANK(P405)),
    "",
    MAX(1, IF(
        NETWORKDAYS(O405, P405) &lt;= 0,
        1,
        NETWORKDAYS(O405:P405, Q405) - IF(P405 = Q405, 0, 1)
    ))
)</f>
        <v/>
      </c>
      <c r="U405" s="50">
        <f>IF(
    OR(ISBLANK(O405), ISBLANK(Q405)),
    "",
    MAX(1, IF(
        NETWORKDAYS(O405, Q405) &lt;= 0,
        1,
        NETWORKDAYS(O405, Q405) - IF(O405 = Q405, 0, 1)
    ))
)</f>
        <v>1</v>
      </c>
      <c r="V405" s="50">
        <f t="shared" si="39"/>
        <v>1</v>
      </c>
      <c r="W405" s="50" t="s">
        <v>150</v>
      </c>
      <c r="X405" s="50" t="s">
        <v>4</v>
      </c>
      <c r="Y405" s="50" t="s">
        <v>57</v>
      </c>
      <c r="Z405" s="50" t="s">
        <v>3406</v>
      </c>
      <c r="AA405" s="50"/>
    </row>
    <row r="406" spans="1:27" ht="25.5" customHeight="1">
      <c r="A406" s="517" t="s">
        <v>776</v>
      </c>
      <c r="B406" s="51" t="s">
        <v>938</v>
      </c>
      <c r="C406" s="51" t="s">
        <v>143</v>
      </c>
      <c r="D406" s="51" t="s">
        <v>939</v>
      </c>
      <c r="E406" s="50">
        <v>10190</v>
      </c>
      <c r="F406" s="50">
        <v>10780</v>
      </c>
      <c r="G406" s="50" t="s">
        <v>3404</v>
      </c>
      <c r="H406" s="50">
        <v>2024</v>
      </c>
      <c r="I406" s="132">
        <v>45393</v>
      </c>
      <c r="J406" s="50"/>
      <c r="K406" s="50"/>
      <c r="L406" s="50" t="s">
        <v>328</v>
      </c>
      <c r="M406" s="50" t="s">
        <v>1982</v>
      </c>
      <c r="N406" s="50"/>
      <c r="O406" s="50"/>
      <c r="P406" s="50"/>
      <c r="Q406" s="50"/>
      <c r="R406" s="50"/>
      <c r="S406" s="50" t="str">
        <f t="shared" si="40"/>
        <v/>
      </c>
      <c r="T406" s="50" t="str">
        <f>IF(
    OR(ISBLANK(P406), ISBLANK(Q406)),
    "",
    MAX(1, IF(
        NETWORKDAYS(P406, Q406) &lt;= 0,
        1,
        NETWORKDAYS(P406, Q406) - IF(P406 = Q406, 0, 1)
    ))
)</f>
        <v/>
      </c>
      <c r="U406" s="50" t="str">
        <f>IF(
    OR(ISBLANK(Q406), ISBLANK(R406)),
    "",
    MAX(1, IF(
        NETWORKDAYS(O406, Q406) &lt;= 0,
        1,
        NETWORKDAYS(O406, Q406) - IF(O406 = Q406, 0, 1)
    ))
)</f>
        <v/>
      </c>
      <c r="V406" s="50" t="str">
        <f t="shared" si="39"/>
        <v/>
      </c>
      <c r="W406" s="50"/>
      <c r="X406" s="50"/>
      <c r="Y406" s="50"/>
      <c r="Z406" s="50" t="s">
        <v>3406</v>
      </c>
      <c r="AA406" s="50"/>
    </row>
    <row r="407" spans="1:27" ht="25.5" customHeight="1">
      <c r="A407" s="517" t="s">
        <v>776</v>
      </c>
      <c r="B407" s="51" t="s">
        <v>938</v>
      </c>
      <c r="C407" s="51" t="s">
        <v>143</v>
      </c>
      <c r="D407" s="51" t="s">
        <v>3950</v>
      </c>
      <c r="E407" s="50">
        <v>7243</v>
      </c>
      <c r="F407" s="50">
        <v>8360</v>
      </c>
      <c r="G407" s="50" t="s">
        <v>3404</v>
      </c>
      <c r="H407" s="50">
        <v>2024</v>
      </c>
      <c r="I407" s="132">
        <v>45393</v>
      </c>
      <c r="J407" s="50"/>
      <c r="K407" s="50"/>
      <c r="L407" s="50" t="s">
        <v>328</v>
      </c>
      <c r="M407" s="50" t="s">
        <v>1982</v>
      </c>
      <c r="N407" s="50"/>
      <c r="O407" s="50"/>
      <c r="P407" s="50"/>
      <c r="Q407" s="50"/>
      <c r="R407" s="50"/>
      <c r="S407" s="50" t="str">
        <f t="shared" si="40"/>
        <v/>
      </c>
      <c r="T407" s="50" t="str">
        <f t="shared" ref="T407:T416" si="41">IF(
    OR(ISBLANK(O407), ISBLANK(P407)),
    "",
    MAX(1, IF(
        NETWORKDAYS(O407, P407) &lt;= 0,
        1,
        NETWORKDAYS(O407, P407) - IF(O407 = P407, 0, 1)
    ))
)</f>
        <v/>
      </c>
      <c r="U407" s="50" t="str">
        <f t="shared" ref="U407:U416" si="42">IF(
    OR(ISBLANK(P407), ISBLANK(Q407)),
    "",
    MAX(1, IF(
        NETWORKDAYS(P407, Q407) &lt;= 0,
        1,
        NETWORKDAYS(P407, Q407) - IF(P407 = Q407, 0, 1)
    ))
)</f>
        <v/>
      </c>
      <c r="V407" s="50" t="str">
        <f t="shared" si="39"/>
        <v/>
      </c>
      <c r="W407" s="50"/>
      <c r="X407" s="50"/>
      <c r="Y407" s="50"/>
      <c r="Z407" s="50" t="s">
        <v>3406</v>
      </c>
      <c r="AA407" s="50"/>
    </row>
    <row r="408" spans="1:27" ht="25.5" customHeight="1">
      <c r="A408" s="517" t="s">
        <v>776</v>
      </c>
      <c r="B408" s="51" t="s">
        <v>938</v>
      </c>
      <c r="C408" s="51" t="s">
        <v>143</v>
      </c>
      <c r="D408" s="51" t="s">
        <v>996</v>
      </c>
      <c r="E408" s="50">
        <v>1949</v>
      </c>
      <c r="F408" s="50">
        <v>2081</v>
      </c>
      <c r="G408" s="50" t="s">
        <v>3404</v>
      </c>
      <c r="H408" s="50">
        <v>2024</v>
      </c>
      <c r="I408" s="132">
        <v>45393</v>
      </c>
      <c r="J408" s="50"/>
      <c r="K408" s="50"/>
      <c r="L408" s="50" t="s">
        <v>328</v>
      </c>
      <c r="M408" s="50" t="s">
        <v>1982</v>
      </c>
      <c r="N408" s="50"/>
      <c r="O408" s="50"/>
      <c r="P408" s="50"/>
      <c r="Q408" s="50"/>
      <c r="R408" s="50"/>
      <c r="S408" s="50" t="str">
        <f t="shared" si="40"/>
        <v/>
      </c>
      <c r="T408" s="50" t="str">
        <f t="shared" si="41"/>
        <v/>
      </c>
      <c r="U408" s="50" t="str">
        <f t="shared" si="42"/>
        <v/>
      </c>
      <c r="V408" s="50" t="str">
        <f t="shared" si="39"/>
        <v/>
      </c>
      <c r="W408" s="50"/>
      <c r="X408" s="50"/>
      <c r="Y408" s="50"/>
      <c r="Z408" s="50" t="s">
        <v>3406</v>
      </c>
      <c r="AA408" s="50"/>
    </row>
    <row r="409" spans="1:27" ht="25.5" customHeight="1">
      <c r="A409" s="517" t="s">
        <v>776</v>
      </c>
      <c r="B409" s="51" t="s">
        <v>938</v>
      </c>
      <c r="C409" s="51" t="s">
        <v>143</v>
      </c>
      <c r="D409" s="51" t="s">
        <v>1831</v>
      </c>
      <c r="E409" s="50">
        <v>2779</v>
      </c>
      <c r="F409" s="50">
        <v>2711</v>
      </c>
      <c r="G409" s="50" t="s">
        <v>3404</v>
      </c>
      <c r="H409" s="50">
        <v>2024</v>
      </c>
      <c r="I409" s="132">
        <v>45394</v>
      </c>
      <c r="J409" s="50"/>
      <c r="K409" s="50"/>
      <c r="L409" s="50" t="s">
        <v>328</v>
      </c>
      <c r="M409" s="50" t="s">
        <v>1982</v>
      </c>
      <c r="N409" s="50"/>
      <c r="O409" s="50"/>
      <c r="P409" s="50"/>
      <c r="Q409" s="50"/>
      <c r="R409" s="50"/>
      <c r="S409" s="50" t="str">
        <f t="shared" si="40"/>
        <v/>
      </c>
      <c r="T409" s="50" t="str">
        <f t="shared" si="41"/>
        <v/>
      </c>
      <c r="U409" s="50" t="str">
        <f t="shared" si="42"/>
        <v/>
      </c>
      <c r="V409" s="50" t="str">
        <f t="shared" ref="V409:V472" si="43">IF(
    OR(ISBLANK(Q409), ISBLANK(R409)),
    "",
    MAX(1, IF(
        NETWORKDAYS(Q409, R409) &lt;= 0,
        1,
        NETWORKDAYS(Q409, R409) - IF(Q409 = R409, 0, 1)
    ))
)</f>
        <v/>
      </c>
      <c r="W409" s="50"/>
      <c r="X409" s="50"/>
      <c r="Y409" s="50"/>
      <c r="Z409" s="50" t="s">
        <v>3406</v>
      </c>
      <c r="AA409" s="50"/>
    </row>
    <row r="410" spans="1:27" ht="25.5" customHeight="1">
      <c r="A410" s="517" t="s">
        <v>776</v>
      </c>
      <c r="B410" s="51" t="s">
        <v>938</v>
      </c>
      <c r="C410" s="51" t="s">
        <v>143</v>
      </c>
      <c r="D410" s="51" t="s">
        <v>3951</v>
      </c>
      <c r="E410" s="50">
        <v>12578</v>
      </c>
      <c r="F410" s="50">
        <v>13992</v>
      </c>
      <c r="G410" s="50" t="s">
        <v>3404</v>
      </c>
      <c r="H410" s="50">
        <v>2024</v>
      </c>
      <c r="I410" s="132">
        <v>45394</v>
      </c>
      <c r="J410" s="50"/>
      <c r="K410" s="50"/>
      <c r="L410" s="50" t="s">
        <v>328</v>
      </c>
      <c r="M410" s="50" t="s">
        <v>1982</v>
      </c>
      <c r="N410" s="50"/>
      <c r="O410" s="50"/>
      <c r="P410" s="50"/>
      <c r="Q410" s="50"/>
      <c r="R410" s="50"/>
      <c r="S410" s="50" t="str">
        <f t="shared" si="40"/>
        <v/>
      </c>
      <c r="T410" s="50" t="str">
        <f t="shared" si="41"/>
        <v/>
      </c>
      <c r="U410" s="50" t="str">
        <f t="shared" si="42"/>
        <v/>
      </c>
      <c r="V410" s="50" t="str">
        <f t="shared" si="43"/>
        <v/>
      </c>
      <c r="W410" s="50"/>
      <c r="X410" s="50"/>
      <c r="Y410" s="50"/>
      <c r="Z410" s="50" t="s">
        <v>3406</v>
      </c>
      <c r="AA410" s="50"/>
    </row>
    <row r="411" spans="1:27" ht="25.5" customHeight="1">
      <c r="A411" s="517" t="s">
        <v>776</v>
      </c>
      <c r="B411" s="51" t="s">
        <v>938</v>
      </c>
      <c r="C411" s="51" t="s">
        <v>143</v>
      </c>
      <c r="D411" s="51" t="s">
        <v>3952</v>
      </c>
      <c r="E411" s="50">
        <v>7701</v>
      </c>
      <c r="F411" s="50">
        <v>7759</v>
      </c>
      <c r="G411" s="50" t="s">
        <v>3404</v>
      </c>
      <c r="H411" s="50">
        <v>2024</v>
      </c>
      <c r="I411" s="132">
        <v>45393</v>
      </c>
      <c r="J411" s="50"/>
      <c r="K411" s="50"/>
      <c r="L411" s="50" t="s">
        <v>328</v>
      </c>
      <c r="M411" s="50" t="s">
        <v>1982</v>
      </c>
      <c r="N411" s="50"/>
      <c r="O411" s="50"/>
      <c r="P411" s="50"/>
      <c r="Q411" s="50"/>
      <c r="R411" s="50"/>
      <c r="S411" s="50" t="str">
        <f t="shared" si="40"/>
        <v/>
      </c>
      <c r="T411" s="50" t="str">
        <f t="shared" si="41"/>
        <v/>
      </c>
      <c r="U411" s="50" t="str">
        <f t="shared" si="42"/>
        <v/>
      </c>
      <c r="V411" s="50" t="str">
        <f t="shared" si="43"/>
        <v/>
      </c>
      <c r="W411" s="50"/>
      <c r="X411" s="50"/>
      <c r="Y411" s="50"/>
      <c r="Z411" s="50" t="s">
        <v>3406</v>
      </c>
      <c r="AA411" s="50"/>
    </row>
    <row r="412" spans="1:27" ht="25.5" customHeight="1">
      <c r="A412" s="517" t="s">
        <v>776</v>
      </c>
      <c r="B412" s="51" t="s">
        <v>938</v>
      </c>
      <c r="C412" s="51" t="s">
        <v>143</v>
      </c>
      <c r="D412" s="51" t="s">
        <v>918</v>
      </c>
      <c r="E412" s="50">
        <v>10158</v>
      </c>
      <c r="F412" s="50">
        <v>9415</v>
      </c>
      <c r="G412" s="50" t="s">
        <v>3404</v>
      </c>
      <c r="H412" s="50">
        <v>2024</v>
      </c>
      <c r="I412" s="105" t="s">
        <v>3497</v>
      </c>
      <c r="J412" s="50"/>
      <c r="K412" s="50"/>
      <c r="L412" s="50" t="s">
        <v>328</v>
      </c>
      <c r="M412" s="50" t="s">
        <v>1982</v>
      </c>
      <c r="N412" s="50"/>
      <c r="O412" s="50"/>
      <c r="P412" s="50"/>
      <c r="Q412" s="50"/>
      <c r="R412" s="50"/>
      <c r="S412" s="50" t="str">
        <f t="shared" si="40"/>
        <v/>
      </c>
      <c r="T412" s="50" t="str">
        <f t="shared" si="41"/>
        <v/>
      </c>
      <c r="U412" s="50" t="str">
        <f t="shared" si="42"/>
        <v/>
      </c>
      <c r="V412" s="50" t="str">
        <f t="shared" si="43"/>
        <v/>
      </c>
      <c r="W412" s="50"/>
      <c r="X412" s="50"/>
      <c r="Y412" s="50"/>
      <c r="Z412" s="50"/>
      <c r="AA412" s="50"/>
    </row>
    <row r="413" spans="1:27" ht="25.5" customHeight="1">
      <c r="A413" s="517" t="s">
        <v>776</v>
      </c>
      <c r="B413" s="51" t="s">
        <v>938</v>
      </c>
      <c r="C413" s="51" t="s">
        <v>143</v>
      </c>
      <c r="D413" s="51" t="s">
        <v>1002</v>
      </c>
      <c r="E413" s="50">
        <v>16346</v>
      </c>
      <c r="F413" s="50">
        <v>17050</v>
      </c>
      <c r="G413" s="50" t="s">
        <v>3404</v>
      </c>
      <c r="H413" s="50">
        <v>2024</v>
      </c>
      <c r="I413" s="132">
        <v>45393</v>
      </c>
      <c r="J413" s="50"/>
      <c r="K413" s="50"/>
      <c r="L413" s="50" t="s">
        <v>328</v>
      </c>
      <c r="M413" s="50" t="s">
        <v>1982</v>
      </c>
      <c r="N413" s="50"/>
      <c r="O413" s="50"/>
      <c r="P413" s="50"/>
      <c r="Q413" s="50"/>
      <c r="R413" s="50"/>
      <c r="S413" s="50" t="str">
        <f t="shared" si="40"/>
        <v/>
      </c>
      <c r="T413" s="50" t="str">
        <f t="shared" si="41"/>
        <v/>
      </c>
      <c r="U413" s="50" t="str">
        <f t="shared" si="42"/>
        <v/>
      </c>
      <c r="V413" s="50" t="str">
        <f t="shared" si="43"/>
        <v/>
      </c>
      <c r="W413" s="50"/>
      <c r="X413" s="50"/>
      <c r="Y413" s="50"/>
      <c r="Z413" s="50" t="s">
        <v>3406</v>
      </c>
      <c r="AA413" s="50"/>
    </row>
    <row r="414" spans="1:27" ht="25.5" customHeight="1">
      <c r="A414" s="517" t="s">
        <v>776</v>
      </c>
      <c r="B414" s="51" t="s">
        <v>938</v>
      </c>
      <c r="C414" s="51" t="s">
        <v>143</v>
      </c>
      <c r="D414" s="51" t="s">
        <v>3605</v>
      </c>
      <c r="E414" s="50">
        <v>4985</v>
      </c>
      <c r="F414" s="50">
        <v>4870</v>
      </c>
      <c r="G414" s="50" t="s">
        <v>3404</v>
      </c>
      <c r="H414" s="50">
        <v>2024</v>
      </c>
      <c r="I414" s="132">
        <v>45394</v>
      </c>
      <c r="J414" s="50"/>
      <c r="K414" s="50"/>
      <c r="L414" s="50" t="s">
        <v>328</v>
      </c>
      <c r="M414" s="50" t="s">
        <v>1982</v>
      </c>
      <c r="N414" s="50"/>
      <c r="O414" s="50"/>
      <c r="P414" s="50"/>
      <c r="Q414" s="50"/>
      <c r="R414" s="50"/>
      <c r="S414" s="50" t="str">
        <f t="shared" si="40"/>
        <v/>
      </c>
      <c r="T414" s="50" t="str">
        <f t="shared" si="41"/>
        <v/>
      </c>
      <c r="U414" s="50" t="str">
        <f t="shared" si="42"/>
        <v/>
      </c>
      <c r="V414" s="50" t="str">
        <f t="shared" si="43"/>
        <v/>
      </c>
      <c r="W414" s="50"/>
      <c r="X414" s="50"/>
      <c r="Y414" s="50"/>
      <c r="Z414" s="50" t="s">
        <v>3406</v>
      </c>
      <c r="AA414" s="50"/>
    </row>
    <row r="415" spans="1:27" ht="25.5" customHeight="1">
      <c r="A415" s="517" t="s">
        <v>776</v>
      </c>
      <c r="B415" s="51" t="s">
        <v>3953</v>
      </c>
      <c r="C415" s="51" t="s">
        <v>143</v>
      </c>
      <c r="D415" s="51" t="s">
        <v>3954</v>
      </c>
      <c r="E415" s="50">
        <v>5616</v>
      </c>
      <c r="F415" s="50">
        <v>4249</v>
      </c>
      <c r="G415" s="50" t="s">
        <v>3955</v>
      </c>
      <c r="H415" s="50"/>
      <c r="I415" s="105"/>
      <c r="J415" s="50"/>
      <c r="K415" s="50" t="s">
        <v>200</v>
      </c>
      <c r="L415" s="50" t="s">
        <v>328</v>
      </c>
      <c r="M415" s="50" t="s">
        <v>1982</v>
      </c>
      <c r="N415" s="50"/>
      <c r="O415" s="50"/>
      <c r="P415" s="50"/>
      <c r="Q415" s="50"/>
      <c r="R415" s="50"/>
      <c r="S415" s="50" t="str">
        <f t="shared" si="40"/>
        <v/>
      </c>
      <c r="T415" s="50" t="str">
        <f t="shared" si="41"/>
        <v/>
      </c>
      <c r="U415" s="50" t="str">
        <f t="shared" si="42"/>
        <v/>
      </c>
      <c r="V415" s="50" t="str">
        <f t="shared" si="43"/>
        <v/>
      </c>
      <c r="W415" s="50"/>
      <c r="X415" s="50"/>
      <c r="Y415" s="50"/>
      <c r="Z415" s="50"/>
      <c r="AA415" s="50"/>
    </row>
    <row r="416" spans="1:27" ht="25.5" customHeight="1">
      <c r="A416" s="517" t="s">
        <v>776</v>
      </c>
      <c r="B416" s="51" t="s">
        <v>3953</v>
      </c>
      <c r="C416" s="51" t="s">
        <v>143</v>
      </c>
      <c r="D416" s="51" t="s">
        <v>3956</v>
      </c>
      <c r="E416" s="50">
        <v>3051</v>
      </c>
      <c r="F416" s="50">
        <v>3385</v>
      </c>
      <c r="G416" s="50" t="s">
        <v>3955</v>
      </c>
      <c r="H416" s="50"/>
      <c r="I416" s="105"/>
      <c r="J416" s="50"/>
      <c r="K416" s="50" t="s">
        <v>200</v>
      </c>
      <c r="L416" s="50" t="s">
        <v>328</v>
      </c>
      <c r="M416" s="50" t="s">
        <v>1982</v>
      </c>
      <c r="N416" s="50"/>
      <c r="O416" s="50"/>
      <c r="P416" s="50"/>
      <c r="Q416" s="50"/>
      <c r="R416" s="50"/>
      <c r="S416" s="50" t="str">
        <f t="shared" si="40"/>
        <v/>
      </c>
      <c r="T416" s="50" t="str">
        <f t="shared" si="41"/>
        <v/>
      </c>
      <c r="U416" s="50" t="str">
        <f t="shared" si="42"/>
        <v/>
      </c>
      <c r="V416" s="50" t="str">
        <f t="shared" si="43"/>
        <v/>
      </c>
      <c r="W416" s="50"/>
      <c r="X416" s="50"/>
      <c r="Y416" s="50"/>
      <c r="Z416" s="50"/>
      <c r="AA416" s="50"/>
    </row>
    <row r="417" spans="1:27" ht="25.5" customHeight="1">
      <c r="A417" s="517" t="s">
        <v>776</v>
      </c>
      <c r="B417" s="51" t="s">
        <v>3953</v>
      </c>
      <c r="C417" s="51" t="s">
        <v>143</v>
      </c>
      <c r="D417" s="51" t="s">
        <v>3957</v>
      </c>
      <c r="E417" s="50">
        <v>2784</v>
      </c>
      <c r="F417" s="50">
        <v>3522</v>
      </c>
      <c r="G417" s="50" t="s">
        <v>3404</v>
      </c>
      <c r="H417" s="50">
        <v>2025</v>
      </c>
      <c r="I417" s="132">
        <v>45966</v>
      </c>
      <c r="J417" s="60" t="s">
        <v>3129</v>
      </c>
      <c r="K417" s="50" t="s">
        <v>200</v>
      </c>
      <c r="L417" s="50" t="s">
        <v>1838</v>
      </c>
      <c r="M417" s="50" t="s">
        <v>1982</v>
      </c>
      <c r="N417" s="50" t="s">
        <v>3958</v>
      </c>
      <c r="O417" s="60">
        <v>45969</v>
      </c>
      <c r="P417" s="60">
        <v>45969</v>
      </c>
      <c r="Q417" s="60">
        <v>45980</v>
      </c>
      <c r="R417" s="60">
        <v>45980</v>
      </c>
      <c r="S417" s="50">
        <f t="shared" si="40"/>
        <v>2</v>
      </c>
      <c r="T417" s="50">
        <f>IF(
    OR(ISBLANK(P417), ISBLANK(Q417)),
    "",
    MAX(1, IF(
        NETWORKDAYS(P417, Q417) &lt;= 0,
        1,
        NETWORKDAYS(P417, Q417) - IF(P417 = Q417, 0, 1)
    ))
)</f>
        <v>7</v>
      </c>
      <c r="U417" s="50">
        <f t="shared" ref="U417:U446" si="44">IF(
    OR(ISBLANK(P417), ISBLANK(Q417)),
    "",
    MAX(1, IF(
        NETWORKDAYS(P417, Q417) &lt;= 0,
        1,
        NETWORKDAYS(P417, Q417) - IF(P417 = Q417, 0, 1)
    ))
)</f>
        <v>7</v>
      </c>
      <c r="V417" s="50">
        <f t="shared" si="43"/>
        <v>1</v>
      </c>
      <c r="W417" s="50" t="s">
        <v>150</v>
      </c>
      <c r="X417" s="50" t="s">
        <v>1078</v>
      </c>
      <c r="Y417" s="50" t="s">
        <v>3528</v>
      </c>
      <c r="Z417" s="50" t="s">
        <v>3406</v>
      </c>
      <c r="AA417" s="50"/>
    </row>
    <row r="418" spans="1:27" s="110" customFormat="1" ht="25.5" customHeight="1">
      <c r="A418" s="517" t="s">
        <v>776</v>
      </c>
      <c r="B418" s="51" t="s">
        <v>3953</v>
      </c>
      <c r="C418" s="51" t="s">
        <v>143</v>
      </c>
      <c r="D418" s="51" t="s">
        <v>3959</v>
      </c>
      <c r="E418" s="50">
        <v>1916</v>
      </c>
      <c r="F418" s="50">
        <v>2123</v>
      </c>
      <c r="G418" s="50" t="s">
        <v>3404</v>
      </c>
      <c r="H418" s="50">
        <v>2025</v>
      </c>
      <c r="I418" s="132">
        <v>45966</v>
      </c>
      <c r="J418" s="50" t="s">
        <v>3129</v>
      </c>
      <c r="K418" s="50" t="s">
        <v>200</v>
      </c>
      <c r="L418" s="50" t="s">
        <v>1838</v>
      </c>
      <c r="M418" s="50" t="s">
        <v>1982</v>
      </c>
      <c r="N418" s="50" t="s">
        <v>3960</v>
      </c>
      <c r="O418" s="60">
        <v>45969</v>
      </c>
      <c r="P418" s="60">
        <v>45969</v>
      </c>
      <c r="Q418" s="60">
        <v>45980</v>
      </c>
      <c r="R418" s="60">
        <v>45980</v>
      </c>
      <c r="S418" s="50">
        <f t="shared" si="40"/>
        <v>2</v>
      </c>
      <c r="T418" s="50">
        <f>IF(
    OR(ISBLANK(P418), ISBLANK(Q418)),
    "",
    MAX(1, IF(
        NETWORKDAYS(P418, Q418) &lt;= 0,
        1,
        NETWORKDAYS(P418, Q418) - IF(P418 = Q418, 0, 1)
    ))
)</f>
        <v>7</v>
      </c>
      <c r="U418" s="50">
        <f t="shared" si="44"/>
        <v>7</v>
      </c>
      <c r="V418" s="50">
        <f t="shared" si="43"/>
        <v>1</v>
      </c>
      <c r="W418" s="50" t="s">
        <v>150</v>
      </c>
      <c r="X418" s="50" t="s">
        <v>1078</v>
      </c>
      <c r="Y418" s="50" t="s">
        <v>3528</v>
      </c>
      <c r="Z418" s="50" t="s">
        <v>3406</v>
      </c>
      <c r="AA418" s="50"/>
    </row>
    <row r="419" spans="1:27" ht="25.5" customHeight="1">
      <c r="A419" s="521" t="s">
        <v>776</v>
      </c>
      <c r="B419" s="51" t="s">
        <v>3953</v>
      </c>
      <c r="C419" s="51" t="s">
        <v>143</v>
      </c>
      <c r="D419" s="51" t="s">
        <v>1185</v>
      </c>
      <c r="E419" s="50">
        <v>9933</v>
      </c>
      <c r="F419" s="50">
        <v>10159</v>
      </c>
      <c r="G419" s="50" t="s">
        <v>3404</v>
      </c>
      <c r="H419" s="50">
        <v>2024</v>
      </c>
      <c r="I419" s="132">
        <v>45484</v>
      </c>
      <c r="J419" s="50"/>
      <c r="K419" s="50" t="s">
        <v>200</v>
      </c>
      <c r="L419" s="50" t="s">
        <v>328</v>
      </c>
      <c r="M419" s="50" t="s">
        <v>1982</v>
      </c>
      <c r="N419" s="50"/>
      <c r="O419" s="50"/>
      <c r="P419" s="50"/>
      <c r="Q419" s="50"/>
      <c r="R419" s="50"/>
      <c r="S419" s="50" t="str">
        <f t="shared" si="40"/>
        <v/>
      </c>
      <c r="T419" s="50" t="str">
        <f>IF(
    OR(ISBLANK(O419), ISBLANK(P419)),
    "",
    MAX(1, IF(
        NETWORKDAYS(O419, P419) &lt;= 0,
        1,
        NETWORKDAYS(O419, P419) - IF(O419 = P419, 0, 1)
    ))
)</f>
        <v/>
      </c>
      <c r="U419" s="50" t="str">
        <f t="shared" si="44"/>
        <v/>
      </c>
      <c r="V419" s="50" t="str">
        <f t="shared" si="43"/>
        <v/>
      </c>
      <c r="W419" s="50"/>
      <c r="X419" s="50" t="s">
        <v>4</v>
      </c>
      <c r="Y419" s="50" t="s">
        <v>57</v>
      </c>
      <c r="Z419" s="50" t="s">
        <v>3406</v>
      </c>
      <c r="AA419" s="50"/>
    </row>
    <row r="420" spans="1:27" ht="25.5" customHeight="1">
      <c r="A420" s="517" t="s">
        <v>776</v>
      </c>
      <c r="B420" s="51" t="s">
        <v>3953</v>
      </c>
      <c r="C420" s="51" t="s">
        <v>143</v>
      </c>
      <c r="D420" s="51" t="s">
        <v>3961</v>
      </c>
      <c r="E420" s="50">
        <v>2140</v>
      </c>
      <c r="F420" s="50">
        <v>2226</v>
      </c>
      <c r="G420" s="50" t="s">
        <v>3404</v>
      </c>
      <c r="H420" s="50"/>
      <c r="I420" s="105"/>
      <c r="J420" s="50"/>
      <c r="K420" s="50" t="s">
        <v>200</v>
      </c>
      <c r="L420" s="50" t="s">
        <v>328</v>
      </c>
      <c r="M420" s="50" t="s">
        <v>1982</v>
      </c>
      <c r="N420" s="50"/>
      <c r="O420" s="50"/>
      <c r="P420" s="50"/>
      <c r="Q420" s="50"/>
      <c r="R420" s="50"/>
      <c r="S420" s="50" t="str">
        <f t="shared" si="40"/>
        <v/>
      </c>
      <c r="T420" s="50" t="str">
        <f>IF(
    OR(ISBLANK(O420), ISBLANK(P420)),
    "",
    MAX(1, IF(
        NETWORKDAYS(O420, P420) &lt;= 0,
        1,
        NETWORKDAYS(O420, P420) - IF(O420 = P420, 0, 1)
    ))
)</f>
        <v/>
      </c>
      <c r="U420" s="50" t="str">
        <f t="shared" si="44"/>
        <v/>
      </c>
      <c r="V420" s="50" t="str">
        <f t="shared" si="43"/>
        <v/>
      </c>
      <c r="W420" s="50"/>
      <c r="X420" s="50"/>
      <c r="Y420" s="50"/>
      <c r="Z420" s="50"/>
      <c r="AA420" s="50"/>
    </row>
    <row r="421" spans="1:27" ht="25.5" customHeight="1">
      <c r="A421" s="517" t="s">
        <v>776</v>
      </c>
      <c r="B421" s="51" t="s">
        <v>3953</v>
      </c>
      <c r="C421" s="51" t="s">
        <v>143</v>
      </c>
      <c r="D421" s="51" t="s">
        <v>3962</v>
      </c>
      <c r="E421" s="50">
        <v>11715</v>
      </c>
      <c r="F421" s="50">
        <v>12637</v>
      </c>
      <c r="G421" s="50" t="s">
        <v>3404</v>
      </c>
      <c r="H421" s="50">
        <v>2025</v>
      </c>
      <c r="I421" s="132">
        <v>45937</v>
      </c>
      <c r="J421" s="50" t="s">
        <v>3128</v>
      </c>
      <c r="K421" s="50" t="s">
        <v>200</v>
      </c>
      <c r="L421" s="50" t="s">
        <v>1838</v>
      </c>
      <c r="M421" s="50" t="s">
        <v>1982</v>
      </c>
      <c r="N421" s="50" t="s">
        <v>3963</v>
      </c>
      <c r="O421" s="60">
        <v>45939</v>
      </c>
      <c r="P421" s="60">
        <v>45946</v>
      </c>
      <c r="Q421" s="60">
        <v>45949</v>
      </c>
      <c r="R421" s="60">
        <v>45950</v>
      </c>
      <c r="S421" s="50">
        <f t="shared" si="40"/>
        <v>2</v>
      </c>
      <c r="T421" s="50">
        <f>IF(
    OR(ISBLANK(P421), ISBLANK(Q421)),
    "",
    MAX(1, IF(
        NETWORKDAYS(P421, Q421) &lt;= 0,
        1,
        NETWORKDAYS(P421, Q421) - IF(P421 = Q421, 0, 1)
    ))
)</f>
        <v>1</v>
      </c>
      <c r="U421" s="50">
        <f t="shared" si="44"/>
        <v>1</v>
      </c>
      <c r="V421" s="50">
        <f t="shared" si="43"/>
        <v>1</v>
      </c>
      <c r="W421" s="50" t="s">
        <v>150</v>
      </c>
      <c r="X421" s="50" t="s">
        <v>3527</v>
      </c>
      <c r="Y421" s="50" t="s">
        <v>3528</v>
      </c>
      <c r="Z421" s="50" t="s">
        <v>3406</v>
      </c>
      <c r="AA421" s="50"/>
    </row>
    <row r="422" spans="1:27" ht="25.5" customHeight="1">
      <c r="A422" s="517" t="s">
        <v>776</v>
      </c>
      <c r="B422" s="51" t="s">
        <v>3953</v>
      </c>
      <c r="C422" s="51" t="s">
        <v>143</v>
      </c>
      <c r="D422" s="51" t="s">
        <v>3964</v>
      </c>
      <c r="E422" s="50">
        <v>2630</v>
      </c>
      <c r="F422" s="50">
        <v>3332</v>
      </c>
      <c r="G422" s="50" t="s">
        <v>3404</v>
      </c>
      <c r="H422" s="50">
        <v>2025</v>
      </c>
      <c r="I422" s="132">
        <v>45966</v>
      </c>
      <c r="J422" s="50" t="s">
        <v>3129</v>
      </c>
      <c r="K422" s="50" t="s">
        <v>200</v>
      </c>
      <c r="L422" s="50" t="s">
        <v>1838</v>
      </c>
      <c r="M422" s="50" t="s">
        <v>1982</v>
      </c>
      <c r="N422" s="50" t="s">
        <v>3965</v>
      </c>
      <c r="O422" s="60">
        <v>45969</v>
      </c>
      <c r="P422" s="60">
        <v>45980</v>
      </c>
      <c r="Q422" s="60">
        <v>45980</v>
      </c>
      <c r="R422" s="60">
        <v>45980</v>
      </c>
      <c r="S422" s="50">
        <f t="shared" si="40"/>
        <v>2</v>
      </c>
      <c r="T422" s="50">
        <f>IF(
    OR(ISBLANK(P422), ISBLANK(Q422)),
    "",
    MAX(1, IF(
        NETWORKDAYS(P422, Q422) &lt;= 0,
        1,
        NETWORKDAYS(P422, Q422) - IF(P422 = Q422, 0, 1)
    ))
)</f>
        <v>1</v>
      </c>
      <c r="U422" s="50">
        <f t="shared" si="44"/>
        <v>1</v>
      </c>
      <c r="V422" s="50">
        <f t="shared" si="43"/>
        <v>1</v>
      </c>
      <c r="W422" s="50" t="s">
        <v>150</v>
      </c>
      <c r="X422" s="50" t="s">
        <v>1078</v>
      </c>
      <c r="Y422" s="50" t="s">
        <v>3528</v>
      </c>
      <c r="Z422" s="50" t="s">
        <v>3406</v>
      </c>
      <c r="AA422" s="50"/>
    </row>
    <row r="423" spans="1:27" ht="25.5" customHeight="1">
      <c r="A423" s="517" t="s">
        <v>776</v>
      </c>
      <c r="B423" s="51" t="s">
        <v>3953</v>
      </c>
      <c r="C423" s="51" t="s">
        <v>143</v>
      </c>
      <c r="D423" s="51" t="s">
        <v>3966</v>
      </c>
      <c r="E423" s="50">
        <v>3843</v>
      </c>
      <c r="F423" s="50">
        <v>7235</v>
      </c>
      <c r="G423" s="50" t="s">
        <v>3955</v>
      </c>
      <c r="H423" s="50"/>
      <c r="I423" s="105"/>
      <c r="J423" s="50"/>
      <c r="K423" s="50" t="s">
        <v>200</v>
      </c>
      <c r="L423" s="50" t="s">
        <v>328</v>
      </c>
      <c r="M423" s="50" t="s">
        <v>1982</v>
      </c>
      <c r="N423" s="50"/>
      <c r="O423" s="50"/>
      <c r="P423" s="50"/>
      <c r="Q423" s="50"/>
      <c r="R423" s="50"/>
      <c r="S423" s="50" t="str">
        <f t="shared" si="40"/>
        <v/>
      </c>
      <c r="T423" s="50" t="str">
        <f>IF(
    OR(ISBLANK(O423), ISBLANK(P423)),
    "",
    MAX(1, IF(
        NETWORKDAYS(O423, P423) &lt;= 0,
        1,
        NETWORKDAYS(O423, P423) - IF(O423 = P423, 0, 1)
    ))
)</f>
        <v/>
      </c>
      <c r="U423" s="50" t="str">
        <f t="shared" si="44"/>
        <v/>
      </c>
      <c r="V423" s="50" t="str">
        <f t="shared" si="43"/>
        <v/>
      </c>
      <c r="W423" s="50"/>
      <c r="X423" s="50"/>
      <c r="Y423" s="50"/>
      <c r="Z423" s="50"/>
      <c r="AA423" s="50"/>
    </row>
    <row r="424" spans="1:27" ht="25.5" customHeight="1">
      <c r="A424" s="517" t="s">
        <v>776</v>
      </c>
      <c r="B424" s="51" t="s">
        <v>3953</v>
      </c>
      <c r="C424" s="51" t="s">
        <v>143</v>
      </c>
      <c r="D424" s="51" t="s">
        <v>3967</v>
      </c>
      <c r="E424" s="50">
        <v>1517</v>
      </c>
      <c r="F424" s="50">
        <v>1863</v>
      </c>
      <c r="G424" s="50" t="s">
        <v>3955</v>
      </c>
      <c r="H424" s="50"/>
      <c r="I424" s="105"/>
      <c r="J424" s="50"/>
      <c r="K424" s="50" t="s">
        <v>200</v>
      </c>
      <c r="L424" s="50" t="s">
        <v>328</v>
      </c>
      <c r="M424" s="50" t="s">
        <v>1982</v>
      </c>
      <c r="N424" s="50"/>
      <c r="O424" s="50"/>
      <c r="P424" s="50"/>
      <c r="Q424" s="50"/>
      <c r="R424" s="50"/>
      <c r="S424" s="50" t="str">
        <f t="shared" si="40"/>
        <v/>
      </c>
      <c r="T424" s="50" t="str">
        <f>IF(
    OR(ISBLANK(O424), ISBLANK(P424)),
    "",
    MAX(1, IF(
        NETWORKDAYS(O424, P424) &lt;= 0,
        1,
        NETWORKDAYS(O424, P424) - IF(O424 = P424, 0, 1)
    ))
)</f>
        <v/>
      </c>
      <c r="U424" s="50" t="str">
        <f t="shared" si="44"/>
        <v/>
      </c>
      <c r="V424" s="50" t="str">
        <f t="shared" si="43"/>
        <v/>
      </c>
      <c r="W424" s="50"/>
      <c r="X424" s="50"/>
      <c r="Y424" s="50"/>
      <c r="Z424" s="50"/>
      <c r="AA424" s="50"/>
    </row>
    <row r="425" spans="1:27" ht="25.5" customHeight="1">
      <c r="A425" s="517" t="s">
        <v>776</v>
      </c>
      <c r="B425" s="51" t="s">
        <v>3953</v>
      </c>
      <c r="C425" s="51" t="s">
        <v>143</v>
      </c>
      <c r="D425" s="51" t="s">
        <v>3968</v>
      </c>
      <c r="E425" s="50">
        <v>2229</v>
      </c>
      <c r="F425" s="50">
        <v>2648</v>
      </c>
      <c r="G425" s="50" t="s">
        <v>3955</v>
      </c>
      <c r="H425" s="50"/>
      <c r="I425" s="105"/>
      <c r="J425" s="50"/>
      <c r="K425" s="50" t="s">
        <v>200</v>
      </c>
      <c r="L425" s="50" t="s">
        <v>328</v>
      </c>
      <c r="M425" s="50" t="s">
        <v>1982</v>
      </c>
      <c r="N425" s="50"/>
      <c r="O425" s="50"/>
      <c r="P425" s="50"/>
      <c r="Q425" s="50"/>
      <c r="R425" s="50"/>
      <c r="S425" s="50" t="str">
        <f t="shared" si="40"/>
        <v/>
      </c>
      <c r="T425" s="50" t="str">
        <f>IF(
    OR(ISBLANK(O425), ISBLANK(P425)),
    "",
    MAX(1, IF(
        NETWORKDAYS(O425, P425) &lt;= 0,
        1,
        NETWORKDAYS(O425, P425) - IF(O425 = P425, 0, 1)
    ))
)</f>
        <v/>
      </c>
      <c r="U425" s="50" t="str">
        <f t="shared" si="44"/>
        <v/>
      </c>
      <c r="V425" s="50" t="str">
        <f t="shared" si="43"/>
        <v/>
      </c>
      <c r="W425" s="50"/>
      <c r="X425" s="50"/>
      <c r="Y425" s="50"/>
      <c r="Z425" s="50"/>
      <c r="AA425" s="50"/>
    </row>
    <row r="426" spans="1:27" ht="25.5" customHeight="1">
      <c r="A426" s="517" t="s">
        <v>776</v>
      </c>
      <c r="B426" s="51" t="s">
        <v>3953</v>
      </c>
      <c r="C426" s="51" t="s">
        <v>143</v>
      </c>
      <c r="D426" s="51" t="s">
        <v>3969</v>
      </c>
      <c r="E426" s="50">
        <v>5357</v>
      </c>
      <c r="F426" s="50">
        <v>6580</v>
      </c>
      <c r="G426" s="50" t="s">
        <v>3404</v>
      </c>
      <c r="H426" s="50">
        <v>2025</v>
      </c>
      <c r="I426" s="132">
        <v>45937</v>
      </c>
      <c r="J426" s="50" t="s">
        <v>3970</v>
      </c>
      <c r="K426" s="50" t="s">
        <v>200</v>
      </c>
      <c r="L426" s="50" t="s">
        <v>1838</v>
      </c>
      <c r="M426" s="50" t="s">
        <v>1982</v>
      </c>
      <c r="N426" s="50" t="s">
        <v>3971</v>
      </c>
      <c r="O426" s="60">
        <v>45939</v>
      </c>
      <c r="P426" s="60">
        <v>45947</v>
      </c>
      <c r="Q426" s="60">
        <v>45949</v>
      </c>
      <c r="R426" s="60">
        <v>45950</v>
      </c>
      <c r="S426" s="50">
        <f t="shared" si="40"/>
        <v>2</v>
      </c>
      <c r="T426" s="50">
        <f>IF(
    OR(ISBLANK(P426), ISBLANK(Q426)),
    "",
    MAX(1, IF(
        NETWORKDAYS(P426, Q426) &lt;= 0,
        1,
        NETWORKDAYS(P426, Q426) - IF(P426 = Q426, 0, 1)
    ))
)</f>
        <v>1</v>
      </c>
      <c r="U426" s="50">
        <f t="shared" si="44"/>
        <v>1</v>
      </c>
      <c r="V426" s="50">
        <f t="shared" si="43"/>
        <v>1</v>
      </c>
      <c r="W426" s="50" t="s">
        <v>150</v>
      </c>
      <c r="X426" s="50" t="s">
        <v>3527</v>
      </c>
      <c r="Y426" s="50" t="s">
        <v>3528</v>
      </c>
      <c r="Z426" s="50" t="s">
        <v>3406</v>
      </c>
      <c r="AA426" s="50"/>
    </row>
    <row r="427" spans="1:27" s="110" customFormat="1" ht="25.5" customHeight="1">
      <c r="A427" s="517" t="s">
        <v>776</v>
      </c>
      <c r="B427" s="51" t="s">
        <v>3953</v>
      </c>
      <c r="C427" s="51" t="s">
        <v>143</v>
      </c>
      <c r="D427" s="51" t="s">
        <v>1056</v>
      </c>
      <c r="E427" s="50">
        <v>9448</v>
      </c>
      <c r="F427" s="50">
        <v>10573</v>
      </c>
      <c r="G427" s="50" t="s">
        <v>3404</v>
      </c>
      <c r="H427" s="50">
        <v>2025</v>
      </c>
      <c r="I427" s="132">
        <v>45937</v>
      </c>
      <c r="J427" s="50" t="s">
        <v>3970</v>
      </c>
      <c r="K427" s="50" t="s">
        <v>200</v>
      </c>
      <c r="L427" s="50" t="s">
        <v>1838</v>
      </c>
      <c r="M427" s="50" t="s">
        <v>1982</v>
      </c>
      <c r="N427" s="50" t="s">
        <v>3972</v>
      </c>
      <c r="O427" s="60">
        <v>45939</v>
      </c>
      <c r="P427" s="60">
        <v>45946</v>
      </c>
      <c r="Q427" s="60">
        <v>45950</v>
      </c>
      <c r="R427" s="60">
        <v>45950</v>
      </c>
      <c r="S427" s="50">
        <f t="shared" si="40"/>
        <v>2</v>
      </c>
      <c r="T427" s="50">
        <f>IF(
    OR(ISBLANK(P427), ISBLANK(Q427)),
    "",
    MAX(1, IF(
        NETWORKDAYS(P427, Q427) &lt;= 0,
        1,
        NETWORKDAYS(P427, Q427) - IF(P427 = Q427, 0, 1)
    ))
)</f>
        <v>2</v>
      </c>
      <c r="U427" s="50">
        <f t="shared" si="44"/>
        <v>2</v>
      </c>
      <c r="V427" s="50">
        <f t="shared" si="43"/>
        <v>1</v>
      </c>
      <c r="W427" s="50" t="s">
        <v>150</v>
      </c>
      <c r="X427" s="50" t="s">
        <v>3527</v>
      </c>
      <c r="Y427" s="50" t="s">
        <v>3528</v>
      </c>
      <c r="Z427" s="50" t="s">
        <v>3406</v>
      </c>
      <c r="AA427" s="50"/>
    </row>
    <row r="428" spans="1:27" ht="25.5" customHeight="1">
      <c r="A428" s="521" t="s">
        <v>776</v>
      </c>
      <c r="B428" s="51" t="s">
        <v>3953</v>
      </c>
      <c r="C428" s="51" t="s">
        <v>143</v>
      </c>
      <c r="D428" s="51" t="s">
        <v>1241</v>
      </c>
      <c r="E428" s="50">
        <v>11350</v>
      </c>
      <c r="F428" s="50">
        <v>12547</v>
      </c>
      <c r="G428" s="50" t="s">
        <v>3404</v>
      </c>
      <c r="H428" s="50">
        <v>2024</v>
      </c>
      <c r="I428" s="132">
        <v>45573</v>
      </c>
      <c r="J428" s="50"/>
      <c r="K428" s="50" t="s">
        <v>200</v>
      </c>
      <c r="L428" s="50" t="s">
        <v>328</v>
      </c>
      <c r="M428" s="50" t="s">
        <v>1982</v>
      </c>
      <c r="N428" s="50"/>
      <c r="O428" s="50"/>
      <c r="P428" s="50"/>
      <c r="Q428" s="50"/>
      <c r="R428" s="50"/>
      <c r="S428" s="50" t="str">
        <f t="shared" si="40"/>
        <v/>
      </c>
      <c r="T428" s="50" t="str">
        <f>IF(
    OR(ISBLANK(O428), ISBLANK(P428)),
    "",
    MAX(1, IF(
        NETWORKDAYS(O428, P428) &lt;= 0,
        1,
        NETWORKDAYS(O428, P428) - IF(O428 = P428, 0, 1)
    ))
)</f>
        <v/>
      </c>
      <c r="U428" s="50" t="str">
        <f t="shared" si="44"/>
        <v/>
      </c>
      <c r="V428" s="50" t="str">
        <f t="shared" si="43"/>
        <v/>
      </c>
      <c r="W428" s="50"/>
      <c r="X428" s="50" t="s">
        <v>4</v>
      </c>
      <c r="Y428" s="50" t="s">
        <v>57</v>
      </c>
      <c r="Z428" s="50" t="s">
        <v>3406</v>
      </c>
      <c r="AA428" s="50"/>
    </row>
    <row r="429" spans="1:27" ht="25.5" customHeight="1">
      <c r="A429" s="517" t="s">
        <v>776</v>
      </c>
      <c r="B429" s="51" t="s">
        <v>3953</v>
      </c>
      <c r="C429" s="51" t="s">
        <v>143</v>
      </c>
      <c r="D429" s="51" t="s">
        <v>858</v>
      </c>
      <c r="E429" s="50">
        <v>6575</v>
      </c>
      <c r="F429" s="50">
        <v>6739</v>
      </c>
      <c r="G429" s="50" t="s">
        <v>3404</v>
      </c>
      <c r="H429" s="50">
        <v>2025</v>
      </c>
      <c r="I429" s="132">
        <v>45938</v>
      </c>
      <c r="J429" s="50" t="s">
        <v>3129</v>
      </c>
      <c r="K429" s="50" t="s">
        <v>200</v>
      </c>
      <c r="L429" s="50" t="s">
        <v>1838</v>
      </c>
      <c r="M429" s="50" t="s">
        <v>1982</v>
      </c>
      <c r="N429" s="50" t="s">
        <v>3973</v>
      </c>
      <c r="O429" s="60">
        <v>45939</v>
      </c>
      <c r="P429" s="60">
        <v>45946</v>
      </c>
      <c r="Q429" s="60">
        <v>45950</v>
      </c>
      <c r="R429" s="60">
        <v>45950</v>
      </c>
      <c r="S429" s="50">
        <f t="shared" si="40"/>
        <v>1</v>
      </c>
      <c r="T429" s="50">
        <f>IF(
    OR(ISBLANK(P429), ISBLANK(Q429)),
    "",
    MAX(1, IF(
        NETWORKDAYS(P429, Q429) &lt;= 0,
        1,
        NETWORKDAYS(P429, Q429) - IF(P429 = Q429, 0, 1)
    ))
)</f>
        <v>2</v>
      </c>
      <c r="U429" s="50">
        <f t="shared" si="44"/>
        <v>2</v>
      </c>
      <c r="V429" s="50">
        <f t="shared" si="43"/>
        <v>1</v>
      </c>
      <c r="W429" s="50" t="s">
        <v>150</v>
      </c>
      <c r="X429" s="50" t="s">
        <v>3527</v>
      </c>
      <c r="Y429" s="50" t="s">
        <v>3528</v>
      </c>
      <c r="Z429" s="50" t="s">
        <v>3406</v>
      </c>
      <c r="AA429" s="50"/>
    </row>
    <row r="430" spans="1:27" ht="25.5" customHeight="1">
      <c r="A430" s="517" t="s">
        <v>776</v>
      </c>
      <c r="B430" s="51" t="s">
        <v>3953</v>
      </c>
      <c r="C430" s="51" t="s">
        <v>143</v>
      </c>
      <c r="D430" s="51" t="s">
        <v>3974</v>
      </c>
      <c r="E430" s="50">
        <v>3554</v>
      </c>
      <c r="F430" s="50">
        <v>3967</v>
      </c>
      <c r="G430" s="50" t="s">
        <v>3955</v>
      </c>
      <c r="H430" s="50"/>
      <c r="I430" s="105"/>
      <c r="J430" s="50"/>
      <c r="K430" s="50" t="s">
        <v>200</v>
      </c>
      <c r="L430" s="50" t="s">
        <v>328</v>
      </c>
      <c r="M430" s="50" t="s">
        <v>1982</v>
      </c>
      <c r="N430" s="50"/>
      <c r="O430" s="50"/>
      <c r="P430" s="50"/>
      <c r="Q430" s="50"/>
      <c r="R430" s="50"/>
      <c r="S430" s="50" t="str">
        <f t="shared" si="40"/>
        <v/>
      </c>
      <c r="T430" s="50" t="str">
        <f>IF(
    OR(ISBLANK(O430), ISBLANK(P430)),
    "",
    MAX(1, IF(
        NETWORKDAYS(O430, P430) &lt;= 0,
        1,
        NETWORKDAYS(O430, P430) - IF(O430 = P430, 0, 1)
    ))
)</f>
        <v/>
      </c>
      <c r="U430" s="50" t="str">
        <f t="shared" si="44"/>
        <v/>
      </c>
      <c r="V430" s="50" t="str">
        <f t="shared" si="43"/>
        <v/>
      </c>
      <c r="W430" s="50"/>
      <c r="X430" s="50"/>
      <c r="Y430" s="50"/>
      <c r="Z430" s="50"/>
      <c r="AA430" s="50"/>
    </row>
    <row r="431" spans="1:27" s="110" customFormat="1" ht="25.5" customHeight="1">
      <c r="A431" s="517" t="s">
        <v>776</v>
      </c>
      <c r="B431" s="51" t="s">
        <v>3953</v>
      </c>
      <c r="C431" s="51" t="s">
        <v>143</v>
      </c>
      <c r="D431" s="51" t="s">
        <v>3975</v>
      </c>
      <c r="E431" s="50">
        <v>11676</v>
      </c>
      <c r="F431" s="50">
        <v>12638</v>
      </c>
      <c r="G431" s="50" t="s">
        <v>3404</v>
      </c>
      <c r="H431" s="50">
        <v>2025</v>
      </c>
      <c r="I431" s="132">
        <v>45937</v>
      </c>
      <c r="J431" s="50" t="s">
        <v>3128</v>
      </c>
      <c r="K431" s="50" t="s">
        <v>200</v>
      </c>
      <c r="L431" s="50" t="s">
        <v>1838</v>
      </c>
      <c r="M431" s="50" t="s">
        <v>1982</v>
      </c>
      <c r="N431" s="50" t="s">
        <v>3976</v>
      </c>
      <c r="O431" s="60">
        <v>45939</v>
      </c>
      <c r="P431" s="60">
        <v>45947</v>
      </c>
      <c r="Q431" s="60">
        <v>45949</v>
      </c>
      <c r="R431" s="60">
        <v>45950</v>
      </c>
      <c r="S431" s="50">
        <f t="shared" si="40"/>
        <v>2</v>
      </c>
      <c r="T431" s="50">
        <f>IF(
    OR(ISBLANK(P431), ISBLANK(Q431)),
    "",
    MAX(1, IF(
        NETWORKDAYS(P431, Q431) &lt;= 0,
        1,
        NETWORKDAYS(P431, Q431) - IF(P431 = Q431, 0, 1)
    ))
)</f>
        <v>1</v>
      </c>
      <c r="U431" s="50">
        <f t="shared" si="44"/>
        <v>1</v>
      </c>
      <c r="V431" s="50">
        <f t="shared" si="43"/>
        <v>1</v>
      </c>
      <c r="W431" s="50" t="s">
        <v>150</v>
      </c>
      <c r="X431" s="50" t="s">
        <v>3527</v>
      </c>
      <c r="Y431" s="50" t="s">
        <v>3528</v>
      </c>
      <c r="Z431" s="50" t="s">
        <v>3406</v>
      </c>
      <c r="AA431" s="50"/>
    </row>
    <row r="432" spans="1:27" ht="25.5" customHeight="1">
      <c r="A432" s="50" t="s">
        <v>776</v>
      </c>
      <c r="B432" s="51" t="s">
        <v>3953</v>
      </c>
      <c r="C432" s="51" t="s">
        <v>143</v>
      </c>
      <c r="D432" s="51" t="s">
        <v>3977</v>
      </c>
      <c r="E432" s="50">
        <v>8840</v>
      </c>
      <c r="F432" s="50">
        <v>9600</v>
      </c>
      <c r="G432" s="50" t="s">
        <v>3404</v>
      </c>
      <c r="H432" s="50">
        <v>2024</v>
      </c>
      <c r="I432" s="132">
        <v>45580</v>
      </c>
      <c r="J432" s="50"/>
      <c r="K432" s="50" t="s">
        <v>200</v>
      </c>
      <c r="L432" s="50" t="s">
        <v>328</v>
      </c>
      <c r="M432" s="50" t="s">
        <v>1982</v>
      </c>
      <c r="N432" s="50"/>
      <c r="O432" s="50"/>
      <c r="P432" s="50"/>
      <c r="Q432" s="50"/>
      <c r="R432" s="50"/>
      <c r="S432" s="50" t="str">
        <f t="shared" si="40"/>
        <v/>
      </c>
      <c r="T432" s="50" t="str">
        <f>IF(
    OR(ISBLANK(O432), ISBLANK(P432)),
    "",
    MAX(1, IF(
        NETWORKDAYS(O432, P432) &lt;= 0,
        1,
        NETWORKDAYS(O432, P432) - IF(O432 = P432, 0, 1)
    ))
)</f>
        <v/>
      </c>
      <c r="U432" s="50" t="str">
        <f t="shared" si="44"/>
        <v/>
      </c>
      <c r="V432" s="50" t="str">
        <f t="shared" si="43"/>
        <v/>
      </c>
      <c r="W432" s="50"/>
      <c r="X432" s="50" t="s">
        <v>4</v>
      </c>
      <c r="Y432" s="50" t="s">
        <v>57</v>
      </c>
      <c r="Z432" s="50" t="s">
        <v>3406</v>
      </c>
      <c r="AA432" s="50"/>
    </row>
    <row r="433" spans="1:27" s="110" customFormat="1" ht="25.5" customHeight="1">
      <c r="A433" s="517" t="s">
        <v>776</v>
      </c>
      <c r="B433" s="51" t="s">
        <v>3953</v>
      </c>
      <c r="C433" s="51" t="s">
        <v>143</v>
      </c>
      <c r="D433" s="51" t="s">
        <v>3727</v>
      </c>
      <c r="E433" s="50">
        <v>3818</v>
      </c>
      <c r="F433" s="50">
        <v>4324</v>
      </c>
      <c r="G433" s="50" t="s">
        <v>3404</v>
      </c>
      <c r="H433" s="50">
        <v>2025</v>
      </c>
      <c r="I433" s="132">
        <v>45672</v>
      </c>
      <c r="J433" s="50" t="s">
        <v>3424</v>
      </c>
      <c r="K433" s="50" t="s">
        <v>200</v>
      </c>
      <c r="L433" s="50" t="s">
        <v>328</v>
      </c>
      <c r="M433" s="50" t="s">
        <v>1982</v>
      </c>
      <c r="N433" s="50" t="s">
        <v>3978</v>
      </c>
      <c r="O433" s="60">
        <v>45674</v>
      </c>
      <c r="P433" s="60">
        <v>45676</v>
      </c>
      <c r="Q433" s="60">
        <v>45678</v>
      </c>
      <c r="R433" s="60">
        <v>45679</v>
      </c>
      <c r="S433" s="50">
        <f t="shared" si="40"/>
        <v>2</v>
      </c>
      <c r="T433" s="50">
        <f>IF(
    OR(ISBLANK(P433), ISBLANK(Q433)),
    "",
    MAX(1, IF(
        NETWORKDAYS(P433, Q433) &lt;= 0,
        1,
        NETWORKDAYS(P433, Q433) - IF(P433 = Q433, 0, 1)
    ))
)</f>
        <v>1</v>
      </c>
      <c r="U433" s="50">
        <f t="shared" si="44"/>
        <v>1</v>
      </c>
      <c r="V433" s="50">
        <f t="shared" si="43"/>
        <v>1</v>
      </c>
      <c r="W433" s="50" t="s">
        <v>150</v>
      </c>
      <c r="X433" s="50" t="s">
        <v>1078</v>
      </c>
      <c r="Y433" s="50" t="s">
        <v>50</v>
      </c>
      <c r="Z433" s="50" t="s">
        <v>3406</v>
      </c>
      <c r="AA433" s="50" t="s">
        <v>953</v>
      </c>
    </row>
    <row r="434" spans="1:27" ht="25.5" customHeight="1">
      <c r="A434" s="50" t="s">
        <v>776</v>
      </c>
      <c r="B434" s="51" t="s">
        <v>3953</v>
      </c>
      <c r="C434" s="51" t="s">
        <v>143</v>
      </c>
      <c r="D434" s="51" t="s">
        <v>2071</v>
      </c>
      <c r="E434" s="50">
        <v>5506</v>
      </c>
      <c r="F434" s="50">
        <v>6437</v>
      </c>
      <c r="G434" s="50" t="s">
        <v>3404</v>
      </c>
      <c r="H434" s="50">
        <v>2024</v>
      </c>
      <c r="I434" s="132">
        <v>45397</v>
      </c>
      <c r="J434" s="50"/>
      <c r="K434" s="50" t="s">
        <v>200</v>
      </c>
      <c r="L434" s="50" t="s">
        <v>328</v>
      </c>
      <c r="M434" s="50" t="s">
        <v>1982</v>
      </c>
      <c r="N434" s="50"/>
      <c r="O434" s="50"/>
      <c r="P434" s="50"/>
      <c r="Q434" s="50"/>
      <c r="R434" s="50"/>
      <c r="S434" s="50" t="str">
        <f t="shared" si="40"/>
        <v/>
      </c>
      <c r="T434" s="50" t="str">
        <f>IF(
    OR(ISBLANK(O434), ISBLANK(P434)),
    "",
    MAX(1, IF(
        NETWORKDAYS(O434, P434) &lt;= 0,
        1,
        NETWORKDAYS(O434, P434) - IF(O434 = P434, 0, 1)
    ))
)</f>
        <v/>
      </c>
      <c r="U434" s="50" t="str">
        <f t="shared" si="44"/>
        <v/>
      </c>
      <c r="V434" s="50" t="str">
        <f t="shared" si="43"/>
        <v/>
      </c>
      <c r="W434" s="50"/>
      <c r="X434" s="50"/>
      <c r="Y434" s="50"/>
      <c r="Z434" s="50" t="s">
        <v>3406</v>
      </c>
      <c r="AA434" s="50"/>
    </row>
    <row r="435" spans="1:27" ht="25.5" customHeight="1">
      <c r="A435" s="50" t="s">
        <v>776</v>
      </c>
      <c r="B435" s="51" t="s">
        <v>3953</v>
      </c>
      <c r="C435" s="51" t="s">
        <v>143</v>
      </c>
      <c r="D435" s="51" t="s">
        <v>3979</v>
      </c>
      <c r="E435" s="50">
        <v>5070</v>
      </c>
      <c r="F435" s="50">
        <v>5894</v>
      </c>
      <c r="G435" s="50" t="s">
        <v>3404</v>
      </c>
      <c r="H435" s="50">
        <v>2024</v>
      </c>
      <c r="I435" s="132">
        <v>45574</v>
      </c>
      <c r="J435" s="50"/>
      <c r="K435" s="50" t="s">
        <v>200</v>
      </c>
      <c r="L435" s="50" t="s">
        <v>328</v>
      </c>
      <c r="M435" s="50" t="s">
        <v>1982</v>
      </c>
      <c r="N435" s="50"/>
      <c r="O435" s="50"/>
      <c r="P435" s="50"/>
      <c r="Q435" s="50"/>
      <c r="R435" s="50"/>
      <c r="S435" s="50" t="str">
        <f t="shared" si="40"/>
        <v/>
      </c>
      <c r="T435" s="50" t="str">
        <f>IF(
    OR(ISBLANK(O435), ISBLANK(P435)),
    "",
    MAX(1, IF(
        NETWORKDAYS(O435, P435) &lt;= 0,
        1,
        NETWORKDAYS(O435, P435) - IF(O435 = P435, 0, 1)
    ))
)</f>
        <v/>
      </c>
      <c r="U435" s="50" t="str">
        <f t="shared" si="44"/>
        <v/>
      </c>
      <c r="V435" s="50" t="str">
        <f t="shared" si="43"/>
        <v/>
      </c>
      <c r="W435" s="50"/>
      <c r="X435" s="50" t="s">
        <v>4</v>
      </c>
      <c r="Y435" s="50" t="s">
        <v>57</v>
      </c>
      <c r="Z435" s="50" t="s">
        <v>3406</v>
      </c>
      <c r="AA435" s="50"/>
    </row>
    <row r="436" spans="1:27" ht="25.5" customHeight="1">
      <c r="A436" s="50" t="s">
        <v>776</v>
      </c>
      <c r="B436" s="51" t="s">
        <v>3953</v>
      </c>
      <c r="C436" s="51" t="s">
        <v>143</v>
      </c>
      <c r="D436" s="51" t="s">
        <v>3980</v>
      </c>
      <c r="E436" s="50">
        <v>5699</v>
      </c>
      <c r="F436" s="50">
        <v>7767</v>
      </c>
      <c r="G436" s="50" t="s">
        <v>3404</v>
      </c>
      <c r="H436" s="50">
        <v>2024</v>
      </c>
      <c r="I436" s="132">
        <v>45573</v>
      </c>
      <c r="J436" s="50"/>
      <c r="K436" s="50" t="s">
        <v>200</v>
      </c>
      <c r="L436" s="50" t="s">
        <v>328</v>
      </c>
      <c r="M436" s="50" t="s">
        <v>1982</v>
      </c>
      <c r="N436" s="50"/>
      <c r="O436" s="50"/>
      <c r="P436" s="50"/>
      <c r="Q436" s="50"/>
      <c r="R436" s="50"/>
      <c r="S436" s="50" t="str">
        <f t="shared" si="40"/>
        <v/>
      </c>
      <c r="T436" s="50" t="str">
        <f>IF(
    OR(ISBLANK(O436), ISBLANK(P436)),
    "",
    MAX(1, IF(
        NETWORKDAYS(O436, P436) &lt;= 0,
        1,
        NETWORKDAYS(O436, P436) - IF(O436 = P436, 0, 1)
    ))
)</f>
        <v/>
      </c>
      <c r="U436" s="50" t="str">
        <f t="shared" si="44"/>
        <v/>
      </c>
      <c r="V436" s="50" t="str">
        <f t="shared" si="43"/>
        <v/>
      </c>
      <c r="W436" s="50"/>
      <c r="X436" s="50" t="s">
        <v>4</v>
      </c>
      <c r="Y436" s="50" t="s">
        <v>50</v>
      </c>
      <c r="Z436" s="50" t="s">
        <v>3406</v>
      </c>
      <c r="AA436" s="50"/>
    </row>
    <row r="437" spans="1:27" s="110" customFormat="1" ht="25.5" customHeight="1">
      <c r="A437" s="517" t="s">
        <v>776</v>
      </c>
      <c r="B437" s="51" t="s">
        <v>3953</v>
      </c>
      <c r="C437" s="51" t="s">
        <v>143</v>
      </c>
      <c r="D437" s="51" t="s">
        <v>3981</v>
      </c>
      <c r="E437" s="50">
        <v>7333</v>
      </c>
      <c r="F437" s="50">
        <v>8809</v>
      </c>
      <c r="G437" s="50" t="s">
        <v>3404</v>
      </c>
      <c r="H437" s="50">
        <v>2025</v>
      </c>
      <c r="I437" s="132">
        <v>45966</v>
      </c>
      <c r="J437" s="50" t="s">
        <v>3129</v>
      </c>
      <c r="K437" s="50" t="s">
        <v>200</v>
      </c>
      <c r="L437" s="50" t="s">
        <v>1838</v>
      </c>
      <c r="M437" s="50" t="s">
        <v>1982</v>
      </c>
      <c r="N437" s="50" t="s">
        <v>3982</v>
      </c>
      <c r="O437" s="60">
        <v>45968</v>
      </c>
      <c r="P437" s="60">
        <v>45980</v>
      </c>
      <c r="Q437" s="60">
        <v>45980</v>
      </c>
      <c r="R437" s="60">
        <v>45980</v>
      </c>
      <c r="S437" s="50">
        <f t="shared" si="40"/>
        <v>2</v>
      </c>
      <c r="T437" s="50">
        <f>IF(
    OR(ISBLANK(P437), ISBLANK(Q437)),
    "",
    MAX(1, IF(
        NETWORKDAYS(P437, Q437) &lt;= 0,
        1,
        NETWORKDAYS(P437, Q437) - IF(P437 = Q437, 0, 1)
    ))
)</f>
        <v>1</v>
      </c>
      <c r="U437" s="50">
        <f t="shared" si="44"/>
        <v>1</v>
      </c>
      <c r="V437" s="50">
        <f t="shared" si="43"/>
        <v>1</v>
      </c>
      <c r="W437" s="50" t="s">
        <v>150</v>
      </c>
      <c r="X437" s="50" t="s">
        <v>1078</v>
      </c>
      <c r="Y437" s="50" t="s">
        <v>3528</v>
      </c>
      <c r="Z437" s="50" t="s">
        <v>3406</v>
      </c>
      <c r="AA437" s="50"/>
    </row>
    <row r="438" spans="1:27" ht="25.5" customHeight="1">
      <c r="A438" s="50" t="s">
        <v>776</v>
      </c>
      <c r="B438" s="51" t="s">
        <v>3953</v>
      </c>
      <c r="C438" s="51" t="s">
        <v>143</v>
      </c>
      <c r="D438" s="51" t="s">
        <v>3983</v>
      </c>
      <c r="E438" s="50">
        <v>5006</v>
      </c>
      <c r="F438" s="50">
        <v>5861</v>
      </c>
      <c r="G438" s="50" t="s">
        <v>3404</v>
      </c>
      <c r="H438" s="50">
        <v>2024</v>
      </c>
      <c r="I438" s="132">
        <v>45574</v>
      </c>
      <c r="J438" s="50"/>
      <c r="K438" s="50" t="s">
        <v>200</v>
      </c>
      <c r="L438" s="50" t="s">
        <v>328</v>
      </c>
      <c r="M438" s="50" t="s">
        <v>1982</v>
      </c>
      <c r="N438" s="50"/>
      <c r="O438" s="50"/>
      <c r="P438" s="50"/>
      <c r="Q438" s="50"/>
      <c r="R438" s="50"/>
      <c r="S438" s="50" t="str">
        <f t="shared" si="40"/>
        <v/>
      </c>
      <c r="T438" s="50" t="str">
        <f>IF(
    OR(ISBLANK(O438), ISBLANK(P438)),
    "",
    MAX(1, IF(
        NETWORKDAYS(O438, P438) &lt;= 0,
        1,
        NETWORKDAYS(O438, P438) - IF(O438 = P438, 0, 1)
    ))
)</f>
        <v/>
      </c>
      <c r="U438" s="50" t="str">
        <f t="shared" si="44"/>
        <v/>
      </c>
      <c r="V438" s="50" t="str">
        <f t="shared" si="43"/>
        <v/>
      </c>
      <c r="W438" s="50"/>
      <c r="X438" s="50" t="s">
        <v>4</v>
      </c>
      <c r="Y438" s="50" t="s">
        <v>57</v>
      </c>
      <c r="Z438" s="50" t="s">
        <v>3406</v>
      </c>
      <c r="AA438" s="50"/>
    </row>
    <row r="439" spans="1:27" ht="25.5" customHeight="1">
      <c r="A439" s="517" t="s">
        <v>776</v>
      </c>
      <c r="B439" s="51" t="s">
        <v>3953</v>
      </c>
      <c r="C439" s="51" t="s">
        <v>143</v>
      </c>
      <c r="D439" s="51" t="s">
        <v>1462</v>
      </c>
      <c r="E439" s="50">
        <v>3014</v>
      </c>
      <c r="F439" s="50">
        <v>2979</v>
      </c>
      <c r="G439" s="50" t="s">
        <v>3404</v>
      </c>
      <c r="H439" s="50">
        <v>2025</v>
      </c>
      <c r="I439" s="132">
        <v>45937</v>
      </c>
      <c r="J439" s="50" t="s">
        <v>3128</v>
      </c>
      <c r="K439" s="50" t="s">
        <v>200</v>
      </c>
      <c r="L439" s="50" t="s">
        <v>1838</v>
      </c>
      <c r="M439" s="50" t="s">
        <v>1982</v>
      </c>
      <c r="N439" s="50" t="s">
        <v>3984</v>
      </c>
      <c r="O439" s="60">
        <v>45939</v>
      </c>
      <c r="P439" s="60">
        <v>45944</v>
      </c>
      <c r="Q439" s="60">
        <v>45944</v>
      </c>
      <c r="R439" s="60">
        <v>45950</v>
      </c>
      <c r="S439" s="50">
        <f t="shared" si="40"/>
        <v>2</v>
      </c>
      <c r="T439" s="50">
        <f>IF(
    OR(ISBLANK(P439), ISBLANK(Q439)),
    "",
    MAX(1, IF(
        NETWORKDAYS(P439, Q439) &lt;= 0,
        1,
        NETWORKDAYS(P439, Q439) - IF(P439 = Q439, 0, 1)
    ))
)</f>
        <v>1</v>
      </c>
      <c r="U439" s="50">
        <f t="shared" si="44"/>
        <v>1</v>
      </c>
      <c r="V439" s="50">
        <f t="shared" si="43"/>
        <v>4</v>
      </c>
      <c r="W439" s="50" t="s">
        <v>150</v>
      </c>
      <c r="X439" s="50" t="s">
        <v>3527</v>
      </c>
      <c r="Y439" s="50" t="s">
        <v>3528</v>
      </c>
      <c r="Z439" s="50" t="s">
        <v>3406</v>
      </c>
      <c r="AA439" s="50"/>
    </row>
    <row r="440" spans="1:27" s="110" customFormat="1" ht="25.5" customHeight="1">
      <c r="A440" s="517" t="s">
        <v>776</v>
      </c>
      <c r="B440" s="51" t="s">
        <v>3953</v>
      </c>
      <c r="C440" s="51" t="s">
        <v>143</v>
      </c>
      <c r="D440" s="51" t="s">
        <v>3985</v>
      </c>
      <c r="E440" s="50">
        <v>3389</v>
      </c>
      <c r="F440" s="50">
        <v>3023</v>
      </c>
      <c r="G440" s="50" t="s">
        <v>3955</v>
      </c>
      <c r="H440" s="50"/>
      <c r="I440" s="105"/>
      <c r="J440" s="50"/>
      <c r="K440" s="50" t="s">
        <v>200</v>
      </c>
      <c r="L440" s="50" t="s">
        <v>328</v>
      </c>
      <c r="M440" s="50" t="s">
        <v>1982</v>
      </c>
      <c r="N440" s="50"/>
      <c r="O440" s="50"/>
      <c r="P440" s="50"/>
      <c r="Q440" s="50"/>
      <c r="R440" s="50"/>
      <c r="S440" s="50" t="str">
        <f t="shared" si="40"/>
        <v/>
      </c>
      <c r="T440" s="50" t="str">
        <f>IF(
    OR(ISBLANK(O440), ISBLANK(P440)),
    "",
    MAX(1, IF(
        NETWORKDAYS(O440, P440) &lt;= 0,
        1,
        NETWORKDAYS(O440, P440) - IF(O440 = P440, 0, 1)
    ))
)</f>
        <v/>
      </c>
      <c r="U440" s="50" t="str">
        <f t="shared" si="44"/>
        <v/>
      </c>
      <c r="V440" s="50" t="str">
        <f t="shared" si="43"/>
        <v/>
      </c>
      <c r="W440" s="50"/>
      <c r="X440" s="50"/>
      <c r="Y440" s="50"/>
      <c r="Z440" s="50"/>
      <c r="AA440" s="50"/>
    </row>
    <row r="441" spans="1:27" ht="25.5" customHeight="1">
      <c r="A441" s="521" t="s">
        <v>776</v>
      </c>
      <c r="B441" s="51" t="s">
        <v>3953</v>
      </c>
      <c r="C441" s="51" t="s">
        <v>143</v>
      </c>
      <c r="D441" s="51" t="s">
        <v>3986</v>
      </c>
      <c r="E441" s="50">
        <v>6945</v>
      </c>
      <c r="F441" s="50">
        <v>7353</v>
      </c>
      <c r="G441" s="50" t="s">
        <v>3404</v>
      </c>
      <c r="H441" s="50">
        <v>2024</v>
      </c>
      <c r="I441" s="132">
        <v>45450</v>
      </c>
      <c r="J441" s="50"/>
      <c r="K441" s="50" t="s">
        <v>200</v>
      </c>
      <c r="L441" s="50" t="s">
        <v>328</v>
      </c>
      <c r="M441" s="50" t="s">
        <v>1982</v>
      </c>
      <c r="N441" s="50"/>
      <c r="O441" s="50"/>
      <c r="P441" s="50"/>
      <c r="Q441" s="50"/>
      <c r="R441" s="50"/>
      <c r="S441" s="50" t="str">
        <f t="shared" si="40"/>
        <v/>
      </c>
      <c r="T441" s="50" t="str">
        <f>IF(
    OR(ISBLANK(O441), ISBLANK(P441)),
    "",
    MAX(1, IF(
        NETWORKDAYS(O441, P441) &lt;= 0,
        1,
        NETWORKDAYS(O441, P441) - IF(O441 = P441, 0, 1)
    ))
)</f>
        <v/>
      </c>
      <c r="U441" s="50" t="str">
        <f t="shared" si="44"/>
        <v/>
      </c>
      <c r="V441" s="50" t="str">
        <f t="shared" si="43"/>
        <v/>
      </c>
      <c r="W441" s="50"/>
      <c r="X441" s="50"/>
      <c r="Y441" s="50"/>
      <c r="Z441" s="50" t="s">
        <v>3406</v>
      </c>
      <c r="AA441" s="50"/>
    </row>
    <row r="442" spans="1:27" ht="25.5" customHeight="1">
      <c r="A442" s="517" t="s">
        <v>776</v>
      </c>
      <c r="B442" s="51" t="s">
        <v>1011</v>
      </c>
      <c r="C442" s="51" t="s">
        <v>143</v>
      </c>
      <c r="D442" s="51" t="s">
        <v>3987</v>
      </c>
      <c r="E442" s="50">
        <v>2289</v>
      </c>
      <c r="F442" s="50">
        <v>1736</v>
      </c>
      <c r="G442" s="50" t="s">
        <v>3404</v>
      </c>
      <c r="H442" s="50">
        <v>2025</v>
      </c>
      <c r="I442" s="132">
        <v>45911</v>
      </c>
      <c r="J442" s="50" t="s">
        <v>3988</v>
      </c>
      <c r="K442" s="50" t="s">
        <v>388</v>
      </c>
      <c r="L442" s="50" t="s">
        <v>1838</v>
      </c>
      <c r="M442" s="50" t="s">
        <v>1982</v>
      </c>
      <c r="N442" s="50" t="s">
        <v>3989</v>
      </c>
      <c r="O442" s="60">
        <v>45915</v>
      </c>
      <c r="P442" s="60">
        <v>45917</v>
      </c>
      <c r="Q442" s="60">
        <v>45917</v>
      </c>
      <c r="R442" s="60">
        <v>45918</v>
      </c>
      <c r="S442" s="50">
        <f t="shared" si="40"/>
        <v>2</v>
      </c>
      <c r="T442" s="50">
        <f>IF(
    OR(ISBLANK(P442), ISBLANK(Q442)),
    "",
    MAX(1, IF(
        NETWORKDAYS(P442, Q442) &lt;= 0,
        1,
        NETWORKDAYS(P442, Q442) - IF(P442 = Q442, 0, 1)
    ))
)</f>
        <v>1</v>
      </c>
      <c r="U442" s="50">
        <f t="shared" si="44"/>
        <v>1</v>
      </c>
      <c r="V442" s="50">
        <f t="shared" si="43"/>
        <v>1</v>
      </c>
      <c r="W442" s="50" t="s">
        <v>150</v>
      </c>
      <c r="X442" s="50" t="s">
        <v>3527</v>
      </c>
      <c r="Y442" s="50" t="s">
        <v>3528</v>
      </c>
      <c r="Z442" s="50" t="s">
        <v>3406</v>
      </c>
      <c r="AA442" s="50"/>
    </row>
    <row r="443" spans="1:27" ht="25.5" customHeight="1">
      <c r="A443" s="517" t="s">
        <v>776</v>
      </c>
      <c r="B443" s="51" t="s">
        <v>1011</v>
      </c>
      <c r="C443" s="51" t="s">
        <v>143</v>
      </c>
      <c r="D443" s="51" t="s">
        <v>1881</v>
      </c>
      <c r="E443" s="50">
        <v>3573</v>
      </c>
      <c r="F443" s="50">
        <v>3863</v>
      </c>
      <c r="G443" s="50" t="s">
        <v>3404</v>
      </c>
      <c r="H443" s="50">
        <v>2025</v>
      </c>
      <c r="I443" s="132">
        <v>45911</v>
      </c>
      <c r="J443" s="50" t="s">
        <v>3127</v>
      </c>
      <c r="K443" s="50" t="s">
        <v>388</v>
      </c>
      <c r="L443" s="50" t="s">
        <v>1838</v>
      </c>
      <c r="M443" s="50" t="s">
        <v>1982</v>
      </c>
      <c r="N443" s="50" t="s">
        <v>3990</v>
      </c>
      <c r="O443" s="60">
        <v>45916</v>
      </c>
      <c r="P443" s="60">
        <v>45917</v>
      </c>
      <c r="Q443" s="60">
        <v>45917</v>
      </c>
      <c r="R443" s="60">
        <v>45918</v>
      </c>
      <c r="S443" s="50">
        <f t="shared" si="40"/>
        <v>3</v>
      </c>
      <c r="T443" s="50">
        <f>IF(
    OR(ISBLANK(P443), ISBLANK(Q443)),
    "",
    MAX(1, IF(
        NETWORKDAYS(P443, Q443) &lt;= 0,
        1,
        NETWORKDAYS(P443, Q443) - IF(P443 = Q443, 0, 1)
    ))
)</f>
        <v>1</v>
      </c>
      <c r="U443" s="50">
        <f t="shared" si="44"/>
        <v>1</v>
      </c>
      <c r="V443" s="50">
        <f t="shared" si="43"/>
        <v>1</v>
      </c>
      <c r="W443" s="50" t="s">
        <v>150</v>
      </c>
      <c r="X443" s="50" t="s">
        <v>3527</v>
      </c>
      <c r="Y443" s="50" t="s">
        <v>3528</v>
      </c>
      <c r="Z443" s="50" t="s">
        <v>3406</v>
      </c>
      <c r="AA443" s="50"/>
    </row>
    <row r="444" spans="1:27" ht="25.5" customHeight="1">
      <c r="A444" s="517" t="s">
        <v>776</v>
      </c>
      <c r="B444" s="51" t="s">
        <v>1011</v>
      </c>
      <c r="C444" s="51" t="s">
        <v>143</v>
      </c>
      <c r="D444" s="51" t="s">
        <v>3991</v>
      </c>
      <c r="E444" s="50">
        <v>7830</v>
      </c>
      <c r="F444" s="50">
        <v>8841</v>
      </c>
      <c r="G444" s="50" t="s">
        <v>3404</v>
      </c>
      <c r="H444" s="50">
        <v>2025</v>
      </c>
      <c r="I444" s="132">
        <v>45916</v>
      </c>
      <c r="J444" s="50" t="s">
        <v>3127</v>
      </c>
      <c r="K444" s="50" t="s">
        <v>388</v>
      </c>
      <c r="L444" s="50" t="s">
        <v>1838</v>
      </c>
      <c r="M444" s="50" t="s">
        <v>1982</v>
      </c>
      <c r="N444" s="50" t="s">
        <v>3992</v>
      </c>
      <c r="O444" s="60">
        <v>45916</v>
      </c>
      <c r="P444" s="60">
        <v>45916</v>
      </c>
      <c r="Q444" s="60">
        <v>45917</v>
      </c>
      <c r="R444" s="60">
        <v>45918</v>
      </c>
      <c r="S444" s="50">
        <f t="shared" si="40"/>
        <v>1</v>
      </c>
      <c r="T444" s="50">
        <f>IF(
    OR(ISBLANK(P444), ISBLANK(Q444)),
    "",
    MAX(1, IF(
        NETWORKDAYS(P444, Q444) &lt;= 0,
        1,
        NETWORKDAYS(P444, Q444) - IF(P444 = Q444, 0, 1)
    ))
)</f>
        <v>1</v>
      </c>
      <c r="U444" s="50">
        <f t="shared" si="44"/>
        <v>1</v>
      </c>
      <c r="V444" s="50">
        <f t="shared" si="43"/>
        <v>1</v>
      </c>
      <c r="W444" s="50" t="s">
        <v>150</v>
      </c>
      <c r="X444" s="50" t="s">
        <v>4</v>
      </c>
      <c r="Y444" s="50" t="s">
        <v>50</v>
      </c>
      <c r="Z444" s="50" t="s">
        <v>3406</v>
      </c>
      <c r="AA444" s="50"/>
    </row>
    <row r="445" spans="1:27" ht="25.5" customHeight="1">
      <c r="A445" s="517" t="s">
        <v>776</v>
      </c>
      <c r="B445" s="51" t="s">
        <v>1011</v>
      </c>
      <c r="C445" s="51" t="s">
        <v>143</v>
      </c>
      <c r="D445" s="51" t="s">
        <v>1012</v>
      </c>
      <c r="E445" s="50">
        <v>31663</v>
      </c>
      <c r="F445" s="50">
        <v>40700</v>
      </c>
      <c r="G445" s="50" t="s">
        <v>3404</v>
      </c>
      <c r="H445" s="50">
        <v>2025</v>
      </c>
      <c r="I445" s="132">
        <v>45911</v>
      </c>
      <c r="J445" s="50" t="s">
        <v>3988</v>
      </c>
      <c r="K445" s="50" t="s">
        <v>388</v>
      </c>
      <c r="L445" s="50" t="s">
        <v>1838</v>
      </c>
      <c r="M445" s="50" t="s">
        <v>1982</v>
      </c>
      <c r="N445" s="50" t="s">
        <v>3993</v>
      </c>
      <c r="O445" s="60">
        <v>45916</v>
      </c>
      <c r="P445" s="60">
        <v>45917</v>
      </c>
      <c r="Q445" s="60">
        <v>45917</v>
      </c>
      <c r="R445" s="60">
        <v>45918</v>
      </c>
      <c r="S445" s="50">
        <f t="shared" si="40"/>
        <v>3</v>
      </c>
      <c r="T445" s="50">
        <f>IF(
    OR(ISBLANK(P445), ISBLANK(Q445)),
    "",
    MAX(1, IF(
        NETWORKDAYS(P445, Q445) &lt;= 0,
        1,
        NETWORKDAYS(P445, Q445) - IF(P445 = Q445, 0, 1)
    ))
)</f>
        <v>1</v>
      </c>
      <c r="U445" s="50">
        <f t="shared" si="44"/>
        <v>1</v>
      </c>
      <c r="V445" s="50">
        <f t="shared" si="43"/>
        <v>1</v>
      </c>
      <c r="W445" s="50" t="s">
        <v>150</v>
      </c>
      <c r="X445" s="50" t="s">
        <v>4</v>
      </c>
      <c r="Y445" s="50" t="s">
        <v>57</v>
      </c>
      <c r="Z445" s="50" t="s">
        <v>3406</v>
      </c>
      <c r="AA445" s="50"/>
    </row>
    <row r="446" spans="1:27" ht="25.5" customHeight="1">
      <c r="A446" s="517" t="s">
        <v>776</v>
      </c>
      <c r="B446" s="51" t="s">
        <v>1011</v>
      </c>
      <c r="C446" s="51" t="s">
        <v>143</v>
      </c>
      <c r="D446" s="51" t="s">
        <v>3994</v>
      </c>
      <c r="E446" s="50">
        <v>1199</v>
      </c>
      <c r="F446" s="50">
        <v>1566</v>
      </c>
      <c r="G446" s="50" t="s">
        <v>3404</v>
      </c>
      <c r="H446" s="50">
        <v>2025</v>
      </c>
      <c r="I446" s="132">
        <v>45911</v>
      </c>
      <c r="J446" s="50" t="s">
        <v>3988</v>
      </c>
      <c r="K446" s="50" t="s">
        <v>388</v>
      </c>
      <c r="L446" s="50" t="s">
        <v>1838</v>
      </c>
      <c r="M446" s="50" t="s">
        <v>1982</v>
      </c>
      <c r="N446" s="50" t="s">
        <v>3995</v>
      </c>
      <c r="O446" s="60">
        <v>45915</v>
      </c>
      <c r="P446" s="60">
        <v>45917</v>
      </c>
      <c r="Q446" s="60">
        <v>45917</v>
      </c>
      <c r="R446" s="60">
        <v>45918</v>
      </c>
      <c r="S446" s="50">
        <f t="shared" si="40"/>
        <v>2</v>
      </c>
      <c r="T446" s="50">
        <f>IF(
    OR(ISBLANK(P446), ISBLANK(Q446)),
    "",
    MAX(1, IF(
        NETWORKDAYS(P446, Q446) &lt;= 0,
        1,
        NETWORKDAYS(P446, Q446) - IF(P446 = Q446, 0, 1)
    ))
)</f>
        <v>1</v>
      </c>
      <c r="U446" s="50">
        <f t="shared" si="44"/>
        <v>1</v>
      </c>
      <c r="V446" s="50">
        <f t="shared" si="43"/>
        <v>1</v>
      </c>
      <c r="W446" s="50" t="s">
        <v>150</v>
      </c>
      <c r="X446" s="50" t="s">
        <v>4</v>
      </c>
      <c r="Y446" s="50" t="s">
        <v>50</v>
      </c>
      <c r="Z446" s="50" t="s">
        <v>3406</v>
      </c>
      <c r="AA446" s="50"/>
    </row>
    <row r="447" spans="1:27" ht="25.5" customHeight="1">
      <c r="A447" s="517" t="s">
        <v>776</v>
      </c>
      <c r="B447" s="51" t="s">
        <v>1011</v>
      </c>
      <c r="C447" s="51" t="s">
        <v>143</v>
      </c>
      <c r="D447" s="51" t="s">
        <v>3996</v>
      </c>
      <c r="E447" s="50">
        <v>3496</v>
      </c>
      <c r="F447" s="50">
        <v>3406</v>
      </c>
      <c r="G447" s="50" t="s">
        <v>3404</v>
      </c>
      <c r="H447" s="50">
        <v>2025</v>
      </c>
      <c r="I447" s="132">
        <v>45883</v>
      </c>
      <c r="J447" s="50" t="s">
        <v>3126</v>
      </c>
      <c r="K447" s="50" t="s">
        <v>388</v>
      </c>
      <c r="L447" s="50"/>
      <c r="M447" s="50" t="s">
        <v>1982</v>
      </c>
      <c r="N447" s="50" t="s">
        <v>3997</v>
      </c>
      <c r="O447" s="60">
        <v>45885</v>
      </c>
      <c r="P447" s="50"/>
      <c r="Q447" s="60">
        <v>45888</v>
      </c>
      <c r="R447" s="60">
        <v>45888</v>
      </c>
      <c r="S447" s="50">
        <f t="shared" si="40"/>
        <v>1</v>
      </c>
      <c r="T447" s="50" t="str">
        <f>IF(
    OR(ISBLANK(O447), ISBLANK(P447)),
    "",
    MAX(1, IF(
        NETWORKDAYS(O447, P447) &lt;= 0,
        1,
        NETWORKDAYS(O447:P447, Q447) - IF(P447 = Q447, 0, 1)
    ))
)</f>
        <v/>
      </c>
      <c r="U447" s="50">
        <f>IF(
    OR(ISBLANK(O447), ISBLANK(Q447)),
    "",
    MAX(1, IF(
        NETWORKDAYS(O447, Q447) &lt;= 0,
        1,
        NETWORKDAYS(O447, Q447) - IF(O447 = Q447, 0, 1)
    ))
)</f>
        <v>1</v>
      </c>
      <c r="V447" s="50">
        <f t="shared" si="43"/>
        <v>1</v>
      </c>
      <c r="W447" s="50" t="s">
        <v>150</v>
      </c>
      <c r="X447" s="50" t="s">
        <v>3527</v>
      </c>
      <c r="Y447" s="50" t="s">
        <v>3528</v>
      </c>
      <c r="Z447" s="50" t="s">
        <v>3406</v>
      </c>
      <c r="AA447" s="50"/>
    </row>
    <row r="448" spans="1:27" ht="25.5" customHeight="1">
      <c r="A448" s="517" t="s">
        <v>776</v>
      </c>
      <c r="B448" s="51" t="s">
        <v>1011</v>
      </c>
      <c r="C448" s="51" t="s">
        <v>143</v>
      </c>
      <c r="D448" s="51" t="s">
        <v>3998</v>
      </c>
      <c r="E448" s="50">
        <v>2072</v>
      </c>
      <c r="F448" s="50">
        <v>2113</v>
      </c>
      <c r="G448" s="50" t="s">
        <v>3404</v>
      </c>
      <c r="H448" s="50">
        <v>2025</v>
      </c>
      <c r="I448" s="132">
        <v>45819</v>
      </c>
      <c r="J448" s="50" t="s">
        <v>3689</v>
      </c>
      <c r="K448" s="50" t="s">
        <v>388</v>
      </c>
      <c r="L448" s="50"/>
      <c r="M448" s="50" t="s">
        <v>1982</v>
      </c>
      <c r="N448" s="50" t="s">
        <v>3999</v>
      </c>
      <c r="O448" s="60">
        <v>45824</v>
      </c>
      <c r="P448" s="50"/>
      <c r="Q448" s="60">
        <v>45827</v>
      </c>
      <c r="R448" s="60">
        <v>45827</v>
      </c>
      <c r="S448" s="50">
        <f t="shared" si="40"/>
        <v>3</v>
      </c>
      <c r="T448" s="50" t="str">
        <f>IF(
    OR(ISBLANK(O448), ISBLANK(P448)),
    "",
    MAX(1, IF(
        NETWORKDAYS(O448, P448) &lt;= 0,
        1,
        NETWORKDAYS(O448:P448, Q448) - IF(P448 = Q448, 0, 1)
    ))
)</f>
        <v/>
      </c>
      <c r="U448" s="50">
        <f>IF(
    OR(ISBLANK(O448), ISBLANK(Q448)),
    "",
    MAX(1, IF(
        NETWORKDAYS(O448, Q448) &lt;= 0,
        1,
        NETWORKDAYS(O448, Q448) - IF(O448 = Q448, 0, 1)
    ))
)</f>
        <v>3</v>
      </c>
      <c r="V448" s="50">
        <f t="shared" si="43"/>
        <v>1</v>
      </c>
      <c r="W448" s="50" t="s">
        <v>150</v>
      </c>
      <c r="X448" s="50" t="s">
        <v>4</v>
      </c>
      <c r="Y448" s="50" t="s">
        <v>50</v>
      </c>
      <c r="Z448" s="50" t="s">
        <v>3406</v>
      </c>
      <c r="AA448" s="50"/>
    </row>
    <row r="449" spans="1:27" ht="25.5" customHeight="1">
      <c r="A449" s="517" t="s">
        <v>776</v>
      </c>
      <c r="B449" s="51" t="s">
        <v>1011</v>
      </c>
      <c r="C449" s="51" t="s">
        <v>143</v>
      </c>
      <c r="D449" s="51" t="s">
        <v>4000</v>
      </c>
      <c r="E449" s="50">
        <v>4686</v>
      </c>
      <c r="F449" s="50">
        <v>4018</v>
      </c>
      <c r="G449" s="50" t="s">
        <v>3404</v>
      </c>
      <c r="H449" s="50">
        <v>2025</v>
      </c>
      <c r="I449" s="132">
        <v>45916</v>
      </c>
      <c r="J449" s="50" t="s">
        <v>3127</v>
      </c>
      <c r="K449" s="50" t="s">
        <v>388</v>
      </c>
      <c r="L449" s="50" t="s">
        <v>1838</v>
      </c>
      <c r="M449" s="50" t="s">
        <v>1982</v>
      </c>
      <c r="N449" s="50" t="s">
        <v>4001</v>
      </c>
      <c r="O449" s="60">
        <v>45916</v>
      </c>
      <c r="P449" s="60">
        <v>45916</v>
      </c>
      <c r="Q449" s="60">
        <v>45917</v>
      </c>
      <c r="R449" s="60">
        <v>45918</v>
      </c>
      <c r="S449" s="50">
        <f t="shared" si="40"/>
        <v>1</v>
      </c>
      <c r="T449" s="50">
        <f>IF(
    OR(ISBLANK(P449), ISBLANK(Q449)),
    "",
    MAX(1, IF(
        NETWORKDAYS(P449, Q449) &lt;= 0,
        1,
        NETWORKDAYS(P449, Q449) - IF(P449 = Q449, 0, 1)
    ))
)</f>
        <v>1</v>
      </c>
      <c r="U449" s="50">
        <f>IF(
    OR(ISBLANK(P449), ISBLANK(Q449)),
    "",
    MAX(1, IF(
        NETWORKDAYS(P449, Q449) &lt;= 0,
        1,
        NETWORKDAYS(P449, Q449) - IF(P449 = Q449, 0, 1)
    ))
)</f>
        <v>1</v>
      </c>
      <c r="V449" s="50">
        <f t="shared" si="43"/>
        <v>1</v>
      </c>
      <c r="W449" s="50" t="s">
        <v>150</v>
      </c>
      <c r="X449" s="50" t="s">
        <v>3527</v>
      </c>
      <c r="Y449" s="50" t="s">
        <v>3528</v>
      </c>
      <c r="Z449" s="50" t="s">
        <v>3406</v>
      </c>
      <c r="AA449" s="50"/>
    </row>
    <row r="450" spans="1:27" ht="25.5" customHeight="1">
      <c r="A450" s="517" t="s">
        <v>776</v>
      </c>
      <c r="B450" s="51" t="s">
        <v>1011</v>
      </c>
      <c r="C450" s="51" t="s">
        <v>143</v>
      </c>
      <c r="D450" s="51" t="s">
        <v>2265</v>
      </c>
      <c r="E450" s="50">
        <v>6796</v>
      </c>
      <c r="F450" s="50">
        <v>11129</v>
      </c>
      <c r="G450" s="50" t="s">
        <v>3404</v>
      </c>
      <c r="H450" s="50">
        <v>2025</v>
      </c>
      <c r="I450" s="132">
        <v>45821</v>
      </c>
      <c r="J450" s="50" t="s">
        <v>3689</v>
      </c>
      <c r="K450" s="50" t="s">
        <v>388</v>
      </c>
      <c r="L450" s="50"/>
      <c r="M450" s="50" t="s">
        <v>1982</v>
      </c>
      <c r="N450" s="50" t="s">
        <v>4002</v>
      </c>
      <c r="O450" s="60">
        <v>45824</v>
      </c>
      <c r="P450" s="50"/>
      <c r="Q450" s="60">
        <v>45827</v>
      </c>
      <c r="R450" s="60">
        <v>45827</v>
      </c>
      <c r="S450" s="50">
        <f t="shared" si="40"/>
        <v>1</v>
      </c>
      <c r="T450" s="50" t="str">
        <f>IF(
    OR(ISBLANK(O450), ISBLANK(P450)),
    "",
    MAX(1, IF(
        NETWORKDAYS(O450, P450) &lt;= 0,
        1,
        NETWORKDAYS(O450:P450, Q450) - IF(P450 = Q450, 0, 1)
    ))
)</f>
        <v/>
      </c>
      <c r="U450" s="50">
        <f>IF(
    OR(ISBLANK(O450), ISBLANK(Q450)),
    "",
    MAX(1, IF(
        NETWORKDAYS(O450, Q450) &lt;= 0,
        1,
        NETWORKDAYS(O450, Q450) - IF(O450 = Q450, 0, 1)
    ))
)</f>
        <v>3</v>
      </c>
      <c r="V450" s="50">
        <f t="shared" si="43"/>
        <v>1</v>
      </c>
      <c r="W450" s="50" t="s">
        <v>150</v>
      </c>
      <c r="X450" s="50" t="s">
        <v>3527</v>
      </c>
      <c r="Y450" s="50" t="s">
        <v>3528</v>
      </c>
      <c r="Z450" s="50" t="s">
        <v>3406</v>
      </c>
      <c r="AA450" s="50"/>
    </row>
    <row r="451" spans="1:27" ht="25.5" customHeight="1">
      <c r="A451" s="517" t="s">
        <v>776</v>
      </c>
      <c r="B451" s="51" t="s">
        <v>1011</v>
      </c>
      <c r="C451" s="51" t="s">
        <v>143</v>
      </c>
      <c r="D451" s="51" t="s">
        <v>1056</v>
      </c>
      <c r="E451" s="50">
        <v>405</v>
      </c>
      <c r="F451" s="50">
        <v>709</v>
      </c>
      <c r="G451" s="50" t="s">
        <v>3404</v>
      </c>
      <c r="H451" s="50">
        <v>2025</v>
      </c>
      <c r="I451" s="132">
        <v>45916</v>
      </c>
      <c r="J451" s="50" t="s">
        <v>3127</v>
      </c>
      <c r="K451" s="50" t="s">
        <v>388</v>
      </c>
      <c r="L451" s="50" t="s">
        <v>1838</v>
      </c>
      <c r="M451" s="50" t="s">
        <v>1982</v>
      </c>
      <c r="N451" s="50" t="s">
        <v>4003</v>
      </c>
      <c r="O451" s="60">
        <v>45916</v>
      </c>
      <c r="P451" s="60">
        <v>45917</v>
      </c>
      <c r="Q451" s="60">
        <v>45917</v>
      </c>
      <c r="R451" s="60">
        <v>45918</v>
      </c>
      <c r="S451" s="50">
        <f t="shared" si="40"/>
        <v>1</v>
      </c>
      <c r="T451" s="50">
        <f>IF(
    OR(ISBLANK(P451), ISBLANK(Q451)),
    "",
    MAX(1, IF(
        NETWORKDAYS(P451, Q451) &lt;= 0,
        1,
        NETWORKDAYS(P451, Q451) - IF(P451 = Q451, 0, 1)
    ))
)</f>
        <v>1</v>
      </c>
      <c r="U451" s="50">
        <f>IF(
    OR(ISBLANK(P451), ISBLANK(Q451)),
    "",
    MAX(1, IF(
        NETWORKDAYS(P451, Q451) &lt;= 0,
        1,
        NETWORKDAYS(P451, Q451) - IF(P451 = Q451, 0, 1)
    ))
)</f>
        <v>1</v>
      </c>
      <c r="V451" s="50">
        <f t="shared" si="43"/>
        <v>1</v>
      </c>
      <c r="W451" s="50" t="s">
        <v>150</v>
      </c>
      <c r="X451" s="50" t="s">
        <v>3527</v>
      </c>
      <c r="Y451" s="50" t="s">
        <v>3528</v>
      </c>
      <c r="Z451" s="50" t="s">
        <v>3406</v>
      </c>
      <c r="AA451" s="50"/>
    </row>
    <row r="452" spans="1:27" ht="25.5" customHeight="1">
      <c r="A452" s="517" t="s">
        <v>776</v>
      </c>
      <c r="B452" s="51" t="s">
        <v>1011</v>
      </c>
      <c r="C452" s="51" t="s">
        <v>143</v>
      </c>
      <c r="D452" s="51" t="s">
        <v>1083</v>
      </c>
      <c r="E452" s="50">
        <v>5551</v>
      </c>
      <c r="F452" s="50">
        <v>4813</v>
      </c>
      <c r="G452" s="50" t="s">
        <v>3404</v>
      </c>
      <c r="H452" s="50">
        <v>2025</v>
      </c>
      <c r="I452" s="132">
        <v>45883</v>
      </c>
      <c r="J452" s="50" t="s">
        <v>3126</v>
      </c>
      <c r="K452" s="50" t="s">
        <v>388</v>
      </c>
      <c r="L452" s="50"/>
      <c r="M452" s="50" t="s">
        <v>1982</v>
      </c>
      <c r="N452" s="50" t="s">
        <v>4004</v>
      </c>
      <c r="O452" s="60">
        <v>45885</v>
      </c>
      <c r="P452" s="50"/>
      <c r="Q452" s="60">
        <v>45887</v>
      </c>
      <c r="R452" s="60">
        <v>45888</v>
      </c>
      <c r="S452" s="50">
        <f t="shared" si="40"/>
        <v>1</v>
      </c>
      <c r="T452" s="50" t="str">
        <f>IF(
    OR(ISBLANK(O452), ISBLANK(P452)),
    "",
    MAX(1, IF(
        NETWORKDAYS(O452, P452) &lt;= 0,
        1,
        NETWORKDAYS(O452:P452, Q452) - IF(P452 = Q452, 0, 1)
    ))
)</f>
        <v/>
      </c>
      <c r="U452" s="50">
        <f>IF(
    OR(ISBLANK(O452), ISBLANK(Q452)),
    "",
    MAX(1, IF(
        NETWORKDAYS(O452, Q452) &lt;= 0,
        1,
        NETWORKDAYS(O452, Q452) - IF(O452 = Q452, 0, 1)
    ))
)</f>
        <v>1</v>
      </c>
      <c r="V452" s="50">
        <f t="shared" si="43"/>
        <v>1</v>
      </c>
      <c r="W452" s="50" t="s">
        <v>150</v>
      </c>
      <c r="X452" s="50" t="s">
        <v>3527</v>
      </c>
      <c r="Y452" s="50" t="s">
        <v>3528</v>
      </c>
      <c r="Z452" s="50" t="s">
        <v>3406</v>
      </c>
      <c r="AA452" s="50"/>
    </row>
    <row r="453" spans="1:27" ht="25.5" customHeight="1">
      <c r="A453" s="517" t="s">
        <v>776</v>
      </c>
      <c r="B453" s="51" t="s">
        <v>1011</v>
      </c>
      <c r="C453" s="51" t="s">
        <v>143</v>
      </c>
      <c r="D453" s="51" t="s">
        <v>4005</v>
      </c>
      <c r="E453" s="50">
        <v>7444</v>
      </c>
      <c r="F453" s="50">
        <v>8905</v>
      </c>
      <c r="G453" s="50" t="s">
        <v>3404</v>
      </c>
      <c r="H453" s="50">
        <v>2025</v>
      </c>
      <c r="I453" s="132">
        <v>45819</v>
      </c>
      <c r="J453" s="50" t="s">
        <v>3689</v>
      </c>
      <c r="K453" s="50" t="s">
        <v>388</v>
      </c>
      <c r="L453" s="50"/>
      <c r="M453" s="50" t="s">
        <v>1982</v>
      </c>
      <c r="N453" s="50" t="s">
        <v>4006</v>
      </c>
      <c r="O453" s="60">
        <v>45824</v>
      </c>
      <c r="P453" s="50"/>
      <c r="Q453" s="60">
        <v>45827</v>
      </c>
      <c r="R453" s="60">
        <v>45827</v>
      </c>
      <c r="S453" s="50">
        <f t="shared" si="40"/>
        <v>3</v>
      </c>
      <c r="T453" s="50" t="str">
        <f>IF(
    OR(ISBLANK(O453), ISBLANK(P453)),
    "",
    MAX(1, IF(
        NETWORKDAYS(O453, P453) &lt;= 0,
        1,
        NETWORKDAYS(O453:P453, Q453) - IF(P453 = Q453, 0, 1)
    ))
)</f>
        <v/>
      </c>
      <c r="U453" s="50">
        <f>IF(
    OR(ISBLANK(O453), ISBLANK(Q453)),
    "",
    MAX(1, IF(
        NETWORKDAYS(O453, Q453) &lt;= 0,
        1,
        NETWORKDAYS(O453, Q453) - IF(O453 = Q453, 0, 1)
    ))
)</f>
        <v>3</v>
      </c>
      <c r="V453" s="50">
        <f t="shared" si="43"/>
        <v>1</v>
      </c>
      <c r="W453" s="50" t="s">
        <v>150</v>
      </c>
      <c r="X453" s="50" t="s">
        <v>4</v>
      </c>
      <c r="Y453" s="50" t="s">
        <v>50</v>
      </c>
      <c r="Z453" s="50" t="s">
        <v>3406</v>
      </c>
      <c r="AA453" s="50"/>
    </row>
    <row r="454" spans="1:27" ht="25.5" customHeight="1">
      <c r="A454" s="517" t="s">
        <v>776</v>
      </c>
      <c r="B454" s="51" t="s">
        <v>1011</v>
      </c>
      <c r="C454" s="51" t="s">
        <v>143</v>
      </c>
      <c r="D454" s="51" t="s">
        <v>1790</v>
      </c>
      <c r="E454" s="50">
        <v>1408</v>
      </c>
      <c r="F454" s="50">
        <v>1871</v>
      </c>
      <c r="G454" s="50" t="s">
        <v>3404</v>
      </c>
      <c r="H454" s="50">
        <v>2025</v>
      </c>
      <c r="I454" s="132">
        <v>45821</v>
      </c>
      <c r="J454" s="50" t="s">
        <v>3689</v>
      </c>
      <c r="K454" s="50" t="s">
        <v>388</v>
      </c>
      <c r="L454" s="50"/>
      <c r="M454" s="50" t="s">
        <v>1982</v>
      </c>
      <c r="N454" s="50" t="s">
        <v>4007</v>
      </c>
      <c r="O454" s="60">
        <v>45824</v>
      </c>
      <c r="P454" s="50"/>
      <c r="Q454" s="60">
        <v>45827</v>
      </c>
      <c r="R454" s="60">
        <v>45827</v>
      </c>
      <c r="S454" s="50" t="s">
        <v>4008</v>
      </c>
      <c r="T454" s="50" t="str">
        <f>IF(
    OR(ISBLANK(P454), ISBLANK(Q454)),
    "",
    MAX(1, IF(
        NETWORKDAYS(P454, Q454) &lt;= 0,
        1,
        NETWORKDAYS(P454, Q454) - IF(P454 = Q454, 0, 1)
    ))
)</f>
        <v/>
      </c>
      <c r="U454" s="50">
        <f>IF(
    OR(ISBLANK(Q454), ISBLANK(R454)),
    "",
    MAX(1, IF(
        NETWORKDAYS(O454, Q454) &lt;= 0,
        1,
        NETWORKDAYS(O454, Q454) - IF(O454 = Q454, 0, 1)
    ))
)</f>
        <v>3</v>
      </c>
      <c r="V454" s="50">
        <f t="shared" si="43"/>
        <v>1</v>
      </c>
      <c r="W454" s="50" t="s">
        <v>150</v>
      </c>
      <c r="X454" s="50" t="s">
        <v>4</v>
      </c>
      <c r="Y454" s="50" t="s">
        <v>57</v>
      </c>
      <c r="Z454" s="50" t="s">
        <v>3406</v>
      </c>
      <c r="AA454" s="50"/>
    </row>
    <row r="455" spans="1:27" ht="25.5" customHeight="1">
      <c r="A455" s="517" t="s">
        <v>776</v>
      </c>
      <c r="B455" s="51" t="s">
        <v>1011</v>
      </c>
      <c r="C455" s="51" t="s">
        <v>143</v>
      </c>
      <c r="D455" s="51" t="s">
        <v>4009</v>
      </c>
      <c r="E455" s="50">
        <v>16507</v>
      </c>
      <c r="F455" s="50">
        <v>14437</v>
      </c>
      <c r="G455" s="50" t="s">
        <v>3404</v>
      </c>
      <c r="H455" s="50">
        <v>2025</v>
      </c>
      <c r="I455" s="132">
        <v>45821</v>
      </c>
      <c r="J455" s="50" t="s">
        <v>3689</v>
      </c>
      <c r="K455" s="50" t="s">
        <v>508</v>
      </c>
      <c r="L455" s="50"/>
      <c r="M455" s="50" t="s">
        <v>1982</v>
      </c>
      <c r="N455" s="50" t="s">
        <v>4010</v>
      </c>
      <c r="O455" s="60">
        <v>45825</v>
      </c>
      <c r="P455" s="60"/>
      <c r="Q455" s="60">
        <v>45827</v>
      </c>
      <c r="R455" s="60">
        <v>45827</v>
      </c>
      <c r="S455" s="50">
        <f t="shared" ref="S455:S518" si="45">IF(
    OR(ISBLANK(I455), ISBLANK(O455)),
    "",
    MAX(1, IF(
        NETWORKDAYS(I455, O455) &lt;= 0,
        1,
        NETWORKDAYS(I455, O455) - IF(I455 = O455, 0, 1)
    ))
)</f>
        <v>2</v>
      </c>
      <c r="T455" s="50" t="str">
        <f>IF(
    OR(ISBLANK(O455), ISBLANK(P455)),
    "",
    MAX(1, IF(
        NETWORKDAYS(O455, P455) &lt;= 0,
        1,
        NETWORKDAYS(O455:P455, Q455) - IF(P455 = Q455, 0, 1)
    ))
)</f>
        <v/>
      </c>
      <c r="U455" s="50">
        <f>IF(
    OR(ISBLANK(O455), ISBLANK(Q455)),
    "",
    MAX(1, IF(
        NETWORKDAYS(O455, Q455) &lt;= 0,
        1,
        NETWORKDAYS(O455, Q455) - IF(O455 = Q455, 0, 1)
    ))
)</f>
        <v>2</v>
      </c>
      <c r="V455" s="50">
        <f t="shared" si="43"/>
        <v>1</v>
      </c>
      <c r="W455" s="50" t="s">
        <v>150</v>
      </c>
      <c r="X455" s="50" t="s">
        <v>3527</v>
      </c>
      <c r="Y455" s="50" t="s">
        <v>3528</v>
      </c>
      <c r="Z455" s="50" t="s">
        <v>3406</v>
      </c>
      <c r="AA455" s="50"/>
    </row>
    <row r="456" spans="1:27" ht="25.5" customHeight="1">
      <c r="A456" s="517" t="s">
        <v>776</v>
      </c>
      <c r="B456" s="51" t="s">
        <v>1011</v>
      </c>
      <c r="C456" s="51" t="s">
        <v>143</v>
      </c>
      <c r="D456" s="51" t="s">
        <v>3946</v>
      </c>
      <c r="E456" s="50">
        <v>2572</v>
      </c>
      <c r="F456" s="50">
        <v>2793</v>
      </c>
      <c r="G456" s="50" t="s">
        <v>3404</v>
      </c>
      <c r="H456" s="50">
        <v>2025</v>
      </c>
      <c r="I456" s="132">
        <v>45916</v>
      </c>
      <c r="J456" s="60" t="s">
        <v>3127</v>
      </c>
      <c r="K456" s="50" t="s">
        <v>388</v>
      </c>
      <c r="L456" s="50" t="s">
        <v>1838</v>
      </c>
      <c r="M456" s="50" t="s">
        <v>1982</v>
      </c>
      <c r="N456" s="50" t="s">
        <v>4011</v>
      </c>
      <c r="O456" s="60">
        <v>45916</v>
      </c>
      <c r="P456" s="60">
        <v>45917</v>
      </c>
      <c r="Q456" s="60">
        <v>45917</v>
      </c>
      <c r="R456" s="60">
        <v>45918</v>
      </c>
      <c r="S456" s="50">
        <f t="shared" si="45"/>
        <v>1</v>
      </c>
      <c r="T456" s="50">
        <f>IF(
    OR(ISBLANK(P456), ISBLANK(Q456)),
    "",
    MAX(1, IF(
        NETWORKDAYS(P456, Q456) &lt;= 0,
        1,
        NETWORKDAYS(P456, Q456) - IF(P456 = Q456, 0, 1)
    ))
)</f>
        <v>1</v>
      </c>
      <c r="U456" s="50">
        <f>IF(
    OR(ISBLANK(P456), ISBLANK(Q456)),
    "",
    MAX(1, IF(
        NETWORKDAYS(P456, Q456) &lt;= 0,
        1,
        NETWORKDAYS(P456, Q456) - IF(P456 = Q456, 0, 1)
    ))
)</f>
        <v>1</v>
      </c>
      <c r="V456" s="50">
        <f t="shared" si="43"/>
        <v>1</v>
      </c>
      <c r="W456" s="50" t="s">
        <v>150</v>
      </c>
      <c r="X456" s="50" t="s">
        <v>3527</v>
      </c>
      <c r="Y456" s="50" t="s">
        <v>3528</v>
      </c>
      <c r="Z456" s="50" t="s">
        <v>3406</v>
      </c>
      <c r="AA456" s="50"/>
    </row>
    <row r="457" spans="1:27" ht="25.5" customHeight="1">
      <c r="A457" s="517" t="s">
        <v>776</v>
      </c>
      <c r="B457" s="51" t="s">
        <v>1011</v>
      </c>
      <c r="C457" s="51" t="s">
        <v>143</v>
      </c>
      <c r="D457" s="51" t="s">
        <v>4012</v>
      </c>
      <c r="E457" s="50">
        <v>5558</v>
      </c>
      <c r="F457" s="50">
        <v>7323</v>
      </c>
      <c r="G457" s="50" t="s">
        <v>3404</v>
      </c>
      <c r="H457" s="50">
        <v>2025</v>
      </c>
      <c r="I457" s="132">
        <v>45911</v>
      </c>
      <c r="J457" s="50" t="s">
        <v>3988</v>
      </c>
      <c r="K457" s="50" t="s">
        <v>388</v>
      </c>
      <c r="L457" s="50" t="s">
        <v>1838</v>
      </c>
      <c r="M457" s="50" t="s">
        <v>1982</v>
      </c>
      <c r="N457" s="50" t="s">
        <v>4013</v>
      </c>
      <c r="O457" s="60">
        <v>45915</v>
      </c>
      <c r="P457" s="60">
        <v>45917</v>
      </c>
      <c r="Q457" s="60">
        <v>45917</v>
      </c>
      <c r="R457" s="60">
        <v>45918</v>
      </c>
      <c r="S457" s="50">
        <f t="shared" si="45"/>
        <v>2</v>
      </c>
      <c r="T457" s="50">
        <f>IF(
    OR(ISBLANK(P457), ISBLANK(Q457)),
    "",
    MAX(1, IF(
        NETWORKDAYS(P457, Q457) &lt;= 0,
        1,
        NETWORKDAYS(P457, Q457) - IF(P457 = Q457, 0, 1)
    ))
)</f>
        <v>1</v>
      </c>
      <c r="U457" s="50">
        <f>IF(
    OR(ISBLANK(P457), ISBLANK(Q457)),
    "",
    MAX(1, IF(
        NETWORKDAYS(P457, Q457) &lt;= 0,
        1,
        NETWORKDAYS(P457, Q457) - IF(P457 = Q457, 0, 1)
    ))
)</f>
        <v>1</v>
      </c>
      <c r="V457" s="50">
        <f t="shared" si="43"/>
        <v>1</v>
      </c>
      <c r="W457" s="50" t="s">
        <v>150</v>
      </c>
      <c r="X457" s="50" t="s">
        <v>3527</v>
      </c>
      <c r="Y457" s="50" t="s">
        <v>3528</v>
      </c>
      <c r="Z457" s="50" t="s">
        <v>3406</v>
      </c>
      <c r="AA457" s="50"/>
    </row>
    <row r="458" spans="1:27" ht="25.5" customHeight="1">
      <c r="A458" s="517" t="s">
        <v>776</v>
      </c>
      <c r="B458" s="51" t="s">
        <v>1011</v>
      </c>
      <c r="C458" s="51" t="s">
        <v>143</v>
      </c>
      <c r="D458" s="51" t="s">
        <v>4014</v>
      </c>
      <c r="E458" s="50">
        <v>8681</v>
      </c>
      <c r="F458" s="50">
        <v>9082</v>
      </c>
      <c r="G458" s="50" t="s">
        <v>3404</v>
      </c>
      <c r="H458" s="50">
        <v>2025</v>
      </c>
      <c r="I458" s="132">
        <v>45883</v>
      </c>
      <c r="J458" s="50" t="s">
        <v>3126</v>
      </c>
      <c r="K458" s="50" t="s">
        <v>388</v>
      </c>
      <c r="L458" s="50"/>
      <c r="M458" s="50" t="s">
        <v>1982</v>
      </c>
      <c r="N458" s="50" t="s">
        <v>4015</v>
      </c>
      <c r="O458" s="60">
        <v>45885</v>
      </c>
      <c r="P458" s="50"/>
      <c r="Q458" s="60">
        <v>45887</v>
      </c>
      <c r="R458" s="60">
        <v>45888</v>
      </c>
      <c r="S458" s="50">
        <f t="shared" si="45"/>
        <v>1</v>
      </c>
      <c r="T458" s="50" t="str">
        <f>IF(
    OR(ISBLANK(O458), ISBLANK(P458)),
    "",
    MAX(1, IF(
        NETWORKDAYS(O458, P458) &lt;= 0,
        1,
        NETWORKDAYS(O458:P458, Q458) - IF(P458 = Q458, 0, 1)
    ))
)</f>
        <v/>
      </c>
      <c r="U458" s="50">
        <f>IF(
    OR(ISBLANK(O458), ISBLANK(Q458)),
    "",
    MAX(1, IF(
        NETWORKDAYS(O458, Q458) &lt;= 0,
        1,
        NETWORKDAYS(O458, Q458) - IF(O458 = Q458, 0, 1)
    ))
)</f>
        <v>1</v>
      </c>
      <c r="V458" s="50">
        <f t="shared" si="43"/>
        <v>1</v>
      </c>
      <c r="W458" s="50" t="s">
        <v>150</v>
      </c>
      <c r="X458" s="50" t="s">
        <v>3527</v>
      </c>
      <c r="Y458" s="50" t="s">
        <v>3528</v>
      </c>
      <c r="Z458" s="50" t="s">
        <v>3406</v>
      </c>
      <c r="AA458" s="50"/>
    </row>
    <row r="459" spans="1:27" ht="25.5" customHeight="1">
      <c r="A459" s="517" t="s">
        <v>776</v>
      </c>
      <c r="B459" s="51" t="s">
        <v>1011</v>
      </c>
      <c r="C459" s="51" t="s">
        <v>143</v>
      </c>
      <c r="D459" s="51" t="s">
        <v>4016</v>
      </c>
      <c r="E459" s="50">
        <v>6058</v>
      </c>
      <c r="F459" s="50">
        <v>11864</v>
      </c>
      <c r="G459" s="50" t="s">
        <v>3404</v>
      </c>
      <c r="H459" s="50">
        <v>2025</v>
      </c>
      <c r="I459" s="132">
        <v>45911</v>
      </c>
      <c r="J459" s="50" t="s">
        <v>3988</v>
      </c>
      <c r="K459" s="50" t="s">
        <v>388</v>
      </c>
      <c r="L459" s="50" t="s">
        <v>1838</v>
      </c>
      <c r="M459" s="50" t="s">
        <v>1982</v>
      </c>
      <c r="N459" s="50" t="s">
        <v>4017</v>
      </c>
      <c r="O459" s="60">
        <v>45915</v>
      </c>
      <c r="P459" s="60">
        <v>45917</v>
      </c>
      <c r="Q459" s="60">
        <v>45917</v>
      </c>
      <c r="R459" s="60">
        <v>45917</v>
      </c>
      <c r="S459" s="50">
        <f t="shared" si="45"/>
        <v>2</v>
      </c>
      <c r="T459" s="50">
        <f>IF(
    OR(ISBLANK(P459), ISBLANK(Q459)),
    "",
    MAX(1, IF(
        NETWORKDAYS(P459, Q459) &lt;= 0,
        1,
        NETWORKDAYS(P459, Q459) - IF(P459 = Q459, 0, 1)
    ))
)</f>
        <v>1</v>
      </c>
      <c r="U459" s="50">
        <f>IF(
    OR(ISBLANK(P459), ISBLANK(Q459)),
    "",
    MAX(1, IF(
        NETWORKDAYS(P459, Q459) &lt;= 0,
        1,
        NETWORKDAYS(P459, Q459) - IF(P459 = Q459, 0, 1)
    ))
)</f>
        <v>1</v>
      </c>
      <c r="V459" s="50">
        <f t="shared" si="43"/>
        <v>1</v>
      </c>
      <c r="W459" s="50" t="s">
        <v>150</v>
      </c>
      <c r="X459" s="50" t="s">
        <v>1078</v>
      </c>
      <c r="Y459" s="50" t="s">
        <v>50</v>
      </c>
      <c r="Z459" s="50" t="s">
        <v>3406</v>
      </c>
      <c r="AA459" s="50"/>
    </row>
    <row r="460" spans="1:27" s="110" customFormat="1" ht="25.5" customHeight="1">
      <c r="A460" s="517" t="s">
        <v>776</v>
      </c>
      <c r="B460" s="51" t="s">
        <v>1011</v>
      </c>
      <c r="C460" s="51" t="s">
        <v>143</v>
      </c>
      <c r="D460" s="51" t="s">
        <v>4018</v>
      </c>
      <c r="E460" s="50">
        <v>1887</v>
      </c>
      <c r="F460" s="50">
        <v>2243</v>
      </c>
      <c r="G460" s="50" t="s">
        <v>3404</v>
      </c>
      <c r="H460" s="50">
        <v>2025</v>
      </c>
      <c r="I460" s="132">
        <v>45883</v>
      </c>
      <c r="J460" s="50" t="s">
        <v>3126</v>
      </c>
      <c r="K460" s="50" t="s">
        <v>388</v>
      </c>
      <c r="L460" s="50"/>
      <c r="M460" s="50" t="s">
        <v>1982</v>
      </c>
      <c r="N460" s="50" t="s">
        <v>4019</v>
      </c>
      <c r="O460" s="60">
        <v>45885</v>
      </c>
      <c r="P460" s="50"/>
      <c r="Q460" s="60">
        <v>45887</v>
      </c>
      <c r="R460" s="60">
        <v>45888</v>
      </c>
      <c r="S460" s="50">
        <f t="shared" si="45"/>
        <v>1</v>
      </c>
      <c r="T460" s="50" t="str">
        <f>IF(
    OR(ISBLANK(O460), ISBLANK(P460)),
    "",
    MAX(1, IF(
        NETWORKDAYS(O460, P460) &lt;= 0,
        1,
        NETWORKDAYS(O460:P460, Q460) - IF(P460 = Q460, 0, 1)
    ))
)</f>
        <v/>
      </c>
      <c r="U460" s="50">
        <f>IF(
    OR(ISBLANK(O460), ISBLANK(Q460)),
    "",
    MAX(1, IF(
        NETWORKDAYS(O460, Q460) &lt;= 0,
        1,
        NETWORKDAYS(O460, Q460) - IF(O460 = Q460, 0, 1)
    ))
)</f>
        <v>1</v>
      </c>
      <c r="V460" s="50">
        <f t="shared" si="43"/>
        <v>1</v>
      </c>
      <c r="W460" s="50" t="s">
        <v>150</v>
      </c>
      <c r="X460" s="50" t="s">
        <v>3527</v>
      </c>
      <c r="Y460" s="50" t="s">
        <v>3528</v>
      </c>
      <c r="Z460" s="50" t="s">
        <v>3406</v>
      </c>
      <c r="AA460" s="50"/>
    </row>
    <row r="461" spans="1:27" ht="25.5" customHeight="1">
      <c r="A461" s="50" t="s">
        <v>776</v>
      </c>
      <c r="B461" s="51" t="s">
        <v>1017</v>
      </c>
      <c r="C461" s="51" t="s">
        <v>143</v>
      </c>
      <c r="D461" s="51" t="s">
        <v>1881</v>
      </c>
      <c r="E461" s="50">
        <v>3701</v>
      </c>
      <c r="F461" s="50">
        <v>4297</v>
      </c>
      <c r="G461" s="50" t="s">
        <v>3404</v>
      </c>
      <c r="H461" s="50">
        <v>2024</v>
      </c>
      <c r="I461" s="132">
        <v>45505</v>
      </c>
      <c r="J461" s="50"/>
      <c r="K461" s="50"/>
      <c r="L461" s="50" t="s">
        <v>328</v>
      </c>
      <c r="M461" s="50" t="s">
        <v>1982</v>
      </c>
      <c r="N461" s="50"/>
      <c r="O461" s="50"/>
      <c r="P461" s="50"/>
      <c r="Q461" s="50"/>
      <c r="R461" s="50"/>
      <c r="S461" s="50" t="str">
        <f t="shared" si="45"/>
        <v/>
      </c>
      <c r="T461" s="50" t="str">
        <f t="shared" ref="T461:T474" si="46">IF(
    OR(ISBLANK(O461), ISBLANK(P461)),
    "",
    MAX(1, IF(
        NETWORKDAYS(O461, P461) &lt;= 0,
        1,
        NETWORKDAYS(O461, P461) - IF(O461 = P461, 0, 1)
    ))
)</f>
        <v/>
      </c>
      <c r="U461" s="50" t="str">
        <f t="shared" ref="U461:U474" si="47">IF(
    OR(ISBLANK(P461), ISBLANK(Q461)),
    "",
    MAX(1, IF(
        NETWORKDAYS(P461, Q461) &lt;= 0,
        1,
        NETWORKDAYS(P461, Q461) - IF(P461 = Q461, 0, 1)
    ))
)</f>
        <v/>
      </c>
      <c r="V461" s="50" t="str">
        <f t="shared" si="43"/>
        <v/>
      </c>
      <c r="W461" s="50"/>
      <c r="X461" s="50" t="s">
        <v>1078</v>
      </c>
      <c r="Y461" s="50"/>
      <c r="Z461" s="50" t="s">
        <v>3406</v>
      </c>
      <c r="AA461" s="50"/>
    </row>
    <row r="462" spans="1:27" ht="25.5" customHeight="1">
      <c r="A462" s="50" t="s">
        <v>776</v>
      </c>
      <c r="B462" s="51" t="s">
        <v>1017</v>
      </c>
      <c r="C462" s="51" t="s">
        <v>143</v>
      </c>
      <c r="D462" s="51" t="s">
        <v>4020</v>
      </c>
      <c r="E462" s="50">
        <v>3357</v>
      </c>
      <c r="F462" s="50">
        <v>3738</v>
      </c>
      <c r="G462" s="50" t="s">
        <v>3404</v>
      </c>
      <c r="H462" s="50">
        <v>2024</v>
      </c>
      <c r="I462" s="132">
        <v>45426</v>
      </c>
      <c r="J462" s="50"/>
      <c r="K462" s="50"/>
      <c r="L462" s="50" t="s">
        <v>328</v>
      </c>
      <c r="M462" s="50" t="s">
        <v>1982</v>
      </c>
      <c r="N462" s="50"/>
      <c r="O462" s="50"/>
      <c r="P462" s="50"/>
      <c r="Q462" s="50"/>
      <c r="R462" s="50"/>
      <c r="S462" s="50" t="str">
        <f t="shared" si="45"/>
        <v/>
      </c>
      <c r="T462" s="50" t="str">
        <f t="shared" si="46"/>
        <v/>
      </c>
      <c r="U462" s="50" t="str">
        <f t="shared" si="47"/>
        <v/>
      </c>
      <c r="V462" s="50" t="str">
        <f t="shared" si="43"/>
        <v/>
      </c>
      <c r="W462" s="50"/>
      <c r="X462" s="50"/>
      <c r="Y462" s="50"/>
      <c r="Z462" s="50" t="s">
        <v>3406</v>
      </c>
      <c r="AA462" s="50"/>
    </row>
    <row r="463" spans="1:27" ht="25.5" customHeight="1">
      <c r="A463" s="521" t="s">
        <v>776</v>
      </c>
      <c r="B463" s="51" t="s">
        <v>1017</v>
      </c>
      <c r="C463" s="51" t="s">
        <v>143</v>
      </c>
      <c r="D463" s="51" t="s">
        <v>3991</v>
      </c>
      <c r="E463" s="50">
        <v>13604</v>
      </c>
      <c r="F463" s="50">
        <v>14257</v>
      </c>
      <c r="G463" s="50" t="s">
        <v>3404</v>
      </c>
      <c r="H463" s="50">
        <v>2024</v>
      </c>
      <c r="I463" s="132">
        <v>45505</v>
      </c>
      <c r="J463" s="50"/>
      <c r="K463" s="50"/>
      <c r="L463" s="50" t="s">
        <v>328</v>
      </c>
      <c r="M463" s="50" t="s">
        <v>1982</v>
      </c>
      <c r="N463" s="50"/>
      <c r="O463" s="50"/>
      <c r="P463" s="50"/>
      <c r="Q463" s="50"/>
      <c r="R463" s="50"/>
      <c r="S463" s="50" t="str">
        <f t="shared" si="45"/>
        <v/>
      </c>
      <c r="T463" s="50" t="str">
        <f t="shared" si="46"/>
        <v/>
      </c>
      <c r="U463" s="50" t="str">
        <f t="shared" si="47"/>
        <v/>
      </c>
      <c r="V463" s="50" t="str">
        <f t="shared" si="43"/>
        <v/>
      </c>
      <c r="W463" s="50"/>
      <c r="X463" s="50" t="s">
        <v>1078</v>
      </c>
      <c r="Y463" s="50"/>
      <c r="Z463" s="50" t="s">
        <v>3406</v>
      </c>
      <c r="AA463" s="50"/>
    </row>
    <row r="464" spans="1:27" ht="25.5" customHeight="1">
      <c r="A464" s="50" t="s">
        <v>776</v>
      </c>
      <c r="B464" s="51" t="s">
        <v>1017</v>
      </c>
      <c r="C464" s="51" t="s">
        <v>143</v>
      </c>
      <c r="D464" s="51" t="s">
        <v>1018</v>
      </c>
      <c r="E464" s="50">
        <v>11646</v>
      </c>
      <c r="F464" s="50">
        <v>12950</v>
      </c>
      <c r="G464" s="50" t="s">
        <v>3404</v>
      </c>
      <c r="H464" s="50">
        <v>2024</v>
      </c>
      <c r="I464" s="132">
        <v>45511</v>
      </c>
      <c r="J464" s="50"/>
      <c r="K464" s="50"/>
      <c r="L464" s="50" t="s">
        <v>328</v>
      </c>
      <c r="M464" s="50" t="s">
        <v>1982</v>
      </c>
      <c r="N464" s="50"/>
      <c r="O464" s="50"/>
      <c r="P464" s="50"/>
      <c r="Q464" s="50"/>
      <c r="R464" s="50"/>
      <c r="S464" s="50" t="str">
        <f t="shared" si="45"/>
        <v/>
      </c>
      <c r="T464" s="50" t="str">
        <f t="shared" si="46"/>
        <v/>
      </c>
      <c r="U464" s="50" t="str">
        <f t="shared" si="47"/>
        <v/>
      </c>
      <c r="V464" s="50" t="str">
        <f t="shared" si="43"/>
        <v/>
      </c>
      <c r="W464" s="50"/>
      <c r="X464" s="50" t="s">
        <v>1078</v>
      </c>
      <c r="Y464" s="50"/>
      <c r="Z464" s="50" t="s">
        <v>3406</v>
      </c>
      <c r="AA464" s="50"/>
    </row>
    <row r="465" spans="1:27" ht="25.5" customHeight="1">
      <c r="A465" s="50" t="s">
        <v>776</v>
      </c>
      <c r="B465" s="51" t="s">
        <v>1017</v>
      </c>
      <c r="C465" s="51" t="s">
        <v>143</v>
      </c>
      <c r="D465" s="51" t="s">
        <v>4021</v>
      </c>
      <c r="E465" s="50">
        <v>2768</v>
      </c>
      <c r="F465" s="50">
        <v>2955</v>
      </c>
      <c r="G465" s="50" t="s">
        <v>3404</v>
      </c>
      <c r="H465" s="50">
        <v>2024</v>
      </c>
      <c r="I465" s="132">
        <v>45505</v>
      </c>
      <c r="J465" s="50"/>
      <c r="K465" s="50"/>
      <c r="L465" s="50" t="s">
        <v>328</v>
      </c>
      <c r="M465" s="50" t="s">
        <v>1982</v>
      </c>
      <c r="N465" s="50"/>
      <c r="O465" s="50"/>
      <c r="P465" s="50"/>
      <c r="Q465" s="50"/>
      <c r="R465" s="50"/>
      <c r="S465" s="50" t="str">
        <f t="shared" si="45"/>
        <v/>
      </c>
      <c r="T465" s="50" t="str">
        <f t="shared" si="46"/>
        <v/>
      </c>
      <c r="U465" s="50" t="str">
        <f t="shared" si="47"/>
        <v/>
      </c>
      <c r="V465" s="50" t="str">
        <f t="shared" si="43"/>
        <v/>
      </c>
      <c r="W465" s="50"/>
      <c r="X465" s="50" t="s">
        <v>1078</v>
      </c>
      <c r="Y465" s="50"/>
      <c r="Z465" s="50" t="s">
        <v>3406</v>
      </c>
      <c r="AA465" s="50"/>
    </row>
    <row r="466" spans="1:27" ht="25.5" customHeight="1">
      <c r="A466" s="50" t="s">
        <v>776</v>
      </c>
      <c r="B466" s="51" t="s">
        <v>1017</v>
      </c>
      <c r="C466" s="51" t="s">
        <v>143</v>
      </c>
      <c r="D466" s="51" t="s">
        <v>4022</v>
      </c>
      <c r="E466" s="50">
        <v>2381</v>
      </c>
      <c r="F466" s="50">
        <v>2047</v>
      </c>
      <c r="G466" s="50" t="s">
        <v>3404</v>
      </c>
      <c r="H466" s="50">
        <v>2024</v>
      </c>
      <c r="I466" s="132">
        <v>45510</v>
      </c>
      <c r="J466" s="50"/>
      <c r="K466" s="50"/>
      <c r="L466" s="50" t="s">
        <v>328</v>
      </c>
      <c r="M466" s="50" t="s">
        <v>1982</v>
      </c>
      <c r="N466" s="50"/>
      <c r="O466" s="50"/>
      <c r="P466" s="50"/>
      <c r="Q466" s="50"/>
      <c r="R466" s="50"/>
      <c r="S466" s="50" t="str">
        <f t="shared" si="45"/>
        <v/>
      </c>
      <c r="T466" s="50" t="str">
        <f t="shared" si="46"/>
        <v/>
      </c>
      <c r="U466" s="50" t="str">
        <f t="shared" si="47"/>
        <v/>
      </c>
      <c r="V466" s="50" t="str">
        <f t="shared" si="43"/>
        <v/>
      </c>
      <c r="W466" s="50"/>
      <c r="X466" s="50" t="s">
        <v>1078</v>
      </c>
      <c r="Y466" s="50"/>
      <c r="Z466" s="50" t="s">
        <v>3406</v>
      </c>
      <c r="AA466" s="50"/>
    </row>
    <row r="467" spans="1:27" ht="25.5" customHeight="1">
      <c r="A467" s="50" t="s">
        <v>776</v>
      </c>
      <c r="B467" s="51" t="s">
        <v>1017</v>
      </c>
      <c r="C467" s="51" t="s">
        <v>143</v>
      </c>
      <c r="D467" s="51" t="s">
        <v>4023</v>
      </c>
      <c r="E467" s="50">
        <v>4516</v>
      </c>
      <c r="F467" s="50">
        <v>5077</v>
      </c>
      <c r="G467" s="50" t="s">
        <v>3404</v>
      </c>
      <c r="H467" s="50">
        <v>2024</v>
      </c>
      <c r="I467" s="132">
        <v>45510</v>
      </c>
      <c r="J467" s="50"/>
      <c r="K467" s="50"/>
      <c r="L467" s="50" t="s">
        <v>328</v>
      </c>
      <c r="M467" s="50" t="s">
        <v>1982</v>
      </c>
      <c r="N467" s="50"/>
      <c r="O467" s="50"/>
      <c r="P467" s="50"/>
      <c r="Q467" s="50"/>
      <c r="R467" s="50"/>
      <c r="S467" s="50" t="str">
        <f t="shared" si="45"/>
        <v/>
      </c>
      <c r="T467" s="50" t="str">
        <f t="shared" si="46"/>
        <v/>
      </c>
      <c r="U467" s="50" t="str">
        <f t="shared" si="47"/>
        <v/>
      </c>
      <c r="V467" s="50" t="str">
        <f t="shared" si="43"/>
        <v/>
      </c>
      <c r="W467" s="50"/>
      <c r="X467" s="50" t="s">
        <v>1078</v>
      </c>
      <c r="Y467" s="50"/>
      <c r="Z467" s="50" t="s">
        <v>3406</v>
      </c>
      <c r="AA467" s="50"/>
    </row>
    <row r="468" spans="1:27" ht="25.5" customHeight="1">
      <c r="A468" s="50" t="s">
        <v>776</v>
      </c>
      <c r="B468" s="51" t="s">
        <v>1017</v>
      </c>
      <c r="C468" s="51" t="s">
        <v>143</v>
      </c>
      <c r="D468" s="51" t="s">
        <v>4024</v>
      </c>
      <c r="E468" s="50">
        <v>6145</v>
      </c>
      <c r="F468" s="50">
        <v>7486</v>
      </c>
      <c r="G468" s="50" t="s">
        <v>3404</v>
      </c>
      <c r="H468" s="50">
        <v>2024</v>
      </c>
      <c r="I468" s="132">
        <v>45426</v>
      </c>
      <c r="J468" s="50"/>
      <c r="K468" s="50"/>
      <c r="L468" s="50" t="s">
        <v>328</v>
      </c>
      <c r="M468" s="50" t="s">
        <v>1982</v>
      </c>
      <c r="N468" s="50"/>
      <c r="O468" s="50"/>
      <c r="P468" s="50"/>
      <c r="Q468" s="50"/>
      <c r="R468" s="50"/>
      <c r="S468" s="50" t="str">
        <f t="shared" si="45"/>
        <v/>
      </c>
      <c r="T468" s="50" t="str">
        <f t="shared" si="46"/>
        <v/>
      </c>
      <c r="U468" s="50" t="str">
        <f t="shared" si="47"/>
        <v/>
      </c>
      <c r="V468" s="50" t="str">
        <f t="shared" si="43"/>
        <v/>
      </c>
      <c r="W468" s="50"/>
      <c r="X468" s="50"/>
      <c r="Y468" s="50"/>
      <c r="Z468" s="50" t="s">
        <v>3406</v>
      </c>
      <c r="AA468" s="50"/>
    </row>
    <row r="469" spans="1:27" ht="25.5" customHeight="1">
      <c r="A469" s="50" t="s">
        <v>776</v>
      </c>
      <c r="B469" s="51" t="s">
        <v>1017</v>
      </c>
      <c r="C469" s="51" t="s">
        <v>143</v>
      </c>
      <c r="D469" s="51" t="s">
        <v>4025</v>
      </c>
      <c r="E469" s="50">
        <v>3372</v>
      </c>
      <c r="F469" s="50">
        <v>3570</v>
      </c>
      <c r="G469" s="50" t="s">
        <v>3404</v>
      </c>
      <c r="H469" s="50">
        <v>2024</v>
      </c>
      <c r="I469" s="132">
        <v>45505</v>
      </c>
      <c r="J469" s="50"/>
      <c r="K469" s="50"/>
      <c r="L469" s="50" t="s">
        <v>328</v>
      </c>
      <c r="M469" s="50" t="s">
        <v>1982</v>
      </c>
      <c r="N469" s="50"/>
      <c r="O469" s="50"/>
      <c r="P469" s="50"/>
      <c r="Q469" s="50"/>
      <c r="R469" s="50"/>
      <c r="S469" s="50" t="str">
        <f t="shared" si="45"/>
        <v/>
      </c>
      <c r="T469" s="50" t="str">
        <f t="shared" si="46"/>
        <v/>
      </c>
      <c r="U469" s="50" t="str">
        <f t="shared" si="47"/>
        <v/>
      </c>
      <c r="V469" s="50" t="str">
        <f t="shared" si="43"/>
        <v/>
      </c>
      <c r="W469" s="50"/>
      <c r="X469" s="50" t="s">
        <v>1078</v>
      </c>
      <c r="Y469" s="50"/>
      <c r="Z469" s="50" t="s">
        <v>3406</v>
      </c>
      <c r="AA469" s="50"/>
    </row>
    <row r="470" spans="1:27" ht="25.5" customHeight="1">
      <c r="A470" s="50" t="s">
        <v>776</v>
      </c>
      <c r="B470" s="51" t="s">
        <v>1017</v>
      </c>
      <c r="C470" s="51" t="s">
        <v>143</v>
      </c>
      <c r="D470" s="51" t="s">
        <v>1439</v>
      </c>
      <c r="E470" s="50">
        <v>5804</v>
      </c>
      <c r="F470" s="50">
        <v>6279</v>
      </c>
      <c r="G470" s="50" t="s">
        <v>3404</v>
      </c>
      <c r="H470" s="50">
        <v>2024</v>
      </c>
      <c r="I470" s="132">
        <v>45510</v>
      </c>
      <c r="J470" s="50"/>
      <c r="K470" s="50"/>
      <c r="L470" s="50" t="s">
        <v>328</v>
      </c>
      <c r="M470" s="50" t="s">
        <v>1982</v>
      </c>
      <c r="N470" s="50"/>
      <c r="O470" s="50"/>
      <c r="P470" s="50"/>
      <c r="Q470" s="50"/>
      <c r="R470" s="50"/>
      <c r="S470" s="50" t="str">
        <f t="shared" si="45"/>
        <v/>
      </c>
      <c r="T470" s="50" t="str">
        <f t="shared" si="46"/>
        <v/>
      </c>
      <c r="U470" s="50" t="str">
        <f t="shared" si="47"/>
        <v/>
      </c>
      <c r="V470" s="50" t="str">
        <f t="shared" si="43"/>
        <v/>
      </c>
      <c r="W470" s="50"/>
      <c r="X470" s="50" t="s">
        <v>1078</v>
      </c>
      <c r="Y470" s="50"/>
      <c r="Z470" s="50" t="s">
        <v>3406</v>
      </c>
      <c r="AA470" s="50"/>
    </row>
    <row r="471" spans="1:27" ht="25.5" customHeight="1">
      <c r="A471" s="50" t="s">
        <v>776</v>
      </c>
      <c r="B471" s="51" t="s">
        <v>1017</v>
      </c>
      <c r="C471" s="51" t="s">
        <v>143</v>
      </c>
      <c r="D471" s="51" t="s">
        <v>4026</v>
      </c>
      <c r="E471" s="50">
        <v>8122</v>
      </c>
      <c r="F471" s="50">
        <v>7998</v>
      </c>
      <c r="G471" s="50" t="s">
        <v>3404</v>
      </c>
      <c r="H471" s="50">
        <v>2024</v>
      </c>
      <c r="I471" s="132">
        <v>45505</v>
      </c>
      <c r="J471" s="50"/>
      <c r="K471" s="50"/>
      <c r="L471" s="50" t="s">
        <v>328</v>
      </c>
      <c r="M471" s="50" t="s">
        <v>1982</v>
      </c>
      <c r="N471" s="50"/>
      <c r="O471" s="50"/>
      <c r="P471" s="50"/>
      <c r="Q471" s="50"/>
      <c r="R471" s="50"/>
      <c r="S471" s="50" t="str">
        <f t="shared" si="45"/>
        <v/>
      </c>
      <c r="T471" s="50" t="str">
        <f t="shared" si="46"/>
        <v/>
      </c>
      <c r="U471" s="50" t="str">
        <f t="shared" si="47"/>
        <v/>
      </c>
      <c r="V471" s="50" t="str">
        <f t="shared" si="43"/>
        <v/>
      </c>
      <c r="W471" s="50"/>
      <c r="X471" s="50" t="s">
        <v>1078</v>
      </c>
      <c r="Y471" s="50"/>
      <c r="Z471" s="50" t="s">
        <v>3406</v>
      </c>
      <c r="AA471" s="50"/>
    </row>
    <row r="472" spans="1:27" ht="25.5" customHeight="1">
      <c r="A472" s="50" t="s">
        <v>776</v>
      </c>
      <c r="B472" s="51" t="s">
        <v>1017</v>
      </c>
      <c r="C472" s="51" t="s">
        <v>143</v>
      </c>
      <c r="D472" s="51" t="s">
        <v>4027</v>
      </c>
      <c r="E472" s="50">
        <v>2508</v>
      </c>
      <c r="F472" s="50">
        <v>2399</v>
      </c>
      <c r="G472" s="50" t="s">
        <v>3404</v>
      </c>
      <c r="H472" s="50">
        <v>2024</v>
      </c>
      <c r="I472" s="132">
        <v>45510</v>
      </c>
      <c r="J472" s="50"/>
      <c r="K472" s="50"/>
      <c r="L472" s="50" t="s">
        <v>328</v>
      </c>
      <c r="M472" s="50" t="s">
        <v>1982</v>
      </c>
      <c r="N472" s="50"/>
      <c r="O472" s="50"/>
      <c r="P472" s="50"/>
      <c r="Q472" s="50"/>
      <c r="R472" s="50"/>
      <c r="S472" s="50" t="str">
        <f t="shared" si="45"/>
        <v/>
      </c>
      <c r="T472" s="50" t="str">
        <f t="shared" si="46"/>
        <v/>
      </c>
      <c r="U472" s="50" t="str">
        <f t="shared" si="47"/>
        <v/>
      </c>
      <c r="V472" s="50" t="str">
        <f t="shared" si="43"/>
        <v/>
      </c>
      <c r="W472" s="50"/>
      <c r="X472" s="50" t="s">
        <v>1078</v>
      </c>
      <c r="Y472" s="50"/>
      <c r="Z472" s="50" t="s">
        <v>3406</v>
      </c>
      <c r="AA472" s="50"/>
    </row>
    <row r="473" spans="1:27" ht="25.5" customHeight="1">
      <c r="A473" s="50" t="s">
        <v>776</v>
      </c>
      <c r="B473" s="51" t="s">
        <v>1017</v>
      </c>
      <c r="C473" s="51" t="s">
        <v>143</v>
      </c>
      <c r="D473" s="51" t="s">
        <v>4028</v>
      </c>
      <c r="E473" s="50">
        <v>5490</v>
      </c>
      <c r="F473" s="50">
        <v>5005</v>
      </c>
      <c r="G473" s="50" t="s">
        <v>3404</v>
      </c>
      <c r="H473" s="50">
        <v>2024</v>
      </c>
      <c r="I473" s="132">
        <v>45510</v>
      </c>
      <c r="J473" s="50"/>
      <c r="K473" s="50"/>
      <c r="L473" s="50" t="s">
        <v>328</v>
      </c>
      <c r="M473" s="50" t="s">
        <v>1982</v>
      </c>
      <c r="N473" s="50"/>
      <c r="O473" s="50"/>
      <c r="P473" s="50"/>
      <c r="Q473" s="50"/>
      <c r="R473" s="50"/>
      <c r="S473" s="50" t="str">
        <f t="shared" si="45"/>
        <v/>
      </c>
      <c r="T473" s="50" t="str">
        <f t="shared" si="46"/>
        <v/>
      </c>
      <c r="U473" s="50" t="str">
        <f t="shared" si="47"/>
        <v/>
      </c>
      <c r="V473" s="50" t="str">
        <f t="shared" ref="V473:V536" si="48">IF(
    OR(ISBLANK(Q473), ISBLANK(R473)),
    "",
    MAX(1, IF(
        NETWORKDAYS(Q473, R473) &lt;= 0,
        1,
        NETWORKDAYS(Q473, R473) - IF(Q473 = R473, 0, 1)
    ))
)</f>
        <v/>
      </c>
      <c r="W473" s="50"/>
      <c r="X473" s="50" t="s">
        <v>1078</v>
      </c>
      <c r="Y473" s="50"/>
      <c r="Z473" s="50" t="s">
        <v>3406</v>
      </c>
      <c r="AA473" s="50"/>
    </row>
    <row r="474" spans="1:27" ht="25.5" customHeight="1">
      <c r="A474" s="50" t="s">
        <v>776</v>
      </c>
      <c r="B474" s="51" t="s">
        <v>1017</v>
      </c>
      <c r="C474" s="51" t="s">
        <v>143</v>
      </c>
      <c r="D474" s="51" t="s">
        <v>4029</v>
      </c>
      <c r="E474" s="50">
        <v>3151</v>
      </c>
      <c r="F474" s="50">
        <v>3174</v>
      </c>
      <c r="G474" s="50" t="s">
        <v>3404</v>
      </c>
      <c r="H474" s="50">
        <v>2024</v>
      </c>
      <c r="I474" s="132">
        <v>45505</v>
      </c>
      <c r="J474" s="50"/>
      <c r="K474" s="50"/>
      <c r="L474" s="50" t="s">
        <v>328</v>
      </c>
      <c r="M474" s="50" t="s">
        <v>1982</v>
      </c>
      <c r="N474" s="50"/>
      <c r="O474" s="50"/>
      <c r="P474" s="50"/>
      <c r="Q474" s="50"/>
      <c r="R474" s="50"/>
      <c r="S474" s="50" t="str">
        <f t="shared" si="45"/>
        <v/>
      </c>
      <c r="T474" s="50" t="str">
        <f t="shared" si="46"/>
        <v/>
      </c>
      <c r="U474" s="50" t="str">
        <f t="shared" si="47"/>
        <v/>
      </c>
      <c r="V474" s="50" t="str">
        <f t="shared" si="48"/>
        <v/>
      </c>
      <c r="W474" s="50"/>
      <c r="X474" s="50" t="s">
        <v>1078</v>
      </c>
      <c r="Y474" s="50"/>
      <c r="Z474" s="50" t="s">
        <v>3406</v>
      </c>
      <c r="AA474" s="50"/>
    </row>
    <row r="475" spans="1:27" ht="25.5" customHeight="1">
      <c r="A475" s="517" t="s">
        <v>776</v>
      </c>
      <c r="B475" s="51" t="s">
        <v>1023</v>
      </c>
      <c r="C475" s="51" t="s">
        <v>143</v>
      </c>
      <c r="D475" s="51" t="s">
        <v>1024</v>
      </c>
      <c r="E475" s="50">
        <v>7990</v>
      </c>
      <c r="F475" s="50">
        <v>8401</v>
      </c>
      <c r="G475" s="50" t="s">
        <v>3404</v>
      </c>
      <c r="H475" s="50">
        <v>2025</v>
      </c>
      <c r="I475" s="132">
        <v>45916</v>
      </c>
      <c r="J475" s="50" t="s">
        <v>3127</v>
      </c>
      <c r="K475" s="50" t="s">
        <v>200</v>
      </c>
      <c r="L475" s="50" t="s">
        <v>1838</v>
      </c>
      <c r="M475" s="50" t="s">
        <v>1982</v>
      </c>
      <c r="N475" s="50" t="s">
        <v>4030</v>
      </c>
      <c r="O475" s="60">
        <v>45916</v>
      </c>
      <c r="P475" s="60">
        <v>45916</v>
      </c>
      <c r="Q475" s="60">
        <v>45916</v>
      </c>
      <c r="R475" s="60">
        <v>45918</v>
      </c>
      <c r="S475" s="50">
        <f t="shared" si="45"/>
        <v>1</v>
      </c>
      <c r="T475" s="50">
        <f>IF(
    OR(ISBLANK(P475), ISBLANK(Q475)),
    "",
    MAX(1, IF(
        NETWORKDAYS(P475, Q475) &lt;= 0,
        1,
        NETWORKDAYS(P475, Q475) - IF(P475 = Q475, 0, 1)
    ))
)</f>
        <v>1</v>
      </c>
      <c r="U475" s="50">
        <f t="shared" ref="U475:U489" si="49">IF(
    OR(ISBLANK(P475), ISBLANK(Q475)),
    "",
    MAX(1, IF(
        NETWORKDAYS(P475, Q475) &lt;= 0,
        1,
        NETWORKDAYS(P475, Q475) - IF(P475 = Q475, 0, 1)
    ))
)</f>
        <v>1</v>
      </c>
      <c r="V475" s="50">
        <f t="shared" si="48"/>
        <v>2</v>
      </c>
      <c r="W475" s="50" t="s">
        <v>150</v>
      </c>
      <c r="X475" s="50" t="s">
        <v>3527</v>
      </c>
      <c r="Y475" s="50" t="s">
        <v>3528</v>
      </c>
      <c r="Z475" s="50" t="s">
        <v>3406</v>
      </c>
      <c r="AA475" s="50"/>
    </row>
    <row r="476" spans="1:27" ht="25.5" customHeight="1">
      <c r="A476" s="517" t="s">
        <v>776</v>
      </c>
      <c r="B476" s="51" t="s">
        <v>1023</v>
      </c>
      <c r="C476" s="51" t="s">
        <v>143</v>
      </c>
      <c r="D476" s="51" t="s">
        <v>4031</v>
      </c>
      <c r="E476" s="50">
        <v>3792</v>
      </c>
      <c r="F476" s="50">
        <v>6494</v>
      </c>
      <c r="G476" s="50" t="s">
        <v>3404</v>
      </c>
      <c r="H476" s="50">
        <v>2025</v>
      </c>
      <c r="I476" s="132">
        <v>45700</v>
      </c>
      <c r="J476" s="50" t="s">
        <v>3458</v>
      </c>
      <c r="K476" s="50" t="s">
        <v>200</v>
      </c>
      <c r="L476" s="50" t="s">
        <v>328</v>
      </c>
      <c r="M476" s="50" t="s">
        <v>1982</v>
      </c>
      <c r="N476" s="50" t="s">
        <v>4032</v>
      </c>
      <c r="O476" s="60">
        <v>45704</v>
      </c>
      <c r="P476" s="60">
        <v>45705</v>
      </c>
      <c r="Q476" s="60">
        <v>45705</v>
      </c>
      <c r="R476" s="60">
        <v>45706</v>
      </c>
      <c r="S476" s="50">
        <f t="shared" si="45"/>
        <v>2</v>
      </c>
      <c r="T476" s="50">
        <f>IF(
    OR(ISBLANK(P476), ISBLANK(Q476)),
    "",
    MAX(1, IF(
        NETWORKDAYS(P476, Q476) &lt;= 0,
        1,
        NETWORKDAYS(P476, Q476) - IF(P476 = Q476, 0, 1)
    ))
)</f>
        <v>1</v>
      </c>
      <c r="U476" s="50">
        <f t="shared" si="49"/>
        <v>1</v>
      </c>
      <c r="V476" s="50">
        <f t="shared" si="48"/>
        <v>1</v>
      </c>
      <c r="W476" s="50" t="s">
        <v>150</v>
      </c>
      <c r="X476" s="50" t="s">
        <v>1078</v>
      </c>
      <c r="Y476" s="50" t="s">
        <v>50</v>
      </c>
      <c r="Z476" s="50" t="s">
        <v>3406</v>
      </c>
      <c r="AA476" s="50"/>
    </row>
    <row r="477" spans="1:27" ht="25.5" customHeight="1">
      <c r="A477" s="517" t="s">
        <v>776</v>
      </c>
      <c r="B477" s="51" t="s">
        <v>1023</v>
      </c>
      <c r="C477" s="51" t="s">
        <v>143</v>
      </c>
      <c r="D477" s="51" t="s">
        <v>2159</v>
      </c>
      <c r="E477" s="50">
        <v>4619</v>
      </c>
      <c r="F477" s="50">
        <v>5301</v>
      </c>
      <c r="G477" s="50" t="s">
        <v>3404</v>
      </c>
      <c r="H477" s="50">
        <v>2025</v>
      </c>
      <c r="I477" s="132">
        <v>45700</v>
      </c>
      <c r="J477" s="50" t="s">
        <v>3458</v>
      </c>
      <c r="K477" s="50" t="s">
        <v>200</v>
      </c>
      <c r="L477" s="50" t="s">
        <v>328</v>
      </c>
      <c r="M477" s="50" t="s">
        <v>1982</v>
      </c>
      <c r="N477" s="50" t="s">
        <v>4033</v>
      </c>
      <c r="O477" s="60">
        <v>45704</v>
      </c>
      <c r="P477" s="60">
        <v>45705</v>
      </c>
      <c r="Q477" s="60">
        <v>45705</v>
      </c>
      <c r="R477" s="60">
        <v>45706</v>
      </c>
      <c r="S477" s="50">
        <f t="shared" si="45"/>
        <v>2</v>
      </c>
      <c r="T477" s="50">
        <f>IF(
    OR(ISBLANK(P477), ISBLANK(Q477)),
    "",
    MAX(1, IF(
        NETWORKDAYS(P477, Q477) &lt;= 0,
        1,
        NETWORKDAYS(P477, Q477) - IF(P477 = Q477, 0, 1)
    ))
)</f>
        <v>1</v>
      </c>
      <c r="U477" s="50">
        <f t="shared" si="49"/>
        <v>1</v>
      </c>
      <c r="V477" s="50">
        <f t="shared" si="48"/>
        <v>1</v>
      </c>
      <c r="W477" s="50" t="s">
        <v>150</v>
      </c>
      <c r="X477" s="50" t="s">
        <v>4</v>
      </c>
      <c r="Y477" s="50" t="s">
        <v>50</v>
      </c>
      <c r="Z477" s="50" t="s">
        <v>3406</v>
      </c>
      <c r="AA477" s="50"/>
    </row>
    <row r="478" spans="1:27" ht="25.5" customHeight="1">
      <c r="A478" s="517" t="s">
        <v>776</v>
      </c>
      <c r="B478" s="51" t="s">
        <v>1023</v>
      </c>
      <c r="C478" s="51" t="s">
        <v>143</v>
      </c>
      <c r="D478" s="51" t="s">
        <v>4034</v>
      </c>
      <c r="E478" s="50">
        <v>1869</v>
      </c>
      <c r="F478" s="50">
        <v>1876</v>
      </c>
      <c r="G478" s="50" t="s">
        <v>3404</v>
      </c>
      <c r="H478" s="50">
        <v>2025</v>
      </c>
      <c r="I478" s="132">
        <v>45706</v>
      </c>
      <c r="J478" s="50" t="s">
        <v>3458</v>
      </c>
      <c r="K478" s="50" t="s">
        <v>200</v>
      </c>
      <c r="L478" s="50" t="s">
        <v>328</v>
      </c>
      <c r="M478" s="50" t="s">
        <v>1982</v>
      </c>
      <c r="N478" s="50" t="s">
        <v>4035</v>
      </c>
      <c r="O478" s="60">
        <v>45706</v>
      </c>
      <c r="P478" s="60">
        <v>45706</v>
      </c>
      <c r="Q478" s="60">
        <v>45706</v>
      </c>
      <c r="R478" s="60">
        <v>45707</v>
      </c>
      <c r="S478" s="50">
        <f t="shared" si="45"/>
        <v>1</v>
      </c>
      <c r="T478" s="50">
        <f>IF(
    OR(ISBLANK(P478), ISBLANK(Q478)),
    "",
    MAX(1, IF(
        NETWORKDAYS(P478, Q478) &lt;= 0,
        1,
        NETWORKDAYS(P478, Q478) - IF(P478 = Q478, 0, 1)
    ))
)</f>
        <v>1</v>
      </c>
      <c r="U478" s="50">
        <f t="shared" si="49"/>
        <v>1</v>
      </c>
      <c r="V478" s="50">
        <f t="shared" si="48"/>
        <v>1</v>
      </c>
      <c r="W478" s="50" t="s">
        <v>150</v>
      </c>
      <c r="X478" s="50" t="s">
        <v>1078</v>
      </c>
      <c r="Y478" s="50" t="s">
        <v>50</v>
      </c>
      <c r="Z478" s="50" t="s">
        <v>3406</v>
      </c>
      <c r="AA478" s="50"/>
    </row>
    <row r="479" spans="1:27" ht="25.5" customHeight="1">
      <c r="A479" s="517" t="s">
        <v>776</v>
      </c>
      <c r="B479" s="51" t="s">
        <v>1023</v>
      </c>
      <c r="C479" s="51" t="s">
        <v>143</v>
      </c>
      <c r="D479" s="51" t="s">
        <v>4036</v>
      </c>
      <c r="E479" s="50">
        <v>2552</v>
      </c>
      <c r="F479" s="50">
        <v>2542</v>
      </c>
      <c r="G479" s="50" t="s">
        <v>3955</v>
      </c>
      <c r="H479" s="50"/>
      <c r="I479" s="105"/>
      <c r="J479" s="50"/>
      <c r="K479" s="50" t="s">
        <v>200</v>
      </c>
      <c r="L479" s="50" t="s">
        <v>328</v>
      </c>
      <c r="M479" s="50" t="s">
        <v>1982</v>
      </c>
      <c r="N479" s="50"/>
      <c r="O479" s="50"/>
      <c r="P479" s="50"/>
      <c r="Q479" s="50"/>
      <c r="R479" s="50"/>
      <c r="S479" s="50" t="str">
        <f t="shared" si="45"/>
        <v/>
      </c>
      <c r="T479" s="50" t="str">
        <f>IF(
    OR(ISBLANK(O479), ISBLANK(P479)),
    "",
    MAX(1, IF(
        NETWORKDAYS(O479, P479) &lt;= 0,
        1,
        NETWORKDAYS(O479, P479) - IF(O479 = P479, 0, 1)
    ))
)</f>
        <v/>
      </c>
      <c r="U479" s="50" t="str">
        <f t="shared" si="49"/>
        <v/>
      </c>
      <c r="V479" s="50" t="str">
        <f t="shared" si="48"/>
        <v/>
      </c>
      <c r="W479" s="50"/>
      <c r="X479" s="50"/>
      <c r="Y479" s="50"/>
      <c r="Z479" s="50"/>
      <c r="AA479" s="50"/>
    </row>
    <row r="480" spans="1:27" ht="25.5" customHeight="1">
      <c r="A480" s="517" t="s">
        <v>776</v>
      </c>
      <c r="B480" s="51" t="s">
        <v>1023</v>
      </c>
      <c r="C480" s="51" t="s">
        <v>143</v>
      </c>
      <c r="D480" s="51" t="s">
        <v>4037</v>
      </c>
      <c r="E480" s="50">
        <v>6242</v>
      </c>
      <c r="F480" s="50">
        <v>6600</v>
      </c>
      <c r="G480" s="50" t="s">
        <v>3955</v>
      </c>
      <c r="H480" s="50"/>
      <c r="I480" s="105"/>
      <c r="J480" s="50"/>
      <c r="K480" s="50" t="s">
        <v>200</v>
      </c>
      <c r="L480" s="50" t="s">
        <v>328</v>
      </c>
      <c r="M480" s="50" t="s">
        <v>1982</v>
      </c>
      <c r="N480" s="50"/>
      <c r="O480" s="50"/>
      <c r="P480" s="50"/>
      <c r="Q480" s="50"/>
      <c r="R480" s="50"/>
      <c r="S480" s="50" t="str">
        <f t="shared" si="45"/>
        <v/>
      </c>
      <c r="T480" s="50" t="str">
        <f>IF(
    OR(ISBLANK(O480), ISBLANK(P480)),
    "",
    MAX(1, IF(
        NETWORKDAYS(O480, P480) &lt;= 0,
        1,
        NETWORKDAYS(O480, P480) - IF(O480 = P480, 0, 1)
    ))
)</f>
        <v/>
      </c>
      <c r="U480" s="50" t="str">
        <f t="shared" si="49"/>
        <v/>
      </c>
      <c r="V480" s="50" t="str">
        <f t="shared" si="48"/>
        <v/>
      </c>
      <c r="W480" s="50"/>
      <c r="X480" s="50"/>
      <c r="Y480" s="50"/>
      <c r="Z480" s="50"/>
      <c r="AA480" s="50"/>
    </row>
    <row r="481" spans="1:27" s="110" customFormat="1" ht="25.5" customHeight="1">
      <c r="A481" s="517" t="s">
        <v>776</v>
      </c>
      <c r="B481" s="51" t="s">
        <v>1023</v>
      </c>
      <c r="C481" s="51" t="s">
        <v>143</v>
      </c>
      <c r="D481" s="51" t="s">
        <v>4038</v>
      </c>
      <c r="E481" s="50">
        <v>5017</v>
      </c>
      <c r="F481" s="50">
        <v>6138</v>
      </c>
      <c r="G481" s="50" t="s">
        <v>3404</v>
      </c>
      <c r="H481" s="50">
        <v>2025</v>
      </c>
      <c r="I481" s="132">
        <v>45916</v>
      </c>
      <c r="J481" s="50" t="s">
        <v>3127</v>
      </c>
      <c r="K481" s="50" t="s">
        <v>200</v>
      </c>
      <c r="L481" s="50" t="s">
        <v>1838</v>
      </c>
      <c r="M481" s="50" t="s">
        <v>1982</v>
      </c>
      <c r="N481" s="50" t="s">
        <v>4039</v>
      </c>
      <c r="O481" s="60">
        <v>45916</v>
      </c>
      <c r="P481" s="60">
        <v>45916</v>
      </c>
      <c r="Q481" s="60">
        <v>45916</v>
      </c>
      <c r="R481" s="60">
        <v>45918</v>
      </c>
      <c r="S481" s="50">
        <f t="shared" si="45"/>
        <v>1</v>
      </c>
      <c r="T481" s="50">
        <f>IF(
    OR(ISBLANK(P481), ISBLANK(Q481)),
    "",
    MAX(1, IF(
        NETWORKDAYS(P481, Q481) &lt;= 0,
        1,
        NETWORKDAYS(P481, Q481) - IF(P481 = Q481, 0, 1)
    ))
)</f>
        <v>1</v>
      </c>
      <c r="U481" s="50">
        <f t="shared" si="49"/>
        <v>1</v>
      </c>
      <c r="V481" s="50">
        <f t="shared" si="48"/>
        <v>2</v>
      </c>
      <c r="W481" s="50" t="s">
        <v>150</v>
      </c>
      <c r="X481" s="50" t="s">
        <v>3527</v>
      </c>
      <c r="Y481" s="50" t="s">
        <v>3528</v>
      </c>
      <c r="Z481" s="50" t="s">
        <v>3406</v>
      </c>
      <c r="AA481" s="50"/>
    </row>
    <row r="482" spans="1:27" ht="25.5" customHeight="1">
      <c r="A482" s="517" t="s">
        <v>776</v>
      </c>
      <c r="B482" s="51" t="s">
        <v>1023</v>
      </c>
      <c r="C482" s="51" t="s">
        <v>143</v>
      </c>
      <c r="D482" s="51" t="s">
        <v>4040</v>
      </c>
      <c r="E482" s="50">
        <v>2789</v>
      </c>
      <c r="F482" s="50">
        <v>2950</v>
      </c>
      <c r="G482" s="50" t="s">
        <v>3404</v>
      </c>
      <c r="H482" s="50">
        <v>2025</v>
      </c>
      <c r="I482" s="132">
        <v>45916</v>
      </c>
      <c r="J482" s="50" t="s">
        <v>3127</v>
      </c>
      <c r="K482" s="50" t="s">
        <v>200</v>
      </c>
      <c r="L482" s="50" t="s">
        <v>1838</v>
      </c>
      <c r="M482" s="50" t="s">
        <v>1982</v>
      </c>
      <c r="N482" s="50" t="s">
        <v>4041</v>
      </c>
      <c r="O482" s="60">
        <v>45916</v>
      </c>
      <c r="P482" s="60">
        <v>45916</v>
      </c>
      <c r="Q482" s="60">
        <v>45917</v>
      </c>
      <c r="R482" s="60">
        <v>45918</v>
      </c>
      <c r="S482" s="50">
        <f t="shared" si="45"/>
        <v>1</v>
      </c>
      <c r="T482" s="50">
        <f>IF(
    OR(ISBLANK(P482), ISBLANK(Q482)),
    "",
    MAX(1, IF(
        NETWORKDAYS(P482, Q482) &lt;= 0,
        1,
        NETWORKDAYS(P482, Q482) - IF(P482 = Q482, 0, 1)
    ))
)</f>
        <v>1</v>
      </c>
      <c r="U482" s="50">
        <f t="shared" si="49"/>
        <v>1</v>
      </c>
      <c r="V482" s="50">
        <f t="shared" si="48"/>
        <v>1</v>
      </c>
      <c r="W482" s="50" t="s">
        <v>150</v>
      </c>
      <c r="X482" s="50" t="s">
        <v>3527</v>
      </c>
      <c r="Y482" s="50" t="s">
        <v>3528</v>
      </c>
      <c r="Z482" s="50" t="s">
        <v>3406</v>
      </c>
      <c r="AA482" s="50"/>
    </row>
    <row r="483" spans="1:27" ht="25.5" customHeight="1">
      <c r="A483" s="50" t="s">
        <v>776</v>
      </c>
      <c r="B483" s="51" t="s">
        <v>1023</v>
      </c>
      <c r="C483" s="51" t="s">
        <v>143</v>
      </c>
      <c r="D483" s="51" t="s">
        <v>4042</v>
      </c>
      <c r="E483" s="50">
        <v>5633</v>
      </c>
      <c r="F483" s="50">
        <v>7658</v>
      </c>
      <c r="G483" s="50" t="s">
        <v>3404</v>
      </c>
      <c r="H483" s="50">
        <v>2024</v>
      </c>
      <c r="I483" s="105" t="s">
        <v>3739</v>
      </c>
      <c r="J483" s="50"/>
      <c r="K483" s="50" t="s">
        <v>200</v>
      </c>
      <c r="L483" s="50" t="s">
        <v>328</v>
      </c>
      <c r="M483" s="50" t="s">
        <v>1982</v>
      </c>
      <c r="N483" s="50"/>
      <c r="O483" s="50"/>
      <c r="P483" s="50"/>
      <c r="Q483" s="50"/>
      <c r="R483" s="50"/>
      <c r="S483" s="50" t="str">
        <f t="shared" si="45"/>
        <v/>
      </c>
      <c r="T483" s="50" t="str">
        <f t="shared" ref="T483:T489" si="50">IF(
    OR(ISBLANK(O483), ISBLANK(P483)),
    "",
    MAX(1, IF(
        NETWORKDAYS(O483, P483) &lt;= 0,
        1,
        NETWORKDAYS(O483, P483) - IF(O483 = P483, 0, 1)
    ))
)</f>
        <v/>
      </c>
      <c r="U483" s="50" t="str">
        <f t="shared" si="49"/>
        <v/>
      </c>
      <c r="V483" s="50" t="str">
        <f t="shared" si="48"/>
        <v/>
      </c>
      <c r="W483" s="50"/>
      <c r="X483" s="50"/>
      <c r="Y483" s="50"/>
      <c r="Z483" s="50"/>
      <c r="AA483" s="50"/>
    </row>
    <row r="484" spans="1:27" s="110" customFormat="1" ht="25.5" customHeight="1">
      <c r="A484" s="517" t="s">
        <v>776</v>
      </c>
      <c r="B484" s="51" t="s">
        <v>1023</v>
      </c>
      <c r="C484" s="51" t="s">
        <v>143</v>
      </c>
      <c r="D484" s="51" t="s">
        <v>1056</v>
      </c>
      <c r="E484" s="50">
        <v>7153</v>
      </c>
      <c r="F484" s="50">
        <v>8262</v>
      </c>
      <c r="G484" s="50" t="s">
        <v>3955</v>
      </c>
      <c r="H484" s="50"/>
      <c r="I484" s="105"/>
      <c r="J484" s="50"/>
      <c r="K484" s="50" t="s">
        <v>200</v>
      </c>
      <c r="L484" s="50" t="s">
        <v>328</v>
      </c>
      <c r="M484" s="50" t="s">
        <v>1982</v>
      </c>
      <c r="N484" s="50"/>
      <c r="O484" s="50"/>
      <c r="P484" s="50"/>
      <c r="Q484" s="50"/>
      <c r="R484" s="50"/>
      <c r="S484" s="50" t="str">
        <f t="shared" si="45"/>
        <v/>
      </c>
      <c r="T484" s="50" t="str">
        <f t="shared" si="50"/>
        <v/>
      </c>
      <c r="U484" s="50" t="str">
        <f t="shared" si="49"/>
        <v/>
      </c>
      <c r="V484" s="50" t="str">
        <f t="shared" si="48"/>
        <v/>
      </c>
      <c r="W484" s="50"/>
      <c r="X484" s="50"/>
      <c r="Y484" s="50"/>
      <c r="Z484" s="50"/>
      <c r="AA484" s="50"/>
    </row>
    <row r="485" spans="1:27" ht="25.5" customHeight="1">
      <c r="A485" s="521" t="s">
        <v>776</v>
      </c>
      <c r="B485" s="51" t="s">
        <v>1023</v>
      </c>
      <c r="C485" s="51" t="s">
        <v>143</v>
      </c>
      <c r="D485" s="51" t="s">
        <v>1253</v>
      </c>
      <c r="E485" s="50">
        <v>6994</v>
      </c>
      <c r="F485" s="50">
        <v>8113</v>
      </c>
      <c r="G485" s="50" t="s">
        <v>3404</v>
      </c>
      <c r="H485" s="50">
        <v>2024</v>
      </c>
      <c r="I485" s="105" t="s">
        <v>3739</v>
      </c>
      <c r="J485" s="50"/>
      <c r="K485" s="50" t="s">
        <v>200</v>
      </c>
      <c r="L485" s="50" t="s">
        <v>328</v>
      </c>
      <c r="M485" s="50" t="s">
        <v>1982</v>
      </c>
      <c r="N485" s="50"/>
      <c r="O485" s="50"/>
      <c r="P485" s="50"/>
      <c r="Q485" s="50"/>
      <c r="R485" s="50"/>
      <c r="S485" s="50" t="str">
        <f t="shared" si="45"/>
        <v/>
      </c>
      <c r="T485" s="50" t="str">
        <f t="shared" si="50"/>
        <v/>
      </c>
      <c r="U485" s="50" t="str">
        <f t="shared" si="49"/>
        <v/>
      </c>
      <c r="V485" s="50" t="str">
        <f t="shared" si="48"/>
        <v/>
      </c>
      <c r="W485" s="50"/>
      <c r="X485" s="50"/>
      <c r="Y485" s="50"/>
      <c r="Z485" s="50"/>
      <c r="AA485" s="50"/>
    </row>
    <row r="486" spans="1:27" ht="25.5" customHeight="1">
      <c r="A486" s="521" t="s">
        <v>776</v>
      </c>
      <c r="B486" s="51" t="s">
        <v>1023</v>
      </c>
      <c r="C486" s="51" t="s">
        <v>143</v>
      </c>
      <c r="D486" s="51" t="s">
        <v>4043</v>
      </c>
      <c r="E486" s="50">
        <v>3325</v>
      </c>
      <c r="F486" s="50">
        <v>3637</v>
      </c>
      <c r="G486" s="50" t="s">
        <v>3404</v>
      </c>
      <c r="H486" s="50">
        <v>2024</v>
      </c>
      <c r="I486" s="105" t="s">
        <v>3739</v>
      </c>
      <c r="J486" s="50"/>
      <c r="K486" s="50" t="s">
        <v>200</v>
      </c>
      <c r="L486" s="50" t="s">
        <v>328</v>
      </c>
      <c r="M486" s="50" t="s">
        <v>1982</v>
      </c>
      <c r="N486" s="50"/>
      <c r="O486" s="50"/>
      <c r="P486" s="50"/>
      <c r="Q486" s="50"/>
      <c r="R486" s="50"/>
      <c r="S486" s="50" t="str">
        <f t="shared" si="45"/>
        <v/>
      </c>
      <c r="T486" s="50" t="str">
        <f t="shared" si="50"/>
        <v/>
      </c>
      <c r="U486" s="50" t="str">
        <f t="shared" si="49"/>
        <v/>
      </c>
      <c r="V486" s="50" t="str">
        <f t="shared" si="48"/>
        <v/>
      </c>
      <c r="W486" s="50"/>
      <c r="X486" s="50"/>
      <c r="Y486" s="50"/>
      <c r="Z486" s="50"/>
      <c r="AA486" s="50"/>
    </row>
    <row r="487" spans="1:27" ht="25.5" customHeight="1">
      <c r="A487" s="50" t="s">
        <v>776</v>
      </c>
      <c r="B487" s="51" t="s">
        <v>1023</v>
      </c>
      <c r="C487" s="51" t="s">
        <v>143</v>
      </c>
      <c r="D487" s="51" t="s">
        <v>1819</v>
      </c>
      <c r="E487" s="50">
        <v>2862</v>
      </c>
      <c r="F487" s="50">
        <v>2731</v>
      </c>
      <c r="G487" s="50" t="s">
        <v>3404</v>
      </c>
      <c r="H487" s="50">
        <v>2024</v>
      </c>
      <c r="I487" s="105" t="s">
        <v>3739</v>
      </c>
      <c r="J487" s="50"/>
      <c r="K487" s="50" t="s">
        <v>200</v>
      </c>
      <c r="L487" s="50" t="s">
        <v>328</v>
      </c>
      <c r="M487" s="50" t="s">
        <v>1982</v>
      </c>
      <c r="N487" s="50"/>
      <c r="O487" s="50"/>
      <c r="P487" s="50"/>
      <c r="Q487" s="50"/>
      <c r="R487" s="50"/>
      <c r="S487" s="50" t="str">
        <f t="shared" si="45"/>
        <v/>
      </c>
      <c r="T487" s="50" t="str">
        <f t="shared" si="50"/>
        <v/>
      </c>
      <c r="U487" s="50" t="str">
        <f t="shared" si="49"/>
        <v/>
      </c>
      <c r="V487" s="50" t="str">
        <f t="shared" si="48"/>
        <v/>
      </c>
      <c r="W487" s="50"/>
      <c r="X487" s="50"/>
      <c r="Y487" s="50"/>
      <c r="Z487" s="50"/>
      <c r="AA487" s="50"/>
    </row>
    <row r="488" spans="1:27" s="110" customFormat="1" ht="25.5" customHeight="1">
      <c r="A488" s="517" t="s">
        <v>776</v>
      </c>
      <c r="B488" s="51" t="s">
        <v>1023</v>
      </c>
      <c r="C488" s="51" t="s">
        <v>143</v>
      </c>
      <c r="D488" s="51" t="s">
        <v>4044</v>
      </c>
      <c r="E488" s="50">
        <v>6202</v>
      </c>
      <c r="F488" s="50">
        <v>6496</v>
      </c>
      <c r="G488" s="50" t="s">
        <v>3955</v>
      </c>
      <c r="H488" s="50"/>
      <c r="I488" s="105"/>
      <c r="J488" s="50"/>
      <c r="K488" s="50" t="s">
        <v>200</v>
      </c>
      <c r="L488" s="50" t="s">
        <v>328</v>
      </c>
      <c r="M488" s="50" t="s">
        <v>1982</v>
      </c>
      <c r="N488" s="50"/>
      <c r="O488" s="50"/>
      <c r="P488" s="50"/>
      <c r="Q488" s="50"/>
      <c r="R488" s="50"/>
      <c r="S488" s="50" t="str">
        <f t="shared" si="45"/>
        <v/>
      </c>
      <c r="T488" s="50" t="str">
        <f t="shared" si="50"/>
        <v/>
      </c>
      <c r="U488" s="50" t="str">
        <f t="shared" si="49"/>
        <v/>
      </c>
      <c r="V488" s="50" t="str">
        <f t="shared" si="48"/>
        <v/>
      </c>
      <c r="W488" s="50"/>
      <c r="X488" s="50"/>
      <c r="Y488" s="50"/>
      <c r="Z488" s="50"/>
      <c r="AA488" s="50"/>
    </row>
    <row r="489" spans="1:27" ht="25.5" customHeight="1">
      <c r="A489" s="50" t="s">
        <v>776</v>
      </c>
      <c r="B489" s="51" t="s">
        <v>1028</v>
      </c>
      <c r="C489" s="51" t="s">
        <v>143</v>
      </c>
      <c r="D489" s="51" t="s">
        <v>4045</v>
      </c>
      <c r="E489" s="50">
        <v>3216</v>
      </c>
      <c r="F489" s="50">
        <v>5016</v>
      </c>
      <c r="G489" s="50" t="s">
        <v>3404</v>
      </c>
      <c r="H489" s="50">
        <v>2024</v>
      </c>
      <c r="I489" s="132">
        <v>45426</v>
      </c>
      <c r="J489" s="50"/>
      <c r="K489" s="50"/>
      <c r="L489" s="50" t="s">
        <v>328</v>
      </c>
      <c r="M489" s="50" t="s">
        <v>1982</v>
      </c>
      <c r="N489" s="50"/>
      <c r="O489" s="50"/>
      <c r="P489" s="50"/>
      <c r="Q489" s="50"/>
      <c r="R489" s="50"/>
      <c r="S489" s="50" t="str">
        <f t="shared" si="45"/>
        <v/>
      </c>
      <c r="T489" s="50" t="str">
        <f t="shared" si="50"/>
        <v/>
      </c>
      <c r="U489" s="50" t="str">
        <f t="shared" si="49"/>
        <v/>
      </c>
      <c r="V489" s="50" t="str">
        <f t="shared" si="48"/>
        <v/>
      </c>
      <c r="W489" s="50"/>
      <c r="X489" s="50"/>
      <c r="Y489" s="50"/>
      <c r="Z489" s="50" t="s">
        <v>3406</v>
      </c>
      <c r="AA489" s="50"/>
    </row>
    <row r="490" spans="1:27" ht="25.5" customHeight="1">
      <c r="A490" s="517" t="s">
        <v>776</v>
      </c>
      <c r="B490" s="51" t="s">
        <v>1028</v>
      </c>
      <c r="C490" s="51" t="s">
        <v>143</v>
      </c>
      <c r="D490" s="51" t="s">
        <v>4046</v>
      </c>
      <c r="E490" s="50">
        <v>5044</v>
      </c>
      <c r="F490" s="50">
        <v>5720</v>
      </c>
      <c r="G490" s="50" t="s">
        <v>3404</v>
      </c>
      <c r="H490" s="50">
        <v>2025</v>
      </c>
      <c r="I490" s="132">
        <v>45791</v>
      </c>
      <c r="J490" s="50" t="s">
        <v>3532</v>
      </c>
      <c r="K490" s="50" t="s">
        <v>200</v>
      </c>
      <c r="L490" s="50" t="s">
        <v>328</v>
      </c>
      <c r="M490" s="50" t="s">
        <v>1982</v>
      </c>
      <c r="N490" s="50" t="s">
        <v>4047</v>
      </c>
      <c r="O490" s="60">
        <v>45796</v>
      </c>
      <c r="P490" s="50"/>
      <c r="Q490" s="60">
        <v>45797</v>
      </c>
      <c r="R490" s="60">
        <v>45797</v>
      </c>
      <c r="S490" s="50">
        <f t="shared" si="45"/>
        <v>3</v>
      </c>
      <c r="T490" s="50" t="str">
        <f>IF(
    OR(ISBLANK(O490), ISBLANK(P490)),
    "",
    MAX(1, IF(
        NETWORKDAYS(O490, P490) &lt;= 0,
        1,
        NETWORKDAYS(O490:P490, Q490) - IF(P490 = Q490, 0, 1)
    ))
)</f>
        <v/>
      </c>
      <c r="U490" s="50">
        <f>IF(
    OR(ISBLANK(O490), ISBLANK(Q490)),
    "",
    MAX(1, IF(
        NETWORKDAYS(O490, Q490) &lt;= 0,
        1,
        NETWORKDAYS(O490, Q490) - IF(O490 = Q490, 0, 1)
    ))
)</f>
        <v>1</v>
      </c>
      <c r="V490" s="50">
        <f t="shared" si="48"/>
        <v>1</v>
      </c>
      <c r="W490" s="50" t="s">
        <v>150</v>
      </c>
      <c r="X490" s="50" t="s">
        <v>1078</v>
      </c>
      <c r="Y490" s="50" t="s">
        <v>50</v>
      </c>
      <c r="Z490" s="50" t="s">
        <v>3406</v>
      </c>
      <c r="AA490" s="50"/>
    </row>
    <row r="491" spans="1:27" ht="25.5" customHeight="1">
      <c r="A491" s="517" t="s">
        <v>776</v>
      </c>
      <c r="B491" s="51" t="s">
        <v>1028</v>
      </c>
      <c r="C491" s="51" t="s">
        <v>143</v>
      </c>
      <c r="D491" s="51" t="s">
        <v>4048</v>
      </c>
      <c r="E491" s="50">
        <v>3296</v>
      </c>
      <c r="F491" s="50">
        <v>3841</v>
      </c>
      <c r="G491" s="50" t="s">
        <v>3404</v>
      </c>
      <c r="H491" s="50">
        <v>2025</v>
      </c>
      <c r="I491" s="132">
        <v>45728</v>
      </c>
      <c r="J491" s="50" t="s">
        <v>3416</v>
      </c>
      <c r="K491" s="50" t="s">
        <v>200</v>
      </c>
      <c r="L491" s="50" t="s">
        <v>328</v>
      </c>
      <c r="M491" s="50" t="s">
        <v>1982</v>
      </c>
      <c r="N491" s="50" t="s">
        <v>4049</v>
      </c>
      <c r="O491" s="60">
        <v>45732</v>
      </c>
      <c r="P491" s="60">
        <v>45733</v>
      </c>
      <c r="Q491" s="60">
        <v>45734</v>
      </c>
      <c r="R491" s="60">
        <v>45735</v>
      </c>
      <c r="S491" s="50">
        <f t="shared" si="45"/>
        <v>2</v>
      </c>
      <c r="T491" s="50">
        <f>IF(
    OR(ISBLANK(P491), ISBLANK(Q491)),
    "",
    MAX(1, IF(
        NETWORKDAYS(P491, Q491) &lt;= 0,
        1,
        NETWORKDAYS(P491, Q491) - IF(P491 = Q491, 0, 1)
    ))
)</f>
        <v>1</v>
      </c>
      <c r="U491" s="50">
        <f>IF(
    OR(ISBLANK(P491), ISBLANK(Q491)),
    "",
    MAX(1, IF(
        NETWORKDAYS(P491, Q491) &lt;= 0,
        1,
        NETWORKDAYS(P491, Q491) - IF(P491 = Q491, 0, 1)
    ))
)</f>
        <v>1</v>
      </c>
      <c r="V491" s="50">
        <f t="shared" si="48"/>
        <v>1</v>
      </c>
      <c r="W491" s="50" t="s">
        <v>150</v>
      </c>
      <c r="X491" s="50" t="s">
        <v>1078</v>
      </c>
      <c r="Y491" s="50" t="s">
        <v>50</v>
      </c>
      <c r="Z491" s="50" t="s">
        <v>3406</v>
      </c>
      <c r="AA491" s="50"/>
    </row>
    <row r="492" spans="1:27" ht="25.5" customHeight="1">
      <c r="A492" s="517" t="s">
        <v>776</v>
      </c>
      <c r="B492" s="51" t="s">
        <v>1028</v>
      </c>
      <c r="C492" s="51" t="s">
        <v>143</v>
      </c>
      <c r="D492" s="51" t="s">
        <v>4050</v>
      </c>
      <c r="E492" s="50">
        <v>2564</v>
      </c>
      <c r="F492" s="50">
        <v>2603</v>
      </c>
      <c r="G492" s="50" t="s">
        <v>3955</v>
      </c>
      <c r="H492" s="50"/>
      <c r="I492" s="105"/>
      <c r="J492" s="50"/>
      <c r="K492" s="50"/>
      <c r="L492" s="50" t="s">
        <v>328</v>
      </c>
      <c r="M492" s="50" t="s">
        <v>1982</v>
      </c>
      <c r="N492" s="50"/>
      <c r="O492" s="50"/>
      <c r="P492" s="50"/>
      <c r="Q492" s="50"/>
      <c r="R492" s="50"/>
      <c r="S492" s="50" t="str">
        <f t="shared" si="45"/>
        <v/>
      </c>
      <c r="T492" s="50" t="str">
        <f>IF(
    OR(ISBLANK(O492), ISBLANK(P492)),
    "",
    MAX(1, IF(
        NETWORKDAYS(O492, P492) &lt;= 0,
        1,
        NETWORKDAYS(O492, P492) - IF(O492 = P492, 0, 1)
    ))
)</f>
        <v/>
      </c>
      <c r="U492" s="50" t="str">
        <f>IF(
    OR(ISBLANK(P492), ISBLANK(Q492)),
    "",
    MAX(1, IF(
        NETWORKDAYS(P492, Q492) &lt;= 0,
        1,
        NETWORKDAYS(P492, Q492) - IF(P492 = Q492, 0, 1)
    ))
)</f>
        <v/>
      </c>
      <c r="V492" s="50" t="str">
        <f t="shared" si="48"/>
        <v/>
      </c>
      <c r="W492" s="50"/>
      <c r="X492" s="50"/>
      <c r="Y492" s="50"/>
      <c r="Z492" s="50"/>
      <c r="AA492" s="50"/>
    </row>
    <row r="493" spans="1:27" ht="25.5" customHeight="1">
      <c r="A493" s="517" t="s">
        <v>776</v>
      </c>
      <c r="B493" s="51" t="s">
        <v>1028</v>
      </c>
      <c r="C493" s="51" t="s">
        <v>143</v>
      </c>
      <c r="D493" s="51" t="s">
        <v>1799</v>
      </c>
      <c r="E493" s="50">
        <v>1999</v>
      </c>
      <c r="F493" s="50">
        <v>2221</v>
      </c>
      <c r="G493" s="50" t="s">
        <v>3955</v>
      </c>
      <c r="H493" s="50"/>
      <c r="I493" s="105"/>
      <c r="J493" s="50"/>
      <c r="K493" s="50"/>
      <c r="L493" s="50" t="s">
        <v>328</v>
      </c>
      <c r="M493" s="50" t="s">
        <v>1982</v>
      </c>
      <c r="N493" s="50"/>
      <c r="O493" s="50"/>
      <c r="P493" s="50"/>
      <c r="Q493" s="50"/>
      <c r="R493" s="50"/>
      <c r="S493" s="50" t="str">
        <f t="shared" si="45"/>
        <v/>
      </c>
      <c r="T493" s="50" t="str">
        <f>IF(
    OR(ISBLANK(O493), ISBLANK(P493)),
    "",
    MAX(1, IF(
        NETWORKDAYS(O493, P493) &lt;= 0,
        1,
        NETWORKDAYS(O493, P493) - IF(O493 = P493, 0, 1)
    ))
)</f>
        <v/>
      </c>
      <c r="U493" s="50" t="str">
        <f>IF(
    OR(ISBLANK(P493), ISBLANK(Q493)),
    "",
    MAX(1, IF(
        NETWORKDAYS(P493, Q493) &lt;= 0,
        1,
        NETWORKDAYS(P493, Q493) - IF(P493 = Q493, 0, 1)
    ))
)</f>
        <v/>
      </c>
      <c r="V493" s="50" t="str">
        <f t="shared" si="48"/>
        <v/>
      </c>
      <c r="W493" s="50"/>
      <c r="X493" s="50"/>
      <c r="Y493" s="50"/>
      <c r="Z493" s="50"/>
      <c r="AA493" s="50"/>
    </row>
    <row r="494" spans="1:27" ht="25.5" customHeight="1">
      <c r="A494" s="517" t="s">
        <v>776</v>
      </c>
      <c r="B494" s="51" t="s">
        <v>1028</v>
      </c>
      <c r="C494" s="51" t="s">
        <v>143</v>
      </c>
      <c r="D494" s="51" t="s">
        <v>4051</v>
      </c>
      <c r="E494" s="50">
        <v>4159</v>
      </c>
      <c r="F494" s="50">
        <v>3517</v>
      </c>
      <c r="G494" s="50" t="s">
        <v>3404</v>
      </c>
      <c r="H494" s="50">
        <v>2025</v>
      </c>
      <c r="I494" s="132">
        <v>45938</v>
      </c>
      <c r="J494" s="50" t="s">
        <v>3128</v>
      </c>
      <c r="K494" s="50" t="s">
        <v>200</v>
      </c>
      <c r="L494" s="50" t="s">
        <v>1838</v>
      </c>
      <c r="M494" s="50" t="s">
        <v>1982</v>
      </c>
      <c r="N494" s="50" t="s">
        <v>4052</v>
      </c>
      <c r="O494" s="60">
        <v>45942</v>
      </c>
      <c r="P494" s="60">
        <v>45945</v>
      </c>
      <c r="Q494" s="60">
        <v>45945</v>
      </c>
      <c r="R494" s="60">
        <v>45950</v>
      </c>
      <c r="S494" s="50">
        <f t="shared" si="45"/>
        <v>2</v>
      </c>
      <c r="T494" s="50">
        <f>IF(
    OR(ISBLANK(P494), ISBLANK(Q494)),
    "",
    MAX(1, IF(
        NETWORKDAYS(P494, Q494) &lt;= 0,
        1,
        NETWORKDAYS(P494, Q494) - IF(P494 = Q494, 0, 1)
    ))
)</f>
        <v>1</v>
      </c>
      <c r="U494" s="50">
        <f>IF(
    OR(ISBLANK(P494), ISBLANK(Q494)),
    "",
    MAX(1, IF(
        NETWORKDAYS(P494, Q494) &lt;= 0,
        1,
        NETWORKDAYS(P494, Q494) - IF(P494 = Q494, 0, 1)
    ))
)</f>
        <v>1</v>
      </c>
      <c r="V494" s="50">
        <f t="shared" si="48"/>
        <v>3</v>
      </c>
      <c r="W494" s="50" t="s">
        <v>150</v>
      </c>
      <c r="X494" s="50" t="s">
        <v>3527</v>
      </c>
      <c r="Y494" s="50" t="s">
        <v>3528</v>
      </c>
      <c r="Z494" s="50" t="s">
        <v>3406</v>
      </c>
      <c r="AA494" s="50"/>
    </row>
    <row r="495" spans="1:27" ht="25.5" customHeight="1">
      <c r="A495" s="517" t="s">
        <v>776</v>
      </c>
      <c r="B495" s="51" t="s">
        <v>1028</v>
      </c>
      <c r="C495" s="51" t="s">
        <v>143</v>
      </c>
      <c r="D495" s="51" t="s">
        <v>4053</v>
      </c>
      <c r="E495" s="50">
        <v>4278</v>
      </c>
      <c r="F495" s="50">
        <v>4510</v>
      </c>
      <c r="G495" s="50" t="s">
        <v>3404</v>
      </c>
      <c r="H495" s="50">
        <v>2025</v>
      </c>
      <c r="I495" s="132">
        <v>45883</v>
      </c>
      <c r="J495" s="50" t="s">
        <v>3126</v>
      </c>
      <c r="K495" s="50" t="s">
        <v>200</v>
      </c>
      <c r="L495" s="50" t="s">
        <v>328</v>
      </c>
      <c r="M495" s="50" t="s">
        <v>1982</v>
      </c>
      <c r="N495" s="50" t="s">
        <v>4054</v>
      </c>
      <c r="O495" s="60">
        <v>45887</v>
      </c>
      <c r="P495" s="50"/>
      <c r="Q495" s="60">
        <v>45888</v>
      </c>
      <c r="R495" s="60">
        <v>45888</v>
      </c>
      <c r="S495" s="50">
        <f t="shared" si="45"/>
        <v>2</v>
      </c>
      <c r="T495" s="50" t="str">
        <f>IF(
    OR(ISBLANK(O495), ISBLANK(P495)),
    "",
    MAX(1, IF(
        NETWORKDAYS(O495, P495) &lt;= 0,
        1,
        NETWORKDAYS(O495:P495, Q495) - IF(P495 = Q495, 0, 1)
    ))
)</f>
        <v/>
      </c>
      <c r="U495" s="50">
        <f>IF(
    OR(ISBLANK(O495), ISBLANK(Q495)),
    "",
    MAX(1, IF(
        NETWORKDAYS(O495, Q495) &lt;= 0,
        1,
        NETWORKDAYS(O495, Q495) - IF(O495 = Q495, 0, 1)
    ))
)</f>
        <v>1</v>
      </c>
      <c r="V495" s="50">
        <f t="shared" si="48"/>
        <v>1</v>
      </c>
      <c r="W495" s="50" t="s">
        <v>150</v>
      </c>
      <c r="X495" s="50" t="s">
        <v>1078</v>
      </c>
      <c r="Y495" s="50" t="s">
        <v>50</v>
      </c>
      <c r="Z495" s="50" t="s">
        <v>3406</v>
      </c>
      <c r="AA495" s="50"/>
    </row>
    <row r="496" spans="1:27" ht="25.5" customHeight="1">
      <c r="A496" s="517" t="s">
        <v>776</v>
      </c>
      <c r="B496" s="51" t="s">
        <v>1028</v>
      </c>
      <c r="C496" s="51" t="s">
        <v>143</v>
      </c>
      <c r="D496" s="51" t="s">
        <v>4055</v>
      </c>
      <c r="E496" s="50">
        <v>2458</v>
      </c>
      <c r="F496" s="50">
        <v>2175</v>
      </c>
      <c r="G496" s="50" t="s">
        <v>3404</v>
      </c>
      <c r="H496" s="50">
        <v>2025</v>
      </c>
      <c r="I496" s="132">
        <v>45883</v>
      </c>
      <c r="J496" s="50" t="s">
        <v>3126</v>
      </c>
      <c r="K496" s="50" t="s">
        <v>200</v>
      </c>
      <c r="L496" s="50" t="s">
        <v>328</v>
      </c>
      <c r="M496" s="50" t="s">
        <v>1982</v>
      </c>
      <c r="N496" s="50" t="s">
        <v>4056</v>
      </c>
      <c r="O496" s="60">
        <v>45887</v>
      </c>
      <c r="P496" s="50"/>
      <c r="Q496" s="60">
        <v>45888</v>
      </c>
      <c r="R496" s="60">
        <v>45888</v>
      </c>
      <c r="S496" s="50">
        <f t="shared" si="45"/>
        <v>2</v>
      </c>
      <c r="T496" s="50" t="str">
        <f>IF(
    OR(ISBLANK(O496), ISBLANK(P496)),
    "",
    MAX(1, IF(
        NETWORKDAYS(O496, P496) &lt;= 0,
        1,
        NETWORKDAYS(O496:P496, Q496) - IF(P496 = Q496, 0, 1)
    ))
)</f>
        <v/>
      </c>
      <c r="U496" s="50">
        <f>IF(
    OR(ISBLANK(O496), ISBLANK(Q496)),
    "",
    MAX(1, IF(
        NETWORKDAYS(O496, Q496) &lt;= 0,
        1,
        NETWORKDAYS(O496, Q496) - IF(O496 = Q496, 0, 1)
    ))
)</f>
        <v>1</v>
      </c>
      <c r="V496" s="50">
        <f t="shared" si="48"/>
        <v>1</v>
      </c>
      <c r="W496" s="50" t="s">
        <v>150</v>
      </c>
      <c r="X496" s="50" t="s">
        <v>1078</v>
      </c>
      <c r="Y496" s="50" t="s">
        <v>50</v>
      </c>
      <c r="Z496" s="50" t="s">
        <v>3406</v>
      </c>
      <c r="AA496" s="50"/>
    </row>
    <row r="497" spans="1:27" ht="25.5" customHeight="1">
      <c r="A497" s="517" t="s">
        <v>776</v>
      </c>
      <c r="B497" s="51" t="s">
        <v>1028</v>
      </c>
      <c r="C497" s="51" t="s">
        <v>143</v>
      </c>
      <c r="D497" s="51" t="s">
        <v>4057</v>
      </c>
      <c r="E497" s="50">
        <v>5770</v>
      </c>
      <c r="F497" s="50">
        <v>6129</v>
      </c>
      <c r="G497" s="50" t="s">
        <v>3955</v>
      </c>
      <c r="H497" s="50"/>
      <c r="I497" s="105"/>
      <c r="J497" s="50"/>
      <c r="K497" s="50"/>
      <c r="L497" s="50" t="s">
        <v>328</v>
      </c>
      <c r="M497" s="50" t="s">
        <v>1982</v>
      </c>
      <c r="N497" s="50"/>
      <c r="O497" s="50"/>
      <c r="P497" s="50"/>
      <c r="Q497" s="50"/>
      <c r="R497" s="50"/>
      <c r="S497" s="50" t="str">
        <f t="shared" si="45"/>
        <v/>
      </c>
      <c r="T497" s="50" t="str">
        <f>IF(
    OR(ISBLANK(O497), ISBLANK(P497)),
    "",
    MAX(1, IF(
        NETWORKDAYS(O497, P497) &lt;= 0,
        1,
        NETWORKDAYS(O497, P497) - IF(O497 = P497, 0, 1)
    ))
)</f>
        <v/>
      </c>
      <c r="U497" s="50" t="str">
        <f>IF(
    OR(ISBLANK(P497), ISBLANK(Q497)),
    "",
    MAX(1, IF(
        NETWORKDAYS(P497, Q497) &lt;= 0,
        1,
        NETWORKDAYS(P497, Q497) - IF(P497 = Q497, 0, 1)
    ))
)</f>
        <v/>
      </c>
      <c r="V497" s="50" t="str">
        <f t="shared" si="48"/>
        <v/>
      </c>
      <c r="W497" s="50"/>
      <c r="X497" s="50"/>
      <c r="Y497" s="50"/>
      <c r="Z497" s="50"/>
      <c r="AA497" s="50"/>
    </row>
    <row r="498" spans="1:27" ht="25.5" customHeight="1">
      <c r="A498" s="517" t="s">
        <v>776</v>
      </c>
      <c r="B498" s="51" t="s">
        <v>1028</v>
      </c>
      <c r="C498" s="51" t="s">
        <v>143</v>
      </c>
      <c r="D498" s="51" t="s">
        <v>4058</v>
      </c>
      <c r="E498" s="50">
        <v>6332</v>
      </c>
      <c r="F498" s="50">
        <v>6384</v>
      </c>
      <c r="G498" s="50" t="s">
        <v>3404</v>
      </c>
      <c r="H498" s="50">
        <v>2025</v>
      </c>
      <c r="I498" s="132">
        <v>45728</v>
      </c>
      <c r="J498" s="50" t="s">
        <v>3416</v>
      </c>
      <c r="K498" s="50" t="s">
        <v>200</v>
      </c>
      <c r="L498" s="50" t="s">
        <v>328</v>
      </c>
      <c r="M498" s="50" t="s">
        <v>1982</v>
      </c>
      <c r="N498" s="50" t="s">
        <v>4059</v>
      </c>
      <c r="O498" s="60">
        <v>45732</v>
      </c>
      <c r="P498" s="60">
        <v>45733</v>
      </c>
      <c r="Q498" s="60">
        <v>45734</v>
      </c>
      <c r="R498" s="60">
        <v>45735</v>
      </c>
      <c r="S498" s="50">
        <f t="shared" si="45"/>
        <v>2</v>
      </c>
      <c r="T498" s="50">
        <f>IF(
    OR(ISBLANK(P498), ISBLANK(Q498)),
    "",
    MAX(1, IF(
        NETWORKDAYS(P498, Q498) &lt;= 0,
        1,
        NETWORKDAYS(P498, Q498) - IF(P498 = Q498, 0, 1)
    ))
)</f>
        <v>1</v>
      </c>
      <c r="U498" s="50">
        <f>IF(
    OR(ISBLANK(P498), ISBLANK(Q498)),
    "",
    MAX(1, IF(
        NETWORKDAYS(P498, Q498) &lt;= 0,
        1,
        NETWORKDAYS(P498, Q498) - IF(P498 = Q498, 0, 1)
    ))
)</f>
        <v>1</v>
      </c>
      <c r="V498" s="50">
        <f t="shared" si="48"/>
        <v>1</v>
      </c>
      <c r="W498" s="50" t="s">
        <v>150</v>
      </c>
      <c r="X498" s="50" t="s">
        <v>1078</v>
      </c>
      <c r="Y498" s="50" t="s">
        <v>50</v>
      </c>
      <c r="Z498" s="50" t="s">
        <v>3406</v>
      </c>
      <c r="AA498" s="50"/>
    </row>
    <row r="499" spans="1:27" ht="25.5" customHeight="1">
      <c r="A499" s="517" t="s">
        <v>776</v>
      </c>
      <c r="B499" s="51" t="s">
        <v>1028</v>
      </c>
      <c r="C499" s="51" t="s">
        <v>143</v>
      </c>
      <c r="D499" s="51" t="s">
        <v>3907</v>
      </c>
      <c r="E499" s="50">
        <v>1770</v>
      </c>
      <c r="F499" s="50">
        <v>1960</v>
      </c>
      <c r="G499" s="50" t="s">
        <v>3955</v>
      </c>
      <c r="H499" s="50"/>
      <c r="I499" s="105"/>
      <c r="J499" s="50"/>
      <c r="K499" s="50"/>
      <c r="L499" s="50" t="s">
        <v>328</v>
      </c>
      <c r="M499" s="50" t="s">
        <v>1982</v>
      </c>
      <c r="N499" s="50"/>
      <c r="O499" s="50"/>
      <c r="P499" s="50"/>
      <c r="Q499" s="50"/>
      <c r="R499" s="50"/>
      <c r="S499" s="50" t="str">
        <f t="shared" si="45"/>
        <v/>
      </c>
      <c r="T499" s="50" t="str">
        <f>IF(
    OR(ISBLANK(O499), ISBLANK(P499)),
    "",
    MAX(1, IF(
        NETWORKDAYS(O499, P499) &lt;= 0,
        1,
        NETWORKDAYS(O499, P499) - IF(O499 = P499, 0, 1)
    ))
)</f>
        <v/>
      </c>
      <c r="U499" s="50" t="str">
        <f>IF(
    OR(ISBLANK(P499), ISBLANK(Q499)),
    "",
    MAX(1, IF(
        NETWORKDAYS(P499, Q499) &lt;= 0,
        1,
        NETWORKDAYS(P499, Q499) - IF(P499 = Q499, 0, 1)
    ))
)</f>
        <v/>
      </c>
      <c r="V499" s="50" t="str">
        <f t="shared" si="48"/>
        <v/>
      </c>
      <c r="W499" s="50"/>
      <c r="X499" s="50"/>
      <c r="Y499" s="50"/>
      <c r="Z499" s="50"/>
      <c r="AA499" s="50"/>
    </row>
    <row r="500" spans="1:27" ht="25.5" customHeight="1">
      <c r="A500" s="517" t="s">
        <v>776</v>
      </c>
      <c r="B500" s="51" t="s">
        <v>1028</v>
      </c>
      <c r="C500" s="51" t="s">
        <v>143</v>
      </c>
      <c r="D500" s="51" t="s">
        <v>4060</v>
      </c>
      <c r="E500" s="50">
        <v>2754</v>
      </c>
      <c r="F500" s="50">
        <v>4161</v>
      </c>
      <c r="G500" s="50" t="s">
        <v>3404</v>
      </c>
      <c r="H500" s="50">
        <v>2025</v>
      </c>
      <c r="I500" s="132">
        <v>45883</v>
      </c>
      <c r="J500" s="50" t="s">
        <v>3126</v>
      </c>
      <c r="K500" s="50" t="s">
        <v>200</v>
      </c>
      <c r="L500" s="50" t="s">
        <v>328</v>
      </c>
      <c r="M500" s="50" t="s">
        <v>1982</v>
      </c>
      <c r="N500" s="50" t="s">
        <v>4061</v>
      </c>
      <c r="O500" s="60">
        <v>45887</v>
      </c>
      <c r="P500" s="50"/>
      <c r="Q500" s="60">
        <v>45888</v>
      </c>
      <c r="R500" s="60">
        <v>45888</v>
      </c>
      <c r="S500" s="50">
        <f t="shared" si="45"/>
        <v>2</v>
      </c>
      <c r="T500" s="50" t="str">
        <f>IF(
    OR(ISBLANK(O500), ISBLANK(P500)),
    "",
    MAX(1, IF(
        NETWORKDAYS(O500, P500) &lt;= 0,
        1,
        NETWORKDAYS(O500:P500, Q500) - IF(P500 = Q500, 0, 1)
    ))
)</f>
        <v/>
      </c>
      <c r="U500" s="50">
        <f>IF(
    OR(ISBLANK(O500), ISBLANK(Q500)),
    "",
    MAX(1, IF(
        NETWORKDAYS(O500, Q500) &lt;= 0,
        1,
        NETWORKDAYS(O500, Q500) - IF(O500 = Q500, 0, 1)
    ))
)</f>
        <v>1</v>
      </c>
      <c r="V500" s="50">
        <f t="shared" si="48"/>
        <v>1</v>
      </c>
      <c r="W500" s="50" t="s">
        <v>150</v>
      </c>
      <c r="X500" s="50" t="s">
        <v>1078</v>
      </c>
      <c r="Y500" s="50" t="s">
        <v>50</v>
      </c>
      <c r="Z500" s="50" t="s">
        <v>3406</v>
      </c>
      <c r="AA500" s="50"/>
    </row>
    <row r="501" spans="1:27" ht="25.5" customHeight="1">
      <c r="A501" s="517" t="s">
        <v>776</v>
      </c>
      <c r="B501" s="51" t="s">
        <v>1028</v>
      </c>
      <c r="C501" s="51" t="s">
        <v>143</v>
      </c>
      <c r="D501" s="51" t="s">
        <v>4062</v>
      </c>
      <c r="E501" s="50">
        <v>12359</v>
      </c>
      <c r="F501" s="50">
        <v>14085</v>
      </c>
      <c r="G501" s="50" t="s">
        <v>3955</v>
      </c>
      <c r="H501" s="50"/>
      <c r="I501" s="105"/>
      <c r="J501" s="50"/>
      <c r="K501" s="50"/>
      <c r="L501" s="50" t="s">
        <v>328</v>
      </c>
      <c r="M501" s="50" t="s">
        <v>1982</v>
      </c>
      <c r="N501" s="50"/>
      <c r="O501" s="50"/>
      <c r="P501" s="50"/>
      <c r="Q501" s="50"/>
      <c r="R501" s="50"/>
      <c r="S501" s="50" t="str">
        <f t="shared" si="45"/>
        <v/>
      </c>
      <c r="T501" s="50" t="str">
        <f t="shared" ref="T501:U504" si="51">IF(
    OR(ISBLANK(O501), ISBLANK(P501)),
    "",
    MAX(1, IF(
        NETWORKDAYS(O501, P501) &lt;= 0,
        1,
        NETWORKDAYS(O501, P501) - IF(O501 = P501, 0, 1)
    ))
)</f>
        <v/>
      </c>
      <c r="U501" s="50" t="str">
        <f t="shared" si="51"/>
        <v/>
      </c>
      <c r="V501" s="50" t="str">
        <f t="shared" si="48"/>
        <v/>
      </c>
      <c r="W501" s="50"/>
      <c r="X501" s="50"/>
      <c r="Y501" s="50"/>
      <c r="Z501" s="50"/>
      <c r="AA501" s="50"/>
    </row>
    <row r="502" spans="1:27" ht="25.5" customHeight="1">
      <c r="A502" s="517" t="s">
        <v>776</v>
      </c>
      <c r="B502" s="51" t="s">
        <v>1028</v>
      </c>
      <c r="C502" s="51" t="s">
        <v>143</v>
      </c>
      <c r="D502" s="51" t="s">
        <v>1831</v>
      </c>
      <c r="E502" s="50">
        <v>3444</v>
      </c>
      <c r="F502" s="50">
        <v>4265</v>
      </c>
      <c r="G502" s="50" t="s">
        <v>3955</v>
      </c>
      <c r="H502" s="50"/>
      <c r="I502" s="105"/>
      <c r="J502" s="50"/>
      <c r="K502" s="50"/>
      <c r="L502" s="50" t="s">
        <v>328</v>
      </c>
      <c r="M502" s="50" t="s">
        <v>1982</v>
      </c>
      <c r="N502" s="50"/>
      <c r="O502" s="50"/>
      <c r="P502" s="50"/>
      <c r="Q502" s="50"/>
      <c r="R502" s="50"/>
      <c r="S502" s="50" t="str">
        <f t="shared" si="45"/>
        <v/>
      </c>
      <c r="T502" s="50" t="str">
        <f t="shared" si="51"/>
        <v/>
      </c>
      <c r="U502" s="50" t="str">
        <f t="shared" si="51"/>
        <v/>
      </c>
      <c r="V502" s="50" t="str">
        <f t="shared" si="48"/>
        <v/>
      </c>
      <c r="W502" s="50"/>
      <c r="X502" s="50"/>
      <c r="Y502" s="50"/>
      <c r="Z502" s="50"/>
      <c r="AA502" s="50"/>
    </row>
    <row r="503" spans="1:27" ht="25.5" customHeight="1">
      <c r="A503" s="517" t="s">
        <v>776</v>
      </c>
      <c r="B503" s="51" t="s">
        <v>1028</v>
      </c>
      <c r="C503" s="51" t="s">
        <v>143</v>
      </c>
      <c r="D503" s="51" t="s">
        <v>4063</v>
      </c>
      <c r="E503" s="50">
        <v>4109</v>
      </c>
      <c r="F503" s="50">
        <v>4280</v>
      </c>
      <c r="G503" s="50" t="s">
        <v>3955</v>
      </c>
      <c r="H503" s="50"/>
      <c r="I503" s="105"/>
      <c r="J503" s="50"/>
      <c r="K503" s="50"/>
      <c r="L503" s="50" t="s">
        <v>328</v>
      </c>
      <c r="M503" s="50" t="s">
        <v>1982</v>
      </c>
      <c r="N503" s="50"/>
      <c r="O503" s="50"/>
      <c r="P503" s="50"/>
      <c r="Q503" s="50"/>
      <c r="R503" s="50"/>
      <c r="S503" s="50" t="str">
        <f t="shared" si="45"/>
        <v/>
      </c>
      <c r="T503" s="50" t="str">
        <f t="shared" si="51"/>
        <v/>
      </c>
      <c r="U503" s="50" t="str">
        <f t="shared" si="51"/>
        <v/>
      </c>
      <c r="V503" s="50" t="str">
        <f t="shared" si="48"/>
        <v/>
      </c>
      <c r="W503" s="50"/>
      <c r="X503" s="50"/>
      <c r="Y503" s="50"/>
      <c r="Z503" s="50"/>
      <c r="AA503" s="50"/>
    </row>
    <row r="504" spans="1:27" ht="25.5" customHeight="1">
      <c r="A504" s="517" t="s">
        <v>776</v>
      </c>
      <c r="B504" s="51" t="s">
        <v>1028</v>
      </c>
      <c r="C504" s="51" t="s">
        <v>143</v>
      </c>
      <c r="D504" s="51" t="s">
        <v>4064</v>
      </c>
      <c r="E504" s="50">
        <v>2971</v>
      </c>
      <c r="F504" s="50">
        <v>2925</v>
      </c>
      <c r="G504" s="50" t="s">
        <v>3955</v>
      </c>
      <c r="H504" s="50"/>
      <c r="I504" s="105"/>
      <c r="J504" s="50"/>
      <c r="K504" s="50"/>
      <c r="L504" s="50" t="s">
        <v>328</v>
      </c>
      <c r="M504" s="50" t="s">
        <v>1982</v>
      </c>
      <c r="N504" s="50"/>
      <c r="O504" s="50"/>
      <c r="P504" s="50"/>
      <c r="Q504" s="50"/>
      <c r="R504" s="50"/>
      <c r="S504" s="50" t="str">
        <f t="shared" si="45"/>
        <v/>
      </c>
      <c r="T504" s="50" t="str">
        <f t="shared" si="51"/>
        <v/>
      </c>
      <c r="U504" s="50" t="str">
        <f t="shared" si="51"/>
        <v/>
      </c>
      <c r="V504" s="50" t="str">
        <f t="shared" si="48"/>
        <v/>
      </c>
      <c r="W504" s="50"/>
      <c r="X504" s="50"/>
      <c r="Y504" s="50"/>
      <c r="Z504" s="50"/>
      <c r="AA504" s="50"/>
    </row>
    <row r="505" spans="1:27" ht="25.5" customHeight="1">
      <c r="A505" s="517" t="s">
        <v>776</v>
      </c>
      <c r="B505" s="51" t="s">
        <v>1028</v>
      </c>
      <c r="C505" s="51" t="s">
        <v>143</v>
      </c>
      <c r="D505" s="51" t="s">
        <v>4065</v>
      </c>
      <c r="E505" s="50">
        <v>2117</v>
      </c>
      <c r="F505" s="50">
        <v>1684</v>
      </c>
      <c r="G505" s="50" t="s">
        <v>3404</v>
      </c>
      <c r="H505" s="50">
        <v>2025</v>
      </c>
      <c r="I505" s="132">
        <v>45883</v>
      </c>
      <c r="J505" s="50" t="s">
        <v>3126</v>
      </c>
      <c r="K505" s="50" t="s">
        <v>200</v>
      </c>
      <c r="L505" s="50" t="s">
        <v>328</v>
      </c>
      <c r="M505" s="50" t="s">
        <v>1982</v>
      </c>
      <c r="N505" s="50" t="s">
        <v>4066</v>
      </c>
      <c r="O505" s="60">
        <v>45887</v>
      </c>
      <c r="P505" s="50"/>
      <c r="Q505" s="60">
        <v>45888</v>
      </c>
      <c r="R505" s="60">
        <v>45888</v>
      </c>
      <c r="S505" s="50">
        <f t="shared" si="45"/>
        <v>2</v>
      </c>
      <c r="T505" s="50" t="str">
        <f>IF(
    OR(ISBLANK(O505), ISBLANK(P505)),
    "",
    MAX(1, IF(
        NETWORKDAYS(O505, P505) &lt;= 0,
        1,
        NETWORKDAYS(O505:P505, Q505) - IF(P505 = Q505, 0, 1)
    ))
)</f>
        <v/>
      </c>
      <c r="U505" s="50">
        <f>IF(
    OR(ISBLANK(O505), ISBLANK(Q505)),
    "",
    MAX(1, IF(
        NETWORKDAYS(O505, Q505) &lt;= 0,
        1,
        NETWORKDAYS(O505, Q505) - IF(O505 = Q505, 0, 1)
    ))
)</f>
        <v>1</v>
      </c>
      <c r="V505" s="50">
        <f t="shared" si="48"/>
        <v>1</v>
      </c>
      <c r="W505" s="50" t="s">
        <v>150</v>
      </c>
      <c r="X505" s="50" t="s">
        <v>1078</v>
      </c>
      <c r="Y505" s="50" t="s">
        <v>50</v>
      </c>
      <c r="Z505" s="50" t="s">
        <v>3406</v>
      </c>
      <c r="AA505" s="50"/>
    </row>
    <row r="506" spans="1:27" ht="25.5" customHeight="1">
      <c r="A506" s="517" t="s">
        <v>776</v>
      </c>
      <c r="B506" s="51" t="s">
        <v>1028</v>
      </c>
      <c r="C506" s="51" t="s">
        <v>143</v>
      </c>
      <c r="D506" s="51" t="s">
        <v>4067</v>
      </c>
      <c r="E506" s="50">
        <v>2501</v>
      </c>
      <c r="F506" s="50">
        <v>1752</v>
      </c>
      <c r="G506" s="50" t="s">
        <v>3955</v>
      </c>
      <c r="H506" s="50"/>
      <c r="I506" s="105"/>
      <c r="J506" s="50"/>
      <c r="K506" s="50"/>
      <c r="L506" s="50" t="s">
        <v>328</v>
      </c>
      <c r="M506" s="50" t="s">
        <v>1982</v>
      </c>
      <c r="N506" s="50"/>
      <c r="O506" s="50"/>
      <c r="P506" s="50"/>
      <c r="Q506" s="50"/>
      <c r="R506" s="50"/>
      <c r="S506" s="50" t="str">
        <f t="shared" si="45"/>
        <v/>
      </c>
      <c r="T506" s="50" t="str">
        <f>IF(
    OR(ISBLANK(O506), ISBLANK(P506)),
    "",
    MAX(1, IF(
        NETWORKDAYS(O506, P506) &lt;= 0,
        1,
        NETWORKDAYS(O506, P506) - IF(O506 = P506, 0, 1)
    ))
)</f>
        <v/>
      </c>
      <c r="U506" s="50" t="str">
        <f>IF(
    OR(ISBLANK(P506), ISBLANK(Q506)),
    "",
    MAX(1, IF(
        NETWORKDAYS(P506, Q506) &lt;= 0,
        1,
        NETWORKDAYS(P506, Q506) - IF(P506 = Q506, 0, 1)
    ))
)</f>
        <v/>
      </c>
      <c r="V506" s="50" t="str">
        <f t="shared" si="48"/>
        <v/>
      </c>
      <c r="W506" s="50"/>
      <c r="X506" s="50"/>
      <c r="Y506" s="50"/>
      <c r="Z506" s="50"/>
      <c r="AA506" s="50"/>
    </row>
    <row r="507" spans="1:27" ht="25.5" customHeight="1">
      <c r="A507" s="517" t="s">
        <v>776</v>
      </c>
      <c r="B507" s="51" t="s">
        <v>1028</v>
      </c>
      <c r="C507" s="51" t="s">
        <v>143</v>
      </c>
      <c r="D507" s="51" t="s">
        <v>4068</v>
      </c>
      <c r="E507" s="50">
        <v>4336</v>
      </c>
      <c r="F507" s="50">
        <v>4663</v>
      </c>
      <c r="G507" s="50" t="s">
        <v>3955</v>
      </c>
      <c r="H507" s="50"/>
      <c r="I507" s="105"/>
      <c r="J507" s="50"/>
      <c r="K507" s="50"/>
      <c r="L507" s="50" t="s">
        <v>328</v>
      </c>
      <c r="M507" s="50" t="s">
        <v>1982</v>
      </c>
      <c r="N507" s="50"/>
      <c r="O507" s="50"/>
      <c r="P507" s="50"/>
      <c r="Q507" s="50"/>
      <c r="R507" s="50"/>
      <c r="S507" s="50" t="str">
        <f t="shared" si="45"/>
        <v/>
      </c>
      <c r="T507" s="50" t="str">
        <f>IF(
    OR(ISBLANK(O507), ISBLANK(P507)),
    "",
    MAX(1, IF(
        NETWORKDAYS(O507, P507) &lt;= 0,
        1,
        NETWORKDAYS(O507, P507) - IF(O507 = P507, 0, 1)
    ))
)</f>
        <v/>
      </c>
      <c r="U507" s="50" t="str">
        <f>IF(
    OR(ISBLANK(P507), ISBLANK(Q507)),
    "",
    MAX(1, IF(
        NETWORKDAYS(P507, Q507) &lt;= 0,
        1,
        NETWORKDAYS(P507, Q507) - IF(P507 = Q507, 0, 1)
    ))
)</f>
        <v/>
      </c>
      <c r="V507" s="50" t="str">
        <f t="shared" si="48"/>
        <v/>
      </c>
      <c r="W507" s="50"/>
      <c r="X507" s="50"/>
      <c r="Y507" s="50"/>
      <c r="Z507" s="50"/>
      <c r="AA507" s="50"/>
    </row>
    <row r="508" spans="1:27" ht="25.5" customHeight="1">
      <c r="A508" s="517" t="s">
        <v>776</v>
      </c>
      <c r="B508" s="51" t="s">
        <v>1028</v>
      </c>
      <c r="C508" s="51" t="s">
        <v>143</v>
      </c>
      <c r="D508" s="51" t="s">
        <v>1056</v>
      </c>
      <c r="E508" s="50">
        <v>1909</v>
      </c>
      <c r="F508" s="50">
        <v>1785</v>
      </c>
      <c r="G508" s="50" t="s">
        <v>3404</v>
      </c>
      <c r="H508" s="50">
        <v>2025</v>
      </c>
      <c r="I508" s="132">
        <v>45728</v>
      </c>
      <c r="J508" s="50" t="s">
        <v>3416</v>
      </c>
      <c r="K508" s="50" t="s">
        <v>200</v>
      </c>
      <c r="L508" s="50" t="s">
        <v>328</v>
      </c>
      <c r="M508" s="50" t="s">
        <v>1982</v>
      </c>
      <c r="N508" s="50" t="s">
        <v>4069</v>
      </c>
      <c r="O508" s="60">
        <v>45732</v>
      </c>
      <c r="P508" s="60">
        <v>45733</v>
      </c>
      <c r="Q508" s="60">
        <v>45734</v>
      </c>
      <c r="R508" s="60">
        <v>45735</v>
      </c>
      <c r="S508" s="50">
        <f t="shared" si="45"/>
        <v>2</v>
      </c>
      <c r="T508" s="50">
        <f>IF(
    OR(ISBLANK(P508), ISBLANK(Q508)),
    "",
    MAX(1, IF(
        NETWORKDAYS(P508, Q508) &lt;= 0,
        1,
        NETWORKDAYS(P508, Q508) - IF(P508 = Q508, 0, 1)
    ))
)</f>
        <v>1</v>
      </c>
      <c r="U508" s="50">
        <f>IF(
    OR(ISBLANK(P508), ISBLANK(Q508)),
    "",
    MAX(1, IF(
        NETWORKDAYS(P508, Q508) &lt;= 0,
        1,
        NETWORKDAYS(P508, Q508) - IF(P508 = Q508, 0, 1)
    ))
)</f>
        <v>1</v>
      </c>
      <c r="V508" s="50">
        <f t="shared" si="48"/>
        <v>1</v>
      </c>
      <c r="W508" s="50" t="s">
        <v>150</v>
      </c>
      <c r="X508" s="50" t="s">
        <v>1078</v>
      </c>
      <c r="Y508" s="50" t="s">
        <v>50</v>
      </c>
      <c r="Z508" s="50" t="s">
        <v>3406</v>
      </c>
      <c r="AA508" s="50"/>
    </row>
    <row r="509" spans="1:27" ht="25.5" customHeight="1">
      <c r="A509" s="517" t="s">
        <v>776</v>
      </c>
      <c r="B509" s="51" t="s">
        <v>1028</v>
      </c>
      <c r="C509" s="51" t="s">
        <v>143</v>
      </c>
      <c r="D509" s="51" t="s">
        <v>4070</v>
      </c>
      <c r="E509" s="50">
        <v>8347</v>
      </c>
      <c r="F509" s="50">
        <v>9528</v>
      </c>
      <c r="G509" s="50" t="s">
        <v>3404</v>
      </c>
      <c r="H509" s="50">
        <v>2025</v>
      </c>
      <c r="I509" s="132">
        <v>45938</v>
      </c>
      <c r="J509" s="50" t="s">
        <v>3128</v>
      </c>
      <c r="K509" s="50" t="s">
        <v>200</v>
      </c>
      <c r="L509" s="50" t="s">
        <v>1838</v>
      </c>
      <c r="M509" s="50" t="s">
        <v>1982</v>
      </c>
      <c r="N509" s="50" t="s">
        <v>4071</v>
      </c>
      <c r="O509" s="60">
        <v>45942</v>
      </c>
      <c r="P509" s="60">
        <v>45944</v>
      </c>
      <c r="Q509" s="60">
        <v>45945</v>
      </c>
      <c r="R509" s="60">
        <v>45950</v>
      </c>
      <c r="S509" s="50">
        <f t="shared" si="45"/>
        <v>2</v>
      </c>
      <c r="T509" s="50">
        <f>IF(
    OR(ISBLANK(P509), ISBLANK(Q509)),
    "",
    MAX(1, IF(
        NETWORKDAYS(P509, Q509) &lt;= 0,
        1,
        NETWORKDAYS(P509, Q509) - IF(P509 = Q509, 0, 1)
    ))
)</f>
        <v>1</v>
      </c>
      <c r="U509" s="50">
        <f>IF(
    OR(ISBLANK(P509), ISBLANK(Q509)),
    "",
    MAX(1, IF(
        NETWORKDAYS(P509, Q509) &lt;= 0,
        1,
        NETWORKDAYS(P509, Q509) - IF(P509 = Q509, 0, 1)
    ))
)</f>
        <v>1</v>
      </c>
      <c r="V509" s="50">
        <f t="shared" si="48"/>
        <v>3</v>
      </c>
      <c r="W509" s="50" t="s">
        <v>150</v>
      </c>
      <c r="X509" s="50" t="s">
        <v>3527</v>
      </c>
      <c r="Y509" s="50" t="s">
        <v>3528</v>
      </c>
      <c r="Z509" s="50" t="s">
        <v>3406</v>
      </c>
      <c r="AA509" s="50"/>
    </row>
    <row r="510" spans="1:27" ht="25.5" customHeight="1">
      <c r="A510" s="517" t="s">
        <v>776</v>
      </c>
      <c r="B510" s="51" t="s">
        <v>1028</v>
      </c>
      <c r="C510" s="51" t="s">
        <v>143</v>
      </c>
      <c r="D510" s="51" t="s">
        <v>858</v>
      </c>
      <c r="E510" s="50">
        <v>5437</v>
      </c>
      <c r="F510" s="50">
        <v>5661</v>
      </c>
      <c r="G510" s="50" t="s">
        <v>3955</v>
      </c>
      <c r="H510" s="50"/>
      <c r="I510" s="105"/>
      <c r="J510" s="50"/>
      <c r="K510" s="50"/>
      <c r="L510" s="50" t="s">
        <v>328</v>
      </c>
      <c r="M510" s="50" t="s">
        <v>1982</v>
      </c>
      <c r="N510" s="50"/>
      <c r="O510" s="50"/>
      <c r="P510" s="50"/>
      <c r="Q510" s="50"/>
      <c r="R510" s="50"/>
      <c r="S510" s="50" t="str">
        <f t="shared" si="45"/>
        <v/>
      </c>
      <c r="T510" s="50" t="str">
        <f>IF(
    OR(ISBLANK(O510), ISBLANK(P510)),
    "",
    MAX(1, IF(
        NETWORKDAYS(O510, P510) &lt;= 0,
        1,
        NETWORKDAYS(O510, P510) - IF(O510 = P510, 0, 1)
    ))
)</f>
        <v/>
      </c>
      <c r="U510" s="50" t="str">
        <f>IF(
    OR(ISBLANK(P510), ISBLANK(Q510)),
    "",
    MAX(1, IF(
        NETWORKDAYS(P510, Q510) &lt;= 0,
        1,
        NETWORKDAYS(P510, Q510) - IF(P510 = Q510, 0, 1)
    ))
)</f>
        <v/>
      </c>
      <c r="V510" s="50" t="str">
        <f t="shared" si="48"/>
        <v/>
      </c>
      <c r="W510" s="50"/>
      <c r="X510" s="50"/>
      <c r="Y510" s="50"/>
      <c r="Z510" s="50"/>
      <c r="AA510" s="50"/>
    </row>
    <row r="511" spans="1:27" ht="25.5" customHeight="1">
      <c r="A511" s="517" t="s">
        <v>776</v>
      </c>
      <c r="B511" s="51" t="s">
        <v>1028</v>
      </c>
      <c r="C511" s="51" t="s">
        <v>143</v>
      </c>
      <c r="D511" s="51" t="s">
        <v>4072</v>
      </c>
      <c r="E511" s="50">
        <v>2255</v>
      </c>
      <c r="F511" s="50">
        <v>2671</v>
      </c>
      <c r="G511" s="50" t="s">
        <v>3404</v>
      </c>
      <c r="H511" s="50">
        <v>2025</v>
      </c>
      <c r="I511" s="132">
        <v>45883</v>
      </c>
      <c r="J511" s="50" t="s">
        <v>3126</v>
      </c>
      <c r="K511" s="50" t="s">
        <v>200</v>
      </c>
      <c r="L511" s="50" t="s">
        <v>328</v>
      </c>
      <c r="M511" s="50" t="s">
        <v>1982</v>
      </c>
      <c r="N511" s="50" t="s">
        <v>4073</v>
      </c>
      <c r="O511" s="60">
        <v>45887</v>
      </c>
      <c r="P511" s="50"/>
      <c r="Q511" s="60">
        <v>45888</v>
      </c>
      <c r="R511" s="60">
        <v>45888</v>
      </c>
      <c r="S511" s="50">
        <f t="shared" si="45"/>
        <v>2</v>
      </c>
      <c r="T511" s="50" t="str">
        <f>IF(
    OR(ISBLANK(O511), ISBLANK(P511)),
    "",
    MAX(1, IF(
        NETWORKDAYS(O511, P511) &lt;= 0,
        1,
        NETWORKDAYS(O511:P511, Q511) - IF(P511 = Q511, 0, 1)
    ))
)</f>
        <v/>
      </c>
      <c r="U511" s="50">
        <f>IF(
    OR(ISBLANK(O511), ISBLANK(Q511)),
    "",
    MAX(1, IF(
        NETWORKDAYS(O511, Q511) &lt;= 0,
        1,
        NETWORKDAYS(O511, Q511) - IF(O511 = Q511, 0, 1)
    ))
)</f>
        <v>1</v>
      </c>
      <c r="V511" s="50">
        <f t="shared" si="48"/>
        <v>1</v>
      </c>
      <c r="W511" s="50" t="s">
        <v>150</v>
      </c>
      <c r="X511" s="50" t="s">
        <v>1078</v>
      </c>
      <c r="Y511" s="50" t="s">
        <v>50</v>
      </c>
      <c r="Z511" s="50" t="s">
        <v>3406</v>
      </c>
      <c r="AA511" s="50"/>
    </row>
    <row r="512" spans="1:27" ht="25.5" customHeight="1">
      <c r="A512" s="517" t="s">
        <v>776</v>
      </c>
      <c r="B512" s="51" t="s">
        <v>1028</v>
      </c>
      <c r="C512" s="51" t="s">
        <v>143</v>
      </c>
      <c r="D512" s="51" t="s">
        <v>1151</v>
      </c>
      <c r="E512" s="50">
        <v>4998</v>
      </c>
      <c r="F512" s="50">
        <v>6005</v>
      </c>
      <c r="G512" s="50" t="s">
        <v>3955</v>
      </c>
      <c r="H512" s="50"/>
      <c r="I512" s="105"/>
      <c r="J512" s="50"/>
      <c r="K512" s="50"/>
      <c r="L512" s="50" t="s">
        <v>328</v>
      </c>
      <c r="M512" s="50" t="s">
        <v>1982</v>
      </c>
      <c r="N512" s="50"/>
      <c r="O512" s="50"/>
      <c r="P512" s="50"/>
      <c r="Q512" s="50"/>
      <c r="R512" s="50"/>
      <c r="S512" s="50" t="str">
        <f t="shared" si="45"/>
        <v/>
      </c>
      <c r="T512" s="50" t="str">
        <f>IF(
    OR(ISBLANK(O512), ISBLANK(P512)),
    "",
    MAX(1, IF(
        NETWORKDAYS(O512, P512) &lt;= 0,
        1,
        NETWORKDAYS(O512, P512) - IF(O512 = P512, 0, 1)
    ))
)</f>
        <v/>
      </c>
      <c r="U512" s="50" t="str">
        <f>IF(
    OR(ISBLANK(P512), ISBLANK(Q512)),
    "",
    MAX(1, IF(
        NETWORKDAYS(P512, Q512) &lt;= 0,
        1,
        NETWORKDAYS(P512, Q512) - IF(P512 = Q512, 0, 1)
    ))
)</f>
        <v/>
      </c>
      <c r="V512" s="50" t="str">
        <f t="shared" si="48"/>
        <v/>
      </c>
      <c r="W512" s="50"/>
      <c r="X512" s="50"/>
      <c r="Y512" s="50"/>
      <c r="Z512" s="50"/>
      <c r="AA512" s="50"/>
    </row>
    <row r="513" spans="1:27" ht="25.5" customHeight="1">
      <c r="A513" s="517" t="s">
        <v>776</v>
      </c>
      <c r="B513" s="51" t="s">
        <v>1028</v>
      </c>
      <c r="C513" s="51" t="s">
        <v>143</v>
      </c>
      <c r="D513" s="51" t="s">
        <v>3565</v>
      </c>
      <c r="E513" s="50">
        <v>2206</v>
      </c>
      <c r="F513" s="50">
        <v>2460</v>
      </c>
      <c r="G513" s="50" t="s">
        <v>3955</v>
      </c>
      <c r="H513" s="50"/>
      <c r="I513" s="105"/>
      <c r="J513" s="50"/>
      <c r="K513" s="50"/>
      <c r="L513" s="50" t="s">
        <v>328</v>
      </c>
      <c r="M513" s="50" t="s">
        <v>1982</v>
      </c>
      <c r="N513" s="50"/>
      <c r="O513" s="50"/>
      <c r="P513" s="50"/>
      <c r="Q513" s="50"/>
      <c r="R513" s="50"/>
      <c r="S513" s="50" t="str">
        <f t="shared" si="45"/>
        <v/>
      </c>
      <c r="T513" s="50" t="str">
        <f>IF(
    OR(ISBLANK(O513), ISBLANK(P513)),
    "",
    MAX(1, IF(
        NETWORKDAYS(O513, P513) &lt;= 0,
        1,
        NETWORKDAYS(O513, P513) - IF(O513 = P513, 0, 1)
    ))
)</f>
        <v/>
      </c>
      <c r="U513" s="50" t="str">
        <f>IF(
    OR(ISBLANK(P513), ISBLANK(Q513)),
    "",
    MAX(1, IF(
        NETWORKDAYS(P513, Q513) &lt;= 0,
        1,
        NETWORKDAYS(P513, Q513) - IF(P513 = Q513, 0, 1)
    ))
)</f>
        <v/>
      </c>
      <c r="V513" s="50" t="str">
        <f t="shared" si="48"/>
        <v/>
      </c>
      <c r="W513" s="50"/>
      <c r="X513" s="50"/>
      <c r="Y513" s="50"/>
      <c r="Z513" s="50"/>
      <c r="AA513" s="50"/>
    </row>
    <row r="514" spans="1:27" ht="25.5" customHeight="1">
      <c r="A514" s="517" t="s">
        <v>776</v>
      </c>
      <c r="B514" s="51" t="s">
        <v>1028</v>
      </c>
      <c r="C514" s="51" t="s">
        <v>143</v>
      </c>
      <c r="D514" s="51" t="s">
        <v>3727</v>
      </c>
      <c r="E514" s="50">
        <v>1955</v>
      </c>
      <c r="F514" s="50">
        <v>2544</v>
      </c>
      <c r="G514" s="50" t="s">
        <v>3404</v>
      </c>
      <c r="H514" s="50">
        <v>2025</v>
      </c>
      <c r="I514" s="132">
        <v>45935</v>
      </c>
      <c r="J514" s="50" t="s">
        <v>3128</v>
      </c>
      <c r="K514" s="50" t="s">
        <v>200</v>
      </c>
      <c r="L514" s="50" t="s">
        <v>1838</v>
      </c>
      <c r="M514" s="50" t="s">
        <v>1982</v>
      </c>
      <c r="N514" s="50" t="s">
        <v>4074</v>
      </c>
      <c r="O514" s="60">
        <v>45942</v>
      </c>
      <c r="P514" s="60">
        <v>45944</v>
      </c>
      <c r="Q514" s="60">
        <v>45945</v>
      </c>
      <c r="R514" s="60">
        <v>45950</v>
      </c>
      <c r="S514" s="50">
        <f t="shared" si="45"/>
        <v>4</v>
      </c>
      <c r="T514" s="50">
        <f>IF(
    OR(ISBLANK(P514), ISBLANK(Q514)),
    "",
    MAX(1, IF(
        NETWORKDAYS(P514, Q514) &lt;= 0,
        1,
        NETWORKDAYS(P514, Q514) - IF(P514 = Q514, 0, 1)
    ))
)</f>
        <v>1</v>
      </c>
      <c r="U514" s="50">
        <f t="shared" ref="U514:U539" si="52">IF(
    OR(ISBLANK(P514), ISBLANK(Q514)),
    "",
    MAX(1, IF(
        NETWORKDAYS(P514, Q514) &lt;= 0,
        1,
        NETWORKDAYS(P514, Q514) - IF(P514 = Q514, 0, 1)
    ))
)</f>
        <v>1</v>
      </c>
      <c r="V514" s="50">
        <f t="shared" si="48"/>
        <v>3</v>
      </c>
      <c r="W514" s="50" t="s">
        <v>150</v>
      </c>
      <c r="X514" s="50" t="s">
        <v>3527</v>
      </c>
      <c r="Y514" s="50" t="s">
        <v>3528</v>
      </c>
      <c r="Z514" s="50" t="s">
        <v>3406</v>
      </c>
      <c r="AA514" s="50"/>
    </row>
    <row r="515" spans="1:27" ht="25.5" customHeight="1">
      <c r="A515" s="517" t="s">
        <v>776</v>
      </c>
      <c r="B515" s="51" t="s">
        <v>1028</v>
      </c>
      <c r="C515" s="51" t="s">
        <v>143</v>
      </c>
      <c r="D515" s="51" t="s">
        <v>2128</v>
      </c>
      <c r="E515" s="50">
        <v>2762</v>
      </c>
      <c r="F515" s="50">
        <v>3140</v>
      </c>
      <c r="G515" s="50" t="s">
        <v>3955</v>
      </c>
      <c r="H515" s="50"/>
      <c r="I515" s="105"/>
      <c r="J515" s="50"/>
      <c r="K515" s="50"/>
      <c r="L515" s="50" t="s">
        <v>328</v>
      </c>
      <c r="M515" s="50" t="s">
        <v>1982</v>
      </c>
      <c r="N515" s="50"/>
      <c r="O515" s="50"/>
      <c r="P515" s="50"/>
      <c r="Q515" s="50"/>
      <c r="R515" s="50"/>
      <c r="S515" s="50" t="str">
        <f t="shared" si="45"/>
        <v/>
      </c>
      <c r="T515" s="50" t="str">
        <f>IF(
    OR(ISBLANK(O515), ISBLANK(P515)),
    "",
    MAX(1, IF(
        NETWORKDAYS(O515, P515) &lt;= 0,
        1,
        NETWORKDAYS(O515, P515) - IF(O515 = P515, 0, 1)
    ))
)</f>
        <v/>
      </c>
      <c r="U515" s="50" t="str">
        <f t="shared" si="52"/>
        <v/>
      </c>
      <c r="V515" s="50" t="str">
        <f t="shared" si="48"/>
        <v/>
      </c>
      <c r="W515" s="50"/>
      <c r="X515" s="50"/>
      <c r="Y515" s="50"/>
      <c r="Z515" s="50"/>
      <c r="AA515" s="50"/>
    </row>
    <row r="516" spans="1:27" ht="25.5" customHeight="1">
      <c r="A516" s="517" t="s">
        <v>776</v>
      </c>
      <c r="B516" s="51" t="s">
        <v>1028</v>
      </c>
      <c r="C516" s="51" t="s">
        <v>143</v>
      </c>
      <c r="D516" s="51" t="s">
        <v>4075</v>
      </c>
      <c r="E516" s="50">
        <v>1967</v>
      </c>
      <c r="F516" s="50">
        <v>1727</v>
      </c>
      <c r="G516" s="50" t="s">
        <v>3955</v>
      </c>
      <c r="H516" s="50"/>
      <c r="I516" s="105"/>
      <c r="J516" s="50"/>
      <c r="K516" s="50"/>
      <c r="L516" s="50" t="s">
        <v>328</v>
      </c>
      <c r="M516" s="50" t="s">
        <v>1982</v>
      </c>
      <c r="N516" s="50"/>
      <c r="O516" s="50"/>
      <c r="P516" s="50"/>
      <c r="Q516" s="50"/>
      <c r="R516" s="50"/>
      <c r="S516" s="50" t="str">
        <f t="shared" si="45"/>
        <v/>
      </c>
      <c r="T516" s="50" t="str">
        <f>IF(
    OR(ISBLANK(O516), ISBLANK(P516)),
    "",
    MAX(1, IF(
        NETWORKDAYS(O516, P516) &lt;= 0,
        1,
        NETWORKDAYS(O516, P516) - IF(O516 = P516, 0, 1)
    ))
)</f>
        <v/>
      </c>
      <c r="U516" s="50" t="str">
        <f t="shared" si="52"/>
        <v/>
      </c>
      <c r="V516" s="50" t="str">
        <f t="shared" si="48"/>
        <v/>
      </c>
      <c r="W516" s="50"/>
      <c r="X516" s="50"/>
      <c r="Y516" s="50"/>
      <c r="Z516" s="50"/>
      <c r="AA516" s="50"/>
    </row>
    <row r="517" spans="1:27" ht="25.5" customHeight="1">
      <c r="A517" s="517" t="s">
        <v>776</v>
      </c>
      <c r="B517" s="51" t="s">
        <v>1028</v>
      </c>
      <c r="C517" s="51" t="s">
        <v>143</v>
      </c>
      <c r="D517" s="51" t="s">
        <v>4076</v>
      </c>
      <c r="E517" s="50">
        <v>1444</v>
      </c>
      <c r="F517" s="50">
        <v>1059</v>
      </c>
      <c r="G517" s="50" t="s">
        <v>3404</v>
      </c>
      <c r="H517" s="50">
        <v>2025</v>
      </c>
      <c r="I517" s="132">
        <v>45938</v>
      </c>
      <c r="J517" s="50" t="s">
        <v>3128</v>
      </c>
      <c r="K517" s="50" t="s">
        <v>200</v>
      </c>
      <c r="L517" s="50" t="s">
        <v>1838</v>
      </c>
      <c r="M517" s="50" t="s">
        <v>1982</v>
      </c>
      <c r="N517" s="50" t="s">
        <v>4077</v>
      </c>
      <c r="O517" s="60">
        <v>45942</v>
      </c>
      <c r="P517" s="60">
        <v>45944</v>
      </c>
      <c r="Q517" s="60">
        <v>45945</v>
      </c>
      <c r="R517" s="60">
        <v>45950</v>
      </c>
      <c r="S517" s="50">
        <f t="shared" si="45"/>
        <v>2</v>
      </c>
      <c r="T517" s="50">
        <f>IF(
    OR(ISBLANK(P517), ISBLANK(Q517)),
    "",
    MAX(1, IF(
        NETWORKDAYS(P517, Q517) &lt;= 0,
        1,
        NETWORKDAYS(P517, Q517) - IF(P517 = Q517, 0, 1)
    ))
)</f>
        <v>1</v>
      </c>
      <c r="U517" s="50">
        <f t="shared" si="52"/>
        <v>1</v>
      </c>
      <c r="V517" s="50">
        <f t="shared" si="48"/>
        <v>3</v>
      </c>
      <c r="W517" s="50" t="s">
        <v>150</v>
      </c>
      <c r="X517" s="50" t="s">
        <v>3527</v>
      </c>
      <c r="Y517" s="50" t="s">
        <v>3528</v>
      </c>
      <c r="Z517" s="50" t="s">
        <v>3406</v>
      </c>
      <c r="AA517" s="50"/>
    </row>
    <row r="518" spans="1:27" ht="25.5" customHeight="1">
      <c r="A518" s="517" t="s">
        <v>776</v>
      </c>
      <c r="B518" s="51" t="s">
        <v>4078</v>
      </c>
      <c r="C518" s="51" t="s">
        <v>143</v>
      </c>
      <c r="D518" s="51" t="s">
        <v>4079</v>
      </c>
      <c r="E518" s="50">
        <v>5833</v>
      </c>
      <c r="F518" s="50">
        <v>5852</v>
      </c>
      <c r="G518" s="50" t="s">
        <v>3404</v>
      </c>
      <c r="H518" s="50">
        <v>2025</v>
      </c>
      <c r="I518" s="132">
        <v>45909</v>
      </c>
      <c r="J518" s="50" t="s">
        <v>3988</v>
      </c>
      <c r="K518" s="50" t="s">
        <v>200</v>
      </c>
      <c r="L518" s="50" t="s">
        <v>1838</v>
      </c>
      <c r="M518" s="50" t="s">
        <v>1982</v>
      </c>
      <c r="N518" s="50" t="s">
        <v>4080</v>
      </c>
      <c r="O518" s="60">
        <v>45915</v>
      </c>
      <c r="P518" s="60">
        <v>45917</v>
      </c>
      <c r="Q518" s="60">
        <v>45917</v>
      </c>
      <c r="R518" s="60">
        <v>45918</v>
      </c>
      <c r="S518" s="50">
        <f t="shared" si="45"/>
        <v>4</v>
      </c>
      <c r="T518" s="50">
        <f>IF(
    OR(ISBLANK(P518), ISBLANK(Q518)),
    "",
    MAX(1, IF(
        NETWORKDAYS(P518, Q518) &lt;= 0,
        1,
        NETWORKDAYS(P518, Q518) - IF(P518 = Q518, 0, 1)
    ))
)</f>
        <v>1</v>
      </c>
      <c r="U518" s="50">
        <f t="shared" si="52"/>
        <v>1</v>
      </c>
      <c r="V518" s="50">
        <f t="shared" si="48"/>
        <v>1</v>
      </c>
      <c r="W518" s="50" t="s">
        <v>150</v>
      </c>
      <c r="X518" s="50" t="s">
        <v>3527</v>
      </c>
      <c r="Y518" s="50" t="s">
        <v>3528</v>
      </c>
      <c r="Z518" s="50" t="s">
        <v>3406</v>
      </c>
      <c r="AA518" s="50"/>
    </row>
    <row r="519" spans="1:27" ht="25.5" customHeight="1">
      <c r="A519" s="517" t="s">
        <v>776</v>
      </c>
      <c r="B519" s="51" t="s">
        <v>4078</v>
      </c>
      <c r="C519" s="51" t="s">
        <v>143</v>
      </c>
      <c r="D519" s="51" t="s">
        <v>4081</v>
      </c>
      <c r="E519" s="50">
        <v>3078</v>
      </c>
      <c r="F519" s="50">
        <v>3013</v>
      </c>
      <c r="G519" s="50" t="s">
        <v>3404</v>
      </c>
      <c r="H519" s="50">
        <v>2025</v>
      </c>
      <c r="I519" s="132">
        <v>45692</v>
      </c>
      <c r="J519" s="50" t="s">
        <v>3458</v>
      </c>
      <c r="K519" s="50" t="s">
        <v>200</v>
      </c>
      <c r="L519" s="50" t="s">
        <v>328</v>
      </c>
      <c r="M519" s="50" t="s">
        <v>1982</v>
      </c>
      <c r="N519" s="50" t="s">
        <v>4082</v>
      </c>
      <c r="O519" s="60">
        <v>45695</v>
      </c>
      <c r="P519" s="60">
        <v>45695</v>
      </c>
      <c r="Q519" s="60">
        <v>45698</v>
      </c>
      <c r="R519" s="60">
        <v>45701</v>
      </c>
      <c r="S519" s="50">
        <f t="shared" ref="S519:S582" si="53">IF(
    OR(ISBLANK(I519), ISBLANK(O519)),
    "",
    MAX(1, IF(
        NETWORKDAYS(I519, O519) &lt;= 0,
        1,
        NETWORKDAYS(I519, O519) - IF(I519 = O519, 0, 1)
    ))
)</f>
        <v>3</v>
      </c>
      <c r="T519" s="50">
        <f>IF(
    OR(ISBLANK(P519), ISBLANK(Q519)),
    "",
    MAX(1, IF(
        NETWORKDAYS(P519, Q519) &lt;= 0,
        1,
        NETWORKDAYS(P519, Q519) - IF(P519 = Q519, 0, 1)
    ))
)</f>
        <v>1</v>
      </c>
      <c r="U519" s="50">
        <f t="shared" si="52"/>
        <v>1</v>
      </c>
      <c r="V519" s="50">
        <f t="shared" si="48"/>
        <v>3</v>
      </c>
      <c r="W519" s="50" t="s">
        <v>150</v>
      </c>
      <c r="X519" s="50" t="s">
        <v>1078</v>
      </c>
      <c r="Y519" s="50" t="s">
        <v>50</v>
      </c>
      <c r="Z519" s="50" t="s">
        <v>3406</v>
      </c>
      <c r="AA519" s="50"/>
    </row>
    <row r="520" spans="1:27" s="110" customFormat="1" ht="25.5" customHeight="1">
      <c r="A520" s="517" t="s">
        <v>776</v>
      </c>
      <c r="B520" s="51" t="s">
        <v>4078</v>
      </c>
      <c r="C520" s="51" t="s">
        <v>143</v>
      </c>
      <c r="D520" s="51" t="s">
        <v>4083</v>
      </c>
      <c r="E520" s="50">
        <v>5294</v>
      </c>
      <c r="F520" s="50">
        <v>4675</v>
      </c>
      <c r="G520" s="50" t="s">
        <v>3404</v>
      </c>
      <c r="H520" s="50">
        <v>2025</v>
      </c>
      <c r="I520" s="132">
        <v>45723</v>
      </c>
      <c r="J520" s="50" t="s">
        <v>3416</v>
      </c>
      <c r="K520" s="50" t="s">
        <v>200</v>
      </c>
      <c r="L520" s="50" t="s">
        <v>328</v>
      </c>
      <c r="M520" s="50" t="s">
        <v>1982</v>
      </c>
      <c r="N520" s="50" t="s">
        <v>4084</v>
      </c>
      <c r="O520" s="60">
        <v>45725</v>
      </c>
      <c r="P520" s="60">
        <v>45733</v>
      </c>
      <c r="Q520" s="60">
        <v>45733</v>
      </c>
      <c r="R520" s="60">
        <v>45735</v>
      </c>
      <c r="S520" s="50">
        <f t="shared" si="53"/>
        <v>1</v>
      </c>
      <c r="T520" s="50">
        <f>IF(
    OR(ISBLANK(P520), ISBLANK(Q520)),
    "",
    MAX(1, IF(
        NETWORKDAYS(P520, Q520) &lt;= 0,
        1,
        NETWORKDAYS(P520, Q520) - IF(P520 = Q520, 0, 1)
    ))
)</f>
        <v>1</v>
      </c>
      <c r="U520" s="50">
        <f t="shared" si="52"/>
        <v>1</v>
      </c>
      <c r="V520" s="50">
        <f t="shared" si="48"/>
        <v>2</v>
      </c>
      <c r="W520" s="50" t="s">
        <v>150</v>
      </c>
      <c r="X520" s="50" t="s">
        <v>1078</v>
      </c>
      <c r="Y520" s="50" t="s">
        <v>50</v>
      </c>
      <c r="Z520" s="50" t="s">
        <v>3406</v>
      </c>
      <c r="AA520" s="50"/>
    </row>
    <row r="521" spans="1:27" ht="25.5" customHeight="1">
      <c r="A521" s="517" t="s">
        <v>776</v>
      </c>
      <c r="B521" s="51" t="s">
        <v>4078</v>
      </c>
      <c r="C521" s="51" t="s">
        <v>143</v>
      </c>
      <c r="D521" s="51" t="s">
        <v>4085</v>
      </c>
      <c r="E521" s="50">
        <v>958</v>
      </c>
      <c r="F521" s="50">
        <v>741</v>
      </c>
      <c r="G521" s="50" t="s">
        <v>3955</v>
      </c>
      <c r="H521" s="50"/>
      <c r="I521" s="105"/>
      <c r="J521" s="50"/>
      <c r="K521" s="50" t="s">
        <v>200</v>
      </c>
      <c r="L521" s="50" t="s">
        <v>328</v>
      </c>
      <c r="M521" s="50" t="s">
        <v>1982</v>
      </c>
      <c r="N521" s="50"/>
      <c r="O521" s="50"/>
      <c r="P521" s="50"/>
      <c r="Q521" s="50"/>
      <c r="R521" s="50"/>
      <c r="S521" s="50" t="str">
        <f t="shared" si="53"/>
        <v/>
      </c>
      <c r="T521" s="50" t="str">
        <f>IF(
    OR(ISBLANK(O521), ISBLANK(P521)),
    "",
    MAX(1, IF(
        NETWORKDAYS(O521, P521) &lt;= 0,
        1,
        NETWORKDAYS(O521, P521) - IF(O521 = P521, 0, 1)
    ))
)</f>
        <v/>
      </c>
      <c r="U521" s="50" t="str">
        <f t="shared" si="52"/>
        <v/>
      </c>
      <c r="V521" s="50" t="str">
        <f t="shared" si="48"/>
        <v/>
      </c>
      <c r="W521" s="50"/>
      <c r="X521" s="50"/>
      <c r="Y521" s="50"/>
      <c r="Z521" s="50"/>
      <c r="AA521" s="50"/>
    </row>
    <row r="522" spans="1:27" ht="25.5" customHeight="1">
      <c r="A522" s="517" t="s">
        <v>776</v>
      </c>
      <c r="B522" s="51" t="s">
        <v>4078</v>
      </c>
      <c r="C522" s="51" t="s">
        <v>143</v>
      </c>
      <c r="D522" s="51" t="s">
        <v>4086</v>
      </c>
      <c r="E522" s="50">
        <v>5321</v>
      </c>
      <c r="F522" s="50">
        <v>4947</v>
      </c>
      <c r="G522" s="50" t="s">
        <v>3955</v>
      </c>
      <c r="H522" s="50"/>
      <c r="I522" s="105"/>
      <c r="J522" s="50"/>
      <c r="K522" s="50" t="s">
        <v>200</v>
      </c>
      <c r="L522" s="50" t="s">
        <v>328</v>
      </c>
      <c r="M522" s="50" t="s">
        <v>1982</v>
      </c>
      <c r="N522" s="50"/>
      <c r="O522" s="50"/>
      <c r="P522" s="50"/>
      <c r="Q522" s="50"/>
      <c r="R522" s="50"/>
      <c r="S522" s="50" t="str">
        <f t="shared" si="53"/>
        <v/>
      </c>
      <c r="T522" s="50" t="str">
        <f>IF(
    OR(ISBLANK(O522), ISBLANK(P522)),
    "",
    MAX(1, IF(
        NETWORKDAYS(O522, P522) &lt;= 0,
        1,
        NETWORKDAYS(O522, P522) - IF(O522 = P522, 0, 1)
    ))
)</f>
        <v/>
      </c>
      <c r="U522" s="50" t="str">
        <f t="shared" si="52"/>
        <v/>
      </c>
      <c r="V522" s="50" t="str">
        <f t="shared" si="48"/>
        <v/>
      </c>
      <c r="W522" s="50"/>
      <c r="X522" s="50"/>
      <c r="Y522" s="50"/>
      <c r="Z522" s="50"/>
      <c r="AA522" s="50"/>
    </row>
    <row r="523" spans="1:27" s="110" customFormat="1" ht="25.5" customHeight="1">
      <c r="A523" s="517" t="s">
        <v>776</v>
      </c>
      <c r="B523" s="51" t="s">
        <v>4078</v>
      </c>
      <c r="C523" s="51" t="s">
        <v>143</v>
      </c>
      <c r="D523" s="51" t="s">
        <v>4087</v>
      </c>
      <c r="E523" s="50">
        <v>3688</v>
      </c>
      <c r="F523" s="50">
        <v>3068</v>
      </c>
      <c r="G523" s="50" t="s">
        <v>3404</v>
      </c>
      <c r="H523" s="50">
        <v>2025</v>
      </c>
      <c r="I523" s="132">
        <v>45945</v>
      </c>
      <c r="J523" s="50" t="s">
        <v>3129</v>
      </c>
      <c r="K523" s="50" t="s">
        <v>200</v>
      </c>
      <c r="L523" s="50" t="s">
        <v>1838</v>
      </c>
      <c r="M523" s="50" t="s">
        <v>1982</v>
      </c>
      <c r="N523" s="50" t="s">
        <v>4088</v>
      </c>
      <c r="O523" s="60">
        <v>45946</v>
      </c>
      <c r="P523" s="60">
        <v>45947</v>
      </c>
      <c r="Q523" s="60">
        <v>45950</v>
      </c>
      <c r="R523" s="60">
        <v>45950</v>
      </c>
      <c r="S523" s="50">
        <f t="shared" si="53"/>
        <v>1</v>
      </c>
      <c r="T523" s="50">
        <f>IF(
    OR(ISBLANK(P523), ISBLANK(Q523)),
    "",
    MAX(1, IF(
        NETWORKDAYS(P523, Q523) &lt;= 0,
        1,
        NETWORKDAYS(P523, Q523) - IF(P523 = Q523, 0, 1)
    ))
)</f>
        <v>1</v>
      </c>
      <c r="U523" s="50">
        <f t="shared" si="52"/>
        <v>1</v>
      </c>
      <c r="V523" s="50">
        <f t="shared" si="48"/>
        <v>1</v>
      </c>
      <c r="W523" s="50" t="s">
        <v>150</v>
      </c>
      <c r="X523" s="50" t="s">
        <v>1078</v>
      </c>
      <c r="Y523" s="50" t="s">
        <v>50</v>
      </c>
      <c r="Z523" s="50" t="s">
        <v>3406</v>
      </c>
      <c r="AA523" s="50"/>
    </row>
    <row r="524" spans="1:27" ht="25.5" customHeight="1">
      <c r="A524" s="517" t="s">
        <v>776</v>
      </c>
      <c r="B524" s="51" t="s">
        <v>4078</v>
      </c>
      <c r="C524" s="51" t="s">
        <v>143</v>
      </c>
      <c r="D524" s="51" t="s">
        <v>4089</v>
      </c>
      <c r="E524" s="50">
        <v>3338</v>
      </c>
      <c r="F524" s="50">
        <v>3549</v>
      </c>
      <c r="G524" s="50" t="s">
        <v>3955</v>
      </c>
      <c r="H524" s="50"/>
      <c r="I524" s="105"/>
      <c r="J524" s="50"/>
      <c r="K524" s="50" t="s">
        <v>200</v>
      </c>
      <c r="L524" s="50" t="s">
        <v>328</v>
      </c>
      <c r="M524" s="50" t="s">
        <v>1982</v>
      </c>
      <c r="N524" s="50"/>
      <c r="O524" s="50"/>
      <c r="P524" s="50"/>
      <c r="Q524" s="50"/>
      <c r="R524" s="50"/>
      <c r="S524" s="50" t="str">
        <f t="shared" si="53"/>
        <v/>
      </c>
      <c r="T524" s="50" t="str">
        <f>IF(
    OR(ISBLANK(O524), ISBLANK(P524)),
    "",
    MAX(1, IF(
        NETWORKDAYS(O524, P524) &lt;= 0,
        1,
        NETWORKDAYS(O524, P524) - IF(O524 = P524, 0, 1)
    ))
)</f>
        <v/>
      </c>
      <c r="U524" s="50" t="str">
        <f t="shared" si="52"/>
        <v/>
      </c>
      <c r="V524" s="50" t="str">
        <f t="shared" si="48"/>
        <v/>
      </c>
      <c r="W524" s="50"/>
      <c r="X524" s="50"/>
      <c r="Y524" s="50"/>
      <c r="Z524" s="50"/>
      <c r="AA524" s="50"/>
    </row>
    <row r="525" spans="1:27" s="110" customFormat="1" ht="25.5" customHeight="1">
      <c r="A525" s="517" t="s">
        <v>776</v>
      </c>
      <c r="B525" s="51" t="s">
        <v>4078</v>
      </c>
      <c r="C525" s="51" t="s">
        <v>143</v>
      </c>
      <c r="D525" s="51" t="s">
        <v>4045</v>
      </c>
      <c r="E525" s="50">
        <v>2813</v>
      </c>
      <c r="F525" s="50">
        <v>3468</v>
      </c>
      <c r="G525" s="50" t="s">
        <v>3404</v>
      </c>
      <c r="H525" s="50">
        <v>2025</v>
      </c>
      <c r="I525" s="132">
        <v>45945</v>
      </c>
      <c r="J525" s="50" t="s">
        <v>3128</v>
      </c>
      <c r="K525" s="50" t="s">
        <v>200</v>
      </c>
      <c r="L525" s="50" t="s">
        <v>1838</v>
      </c>
      <c r="M525" s="50" t="s">
        <v>1982</v>
      </c>
      <c r="N525" s="50" t="s">
        <v>4090</v>
      </c>
      <c r="O525" s="60">
        <v>45946</v>
      </c>
      <c r="P525" s="60">
        <v>45947</v>
      </c>
      <c r="Q525" s="60">
        <v>45950</v>
      </c>
      <c r="R525" s="60">
        <v>45950</v>
      </c>
      <c r="S525" s="50">
        <f t="shared" si="53"/>
        <v>1</v>
      </c>
      <c r="T525" s="50">
        <f>IF(
    OR(ISBLANK(P525), ISBLANK(Q525)),
    "",
    MAX(1, IF(
        NETWORKDAYS(P525, Q525) &lt;= 0,
        1,
        NETWORKDAYS(P525, Q525) - IF(P525 = Q525, 0, 1)
    ))
)</f>
        <v>1</v>
      </c>
      <c r="U525" s="50">
        <f t="shared" si="52"/>
        <v>1</v>
      </c>
      <c r="V525" s="50">
        <f t="shared" si="48"/>
        <v>1</v>
      </c>
      <c r="W525" s="50" t="s">
        <v>150</v>
      </c>
      <c r="X525" s="50" t="s">
        <v>3527</v>
      </c>
      <c r="Y525" s="50" t="s">
        <v>3528</v>
      </c>
      <c r="Z525" s="50" t="s">
        <v>3406</v>
      </c>
      <c r="AA525" s="50"/>
    </row>
    <row r="526" spans="1:27" ht="25.5" customHeight="1">
      <c r="A526" s="517" t="s">
        <v>776</v>
      </c>
      <c r="B526" s="51" t="s">
        <v>4078</v>
      </c>
      <c r="C526" s="51" t="s">
        <v>143</v>
      </c>
      <c r="D526" s="51" t="s">
        <v>3591</v>
      </c>
      <c r="E526" s="50">
        <v>12437</v>
      </c>
      <c r="F526" s="50">
        <v>12322</v>
      </c>
      <c r="G526" s="50" t="s">
        <v>3404</v>
      </c>
      <c r="H526" s="50">
        <v>2025</v>
      </c>
      <c r="I526" s="132">
        <v>45931</v>
      </c>
      <c r="J526" s="50" t="s">
        <v>3128</v>
      </c>
      <c r="K526" s="50" t="s">
        <v>200</v>
      </c>
      <c r="L526" s="50" t="s">
        <v>1838</v>
      </c>
      <c r="M526" s="50" t="s">
        <v>1982</v>
      </c>
      <c r="N526" s="50" t="s">
        <v>4091</v>
      </c>
      <c r="O526" s="60">
        <v>45936</v>
      </c>
      <c r="P526" s="60">
        <v>45948</v>
      </c>
      <c r="Q526" s="60">
        <v>45949</v>
      </c>
      <c r="R526" s="60">
        <v>45950</v>
      </c>
      <c r="S526" s="50">
        <f t="shared" si="53"/>
        <v>3</v>
      </c>
      <c r="T526" s="50">
        <f>IF(
    OR(ISBLANK(P526), ISBLANK(Q526)),
    "",
    MAX(1, IF(
        NETWORKDAYS(P526, Q526) &lt;= 0,
        1,
        NETWORKDAYS(P526, Q526) - IF(P526 = Q526, 0, 1)
    ))
)</f>
        <v>1</v>
      </c>
      <c r="U526" s="50">
        <f t="shared" si="52"/>
        <v>1</v>
      </c>
      <c r="V526" s="50">
        <f t="shared" si="48"/>
        <v>1</v>
      </c>
      <c r="W526" s="50" t="s">
        <v>150</v>
      </c>
      <c r="X526" s="50" t="s">
        <v>1078</v>
      </c>
      <c r="Y526" s="50" t="s">
        <v>50</v>
      </c>
      <c r="Z526" s="50" t="s">
        <v>3406</v>
      </c>
      <c r="AA526" s="50"/>
    </row>
    <row r="527" spans="1:27" ht="25.5" customHeight="1">
      <c r="A527" s="517" t="s">
        <v>776</v>
      </c>
      <c r="B527" s="51" t="s">
        <v>4078</v>
      </c>
      <c r="C527" s="51" t="s">
        <v>143</v>
      </c>
      <c r="D527" s="51" t="s">
        <v>4092</v>
      </c>
      <c r="E527" s="50">
        <v>4086</v>
      </c>
      <c r="F527" s="50">
        <v>4217</v>
      </c>
      <c r="G527" s="50" t="s">
        <v>3404</v>
      </c>
      <c r="H527" s="50">
        <v>2025</v>
      </c>
      <c r="I527" s="132">
        <v>45909</v>
      </c>
      <c r="J527" s="50" t="s">
        <v>3988</v>
      </c>
      <c r="K527" s="50" t="s">
        <v>200</v>
      </c>
      <c r="L527" s="50" t="s">
        <v>1838</v>
      </c>
      <c r="M527" s="50" t="s">
        <v>1982</v>
      </c>
      <c r="N527" s="50" t="s">
        <v>4093</v>
      </c>
      <c r="O527" s="60">
        <v>45915</v>
      </c>
      <c r="P527" s="60">
        <v>45917</v>
      </c>
      <c r="Q527" s="60">
        <v>45917</v>
      </c>
      <c r="R527" s="60">
        <v>45918</v>
      </c>
      <c r="S527" s="50">
        <f t="shared" si="53"/>
        <v>4</v>
      </c>
      <c r="T527" s="50">
        <f>IF(
    OR(ISBLANK(P527), ISBLANK(Q527)),
    "",
    MAX(1, IF(
        NETWORKDAYS(P527, Q527) &lt;= 0,
        1,
        NETWORKDAYS(P527, Q527) - IF(P527 = Q527, 0, 1)
    ))
)</f>
        <v>1</v>
      </c>
      <c r="U527" s="50">
        <f t="shared" si="52"/>
        <v>1</v>
      </c>
      <c r="V527" s="50">
        <f t="shared" si="48"/>
        <v>1</v>
      </c>
      <c r="W527" s="50" t="s">
        <v>150</v>
      </c>
      <c r="X527" s="50" t="s">
        <v>4</v>
      </c>
      <c r="Y527" s="50" t="s">
        <v>50</v>
      </c>
      <c r="Z527" s="50" t="s">
        <v>3406</v>
      </c>
      <c r="AA527" s="50"/>
    </row>
    <row r="528" spans="1:27" ht="25.5" customHeight="1">
      <c r="A528" s="50" t="s">
        <v>776</v>
      </c>
      <c r="B528" s="51" t="s">
        <v>4078</v>
      </c>
      <c r="C528" s="51" t="s">
        <v>143</v>
      </c>
      <c r="D528" s="51" t="s">
        <v>1136</v>
      </c>
      <c r="E528" s="50">
        <v>13510</v>
      </c>
      <c r="F528" s="50">
        <v>15865</v>
      </c>
      <c r="G528" s="50" t="s">
        <v>3404</v>
      </c>
      <c r="H528" s="50">
        <v>2024</v>
      </c>
      <c r="I528" s="132">
        <v>45573</v>
      </c>
      <c r="J528" s="50"/>
      <c r="K528" s="50" t="s">
        <v>200</v>
      </c>
      <c r="L528" s="50" t="s">
        <v>328</v>
      </c>
      <c r="M528" s="50" t="s">
        <v>1982</v>
      </c>
      <c r="N528" s="50"/>
      <c r="O528" s="50"/>
      <c r="P528" s="50"/>
      <c r="Q528" s="50"/>
      <c r="R528" s="50"/>
      <c r="S528" s="50" t="str">
        <f t="shared" si="53"/>
        <v/>
      </c>
      <c r="T528" s="50" t="str">
        <f t="shared" ref="T528:T536" si="54">IF(
    OR(ISBLANK(O528), ISBLANK(P528)),
    "",
    MAX(1, IF(
        NETWORKDAYS(O528, P528) &lt;= 0,
        1,
        NETWORKDAYS(O528, P528) - IF(O528 = P528, 0, 1)
    ))
)</f>
        <v/>
      </c>
      <c r="U528" s="50" t="str">
        <f t="shared" si="52"/>
        <v/>
      </c>
      <c r="V528" s="50" t="str">
        <f t="shared" si="48"/>
        <v/>
      </c>
      <c r="W528" s="50"/>
      <c r="X528" s="50" t="s">
        <v>1078</v>
      </c>
      <c r="Y528" s="50"/>
      <c r="Z528" s="50" t="s">
        <v>3406</v>
      </c>
      <c r="AA528" s="50"/>
    </row>
    <row r="529" spans="1:27" s="110" customFormat="1" ht="25.5" customHeight="1">
      <c r="A529" s="50" t="s">
        <v>776</v>
      </c>
      <c r="B529" s="51" t="s">
        <v>4078</v>
      </c>
      <c r="C529" s="51" t="s">
        <v>143</v>
      </c>
      <c r="D529" s="51" t="s">
        <v>4094</v>
      </c>
      <c r="E529" s="50">
        <v>2965</v>
      </c>
      <c r="F529" s="50">
        <v>3025</v>
      </c>
      <c r="G529" s="50" t="s">
        <v>3404</v>
      </c>
      <c r="H529" s="50">
        <v>2024</v>
      </c>
      <c r="I529" s="132">
        <v>45427</v>
      </c>
      <c r="J529" s="50"/>
      <c r="K529" s="50" t="s">
        <v>200</v>
      </c>
      <c r="L529" s="50" t="s">
        <v>328</v>
      </c>
      <c r="M529" s="50" t="s">
        <v>1982</v>
      </c>
      <c r="N529" s="50"/>
      <c r="O529" s="50"/>
      <c r="P529" s="50"/>
      <c r="Q529" s="50"/>
      <c r="R529" s="50"/>
      <c r="S529" s="50" t="str">
        <f t="shared" si="53"/>
        <v/>
      </c>
      <c r="T529" s="50" t="str">
        <f t="shared" si="54"/>
        <v/>
      </c>
      <c r="U529" s="50" t="str">
        <f t="shared" si="52"/>
        <v/>
      </c>
      <c r="V529" s="50" t="str">
        <f t="shared" si="48"/>
        <v/>
      </c>
      <c r="W529" s="50"/>
      <c r="X529" s="50"/>
      <c r="Y529" s="50"/>
      <c r="Z529" s="50" t="s">
        <v>3406</v>
      </c>
      <c r="AA529" s="50"/>
    </row>
    <row r="530" spans="1:27" ht="25.5" customHeight="1">
      <c r="A530" s="50" t="s">
        <v>776</v>
      </c>
      <c r="B530" s="51" t="s">
        <v>4078</v>
      </c>
      <c r="C530" s="51" t="s">
        <v>143</v>
      </c>
      <c r="D530" s="51" t="s">
        <v>1083</v>
      </c>
      <c r="E530" s="50">
        <v>6899</v>
      </c>
      <c r="F530" s="50">
        <v>7348</v>
      </c>
      <c r="G530" s="50" t="s">
        <v>3404</v>
      </c>
      <c r="H530" s="50">
        <v>2024</v>
      </c>
      <c r="I530" s="132">
        <v>45393</v>
      </c>
      <c r="J530" s="50"/>
      <c r="K530" s="50" t="s">
        <v>200</v>
      </c>
      <c r="L530" s="50" t="s">
        <v>328</v>
      </c>
      <c r="M530" s="50" t="s">
        <v>1982</v>
      </c>
      <c r="N530" s="50"/>
      <c r="O530" s="50"/>
      <c r="P530" s="50"/>
      <c r="Q530" s="50"/>
      <c r="R530" s="50"/>
      <c r="S530" s="50" t="str">
        <f t="shared" si="53"/>
        <v/>
      </c>
      <c r="T530" s="50" t="str">
        <f t="shared" si="54"/>
        <v/>
      </c>
      <c r="U530" s="50" t="str">
        <f t="shared" si="52"/>
        <v/>
      </c>
      <c r="V530" s="50" t="str">
        <f t="shared" si="48"/>
        <v/>
      </c>
      <c r="W530" s="50"/>
      <c r="X530" s="50"/>
      <c r="Y530" s="50"/>
      <c r="Z530" s="50" t="s">
        <v>3406</v>
      </c>
      <c r="AA530" s="50"/>
    </row>
    <row r="531" spans="1:27" s="110" customFormat="1" ht="25.5" customHeight="1">
      <c r="A531" s="517" t="s">
        <v>776</v>
      </c>
      <c r="B531" s="51" t="s">
        <v>4078</v>
      </c>
      <c r="C531" s="51" t="s">
        <v>143</v>
      </c>
      <c r="D531" s="51" t="s">
        <v>4095</v>
      </c>
      <c r="E531" s="50">
        <v>1281</v>
      </c>
      <c r="F531" s="50">
        <v>1316</v>
      </c>
      <c r="G531" s="50" t="s">
        <v>3955</v>
      </c>
      <c r="H531" s="50"/>
      <c r="I531" s="105"/>
      <c r="J531" s="50"/>
      <c r="K531" s="50" t="s">
        <v>200</v>
      </c>
      <c r="L531" s="50" t="s">
        <v>328</v>
      </c>
      <c r="M531" s="50" t="s">
        <v>1982</v>
      </c>
      <c r="N531" s="50"/>
      <c r="O531" s="50"/>
      <c r="P531" s="50"/>
      <c r="Q531" s="50"/>
      <c r="R531" s="50"/>
      <c r="S531" s="50" t="str">
        <f t="shared" si="53"/>
        <v/>
      </c>
      <c r="T531" s="50" t="str">
        <f t="shared" si="54"/>
        <v/>
      </c>
      <c r="U531" s="50" t="str">
        <f t="shared" si="52"/>
        <v/>
      </c>
      <c r="V531" s="50" t="str">
        <f t="shared" si="48"/>
        <v/>
      </c>
      <c r="W531" s="50"/>
      <c r="X531" s="50"/>
      <c r="Y531" s="50"/>
      <c r="Z531" s="50"/>
      <c r="AA531" s="50"/>
    </row>
    <row r="532" spans="1:27" ht="25.5" customHeight="1">
      <c r="A532" s="517" t="s">
        <v>776</v>
      </c>
      <c r="B532" s="51" t="s">
        <v>4078</v>
      </c>
      <c r="C532" s="51" t="s">
        <v>143</v>
      </c>
      <c r="D532" s="51" t="s">
        <v>4096</v>
      </c>
      <c r="E532" s="50">
        <v>302</v>
      </c>
      <c r="F532" s="50">
        <v>498</v>
      </c>
      <c r="G532" s="50" t="s">
        <v>3955</v>
      </c>
      <c r="H532" s="50"/>
      <c r="I532" s="105"/>
      <c r="J532" s="50"/>
      <c r="K532" s="50" t="s">
        <v>200</v>
      </c>
      <c r="L532" s="50" t="s">
        <v>328</v>
      </c>
      <c r="M532" s="50" t="s">
        <v>1982</v>
      </c>
      <c r="N532" s="50"/>
      <c r="O532" s="50"/>
      <c r="P532" s="50"/>
      <c r="Q532" s="50"/>
      <c r="R532" s="50"/>
      <c r="S532" s="50" t="str">
        <f t="shared" si="53"/>
        <v/>
      </c>
      <c r="T532" s="50" t="str">
        <f t="shared" si="54"/>
        <v/>
      </c>
      <c r="U532" s="50" t="str">
        <f t="shared" si="52"/>
        <v/>
      </c>
      <c r="V532" s="50" t="str">
        <f t="shared" si="48"/>
        <v/>
      </c>
      <c r="W532" s="50"/>
      <c r="X532" s="50"/>
      <c r="Y532" s="50"/>
      <c r="Z532" s="50"/>
      <c r="AA532" s="50"/>
    </row>
    <row r="533" spans="1:27" ht="25.5" customHeight="1">
      <c r="A533" s="517" t="s">
        <v>776</v>
      </c>
      <c r="B533" s="51" t="s">
        <v>4078</v>
      </c>
      <c r="C533" s="51" t="s">
        <v>143</v>
      </c>
      <c r="D533" s="51" t="s">
        <v>4097</v>
      </c>
      <c r="E533" s="50">
        <v>4124</v>
      </c>
      <c r="F533" s="50">
        <v>3632</v>
      </c>
      <c r="G533" s="50" t="s">
        <v>3955</v>
      </c>
      <c r="H533" s="50"/>
      <c r="I533" s="105"/>
      <c r="J533" s="50"/>
      <c r="K533" s="50" t="s">
        <v>200</v>
      </c>
      <c r="L533" s="50" t="s">
        <v>328</v>
      </c>
      <c r="M533" s="50" t="s">
        <v>1982</v>
      </c>
      <c r="N533" s="50"/>
      <c r="O533" s="50"/>
      <c r="P533" s="50"/>
      <c r="Q533" s="50"/>
      <c r="R533" s="50"/>
      <c r="S533" s="50" t="str">
        <f t="shared" si="53"/>
        <v/>
      </c>
      <c r="T533" s="50" t="str">
        <f t="shared" si="54"/>
        <v/>
      </c>
      <c r="U533" s="50" t="str">
        <f t="shared" si="52"/>
        <v/>
      </c>
      <c r="V533" s="50" t="str">
        <f t="shared" si="48"/>
        <v/>
      </c>
      <c r="W533" s="50"/>
      <c r="X533" s="50"/>
      <c r="Y533" s="50"/>
      <c r="Z533" s="50"/>
      <c r="AA533" s="50"/>
    </row>
    <row r="534" spans="1:27" ht="25.5" customHeight="1">
      <c r="A534" s="50" t="s">
        <v>776</v>
      </c>
      <c r="B534" s="51" t="s">
        <v>4078</v>
      </c>
      <c r="C534" s="51" t="s">
        <v>143</v>
      </c>
      <c r="D534" s="51" t="s">
        <v>4053</v>
      </c>
      <c r="E534" s="50">
        <v>5132</v>
      </c>
      <c r="F534" s="50">
        <v>5219</v>
      </c>
      <c r="G534" s="50" t="s">
        <v>3404</v>
      </c>
      <c r="H534" s="50">
        <v>2024</v>
      </c>
      <c r="I534" s="132">
        <v>45573</v>
      </c>
      <c r="J534" s="50"/>
      <c r="K534" s="50" t="s">
        <v>200</v>
      </c>
      <c r="L534" s="50" t="s">
        <v>328</v>
      </c>
      <c r="M534" s="50" t="s">
        <v>1982</v>
      </c>
      <c r="N534" s="50"/>
      <c r="O534" s="50"/>
      <c r="P534" s="50"/>
      <c r="Q534" s="50"/>
      <c r="R534" s="50"/>
      <c r="S534" s="50" t="str">
        <f t="shared" si="53"/>
        <v/>
      </c>
      <c r="T534" s="50" t="str">
        <f t="shared" si="54"/>
        <v/>
      </c>
      <c r="U534" s="50" t="str">
        <f t="shared" si="52"/>
        <v/>
      </c>
      <c r="V534" s="50" t="str">
        <f t="shared" si="48"/>
        <v/>
      </c>
      <c r="W534" s="50"/>
      <c r="X534" s="50" t="s">
        <v>1078</v>
      </c>
      <c r="Y534" s="50"/>
      <c r="Z534" s="50" t="s">
        <v>3406</v>
      </c>
      <c r="AA534" s="50" t="s">
        <v>4098</v>
      </c>
    </row>
    <row r="535" spans="1:27" ht="25.5" customHeight="1">
      <c r="A535" s="50" t="s">
        <v>776</v>
      </c>
      <c r="B535" s="51" t="s">
        <v>4078</v>
      </c>
      <c r="C535" s="51" t="s">
        <v>143</v>
      </c>
      <c r="D535" s="51" t="s">
        <v>4099</v>
      </c>
      <c r="E535" s="50">
        <v>2382</v>
      </c>
      <c r="F535" s="50">
        <v>2248</v>
      </c>
      <c r="G535" s="50" t="s">
        <v>3404</v>
      </c>
      <c r="H535" s="50">
        <v>2024</v>
      </c>
      <c r="I535" s="132">
        <v>45573</v>
      </c>
      <c r="J535" s="50"/>
      <c r="K535" s="50" t="s">
        <v>200</v>
      </c>
      <c r="L535" s="50" t="s">
        <v>328</v>
      </c>
      <c r="M535" s="50" t="s">
        <v>1982</v>
      </c>
      <c r="N535" s="50"/>
      <c r="O535" s="50"/>
      <c r="P535" s="50"/>
      <c r="Q535" s="50"/>
      <c r="R535" s="50"/>
      <c r="S535" s="50" t="str">
        <f t="shared" si="53"/>
        <v/>
      </c>
      <c r="T535" s="50" t="str">
        <f t="shared" si="54"/>
        <v/>
      </c>
      <c r="U535" s="50" t="str">
        <f t="shared" si="52"/>
        <v/>
      </c>
      <c r="V535" s="50" t="str">
        <f t="shared" si="48"/>
        <v/>
      </c>
      <c r="W535" s="50"/>
      <c r="X535" s="50" t="s">
        <v>4</v>
      </c>
      <c r="Y535" s="50" t="s">
        <v>50</v>
      </c>
      <c r="Z535" s="50" t="s">
        <v>3406</v>
      </c>
      <c r="AA535" s="50"/>
    </row>
    <row r="536" spans="1:27" ht="25.5" customHeight="1">
      <c r="A536" s="517" t="s">
        <v>776</v>
      </c>
      <c r="B536" s="51" t="s">
        <v>4078</v>
      </c>
      <c r="C536" s="51" t="s">
        <v>143</v>
      </c>
      <c r="D536" s="51" t="s">
        <v>4100</v>
      </c>
      <c r="E536" s="50">
        <v>3937</v>
      </c>
      <c r="F536" s="50">
        <v>4608</v>
      </c>
      <c r="G536" s="50" t="s">
        <v>3955</v>
      </c>
      <c r="H536" s="50"/>
      <c r="I536" s="105"/>
      <c r="J536" s="50"/>
      <c r="K536" s="50" t="s">
        <v>200</v>
      </c>
      <c r="L536" s="50" t="s">
        <v>328</v>
      </c>
      <c r="M536" s="50" t="s">
        <v>1982</v>
      </c>
      <c r="N536" s="50"/>
      <c r="O536" s="50"/>
      <c r="P536" s="50"/>
      <c r="Q536" s="50"/>
      <c r="R536" s="50"/>
      <c r="S536" s="50" t="str">
        <f t="shared" si="53"/>
        <v/>
      </c>
      <c r="T536" s="50" t="str">
        <f t="shared" si="54"/>
        <v/>
      </c>
      <c r="U536" s="50" t="str">
        <f t="shared" si="52"/>
        <v/>
      </c>
      <c r="V536" s="50" t="str">
        <f t="shared" si="48"/>
        <v/>
      </c>
      <c r="W536" s="50"/>
      <c r="X536" s="50"/>
      <c r="Y536" s="50"/>
      <c r="Z536" s="50"/>
      <c r="AA536" s="50"/>
    </row>
    <row r="537" spans="1:27" ht="25.5" customHeight="1">
      <c r="A537" s="517" t="s">
        <v>776</v>
      </c>
      <c r="B537" s="51" t="s">
        <v>4078</v>
      </c>
      <c r="C537" s="51" t="s">
        <v>143</v>
      </c>
      <c r="D537" s="51" t="s">
        <v>4101</v>
      </c>
      <c r="E537" s="50">
        <v>5352</v>
      </c>
      <c r="F537" s="50">
        <v>6806</v>
      </c>
      <c r="G537" s="50" t="s">
        <v>3404</v>
      </c>
      <c r="H537" s="50">
        <v>2025</v>
      </c>
      <c r="I537" s="132">
        <v>45967</v>
      </c>
      <c r="J537" s="50" t="s">
        <v>3129</v>
      </c>
      <c r="K537" s="50" t="s">
        <v>200</v>
      </c>
      <c r="L537" s="50" t="s">
        <v>1838</v>
      </c>
      <c r="M537" s="50" t="s">
        <v>1982</v>
      </c>
      <c r="N537" s="50" t="s">
        <v>4102</v>
      </c>
      <c r="O537" s="60">
        <v>45972</v>
      </c>
      <c r="P537" s="60">
        <v>45972</v>
      </c>
      <c r="Q537" s="60">
        <v>45972</v>
      </c>
      <c r="R537" s="60">
        <v>45979</v>
      </c>
      <c r="S537" s="50">
        <f t="shared" si="53"/>
        <v>3</v>
      </c>
      <c r="T537" s="50">
        <f>IF(
    OR(ISBLANK(P537), ISBLANK(Q537)),
    "",
    MAX(1, IF(
        NETWORKDAYS(P537, Q537) &lt;= 0,
        1,
        NETWORKDAYS(P537, Q537) - IF(P537 = Q537, 0, 1)
    ))
)</f>
        <v>1</v>
      </c>
      <c r="U537" s="50">
        <f t="shared" si="52"/>
        <v>1</v>
      </c>
      <c r="V537" s="50">
        <f t="shared" ref="V537:V600" si="55">IF(
    OR(ISBLANK(Q537), ISBLANK(R537)),
    "",
    MAX(1, IF(
        NETWORKDAYS(Q537, R537) &lt;= 0,
        1,
        NETWORKDAYS(Q537, R537) - IF(Q537 = R537, 0, 1)
    ))
)</f>
        <v>5</v>
      </c>
      <c r="W537" s="50" t="s">
        <v>150</v>
      </c>
      <c r="X537" s="50" t="s">
        <v>4</v>
      </c>
      <c r="Y537" s="50" t="s">
        <v>50</v>
      </c>
      <c r="Z537" s="50" t="s">
        <v>3406</v>
      </c>
      <c r="AA537" s="50"/>
    </row>
    <row r="538" spans="1:27" ht="25.5" customHeight="1">
      <c r="A538" s="517" t="s">
        <v>776</v>
      </c>
      <c r="B538" s="51" t="s">
        <v>4078</v>
      </c>
      <c r="C538" s="51" t="s">
        <v>143</v>
      </c>
      <c r="D538" s="51" t="s">
        <v>4103</v>
      </c>
      <c r="E538" s="50">
        <v>6087</v>
      </c>
      <c r="F538" s="50">
        <v>7563</v>
      </c>
      <c r="G538" s="50" t="s">
        <v>3404</v>
      </c>
      <c r="H538" s="50">
        <v>2025</v>
      </c>
      <c r="I538" s="132">
        <v>45909</v>
      </c>
      <c r="J538" s="50" t="s">
        <v>3988</v>
      </c>
      <c r="K538" s="50" t="s">
        <v>200</v>
      </c>
      <c r="L538" s="50" t="s">
        <v>1838</v>
      </c>
      <c r="M538" s="50" t="s">
        <v>1982</v>
      </c>
      <c r="N538" s="50" t="s">
        <v>4104</v>
      </c>
      <c r="O538" s="60">
        <v>45915</v>
      </c>
      <c r="P538" s="60">
        <v>45917</v>
      </c>
      <c r="Q538" s="60">
        <v>45917</v>
      </c>
      <c r="R538" s="60">
        <v>45918</v>
      </c>
      <c r="S538" s="50">
        <f t="shared" si="53"/>
        <v>4</v>
      </c>
      <c r="T538" s="50">
        <f>IF(
    OR(ISBLANK(P538), ISBLANK(Q538)),
    "",
    MAX(1, IF(
        NETWORKDAYS(P538, Q538) &lt;= 0,
        1,
        NETWORKDAYS(P538, Q538) - IF(P538 = Q538, 0, 1)
    ))
)</f>
        <v>1</v>
      </c>
      <c r="U538" s="50">
        <f t="shared" si="52"/>
        <v>1</v>
      </c>
      <c r="V538" s="50">
        <f t="shared" si="55"/>
        <v>1</v>
      </c>
      <c r="W538" s="50" t="s">
        <v>150</v>
      </c>
      <c r="X538" s="50" t="s">
        <v>1078</v>
      </c>
      <c r="Y538" s="50" t="s">
        <v>50</v>
      </c>
      <c r="Z538" s="50" t="s">
        <v>3406</v>
      </c>
      <c r="AA538" s="50"/>
    </row>
    <row r="539" spans="1:27" ht="25.5" customHeight="1">
      <c r="A539" s="517" t="s">
        <v>776</v>
      </c>
      <c r="B539" s="51" t="s">
        <v>4078</v>
      </c>
      <c r="C539" s="51" t="s">
        <v>143</v>
      </c>
      <c r="D539" s="51" t="s">
        <v>4105</v>
      </c>
      <c r="E539" s="50">
        <v>6624</v>
      </c>
      <c r="F539" s="50">
        <v>6656</v>
      </c>
      <c r="G539" s="50" t="s">
        <v>3955</v>
      </c>
      <c r="H539" s="50"/>
      <c r="I539" s="105"/>
      <c r="J539" s="50"/>
      <c r="K539" s="50" t="s">
        <v>200</v>
      </c>
      <c r="L539" s="50" t="s">
        <v>328</v>
      </c>
      <c r="M539" s="50" t="s">
        <v>1982</v>
      </c>
      <c r="N539" s="50"/>
      <c r="O539" s="50"/>
      <c r="P539" s="50"/>
      <c r="Q539" s="50"/>
      <c r="R539" s="50"/>
      <c r="S539" s="50" t="str">
        <f t="shared" si="53"/>
        <v/>
      </c>
      <c r="T539" s="50" t="str">
        <f>IF(
    OR(ISBLANK(O539), ISBLANK(P539)),
    "",
    MAX(1, IF(
        NETWORKDAYS(O539, P539) &lt;= 0,
        1,
        NETWORKDAYS(O539, P539) - IF(O539 = P539, 0, 1)
    ))
)</f>
        <v/>
      </c>
      <c r="U539" s="50" t="str">
        <f t="shared" si="52"/>
        <v/>
      </c>
      <c r="V539" s="50" t="str">
        <f t="shared" si="55"/>
        <v/>
      </c>
      <c r="W539" s="50"/>
      <c r="X539" s="50"/>
      <c r="Y539" s="50"/>
      <c r="Z539" s="50"/>
      <c r="AA539" s="50"/>
    </row>
    <row r="540" spans="1:27" ht="25.5" customHeight="1">
      <c r="A540" s="517" t="s">
        <v>776</v>
      </c>
      <c r="B540" s="51" t="s">
        <v>4078</v>
      </c>
      <c r="C540" s="51" t="s">
        <v>143</v>
      </c>
      <c r="D540" s="51" t="s">
        <v>3897</v>
      </c>
      <c r="E540" s="50">
        <v>1661</v>
      </c>
      <c r="F540" s="50">
        <v>1338</v>
      </c>
      <c r="G540" s="50" t="s">
        <v>3404</v>
      </c>
      <c r="H540" s="50">
        <v>2025</v>
      </c>
      <c r="I540" s="132">
        <v>45855</v>
      </c>
      <c r="J540" s="50" t="s">
        <v>3126</v>
      </c>
      <c r="K540" s="50" t="s">
        <v>200</v>
      </c>
      <c r="L540" s="50"/>
      <c r="M540" s="50" t="s">
        <v>1982</v>
      </c>
      <c r="N540" s="50" t="s">
        <v>4106</v>
      </c>
      <c r="O540" s="60">
        <v>45856</v>
      </c>
      <c r="P540" s="60"/>
      <c r="Q540" s="60">
        <v>45859</v>
      </c>
      <c r="R540" s="60">
        <v>45859</v>
      </c>
      <c r="S540" s="50">
        <f t="shared" si="53"/>
        <v>1</v>
      </c>
      <c r="T540" s="50" t="str">
        <f>IF(
    OR(ISBLANK(O540), ISBLANK(P540)),
    "",
    MAX(1, IF(
        NETWORKDAYS(O540, P540) &lt;= 0,
        1,
        NETWORKDAYS(O540:P540, Q540) - IF(P540 = Q540, 0, 1)
    ))
)</f>
        <v/>
      </c>
      <c r="U540" s="50">
        <f>IF(
    OR(ISBLANK(O540), ISBLANK(Q540)),
    "",
    MAX(1, IF(
        NETWORKDAYS(O540, Q540) &lt;= 0,
        1,
        NETWORKDAYS(O540, Q540) - IF(O540 = Q540, 0, 1)
    ))
)</f>
        <v>1</v>
      </c>
      <c r="V540" s="50">
        <f t="shared" si="55"/>
        <v>1</v>
      </c>
      <c r="W540" s="50" t="s">
        <v>150</v>
      </c>
      <c r="X540" s="50" t="s">
        <v>1078</v>
      </c>
      <c r="Y540" s="50" t="s">
        <v>50</v>
      </c>
      <c r="Z540" s="50" t="s">
        <v>3406</v>
      </c>
      <c r="AA540" s="50"/>
    </row>
    <row r="541" spans="1:27" ht="25.5" customHeight="1">
      <c r="A541" s="50" t="s">
        <v>776</v>
      </c>
      <c r="B541" s="51" t="s">
        <v>4078</v>
      </c>
      <c r="C541" s="51" t="s">
        <v>143</v>
      </c>
      <c r="D541" s="51" t="s">
        <v>1831</v>
      </c>
      <c r="E541" s="50">
        <v>14864</v>
      </c>
      <c r="F541" s="50">
        <v>16999</v>
      </c>
      <c r="G541" s="50" t="s">
        <v>3404</v>
      </c>
      <c r="H541" s="50">
        <v>2024</v>
      </c>
      <c r="I541" s="132">
        <v>45573</v>
      </c>
      <c r="J541" s="50"/>
      <c r="K541" s="50" t="s">
        <v>200</v>
      </c>
      <c r="L541" s="50" t="s">
        <v>328</v>
      </c>
      <c r="M541" s="50" t="s">
        <v>1982</v>
      </c>
      <c r="N541" s="50"/>
      <c r="O541" s="50"/>
      <c r="P541" s="50"/>
      <c r="Q541" s="50"/>
      <c r="R541" s="50"/>
      <c r="S541" s="50" t="str">
        <f t="shared" si="53"/>
        <v/>
      </c>
      <c r="T541" s="50" t="str">
        <f>IF(
    OR(ISBLANK(O541), ISBLANK(P541)),
    "",
    MAX(1, IF(
        NETWORKDAYS(O541, P541) &lt;= 0,
        1,
        NETWORKDAYS(O541, P541) - IF(O541 = P541, 0, 1)
    ))
)</f>
        <v/>
      </c>
      <c r="U541" s="50" t="str">
        <f>IF(
    OR(ISBLANK(P541), ISBLANK(Q541)),
    "",
    MAX(1, IF(
        NETWORKDAYS(P541, Q541) &lt;= 0,
        1,
        NETWORKDAYS(P541, Q541) - IF(P541 = Q541, 0, 1)
    ))
)</f>
        <v/>
      </c>
      <c r="V541" s="50" t="str">
        <f t="shared" si="55"/>
        <v/>
      </c>
      <c r="W541" s="50"/>
      <c r="X541" s="50" t="s">
        <v>1078</v>
      </c>
      <c r="Y541" s="50"/>
      <c r="Z541" s="50" t="s">
        <v>3406</v>
      </c>
      <c r="AA541" s="50"/>
    </row>
    <row r="542" spans="1:27" ht="25.5" customHeight="1">
      <c r="A542" s="517" t="s">
        <v>776</v>
      </c>
      <c r="B542" s="51" t="s">
        <v>4078</v>
      </c>
      <c r="C542" s="51" t="s">
        <v>143</v>
      </c>
      <c r="D542" s="51" t="s">
        <v>4107</v>
      </c>
      <c r="E542" s="50">
        <v>6808</v>
      </c>
      <c r="F542" s="50">
        <v>9611</v>
      </c>
      <c r="G542" s="50" t="s">
        <v>3404</v>
      </c>
      <c r="H542" s="50">
        <v>2025</v>
      </c>
      <c r="I542" s="132">
        <v>45945</v>
      </c>
      <c r="J542" s="50" t="s">
        <v>3129</v>
      </c>
      <c r="K542" s="50" t="s">
        <v>200</v>
      </c>
      <c r="L542" s="50" t="s">
        <v>1838</v>
      </c>
      <c r="M542" s="50" t="s">
        <v>1982</v>
      </c>
      <c r="N542" s="50" t="s">
        <v>4108</v>
      </c>
      <c r="O542" s="60">
        <v>45945</v>
      </c>
      <c r="P542" s="60">
        <v>45946</v>
      </c>
      <c r="Q542" s="60">
        <v>45947</v>
      </c>
      <c r="R542" s="60">
        <v>45950</v>
      </c>
      <c r="S542" s="50">
        <f t="shared" si="53"/>
        <v>1</v>
      </c>
      <c r="T542" s="50">
        <f>IF(
    OR(ISBLANK(P542), ISBLANK(Q542)),
    "",
    MAX(1, IF(
        NETWORKDAYS(P542, Q542) &lt;= 0,
        1,
        NETWORKDAYS(P542, Q542) - IF(P542 = Q542, 0, 1)
    ))
)</f>
        <v>1</v>
      </c>
      <c r="U542" s="50">
        <f>IF(
    OR(ISBLANK(P542), ISBLANK(Q542)),
    "",
    MAX(1, IF(
        NETWORKDAYS(P542, Q542) &lt;= 0,
        1,
        NETWORKDAYS(P542, Q542) - IF(P542 = Q542, 0, 1)
    ))
)</f>
        <v>1</v>
      </c>
      <c r="V542" s="50">
        <f t="shared" si="55"/>
        <v>1</v>
      </c>
      <c r="W542" s="50" t="s">
        <v>150</v>
      </c>
      <c r="X542" s="50" t="s">
        <v>3527</v>
      </c>
      <c r="Y542" s="50" t="s">
        <v>3528</v>
      </c>
      <c r="Z542" s="50" t="s">
        <v>3406</v>
      </c>
      <c r="AA542" s="50"/>
    </row>
    <row r="543" spans="1:27" ht="25.5" customHeight="1">
      <c r="A543" s="517" t="s">
        <v>776</v>
      </c>
      <c r="B543" s="51" t="s">
        <v>4078</v>
      </c>
      <c r="C543" s="51" t="s">
        <v>143</v>
      </c>
      <c r="D543" s="51" t="s">
        <v>4109</v>
      </c>
      <c r="E543" s="50">
        <v>3108</v>
      </c>
      <c r="F543" s="50">
        <v>3081</v>
      </c>
      <c r="G543" s="50" t="s">
        <v>3404</v>
      </c>
      <c r="H543" s="50">
        <v>2025</v>
      </c>
      <c r="I543" s="132">
        <v>45931</v>
      </c>
      <c r="J543" s="50" t="s">
        <v>3129</v>
      </c>
      <c r="K543" s="50" t="s">
        <v>200</v>
      </c>
      <c r="L543" s="50" t="s">
        <v>1838</v>
      </c>
      <c r="M543" s="50" t="s">
        <v>1982</v>
      </c>
      <c r="N543" s="50" t="s">
        <v>4110</v>
      </c>
      <c r="O543" s="60">
        <v>45936</v>
      </c>
      <c r="P543" s="60">
        <v>45948</v>
      </c>
      <c r="Q543" s="60">
        <v>45949</v>
      </c>
      <c r="R543" s="60">
        <v>45950</v>
      </c>
      <c r="S543" s="50">
        <f t="shared" si="53"/>
        <v>3</v>
      </c>
      <c r="T543" s="50">
        <f>IF(
    OR(ISBLANK(P543), ISBLANK(Q543)),
    "",
    MAX(1, IF(
        NETWORKDAYS(P543, Q543) &lt;= 0,
        1,
        NETWORKDAYS(P543, Q543) - IF(P543 = Q543, 0, 1)
    ))
)</f>
        <v>1</v>
      </c>
      <c r="U543" s="50">
        <f>IF(
    OR(ISBLANK(P543), ISBLANK(Q543)),
    "",
    MAX(1, IF(
        NETWORKDAYS(P543, Q543) &lt;= 0,
        1,
        NETWORKDAYS(P543, Q543) - IF(P543 = Q543, 0, 1)
    ))
)</f>
        <v>1</v>
      </c>
      <c r="V543" s="50">
        <f t="shared" si="55"/>
        <v>1</v>
      </c>
      <c r="W543" s="50" t="s">
        <v>150</v>
      </c>
      <c r="X543" s="50" t="s">
        <v>4</v>
      </c>
      <c r="Y543" s="50" t="s">
        <v>57</v>
      </c>
      <c r="Z543" s="50" t="s">
        <v>3406</v>
      </c>
      <c r="AA543" s="50"/>
    </row>
    <row r="544" spans="1:27" ht="25.5" customHeight="1">
      <c r="A544" s="517" t="s">
        <v>776</v>
      </c>
      <c r="B544" s="51" t="s">
        <v>4078</v>
      </c>
      <c r="C544" s="51" t="s">
        <v>143</v>
      </c>
      <c r="D544" s="51" t="s">
        <v>4111</v>
      </c>
      <c r="E544" s="50">
        <v>4711</v>
      </c>
      <c r="F544" s="50">
        <v>4744</v>
      </c>
      <c r="G544" s="50" t="s">
        <v>3404</v>
      </c>
      <c r="H544" s="50">
        <v>2025</v>
      </c>
      <c r="I544" s="132">
        <v>45945</v>
      </c>
      <c r="J544" s="50" t="s">
        <v>3129</v>
      </c>
      <c r="K544" s="50" t="s">
        <v>200</v>
      </c>
      <c r="L544" s="50" t="s">
        <v>1838</v>
      </c>
      <c r="M544" s="50" t="s">
        <v>1982</v>
      </c>
      <c r="N544" s="50" t="s">
        <v>4112</v>
      </c>
      <c r="O544" s="60">
        <v>45946</v>
      </c>
      <c r="P544" s="60">
        <v>45947</v>
      </c>
      <c r="Q544" s="60">
        <v>45949</v>
      </c>
      <c r="R544" s="60">
        <v>45950</v>
      </c>
      <c r="S544" s="50">
        <f t="shared" si="53"/>
        <v>1</v>
      </c>
      <c r="T544" s="50">
        <f>IF(
    OR(ISBLANK(P544), ISBLANK(Q544)),
    "",
    MAX(1, IF(
        NETWORKDAYS(P544, Q544) &lt;= 0,
        1,
        NETWORKDAYS(P544, Q544) - IF(P544 = Q544, 0, 1)
    ))
)</f>
        <v>1</v>
      </c>
      <c r="U544" s="50">
        <f>IF(
    OR(ISBLANK(P544), ISBLANK(Q544)),
    "",
    MAX(1, IF(
        NETWORKDAYS(P544, Q544) &lt;= 0,
        1,
        NETWORKDAYS(P544, Q544) - IF(P544 = Q544, 0, 1)
    ))
)</f>
        <v>1</v>
      </c>
      <c r="V544" s="50">
        <f t="shared" si="55"/>
        <v>1</v>
      </c>
      <c r="W544" s="50" t="s">
        <v>150</v>
      </c>
      <c r="X544" s="50" t="s">
        <v>3527</v>
      </c>
      <c r="Y544" s="50" t="s">
        <v>3528</v>
      </c>
      <c r="Z544" s="50" t="s">
        <v>3406</v>
      </c>
      <c r="AA544" s="50"/>
    </row>
    <row r="545" spans="1:27" ht="25.5" customHeight="1">
      <c r="A545" s="50" t="s">
        <v>776</v>
      </c>
      <c r="B545" s="51" t="s">
        <v>4078</v>
      </c>
      <c r="C545" s="51" t="s">
        <v>143</v>
      </c>
      <c r="D545" s="51" t="s">
        <v>4113</v>
      </c>
      <c r="E545" s="50">
        <v>6435</v>
      </c>
      <c r="F545" s="50">
        <v>6281</v>
      </c>
      <c r="G545" s="50" t="s">
        <v>3404</v>
      </c>
      <c r="H545" s="50">
        <v>2024</v>
      </c>
      <c r="I545" s="132">
        <v>45573</v>
      </c>
      <c r="J545" s="50"/>
      <c r="K545" s="50" t="s">
        <v>200</v>
      </c>
      <c r="L545" s="50" t="s">
        <v>328</v>
      </c>
      <c r="M545" s="50" t="s">
        <v>1982</v>
      </c>
      <c r="N545" s="50"/>
      <c r="O545" s="50"/>
      <c r="P545" s="50"/>
      <c r="Q545" s="50"/>
      <c r="R545" s="50"/>
      <c r="S545" s="50" t="str">
        <f t="shared" si="53"/>
        <v/>
      </c>
      <c r="T545" s="50" t="str">
        <f>IF(
    OR(ISBLANK(O545), ISBLANK(P545)),
    "",
    MAX(1, IF(
        NETWORKDAYS(O545, P545) &lt;= 0,
        1,
        NETWORKDAYS(O545, P545) - IF(O545 = P545, 0, 1)
    ))
)</f>
        <v/>
      </c>
      <c r="U545" s="50" t="str">
        <f>IF(
    OR(ISBLANK(P545), ISBLANK(Q545)),
    "",
    MAX(1, IF(
        NETWORKDAYS(P545, Q545) &lt;= 0,
        1,
        NETWORKDAYS(P545, Q545) - IF(P545 = Q545, 0, 1)
    ))
)</f>
        <v/>
      </c>
      <c r="V545" s="50" t="str">
        <f t="shared" si="55"/>
        <v/>
      </c>
      <c r="W545" s="50"/>
      <c r="X545" s="50" t="s">
        <v>1078</v>
      </c>
      <c r="Y545" s="50"/>
      <c r="Z545" s="50" t="s">
        <v>3406</v>
      </c>
      <c r="AA545" s="50"/>
    </row>
    <row r="546" spans="1:27" s="110" customFormat="1" ht="25.5" customHeight="1">
      <c r="A546" s="517" t="s">
        <v>776</v>
      </c>
      <c r="B546" s="51" t="s">
        <v>4078</v>
      </c>
      <c r="C546" s="51" t="s">
        <v>143</v>
      </c>
      <c r="D546" s="51" t="s">
        <v>885</v>
      </c>
      <c r="E546" s="50">
        <v>2673</v>
      </c>
      <c r="F546" s="50">
        <v>2836</v>
      </c>
      <c r="G546" s="50" t="s">
        <v>3404</v>
      </c>
      <c r="H546" s="50">
        <v>2025</v>
      </c>
      <c r="I546" s="132">
        <v>45882</v>
      </c>
      <c r="J546" s="50" t="s">
        <v>3126</v>
      </c>
      <c r="K546" s="50" t="s">
        <v>200</v>
      </c>
      <c r="L546" s="50"/>
      <c r="M546" s="50" t="s">
        <v>1982</v>
      </c>
      <c r="N546" s="50" t="s">
        <v>4114</v>
      </c>
      <c r="O546" s="60">
        <v>45886</v>
      </c>
      <c r="P546" s="50"/>
      <c r="Q546" s="60">
        <v>45888</v>
      </c>
      <c r="R546" s="60">
        <v>45888</v>
      </c>
      <c r="S546" s="50">
        <f t="shared" si="53"/>
        <v>2</v>
      </c>
      <c r="T546" s="50" t="str">
        <f>IF(
    OR(ISBLANK(O546), ISBLANK(P546)),
    "",
    MAX(1, IF(
        NETWORKDAYS(O546, P546) &lt;= 0,
        1,
        NETWORKDAYS(O546:P546, Q546) - IF(P546 = Q546, 0, 1)
    ))
)</f>
        <v/>
      </c>
      <c r="U546" s="50">
        <f>IF(
    OR(ISBLANK(O546), ISBLANK(Q546)),
    "",
    MAX(1, IF(
        NETWORKDAYS(O546, Q546) &lt;= 0,
        1,
        NETWORKDAYS(O546, Q546) - IF(O546 = Q546, 0, 1)
    ))
)</f>
        <v>1</v>
      </c>
      <c r="V546" s="50">
        <f t="shared" si="55"/>
        <v>1</v>
      </c>
      <c r="W546" s="50" t="s">
        <v>150</v>
      </c>
      <c r="X546" s="50" t="s">
        <v>1078</v>
      </c>
      <c r="Y546" s="50" t="s">
        <v>50</v>
      </c>
      <c r="Z546" s="50" t="s">
        <v>3406</v>
      </c>
      <c r="AA546" s="50"/>
    </row>
    <row r="547" spans="1:27" ht="25.5" customHeight="1">
      <c r="A547" s="517" t="s">
        <v>776</v>
      </c>
      <c r="B547" s="51" t="s">
        <v>4078</v>
      </c>
      <c r="C547" s="51" t="s">
        <v>143</v>
      </c>
      <c r="D547" s="51" t="s">
        <v>4115</v>
      </c>
      <c r="E547" s="50">
        <v>832</v>
      </c>
      <c r="F547" s="50">
        <v>772</v>
      </c>
      <c r="G547" s="50" t="s">
        <v>3955</v>
      </c>
      <c r="H547" s="50"/>
      <c r="I547" s="105"/>
      <c r="J547" s="50"/>
      <c r="K547" s="50" t="s">
        <v>200</v>
      </c>
      <c r="L547" s="50" t="s">
        <v>328</v>
      </c>
      <c r="M547" s="50" t="s">
        <v>1982</v>
      </c>
      <c r="N547" s="50"/>
      <c r="O547" s="50"/>
      <c r="P547" s="50"/>
      <c r="Q547" s="50"/>
      <c r="R547" s="50"/>
      <c r="S547" s="50" t="str">
        <f t="shared" si="53"/>
        <v/>
      </c>
      <c r="T547" s="50" t="str">
        <f>IF(
    OR(ISBLANK(O547), ISBLANK(P547)),
    "",
    MAX(1, IF(
        NETWORKDAYS(O547, P547) &lt;= 0,
        1,
        NETWORKDAYS(O547, P547) - IF(O547 = P547, 0, 1)
    ))
)</f>
        <v/>
      </c>
      <c r="U547" s="50" t="str">
        <f>IF(
    OR(ISBLANK(P547), ISBLANK(Q547)),
    "",
    MAX(1, IF(
        NETWORKDAYS(P547, Q547) &lt;= 0,
        1,
        NETWORKDAYS(P547, Q547) - IF(P547 = Q547, 0, 1)
    ))
)</f>
        <v/>
      </c>
      <c r="V547" s="50" t="str">
        <f t="shared" si="55"/>
        <v/>
      </c>
      <c r="W547" s="50"/>
      <c r="X547" s="50"/>
      <c r="Y547" s="50"/>
      <c r="Z547" s="50"/>
      <c r="AA547" s="50"/>
    </row>
    <row r="548" spans="1:27" ht="25.5" customHeight="1">
      <c r="A548" s="517" t="s">
        <v>776</v>
      </c>
      <c r="B548" s="51" t="s">
        <v>4078</v>
      </c>
      <c r="C548" s="51" t="s">
        <v>143</v>
      </c>
      <c r="D548" s="51" t="s">
        <v>4116</v>
      </c>
      <c r="E548" s="50">
        <v>6516</v>
      </c>
      <c r="F548" s="50">
        <v>6649</v>
      </c>
      <c r="G548" s="50" t="s">
        <v>3404</v>
      </c>
      <c r="H548" s="50">
        <v>2025</v>
      </c>
      <c r="I548" s="132">
        <v>45882</v>
      </c>
      <c r="J548" s="50" t="s">
        <v>3126</v>
      </c>
      <c r="K548" s="50" t="s">
        <v>200</v>
      </c>
      <c r="L548" s="50"/>
      <c r="M548" s="50" t="s">
        <v>1982</v>
      </c>
      <c r="N548" s="50" t="s">
        <v>4117</v>
      </c>
      <c r="O548" s="60">
        <v>45886</v>
      </c>
      <c r="P548" s="50"/>
      <c r="Q548" s="60">
        <v>45888</v>
      </c>
      <c r="R548" s="60">
        <v>45888</v>
      </c>
      <c r="S548" s="50">
        <f t="shared" si="53"/>
        <v>2</v>
      </c>
      <c r="T548" s="50" t="str">
        <f>IF(
    OR(ISBLANK(O548), ISBLANK(P548)),
    "",
    MAX(1, IF(
        NETWORKDAYS(O548, P548) &lt;= 0,
        1,
        NETWORKDAYS(O548:P548, Q548) - IF(P548 = Q548, 0, 1)
    ))
)</f>
        <v/>
      </c>
      <c r="U548" s="50">
        <f>IF(
    OR(ISBLANK(O548), ISBLANK(Q548)),
    "",
    MAX(1, IF(
        NETWORKDAYS(O548, Q548) &lt;= 0,
        1,
        NETWORKDAYS(O548, Q548) - IF(O548 = Q548, 0, 1)
    ))
)</f>
        <v>1</v>
      </c>
      <c r="V548" s="50">
        <f t="shared" si="55"/>
        <v>1</v>
      </c>
      <c r="W548" s="50" t="s">
        <v>150</v>
      </c>
      <c r="X548" s="50" t="s">
        <v>4</v>
      </c>
      <c r="Y548" s="50" t="s">
        <v>50</v>
      </c>
      <c r="Z548" s="50" t="s">
        <v>3406</v>
      </c>
      <c r="AA548" s="50"/>
    </row>
    <row r="549" spans="1:27" ht="25.5" customHeight="1">
      <c r="A549" s="50" t="s">
        <v>776</v>
      </c>
      <c r="B549" s="51" t="s">
        <v>4078</v>
      </c>
      <c r="C549" s="51" t="s">
        <v>143</v>
      </c>
      <c r="D549" s="51" t="s">
        <v>4118</v>
      </c>
      <c r="E549" s="50">
        <v>18239</v>
      </c>
      <c r="F549" s="50">
        <v>16169</v>
      </c>
      <c r="G549" s="50" t="s">
        <v>3404</v>
      </c>
      <c r="H549" s="50">
        <v>2024</v>
      </c>
      <c r="I549" s="132">
        <v>45429</v>
      </c>
      <c r="J549" s="50"/>
      <c r="K549" s="50" t="s">
        <v>200</v>
      </c>
      <c r="L549" s="50" t="s">
        <v>328</v>
      </c>
      <c r="M549" s="50" t="s">
        <v>1982</v>
      </c>
      <c r="N549" s="50"/>
      <c r="O549" s="50"/>
      <c r="P549" s="50"/>
      <c r="Q549" s="50"/>
      <c r="R549" s="50"/>
      <c r="S549" s="50" t="str">
        <f t="shared" si="53"/>
        <v/>
      </c>
      <c r="T549" s="50" t="str">
        <f t="shared" ref="T549:U552" si="56">IF(
    OR(ISBLANK(O549), ISBLANK(P549)),
    "",
    MAX(1, IF(
        NETWORKDAYS(O549, P549) &lt;= 0,
        1,
        NETWORKDAYS(O549, P549) - IF(O549 = P549, 0, 1)
    ))
)</f>
        <v/>
      </c>
      <c r="U549" s="50" t="str">
        <f t="shared" si="56"/>
        <v/>
      </c>
      <c r="V549" s="50" t="str">
        <f t="shared" si="55"/>
        <v/>
      </c>
      <c r="W549" s="50"/>
      <c r="X549" s="50"/>
      <c r="Y549" s="50"/>
      <c r="Z549" s="50" t="s">
        <v>3406</v>
      </c>
      <c r="AA549" s="50"/>
    </row>
    <row r="550" spans="1:27" ht="25.5" customHeight="1">
      <c r="A550" s="517" t="s">
        <v>776</v>
      </c>
      <c r="B550" s="51" t="s">
        <v>4078</v>
      </c>
      <c r="C550" s="51" t="s">
        <v>143</v>
      </c>
      <c r="D550" s="51" t="s">
        <v>4119</v>
      </c>
      <c r="E550" s="50">
        <v>771</v>
      </c>
      <c r="F550" s="50">
        <v>712</v>
      </c>
      <c r="G550" s="50" t="s">
        <v>3955</v>
      </c>
      <c r="H550" s="50"/>
      <c r="I550" s="105"/>
      <c r="J550" s="50"/>
      <c r="K550" s="50" t="s">
        <v>200</v>
      </c>
      <c r="L550" s="50" t="s">
        <v>328</v>
      </c>
      <c r="M550" s="50" t="s">
        <v>1982</v>
      </c>
      <c r="N550" s="50"/>
      <c r="O550" s="50"/>
      <c r="P550" s="50"/>
      <c r="Q550" s="50"/>
      <c r="R550" s="50"/>
      <c r="S550" s="50" t="str">
        <f t="shared" si="53"/>
        <v/>
      </c>
      <c r="T550" s="50" t="str">
        <f t="shared" si="56"/>
        <v/>
      </c>
      <c r="U550" s="50" t="str">
        <f t="shared" si="56"/>
        <v/>
      </c>
      <c r="V550" s="50" t="str">
        <f t="shared" si="55"/>
        <v/>
      </c>
      <c r="W550" s="50"/>
      <c r="X550" s="50"/>
      <c r="Y550" s="50"/>
      <c r="Z550" s="50"/>
      <c r="AA550" s="50"/>
    </row>
    <row r="551" spans="1:27" ht="25.5" customHeight="1">
      <c r="A551" s="517" t="s">
        <v>776</v>
      </c>
      <c r="B551" s="51" t="s">
        <v>4078</v>
      </c>
      <c r="C551" s="51" t="s">
        <v>143</v>
      </c>
      <c r="D551" s="51" t="s">
        <v>3935</v>
      </c>
      <c r="E551" s="50">
        <v>828</v>
      </c>
      <c r="F551" s="50">
        <v>715</v>
      </c>
      <c r="G551" s="50" t="s">
        <v>3955</v>
      </c>
      <c r="H551" s="50"/>
      <c r="I551" s="105"/>
      <c r="J551" s="50"/>
      <c r="K551" s="50" t="s">
        <v>200</v>
      </c>
      <c r="L551" s="50" t="s">
        <v>328</v>
      </c>
      <c r="M551" s="50" t="s">
        <v>1982</v>
      </c>
      <c r="N551" s="50"/>
      <c r="O551" s="50"/>
      <c r="P551" s="50"/>
      <c r="Q551" s="50"/>
      <c r="R551" s="50"/>
      <c r="S551" s="50" t="str">
        <f t="shared" si="53"/>
        <v/>
      </c>
      <c r="T551" s="50" t="str">
        <f t="shared" si="56"/>
        <v/>
      </c>
      <c r="U551" s="50" t="str">
        <f t="shared" si="56"/>
        <v/>
      </c>
      <c r="V551" s="50" t="str">
        <f t="shared" si="55"/>
        <v/>
      </c>
      <c r="W551" s="50"/>
      <c r="X551" s="50"/>
      <c r="Y551" s="50"/>
      <c r="Z551" s="50"/>
      <c r="AA551" s="50"/>
    </row>
    <row r="552" spans="1:27" ht="25.5" customHeight="1">
      <c r="A552" s="50" t="s">
        <v>776</v>
      </c>
      <c r="B552" s="51" t="s">
        <v>4078</v>
      </c>
      <c r="C552" s="51" t="s">
        <v>143</v>
      </c>
      <c r="D552" s="51" t="s">
        <v>4120</v>
      </c>
      <c r="E552" s="50">
        <v>3336</v>
      </c>
      <c r="F552" s="50">
        <v>3094</v>
      </c>
      <c r="G552" s="50" t="s">
        <v>3404</v>
      </c>
      <c r="H552" s="50">
        <v>2024</v>
      </c>
      <c r="I552" s="132">
        <v>45609</v>
      </c>
      <c r="J552" s="50"/>
      <c r="K552" s="50" t="s">
        <v>200</v>
      </c>
      <c r="L552" s="50" t="s">
        <v>328</v>
      </c>
      <c r="M552" s="50" t="s">
        <v>1982</v>
      </c>
      <c r="N552" s="50"/>
      <c r="O552" s="50"/>
      <c r="P552" s="50"/>
      <c r="Q552" s="50"/>
      <c r="R552" s="50"/>
      <c r="S552" s="50" t="str">
        <f t="shared" si="53"/>
        <v/>
      </c>
      <c r="T552" s="50" t="str">
        <f t="shared" si="56"/>
        <v/>
      </c>
      <c r="U552" s="50" t="str">
        <f t="shared" si="56"/>
        <v/>
      </c>
      <c r="V552" s="50" t="str">
        <f t="shared" si="55"/>
        <v/>
      </c>
      <c r="W552" s="50"/>
      <c r="X552" s="50" t="s">
        <v>4</v>
      </c>
      <c r="Y552" s="50" t="s">
        <v>50</v>
      </c>
      <c r="Z552" s="50" t="s">
        <v>3406</v>
      </c>
      <c r="AA552" s="50"/>
    </row>
    <row r="553" spans="1:27" ht="25.5" customHeight="1">
      <c r="A553" s="517" t="s">
        <v>776</v>
      </c>
      <c r="B553" s="51" t="s">
        <v>4078</v>
      </c>
      <c r="C553" s="51" t="s">
        <v>143</v>
      </c>
      <c r="D553" s="51" t="s">
        <v>4121</v>
      </c>
      <c r="E553" s="50">
        <v>8818</v>
      </c>
      <c r="F553" s="50">
        <v>9484</v>
      </c>
      <c r="G553" s="50" t="s">
        <v>3404</v>
      </c>
      <c r="H553" s="50">
        <v>2025</v>
      </c>
      <c r="I553" s="132">
        <v>45723</v>
      </c>
      <c r="J553" s="50" t="s">
        <v>3416</v>
      </c>
      <c r="K553" s="50" t="s">
        <v>200</v>
      </c>
      <c r="L553" s="50" t="s">
        <v>328</v>
      </c>
      <c r="M553" s="50" t="s">
        <v>1982</v>
      </c>
      <c r="N553" s="50" t="s">
        <v>4122</v>
      </c>
      <c r="O553" s="60">
        <v>45725</v>
      </c>
      <c r="P553" s="60">
        <v>45733</v>
      </c>
      <c r="Q553" s="60">
        <v>45734</v>
      </c>
      <c r="R553" s="60">
        <v>45735</v>
      </c>
      <c r="S553" s="50">
        <f t="shared" si="53"/>
        <v>1</v>
      </c>
      <c r="T553" s="50">
        <f>IF(
    OR(ISBLANK(P553), ISBLANK(Q553)),
    "",
    MAX(1, IF(
        NETWORKDAYS(P553, Q553) &lt;= 0,
        1,
        NETWORKDAYS(P553, Q553) - IF(P553 = Q553, 0, 1)
    ))
)</f>
        <v>1</v>
      </c>
      <c r="U553" s="50">
        <f t="shared" ref="U553:U558" si="57">IF(
    OR(ISBLANK(P553), ISBLANK(Q553)),
    "",
    MAX(1, IF(
        NETWORKDAYS(P553, Q553) &lt;= 0,
        1,
        NETWORKDAYS(P553, Q553) - IF(P553 = Q553, 0, 1)
    ))
)</f>
        <v>1</v>
      </c>
      <c r="V553" s="50">
        <f t="shared" si="55"/>
        <v>1</v>
      </c>
      <c r="W553" s="50" t="s">
        <v>150</v>
      </c>
      <c r="X553" s="50" t="s">
        <v>3527</v>
      </c>
      <c r="Y553" s="50" t="s">
        <v>3528</v>
      </c>
      <c r="Z553" s="50" t="s">
        <v>3406</v>
      </c>
      <c r="AA553" s="50" t="s">
        <v>4123</v>
      </c>
    </row>
    <row r="554" spans="1:27" ht="25.5" customHeight="1">
      <c r="A554" s="517" t="s">
        <v>776</v>
      </c>
      <c r="B554" s="51" t="s">
        <v>4078</v>
      </c>
      <c r="C554" s="51" t="s">
        <v>143</v>
      </c>
      <c r="D554" s="51" t="s">
        <v>4124</v>
      </c>
      <c r="E554" s="50">
        <v>6524</v>
      </c>
      <c r="F554" s="50">
        <v>6688</v>
      </c>
      <c r="G554" s="50" t="s">
        <v>3404</v>
      </c>
      <c r="H554" s="50">
        <v>2025</v>
      </c>
      <c r="I554" s="132">
        <v>45909</v>
      </c>
      <c r="J554" s="50" t="s">
        <v>3127</v>
      </c>
      <c r="K554" s="50" t="s">
        <v>200</v>
      </c>
      <c r="L554" s="50" t="s">
        <v>1838</v>
      </c>
      <c r="M554" s="50" t="s">
        <v>1982</v>
      </c>
      <c r="N554" s="50" t="s">
        <v>4125</v>
      </c>
      <c r="O554" s="60">
        <v>45915</v>
      </c>
      <c r="P554" s="60">
        <v>45917</v>
      </c>
      <c r="Q554" s="60">
        <v>45917</v>
      </c>
      <c r="R554" s="60">
        <v>45918</v>
      </c>
      <c r="S554" s="50">
        <f t="shared" si="53"/>
        <v>4</v>
      </c>
      <c r="T554" s="50">
        <f>IF(
    OR(ISBLANK(P554), ISBLANK(Q554)),
    "",
    MAX(1, IF(
        NETWORKDAYS(P554, Q554) &lt;= 0,
        1,
        NETWORKDAYS(P554, Q554) - IF(P554 = Q554, 0, 1)
    ))
)</f>
        <v>1</v>
      </c>
      <c r="U554" s="50">
        <f t="shared" si="57"/>
        <v>1</v>
      </c>
      <c r="V554" s="50">
        <f t="shared" si="55"/>
        <v>1</v>
      </c>
      <c r="W554" s="50" t="s">
        <v>150</v>
      </c>
      <c r="X554" s="50" t="s">
        <v>4</v>
      </c>
      <c r="Y554" s="50" t="s">
        <v>50</v>
      </c>
      <c r="Z554" s="50" t="s">
        <v>3406</v>
      </c>
      <c r="AA554" s="50"/>
    </row>
    <row r="555" spans="1:27" ht="25.5" customHeight="1">
      <c r="A555" s="50" t="s">
        <v>776</v>
      </c>
      <c r="B555" s="51" t="s">
        <v>4078</v>
      </c>
      <c r="C555" s="51" t="s">
        <v>143</v>
      </c>
      <c r="D555" s="51" t="s">
        <v>4126</v>
      </c>
      <c r="E555" s="50">
        <v>2262</v>
      </c>
      <c r="F555" s="50">
        <v>1945</v>
      </c>
      <c r="G555" s="50" t="s">
        <v>3404</v>
      </c>
      <c r="H555" s="50">
        <v>2024</v>
      </c>
      <c r="I555" s="132">
        <v>45427</v>
      </c>
      <c r="J555" s="50"/>
      <c r="K555" s="50" t="s">
        <v>200</v>
      </c>
      <c r="L555" s="50" t="s">
        <v>328</v>
      </c>
      <c r="M555" s="50" t="s">
        <v>1982</v>
      </c>
      <c r="N555" s="50"/>
      <c r="O555" s="50"/>
      <c r="P555" s="50"/>
      <c r="Q555" s="50"/>
      <c r="R555" s="50"/>
      <c r="S555" s="50" t="str">
        <f t="shared" si="53"/>
        <v/>
      </c>
      <c r="T555" s="50" t="str">
        <f>IF(
    OR(ISBLANK(O555), ISBLANK(P555)),
    "",
    MAX(1, IF(
        NETWORKDAYS(O555, P555) &lt;= 0,
        1,
        NETWORKDAYS(O555, P555) - IF(O555 = P555, 0, 1)
    ))
)</f>
        <v/>
      </c>
      <c r="U555" s="50" t="str">
        <f t="shared" si="57"/>
        <v/>
      </c>
      <c r="V555" s="50" t="str">
        <f t="shared" si="55"/>
        <v/>
      </c>
      <c r="W555" s="50"/>
      <c r="X555" s="50"/>
      <c r="Y555" s="50"/>
      <c r="Z555" s="50" t="s">
        <v>3406</v>
      </c>
      <c r="AA555" s="50"/>
    </row>
    <row r="556" spans="1:27" s="110" customFormat="1" ht="25.5" customHeight="1">
      <c r="A556" s="50" t="s">
        <v>776</v>
      </c>
      <c r="B556" s="51" t="s">
        <v>4078</v>
      </c>
      <c r="C556" s="51" t="s">
        <v>143</v>
      </c>
      <c r="D556" s="51" t="s">
        <v>4127</v>
      </c>
      <c r="E556" s="50">
        <v>2467</v>
      </c>
      <c r="F556" s="50">
        <v>2012</v>
      </c>
      <c r="G556" s="50" t="s">
        <v>3404</v>
      </c>
      <c r="H556" s="50">
        <v>2024</v>
      </c>
      <c r="I556" s="132">
        <v>45603</v>
      </c>
      <c r="J556" s="50"/>
      <c r="K556" s="50" t="s">
        <v>200</v>
      </c>
      <c r="L556" s="50" t="s">
        <v>328</v>
      </c>
      <c r="M556" s="50" t="s">
        <v>1982</v>
      </c>
      <c r="N556" s="50"/>
      <c r="O556" s="50"/>
      <c r="P556" s="50"/>
      <c r="Q556" s="50"/>
      <c r="R556" s="50"/>
      <c r="S556" s="50" t="str">
        <f t="shared" si="53"/>
        <v/>
      </c>
      <c r="T556" s="50" t="str">
        <f>IF(
    OR(ISBLANK(O556), ISBLANK(P556)),
    "",
    MAX(1, IF(
        NETWORKDAYS(O556, P556) &lt;= 0,
        1,
        NETWORKDAYS(O556, P556) - IF(O556 = P556, 0, 1)
    ))
)</f>
        <v/>
      </c>
      <c r="U556" s="50" t="str">
        <f t="shared" si="57"/>
        <v/>
      </c>
      <c r="V556" s="50" t="str">
        <f t="shared" si="55"/>
        <v/>
      </c>
      <c r="W556" s="50"/>
      <c r="X556" s="50" t="s">
        <v>1078</v>
      </c>
      <c r="Y556" s="50" t="s">
        <v>3528</v>
      </c>
      <c r="Z556" s="50" t="s">
        <v>3406</v>
      </c>
      <c r="AA556" s="50"/>
    </row>
    <row r="557" spans="1:27" ht="25.5" customHeight="1">
      <c r="A557" s="50" t="s">
        <v>776</v>
      </c>
      <c r="B557" s="51" t="s">
        <v>4078</v>
      </c>
      <c r="C557" s="51" t="s">
        <v>143</v>
      </c>
      <c r="D557" s="51" t="s">
        <v>918</v>
      </c>
      <c r="E557" s="50">
        <v>4388</v>
      </c>
      <c r="F557" s="50">
        <v>4566</v>
      </c>
      <c r="G557" s="50" t="s">
        <v>3404</v>
      </c>
      <c r="H557" s="50">
        <v>2024</v>
      </c>
      <c r="I557" s="132">
        <v>45604</v>
      </c>
      <c r="J557" s="50"/>
      <c r="K557" s="50" t="s">
        <v>200</v>
      </c>
      <c r="L557" s="50" t="s">
        <v>328</v>
      </c>
      <c r="M557" s="50" t="s">
        <v>1982</v>
      </c>
      <c r="N557" s="50"/>
      <c r="O557" s="50"/>
      <c r="P557" s="50"/>
      <c r="Q557" s="50"/>
      <c r="R557" s="50"/>
      <c r="S557" s="50" t="str">
        <f t="shared" si="53"/>
        <v/>
      </c>
      <c r="T557" s="50" t="str">
        <f>IF(
    OR(ISBLANK(O557), ISBLANK(P557)),
    "",
    MAX(1, IF(
        NETWORKDAYS(O557, P557) &lt;= 0,
        1,
        NETWORKDAYS(O557, P557) - IF(O557 = P557, 0, 1)
    ))
)</f>
        <v/>
      </c>
      <c r="U557" s="50" t="str">
        <f t="shared" si="57"/>
        <v/>
      </c>
      <c r="V557" s="50" t="str">
        <f t="shared" si="55"/>
        <v/>
      </c>
      <c r="W557" s="50"/>
      <c r="X557" s="50" t="s">
        <v>1078</v>
      </c>
      <c r="Y557" s="50" t="s">
        <v>3528</v>
      </c>
      <c r="Z557" s="50" t="s">
        <v>3406</v>
      </c>
      <c r="AA557" s="50"/>
    </row>
    <row r="558" spans="1:27" ht="25.5" customHeight="1">
      <c r="A558" s="521" t="s">
        <v>776</v>
      </c>
      <c r="B558" s="51" t="s">
        <v>4078</v>
      </c>
      <c r="C558" s="51" t="s">
        <v>143</v>
      </c>
      <c r="D558" s="51" t="s">
        <v>3723</v>
      </c>
      <c r="E558" s="50">
        <v>5240</v>
      </c>
      <c r="F558" s="50">
        <v>4991</v>
      </c>
      <c r="G558" s="50" t="s">
        <v>3404</v>
      </c>
      <c r="H558" s="50">
        <v>2024</v>
      </c>
      <c r="I558" s="132">
        <v>45603</v>
      </c>
      <c r="J558" s="50"/>
      <c r="K558" s="50" t="s">
        <v>200</v>
      </c>
      <c r="L558" s="50" t="s">
        <v>328</v>
      </c>
      <c r="M558" s="50" t="s">
        <v>1982</v>
      </c>
      <c r="N558" s="50"/>
      <c r="O558" s="50"/>
      <c r="P558" s="50"/>
      <c r="Q558" s="50"/>
      <c r="R558" s="50"/>
      <c r="S558" s="50" t="str">
        <f t="shared" si="53"/>
        <v/>
      </c>
      <c r="T558" s="50" t="str">
        <f>IF(
    OR(ISBLANK(O558), ISBLANK(P558)),
    "",
    MAX(1, IF(
        NETWORKDAYS(O558, P558) &lt;= 0,
        1,
        NETWORKDAYS(O558, P558) - IF(O558 = P558, 0, 1)
    ))
)</f>
        <v/>
      </c>
      <c r="U558" s="50" t="str">
        <f t="shared" si="57"/>
        <v/>
      </c>
      <c r="V558" s="50" t="str">
        <f t="shared" si="55"/>
        <v/>
      </c>
      <c r="W558" s="50"/>
      <c r="X558" s="50" t="s">
        <v>1078</v>
      </c>
      <c r="Y558" s="50" t="s">
        <v>3528</v>
      </c>
      <c r="Z558" s="50" t="s">
        <v>3406</v>
      </c>
      <c r="AA558" s="50"/>
    </row>
    <row r="559" spans="1:27" ht="25.5" customHeight="1">
      <c r="A559" s="517" t="s">
        <v>776</v>
      </c>
      <c r="B559" s="51" t="s">
        <v>4078</v>
      </c>
      <c r="C559" s="51" t="s">
        <v>143</v>
      </c>
      <c r="D559" s="51" t="s">
        <v>3878</v>
      </c>
      <c r="E559" s="50">
        <v>2790</v>
      </c>
      <c r="F559" s="50">
        <v>2402</v>
      </c>
      <c r="G559" s="50" t="s">
        <v>3404</v>
      </c>
      <c r="H559" s="50">
        <v>2025</v>
      </c>
      <c r="I559" s="132">
        <v>45855</v>
      </c>
      <c r="J559" s="50" t="s">
        <v>3125</v>
      </c>
      <c r="K559" s="50" t="s">
        <v>200</v>
      </c>
      <c r="L559" s="50"/>
      <c r="M559" s="50" t="s">
        <v>1982</v>
      </c>
      <c r="N559" s="50" t="s">
        <v>4128</v>
      </c>
      <c r="O559" s="60">
        <v>45856</v>
      </c>
      <c r="P559" s="60"/>
      <c r="Q559" s="60">
        <v>45859</v>
      </c>
      <c r="R559" s="60">
        <v>45859</v>
      </c>
      <c r="S559" s="50">
        <f t="shared" si="53"/>
        <v>1</v>
      </c>
      <c r="T559" s="50" t="str">
        <f>IF(
    OR(ISBLANK(O559), ISBLANK(P559)),
    "",
    MAX(1, IF(
        NETWORKDAYS(O559, P559) &lt;= 0,
        1,
        NETWORKDAYS(O559:P559, Q559) - IF(P559 = Q559, 0, 1)
    ))
)</f>
        <v/>
      </c>
      <c r="U559" s="50">
        <f>IF(
    OR(ISBLANK(O559), ISBLANK(Q559)),
    "",
    MAX(1, IF(
        NETWORKDAYS(O559, Q559) &lt;= 0,
        1,
        NETWORKDAYS(O559, Q559) - IF(O559 = Q559, 0, 1)
    ))
)</f>
        <v>1</v>
      </c>
      <c r="V559" s="50">
        <f t="shared" si="55"/>
        <v>1</v>
      </c>
      <c r="W559" s="50" t="s">
        <v>150</v>
      </c>
      <c r="X559" s="50" t="s">
        <v>1078</v>
      </c>
      <c r="Y559" s="50" t="s">
        <v>50</v>
      </c>
      <c r="Z559" s="50" t="s">
        <v>3406</v>
      </c>
      <c r="AA559" s="50"/>
    </row>
    <row r="560" spans="1:27" ht="25.5" customHeight="1">
      <c r="A560" s="517" t="s">
        <v>776</v>
      </c>
      <c r="B560" s="51" t="s">
        <v>4078</v>
      </c>
      <c r="C560" s="51" t="s">
        <v>143</v>
      </c>
      <c r="D560" s="51" t="s">
        <v>1170</v>
      </c>
      <c r="E560" s="50">
        <v>1973</v>
      </c>
      <c r="F560" s="50">
        <v>1534</v>
      </c>
      <c r="G560" s="50" t="s">
        <v>3404</v>
      </c>
      <c r="H560" s="50">
        <v>2025</v>
      </c>
      <c r="I560" s="132">
        <v>45931</v>
      </c>
      <c r="J560" s="50" t="s">
        <v>3128</v>
      </c>
      <c r="K560" s="50" t="s">
        <v>200</v>
      </c>
      <c r="L560" s="50" t="s">
        <v>1838</v>
      </c>
      <c r="M560" s="50" t="s">
        <v>1982</v>
      </c>
      <c r="N560" s="50" t="s">
        <v>4129</v>
      </c>
      <c r="O560" s="60">
        <v>45936</v>
      </c>
      <c r="P560" s="60">
        <v>45948</v>
      </c>
      <c r="Q560" s="60">
        <v>45949</v>
      </c>
      <c r="R560" s="60">
        <v>45950</v>
      </c>
      <c r="S560" s="50">
        <f t="shared" si="53"/>
        <v>3</v>
      </c>
      <c r="T560" s="50">
        <f>IF(
    OR(ISBLANK(P560), ISBLANK(Q560)),
    "",
    MAX(1, IF(
        NETWORKDAYS(P560, Q560) &lt;= 0,
        1,
        NETWORKDAYS(P560, Q560) - IF(P560 = Q560, 0, 1)
    ))
)</f>
        <v>1</v>
      </c>
      <c r="U560" s="50">
        <f>IF(
    OR(ISBLANK(P560), ISBLANK(Q560)),
    "",
    MAX(1, IF(
        NETWORKDAYS(P560, Q560) &lt;= 0,
        1,
        NETWORKDAYS(P560, Q560) - IF(P560 = Q560, 0, 1)
    ))
)</f>
        <v>1</v>
      </c>
      <c r="V560" s="50">
        <f t="shared" si="55"/>
        <v>1</v>
      </c>
      <c r="W560" s="50" t="s">
        <v>150</v>
      </c>
      <c r="X560" s="50" t="s">
        <v>3527</v>
      </c>
      <c r="Y560" s="50" t="s">
        <v>3528</v>
      </c>
      <c r="Z560" s="50" t="s">
        <v>3406</v>
      </c>
      <c r="AA560" s="50"/>
    </row>
    <row r="561" spans="1:27" ht="25.5" customHeight="1">
      <c r="A561" s="517" t="s">
        <v>776</v>
      </c>
      <c r="B561" s="51" t="s">
        <v>4078</v>
      </c>
      <c r="C561" s="51" t="s">
        <v>143</v>
      </c>
      <c r="D561" s="51" t="s">
        <v>3977</v>
      </c>
      <c r="E561" s="50">
        <v>2025</v>
      </c>
      <c r="F561" s="50">
        <v>2035</v>
      </c>
      <c r="G561" s="50" t="s">
        <v>3955</v>
      </c>
      <c r="H561" s="50"/>
      <c r="I561" s="105"/>
      <c r="J561" s="50"/>
      <c r="K561" s="50" t="s">
        <v>200</v>
      </c>
      <c r="L561" s="50" t="s">
        <v>328</v>
      </c>
      <c r="M561" s="50" t="s">
        <v>1982</v>
      </c>
      <c r="N561" s="50"/>
      <c r="O561" s="50"/>
      <c r="P561" s="50"/>
      <c r="Q561" s="50"/>
      <c r="R561" s="50"/>
      <c r="S561" s="50" t="str">
        <f t="shared" si="53"/>
        <v/>
      </c>
      <c r="T561" s="50" t="str">
        <f>IF(
    OR(ISBLANK(O561), ISBLANK(P561)),
    "",
    MAX(1, IF(
        NETWORKDAYS(O561, P561) &lt;= 0,
        1,
        NETWORKDAYS(O561, P561) - IF(O561 = P561, 0, 1)
    ))
)</f>
        <v/>
      </c>
      <c r="U561" s="50" t="str">
        <f>IF(
    OR(ISBLANK(Q561), ISBLANK(R561)),
    "",
    MAX(1, IF(
        NETWORKDAYS(O561, Q561) &lt;= 0,
        1,
        NETWORKDAYS(O561, Q561) - IF(O561 = Q561, 0, 1)
    ))
)</f>
        <v/>
      </c>
      <c r="V561" s="50" t="str">
        <f t="shared" si="55"/>
        <v/>
      </c>
      <c r="W561" s="50"/>
      <c r="X561" s="50"/>
      <c r="Y561" s="50"/>
      <c r="Z561" s="50"/>
      <c r="AA561" s="50"/>
    </row>
    <row r="562" spans="1:27" ht="25.5" customHeight="1">
      <c r="A562" s="50" t="s">
        <v>776</v>
      </c>
      <c r="B562" s="50" t="s">
        <v>4078</v>
      </c>
      <c r="C562" s="50" t="s">
        <v>143</v>
      </c>
      <c r="D562" s="50" t="s">
        <v>4130</v>
      </c>
      <c r="E562" s="50">
        <v>561</v>
      </c>
      <c r="F562" s="50">
        <v>574</v>
      </c>
      <c r="G562" s="50" t="s">
        <v>3404</v>
      </c>
      <c r="H562" s="50">
        <v>2025</v>
      </c>
      <c r="I562" s="132">
        <v>45931</v>
      </c>
      <c r="J562" s="50" t="s">
        <v>3128</v>
      </c>
      <c r="K562" s="50" t="s">
        <v>200</v>
      </c>
      <c r="L562" s="50" t="s">
        <v>1838</v>
      </c>
      <c r="M562" s="50" t="s">
        <v>1982</v>
      </c>
      <c r="N562" s="50" t="s">
        <v>4131</v>
      </c>
      <c r="O562" s="60">
        <v>45936</v>
      </c>
      <c r="P562" s="60">
        <v>45948</v>
      </c>
      <c r="Q562" s="60">
        <v>45949</v>
      </c>
      <c r="R562" s="60">
        <v>45950</v>
      </c>
      <c r="S562" s="50">
        <f t="shared" si="53"/>
        <v>3</v>
      </c>
      <c r="T562" s="50">
        <f>IF(
    OR(ISBLANK(P562), ISBLANK(Q562)),
    "",
    MAX(1, IF(
        NETWORKDAYS(P562, Q562) &lt;= 0,
        1,
        NETWORKDAYS(P562, Q562) - IF(P562 = Q562, 0, 1)
    ))
)</f>
        <v>1</v>
      </c>
      <c r="U562" s="50">
        <f>IF(
    OR(ISBLANK(P562), ISBLANK(Q562)),
    "",
    MAX(1, IF(
        NETWORKDAYS(P562, Q562) &lt;= 0,
        1,
        NETWORKDAYS(P562, Q562) - IF(P562 = Q562, 0, 1)
    ))
)</f>
        <v>1</v>
      </c>
      <c r="V562" s="50">
        <f t="shared" si="55"/>
        <v>1</v>
      </c>
      <c r="W562" s="50" t="s">
        <v>150</v>
      </c>
      <c r="X562" s="50" t="s">
        <v>3527</v>
      </c>
      <c r="Y562" s="50" t="s">
        <v>3528</v>
      </c>
      <c r="Z562" s="50" t="s">
        <v>3406</v>
      </c>
      <c r="AA562" s="50"/>
    </row>
    <row r="563" spans="1:27" ht="25.5" customHeight="1">
      <c r="A563" s="517" t="s">
        <v>776</v>
      </c>
      <c r="B563" s="51" t="s">
        <v>4078</v>
      </c>
      <c r="C563" s="51" t="s">
        <v>143</v>
      </c>
      <c r="D563" s="51" t="s">
        <v>4132</v>
      </c>
      <c r="E563" s="50">
        <v>7633</v>
      </c>
      <c r="F563" s="50">
        <v>7333</v>
      </c>
      <c r="G563" s="50" t="s">
        <v>3404</v>
      </c>
      <c r="H563" s="50">
        <v>2025</v>
      </c>
      <c r="I563" s="132">
        <v>45931</v>
      </c>
      <c r="J563" s="50" t="s">
        <v>3129</v>
      </c>
      <c r="K563" s="50" t="s">
        <v>200</v>
      </c>
      <c r="L563" s="50" t="s">
        <v>1838</v>
      </c>
      <c r="M563" s="50" t="s">
        <v>1982</v>
      </c>
      <c r="N563" s="50" t="s">
        <v>4133</v>
      </c>
      <c r="O563" s="60">
        <v>45939</v>
      </c>
      <c r="P563" s="60">
        <v>45948</v>
      </c>
      <c r="Q563" s="60">
        <v>45949</v>
      </c>
      <c r="R563" s="60">
        <v>45950</v>
      </c>
      <c r="S563" s="50">
        <f t="shared" si="53"/>
        <v>6</v>
      </c>
      <c r="T563" s="50">
        <f>IF(
    OR(ISBLANK(P563), ISBLANK(Q563)),
    "",
    MAX(1, IF(
        NETWORKDAYS(P563, Q563) &lt;= 0,
        1,
        NETWORKDAYS(P563, Q563) - IF(P563 = Q563, 0, 1)
    ))
)</f>
        <v>1</v>
      </c>
      <c r="U563" s="50">
        <f>IF(
    OR(ISBLANK(P563), ISBLANK(Q563)),
    "",
    MAX(1, IF(
        NETWORKDAYS(P563, Q563) &lt;= 0,
        1,
        NETWORKDAYS(P563, Q563) - IF(P563 = Q563, 0, 1)
    ))
)</f>
        <v>1</v>
      </c>
      <c r="V563" s="50">
        <f t="shared" si="55"/>
        <v>1</v>
      </c>
      <c r="W563" s="50" t="s">
        <v>150</v>
      </c>
      <c r="X563" s="50" t="s">
        <v>4</v>
      </c>
      <c r="Y563" s="50" t="s">
        <v>50</v>
      </c>
      <c r="Z563" s="50" t="s">
        <v>3406</v>
      </c>
      <c r="AA563" s="50"/>
    </row>
    <row r="564" spans="1:27" ht="25.5" customHeight="1">
      <c r="A564" s="517" t="s">
        <v>776</v>
      </c>
      <c r="B564" s="51" t="s">
        <v>4078</v>
      </c>
      <c r="C564" s="51" t="s">
        <v>143</v>
      </c>
      <c r="D564" s="51" t="s">
        <v>1002</v>
      </c>
      <c r="E564" s="50">
        <v>8646</v>
      </c>
      <c r="F564" s="50">
        <v>8550</v>
      </c>
      <c r="G564" s="50" t="s">
        <v>3404</v>
      </c>
      <c r="H564" s="50">
        <v>2025</v>
      </c>
      <c r="I564" s="132">
        <v>45882</v>
      </c>
      <c r="J564" s="50" t="s">
        <v>3126</v>
      </c>
      <c r="K564" s="50" t="s">
        <v>200</v>
      </c>
      <c r="L564" s="50"/>
      <c r="M564" s="50" t="s">
        <v>1982</v>
      </c>
      <c r="N564" s="50" t="s">
        <v>4134</v>
      </c>
      <c r="O564" s="60">
        <v>45886</v>
      </c>
      <c r="P564" s="50"/>
      <c r="Q564" s="60">
        <v>45887</v>
      </c>
      <c r="R564" s="60">
        <v>45888</v>
      </c>
      <c r="S564" s="50">
        <f t="shared" si="53"/>
        <v>2</v>
      </c>
      <c r="T564" s="50" t="str">
        <f>IF(
    OR(ISBLANK(O564), ISBLANK(P564)),
    "",
    MAX(1, IF(
        NETWORKDAYS(O564, P564) &lt;= 0,
        1,
        NETWORKDAYS(O564:P564, Q564) - IF(P564 = Q564, 0, 1)
    ))
)</f>
        <v/>
      </c>
      <c r="U564" s="50">
        <f>IF(
    OR(ISBLANK(O564), ISBLANK(Q564)),
    "",
    MAX(1, IF(
        NETWORKDAYS(O564, Q564) &lt;= 0,
        1,
        NETWORKDAYS(O564, Q564) - IF(O564 = Q564, 0, 1)
    ))
)</f>
        <v>1</v>
      </c>
      <c r="V564" s="50">
        <f t="shared" si="55"/>
        <v>1</v>
      </c>
      <c r="W564" s="50" t="s">
        <v>150</v>
      </c>
      <c r="X564" s="50" t="s">
        <v>1078</v>
      </c>
      <c r="Y564" s="50" t="s">
        <v>50</v>
      </c>
      <c r="Z564" s="50" t="s">
        <v>3406</v>
      </c>
      <c r="AA564" s="50"/>
    </row>
    <row r="565" spans="1:27" ht="25.5" customHeight="1">
      <c r="A565" s="50" t="s">
        <v>776</v>
      </c>
      <c r="B565" s="51" t="s">
        <v>4078</v>
      </c>
      <c r="C565" s="51" t="s">
        <v>143</v>
      </c>
      <c r="D565" s="51" t="s">
        <v>4135</v>
      </c>
      <c r="E565" s="50">
        <v>2645</v>
      </c>
      <c r="F565" s="50">
        <v>2442</v>
      </c>
      <c r="G565" s="50" t="s">
        <v>3404</v>
      </c>
      <c r="H565" s="50">
        <v>2024</v>
      </c>
      <c r="I565" s="132">
        <v>45393</v>
      </c>
      <c r="J565" s="50"/>
      <c r="K565" s="50" t="s">
        <v>200</v>
      </c>
      <c r="L565" s="50" t="s">
        <v>328</v>
      </c>
      <c r="M565" s="50" t="s">
        <v>1982</v>
      </c>
      <c r="N565" s="50"/>
      <c r="O565" s="50"/>
      <c r="P565" s="50"/>
      <c r="Q565" s="50"/>
      <c r="R565" s="50"/>
      <c r="S565" s="50" t="str">
        <f t="shared" si="53"/>
        <v/>
      </c>
      <c r="T565" s="50" t="str">
        <f>IF(
    OR(ISBLANK(O565), ISBLANK(P565)),
    "",
    MAX(1, IF(
        NETWORKDAYS(O565, P565) &lt;= 0,
        1,
        NETWORKDAYS(O565, P565) - IF(O565 = P565, 0, 1)
    ))
)</f>
        <v/>
      </c>
      <c r="U565" s="50" t="str">
        <f>IF(
    OR(ISBLANK(Q565), ISBLANK(R565)),
    "",
    MAX(1, IF(
        NETWORKDAYS(O565, Q565) &lt;= 0,
        1,
        NETWORKDAYS(O565, Q565) - IF(O565 = Q565, 0, 1)
    ))
)</f>
        <v/>
      </c>
      <c r="V565" s="50" t="str">
        <f t="shared" si="55"/>
        <v/>
      </c>
      <c r="W565" s="50"/>
      <c r="X565" s="50"/>
      <c r="Y565" s="50"/>
      <c r="Z565" s="50" t="s">
        <v>3406</v>
      </c>
      <c r="AA565" s="50"/>
    </row>
    <row r="566" spans="1:27" s="110" customFormat="1" ht="25.5" customHeight="1">
      <c r="A566" s="50" t="s">
        <v>776</v>
      </c>
      <c r="B566" s="51" t="s">
        <v>4078</v>
      </c>
      <c r="C566" s="51" t="s">
        <v>143</v>
      </c>
      <c r="D566" s="51" t="s">
        <v>4136</v>
      </c>
      <c r="E566" s="50">
        <v>7554</v>
      </c>
      <c r="F566" s="50">
        <v>8719</v>
      </c>
      <c r="G566" s="50" t="s">
        <v>3404</v>
      </c>
      <c r="H566" s="50">
        <v>2024</v>
      </c>
      <c r="I566" s="132">
        <v>45393</v>
      </c>
      <c r="J566" s="50"/>
      <c r="K566" s="50" t="s">
        <v>200</v>
      </c>
      <c r="L566" s="50" t="s">
        <v>328</v>
      </c>
      <c r="M566" s="50" t="s">
        <v>1982</v>
      </c>
      <c r="N566" s="50"/>
      <c r="O566" s="50"/>
      <c r="P566" s="50"/>
      <c r="Q566" s="50"/>
      <c r="R566" s="50"/>
      <c r="S566" s="50" t="str">
        <f t="shared" si="53"/>
        <v/>
      </c>
      <c r="T566" s="50" t="str">
        <f>IF(
    OR(ISBLANK(O566), ISBLANK(P566)),
    "",
    MAX(1, IF(
        NETWORKDAYS(O566, P566) &lt;= 0,
        1,
        NETWORKDAYS(O566, P566) - IF(O566 = P566, 0, 1)
    ))
)</f>
        <v/>
      </c>
      <c r="U566" s="50" t="str">
        <f>IF(
    OR(ISBLANK(Q566), ISBLANK(R566)),
    "",
    MAX(1, IF(
        NETWORKDAYS(O566, Q566) &lt;= 0,
        1,
        NETWORKDAYS(O566, Q566) - IF(O566 = Q566, 0, 1)
    ))
)</f>
        <v/>
      </c>
      <c r="V566" s="50" t="str">
        <f t="shared" si="55"/>
        <v/>
      </c>
      <c r="W566" s="50"/>
      <c r="X566" s="50"/>
      <c r="Y566" s="50"/>
      <c r="Z566" s="50" t="s">
        <v>3406</v>
      </c>
      <c r="AA566" s="50"/>
    </row>
    <row r="567" spans="1:27" ht="25.5" customHeight="1">
      <c r="A567" s="517" t="s">
        <v>776</v>
      </c>
      <c r="B567" s="51" t="s">
        <v>4078</v>
      </c>
      <c r="C567" s="51" t="s">
        <v>143</v>
      </c>
      <c r="D567" s="51" t="s">
        <v>4014</v>
      </c>
      <c r="E567" s="50">
        <v>2231</v>
      </c>
      <c r="F567" s="50">
        <v>1677</v>
      </c>
      <c r="G567" s="50" t="s">
        <v>3404</v>
      </c>
      <c r="H567" s="50">
        <v>2025</v>
      </c>
      <c r="I567" s="132">
        <v>45882</v>
      </c>
      <c r="J567" s="50" t="s">
        <v>3126</v>
      </c>
      <c r="K567" s="50" t="s">
        <v>200</v>
      </c>
      <c r="L567" s="50"/>
      <c r="M567" s="50" t="s">
        <v>1982</v>
      </c>
      <c r="N567" s="50" t="s">
        <v>4137</v>
      </c>
      <c r="O567" s="60">
        <v>45886</v>
      </c>
      <c r="P567" s="50"/>
      <c r="Q567" s="60">
        <v>45888</v>
      </c>
      <c r="R567" s="60">
        <v>45888</v>
      </c>
      <c r="S567" s="50">
        <f t="shared" si="53"/>
        <v>2</v>
      </c>
      <c r="T567" s="50" t="str">
        <f>IF(
    OR(ISBLANK(O567), ISBLANK(P567)),
    "",
    MAX(1, IF(
        NETWORKDAYS(O567, P567) &lt;= 0,
        1,
        NETWORKDAYS(O567:P567, Q567) - IF(P567 = Q567, 0, 1)
    ))
)</f>
        <v/>
      </c>
      <c r="U567" s="50">
        <f>IF(
    OR(ISBLANK(O567), ISBLANK(Q567)),
    "",
    MAX(1, IF(
        NETWORKDAYS(O567, Q567) &lt;= 0,
        1,
        NETWORKDAYS(O567, Q567) - IF(O567 = Q567, 0, 1)
    ))
)</f>
        <v>1</v>
      </c>
      <c r="V567" s="50">
        <f t="shared" si="55"/>
        <v>1</v>
      </c>
      <c r="W567" s="50" t="s">
        <v>150</v>
      </c>
      <c r="X567" s="50" t="s">
        <v>1078</v>
      </c>
      <c r="Y567" s="50" t="s">
        <v>50</v>
      </c>
      <c r="Z567" s="50" t="s">
        <v>3406</v>
      </c>
      <c r="AA567" s="50"/>
    </row>
    <row r="568" spans="1:27" ht="25.5" customHeight="1">
      <c r="A568" s="521" t="s">
        <v>776</v>
      </c>
      <c r="B568" s="51" t="s">
        <v>4078</v>
      </c>
      <c r="C568" s="51" t="s">
        <v>143</v>
      </c>
      <c r="D568" s="51" t="s">
        <v>4138</v>
      </c>
      <c r="E568" s="50">
        <v>10094</v>
      </c>
      <c r="F568" s="50">
        <v>12600</v>
      </c>
      <c r="G568" s="50" t="s">
        <v>3404</v>
      </c>
      <c r="H568" s="50">
        <v>2024</v>
      </c>
      <c r="I568" s="132">
        <v>45513</v>
      </c>
      <c r="J568" s="50"/>
      <c r="K568" s="50" t="s">
        <v>200</v>
      </c>
      <c r="L568" s="50" t="s">
        <v>328</v>
      </c>
      <c r="M568" s="50" t="s">
        <v>1982</v>
      </c>
      <c r="N568" s="50"/>
      <c r="O568" s="50"/>
      <c r="P568" s="50"/>
      <c r="Q568" s="50"/>
      <c r="R568" s="50"/>
      <c r="S568" s="50" t="str">
        <f t="shared" si="53"/>
        <v/>
      </c>
      <c r="T568" s="50" t="str">
        <f>IF(
    OR(ISBLANK(O568), ISBLANK(P568)),
    "",
    MAX(1, IF(
        NETWORKDAYS(O568, P568) &lt;= 0,
        1,
        NETWORKDAYS(O568, P568) - IF(O568 = P568, 0, 1)
    ))
)</f>
        <v/>
      </c>
      <c r="U568" s="50" t="str">
        <f>IF(
    OR(ISBLANK(P568), ISBLANK(Q568)),
    "",
    MAX(1, IF(
        NETWORKDAYS(P568, Q568) &lt;= 0,
        1,
        NETWORKDAYS(P568, Q568) - IF(P568 = Q568, 0, 1)
    ))
)</f>
        <v/>
      </c>
      <c r="V568" s="50" t="str">
        <f t="shared" si="55"/>
        <v/>
      </c>
      <c r="W568" s="50"/>
      <c r="X568" s="50" t="s">
        <v>1078</v>
      </c>
      <c r="Y568" s="50"/>
      <c r="Z568" s="50" t="s">
        <v>3406</v>
      </c>
      <c r="AA568" s="50"/>
    </row>
    <row r="569" spans="1:27" ht="25.5" customHeight="1">
      <c r="A569" s="517" t="s">
        <v>776</v>
      </c>
      <c r="B569" s="51" t="s">
        <v>4139</v>
      </c>
      <c r="C569" s="51" t="s">
        <v>143</v>
      </c>
      <c r="D569" s="51" t="s">
        <v>4140</v>
      </c>
      <c r="E569" s="50">
        <v>7760</v>
      </c>
      <c r="F569" s="50">
        <v>8426</v>
      </c>
      <c r="G569" s="50" t="s">
        <v>3404</v>
      </c>
      <c r="H569" s="50">
        <v>2025</v>
      </c>
      <c r="I569" s="132">
        <v>45755</v>
      </c>
      <c r="J569" s="50" t="s">
        <v>3470</v>
      </c>
      <c r="K569" s="50" t="s">
        <v>508</v>
      </c>
      <c r="L569" s="50" t="s">
        <v>328</v>
      </c>
      <c r="M569" s="50" t="s">
        <v>1982</v>
      </c>
      <c r="N569" s="50" t="s">
        <v>4141</v>
      </c>
      <c r="O569" s="60">
        <v>45759</v>
      </c>
      <c r="P569" s="50"/>
      <c r="Q569" s="60">
        <v>45762</v>
      </c>
      <c r="R569" s="60">
        <v>45762</v>
      </c>
      <c r="S569" s="50">
        <f t="shared" si="53"/>
        <v>3</v>
      </c>
      <c r="T569" s="50" t="str">
        <f>IF(
    OR(ISBLANK(O569), ISBLANK(P569)),
    "",
    MAX(1, IF(
        NETWORKDAYS(O569, P569) &lt;= 0,
        1,
        NETWORKDAYS(O569:P569, Q569) - IF(P569 = Q569, 0, 1)
    ))
)</f>
        <v/>
      </c>
      <c r="U569" s="50">
        <f>IF(
    OR(ISBLANK(O569), ISBLANK(Q569)),
    "",
    MAX(1, IF(
        NETWORKDAYS(O569, Q569) &lt;= 0,
        1,
        NETWORKDAYS(O569, Q569) - IF(O569 = Q569, 0, 1)
    ))
)</f>
        <v>1</v>
      </c>
      <c r="V569" s="50">
        <f t="shared" si="55"/>
        <v>1</v>
      </c>
      <c r="W569" s="50" t="s">
        <v>150</v>
      </c>
      <c r="X569" s="50" t="s">
        <v>1078</v>
      </c>
      <c r="Y569" s="50" t="s">
        <v>50</v>
      </c>
      <c r="Z569" s="50" t="s">
        <v>3406</v>
      </c>
      <c r="AA569" s="50"/>
    </row>
    <row r="570" spans="1:27" s="110" customFormat="1" ht="25.5" customHeight="1">
      <c r="A570" s="521" t="s">
        <v>776</v>
      </c>
      <c r="B570" s="51" t="s">
        <v>4139</v>
      </c>
      <c r="C570" s="51" t="s">
        <v>143</v>
      </c>
      <c r="D570" s="51" t="s">
        <v>4142</v>
      </c>
      <c r="E570" s="50">
        <v>11568</v>
      </c>
      <c r="F570" s="50">
        <v>13232</v>
      </c>
      <c r="G570" s="50" t="s">
        <v>3404</v>
      </c>
      <c r="H570" s="50">
        <v>2024</v>
      </c>
      <c r="I570" s="105" t="s">
        <v>3594</v>
      </c>
      <c r="J570" s="50"/>
      <c r="K570" s="50" t="s">
        <v>508</v>
      </c>
      <c r="L570" s="50" t="s">
        <v>328</v>
      </c>
      <c r="M570" s="50" t="s">
        <v>1982</v>
      </c>
      <c r="N570" s="50"/>
      <c r="O570" s="50"/>
      <c r="P570" s="50"/>
      <c r="Q570" s="50"/>
      <c r="R570" s="50"/>
      <c r="S570" s="50" t="str">
        <f t="shared" si="53"/>
        <v/>
      </c>
      <c r="T570" s="50" t="str">
        <f>IF(
    OR(ISBLANK(O570), ISBLANK(P570)),
    "",
    MAX(1, IF(
        NETWORKDAYS(O570, P570) &lt;= 0,
        1,
        NETWORKDAYS(O570, P570) - IF(O570 = P570, 0, 1)
    ))
)</f>
        <v/>
      </c>
      <c r="U570" s="50" t="str">
        <f>IF(
    OR(ISBLANK(P570), ISBLANK(Q570)),
    "",
    MAX(1, IF(
        NETWORKDAYS(P570, Q570) &lt;= 0,
        1,
        NETWORKDAYS(P570, Q570) - IF(P570 = Q570, 0, 1)
    ))
)</f>
        <v/>
      </c>
      <c r="V570" s="50" t="str">
        <f t="shared" si="55"/>
        <v/>
      </c>
      <c r="W570" s="50"/>
      <c r="X570" s="50"/>
      <c r="Y570" s="50"/>
      <c r="Z570" s="50"/>
      <c r="AA570" s="50"/>
    </row>
    <row r="571" spans="1:27" ht="25.5" customHeight="1">
      <c r="A571" s="50" t="s">
        <v>776</v>
      </c>
      <c r="B571" s="51" t="s">
        <v>4139</v>
      </c>
      <c r="C571" s="51" t="s">
        <v>143</v>
      </c>
      <c r="D571" s="51" t="s">
        <v>4143</v>
      </c>
      <c r="E571" s="50">
        <v>12589</v>
      </c>
      <c r="F571" s="50">
        <v>12687</v>
      </c>
      <c r="G571" s="50" t="s">
        <v>3404</v>
      </c>
      <c r="H571" s="50">
        <v>2024</v>
      </c>
      <c r="I571" s="105" t="s">
        <v>3439</v>
      </c>
      <c r="J571" s="50"/>
      <c r="K571" s="50" t="s">
        <v>508</v>
      </c>
      <c r="L571" s="50" t="s">
        <v>328</v>
      </c>
      <c r="M571" s="50" t="s">
        <v>1982</v>
      </c>
      <c r="N571" s="50"/>
      <c r="O571" s="50"/>
      <c r="P571" s="50"/>
      <c r="Q571" s="50"/>
      <c r="R571" s="50"/>
      <c r="S571" s="50" t="str">
        <f t="shared" si="53"/>
        <v/>
      </c>
      <c r="T571" s="50" t="str">
        <f>IF(
    OR(ISBLANK(O571), ISBLANK(P571)),
    "",
    MAX(1, IF(
        NETWORKDAYS(O571, P571) &lt;= 0,
        1,
        NETWORKDAYS(O571, P571) - IF(O571 = P571, 0, 1)
    ))
)</f>
        <v/>
      </c>
      <c r="U571" s="50" t="str">
        <f>IF(
    OR(ISBLANK(P571), ISBLANK(Q571)),
    "",
    MAX(1, IF(
        NETWORKDAYS(P571, Q571) &lt;= 0,
        1,
        NETWORKDAYS(P571, Q571) - IF(P571 = Q571, 0, 1)
    ))
)</f>
        <v/>
      </c>
      <c r="V571" s="50" t="str">
        <f t="shared" si="55"/>
        <v/>
      </c>
      <c r="W571" s="50"/>
      <c r="X571" s="50"/>
      <c r="Y571" s="50"/>
      <c r="Z571" s="50"/>
      <c r="AA571" s="50"/>
    </row>
    <row r="572" spans="1:27" ht="25.5" customHeight="1">
      <c r="A572" s="517" t="s">
        <v>776</v>
      </c>
      <c r="B572" s="51" t="s">
        <v>4139</v>
      </c>
      <c r="C572" s="51" t="s">
        <v>143</v>
      </c>
      <c r="D572" s="51" t="s">
        <v>4144</v>
      </c>
      <c r="E572" s="50">
        <v>2913</v>
      </c>
      <c r="F572" s="50">
        <v>2524</v>
      </c>
      <c r="G572" s="50" t="s">
        <v>3404</v>
      </c>
      <c r="H572" s="50">
        <v>2025</v>
      </c>
      <c r="I572" s="132">
        <v>45755</v>
      </c>
      <c r="J572" s="50" t="s">
        <v>3470</v>
      </c>
      <c r="K572" s="50" t="s">
        <v>508</v>
      </c>
      <c r="L572" s="50" t="s">
        <v>328</v>
      </c>
      <c r="M572" s="50" t="s">
        <v>1982</v>
      </c>
      <c r="N572" s="50" t="s">
        <v>4145</v>
      </c>
      <c r="O572" s="60">
        <v>45759</v>
      </c>
      <c r="P572" s="60">
        <v>45762</v>
      </c>
      <c r="Q572" s="60">
        <v>45762</v>
      </c>
      <c r="R572" s="60">
        <v>45762</v>
      </c>
      <c r="S572" s="50">
        <f t="shared" si="53"/>
        <v>3</v>
      </c>
      <c r="T572" s="50">
        <f>IF(
    OR(ISBLANK(P572), ISBLANK(Q572)),
    "",
    MAX(1, IF(
        NETWORKDAYS(P572, Q572) &lt;= 0,
        1,
        NETWORKDAYS(P572, Q572) - IF(P572 = Q572, 0, 1)
    ))
)</f>
        <v>1</v>
      </c>
      <c r="U572" s="50">
        <f>IF(
    OR(ISBLANK(P572), ISBLANK(Q572)),
    "",
    MAX(1, IF(
        NETWORKDAYS(P572, Q572) &lt;= 0,
        1,
        NETWORKDAYS(P572, Q572) - IF(P572 = Q572, 0, 1)
    ))
)</f>
        <v>1</v>
      </c>
      <c r="V572" s="50">
        <f t="shared" si="55"/>
        <v>1</v>
      </c>
      <c r="W572" s="50" t="s">
        <v>150</v>
      </c>
      <c r="X572" s="50" t="s">
        <v>1078</v>
      </c>
      <c r="Y572" s="50" t="s">
        <v>50</v>
      </c>
      <c r="Z572" s="50" t="s">
        <v>3406</v>
      </c>
      <c r="AA572" s="50"/>
    </row>
    <row r="573" spans="1:27" ht="25.5" customHeight="1">
      <c r="A573" s="50" t="s">
        <v>776</v>
      </c>
      <c r="B573" s="51" t="s">
        <v>4139</v>
      </c>
      <c r="C573" s="51" t="s">
        <v>143</v>
      </c>
      <c r="D573" s="51" t="s">
        <v>4146</v>
      </c>
      <c r="E573" s="50">
        <v>18560</v>
      </c>
      <c r="F573" s="50">
        <v>19195</v>
      </c>
      <c r="G573" s="50" t="s">
        <v>3404</v>
      </c>
      <c r="H573" s="50">
        <v>2024</v>
      </c>
      <c r="I573" s="105" t="s">
        <v>3439</v>
      </c>
      <c r="J573" s="50"/>
      <c r="K573" s="50" t="s">
        <v>508</v>
      </c>
      <c r="L573" s="50" t="s">
        <v>328</v>
      </c>
      <c r="M573" s="50" t="s">
        <v>1982</v>
      </c>
      <c r="N573" s="50"/>
      <c r="O573" s="50"/>
      <c r="P573" s="50"/>
      <c r="Q573" s="50"/>
      <c r="R573" s="50"/>
      <c r="S573" s="50" t="str">
        <f t="shared" si="53"/>
        <v/>
      </c>
      <c r="T573" s="50" t="str">
        <f>IF(
    OR(ISBLANK(O573), ISBLANK(P573)),
    "",
    MAX(1, IF(
        NETWORKDAYS(O573, P573) &lt;= 0,
        1,
        NETWORKDAYS(O573, P573) - IF(O573 = P573, 0, 1)
    ))
)</f>
        <v/>
      </c>
      <c r="U573" s="50" t="str">
        <f>IF(
    OR(ISBLANK(P573), ISBLANK(Q573)),
    "",
    MAX(1, IF(
        NETWORKDAYS(P573, Q573) &lt;= 0,
        1,
        NETWORKDAYS(P573, Q573) - IF(P573 = Q573, 0, 1)
    ))
)</f>
        <v/>
      </c>
      <c r="V573" s="50" t="str">
        <f t="shared" si="55"/>
        <v/>
      </c>
      <c r="W573" s="50"/>
      <c r="X573" s="50"/>
      <c r="Y573" s="50"/>
      <c r="Z573" s="50"/>
      <c r="AA573" s="50"/>
    </row>
    <row r="574" spans="1:27" s="110" customFormat="1" ht="25.5" customHeight="1">
      <c r="A574" s="517" t="s">
        <v>776</v>
      </c>
      <c r="B574" s="51" t="s">
        <v>4139</v>
      </c>
      <c r="C574" s="51" t="s">
        <v>143</v>
      </c>
      <c r="D574" s="51" t="s">
        <v>1083</v>
      </c>
      <c r="E574" s="50">
        <v>5443</v>
      </c>
      <c r="F574" s="50">
        <v>6895</v>
      </c>
      <c r="G574" s="50" t="s">
        <v>3955</v>
      </c>
      <c r="H574" s="50"/>
      <c r="I574" s="105"/>
      <c r="J574" s="50"/>
      <c r="K574" s="50" t="s">
        <v>508</v>
      </c>
      <c r="L574" s="50" t="s">
        <v>328</v>
      </c>
      <c r="M574" s="50" t="s">
        <v>1982</v>
      </c>
      <c r="N574" s="50"/>
      <c r="O574" s="50"/>
      <c r="P574" s="50"/>
      <c r="Q574" s="50"/>
      <c r="R574" s="50"/>
      <c r="S574" s="50" t="str">
        <f t="shared" si="53"/>
        <v/>
      </c>
      <c r="T574" s="50" t="str">
        <f>IF(
    OR(ISBLANK(O574), ISBLANK(P574)),
    "",
    MAX(1, IF(
        NETWORKDAYS(O574, P574) &lt;= 0,
        1,
        NETWORKDAYS(O574, P574) - IF(O574 = P574, 0, 1)
    ))
)</f>
        <v/>
      </c>
      <c r="U574" s="50" t="str">
        <f>IF(
    OR(ISBLANK(P574), ISBLANK(Q574)),
    "",
    MAX(1, IF(
        NETWORKDAYS(P574, Q574) &lt;= 0,
        1,
        NETWORKDAYS(P574, Q574) - IF(P574 = Q574, 0, 1)
    ))
)</f>
        <v/>
      </c>
      <c r="V574" s="50" t="str">
        <f t="shared" si="55"/>
        <v/>
      </c>
      <c r="W574" s="50"/>
      <c r="X574" s="50"/>
      <c r="Y574" s="50"/>
      <c r="Z574" s="50"/>
      <c r="AA574" s="50"/>
    </row>
    <row r="575" spans="1:27" ht="25.5" customHeight="1">
      <c r="A575" s="517" t="s">
        <v>776</v>
      </c>
      <c r="B575" s="51" t="s">
        <v>4139</v>
      </c>
      <c r="C575" s="51" t="s">
        <v>143</v>
      </c>
      <c r="D575" s="51" t="s">
        <v>4147</v>
      </c>
      <c r="E575" s="50">
        <v>5317</v>
      </c>
      <c r="F575" s="50">
        <v>5074</v>
      </c>
      <c r="G575" s="50" t="s">
        <v>3955</v>
      </c>
      <c r="H575" s="50"/>
      <c r="I575" s="105"/>
      <c r="J575" s="50"/>
      <c r="K575" s="50" t="s">
        <v>508</v>
      </c>
      <c r="L575" s="50" t="s">
        <v>328</v>
      </c>
      <c r="M575" s="50" t="s">
        <v>1982</v>
      </c>
      <c r="N575" s="50"/>
      <c r="O575" s="50"/>
      <c r="P575" s="50"/>
      <c r="Q575" s="50"/>
      <c r="R575" s="50"/>
      <c r="S575" s="50" t="str">
        <f t="shared" si="53"/>
        <v/>
      </c>
      <c r="T575" s="50" t="str">
        <f>IF(
    OR(ISBLANK(O575), ISBLANK(P575)),
    "",
    MAX(1, IF(
        NETWORKDAYS(O575, P575) &lt;= 0,
        1,
        NETWORKDAYS(O575, P575) - IF(O575 = P575, 0, 1)
    ))
)</f>
        <v/>
      </c>
      <c r="U575" s="50" t="str">
        <f>IF(
    OR(ISBLANK(P575), ISBLANK(Q575)),
    "",
    MAX(1, IF(
        NETWORKDAYS(P575, Q575) &lt;= 0,
        1,
        NETWORKDAYS(P575, Q575) - IF(P575 = Q575, 0, 1)
    ))
)</f>
        <v/>
      </c>
      <c r="V575" s="50" t="str">
        <f t="shared" si="55"/>
        <v/>
      </c>
      <c r="W575" s="50"/>
      <c r="X575" s="50"/>
      <c r="Y575" s="50"/>
      <c r="Z575" s="50"/>
      <c r="AA575" s="50"/>
    </row>
    <row r="576" spans="1:27" ht="25.5" customHeight="1">
      <c r="A576" s="50" t="s">
        <v>776</v>
      </c>
      <c r="B576" s="51" t="s">
        <v>4139</v>
      </c>
      <c r="C576" s="51" t="s">
        <v>143</v>
      </c>
      <c r="D576" s="51" t="s">
        <v>4148</v>
      </c>
      <c r="E576" s="50">
        <v>8972</v>
      </c>
      <c r="F576" s="50">
        <v>8388</v>
      </c>
      <c r="G576" s="50" t="s">
        <v>3404</v>
      </c>
      <c r="H576" s="50">
        <v>2025</v>
      </c>
      <c r="I576" s="132">
        <v>45790</v>
      </c>
      <c r="J576" s="50" t="s">
        <v>3532</v>
      </c>
      <c r="K576" s="50" t="s">
        <v>508</v>
      </c>
      <c r="L576" s="50" t="s">
        <v>328</v>
      </c>
      <c r="M576" s="50" t="s">
        <v>1982</v>
      </c>
      <c r="N576" s="50" t="s">
        <v>4149</v>
      </c>
      <c r="O576" s="60">
        <v>45796</v>
      </c>
      <c r="P576" s="50"/>
      <c r="Q576" s="60">
        <v>45796</v>
      </c>
      <c r="R576" s="60">
        <v>45797</v>
      </c>
      <c r="S576" s="50">
        <f t="shared" si="53"/>
        <v>4</v>
      </c>
      <c r="T576" s="50" t="str">
        <f>IF(
    OR(ISBLANK(O576), ISBLANK(P576)),
    "",
    MAX(1, IF(
        NETWORKDAYS(O576, P576) &lt;= 0,
        1,
        NETWORKDAYS(O576:P576, Q576) - IF(P576 = Q576, 0, 1)
    ))
)</f>
        <v/>
      </c>
      <c r="U576" s="50">
        <f>IF(
    OR(ISBLANK(O576), ISBLANK(Q576)),
    "",
    MAX(1, IF(
        NETWORKDAYS(O576, Q576) &lt;= 0,
        1,
        NETWORKDAYS(O576, Q576) - IF(O576 = Q576, 0, 1)
    ))
)</f>
        <v>1</v>
      </c>
      <c r="V576" s="50">
        <f t="shared" si="55"/>
        <v>1</v>
      </c>
      <c r="W576" s="50" t="s">
        <v>150</v>
      </c>
      <c r="X576" s="50" t="s">
        <v>4</v>
      </c>
      <c r="Y576" s="50" t="s">
        <v>50</v>
      </c>
      <c r="Z576" s="50" t="s">
        <v>3406</v>
      </c>
      <c r="AA576" s="50"/>
    </row>
    <row r="577" spans="1:27" ht="25.5" customHeight="1">
      <c r="A577" s="517" t="s">
        <v>776</v>
      </c>
      <c r="B577" s="51" t="s">
        <v>4139</v>
      </c>
      <c r="C577" s="51" t="s">
        <v>143</v>
      </c>
      <c r="D577" s="51" t="s">
        <v>4150</v>
      </c>
      <c r="E577" s="50">
        <v>1675</v>
      </c>
      <c r="F577" s="50">
        <v>2683</v>
      </c>
      <c r="G577" s="50" t="s">
        <v>3404</v>
      </c>
      <c r="H577" s="50">
        <v>2025</v>
      </c>
      <c r="I577" s="132">
        <v>45790</v>
      </c>
      <c r="J577" s="50" t="s">
        <v>3532</v>
      </c>
      <c r="K577" s="50" t="s">
        <v>508</v>
      </c>
      <c r="L577" s="50" t="s">
        <v>328</v>
      </c>
      <c r="M577" s="50" t="s">
        <v>1982</v>
      </c>
      <c r="N577" s="50" t="s">
        <v>4151</v>
      </c>
      <c r="O577" s="60">
        <v>45794</v>
      </c>
      <c r="P577" s="60"/>
      <c r="Q577" s="60">
        <v>45796</v>
      </c>
      <c r="R577" s="60">
        <v>45797</v>
      </c>
      <c r="S577" s="50">
        <f t="shared" si="53"/>
        <v>3</v>
      </c>
      <c r="T577" s="50" t="str">
        <f>IF(
    OR(ISBLANK(O577), ISBLANK(P577)),
    "",
    MAX(1, IF(
        NETWORKDAYS(O577, P577) &lt;= 0,
        1,
        NETWORKDAYS(O577:P577, Q577) - IF(P577 = Q577, 0, 1)
    ))
)</f>
        <v/>
      </c>
      <c r="U577" s="50">
        <f>IF(
    OR(ISBLANK(O577), ISBLANK(Q577)),
    "",
    MAX(1, IF(
        NETWORKDAYS(O577, Q577) &lt;= 0,
        1,
        NETWORKDAYS(O577, Q577) - IF(O577 = Q577, 0, 1)
    ))
)</f>
        <v>1</v>
      </c>
      <c r="V577" s="50">
        <f t="shared" si="55"/>
        <v>1</v>
      </c>
      <c r="W577" s="50" t="s">
        <v>150</v>
      </c>
      <c r="X577" s="50" t="s">
        <v>4</v>
      </c>
      <c r="Y577" s="50" t="s">
        <v>50</v>
      </c>
      <c r="Z577" s="50" t="s">
        <v>3406</v>
      </c>
      <c r="AA577" s="50"/>
    </row>
    <row r="578" spans="1:27" s="110" customFormat="1" ht="25.5" customHeight="1">
      <c r="A578" s="50" t="s">
        <v>776</v>
      </c>
      <c r="B578" s="51" t="s">
        <v>4139</v>
      </c>
      <c r="C578" s="51" t="s">
        <v>143</v>
      </c>
      <c r="D578" s="51" t="s">
        <v>1539</v>
      </c>
      <c r="E578" s="50">
        <v>8032</v>
      </c>
      <c r="F578" s="50">
        <v>9367</v>
      </c>
      <c r="G578" s="50" t="s">
        <v>3404</v>
      </c>
      <c r="H578" s="50">
        <v>2024</v>
      </c>
      <c r="I578" s="105" t="s">
        <v>3594</v>
      </c>
      <c r="J578" s="50"/>
      <c r="K578" s="50" t="s">
        <v>508</v>
      </c>
      <c r="L578" s="50" t="s">
        <v>328</v>
      </c>
      <c r="M578" s="50" t="s">
        <v>1982</v>
      </c>
      <c r="N578" s="50"/>
      <c r="O578" s="50"/>
      <c r="P578" s="50"/>
      <c r="Q578" s="50"/>
      <c r="R578" s="50"/>
      <c r="S578" s="50" t="str">
        <f t="shared" si="53"/>
        <v/>
      </c>
      <c r="T578" s="50" t="str">
        <f>IF(
    OR(ISBLANK(O578), ISBLANK(P578)),
    "",
    MAX(1, IF(
        NETWORKDAYS(O578, P578) &lt;= 0,
        1,
        NETWORKDAYS(O578, P578) - IF(O578 = P578, 0, 1)
    ))
)</f>
        <v/>
      </c>
      <c r="U578" s="50" t="str">
        <f>IF(
    OR(ISBLANK(P578), ISBLANK(Q578)),
    "",
    MAX(1, IF(
        NETWORKDAYS(P578, Q578) &lt;= 0,
        1,
        NETWORKDAYS(P578, Q578) - IF(P578 = Q578, 0, 1)
    ))
)</f>
        <v/>
      </c>
      <c r="V578" s="50" t="str">
        <f t="shared" si="55"/>
        <v/>
      </c>
      <c r="W578" s="50"/>
      <c r="X578" s="50"/>
      <c r="Y578" s="50"/>
      <c r="Z578" s="50"/>
      <c r="AA578" s="50"/>
    </row>
    <row r="579" spans="1:27" ht="25.5" customHeight="1">
      <c r="A579" s="517" t="s">
        <v>776</v>
      </c>
      <c r="B579" s="51" t="s">
        <v>4139</v>
      </c>
      <c r="C579" s="51" t="s">
        <v>143</v>
      </c>
      <c r="D579" s="51" t="s">
        <v>4152</v>
      </c>
      <c r="E579" s="50">
        <v>3871</v>
      </c>
      <c r="F579" s="50">
        <v>4319</v>
      </c>
      <c r="G579" s="50" t="s">
        <v>3404</v>
      </c>
      <c r="H579" s="50">
        <v>2025</v>
      </c>
      <c r="I579" s="132">
        <v>45729</v>
      </c>
      <c r="J579" s="50" t="s">
        <v>3416</v>
      </c>
      <c r="K579" s="50" t="s">
        <v>508</v>
      </c>
      <c r="L579" s="50" t="s">
        <v>328</v>
      </c>
      <c r="M579" s="50" t="s">
        <v>1982</v>
      </c>
      <c r="N579" s="50" t="s">
        <v>4153</v>
      </c>
      <c r="O579" s="60">
        <v>45733</v>
      </c>
      <c r="P579" s="60">
        <v>45733</v>
      </c>
      <c r="Q579" s="60">
        <v>45733</v>
      </c>
      <c r="R579" s="60">
        <v>45734</v>
      </c>
      <c r="S579" s="50">
        <f t="shared" si="53"/>
        <v>2</v>
      </c>
      <c r="T579" s="50">
        <f>IF(
    OR(ISBLANK(P579), ISBLANK(Q579)),
    "",
    MAX(1, IF(
        NETWORKDAYS(P579, Q579) &lt;= 0,
        1,
        NETWORKDAYS(P579, Q579) - IF(P579 = Q579, 0, 1)
    ))
)</f>
        <v>1</v>
      </c>
      <c r="U579" s="50">
        <f t="shared" ref="U579:U589" si="58">IF(
    OR(ISBLANK(P579), ISBLANK(Q579)),
    "",
    MAX(1, IF(
        NETWORKDAYS(P579, Q579) &lt;= 0,
        1,
        NETWORKDAYS(P579, Q579) - IF(P579 = Q579, 0, 1)
    ))
)</f>
        <v>1</v>
      </c>
      <c r="V579" s="50">
        <f t="shared" si="55"/>
        <v>1</v>
      </c>
      <c r="W579" s="50" t="s">
        <v>150</v>
      </c>
      <c r="X579" s="50" t="s">
        <v>4</v>
      </c>
      <c r="Y579" s="50" t="s">
        <v>50</v>
      </c>
      <c r="Z579" s="50" t="s">
        <v>3406</v>
      </c>
      <c r="AA579" s="50"/>
    </row>
    <row r="580" spans="1:27" ht="25.5" customHeight="1">
      <c r="A580" s="517" t="s">
        <v>776</v>
      </c>
      <c r="B580" s="51" t="s">
        <v>4139</v>
      </c>
      <c r="C580" s="51" t="s">
        <v>143</v>
      </c>
      <c r="D580" s="51" t="s">
        <v>4154</v>
      </c>
      <c r="E580" s="50">
        <v>12854</v>
      </c>
      <c r="F580" s="50">
        <v>15592</v>
      </c>
      <c r="G580" s="50" t="s">
        <v>3404</v>
      </c>
      <c r="H580" s="50">
        <v>2025</v>
      </c>
      <c r="I580" s="132">
        <v>45729</v>
      </c>
      <c r="J580" s="50" t="s">
        <v>3416</v>
      </c>
      <c r="K580" s="50" t="s">
        <v>508</v>
      </c>
      <c r="L580" s="50" t="s">
        <v>328</v>
      </c>
      <c r="M580" s="50" t="s">
        <v>1982</v>
      </c>
      <c r="N580" s="50" t="s">
        <v>4155</v>
      </c>
      <c r="O580" s="60">
        <v>45733</v>
      </c>
      <c r="P580" s="60">
        <v>45733</v>
      </c>
      <c r="Q580" s="60">
        <v>45734</v>
      </c>
      <c r="R580" s="60">
        <v>45734</v>
      </c>
      <c r="S580" s="50">
        <f t="shared" si="53"/>
        <v>2</v>
      </c>
      <c r="T580" s="50">
        <f>IF(
    OR(ISBLANK(P580), ISBLANK(Q580)),
    "",
    MAX(1, IF(
        NETWORKDAYS(P580, Q580) &lt;= 0,
        1,
        NETWORKDAYS(P580, Q580) - IF(P580 = Q580, 0, 1)
    ))
)</f>
        <v>1</v>
      </c>
      <c r="U580" s="50">
        <f t="shared" si="58"/>
        <v>1</v>
      </c>
      <c r="V580" s="50">
        <f t="shared" si="55"/>
        <v>1</v>
      </c>
      <c r="W580" s="50" t="s">
        <v>150</v>
      </c>
      <c r="X580" s="50" t="s">
        <v>4</v>
      </c>
      <c r="Y580" s="50" t="s">
        <v>50</v>
      </c>
      <c r="Z580" s="50" t="s">
        <v>3406</v>
      </c>
      <c r="AA580" s="50"/>
    </row>
    <row r="581" spans="1:27" ht="25.5" customHeight="1">
      <c r="A581" s="517" t="s">
        <v>776</v>
      </c>
      <c r="B581" s="51" t="s">
        <v>4139</v>
      </c>
      <c r="C581" s="51" t="s">
        <v>143</v>
      </c>
      <c r="D581" s="51" t="s">
        <v>4156</v>
      </c>
      <c r="E581" s="50">
        <v>10552</v>
      </c>
      <c r="F581" s="50">
        <v>12742</v>
      </c>
      <c r="G581" s="50" t="s">
        <v>3404</v>
      </c>
      <c r="H581" s="50">
        <v>2025</v>
      </c>
      <c r="I581" s="132">
        <v>45729</v>
      </c>
      <c r="J581" s="50" t="s">
        <v>3416</v>
      </c>
      <c r="K581" s="50" t="s">
        <v>508</v>
      </c>
      <c r="L581" s="50" t="s">
        <v>328</v>
      </c>
      <c r="M581" s="50" t="s">
        <v>1982</v>
      </c>
      <c r="N581" s="50" t="s">
        <v>4157</v>
      </c>
      <c r="O581" s="60">
        <v>45733</v>
      </c>
      <c r="P581" s="60">
        <v>45733</v>
      </c>
      <c r="Q581" s="60">
        <v>45734</v>
      </c>
      <c r="R581" s="60">
        <v>45734</v>
      </c>
      <c r="S581" s="50">
        <f t="shared" si="53"/>
        <v>2</v>
      </c>
      <c r="T581" s="50">
        <f>IF(
    OR(ISBLANK(P581), ISBLANK(Q581)),
    "",
    MAX(1, IF(
        NETWORKDAYS(P581, Q581) &lt;= 0,
        1,
        NETWORKDAYS(P581, Q581) - IF(P581 = Q581, 0, 1)
    ))
)</f>
        <v>1</v>
      </c>
      <c r="U581" s="50">
        <f t="shared" si="58"/>
        <v>1</v>
      </c>
      <c r="V581" s="50">
        <f t="shared" si="55"/>
        <v>1</v>
      </c>
      <c r="W581" s="50" t="s">
        <v>150</v>
      </c>
      <c r="X581" s="50" t="s">
        <v>1078</v>
      </c>
      <c r="Y581" s="50" t="s">
        <v>50</v>
      </c>
      <c r="Z581" s="50" t="s">
        <v>3406</v>
      </c>
      <c r="AA581" s="50"/>
    </row>
    <row r="582" spans="1:27" s="110" customFormat="1" ht="25.5" customHeight="1">
      <c r="A582" s="517" t="s">
        <v>776</v>
      </c>
      <c r="B582" s="51" t="s">
        <v>4139</v>
      </c>
      <c r="C582" s="51" t="s">
        <v>143</v>
      </c>
      <c r="D582" s="51" t="s">
        <v>4158</v>
      </c>
      <c r="E582" s="50">
        <v>1584</v>
      </c>
      <c r="F582" s="50">
        <v>1615</v>
      </c>
      <c r="G582" s="50" t="s">
        <v>3955</v>
      </c>
      <c r="H582" s="50"/>
      <c r="I582" s="105"/>
      <c r="J582" s="50"/>
      <c r="K582" s="50" t="s">
        <v>508</v>
      </c>
      <c r="L582" s="50" t="s">
        <v>328</v>
      </c>
      <c r="M582" s="50" t="s">
        <v>1982</v>
      </c>
      <c r="N582" s="50"/>
      <c r="O582" s="50"/>
      <c r="P582" s="50"/>
      <c r="Q582" s="50"/>
      <c r="R582" s="50"/>
      <c r="S582" s="50" t="str">
        <f t="shared" si="53"/>
        <v/>
      </c>
      <c r="T582" s="50" t="str">
        <f t="shared" ref="T582:T588" si="59">IF(
    OR(ISBLANK(O582), ISBLANK(P582)),
    "",
    MAX(1, IF(
        NETWORKDAYS(O582, P582) &lt;= 0,
        1,
        NETWORKDAYS(O582, P582) - IF(O582 = P582, 0, 1)
    ))
)</f>
        <v/>
      </c>
      <c r="U582" s="50" t="str">
        <f t="shared" si="58"/>
        <v/>
      </c>
      <c r="V582" s="50" t="str">
        <f t="shared" si="55"/>
        <v/>
      </c>
      <c r="W582" s="50"/>
      <c r="X582" s="50"/>
      <c r="Y582" s="50"/>
      <c r="Z582" s="50"/>
      <c r="AA582" s="50"/>
    </row>
    <row r="583" spans="1:27" ht="25.5" customHeight="1">
      <c r="A583" s="50" t="s">
        <v>776</v>
      </c>
      <c r="B583" s="51" t="s">
        <v>4139</v>
      </c>
      <c r="C583" s="51" t="s">
        <v>143</v>
      </c>
      <c r="D583" s="51" t="s">
        <v>1831</v>
      </c>
      <c r="E583" s="50">
        <v>3412</v>
      </c>
      <c r="F583" s="50">
        <v>2903</v>
      </c>
      <c r="G583" s="50" t="s">
        <v>3404</v>
      </c>
      <c r="H583" s="50">
        <v>2024</v>
      </c>
      <c r="I583" s="105" t="s">
        <v>3439</v>
      </c>
      <c r="J583" s="50"/>
      <c r="K583" s="50" t="s">
        <v>508</v>
      </c>
      <c r="L583" s="50" t="s">
        <v>328</v>
      </c>
      <c r="M583" s="50" t="s">
        <v>1982</v>
      </c>
      <c r="N583" s="50"/>
      <c r="O583" s="50"/>
      <c r="P583" s="50"/>
      <c r="Q583" s="50"/>
      <c r="R583" s="50"/>
      <c r="S583" s="50" t="str">
        <f t="shared" ref="S583:S646" si="60">IF(
    OR(ISBLANK(I583), ISBLANK(O583)),
    "",
    MAX(1, IF(
        NETWORKDAYS(I583, O583) &lt;= 0,
        1,
        NETWORKDAYS(I583, O583) - IF(I583 = O583, 0, 1)
    ))
)</f>
        <v/>
      </c>
      <c r="T583" s="50" t="str">
        <f t="shared" si="59"/>
        <v/>
      </c>
      <c r="U583" s="50" t="str">
        <f t="shared" si="58"/>
        <v/>
      </c>
      <c r="V583" s="50" t="str">
        <f t="shared" si="55"/>
        <v/>
      </c>
      <c r="W583" s="50"/>
      <c r="X583" s="50"/>
      <c r="Y583" s="50"/>
      <c r="Z583" s="50"/>
      <c r="AA583" s="50"/>
    </row>
    <row r="584" spans="1:27" ht="25.5" customHeight="1">
      <c r="A584" s="50" t="s">
        <v>776</v>
      </c>
      <c r="B584" s="51" t="s">
        <v>4139</v>
      </c>
      <c r="C584" s="51" t="s">
        <v>143</v>
      </c>
      <c r="D584" s="51" t="s">
        <v>4159</v>
      </c>
      <c r="E584" s="50">
        <v>22205</v>
      </c>
      <c r="F584" s="50">
        <v>21540</v>
      </c>
      <c r="G584" s="50" t="s">
        <v>3404</v>
      </c>
      <c r="H584" s="50">
        <v>2024</v>
      </c>
      <c r="I584" s="105" t="s">
        <v>3439</v>
      </c>
      <c r="J584" s="50"/>
      <c r="K584" s="50" t="s">
        <v>508</v>
      </c>
      <c r="L584" s="50" t="s">
        <v>328</v>
      </c>
      <c r="M584" s="50" t="s">
        <v>1982</v>
      </c>
      <c r="N584" s="50"/>
      <c r="O584" s="50"/>
      <c r="P584" s="50"/>
      <c r="Q584" s="50"/>
      <c r="R584" s="50"/>
      <c r="S584" s="50" t="str">
        <f t="shared" si="60"/>
        <v/>
      </c>
      <c r="T584" s="50" t="str">
        <f t="shared" si="59"/>
        <v/>
      </c>
      <c r="U584" s="50" t="str">
        <f t="shared" si="58"/>
        <v/>
      </c>
      <c r="V584" s="50" t="str">
        <f t="shared" si="55"/>
        <v/>
      </c>
      <c r="W584" s="50"/>
      <c r="X584" s="50"/>
      <c r="Y584" s="50"/>
      <c r="Z584" s="50"/>
      <c r="AA584" s="50"/>
    </row>
    <row r="585" spans="1:27" ht="25.5" customHeight="1">
      <c r="A585" s="50" t="s">
        <v>776</v>
      </c>
      <c r="B585" s="51" t="s">
        <v>4139</v>
      </c>
      <c r="C585" s="51" t="s">
        <v>143</v>
      </c>
      <c r="D585" s="51" t="s">
        <v>1086</v>
      </c>
      <c r="E585" s="50">
        <v>6166</v>
      </c>
      <c r="F585" s="50">
        <v>7752</v>
      </c>
      <c r="G585" s="50" t="s">
        <v>3404</v>
      </c>
      <c r="H585" s="50">
        <v>2024</v>
      </c>
      <c r="I585" s="105" t="s">
        <v>3594</v>
      </c>
      <c r="J585" s="50"/>
      <c r="K585" s="50" t="s">
        <v>508</v>
      </c>
      <c r="L585" s="50" t="s">
        <v>328</v>
      </c>
      <c r="M585" s="50" t="s">
        <v>1982</v>
      </c>
      <c r="N585" s="50"/>
      <c r="O585" s="50"/>
      <c r="P585" s="50"/>
      <c r="Q585" s="50"/>
      <c r="R585" s="50"/>
      <c r="S585" s="50" t="str">
        <f t="shared" si="60"/>
        <v/>
      </c>
      <c r="T585" s="50" t="str">
        <f t="shared" si="59"/>
        <v/>
      </c>
      <c r="U585" s="50" t="str">
        <f t="shared" si="58"/>
        <v/>
      </c>
      <c r="V585" s="50" t="str">
        <f t="shared" si="55"/>
        <v/>
      </c>
      <c r="W585" s="50"/>
      <c r="X585" s="50"/>
      <c r="Y585" s="50"/>
      <c r="Z585" s="50"/>
      <c r="AA585" s="50"/>
    </row>
    <row r="586" spans="1:27" s="110" customFormat="1" ht="25.5" customHeight="1">
      <c r="A586" s="50" t="s">
        <v>776</v>
      </c>
      <c r="B586" s="51" t="s">
        <v>4139</v>
      </c>
      <c r="C586" s="51" t="s">
        <v>143</v>
      </c>
      <c r="D586" s="51" t="s">
        <v>4160</v>
      </c>
      <c r="E586" s="50">
        <v>15264</v>
      </c>
      <c r="F586" s="50">
        <v>17171</v>
      </c>
      <c r="G586" s="50" t="s">
        <v>3404</v>
      </c>
      <c r="H586" s="50">
        <v>2024</v>
      </c>
      <c r="I586" s="105" t="s">
        <v>3439</v>
      </c>
      <c r="J586" s="50"/>
      <c r="K586" s="50" t="s">
        <v>508</v>
      </c>
      <c r="L586" s="50" t="s">
        <v>328</v>
      </c>
      <c r="M586" s="50" t="s">
        <v>1982</v>
      </c>
      <c r="N586" s="50"/>
      <c r="O586" s="50"/>
      <c r="P586" s="50"/>
      <c r="Q586" s="50"/>
      <c r="R586" s="50"/>
      <c r="S586" s="50" t="str">
        <f t="shared" si="60"/>
        <v/>
      </c>
      <c r="T586" s="50" t="str">
        <f t="shared" si="59"/>
        <v/>
      </c>
      <c r="U586" s="50" t="str">
        <f t="shared" si="58"/>
        <v/>
      </c>
      <c r="V586" s="50" t="str">
        <f t="shared" si="55"/>
        <v/>
      </c>
      <c r="W586" s="50"/>
      <c r="X586" s="50"/>
      <c r="Y586" s="50"/>
      <c r="Z586" s="50"/>
      <c r="AA586" s="50"/>
    </row>
    <row r="587" spans="1:27" ht="25.5" customHeight="1">
      <c r="A587" s="521" t="s">
        <v>776</v>
      </c>
      <c r="B587" s="51" t="s">
        <v>4139</v>
      </c>
      <c r="C587" s="51" t="s">
        <v>143</v>
      </c>
      <c r="D587" s="51" t="s">
        <v>1197</v>
      </c>
      <c r="E587" s="50">
        <v>11804</v>
      </c>
      <c r="F587" s="50">
        <v>12577</v>
      </c>
      <c r="G587" s="50" t="s">
        <v>3404</v>
      </c>
      <c r="H587" s="50">
        <v>2024</v>
      </c>
      <c r="I587" s="105" t="s">
        <v>3594</v>
      </c>
      <c r="J587" s="50"/>
      <c r="K587" s="50" t="s">
        <v>508</v>
      </c>
      <c r="L587" s="50" t="s">
        <v>328</v>
      </c>
      <c r="M587" s="50" t="s">
        <v>1982</v>
      </c>
      <c r="N587" s="50"/>
      <c r="O587" s="50"/>
      <c r="P587" s="50"/>
      <c r="Q587" s="50"/>
      <c r="R587" s="50"/>
      <c r="S587" s="50" t="str">
        <f t="shared" si="60"/>
        <v/>
      </c>
      <c r="T587" s="50" t="str">
        <f t="shared" si="59"/>
        <v/>
      </c>
      <c r="U587" s="50" t="str">
        <f t="shared" si="58"/>
        <v/>
      </c>
      <c r="V587" s="50" t="str">
        <f t="shared" si="55"/>
        <v/>
      </c>
      <c r="W587" s="50"/>
      <c r="X587" s="50"/>
      <c r="Y587" s="50"/>
      <c r="Z587" s="50"/>
      <c r="AA587" s="50"/>
    </row>
    <row r="588" spans="1:27" ht="25.5" customHeight="1">
      <c r="A588" s="521" t="s">
        <v>776</v>
      </c>
      <c r="B588" s="51" t="s">
        <v>4139</v>
      </c>
      <c r="C588" s="51" t="s">
        <v>143</v>
      </c>
      <c r="D588" s="51" t="s">
        <v>4022</v>
      </c>
      <c r="E588" s="50">
        <v>17251</v>
      </c>
      <c r="F588" s="50">
        <v>18848</v>
      </c>
      <c r="G588" s="50" t="s">
        <v>3404</v>
      </c>
      <c r="H588" s="50">
        <v>2024</v>
      </c>
      <c r="I588" s="105" t="s">
        <v>3594</v>
      </c>
      <c r="J588" s="50"/>
      <c r="K588" s="50" t="s">
        <v>508</v>
      </c>
      <c r="L588" s="50" t="s">
        <v>328</v>
      </c>
      <c r="M588" s="50" t="s">
        <v>1982</v>
      </c>
      <c r="N588" s="50"/>
      <c r="O588" s="50"/>
      <c r="P588" s="50"/>
      <c r="Q588" s="50"/>
      <c r="R588" s="50"/>
      <c r="S588" s="50" t="str">
        <f t="shared" si="60"/>
        <v/>
      </c>
      <c r="T588" s="50" t="str">
        <f t="shared" si="59"/>
        <v/>
      </c>
      <c r="U588" s="50" t="str">
        <f t="shared" si="58"/>
        <v/>
      </c>
      <c r="V588" s="50" t="str">
        <f t="shared" si="55"/>
        <v/>
      </c>
      <c r="W588" s="50"/>
      <c r="X588" s="50"/>
      <c r="Y588" s="50"/>
      <c r="Z588" s="50"/>
      <c r="AA588" s="50"/>
    </row>
    <row r="589" spans="1:27" s="110" customFormat="1" ht="25.5" customHeight="1">
      <c r="A589" s="517" t="s">
        <v>776</v>
      </c>
      <c r="B589" s="51" t="s">
        <v>4139</v>
      </c>
      <c r="C589" s="51" t="s">
        <v>143</v>
      </c>
      <c r="D589" s="51" t="s">
        <v>1056</v>
      </c>
      <c r="E589" s="50">
        <v>348</v>
      </c>
      <c r="F589" s="50">
        <v>304</v>
      </c>
      <c r="G589" s="50" t="s">
        <v>3404</v>
      </c>
      <c r="H589" s="50">
        <v>2025</v>
      </c>
      <c r="I589" s="132">
        <v>45674</v>
      </c>
      <c r="J589" s="50" t="s">
        <v>3424</v>
      </c>
      <c r="K589" s="50" t="s">
        <v>508</v>
      </c>
      <c r="L589" s="50" t="s">
        <v>328</v>
      </c>
      <c r="M589" s="50" t="s">
        <v>1982</v>
      </c>
      <c r="N589" s="50" t="s">
        <v>4161</v>
      </c>
      <c r="O589" s="60">
        <v>45677</v>
      </c>
      <c r="P589" s="60">
        <v>45678</v>
      </c>
      <c r="Q589" s="60">
        <v>45678</v>
      </c>
      <c r="R589" s="60">
        <v>45679</v>
      </c>
      <c r="S589" s="50">
        <f t="shared" si="60"/>
        <v>1</v>
      </c>
      <c r="T589" s="50">
        <f>IF(
    OR(ISBLANK(P589), ISBLANK(Q589)),
    "",
    MAX(1, IF(
        NETWORKDAYS(P589, Q589) &lt;= 0,
        1,
        NETWORKDAYS(P589, Q589) - IF(P589 = Q589, 0, 1)
    ))
)</f>
        <v>1</v>
      </c>
      <c r="U589" s="50">
        <f t="shared" si="58"/>
        <v>1</v>
      </c>
      <c r="V589" s="50">
        <f t="shared" si="55"/>
        <v>1</v>
      </c>
      <c r="W589" s="50" t="s">
        <v>150</v>
      </c>
      <c r="X589" s="50" t="s">
        <v>4</v>
      </c>
      <c r="Y589" s="50" t="s">
        <v>50</v>
      </c>
      <c r="Z589" s="50" t="s">
        <v>3406</v>
      </c>
      <c r="AA589" s="50" t="s">
        <v>953</v>
      </c>
    </row>
    <row r="590" spans="1:27" ht="25.5" customHeight="1">
      <c r="A590" s="517" t="s">
        <v>776</v>
      </c>
      <c r="B590" s="51" t="s">
        <v>4139</v>
      </c>
      <c r="C590" s="51" t="s">
        <v>143</v>
      </c>
      <c r="D590" s="51" t="s">
        <v>4162</v>
      </c>
      <c r="E590" s="50">
        <v>1288</v>
      </c>
      <c r="F590" s="50">
        <v>1313</v>
      </c>
      <c r="G590" s="50" t="s">
        <v>3404</v>
      </c>
      <c r="H590" s="50">
        <v>2025</v>
      </c>
      <c r="I590" s="132">
        <v>45883</v>
      </c>
      <c r="J590" s="50" t="s">
        <v>3126</v>
      </c>
      <c r="K590" s="50" t="s">
        <v>508</v>
      </c>
      <c r="L590" s="50"/>
      <c r="M590" s="50" t="s">
        <v>1982</v>
      </c>
      <c r="N590" s="50" t="s">
        <v>4163</v>
      </c>
      <c r="O590" s="60">
        <v>45886</v>
      </c>
      <c r="P590" s="50"/>
      <c r="Q590" s="60">
        <v>45887</v>
      </c>
      <c r="R590" s="60">
        <v>45888</v>
      </c>
      <c r="S590" s="50">
        <f t="shared" si="60"/>
        <v>1</v>
      </c>
      <c r="T590" s="50" t="str">
        <f>IF(
    OR(ISBLANK(O590), ISBLANK(P590)),
    "",
    MAX(1, IF(
        NETWORKDAYS(O590, P590) &lt;= 0,
        1,
        NETWORKDAYS(O590:P590, Q590) - IF(P590 = Q590, 0, 1)
    ))
)</f>
        <v/>
      </c>
      <c r="U590" s="50">
        <f>IF(
    OR(ISBLANK(O590), ISBLANK(Q590)),
    "",
    MAX(1, IF(
        NETWORKDAYS(O590, Q590) &lt;= 0,
        1,
        NETWORKDAYS(O590, Q590) - IF(O590 = Q590, 0, 1)
    ))
)</f>
        <v>1</v>
      </c>
      <c r="V590" s="50">
        <f t="shared" si="55"/>
        <v>1</v>
      </c>
      <c r="W590" s="50" t="s">
        <v>150</v>
      </c>
      <c r="X590" s="50" t="s">
        <v>1078</v>
      </c>
      <c r="Y590" s="50" t="s">
        <v>50</v>
      </c>
      <c r="Z590" s="50" t="s">
        <v>3406</v>
      </c>
      <c r="AA590" s="50"/>
    </row>
    <row r="591" spans="1:27" ht="25.5" customHeight="1">
      <c r="A591" s="517" t="s">
        <v>776</v>
      </c>
      <c r="B591" s="51" t="s">
        <v>4139</v>
      </c>
      <c r="C591" s="51" t="s">
        <v>143</v>
      </c>
      <c r="D591" s="51" t="s">
        <v>1088</v>
      </c>
      <c r="E591" s="50">
        <v>10347</v>
      </c>
      <c r="F591" s="50">
        <v>11024</v>
      </c>
      <c r="G591" s="50" t="s">
        <v>3404</v>
      </c>
      <c r="H591" s="50">
        <v>2025</v>
      </c>
      <c r="I591" s="132">
        <v>45883</v>
      </c>
      <c r="J591" s="50" t="s">
        <v>3126</v>
      </c>
      <c r="K591" s="50" t="s">
        <v>508</v>
      </c>
      <c r="L591" s="50"/>
      <c r="M591" s="50" t="s">
        <v>1982</v>
      </c>
      <c r="N591" s="50" t="s">
        <v>4164</v>
      </c>
      <c r="O591" s="60">
        <v>45886</v>
      </c>
      <c r="P591" s="50"/>
      <c r="Q591" s="60">
        <v>45887</v>
      </c>
      <c r="R591" s="60">
        <v>45888</v>
      </c>
      <c r="S591" s="50">
        <f t="shared" si="60"/>
        <v>1</v>
      </c>
      <c r="T591" s="50" t="str">
        <f>IF(
    OR(ISBLANK(O591), ISBLANK(P591)),
    "",
    MAX(1, IF(
        NETWORKDAYS(O591, P591) &lt;= 0,
        1,
        NETWORKDAYS(O591:P591, Q591) - IF(P591 = Q591, 0, 1)
    ))
)</f>
        <v/>
      </c>
      <c r="U591" s="50">
        <f>IF(
    OR(ISBLANK(O591), ISBLANK(Q591)),
    "",
    MAX(1, IF(
        NETWORKDAYS(O591, Q591) &lt;= 0,
        1,
        NETWORKDAYS(O591, Q591) - IF(O591 = Q591, 0, 1)
    ))
)</f>
        <v>1</v>
      </c>
      <c r="V591" s="50">
        <f t="shared" si="55"/>
        <v>1</v>
      </c>
      <c r="W591" s="50" t="s">
        <v>150</v>
      </c>
      <c r="X591" s="50" t="s">
        <v>4</v>
      </c>
      <c r="Y591" s="50" t="s">
        <v>50</v>
      </c>
      <c r="Z591" s="50" t="s">
        <v>3406</v>
      </c>
      <c r="AA591" s="50"/>
    </row>
    <row r="592" spans="1:27" s="110" customFormat="1" ht="25.5" customHeight="1">
      <c r="A592" s="50" t="s">
        <v>776</v>
      </c>
      <c r="B592" s="51" t="s">
        <v>4139</v>
      </c>
      <c r="C592" s="51" t="s">
        <v>143</v>
      </c>
      <c r="D592" s="51" t="s">
        <v>3857</v>
      </c>
      <c r="E592" s="50">
        <v>4407</v>
      </c>
      <c r="F592" s="50">
        <v>4852</v>
      </c>
      <c r="G592" s="50" t="s">
        <v>3404</v>
      </c>
      <c r="H592" s="50">
        <v>2024</v>
      </c>
      <c r="I592" s="105" t="s">
        <v>3439</v>
      </c>
      <c r="J592" s="50"/>
      <c r="K592" s="50" t="s">
        <v>508</v>
      </c>
      <c r="L592" s="50" t="s">
        <v>328</v>
      </c>
      <c r="M592" s="50" t="s">
        <v>1982</v>
      </c>
      <c r="N592" s="50"/>
      <c r="O592" s="50"/>
      <c r="P592" s="50"/>
      <c r="Q592" s="50"/>
      <c r="R592" s="50"/>
      <c r="S592" s="50" t="str">
        <f t="shared" si="60"/>
        <v/>
      </c>
      <c r="T592" s="50" t="str">
        <f>IF(
    OR(ISBLANK(O592), ISBLANK(P592)),
    "",
    MAX(1, IF(
        NETWORKDAYS(O592, P592) &lt;= 0,
        1,
        NETWORKDAYS(O592, P592) - IF(O592 = P592, 0, 1)
    ))
)</f>
        <v/>
      </c>
      <c r="U592" s="50" t="str">
        <f>IF(
    OR(ISBLANK(P592), ISBLANK(Q592)),
    "",
    MAX(1, IF(
        NETWORKDAYS(P592, Q592) &lt;= 0,
        1,
        NETWORKDAYS(P592, Q592) - IF(P592 = Q592, 0, 1)
    ))
)</f>
        <v/>
      </c>
      <c r="V592" s="50" t="str">
        <f t="shared" si="55"/>
        <v/>
      </c>
      <c r="W592" s="50"/>
      <c r="X592" s="50"/>
      <c r="Y592" s="50"/>
      <c r="Z592" s="50"/>
      <c r="AA592" s="50"/>
    </row>
    <row r="593" spans="1:27" ht="25.5" customHeight="1">
      <c r="A593" s="517" t="s">
        <v>776</v>
      </c>
      <c r="B593" s="51" t="s">
        <v>4139</v>
      </c>
      <c r="C593" s="51" t="s">
        <v>143</v>
      </c>
      <c r="D593" s="51" t="s">
        <v>4165</v>
      </c>
      <c r="E593" s="50">
        <v>2255</v>
      </c>
      <c r="F593" s="50">
        <v>2280</v>
      </c>
      <c r="G593" s="50" t="s">
        <v>3404</v>
      </c>
      <c r="H593" s="50">
        <v>2025</v>
      </c>
      <c r="I593" s="132">
        <v>45883</v>
      </c>
      <c r="J593" s="50" t="s">
        <v>3126</v>
      </c>
      <c r="K593" s="50" t="s">
        <v>508</v>
      </c>
      <c r="L593" s="50"/>
      <c r="M593" s="50" t="s">
        <v>1982</v>
      </c>
      <c r="N593" s="50" t="s">
        <v>4166</v>
      </c>
      <c r="O593" s="60">
        <v>45886</v>
      </c>
      <c r="P593" s="50"/>
      <c r="Q593" s="60">
        <v>45887</v>
      </c>
      <c r="R593" s="60">
        <v>45888</v>
      </c>
      <c r="S593" s="50">
        <f t="shared" si="60"/>
        <v>1</v>
      </c>
      <c r="T593" s="50" t="str">
        <f>IF(
    OR(ISBLANK(O593), ISBLANK(P593)),
    "",
    MAX(1, IF(
        NETWORKDAYS(O593, P593) &lt;= 0,
        1,
        NETWORKDAYS(O593:P593, Q593) - IF(P593 = Q593, 0, 1)
    ))
)</f>
        <v/>
      </c>
      <c r="U593" s="50">
        <f>IF(
    OR(ISBLANK(O593), ISBLANK(Q593)),
    "",
    MAX(1, IF(
        NETWORKDAYS(O593, Q593) &lt;= 0,
        1,
        NETWORKDAYS(O593, Q593) - IF(O593 = Q593, 0, 1)
    ))
)</f>
        <v>1</v>
      </c>
      <c r="V593" s="50">
        <f t="shared" si="55"/>
        <v>1</v>
      </c>
      <c r="W593" s="50" t="s">
        <v>150</v>
      </c>
      <c r="X593" s="50" t="s">
        <v>4</v>
      </c>
      <c r="Y593" s="50" t="s">
        <v>50</v>
      </c>
      <c r="Z593" s="50" t="s">
        <v>3406</v>
      </c>
      <c r="AA593" s="50"/>
    </row>
    <row r="594" spans="1:27" ht="25.5" customHeight="1">
      <c r="A594" s="517" t="s">
        <v>776</v>
      </c>
      <c r="B594" s="51" t="s">
        <v>4139</v>
      </c>
      <c r="C594" s="51" t="s">
        <v>143</v>
      </c>
      <c r="D594" s="51" t="s">
        <v>4167</v>
      </c>
      <c r="E594" s="50">
        <v>2646</v>
      </c>
      <c r="F594" s="50">
        <v>2370</v>
      </c>
      <c r="G594" s="50" t="s">
        <v>3955</v>
      </c>
      <c r="H594" s="50"/>
      <c r="I594" s="105"/>
      <c r="J594" s="50"/>
      <c r="K594" s="50" t="s">
        <v>508</v>
      </c>
      <c r="L594" s="50" t="s">
        <v>328</v>
      </c>
      <c r="M594" s="50" t="s">
        <v>1982</v>
      </c>
      <c r="N594" s="50"/>
      <c r="O594" s="50"/>
      <c r="P594" s="50"/>
      <c r="Q594" s="60">
        <v>45887</v>
      </c>
      <c r="R594" s="50"/>
      <c r="S594" s="50" t="str">
        <f t="shared" si="60"/>
        <v/>
      </c>
      <c r="T594" s="50" t="str">
        <f>IF(
    OR(ISBLANK(O594), ISBLANK(P594)),
    "",
    MAX(1, IF(
        NETWORKDAYS(O594, P594) &lt;= 0,
        1,
        NETWORKDAYS(O594, P594) - IF(O594 = P594, 0, 1)
    ))
)</f>
        <v/>
      </c>
      <c r="U594" s="50" t="str">
        <f>IF(
    OR(ISBLANK(P594), ISBLANK(Q594)),
    "",
    MAX(1, IF(
        NETWORKDAYS(P594, Q594) &lt;= 0,
        1,
        NETWORKDAYS(P594, Q594) - IF(P594 = Q594, 0, 1)
    ))
)</f>
        <v/>
      </c>
      <c r="V594" s="50" t="str">
        <f t="shared" si="55"/>
        <v/>
      </c>
      <c r="W594" s="50"/>
      <c r="X594" s="50"/>
      <c r="Y594" s="50"/>
      <c r="Z594" s="50"/>
      <c r="AA594" s="50"/>
    </row>
    <row r="595" spans="1:27" ht="25.5" customHeight="1">
      <c r="A595" s="517" t="s">
        <v>776</v>
      </c>
      <c r="B595" s="51" t="s">
        <v>4168</v>
      </c>
      <c r="C595" s="51" t="s">
        <v>143</v>
      </c>
      <c r="D595" s="51" t="s">
        <v>4169</v>
      </c>
      <c r="E595" s="50">
        <v>4460</v>
      </c>
      <c r="F595" s="50">
        <v>4362</v>
      </c>
      <c r="G595" s="50" t="s">
        <v>3955</v>
      </c>
      <c r="H595" s="50"/>
      <c r="I595" s="105"/>
      <c r="J595" s="50"/>
      <c r="K595" s="50" t="s">
        <v>508</v>
      </c>
      <c r="L595" s="50" t="s">
        <v>328</v>
      </c>
      <c r="M595" s="50" t="s">
        <v>1982</v>
      </c>
      <c r="N595" s="50"/>
      <c r="O595" s="50"/>
      <c r="P595" s="50"/>
      <c r="Q595" s="50"/>
      <c r="R595" s="50"/>
      <c r="S595" s="50" t="str">
        <f t="shared" si="60"/>
        <v/>
      </c>
      <c r="T595" s="50" t="str">
        <f>IF(
    OR(ISBLANK(O595), ISBLANK(P595)),
    "",
    MAX(1, IF(
        NETWORKDAYS(O595, P595) &lt;= 0,
        1,
        NETWORKDAYS(O595, P595) - IF(O595 = P595, 0, 1)
    ))
)</f>
        <v/>
      </c>
      <c r="U595" s="50" t="str">
        <f>IF(
    OR(ISBLANK(P595), ISBLANK(Q595)),
    "",
    MAX(1, IF(
        NETWORKDAYS(P595, Q595) &lt;= 0,
        1,
        NETWORKDAYS(P595, Q595) - IF(P595 = Q595, 0, 1)
    ))
)</f>
        <v/>
      </c>
      <c r="V595" s="50" t="str">
        <f t="shared" si="55"/>
        <v/>
      </c>
      <c r="W595" s="50"/>
      <c r="X595" s="50"/>
      <c r="Y595" s="50"/>
      <c r="Z595" s="50"/>
      <c r="AA595" s="50"/>
    </row>
    <row r="596" spans="1:27" ht="25.5" customHeight="1">
      <c r="A596" s="517" t="s">
        <v>776</v>
      </c>
      <c r="B596" s="51" t="s">
        <v>4168</v>
      </c>
      <c r="C596" s="51" t="s">
        <v>143</v>
      </c>
      <c r="D596" s="51" t="s">
        <v>4170</v>
      </c>
      <c r="E596" s="50">
        <v>7258</v>
      </c>
      <c r="F596" s="50">
        <v>7264</v>
      </c>
      <c r="G596" s="50" t="s">
        <v>3404</v>
      </c>
      <c r="H596" s="50">
        <v>2025</v>
      </c>
      <c r="I596" s="132">
        <v>45849</v>
      </c>
      <c r="J596" s="50" t="s">
        <v>3125</v>
      </c>
      <c r="K596" s="50" t="s">
        <v>508</v>
      </c>
      <c r="L596" s="50"/>
      <c r="M596" s="50" t="s">
        <v>1982</v>
      </c>
      <c r="N596" s="50" t="s">
        <v>4171</v>
      </c>
      <c r="O596" s="132">
        <v>45855</v>
      </c>
      <c r="P596" s="50"/>
      <c r="Q596" s="60">
        <v>45856</v>
      </c>
      <c r="R596" s="60">
        <v>45856</v>
      </c>
      <c r="S596" s="50">
        <f t="shared" si="60"/>
        <v>4</v>
      </c>
      <c r="T596" s="50" t="str">
        <f>IF(
    OR(ISBLANK(O596), ISBLANK(P596)),
    "",
    MAX(1, IF(
        NETWORKDAYS(O596, P596) &lt;= 0,
        1,
        NETWORKDAYS(O596:P596, Q596) - IF(P596 = Q596, 0, 1)
    ))
)</f>
        <v/>
      </c>
      <c r="U596" s="50">
        <f>IF(
    OR(ISBLANK(O596), ISBLANK(Q596)),
    "",
    MAX(1, IF(
        NETWORKDAYS(O596, Q596) &lt;= 0,
        1,
        NETWORKDAYS(O596, Q596) - IF(O596 = Q596, 0, 1)
    ))
)</f>
        <v>1</v>
      </c>
      <c r="V596" s="50">
        <f t="shared" si="55"/>
        <v>1</v>
      </c>
      <c r="W596" s="50" t="s">
        <v>150</v>
      </c>
      <c r="X596" s="50" t="s">
        <v>3527</v>
      </c>
      <c r="Y596" s="50" t="s">
        <v>3528</v>
      </c>
      <c r="Z596" s="50" t="s">
        <v>3406</v>
      </c>
      <c r="AA596" s="50"/>
    </row>
    <row r="597" spans="1:27" ht="25.5" customHeight="1">
      <c r="A597" s="517" t="s">
        <v>776</v>
      </c>
      <c r="B597" s="51" t="s">
        <v>4168</v>
      </c>
      <c r="C597" s="51" t="s">
        <v>143</v>
      </c>
      <c r="D597" s="51" t="s">
        <v>4172</v>
      </c>
      <c r="E597" s="50">
        <v>4301</v>
      </c>
      <c r="F597" s="50">
        <v>4175</v>
      </c>
      <c r="G597" s="50" t="s">
        <v>3404</v>
      </c>
      <c r="H597" s="50">
        <v>2025</v>
      </c>
      <c r="I597" s="132">
        <v>45849</v>
      </c>
      <c r="J597" s="50" t="s">
        <v>3126</v>
      </c>
      <c r="K597" s="50" t="s">
        <v>508</v>
      </c>
      <c r="L597" s="50"/>
      <c r="M597" s="50" t="s">
        <v>1982</v>
      </c>
      <c r="N597" s="50" t="s">
        <v>4173</v>
      </c>
      <c r="O597" s="132">
        <v>45856</v>
      </c>
      <c r="P597" s="50"/>
      <c r="Q597" s="132">
        <v>45859</v>
      </c>
      <c r="R597" s="132">
        <v>45859</v>
      </c>
      <c r="S597" s="50">
        <f t="shared" si="60"/>
        <v>5</v>
      </c>
      <c r="T597" s="50" t="str">
        <f>IF(
    OR(ISBLANK(O597), ISBLANK(P597)),
    "",
    MAX(1, IF(
        NETWORKDAYS(O597, P597) &lt;= 0,
        1,
        NETWORKDAYS(O597:P597, Q597) - IF(P597 = Q597, 0, 1)
    ))
)</f>
        <v/>
      </c>
      <c r="U597" s="50">
        <f>IF(
    OR(ISBLANK(O597), ISBLANK(Q597)),
    "",
    MAX(1, IF(
        NETWORKDAYS(O597, Q597) &lt;= 0,
        1,
        NETWORKDAYS(O597, Q597) - IF(O597 = Q597, 0, 1)
    ))
)</f>
        <v>1</v>
      </c>
      <c r="V597" s="50">
        <f t="shared" si="55"/>
        <v>1</v>
      </c>
      <c r="W597" s="50" t="s">
        <v>150</v>
      </c>
      <c r="X597" s="50" t="s">
        <v>3527</v>
      </c>
      <c r="Y597" s="50" t="s">
        <v>3528</v>
      </c>
      <c r="Z597" s="50" t="s">
        <v>3406</v>
      </c>
      <c r="AA597" s="50"/>
    </row>
    <row r="598" spans="1:27" ht="25.5" customHeight="1">
      <c r="A598" s="517" t="s">
        <v>776</v>
      </c>
      <c r="B598" s="51" t="s">
        <v>4168</v>
      </c>
      <c r="C598" s="51" t="s">
        <v>143</v>
      </c>
      <c r="D598" s="51" t="s">
        <v>4174</v>
      </c>
      <c r="E598" s="50">
        <v>5854</v>
      </c>
      <c r="F598" s="50">
        <v>5698</v>
      </c>
      <c r="G598" s="50" t="s">
        <v>3955</v>
      </c>
      <c r="H598" s="50"/>
      <c r="I598" s="105"/>
      <c r="J598" s="50"/>
      <c r="K598" s="50" t="s">
        <v>508</v>
      </c>
      <c r="L598" s="50" t="s">
        <v>328</v>
      </c>
      <c r="M598" s="50" t="s">
        <v>1982</v>
      </c>
      <c r="N598" s="50"/>
      <c r="O598" s="50"/>
      <c r="P598" s="50"/>
      <c r="Q598" s="50"/>
      <c r="R598" s="50"/>
      <c r="S598" s="50" t="str">
        <f t="shared" si="60"/>
        <v/>
      </c>
      <c r="T598" s="50" t="str">
        <f t="shared" ref="T598:T610" si="61">IF(
    OR(ISBLANK(O598), ISBLANK(P598)),
    "",
    MAX(1, IF(
        NETWORKDAYS(O598, P598) &lt;= 0,
        1,
        NETWORKDAYS(O598, P598) - IF(O598 = P598, 0, 1)
    ))
)</f>
        <v/>
      </c>
      <c r="U598" s="50" t="str">
        <f t="shared" ref="U598:U610" si="62">IF(
    OR(ISBLANK(P598), ISBLANK(Q598)),
    "",
    MAX(1, IF(
        NETWORKDAYS(P598, Q598) &lt;= 0,
        1,
        NETWORKDAYS(P598, Q598) - IF(P598 = Q598, 0, 1)
    ))
)</f>
        <v/>
      </c>
      <c r="V598" s="50" t="str">
        <f t="shared" si="55"/>
        <v/>
      </c>
      <c r="W598" s="50"/>
      <c r="X598" s="50"/>
      <c r="Y598" s="50"/>
      <c r="Z598" s="50"/>
      <c r="AA598" s="50"/>
    </row>
    <row r="599" spans="1:27" ht="25.5" customHeight="1">
      <c r="A599" s="517" t="s">
        <v>776</v>
      </c>
      <c r="B599" s="51" t="s">
        <v>4168</v>
      </c>
      <c r="C599" s="51" t="s">
        <v>143</v>
      </c>
      <c r="D599" s="51" t="s">
        <v>4175</v>
      </c>
      <c r="E599" s="50">
        <v>20937</v>
      </c>
      <c r="F599" s="50">
        <v>22893</v>
      </c>
      <c r="G599" s="50" t="s">
        <v>3955</v>
      </c>
      <c r="H599" s="50"/>
      <c r="I599" s="105"/>
      <c r="J599" s="50"/>
      <c r="K599" s="50" t="s">
        <v>508</v>
      </c>
      <c r="L599" s="50" t="s">
        <v>328</v>
      </c>
      <c r="M599" s="50" t="s">
        <v>1982</v>
      </c>
      <c r="N599" s="50"/>
      <c r="O599" s="50"/>
      <c r="P599" s="50"/>
      <c r="Q599" s="50"/>
      <c r="R599" s="50"/>
      <c r="S599" s="50" t="str">
        <f t="shared" si="60"/>
        <v/>
      </c>
      <c r="T599" s="50" t="str">
        <f t="shared" si="61"/>
        <v/>
      </c>
      <c r="U599" s="50" t="str">
        <f t="shared" si="62"/>
        <v/>
      </c>
      <c r="V599" s="50" t="str">
        <f t="shared" si="55"/>
        <v/>
      </c>
      <c r="W599" s="50"/>
      <c r="X599" s="50"/>
      <c r="Y599" s="50"/>
      <c r="Z599" s="50"/>
      <c r="AA599" s="50"/>
    </row>
    <row r="600" spans="1:27" ht="25.5" customHeight="1">
      <c r="A600" s="517" t="s">
        <v>776</v>
      </c>
      <c r="B600" s="51" t="s">
        <v>4168</v>
      </c>
      <c r="C600" s="51" t="s">
        <v>143</v>
      </c>
      <c r="D600" s="51" t="s">
        <v>4176</v>
      </c>
      <c r="E600" s="50">
        <v>2519</v>
      </c>
      <c r="F600" s="50">
        <v>1826</v>
      </c>
      <c r="G600" s="50" t="s">
        <v>3955</v>
      </c>
      <c r="H600" s="50"/>
      <c r="I600" s="105"/>
      <c r="J600" s="50"/>
      <c r="K600" s="50" t="s">
        <v>508</v>
      </c>
      <c r="L600" s="50" t="s">
        <v>328</v>
      </c>
      <c r="M600" s="50" t="s">
        <v>1982</v>
      </c>
      <c r="N600" s="50"/>
      <c r="O600" s="50"/>
      <c r="P600" s="50"/>
      <c r="Q600" s="50"/>
      <c r="R600" s="50"/>
      <c r="S600" s="50" t="str">
        <f t="shared" si="60"/>
        <v/>
      </c>
      <c r="T600" s="50" t="str">
        <f t="shared" si="61"/>
        <v/>
      </c>
      <c r="U600" s="50" t="str">
        <f t="shared" si="62"/>
        <v/>
      </c>
      <c r="V600" s="50" t="str">
        <f t="shared" si="55"/>
        <v/>
      </c>
      <c r="W600" s="50"/>
      <c r="X600" s="50"/>
      <c r="Y600" s="50"/>
      <c r="Z600" s="50"/>
      <c r="AA600" s="50"/>
    </row>
    <row r="601" spans="1:27" ht="25.5" customHeight="1">
      <c r="A601" s="50" t="s">
        <v>776</v>
      </c>
      <c r="B601" s="51" t="s">
        <v>4168</v>
      </c>
      <c r="C601" s="51" t="s">
        <v>143</v>
      </c>
      <c r="D601" s="51" t="s">
        <v>4177</v>
      </c>
      <c r="E601" s="50">
        <v>8806</v>
      </c>
      <c r="F601" s="50">
        <v>11008</v>
      </c>
      <c r="G601" s="50" t="s">
        <v>3404</v>
      </c>
      <c r="H601" s="50">
        <v>2024</v>
      </c>
      <c r="I601" s="132">
        <v>45575</v>
      </c>
      <c r="J601" s="50"/>
      <c r="K601" s="50" t="s">
        <v>508</v>
      </c>
      <c r="L601" s="50" t="s">
        <v>328</v>
      </c>
      <c r="M601" s="50" t="s">
        <v>1982</v>
      </c>
      <c r="N601" s="50"/>
      <c r="O601" s="50"/>
      <c r="P601" s="50"/>
      <c r="Q601" s="50"/>
      <c r="R601" s="50"/>
      <c r="S601" s="50" t="str">
        <f t="shared" si="60"/>
        <v/>
      </c>
      <c r="T601" s="50" t="str">
        <f t="shared" si="61"/>
        <v/>
      </c>
      <c r="U601" s="50" t="str">
        <f t="shared" si="62"/>
        <v/>
      </c>
      <c r="V601" s="50" t="str">
        <f t="shared" ref="V601:V664" si="63">IF(
    OR(ISBLANK(Q601), ISBLANK(R601)),
    "",
    MAX(1, IF(
        NETWORKDAYS(Q601, R601) &lt;= 0,
        1,
        NETWORKDAYS(Q601, R601) - IF(Q601 = R601, 0, 1)
    ))
)</f>
        <v/>
      </c>
      <c r="W601" s="50"/>
      <c r="X601" s="50" t="s">
        <v>4</v>
      </c>
      <c r="Y601" s="50" t="s">
        <v>50</v>
      </c>
      <c r="Z601" s="50" t="s">
        <v>3406</v>
      </c>
      <c r="AA601" s="50"/>
    </row>
    <row r="602" spans="1:27" ht="25.5" customHeight="1">
      <c r="A602" s="517" t="s">
        <v>776</v>
      </c>
      <c r="B602" s="51" t="s">
        <v>4168</v>
      </c>
      <c r="C602" s="51" t="s">
        <v>143</v>
      </c>
      <c r="D602" s="51" t="s">
        <v>4178</v>
      </c>
      <c r="E602" s="50">
        <v>3085</v>
      </c>
      <c r="F602" s="50">
        <v>3109</v>
      </c>
      <c r="G602" s="50" t="s">
        <v>3955</v>
      </c>
      <c r="H602" s="50"/>
      <c r="I602" s="105"/>
      <c r="J602" s="50"/>
      <c r="K602" s="50" t="s">
        <v>508</v>
      </c>
      <c r="L602" s="50" t="s">
        <v>328</v>
      </c>
      <c r="M602" s="50" t="s">
        <v>1982</v>
      </c>
      <c r="N602" s="50"/>
      <c r="O602" s="50"/>
      <c r="P602" s="50"/>
      <c r="Q602" s="50"/>
      <c r="R602" s="50"/>
      <c r="S602" s="50" t="str">
        <f t="shared" si="60"/>
        <v/>
      </c>
      <c r="T602" s="50" t="str">
        <f t="shared" si="61"/>
        <v/>
      </c>
      <c r="U602" s="50" t="str">
        <f t="shared" si="62"/>
        <v/>
      </c>
      <c r="V602" s="50" t="str">
        <f t="shared" si="63"/>
        <v/>
      </c>
      <c r="W602" s="50"/>
      <c r="X602" s="50"/>
      <c r="Y602" s="50"/>
      <c r="Z602" s="50"/>
      <c r="AA602" s="50"/>
    </row>
    <row r="603" spans="1:27" s="110" customFormat="1" ht="25.5" customHeight="1">
      <c r="A603" s="517" t="s">
        <v>776</v>
      </c>
      <c r="B603" s="51" t="s">
        <v>4168</v>
      </c>
      <c r="C603" s="51" t="s">
        <v>143</v>
      </c>
      <c r="D603" s="51" t="s">
        <v>4179</v>
      </c>
      <c r="E603" s="50">
        <v>1855</v>
      </c>
      <c r="F603" s="50">
        <v>1890</v>
      </c>
      <c r="G603" s="50" t="s">
        <v>3955</v>
      </c>
      <c r="H603" s="50"/>
      <c r="I603" s="105"/>
      <c r="J603" s="50"/>
      <c r="K603" s="50" t="s">
        <v>508</v>
      </c>
      <c r="L603" s="50" t="s">
        <v>328</v>
      </c>
      <c r="M603" s="50" t="s">
        <v>1982</v>
      </c>
      <c r="N603" s="50"/>
      <c r="O603" s="50"/>
      <c r="P603" s="50"/>
      <c r="Q603" s="50"/>
      <c r="R603" s="50"/>
      <c r="S603" s="50" t="str">
        <f t="shared" si="60"/>
        <v/>
      </c>
      <c r="T603" s="50" t="str">
        <f t="shared" si="61"/>
        <v/>
      </c>
      <c r="U603" s="50" t="str">
        <f t="shared" si="62"/>
        <v/>
      </c>
      <c r="V603" s="50" t="str">
        <f t="shared" si="63"/>
        <v/>
      </c>
      <c r="W603" s="50"/>
      <c r="X603" s="50"/>
      <c r="Y603" s="50"/>
      <c r="Z603" s="50"/>
      <c r="AA603" s="50"/>
    </row>
    <row r="604" spans="1:27" ht="25.5" customHeight="1">
      <c r="A604" s="517" t="s">
        <v>776</v>
      </c>
      <c r="B604" s="51" t="s">
        <v>4168</v>
      </c>
      <c r="C604" s="51" t="s">
        <v>143</v>
      </c>
      <c r="D604" s="51" t="s">
        <v>4180</v>
      </c>
      <c r="E604" s="50">
        <v>1922</v>
      </c>
      <c r="F604" s="50">
        <v>1950</v>
      </c>
      <c r="G604" s="50" t="s">
        <v>3955</v>
      </c>
      <c r="H604" s="50"/>
      <c r="I604" s="105"/>
      <c r="J604" s="50"/>
      <c r="K604" s="50" t="s">
        <v>508</v>
      </c>
      <c r="L604" s="50" t="s">
        <v>328</v>
      </c>
      <c r="M604" s="50" t="s">
        <v>1982</v>
      </c>
      <c r="N604" s="50"/>
      <c r="O604" s="50"/>
      <c r="P604" s="50"/>
      <c r="Q604" s="50"/>
      <c r="R604" s="50"/>
      <c r="S604" s="50" t="str">
        <f t="shared" si="60"/>
        <v/>
      </c>
      <c r="T604" s="50" t="str">
        <f t="shared" si="61"/>
        <v/>
      </c>
      <c r="U604" s="50" t="str">
        <f t="shared" si="62"/>
        <v/>
      </c>
      <c r="V604" s="50" t="str">
        <f t="shared" si="63"/>
        <v/>
      </c>
      <c r="W604" s="50"/>
      <c r="X604" s="50"/>
      <c r="Y604" s="50"/>
      <c r="Z604" s="50"/>
      <c r="AA604" s="50"/>
    </row>
    <row r="605" spans="1:27" ht="25.5" customHeight="1">
      <c r="A605" s="517" t="s">
        <v>776</v>
      </c>
      <c r="B605" s="51" t="s">
        <v>4168</v>
      </c>
      <c r="C605" s="51" t="s">
        <v>143</v>
      </c>
      <c r="D605" s="51" t="s">
        <v>4181</v>
      </c>
      <c r="E605" s="50">
        <v>2243</v>
      </c>
      <c r="F605" s="50">
        <v>2121</v>
      </c>
      <c r="G605" s="50" t="s">
        <v>3955</v>
      </c>
      <c r="H605" s="50"/>
      <c r="I605" s="105"/>
      <c r="J605" s="50"/>
      <c r="K605" s="50" t="s">
        <v>508</v>
      </c>
      <c r="L605" s="50" t="s">
        <v>328</v>
      </c>
      <c r="M605" s="50" t="s">
        <v>1982</v>
      </c>
      <c r="N605" s="50"/>
      <c r="O605" s="50"/>
      <c r="P605" s="50"/>
      <c r="Q605" s="50"/>
      <c r="R605" s="50"/>
      <c r="S605" s="50" t="str">
        <f t="shared" si="60"/>
        <v/>
      </c>
      <c r="T605" s="50" t="str">
        <f t="shared" si="61"/>
        <v/>
      </c>
      <c r="U605" s="50" t="str">
        <f t="shared" si="62"/>
        <v/>
      </c>
      <c r="V605" s="50" t="str">
        <f t="shared" si="63"/>
        <v/>
      </c>
      <c r="W605" s="50"/>
      <c r="X605" s="50"/>
      <c r="Y605" s="50"/>
      <c r="Z605" s="50"/>
      <c r="AA605" s="50"/>
    </row>
    <row r="606" spans="1:27" s="110" customFormat="1" ht="25.5" customHeight="1">
      <c r="A606" s="517" t="s">
        <v>776</v>
      </c>
      <c r="B606" s="51" t="s">
        <v>4168</v>
      </c>
      <c r="C606" s="51" t="s">
        <v>143</v>
      </c>
      <c r="D606" s="51" t="s">
        <v>4182</v>
      </c>
      <c r="E606" s="50">
        <v>2519</v>
      </c>
      <c r="F606" s="50">
        <v>2195</v>
      </c>
      <c r="G606" s="50" t="s">
        <v>3955</v>
      </c>
      <c r="H606" s="50"/>
      <c r="I606" s="105"/>
      <c r="J606" s="50"/>
      <c r="K606" s="50" t="s">
        <v>508</v>
      </c>
      <c r="L606" s="50" t="s">
        <v>328</v>
      </c>
      <c r="M606" s="50" t="s">
        <v>1982</v>
      </c>
      <c r="N606" s="50"/>
      <c r="O606" s="50"/>
      <c r="P606" s="50"/>
      <c r="Q606" s="50"/>
      <c r="R606" s="50"/>
      <c r="S606" s="50" t="str">
        <f t="shared" si="60"/>
        <v/>
      </c>
      <c r="T606" s="50" t="str">
        <f t="shared" si="61"/>
        <v/>
      </c>
      <c r="U606" s="50" t="str">
        <f t="shared" si="62"/>
        <v/>
      </c>
      <c r="V606" s="50" t="str">
        <f t="shared" si="63"/>
        <v/>
      </c>
      <c r="W606" s="50"/>
      <c r="X606" s="50"/>
      <c r="Y606" s="50"/>
      <c r="Z606" s="50"/>
      <c r="AA606" s="50"/>
    </row>
    <row r="607" spans="1:27" ht="25.5" customHeight="1">
      <c r="A607" s="517" t="s">
        <v>776</v>
      </c>
      <c r="B607" s="51" t="s">
        <v>4168</v>
      </c>
      <c r="C607" s="51" t="s">
        <v>143</v>
      </c>
      <c r="D607" s="51" t="s">
        <v>4183</v>
      </c>
      <c r="E607" s="50">
        <v>6132</v>
      </c>
      <c r="F607" s="50">
        <v>6972</v>
      </c>
      <c r="G607" s="50" t="s">
        <v>3955</v>
      </c>
      <c r="H607" s="50"/>
      <c r="I607" s="105"/>
      <c r="J607" s="50"/>
      <c r="K607" s="50" t="s">
        <v>508</v>
      </c>
      <c r="L607" s="50" t="s">
        <v>328</v>
      </c>
      <c r="M607" s="50" t="s">
        <v>1982</v>
      </c>
      <c r="N607" s="50"/>
      <c r="O607" s="50"/>
      <c r="P607" s="50"/>
      <c r="Q607" s="50"/>
      <c r="R607" s="50"/>
      <c r="S607" s="50" t="str">
        <f t="shared" si="60"/>
        <v/>
      </c>
      <c r="T607" s="50" t="str">
        <f t="shared" si="61"/>
        <v/>
      </c>
      <c r="U607" s="50" t="str">
        <f t="shared" si="62"/>
        <v/>
      </c>
      <c r="V607" s="50" t="str">
        <f t="shared" si="63"/>
        <v/>
      </c>
      <c r="W607" s="50"/>
      <c r="X607" s="50"/>
      <c r="Y607" s="50"/>
      <c r="Z607" s="50"/>
      <c r="AA607" s="50"/>
    </row>
    <row r="608" spans="1:27" ht="25.5" customHeight="1">
      <c r="A608" s="50" t="s">
        <v>776</v>
      </c>
      <c r="B608" s="51" t="s">
        <v>4168</v>
      </c>
      <c r="C608" s="51" t="s">
        <v>143</v>
      </c>
      <c r="D608" s="51" t="s">
        <v>4184</v>
      </c>
      <c r="E608" s="50">
        <v>11608</v>
      </c>
      <c r="F608" s="50">
        <v>11226</v>
      </c>
      <c r="G608" s="50" t="s">
        <v>3404</v>
      </c>
      <c r="H608" s="50">
        <v>2024</v>
      </c>
      <c r="I608" s="132">
        <v>45575</v>
      </c>
      <c r="J608" s="50"/>
      <c r="K608" s="50" t="s">
        <v>508</v>
      </c>
      <c r="L608" s="50" t="s">
        <v>328</v>
      </c>
      <c r="M608" s="50" t="s">
        <v>1982</v>
      </c>
      <c r="N608" s="50"/>
      <c r="O608" s="50"/>
      <c r="P608" s="50"/>
      <c r="Q608" s="50"/>
      <c r="R608" s="50"/>
      <c r="S608" s="50" t="str">
        <f t="shared" si="60"/>
        <v/>
      </c>
      <c r="T608" s="50" t="str">
        <f t="shared" si="61"/>
        <v/>
      </c>
      <c r="U608" s="50" t="str">
        <f t="shared" si="62"/>
        <v/>
      </c>
      <c r="V608" s="50" t="str">
        <f t="shared" si="63"/>
        <v/>
      </c>
      <c r="W608" s="50"/>
      <c r="X608" s="50" t="s">
        <v>4</v>
      </c>
      <c r="Y608" s="50" t="s">
        <v>50</v>
      </c>
      <c r="Z608" s="50" t="s">
        <v>3406</v>
      </c>
      <c r="AA608" s="50"/>
    </row>
    <row r="609" spans="1:27" ht="25.5" customHeight="1">
      <c r="A609" s="517" t="s">
        <v>776</v>
      </c>
      <c r="B609" s="51" t="s">
        <v>4168</v>
      </c>
      <c r="C609" s="51" t="s">
        <v>143</v>
      </c>
      <c r="D609" s="51" t="s">
        <v>4185</v>
      </c>
      <c r="E609" s="50">
        <v>7152</v>
      </c>
      <c r="F609" s="50">
        <v>8293</v>
      </c>
      <c r="G609" s="50" t="s">
        <v>3955</v>
      </c>
      <c r="H609" s="50"/>
      <c r="I609" s="105"/>
      <c r="J609" s="50"/>
      <c r="K609" s="50" t="s">
        <v>508</v>
      </c>
      <c r="L609" s="50" t="s">
        <v>328</v>
      </c>
      <c r="M609" s="50" t="s">
        <v>1982</v>
      </c>
      <c r="N609" s="50"/>
      <c r="O609" s="50"/>
      <c r="P609" s="50"/>
      <c r="Q609" s="50"/>
      <c r="R609" s="50"/>
      <c r="S609" s="50" t="str">
        <f t="shared" si="60"/>
        <v/>
      </c>
      <c r="T609" s="50" t="str">
        <f t="shared" si="61"/>
        <v/>
      </c>
      <c r="U609" s="50" t="str">
        <f t="shared" si="62"/>
        <v/>
      </c>
      <c r="V609" s="50" t="str">
        <f t="shared" si="63"/>
        <v/>
      </c>
      <c r="W609" s="50"/>
      <c r="X609" s="50"/>
      <c r="Y609" s="50"/>
      <c r="Z609" s="50"/>
      <c r="AA609" s="50"/>
    </row>
    <row r="610" spans="1:27" ht="25.5" customHeight="1">
      <c r="A610" s="517" t="s">
        <v>776</v>
      </c>
      <c r="B610" s="51" t="s">
        <v>4168</v>
      </c>
      <c r="C610" s="51" t="s">
        <v>143</v>
      </c>
      <c r="D610" s="51" t="s">
        <v>4186</v>
      </c>
      <c r="E610" s="50">
        <v>3327</v>
      </c>
      <c r="F610" s="50">
        <v>3721</v>
      </c>
      <c r="G610" s="50" t="s">
        <v>3955</v>
      </c>
      <c r="H610" s="50"/>
      <c r="I610" s="105"/>
      <c r="J610" s="50"/>
      <c r="K610" s="50" t="s">
        <v>508</v>
      </c>
      <c r="L610" s="50" t="s">
        <v>328</v>
      </c>
      <c r="M610" s="50" t="s">
        <v>1982</v>
      </c>
      <c r="N610" s="50"/>
      <c r="O610" s="50"/>
      <c r="P610" s="50"/>
      <c r="Q610" s="50"/>
      <c r="R610" s="50"/>
      <c r="S610" s="50" t="str">
        <f t="shared" si="60"/>
        <v/>
      </c>
      <c r="T610" s="50" t="str">
        <f t="shared" si="61"/>
        <v/>
      </c>
      <c r="U610" s="50" t="str">
        <f t="shared" si="62"/>
        <v/>
      </c>
      <c r="V610" s="50" t="str">
        <f t="shared" si="63"/>
        <v/>
      </c>
      <c r="W610" s="50"/>
      <c r="X610" s="50"/>
      <c r="Y610" s="50"/>
      <c r="Z610" s="50"/>
      <c r="AA610" s="50"/>
    </row>
    <row r="611" spans="1:27" ht="25.5" customHeight="1">
      <c r="A611" s="517" t="s">
        <v>776</v>
      </c>
      <c r="B611" s="51" t="s">
        <v>4168</v>
      </c>
      <c r="C611" s="51" t="s">
        <v>143</v>
      </c>
      <c r="D611" s="51" t="s">
        <v>4187</v>
      </c>
      <c r="E611" s="50">
        <v>43683</v>
      </c>
      <c r="F611" s="50">
        <v>56896</v>
      </c>
      <c r="G611" s="50" t="s">
        <v>3404</v>
      </c>
      <c r="H611" s="50">
        <v>2025</v>
      </c>
      <c r="I611" s="132">
        <v>45692</v>
      </c>
      <c r="J611" s="50" t="s">
        <v>3458</v>
      </c>
      <c r="K611" s="50" t="s">
        <v>508</v>
      </c>
      <c r="L611" s="50" t="s">
        <v>328</v>
      </c>
      <c r="M611" s="50" t="s">
        <v>1982</v>
      </c>
      <c r="N611" s="50" t="s">
        <v>4188</v>
      </c>
      <c r="O611" s="60">
        <v>45698</v>
      </c>
      <c r="P611" s="60">
        <v>45705</v>
      </c>
      <c r="Q611" s="60">
        <v>45705</v>
      </c>
      <c r="R611" s="60">
        <v>45705</v>
      </c>
      <c r="S611" s="50">
        <f t="shared" si="60"/>
        <v>4</v>
      </c>
      <c r="T611" s="50">
        <f>IF(
    OR(ISBLANK(P611), ISBLANK(Q611)),
    "",
    MAX(1, IF(
        NETWORKDAYS(P611, Q611) &lt;= 0,
        1,
        NETWORKDAYS(P611, Q611) - IF(P611 = Q611, 0, 1)
    ))
)</f>
        <v>1</v>
      </c>
      <c r="U611" s="50">
        <f t="shared" ref="U611:U616" si="64">IF(
    OR(ISBLANK(P611), ISBLANK(Q611)),
    "",
    MAX(1, IF(
        NETWORKDAYS(P611, Q611) &lt;= 0,
        1,
        NETWORKDAYS(P611, Q611) - IF(P611 = Q611, 0, 1)
    ))
)</f>
        <v>1</v>
      </c>
      <c r="V611" s="50">
        <f t="shared" si="63"/>
        <v>1</v>
      </c>
      <c r="W611" s="50" t="s">
        <v>150</v>
      </c>
      <c r="X611" s="50" t="s">
        <v>4</v>
      </c>
      <c r="Y611" s="50" t="s">
        <v>50</v>
      </c>
      <c r="Z611" s="50" t="s">
        <v>3406</v>
      </c>
      <c r="AA611" s="50"/>
    </row>
    <row r="612" spans="1:27" ht="25.5" customHeight="1">
      <c r="A612" s="517" t="s">
        <v>776</v>
      </c>
      <c r="B612" s="51" t="s">
        <v>4168</v>
      </c>
      <c r="C612" s="51" t="s">
        <v>143</v>
      </c>
      <c r="D612" s="51" t="s">
        <v>4189</v>
      </c>
      <c r="E612" s="50">
        <v>38478</v>
      </c>
      <c r="F612" s="50">
        <v>42207</v>
      </c>
      <c r="G612" s="50" t="s">
        <v>3955</v>
      </c>
      <c r="H612" s="50"/>
      <c r="I612" s="105"/>
      <c r="J612" s="50"/>
      <c r="K612" s="50" t="s">
        <v>508</v>
      </c>
      <c r="L612" s="50" t="s">
        <v>328</v>
      </c>
      <c r="M612" s="50" t="s">
        <v>1982</v>
      </c>
      <c r="N612" s="50"/>
      <c r="O612" s="50"/>
      <c r="P612" s="50"/>
      <c r="Q612" s="50"/>
      <c r="R612" s="50"/>
      <c r="S612" s="50" t="str">
        <f t="shared" si="60"/>
        <v/>
      </c>
      <c r="T612" s="50" t="str">
        <f>IF(
    OR(ISBLANK(O612), ISBLANK(P612)),
    "",
    MAX(1, IF(
        NETWORKDAYS(O612, P612) &lt;= 0,
        1,
        NETWORKDAYS(O612, P612) - IF(O612 = P612, 0, 1)
    ))
)</f>
        <v/>
      </c>
      <c r="U612" s="50" t="str">
        <f t="shared" si="64"/>
        <v/>
      </c>
      <c r="V612" s="50" t="str">
        <f t="shared" si="63"/>
        <v/>
      </c>
      <c r="W612" s="50"/>
      <c r="X612" s="50"/>
      <c r="Y612" s="50"/>
      <c r="Z612" s="50"/>
      <c r="AA612" s="50"/>
    </row>
    <row r="613" spans="1:27" ht="25.5" customHeight="1">
      <c r="A613" s="517" t="s">
        <v>776</v>
      </c>
      <c r="B613" s="51" t="s">
        <v>4168</v>
      </c>
      <c r="C613" s="51" t="s">
        <v>143</v>
      </c>
      <c r="D613" s="51" t="s">
        <v>4190</v>
      </c>
      <c r="E613" s="50">
        <v>3864</v>
      </c>
      <c r="F613" s="50">
        <v>4123</v>
      </c>
      <c r="G613" s="50" t="s">
        <v>3955</v>
      </c>
      <c r="H613" s="50"/>
      <c r="I613" s="105"/>
      <c r="J613" s="50"/>
      <c r="K613" s="50" t="s">
        <v>508</v>
      </c>
      <c r="L613" s="50" t="s">
        <v>328</v>
      </c>
      <c r="M613" s="50" t="s">
        <v>1982</v>
      </c>
      <c r="N613" s="50"/>
      <c r="O613" s="50"/>
      <c r="P613" s="50"/>
      <c r="Q613" s="50"/>
      <c r="R613" s="50"/>
      <c r="S613" s="50" t="str">
        <f t="shared" si="60"/>
        <v/>
      </c>
      <c r="T613" s="50" t="str">
        <f>IF(
    OR(ISBLANK(O613), ISBLANK(P613)),
    "",
    MAX(1, IF(
        NETWORKDAYS(O613, P613) &lt;= 0,
        1,
        NETWORKDAYS(O613, P613) - IF(O613 = P613, 0, 1)
    ))
)</f>
        <v/>
      </c>
      <c r="U613" s="50" t="str">
        <f t="shared" si="64"/>
        <v/>
      </c>
      <c r="V613" s="50" t="str">
        <f t="shared" si="63"/>
        <v/>
      </c>
      <c r="W613" s="50"/>
      <c r="X613" s="50"/>
      <c r="Y613" s="50"/>
      <c r="Z613" s="50"/>
      <c r="AA613" s="50"/>
    </row>
    <row r="614" spans="1:27" ht="25.5" customHeight="1">
      <c r="A614" s="50" t="s">
        <v>776</v>
      </c>
      <c r="B614" s="51" t="s">
        <v>4168</v>
      </c>
      <c r="C614" s="51" t="s">
        <v>143</v>
      </c>
      <c r="D614" s="51" t="s">
        <v>4191</v>
      </c>
      <c r="E614" s="50">
        <v>5352</v>
      </c>
      <c r="F614" s="50">
        <v>5376</v>
      </c>
      <c r="G614" s="50" t="s">
        <v>3404</v>
      </c>
      <c r="H614" s="50">
        <v>2024</v>
      </c>
      <c r="I614" s="132">
        <v>45576</v>
      </c>
      <c r="J614" s="50"/>
      <c r="K614" s="50" t="s">
        <v>508</v>
      </c>
      <c r="L614" s="50" t="s">
        <v>328</v>
      </c>
      <c r="M614" s="50" t="s">
        <v>1982</v>
      </c>
      <c r="N614" s="50"/>
      <c r="O614" s="50"/>
      <c r="P614" s="50"/>
      <c r="Q614" s="50"/>
      <c r="R614" s="50"/>
      <c r="S614" s="50" t="str">
        <f t="shared" si="60"/>
        <v/>
      </c>
      <c r="T614" s="50" t="str">
        <f>IF(
    OR(ISBLANK(O614), ISBLANK(P614)),
    "",
    MAX(1, IF(
        NETWORKDAYS(O614, P614) &lt;= 0,
        1,
        NETWORKDAYS(O614, P614) - IF(O614 = P614, 0, 1)
    ))
)</f>
        <v/>
      </c>
      <c r="U614" s="50" t="str">
        <f t="shared" si="64"/>
        <v/>
      </c>
      <c r="V614" s="50" t="str">
        <f t="shared" si="63"/>
        <v/>
      </c>
      <c r="W614" s="50"/>
      <c r="X614" s="50" t="s">
        <v>4</v>
      </c>
      <c r="Y614" s="50" t="s">
        <v>50</v>
      </c>
      <c r="Z614" s="50" t="s">
        <v>3406</v>
      </c>
      <c r="AA614" s="50"/>
    </row>
    <row r="615" spans="1:27" ht="25.5" customHeight="1">
      <c r="A615" s="517" t="s">
        <v>776</v>
      </c>
      <c r="B615" s="51" t="s">
        <v>4168</v>
      </c>
      <c r="C615" s="51" t="s">
        <v>143</v>
      </c>
      <c r="D615" s="51" t="s">
        <v>4192</v>
      </c>
      <c r="E615" s="50">
        <v>7828</v>
      </c>
      <c r="F615" s="50">
        <v>8885</v>
      </c>
      <c r="G615" s="50" t="s">
        <v>3955</v>
      </c>
      <c r="H615" s="50"/>
      <c r="I615" s="105"/>
      <c r="J615" s="50"/>
      <c r="K615" s="50" t="s">
        <v>508</v>
      </c>
      <c r="L615" s="50" t="s">
        <v>328</v>
      </c>
      <c r="M615" s="50" t="s">
        <v>1982</v>
      </c>
      <c r="N615" s="50"/>
      <c r="O615" s="50"/>
      <c r="P615" s="50"/>
      <c r="Q615" s="50"/>
      <c r="R615" s="50"/>
      <c r="S615" s="50" t="str">
        <f t="shared" si="60"/>
        <v/>
      </c>
      <c r="T615" s="50" t="str">
        <f>IF(
    OR(ISBLANK(O615), ISBLANK(P615)),
    "",
    MAX(1, IF(
        NETWORKDAYS(O615, P615) &lt;= 0,
        1,
        NETWORKDAYS(O615, P615) - IF(O615 = P615, 0, 1)
    ))
)</f>
        <v/>
      </c>
      <c r="U615" s="50" t="str">
        <f t="shared" si="64"/>
        <v/>
      </c>
      <c r="V615" s="50" t="str">
        <f t="shared" si="63"/>
        <v/>
      </c>
      <c r="W615" s="50"/>
      <c r="X615" s="50"/>
      <c r="Y615" s="50"/>
      <c r="Z615" s="50"/>
      <c r="AA615" s="50"/>
    </row>
    <row r="616" spans="1:27" ht="25.5" customHeight="1">
      <c r="A616" s="517" t="s">
        <v>776</v>
      </c>
      <c r="B616" s="51" t="s">
        <v>4168</v>
      </c>
      <c r="C616" s="51" t="s">
        <v>143</v>
      </c>
      <c r="D616" s="51" t="s">
        <v>4193</v>
      </c>
      <c r="E616" s="50">
        <v>2974</v>
      </c>
      <c r="F616" s="50">
        <v>3245</v>
      </c>
      <c r="G616" s="50" t="s">
        <v>3404</v>
      </c>
      <c r="H616" s="50">
        <v>2025</v>
      </c>
      <c r="I616" s="60">
        <v>45692</v>
      </c>
      <c r="J616" s="50" t="s">
        <v>3458</v>
      </c>
      <c r="K616" s="50" t="s">
        <v>508</v>
      </c>
      <c r="L616" s="50" t="s">
        <v>328</v>
      </c>
      <c r="M616" s="50" t="s">
        <v>1982</v>
      </c>
      <c r="N616" s="50" t="s">
        <v>4194</v>
      </c>
      <c r="O616" s="60">
        <v>45692</v>
      </c>
      <c r="P616" s="60">
        <v>45698</v>
      </c>
      <c r="Q616" s="60">
        <v>45698</v>
      </c>
      <c r="R616" s="60">
        <v>45701</v>
      </c>
      <c r="S616" s="50">
        <f t="shared" si="60"/>
        <v>1</v>
      </c>
      <c r="T616" s="50">
        <f>IF(
    OR(ISBLANK(P616), ISBLANK(Q616)),
    "",
    MAX(1, IF(
        NETWORKDAYS(P616, Q616) &lt;= 0,
        1,
        NETWORKDAYS(P616, Q616) - IF(P616 = Q616, 0, 1)
    ))
)</f>
        <v>1</v>
      </c>
      <c r="U616" s="50">
        <f t="shared" si="64"/>
        <v>1</v>
      </c>
      <c r="V616" s="50">
        <f t="shared" si="63"/>
        <v>3</v>
      </c>
      <c r="W616" s="50" t="s">
        <v>150</v>
      </c>
      <c r="X616" s="50" t="s">
        <v>4</v>
      </c>
      <c r="Y616" s="50" t="s">
        <v>50</v>
      </c>
      <c r="Z616" s="50" t="s">
        <v>3406</v>
      </c>
      <c r="AA616" s="50"/>
    </row>
    <row r="617" spans="1:27" ht="25.5" customHeight="1">
      <c r="A617" s="517" t="s">
        <v>776</v>
      </c>
      <c r="B617" s="51" t="s">
        <v>4168</v>
      </c>
      <c r="C617" s="51" t="s">
        <v>143</v>
      </c>
      <c r="D617" s="51" t="s">
        <v>4195</v>
      </c>
      <c r="E617" s="50">
        <v>38407</v>
      </c>
      <c r="F617" s="50">
        <v>46045</v>
      </c>
      <c r="G617" s="50" t="s">
        <v>3404</v>
      </c>
      <c r="H617" s="50">
        <v>2025</v>
      </c>
      <c r="I617" s="132">
        <v>45840</v>
      </c>
      <c r="J617" s="50" t="s">
        <v>3125</v>
      </c>
      <c r="K617" s="50" t="s">
        <v>508</v>
      </c>
      <c r="L617" s="50"/>
      <c r="M617" s="50" t="s">
        <v>1982</v>
      </c>
      <c r="N617" s="50" t="s">
        <v>4196</v>
      </c>
      <c r="O617" s="132">
        <v>45855</v>
      </c>
      <c r="P617" s="60"/>
      <c r="Q617" s="60">
        <v>45856</v>
      </c>
      <c r="R617" s="60">
        <v>45856</v>
      </c>
      <c r="S617" s="50">
        <f t="shared" si="60"/>
        <v>11</v>
      </c>
      <c r="T617" s="50" t="str">
        <f>IF(
    OR(ISBLANK(O617), ISBLANK(P617)),
    "",
    MAX(1, IF(
        NETWORKDAYS(O617, P617) &lt;= 0,
        1,
        NETWORKDAYS(O617:P617, Q617) - IF(P617 = Q617, 0, 1)
    ))
)</f>
        <v/>
      </c>
      <c r="U617" s="50">
        <f>IF(
    OR(ISBLANK(O617), ISBLANK(Q617)),
    "",
    MAX(1, IF(
        NETWORKDAYS(O617, Q617) &lt;= 0,
        1,
        NETWORKDAYS(O617, Q617) - IF(O617 = Q617, 0, 1)
    ))
)</f>
        <v>1</v>
      </c>
      <c r="V617" s="50">
        <f t="shared" si="63"/>
        <v>1</v>
      </c>
      <c r="W617" s="50" t="s">
        <v>150</v>
      </c>
      <c r="X617" s="50" t="s">
        <v>4</v>
      </c>
      <c r="Y617" s="50" t="s">
        <v>50</v>
      </c>
      <c r="Z617" s="50" t="s">
        <v>3406</v>
      </c>
      <c r="AA617" s="50"/>
    </row>
    <row r="618" spans="1:27" ht="25.5" customHeight="1">
      <c r="A618" s="517" t="s">
        <v>776</v>
      </c>
      <c r="B618" s="51" t="s">
        <v>4168</v>
      </c>
      <c r="C618" s="51" t="s">
        <v>143</v>
      </c>
      <c r="D618" s="51" t="s">
        <v>4197</v>
      </c>
      <c r="E618" s="50">
        <v>3969</v>
      </c>
      <c r="F618" s="50">
        <v>5075</v>
      </c>
      <c r="G618" s="50" t="s">
        <v>3955</v>
      </c>
      <c r="H618" s="50"/>
      <c r="I618" s="105"/>
      <c r="J618" s="50"/>
      <c r="K618" s="50" t="s">
        <v>508</v>
      </c>
      <c r="L618" s="50" t="s">
        <v>328</v>
      </c>
      <c r="M618" s="50" t="s">
        <v>1982</v>
      </c>
      <c r="N618" s="50"/>
      <c r="O618" s="50"/>
      <c r="P618" s="50"/>
      <c r="Q618" s="50"/>
      <c r="R618" s="50"/>
      <c r="S618" s="50" t="str">
        <f t="shared" si="60"/>
        <v/>
      </c>
      <c r="T618" s="50" t="str">
        <f>IF(
    OR(ISBLANK(O618), ISBLANK(P618)),
    "",
    MAX(1, IF(
        NETWORKDAYS(O618, P618) &lt;= 0,
        1,
        NETWORKDAYS(O618, P618) - IF(O618 = P618, 0, 1)
    ))
)</f>
        <v/>
      </c>
      <c r="U618" s="50" t="str">
        <f>IF(
    OR(ISBLANK(P618), ISBLANK(Q618)),
    "",
    MAX(1, IF(
        NETWORKDAYS(P618, Q618) &lt;= 0,
        1,
        NETWORKDAYS(P618, Q618) - IF(P618 = Q618, 0, 1)
    ))
)</f>
        <v/>
      </c>
      <c r="V618" s="50" t="str">
        <f t="shared" si="63"/>
        <v/>
      </c>
      <c r="W618" s="50"/>
      <c r="X618" s="50"/>
      <c r="Y618" s="50"/>
      <c r="Z618" s="50"/>
      <c r="AA618" s="50"/>
    </row>
    <row r="619" spans="1:27" ht="25.5" customHeight="1">
      <c r="A619" s="517" t="s">
        <v>776</v>
      </c>
      <c r="B619" s="51" t="s">
        <v>4168</v>
      </c>
      <c r="C619" s="51" t="s">
        <v>143</v>
      </c>
      <c r="D619" s="51" t="s">
        <v>4198</v>
      </c>
      <c r="E619" s="50">
        <v>3282</v>
      </c>
      <c r="F619" s="50">
        <v>3057</v>
      </c>
      <c r="G619" s="50" t="s">
        <v>3955</v>
      </c>
      <c r="H619" s="50"/>
      <c r="I619" s="105"/>
      <c r="J619" s="50"/>
      <c r="K619" s="50" t="s">
        <v>508</v>
      </c>
      <c r="L619" s="50" t="s">
        <v>328</v>
      </c>
      <c r="M619" s="50" t="s">
        <v>1982</v>
      </c>
      <c r="N619" s="50"/>
      <c r="O619" s="50"/>
      <c r="P619" s="50"/>
      <c r="Q619" s="50"/>
      <c r="R619" s="50"/>
      <c r="S619" s="50" t="str">
        <f t="shared" si="60"/>
        <v/>
      </c>
      <c r="T619" s="50" t="str">
        <f>IF(
    OR(ISBLANK(O619), ISBLANK(P619)),
    "",
    MAX(1, IF(
        NETWORKDAYS(O619, P619) &lt;= 0,
        1,
        NETWORKDAYS(O619, P619) - IF(O619 = P619, 0, 1)
    ))
)</f>
        <v/>
      </c>
      <c r="U619" s="50" t="str">
        <f>IF(
    OR(ISBLANK(P619), ISBLANK(Q619)),
    "",
    MAX(1, IF(
        NETWORKDAYS(P619, Q619) &lt;= 0,
        1,
        NETWORKDAYS(P619, Q619) - IF(P619 = Q619, 0, 1)
    ))
)</f>
        <v/>
      </c>
      <c r="V619" s="50" t="str">
        <f t="shared" si="63"/>
        <v/>
      </c>
      <c r="W619" s="50"/>
      <c r="X619" s="50"/>
      <c r="Y619" s="50"/>
      <c r="Z619" s="50"/>
      <c r="AA619" s="50"/>
    </row>
    <row r="620" spans="1:27" ht="25.5" customHeight="1">
      <c r="A620" s="517" t="s">
        <v>776</v>
      </c>
      <c r="B620" s="51" t="s">
        <v>4168</v>
      </c>
      <c r="C620" s="51" t="s">
        <v>143</v>
      </c>
      <c r="D620" s="51" t="s">
        <v>4199</v>
      </c>
      <c r="E620" s="50">
        <v>3344</v>
      </c>
      <c r="F620" s="50">
        <v>3333</v>
      </c>
      <c r="G620" s="50" t="s">
        <v>3404</v>
      </c>
      <c r="H620" s="50">
        <v>2025</v>
      </c>
      <c r="I620" s="132">
        <v>45840</v>
      </c>
      <c r="J620" s="50" t="s">
        <v>3125</v>
      </c>
      <c r="K620" s="50" t="s">
        <v>508</v>
      </c>
      <c r="L620" s="50"/>
      <c r="M620" s="50" t="s">
        <v>1982</v>
      </c>
      <c r="N620" s="50" t="s">
        <v>4200</v>
      </c>
      <c r="O620" s="132">
        <v>45855</v>
      </c>
      <c r="P620" s="132"/>
      <c r="Q620" s="132">
        <v>45856</v>
      </c>
      <c r="R620" s="132">
        <v>45856</v>
      </c>
      <c r="S620" s="50">
        <f t="shared" si="60"/>
        <v>11</v>
      </c>
      <c r="T620" s="50" t="str">
        <f>IF(
    OR(ISBLANK(O620), ISBLANK(P620)),
    "",
    MAX(1, IF(
        NETWORKDAYS(O620, P620) &lt;= 0,
        1,
        NETWORKDAYS(O620:P620, Q620) - IF(P620 = Q620, 0, 1)
    ))
)</f>
        <v/>
      </c>
      <c r="U620" s="50">
        <f>IF(
    OR(ISBLANK(O620), ISBLANK(Q620)),
    "",
    MAX(1, IF(
        NETWORKDAYS(O620, Q620) &lt;= 0,
        1,
        NETWORKDAYS(O620, Q620) - IF(O620 = Q620, 0, 1)
    ))
)</f>
        <v>1</v>
      </c>
      <c r="V620" s="50">
        <f t="shared" si="63"/>
        <v>1</v>
      </c>
      <c r="W620" s="50" t="s">
        <v>150</v>
      </c>
      <c r="X620" s="50" t="s">
        <v>4</v>
      </c>
      <c r="Y620" s="50" t="s">
        <v>50</v>
      </c>
      <c r="Z620" s="50" t="s">
        <v>3406</v>
      </c>
      <c r="AA620" s="50"/>
    </row>
    <row r="621" spans="1:27" s="110" customFormat="1" ht="25.5" customHeight="1">
      <c r="A621" s="517" t="s">
        <v>776</v>
      </c>
      <c r="B621" s="51" t="s">
        <v>4168</v>
      </c>
      <c r="C621" s="51" t="s">
        <v>143</v>
      </c>
      <c r="D621" s="51" t="s">
        <v>4201</v>
      </c>
      <c r="E621" s="50">
        <v>5641</v>
      </c>
      <c r="F621" s="50">
        <v>5977</v>
      </c>
      <c r="G621" s="50" t="s">
        <v>3955</v>
      </c>
      <c r="H621" s="50"/>
      <c r="I621" s="105"/>
      <c r="J621" s="50"/>
      <c r="K621" s="50" t="s">
        <v>508</v>
      </c>
      <c r="L621" s="50" t="s">
        <v>328</v>
      </c>
      <c r="M621" s="50" t="s">
        <v>1982</v>
      </c>
      <c r="N621" s="50"/>
      <c r="O621" s="50"/>
      <c r="P621" s="50"/>
      <c r="Q621" s="50"/>
      <c r="R621" s="50"/>
      <c r="S621" s="50" t="str">
        <f t="shared" si="60"/>
        <v/>
      </c>
      <c r="T621" s="50" t="str">
        <f t="shared" ref="T621:U625" si="65">IF(
    OR(ISBLANK(O621), ISBLANK(P621)),
    "",
    MAX(1, IF(
        NETWORKDAYS(O621, P621) &lt;= 0,
        1,
        NETWORKDAYS(O621, P621) - IF(O621 = P621, 0, 1)
    ))
)</f>
        <v/>
      </c>
      <c r="U621" s="50" t="str">
        <f t="shared" si="65"/>
        <v/>
      </c>
      <c r="V621" s="50" t="str">
        <f t="shared" si="63"/>
        <v/>
      </c>
      <c r="W621" s="50"/>
      <c r="X621" s="50"/>
      <c r="Y621" s="50"/>
      <c r="Z621" s="50"/>
      <c r="AA621" s="50"/>
    </row>
    <row r="622" spans="1:27" ht="25.5" customHeight="1">
      <c r="A622" s="517" t="s">
        <v>776</v>
      </c>
      <c r="B622" s="51" t="s">
        <v>4168</v>
      </c>
      <c r="C622" s="51" t="s">
        <v>143</v>
      </c>
      <c r="D622" s="51" t="s">
        <v>1034</v>
      </c>
      <c r="E622" s="50">
        <v>2773</v>
      </c>
      <c r="F622" s="50">
        <v>2673</v>
      </c>
      <c r="G622" s="50" t="s">
        <v>3955</v>
      </c>
      <c r="H622" s="50"/>
      <c r="I622" s="105"/>
      <c r="J622" s="50"/>
      <c r="K622" s="50" t="s">
        <v>508</v>
      </c>
      <c r="L622" s="50" t="s">
        <v>328</v>
      </c>
      <c r="M622" s="50" t="s">
        <v>1982</v>
      </c>
      <c r="N622" s="50"/>
      <c r="O622" s="50"/>
      <c r="P622" s="50"/>
      <c r="Q622" s="50"/>
      <c r="R622" s="50"/>
      <c r="S622" s="50" t="str">
        <f t="shared" si="60"/>
        <v/>
      </c>
      <c r="T622" s="50" t="str">
        <f t="shared" si="65"/>
        <v/>
      </c>
      <c r="U622" s="50" t="str">
        <f t="shared" si="65"/>
        <v/>
      </c>
      <c r="V622" s="50" t="str">
        <f t="shared" si="63"/>
        <v/>
      </c>
      <c r="W622" s="50"/>
      <c r="X622" s="50"/>
      <c r="Y622" s="50"/>
      <c r="Z622" s="50"/>
      <c r="AA622" s="50"/>
    </row>
    <row r="623" spans="1:27" ht="25.5" customHeight="1">
      <c r="A623" s="517" t="s">
        <v>776</v>
      </c>
      <c r="B623" s="51" t="s">
        <v>4168</v>
      </c>
      <c r="C623" s="51" t="s">
        <v>143</v>
      </c>
      <c r="D623" s="51" t="s">
        <v>4202</v>
      </c>
      <c r="E623" s="50">
        <v>5191</v>
      </c>
      <c r="F623" s="50">
        <v>4769</v>
      </c>
      <c r="G623" s="50" t="s">
        <v>3955</v>
      </c>
      <c r="H623" s="50"/>
      <c r="I623" s="105"/>
      <c r="J623" s="50"/>
      <c r="K623" s="50" t="s">
        <v>508</v>
      </c>
      <c r="L623" s="50" t="s">
        <v>328</v>
      </c>
      <c r="M623" s="50" t="s">
        <v>1982</v>
      </c>
      <c r="N623" s="50"/>
      <c r="O623" s="50"/>
      <c r="P623" s="50"/>
      <c r="Q623" s="50"/>
      <c r="R623" s="50"/>
      <c r="S623" s="50" t="str">
        <f t="shared" si="60"/>
        <v/>
      </c>
      <c r="T623" s="50" t="str">
        <f t="shared" si="65"/>
        <v/>
      </c>
      <c r="U623" s="50" t="str">
        <f t="shared" si="65"/>
        <v/>
      </c>
      <c r="V623" s="50" t="str">
        <f t="shared" si="63"/>
        <v/>
      </c>
      <c r="W623" s="50"/>
      <c r="X623" s="50"/>
      <c r="Y623" s="50"/>
      <c r="Z623" s="50"/>
      <c r="AA623" s="50"/>
    </row>
    <row r="624" spans="1:27" ht="25.5" customHeight="1">
      <c r="A624" s="517" t="s">
        <v>776</v>
      </c>
      <c r="B624" s="51" t="s">
        <v>4168</v>
      </c>
      <c r="C624" s="51" t="s">
        <v>143</v>
      </c>
      <c r="D624" s="51" t="s">
        <v>1041</v>
      </c>
      <c r="E624" s="50">
        <v>38846</v>
      </c>
      <c r="F624" s="50">
        <v>46171</v>
      </c>
      <c r="G624" s="50" t="s">
        <v>3955</v>
      </c>
      <c r="H624" s="50"/>
      <c r="I624" s="105"/>
      <c r="J624" s="50"/>
      <c r="K624" s="50" t="s">
        <v>508</v>
      </c>
      <c r="L624" s="50" t="s">
        <v>328</v>
      </c>
      <c r="M624" s="50" t="s">
        <v>1982</v>
      </c>
      <c r="N624" s="50"/>
      <c r="O624" s="50"/>
      <c r="P624" s="50"/>
      <c r="Q624" s="50"/>
      <c r="R624" s="50"/>
      <c r="S624" s="50" t="str">
        <f t="shared" si="60"/>
        <v/>
      </c>
      <c r="T624" s="50" t="str">
        <f t="shared" si="65"/>
        <v/>
      </c>
      <c r="U624" s="50" t="str">
        <f t="shared" si="65"/>
        <v/>
      </c>
      <c r="V624" s="50" t="str">
        <f t="shared" si="63"/>
        <v/>
      </c>
      <c r="W624" s="50"/>
      <c r="X624" s="50"/>
      <c r="Y624" s="50"/>
      <c r="Z624" s="50"/>
      <c r="AA624" s="50"/>
    </row>
    <row r="625" spans="1:27" s="110" customFormat="1" ht="25.5" customHeight="1">
      <c r="A625" s="517" t="s">
        <v>776</v>
      </c>
      <c r="B625" s="51" t="s">
        <v>4168</v>
      </c>
      <c r="C625" s="51" t="s">
        <v>143</v>
      </c>
      <c r="D625" s="51" t="s">
        <v>4203</v>
      </c>
      <c r="E625" s="50">
        <v>2478</v>
      </c>
      <c r="F625" s="50">
        <v>2200</v>
      </c>
      <c r="G625" s="50" t="s">
        <v>3955</v>
      </c>
      <c r="H625" s="50"/>
      <c r="I625" s="105"/>
      <c r="J625" s="50"/>
      <c r="K625" s="50" t="s">
        <v>508</v>
      </c>
      <c r="L625" s="50" t="s">
        <v>328</v>
      </c>
      <c r="M625" s="50" t="s">
        <v>1982</v>
      </c>
      <c r="N625" s="50"/>
      <c r="O625" s="50"/>
      <c r="P625" s="50"/>
      <c r="Q625" s="50"/>
      <c r="R625" s="50"/>
      <c r="S625" s="50" t="str">
        <f t="shared" si="60"/>
        <v/>
      </c>
      <c r="T625" s="50" t="str">
        <f t="shared" si="65"/>
        <v/>
      </c>
      <c r="U625" s="50" t="str">
        <f t="shared" si="65"/>
        <v/>
      </c>
      <c r="V625" s="50" t="str">
        <f t="shared" si="63"/>
        <v/>
      </c>
      <c r="W625" s="50"/>
      <c r="X625" s="50"/>
      <c r="Y625" s="50"/>
      <c r="Z625" s="50"/>
      <c r="AA625" s="50"/>
    </row>
    <row r="626" spans="1:27" ht="25.5" customHeight="1">
      <c r="A626" s="517" t="s">
        <v>776</v>
      </c>
      <c r="B626" s="51" t="s">
        <v>4168</v>
      </c>
      <c r="C626" s="51" t="s">
        <v>143</v>
      </c>
      <c r="D626" s="51" t="s">
        <v>1045</v>
      </c>
      <c r="E626" s="50">
        <v>106603</v>
      </c>
      <c r="F626" s="50">
        <v>127506</v>
      </c>
      <c r="G626" s="50" t="s">
        <v>3404</v>
      </c>
      <c r="H626" s="50">
        <v>2025</v>
      </c>
      <c r="I626" s="132">
        <v>45849</v>
      </c>
      <c r="J626" s="50" t="s">
        <v>3125</v>
      </c>
      <c r="K626" s="50" t="s">
        <v>508</v>
      </c>
      <c r="L626" s="50"/>
      <c r="M626" s="50" t="s">
        <v>1982</v>
      </c>
      <c r="N626" s="50" t="s">
        <v>4204</v>
      </c>
      <c r="O626" s="132">
        <v>45855</v>
      </c>
      <c r="P626" s="60"/>
      <c r="Q626" s="60">
        <v>45856</v>
      </c>
      <c r="R626" s="60">
        <v>45856</v>
      </c>
      <c r="S626" s="50">
        <f t="shared" si="60"/>
        <v>4</v>
      </c>
      <c r="T626" s="50" t="str">
        <f>IF(
    OR(ISBLANK(O626), ISBLANK(P626)),
    "",
    MAX(1, IF(
        NETWORKDAYS(O626, P626) &lt;= 0,
        1,
        NETWORKDAYS(O626:P626, Q626) - IF(P626 = Q626, 0, 1)
    ))
)</f>
        <v/>
      </c>
      <c r="U626" s="50">
        <f>IF(
    OR(ISBLANK(O626), ISBLANK(Q626)),
    "",
    MAX(1, IF(
        NETWORKDAYS(O626, Q626) &lt;= 0,
        1,
        NETWORKDAYS(O626, Q626) - IF(O626 = Q626, 0, 1)
    ))
)</f>
        <v>1</v>
      </c>
      <c r="V626" s="50">
        <f t="shared" si="63"/>
        <v>1</v>
      </c>
      <c r="W626" s="50" t="s">
        <v>150</v>
      </c>
      <c r="X626" s="50" t="s">
        <v>4</v>
      </c>
      <c r="Y626" s="50" t="s">
        <v>50</v>
      </c>
      <c r="Z626" s="50" t="s">
        <v>3406</v>
      </c>
      <c r="AA626" s="50"/>
    </row>
    <row r="627" spans="1:27" ht="25.5" customHeight="1">
      <c r="A627" s="517" t="s">
        <v>776</v>
      </c>
      <c r="B627" s="51" t="s">
        <v>4168</v>
      </c>
      <c r="C627" s="51" t="s">
        <v>143</v>
      </c>
      <c r="D627" s="51" t="s">
        <v>4205</v>
      </c>
      <c r="E627" s="50">
        <v>4088</v>
      </c>
      <c r="F627" s="50">
        <v>5318</v>
      </c>
      <c r="G627" s="50" t="s">
        <v>3955</v>
      </c>
      <c r="H627" s="50"/>
      <c r="I627" s="105"/>
      <c r="J627" s="50"/>
      <c r="K627" s="50" t="s">
        <v>508</v>
      </c>
      <c r="L627" s="50" t="s">
        <v>328</v>
      </c>
      <c r="M627" s="50" t="s">
        <v>1982</v>
      </c>
      <c r="N627" s="50"/>
      <c r="O627" s="50"/>
      <c r="P627" s="50"/>
      <c r="Q627" s="50"/>
      <c r="R627" s="50"/>
      <c r="S627" s="50" t="str">
        <f t="shared" si="60"/>
        <v/>
      </c>
      <c r="T627" s="50" t="str">
        <f t="shared" ref="T627:T653" si="66">IF(
    OR(ISBLANK(O627), ISBLANK(P627)),
    "",
    MAX(1, IF(
        NETWORKDAYS(O627, P627) &lt;= 0,
        1,
        NETWORKDAYS(O627, P627) - IF(O627 = P627, 0, 1)
    ))
)</f>
        <v/>
      </c>
      <c r="U627" s="50" t="str">
        <f t="shared" ref="U627:U653" si="67">IF(
    OR(ISBLANK(P627), ISBLANK(Q627)),
    "",
    MAX(1, IF(
        NETWORKDAYS(P627, Q627) &lt;= 0,
        1,
        NETWORKDAYS(P627, Q627) - IF(P627 = Q627, 0, 1)
    ))
)</f>
        <v/>
      </c>
      <c r="V627" s="50" t="str">
        <f t="shared" si="63"/>
        <v/>
      </c>
      <c r="W627" s="50"/>
      <c r="X627" s="50"/>
      <c r="Y627" s="50"/>
      <c r="Z627" s="50"/>
      <c r="AA627" s="50"/>
    </row>
    <row r="628" spans="1:27" s="110" customFormat="1" ht="25.5" customHeight="1">
      <c r="A628" s="517" t="s">
        <v>776</v>
      </c>
      <c r="B628" s="51" t="s">
        <v>4168</v>
      </c>
      <c r="C628" s="51" t="s">
        <v>143</v>
      </c>
      <c r="D628" s="51" t="s">
        <v>1056</v>
      </c>
      <c r="E628" s="50">
        <v>2161</v>
      </c>
      <c r="F628" s="50">
        <v>2273</v>
      </c>
      <c r="G628" s="50" t="s">
        <v>3955</v>
      </c>
      <c r="H628" s="50"/>
      <c r="I628" s="105"/>
      <c r="J628" s="50"/>
      <c r="K628" s="50" t="s">
        <v>508</v>
      </c>
      <c r="L628" s="50" t="s">
        <v>328</v>
      </c>
      <c r="M628" s="50" t="s">
        <v>1982</v>
      </c>
      <c r="N628" s="50"/>
      <c r="O628" s="50"/>
      <c r="P628" s="50"/>
      <c r="Q628" s="50"/>
      <c r="R628" s="50"/>
      <c r="S628" s="50" t="str">
        <f t="shared" si="60"/>
        <v/>
      </c>
      <c r="T628" s="50" t="str">
        <f t="shared" si="66"/>
        <v/>
      </c>
      <c r="U628" s="50" t="str">
        <f t="shared" si="67"/>
        <v/>
      </c>
      <c r="V628" s="50" t="str">
        <f t="shared" si="63"/>
        <v/>
      </c>
      <c r="W628" s="50"/>
      <c r="X628" s="50"/>
      <c r="Y628" s="50"/>
      <c r="Z628" s="50"/>
      <c r="AA628" s="50"/>
    </row>
    <row r="629" spans="1:27" ht="25.5" customHeight="1">
      <c r="A629" s="50" t="s">
        <v>776</v>
      </c>
      <c r="B629" s="51" t="s">
        <v>4168</v>
      </c>
      <c r="C629" s="51" t="s">
        <v>143</v>
      </c>
      <c r="D629" s="51" t="s">
        <v>4206</v>
      </c>
      <c r="E629" s="50">
        <v>4445</v>
      </c>
      <c r="F629" s="50">
        <v>5617</v>
      </c>
      <c r="G629" s="50" t="s">
        <v>3404</v>
      </c>
      <c r="H629" s="50">
        <v>2024</v>
      </c>
      <c r="I629" s="132">
        <v>45576</v>
      </c>
      <c r="J629" s="50"/>
      <c r="K629" s="50" t="s">
        <v>508</v>
      </c>
      <c r="L629" s="50" t="s">
        <v>328</v>
      </c>
      <c r="M629" s="50" t="s">
        <v>1982</v>
      </c>
      <c r="N629" s="50"/>
      <c r="O629" s="50"/>
      <c r="P629" s="50"/>
      <c r="Q629" s="50"/>
      <c r="R629" s="50"/>
      <c r="S629" s="50" t="str">
        <f t="shared" si="60"/>
        <v/>
      </c>
      <c r="T629" s="50" t="str">
        <f t="shared" si="66"/>
        <v/>
      </c>
      <c r="U629" s="50" t="str">
        <f t="shared" si="67"/>
        <v/>
      </c>
      <c r="V629" s="50" t="str">
        <f t="shared" si="63"/>
        <v/>
      </c>
      <c r="W629" s="50"/>
      <c r="X629" s="50" t="s">
        <v>1078</v>
      </c>
      <c r="Y629" s="50" t="s">
        <v>3528</v>
      </c>
      <c r="Z629" s="50" t="s">
        <v>3406</v>
      </c>
      <c r="AA629" s="50"/>
    </row>
    <row r="630" spans="1:27" s="110" customFormat="1" ht="25.5" customHeight="1">
      <c r="A630" s="517" t="s">
        <v>776</v>
      </c>
      <c r="B630" s="51" t="s">
        <v>4168</v>
      </c>
      <c r="C630" s="51" t="s">
        <v>143</v>
      </c>
      <c r="D630" s="51" t="s">
        <v>1180</v>
      </c>
      <c r="E630" s="50">
        <v>5767</v>
      </c>
      <c r="F630" s="50">
        <v>4282</v>
      </c>
      <c r="G630" s="50" t="s">
        <v>3955</v>
      </c>
      <c r="H630" s="50"/>
      <c r="I630" s="105"/>
      <c r="J630" s="50"/>
      <c r="K630" s="50" t="s">
        <v>508</v>
      </c>
      <c r="L630" s="50" t="s">
        <v>328</v>
      </c>
      <c r="M630" s="50" t="s">
        <v>1982</v>
      </c>
      <c r="N630" s="50"/>
      <c r="O630" s="50"/>
      <c r="P630" s="50"/>
      <c r="Q630" s="50"/>
      <c r="R630" s="50"/>
      <c r="S630" s="50" t="str">
        <f t="shared" si="60"/>
        <v/>
      </c>
      <c r="T630" s="50" t="str">
        <f t="shared" si="66"/>
        <v/>
      </c>
      <c r="U630" s="50" t="str">
        <f t="shared" si="67"/>
        <v/>
      </c>
      <c r="V630" s="50" t="str">
        <f t="shared" si="63"/>
        <v/>
      </c>
      <c r="W630" s="50"/>
      <c r="X630" s="50"/>
      <c r="Y630" s="50"/>
      <c r="Z630" s="50"/>
      <c r="AA630" s="50"/>
    </row>
    <row r="631" spans="1:27" ht="25.5" customHeight="1">
      <c r="A631" s="517" t="s">
        <v>776</v>
      </c>
      <c r="B631" s="51" t="s">
        <v>4168</v>
      </c>
      <c r="C631" s="51" t="s">
        <v>143</v>
      </c>
      <c r="D631" s="51" t="s">
        <v>1511</v>
      </c>
      <c r="E631" s="50">
        <v>11452</v>
      </c>
      <c r="F631" s="50">
        <v>11432</v>
      </c>
      <c r="G631" s="50" t="s">
        <v>3955</v>
      </c>
      <c r="H631" s="50"/>
      <c r="I631" s="105"/>
      <c r="J631" s="50"/>
      <c r="K631" s="50" t="s">
        <v>508</v>
      </c>
      <c r="L631" s="50" t="s">
        <v>328</v>
      </c>
      <c r="M631" s="50" t="s">
        <v>1982</v>
      </c>
      <c r="N631" s="50"/>
      <c r="O631" s="50"/>
      <c r="P631" s="50"/>
      <c r="Q631" s="50"/>
      <c r="R631" s="50"/>
      <c r="S631" s="50" t="str">
        <f t="shared" si="60"/>
        <v/>
      </c>
      <c r="T631" s="50" t="str">
        <f t="shared" si="66"/>
        <v/>
      </c>
      <c r="U631" s="50" t="str">
        <f t="shared" si="67"/>
        <v/>
      </c>
      <c r="V631" s="50" t="str">
        <f t="shared" si="63"/>
        <v/>
      </c>
      <c r="W631" s="50"/>
      <c r="X631" s="50"/>
      <c r="Y631" s="50"/>
      <c r="Z631" s="50"/>
      <c r="AA631" s="50"/>
    </row>
    <row r="632" spans="1:27" s="110" customFormat="1" ht="25.5" customHeight="1">
      <c r="A632" s="517" t="s">
        <v>776</v>
      </c>
      <c r="B632" s="51" t="s">
        <v>4168</v>
      </c>
      <c r="C632" s="51" t="s">
        <v>143</v>
      </c>
      <c r="D632" s="51" t="s">
        <v>4207</v>
      </c>
      <c r="E632" s="50">
        <v>3897</v>
      </c>
      <c r="F632" s="50">
        <v>4095</v>
      </c>
      <c r="G632" s="50" t="s">
        <v>3955</v>
      </c>
      <c r="H632" s="50"/>
      <c r="I632" s="105"/>
      <c r="J632" s="50"/>
      <c r="K632" s="50" t="s">
        <v>508</v>
      </c>
      <c r="L632" s="50" t="s">
        <v>328</v>
      </c>
      <c r="M632" s="50" t="s">
        <v>1982</v>
      </c>
      <c r="N632" s="50"/>
      <c r="O632" s="50"/>
      <c r="P632" s="50"/>
      <c r="Q632" s="50"/>
      <c r="R632" s="50"/>
      <c r="S632" s="50" t="str">
        <f t="shared" si="60"/>
        <v/>
      </c>
      <c r="T632" s="50" t="str">
        <f t="shared" si="66"/>
        <v/>
      </c>
      <c r="U632" s="50" t="str">
        <f t="shared" si="67"/>
        <v/>
      </c>
      <c r="V632" s="50" t="str">
        <f t="shared" si="63"/>
        <v/>
      </c>
      <c r="W632" s="50"/>
      <c r="X632" s="50"/>
      <c r="Y632" s="50"/>
      <c r="Z632" s="50"/>
      <c r="AA632" s="50"/>
    </row>
    <row r="633" spans="1:27" ht="25.5" customHeight="1">
      <c r="A633" s="517" t="s">
        <v>776</v>
      </c>
      <c r="B633" s="51" t="s">
        <v>4168</v>
      </c>
      <c r="C633" s="51" t="s">
        <v>143</v>
      </c>
      <c r="D633" s="51" t="s">
        <v>4208</v>
      </c>
      <c r="E633" s="50">
        <v>3554</v>
      </c>
      <c r="F633" s="50">
        <v>3527</v>
      </c>
      <c r="G633" s="50" t="s">
        <v>3955</v>
      </c>
      <c r="H633" s="50"/>
      <c r="I633" s="105"/>
      <c r="J633" s="50"/>
      <c r="K633" s="50" t="s">
        <v>508</v>
      </c>
      <c r="L633" s="50" t="s">
        <v>328</v>
      </c>
      <c r="M633" s="50" t="s">
        <v>1982</v>
      </c>
      <c r="N633" s="50"/>
      <c r="O633" s="50"/>
      <c r="P633" s="50"/>
      <c r="Q633" s="50"/>
      <c r="R633" s="50"/>
      <c r="S633" s="50" t="str">
        <f t="shared" si="60"/>
        <v/>
      </c>
      <c r="T633" s="50" t="str">
        <f t="shared" si="66"/>
        <v/>
      </c>
      <c r="U633" s="50" t="str">
        <f t="shared" si="67"/>
        <v/>
      </c>
      <c r="V633" s="50" t="str">
        <f t="shared" si="63"/>
        <v/>
      </c>
      <c r="W633" s="50"/>
      <c r="X633" s="50"/>
      <c r="Y633" s="50"/>
      <c r="Z633" s="50"/>
      <c r="AA633" s="50"/>
    </row>
    <row r="634" spans="1:27" ht="25.5" customHeight="1">
      <c r="A634" s="517" t="s">
        <v>776</v>
      </c>
      <c r="B634" s="51" t="s">
        <v>4168</v>
      </c>
      <c r="C634" s="51" t="s">
        <v>143</v>
      </c>
      <c r="D634" s="51" t="s">
        <v>4209</v>
      </c>
      <c r="E634" s="50">
        <v>3163</v>
      </c>
      <c r="F634" s="50">
        <v>3695</v>
      </c>
      <c r="G634" s="50" t="s">
        <v>3955</v>
      </c>
      <c r="H634" s="50"/>
      <c r="I634" s="105"/>
      <c r="J634" s="50"/>
      <c r="K634" s="50" t="s">
        <v>508</v>
      </c>
      <c r="L634" s="50" t="s">
        <v>328</v>
      </c>
      <c r="M634" s="50" t="s">
        <v>1982</v>
      </c>
      <c r="N634" s="50"/>
      <c r="O634" s="50"/>
      <c r="P634" s="50"/>
      <c r="Q634" s="50"/>
      <c r="R634" s="50"/>
      <c r="S634" s="50" t="str">
        <f t="shared" si="60"/>
        <v/>
      </c>
      <c r="T634" s="50" t="str">
        <f t="shared" si="66"/>
        <v/>
      </c>
      <c r="U634" s="50" t="str">
        <f t="shared" si="67"/>
        <v/>
      </c>
      <c r="V634" s="50" t="str">
        <f t="shared" si="63"/>
        <v/>
      </c>
      <c r="W634" s="50"/>
      <c r="X634" s="50"/>
      <c r="Y634" s="50"/>
      <c r="Z634" s="50"/>
      <c r="AA634" s="50"/>
    </row>
    <row r="635" spans="1:27" ht="25.5" customHeight="1">
      <c r="A635" s="517" t="s">
        <v>776</v>
      </c>
      <c r="B635" s="51" t="s">
        <v>4168</v>
      </c>
      <c r="C635" s="51" t="s">
        <v>143</v>
      </c>
      <c r="D635" s="51" t="s">
        <v>4210</v>
      </c>
      <c r="E635" s="50">
        <v>3830</v>
      </c>
      <c r="F635" s="50">
        <v>4085</v>
      </c>
      <c r="G635" s="50" t="s">
        <v>3955</v>
      </c>
      <c r="H635" s="50"/>
      <c r="I635" s="105"/>
      <c r="J635" s="50"/>
      <c r="K635" s="50" t="s">
        <v>508</v>
      </c>
      <c r="L635" s="50" t="s">
        <v>328</v>
      </c>
      <c r="M635" s="50" t="s">
        <v>1982</v>
      </c>
      <c r="N635" s="50"/>
      <c r="O635" s="50"/>
      <c r="P635" s="50"/>
      <c r="Q635" s="50"/>
      <c r="R635" s="50"/>
      <c r="S635" s="50" t="str">
        <f t="shared" si="60"/>
        <v/>
      </c>
      <c r="T635" s="50" t="str">
        <f t="shared" si="66"/>
        <v/>
      </c>
      <c r="U635" s="50" t="str">
        <f t="shared" si="67"/>
        <v/>
      </c>
      <c r="V635" s="50" t="str">
        <f t="shared" si="63"/>
        <v/>
      </c>
      <c r="W635" s="50"/>
      <c r="X635" s="50"/>
      <c r="Y635" s="50"/>
      <c r="Z635" s="50"/>
      <c r="AA635" s="50"/>
    </row>
    <row r="636" spans="1:27" ht="25.5" customHeight="1">
      <c r="A636" s="517" t="s">
        <v>776</v>
      </c>
      <c r="B636" s="51" t="s">
        <v>4168</v>
      </c>
      <c r="C636" s="51" t="s">
        <v>143</v>
      </c>
      <c r="D636" s="51" t="s">
        <v>1253</v>
      </c>
      <c r="E636" s="50">
        <v>15565</v>
      </c>
      <c r="F636" s="50">
        <v>16439</v>
      </c>
      <c r="G636" s="50" t="s">
        <v>3955</v>
      </c>
      <c r="H636" s="50"/>
      <c r="I636" s="105"/>
      <c r="J636" s="50"/>
      <c r="K636" s="50" t="s">
        <v>508</v>
      </c>
      <c r="L636" s="50" t="s">
        <v>328</v>
      </c>
      <c r="M636" s="50" t="s">
        <v>1982</v>
      </c>
      <c r="N636" s="50"/>
      <c r="O636" s="50"/>
      <c r="P636" s="50"/>
      <c r="Q636" s="50"/>
      <c r="R636" s="50"/>
      <c r="S636" s="50" t="str">
        <f t="shared" si="60"/>
        <v/>
      </c>
      <c r="T636" s="50" t="str">
        <f t="shared" si="66"/>
        <v/>
      </c>
      <c r="U636" s="50" t="str">
        <f t="shared" si="67"/>
        <v/>
      </c>
      <c r="V636" s="50" t="str">
        <f t="shared" si="63"/>
        <v/>
      </c>
      <c r="W636" s="50"/>
      <c r="X636" s="50"/>
      <c r="Y636" s="50"/>
      <c r="Z636" s="50"/>
      <c r="AA636" s="50"/>
    </row>
    <row r="637" spans="1:27" ht="25.5" customHeight="1">
      <c r="A637" s="50" t="s">
        <v>776</v>
      </c>
      <c r="B637" s="51" t="s">
        <v>4168</v>
      </c>
      <c r="C637" s="51" t="s">
        <v>143</v>
      </c>
      <c r="D637" s="51" t="s">
        <v>4211</v>
      </c>
      <c r="E637" s="50">
        <v>3249</v>
      </c>
      <c r="F637" s="50">
        <v>3362</v>
      </c>
      <c r="G637" s="50" t="s">
        <v>3404</v>
      </c>
      <c r="H637" s="50">
        <v>2024</v>
      </c>
      <c r="I637" s="132">
        <v>45603</v>
      </c>
      <c r="J637" s="50"/>
      <c r="K637" s="50" t="s">
        <v>508</v>
      </c>
      <c r="L637" s="50" t="s">
        <v>328</v>
      </c>
      <c r="M637" s="50" t="s">
        <v>1982</v>
      </c>
      <c r="N637" s="50"/>
      <c r="O637" s="50"/>
      <c r="P637" s="50"/>
      <c r="Q637" s="50"/>
      <c r="R637" s="50"/>
      <c r="S637" s="50" t="str">
        <f t="shared" si="60"/>
        <v/>
      </c>
      <c r="T637" s="50" t="str">
        <f t="shared" si="66"/>
        <v/>
      </c>
      <c r="U637" s="50" t="str">
        <f t="shared" si="67"/>
        <v/>
      </c>
      <c r="V637" s="50" t="str">
        <f t="shared" si="63"/>
        <v/>
      </c>
      <c r="W637" s="50"/>
      <c r="X637" s="50" t="s">
        <v>4</v>
      </c>
      <c r="Y637" s="50" t="s">
        <v>50</v>
      </c>
      <c r="Z637" s="50" t="s">
        <v>3406</v>
      </c>
      <c r="AA637" s="50"/>
    </row>
    <row r="638" spans="1:27" ht="25.5" customHeight="1">
      <c r="A638" s="50" t="s">
        <v>776</v>
      </c>
      <c r="B638" s="51" t="s">
        <v>4168</v>
      </c>
      <c r="C638" s="51" t="s">
        <v>143</v>
      </c>
      <c r="D638" s="51" t="s">
        <v>4212</v>
      </c>
      <c r="E638" s="50">
        <v>3112</v>
      </c>
      <c r="F638" s="50">
        <v>2716</v>
      </c>
      <c r="G638" s="50" t="s">
        <v>3404</v>
      </c>
      <c r="H638" s="50">
        <v>2024</v>
      </c>
      <c r="I638" s="132">
        <v>45603</v>
      </c>
      <c r="J638" s="50"/>
      <c r="K638" s="50" t="s">
        <v>508</v>
      </c>
      <c r="L638" s="50" t="s">
        <v>328</v>
      </c>
      <c r="M638" s="50" t="s">
        <v>1982</v>
      </c>
      <c r="N638" s="50"/>
      <c r="O638" s="50"/>
      <c r="P638" s="50"/>
      <c r="Q638" s="50"/>
      <c r="R638" s="50"/>
      <c r="S638" s="50" t="str">
        <f t="shared" si="60"/>
        <v/>
      </c>
      <c r="T638" s="50" t="str">
        <f t="shared" si="66"/>
        <v/>
      </c>
      <c r="U638" s="50" t="str">
        <f t="shared" si="67"/>
        <v/>
      </c>
      <c r="V638" s="50" t="str">
        <f t="shared" si="63"/>
        <v/>
      </c>
      <c r="W638" s="50"/>
      <c r="X638" s="50" t="s">
        <v>4</v>
      </c>
      <c r="Y638" s="50" t="s">
        <v>50</v>
      </c>
      <c r="Z638" s="50" t="s">
        <v>3406</v>
      </c>
      <c r="AA638" s="50"/>
    </row>
    <row r="639" spans="1:27" ht="25.5" customHeight="1">
      <c r="A639" s="50" t="s">
        <v>776</v>
      </c>
      <c r="B639" s="51" t="s">
        <v>4168</v>
      </c>
      <c r="C639" s="51" t="s">
        <v>143</v>
      </c>
      <c r="D639" s="51" t="s">
        <v>4213</v>
      </c>
      <c r="E639" s="50">
        <v>3031</v>
      </c>
      <c r="F639" s="50">
        <v>2718</v>
      </c>
      <c r="G639" s="50" t="s">
        <v>3404</v>
      </c>
      <c r="H639" s="50">
        <v>2024</v>
      </c>
      <c r="I639" s="132">
        <v>45603</v>
      </c>
      <c r="J639" s="50"/>
      <c r="K639" s="50" t="s">
        <v>508</v>
      </c>
      <c r="L639" s="50" t="s">
        <v>328</v>
      </c>
      <c r="M639" s="50" t="s">
        <v>1982</v>
      </c>
      <c r="N639" s="50"/>
      <c r="O639" s="50"/>
      <c r="P639" s="50"/>
      <c r="Q639" s="50"/>
      <c r="R639" s="50"/>
      <c r="S639" s="50" t="str">
        <f t="shared" si="60"/>
        <v/>
      </c>
      <c r="T639" s="50" t="str">
        <f t="shared" si="66"/>
        <v/>
      </c>
      <c r="U639" s="50" t="str">
        <f t="shared" si="67"/>
        <v/>
      </c>
      <c r="V639" s="50" t="str">
        <f t="shared" si="63"/>
        <v/>
      </c>
      <c r="W639" s="50"/>
      <c r="X639" s="50" t="s">
        <v>4</v>
      </c>
      <c r="Y639" s="50" t="s">
        <v>50</v>
      </c>
      <c r="Z639" s="50" t="s">
        <v>3406</v>
      </c>
      <c r="AA639" s="50"/>
    </row>
    <row r="640" spans="1:27" ht="25.5" customHeight="1">
      <c r="A640" s="50" t="s">
        <v>776</v>
      </c>
      <c r="B640" s="51" t="s">
        <v>4168</v>
      </c>
      <c r="C640" s="51" t="s">
        <v>143</v>
      </c>
      <c r="D640" s="51" t="s">
        <v>4214</v>
      </c>
      <c r="E640" s="50">
        <v>6732</v>
      </c>
      <c r="F640" s="50">
        <v>6447</v>
      </c>
      <c r="G640" s="50" t="s">
        <v>3404</v>
      </c>
      <c r="H640" s="50">
        <v>2024</v>
      </c>
      <c r="I640" s="132">
        <v>45428</v>
      </c>
      <c r="J640" s="50"/>
      <c r="K640" s="50" t="s">
        <v>508</v>
      </c>
      <c r="L640" s="50" t="s">
        <v>328</v>
      </c>
      <c r="M640" s="50" t="s">
        <v>1982</v>
      </c>
      <c r="N640" s="50"/>
      <c r="O640" s="50"/>
      <c r="P640" s="50"/>
      <c r="Q640" s="50"/>
      <c r="R640" s="50"/>
      <c r="S640" s="50" t="str">
        <f t="shared" si="60"/>
        <v/>
      </c>
      <c r="T640" s="50" t="str">
        <f t="shared" si="66"/>
        <v/>
      </c>
      <c r="U640" s="50" t="str">
        <f t="shared" si="67"/>
        <v/>
      </c>
      <c r="V640" s="50" t="str">
        <f t="shared" si="63"/>
        <v/>
      </c>
      <c r="W640" s="50"/>
      <c r="X640" s="50"/>
      <c r="Y640" s="50"/>
      <c r="Z640" s="50" t="s">
        <v>3406</v>
      </c>
      <c r="AA640" s="50"/>
    </row>
    <row r="641" spans="1:27" ht="25.5" customHeight="1">
      <c r="A641" s="50" t="s">
        <v>776</v>
      </c>
      <c r="B641" s="51" t="s">
        <v>4168</v>
      </c>
      <c r="C641" s="51" t="s">
        <v>143</v>
      </c>
      <c r="D641" s="51" t="s">
        <v>4215</v>
      </c>
      <c r="E641" s="50">
        <v>2982</v>
      </c>
      <c r="F641" s="50">
        <v>2844</v>
      </c>
      <c r="G641" s="50" t="s">
        <v>3404</v>
      </c>
      <c r="H641" s="50">
        <v>2024</v>
      </c>
      <c r="I641" s="132">
        <v>45603</v>
      </c>
      <c r="J641" s="50"/>
      <c r="K641" s="50" t="s">
        <v>508</v>
      </c>
      <c r="L641" s="50" t="s">
        <v>328</v>
      </c>
      <c r="M641" s="50" t="s">
        <v>1982</v>
      </c>
      <c r="N641" s="50"/>
      <c r="O641" s="50"/>
      <c r="P641" s="50"/>
      <c r="Q641" s="50"/>
      <c r="R641" s="50"/>
      <c r="S641" s="50" t="str">
        <f t="shared" si="60"/>
        <v/>
      </c>
      <c r="T641" s="50" t="str">
        <f t="shared" si="66"/>
        <v/>
      </c>
      <c r="U641" s="50" t="str">
        <f t="shared" si="67"/>
        <v/>
      </c>
      <c r="V641" s="50" t="str">
        <f t="shared" si="63"/>
        <v/>
      </c>
      <c r="W641" s="50"/>
      <c r="X641" s="50" t="s">
        <v>4</v>
      </c>
      <c r="Y641" s="50" t="s">
        <v>50</v>
      </c>
      <c r="Z641" s="50" t="s">
        <v>3406</v>
      </c>
      <c r="AA641" s="50"/>
    </row>
    <row r="642" spans="1:27" ht="25.5" customHeight="1">
      <c r="A642" s="517" t="s">
        <v>776</v>
      </c>
      <c r="B642" s="51" t="s">
        <v>4168</v>
      </c>
      <c r="C642" s="51" t="s">
        <v>143</v>
      </c>
      <c r="D642" s="51" t="s">
        <v>3974</v>
      </c>
      <c r="E642" s="50">
        <v>2188</v>
      </c>
      <c r="F642" s="50">
        <v>2492</v>
      </c>
      <c r="G642" s="50" t="s">
        <v>3955</v>
      </c>
      <c r="H642" s="50"/>
      <c r="I642" s="105"/>
      <c r="J642" s="50"/>
      <c r="K642" s="50" t="s">
        <v>508</v>
      </c>
      <c r="L642" s="50" t="s">
        <v>328</v>
      </c>
      <c r="M642" s="50" t="s">
        <v>1982</v>
      </c>
      <c r="N642" s="50"/>
      <c r="O642" s="50"/>
      <c r="P642" s="50"/>
      <c r="Q642" s="50"/>
      <c r="R642" s="50"/>
      <c r="S642" s="50" t="str">
        <f t="shared" si="60"/>
        <v/>
      </c>
      <c r="T642" s="50" t="str">
        <f t="shared" si="66"/>
        <v/>
      </c>
      <c r="U642" s="50" t="str">
        <f t="shared" si="67"/>
        <v/>
      </c>
      <c r="V642" s="50" t="str">
        <f t="shared" si="63"/>
        <v/>
      </c>
      <c r="W642" s="50"/>
      <c r="X642" s="50"/>
      <c r="Y642" s="50"/>
      <c r="Z642" s="50"/>
      <c r="AA642" s="50"/>
    </row>
    <row r="643" spans="1:27" ht="25.5" customHeight="1">
      <c r="A643" s="517" t="s">
        <v>776</v>
      </c>
      <c r="B643" s="51" t="s">
        <v>4168</v>
      </c>
      <c r="C643" s="51" t="s">
        <v>143</v>
      </c>
      <c r="D643" s="51" t="s">
        <v>1899</v>
      </c>
      <c r="E643" s="50">
        <v>4613</v>
      </c>
      <c r="F643" s="50">
        <v>4854</v>
      </c>
      <c r="G643" s="50" t="s">
        <v>3955</v>
      </c>
      <c r="H643" s="50"/>
      <c r="I643" s="105"/>
      <c r="J643" s="50"/>
      <c r="K643" s="50" t="s">
        <v>508</v>
      </c>
      <c r="L643" s="50" t="s">
        <v>328</v>
      </c>
      <c r="M643" s="50" t="s">
        <v>1982</v>
      </c>
      <c r="N643" s="50"/>
      <c r="O643" s="50"/>
      <c r="P643" s="50"/>
      <c r="Q643" s="50"/>
      <c r="R643" s="50"/>
      <c r="S643" s="50" t="str">
        <f t="shared" si="60"/>
        <v/>
      </c>
      <c r="T643" s="50" t="str">
        <f t="shared" si="66"/>
        <v/>
      </c>
      <c r="U643" s="50" t="str">
        <f t="shared" si="67"/>
        <v/>
      </c>
      <c r="V643" s="50" t="str">
        <f t="shared" si="63"/>
        <v/>
      </c>
      <c r="W643" s="50"/>
      <c r="X643" s="50"/>
      <c r="Y643" s="50"/>
      <c r="Z643" s="50"/>
      <c r="AA643" s="50"/>
    </row>
    <row r="644" spans="1:27" ht="25.5" customHeight="1">
      <c r="A644" s="50" t="s">
        <v>776</v>
      </c>
      <c r="B644" s="51" t="s">
        <v>4168</v>
      </c>
      <c r="C644" s="51" t="s">
        <v>143</v>
      </c>
      <c r="D644" s="51" t="s">
        <v>4216</v>
      </c>
      <c r="E644" s="50">
        <v>3110</v>
      </c>
      <c r="F644" s="50">
        <v>3405</v>
      </c>
      <c r="G644" s="50" t="s">
        <v>3404</v>
      </c>
      <c r="H644" s="50">
        <v>2024</v>
      </c>
      <c r="I644" s="132">
        <v>45604</v>
      </c>
      <c r="J644" s="50"/>
      <c r="K644" s="50" t="s">
        <v>508</v>
      </c>
      <c r="L644" s="50" t="s">
        <v>328</v>
      </c>
      <c r="M644" s="50" t="s">
        <v>1982</v>
      </c>
      <c r="N644" s="50"/>
      <c r="O644" s="50"/>
      <c r="P644" s="50"/>
      <c r="Q644" s="50"/>
      <c r="R644" s="50"/>
      <c r="S644" s="50" t="str">
        <f t="shared" si="60"/>
        <v/>
      </c>
      <c r="T644" s="50" t="str">
        <f t="shared" si="66"/>
        <v/>
      </c>
      <c r="U644" s="50" t="str">
        <f t="shared" si="67"/>
        <v/>
      </c>
      <c r="V644" s="50" t="str">
        <f t="shared" si="63"/>
        <v/>
      </c>
      <c r="W644" s="50"/>
      <c r="X644" s="50" t="s">
        <v>4</v>
      </c>
      <c r="Y644" s="50" t="s">
        <v>50</v>
      </c>
      <c r="Z644" s="50" t="s">
        <v>3406</v>
      </c>
      <c r="AA644" s="50"/>
    </row>
    <row r="645" spans="1:27" s="110" customFormat="1" ht="25.5" customHeight="1">
      <c r="A645" s="517" t="s">
        <v>776</v>
      </c>
      <c r="B645" s="51" t="s">
        <v>4168</v>
      </c>
      <c r="C645" s="51" t="s">
        <v>143</v>
      </c>
      <c r="D645" s="51" t="s">
        <v>4217</v>
      </c>
      <c r="E645" s="50">
        <v>2829</v>
      </c>
      <c r="F645" s="50">
        <v>3029</v>
      </c>
      <c r="G645" s="50" t="s">
        <v>3955</v>
      </c>
      <c r="H645" s="50"/>
      <c r="I645" s="105"/>
      <c r="J645" s="50"/>
      <c r="K645" s="50" t="s">
        <v>508</v>
      </c>
      <c r="L645" s="50" t="s">
        <v>328</v>
      </c>
      <c r="M645" s="50" t="s">
        <v>1982</v>
      </c>
      <c r="N645" s="50"/>
      <c r="O645" s="50"/>
      <c r="P645" s="50"/>
      <c r="Q645" s="50"/>
      <c r="R645" s="50"/>
      <c r="S645" s="50" t="str">
        <f t="shared" si="60"/>
        <v/>
      </c>
      <c r="T645" s="50" t="str">
        <f t="shared" si="66"/>
        <v/>
      </c>
      <c r="U645" s="50" t="str">
        <f t="shared" si="67"/>
        <v/>
      </c>
      <c r="V645" s="50" t="str">
        <f t="shared" si="63"/>
        <v/>
      </c>
      <c r="W645" s="50"/>
      <c r="X645" s="50"/>
      <c r="Y645" s="50"/>
      <c r="Z645" s="50"/>
      <c r="AA645" s="50"/>
    </row>
    <row r="646" spans="1:27" ht="25.5" customHeight="1">
      <c r="A646" s="50" t="s">
        <v>776</v>
      </c>
      <c r="B646" s="51" t="s">
        <v>4168</v>
      </c>
      <c r="C646" s="51" t="s">
        <v>143</v>
      </c>
      <c r="D646" s="51" t="s">
        <v>4218</v>
      </c>
      <c r="E646" s="50">
        <v>3132</v>
      </c>
      <c r="F646" s="50">
        <v>3175</v>
      </c>
      <c r="G646" s="50" t="s">
        <v>3404</v>
      </c>
      <c r="H646" s="50">
        <v>2024</v>
      </c>
      <c r="I646" s="132">
        <v>45604</v>
      </c>
      <c r="J646" s="50"/>
      <c r="K646" s="50" t="s">
        <v>508</v>
      </c>
      <c r="L646" s="50" t="s">
        <v>328</v>
      </c>
      <c r="M646" s="50" t="s">
        <v>1982</v>
      </c>
      <c r="N646" s="50"/>
      <c r="O646" s="50"/>
      <c r="P646" s="50"/>
      <c r="Q646" s="50"/>
      <c r="R646" s="50"/>
      <c r="S646" s="50" t="str">
        <f t="shared" si="60"/>
        <v/>
      </c>
      <c r="T646" s="50" t="str">
        <f t="shared" si="66"/>
        <v/>
      </c>
      <c r="U646" s="50" t="str">
        <f t="shared" si="67"/>
        <v/>
      </c>
      <c r="V646" s="50" t="str">
        <f t="shared" si="63"/>
        <v/>
      </c>
      <c r="W646" s="50"/>
      <c r="X646" s="50" t="s">
        <v>4</v>
      </c>
      <c r="Y646" s="50" t="s">
        <v>50</v>
      </c>
      <c r="Z646" s="50" t="s">
        <v>3406</v>
      </c>
      <c r="AA646" s="50"/>
    </row>
    <row r="647" spans="1:27" ht="25.5" customHeight="1">
      <c r="A647" s="50" t="s">
        <v>776</v>
      </c>
      <c r="B647" s="51" t="s">
        <v>4168</v>
      </c>
      <c r="C647" s="51" t="s">
        <v>143</v>
      </c>
      <c r="D647" s="51" t="s">
        <v>4219</v>
      </c>
      <c r="E647" s="50">
        <v>3957</v>
      </c>
      <c r="F647" s="50">
        <v>3811</v>
      </c>
      <c r="G647" s="50" t="s">
        <v>3404</v>
      </c>
      <c r="H647" s="50">
        <v>2024</v>
      </c>
      <c r="I647" s="132">
        <v>45604</v>
      </c>
      <c r="J647" s="50"/>
      <c r="K647" s="50" t="s">
        <v>508</v>
      </c>
      <c r="L647" s="50" t="s">
        <v>328</v>
      </c>
      <c r="M647" s="50" t="s">
        <v>1982</v>
      </c>
      <c r="N647" s="50"/>
      <c r="O647" s="50"/>
      <c r="P647" s="50"/>
      <c r="Q647" s="50"/>
      <c r="R647" s="50"/>
      <c r="S647" s="50" t="str">
        <f t="shared" ref="S647:S710" si="68">IF(
    OR(ISBLANK(I647), ISBLANK(O647)),
    "",
    MAX(1, IF(
        NETWORKDAYS(I647, O647) &lt;= 0,
        1,
        NETWORKDAYS(I647, O647) - IF(I647 = O647, 0, 1)
    ))
)</f>
        <v/>
      </c>
      <c r="T647" s="50" t="str">
        <f t="shared" si="66"/>
        <v/>
      </c>
      <c r="U647" s="50" t="str">
        <f t="shared" si="67"/>
        <v/>
      </c>
      <c r="V647" s="50" t="str">
        <f t="shared" si="63"/>
        <v/>
      </c>
      <c r="W647" s="50"/>
      <c r="X647" s="50" t="s">
        <v>4</v>
      </c>
      <c r="Y647" s="50" t="s">
        <v>50</v>
      </c>
      <c r="Z647" s="50" t="s">
        <v>3406</v>
      </c>
      <c r="AA647" s="50"/>
    </row>
    <row r="648" spans="1:27" ht="25.5" customHeight="1">
      <c r="A648" s="50" t="s">
        <v>776</v>
      </c>
      <c r="B648" s="51" t="s">
        <v>4168</v>
      </c>
      <c r="C648" s="51" t="s">
        <v>143</v>
      </c>
      <c r="D648" s="51" t="s">
        <v>3977</v>
      </c>
      <c r="E648" s="50">
        <v>39039</v>
      </c>
      <c r="F648" s="50">
        <v>49579</v>
      </c>
      <c r="G648" s="50" t="s">
        <v>3404</v>
      </c>
      <c r="H648" s="50">
        <v>2024</v>
      </c>
      <c r="I648" s="132">
        <v>45576</v>
      </c>
      <c r="J648" s="50"/>
      <c r="K648" s="50" t="s">
        <v>508</v>
      </c>
      <c r="L648" s="50" t="s">
        <v>328</v>
      </c>
      <c r="M648" s="50" t="s">
        <v>1982</v>
      </c>
      <c r="N648" s="50"/>
      <c r="O648" s="50"/>
      <c r="P648" s="50"/>
      <c r="Q648" s="50"/>
      <c r="R648" s="50"/>
      <c r="S648" s="50" t="str">
        <f t="shared" si="68"/>
        <v/>
      </c>
      <c r="T648" s="50" t="str">
        <f t="shared" si="66"/>
        <v/>
      </c>
      <c r="U648" s="50" t="str">
        <f t="shared" si="67"/>
        <v/>
      </c>
      <c r="V648" s="50" t="str">
        <f t="shared" si="63"/>
        <v/>
      </c>
      <c r="W648" s="50"/>
      <c r="X648" s="50" t="s">
        <v>4</v>
      </c>
      <c r="Y648" s="50" t="s">
        <v>50</v>
      </c>
      <c r="Z648" s="50" t="s">
        <v>3406</v>
      </c>
      <c r="AA648" s="50"/>
    </row>
    <row r="649" spans="1:27" ht="25.5" customHeight="1">
      <c r="A649" s="517" t="s">
        <v>776</v>
      </c>
      <c r="B649" s="51" t="s">
        <v>4168</v>
      </c>
      <c r="C649" s="51" t="s">
        <v>143</v>
      </c>
      <c r="D649" s="51" t="s">
        <v>3727</v>
      </c>
      <c r="E649" s="50">
        <v>2770</v>
      </c>
      <c r="F649" s="50">
        <v>2610</v>
      </c>
      <c r="G649" s="50" t="s">
        <v>3955</v>
      </c>
      <c r="H649" s="50"/>
      <c r="I649" s="105"/>
      <c r="J649" s="50"/>
      <c r="K649" s="50" t="s">
        <v>508</v>
      </c>
      <c r="L649" s="50" t="s">
        <v>328</v>
      </c>
      <c r="M649" s="50" t="s">
        <v>1982</v>
      </c>
      <c r="N649" s="50"/>
      <c r="O649" s="50"/>
      <c r="P649" s="50"/>
      <c r="Q649" s="50"/>
      <c r="R649" s="50"/>
      <c r="S649" s="50" t="str">
        <f t="shared" si="68"/>
        <v/>
      </c>
      <c r="T649" s="50" t="str">
        <f t="shared" si="66"/>
        <v/>
      </c>
      <c r="U649" s="50" t="str">
        <f t="shared" si="67"/>
        <v/>
      </c>
      <c r="V649" s="50" t="str">
        <f t="shared" si="63"/>
        <v/>
      </c>
      <c r="W649" s="50"/>
      <c r="X649" s="50"/>
      <c r="Y649" s="50"/>
      <c r="Z649" s="50"/>
      <c r="AA649" s="50"/>
    </row>
    <row r="650" spans="1:27" ht="25.5" customHeight="1">
      <c r="A650" s="517" t="s">
        <v>776</v>
      </c>
      <c r="B650" s="51" t="s">
        <v>4168</v>
      </c>
      <c r="C650" s="51" t="s">
        <v>143</v>
      </c>
      <c r="D650" s="51" t="s">
        <v>4220</v>
      </c>
      <c r="E650" s="50">
        <v>3046</v>
      </c>
      <c r="F650" s="50">
        <v>3746</v>
      </c>
      <c r="G650" s="50" t="s">
        <v>3955</v>
      </c>
      <c r="H650" s="50"/>
      <c r="I650" s="105"/>
      <c r="J650" s="50"/>
      <c r="K650" s="50" t="s">
        <v>508</v>
      </c>
      <c r="L650" s="50" t="s">
        <v>328</v>
      </c>
      <c r="M650" s="50" t="s">
        <v>1982</v>
      </c>
      <c r="N650" s="50"/>
      <c r="O650" s="50"/>
      <c r="P650" s="50"/>
      <c r="Q650" s="50"/>
      <c r="R650" s="50"/>
      <c r="S650" s="50" t="str">
        <f t="shared" si="68"/>
        <v/>
      </c>
      <c r="T650" s="50" t="str">
        <f t="shared" si="66"/>
        <v/>
      </c>
      <c r="U650" s="50" t="str">
        <f t="shared" si="67"/>
        <v/>
      </c>
      <c r="V650" s="50" t="str">
        <f t="shared" si="63"/>
        <v/>
      </c>
      <c r="W650" s="50"/>
      <c r="X650" s="50"/>
      <c r="Y650" s="50"/>
      <c r="Z650" s="50"/>
      <c r="AA650" s="50"/>
    </row>
    <row r="651" spans="1:27" s="110" customFormat="1" ht="25.5" customHeight="1">
      <c r="A651" s="517" t="s">
        <v>776</v>
      </c>
      <c r="B651" s="51" t="s">
        <v>4168</v>
      </c>
      <c r="C651" s="51" t="s">
        <v>143</v>
      </c>
      <c r="D651" s="51" t="s">
        <v>4221</v>
      </c>
      <c r="E651" s="50">
        <v>5563</v>
      </c>
      <c r="F651" s="50">
        <v>5804</v>
      </c>
      <c r="G651" s="50" t="s">
        <v>3955</v>
      </c>
      <c r="H651" s="50"/>
      <c r="I651" s="105"/>
      <c r="J651" s="50"/>
      <c r="K651" s="50" t="s">
        <v>508</v>
      </c>
      <c r="L651" s="50" t="s">
        <v>328</v>
      </c>
      <c r="M651" s="50" t="s">
        <v>1982</v>
      </c>
      <c r="N651" s="50"/>
      <c r="O651" s="50"/>
      <c r="P651" s="50"/>
      <c r="Q651" s="50"/>
      <c r="R651" s="50"/>
      <c r="S651" s="50" t="str">
        <f t="shared" si="68"/>
        <v/>
      </c>
      <c r="T651" s="50" t="str">
        <f t="shared" si="66"/>
        <v/>
      </c>
      <c r="U651" s="50" t="str">
        <f t="shared" si="67"/>
        <v/>
      </c>
      <c r="V651" s="50" t="str">
        <f t="shared" si="63"/>
        <v/>
      </c>
      <c r="W651" s="50"/>
      <c r="X651" s="50"/>
      <c r="Y651" s="50"/>
      <c r="Z651" s="50"/>
      <c r="AA651" s="50"/>
    </row>
    <row r="652" spans="1:27" ht="25.5" customHeight="1">
      <c r="A652" s="517" t="s">
        <v>776</v>
      </c>
      <c r="B652" s="51" t="s">
        <v>4168</v>
      </c>
      <c r="C652" s="51" t="s">
        <v>143</v>
      </c>
      <c r="D652" s="51" t="s">
        <v>4222</v>
      </c>
      <c r="E652" s="50">
        <v>2326</v>
      </c>
      <c r="F652" s="50">
        <v>2470</v>
      </c>
      <c r="G652" s="50" t="s">
        <v>3955</v>
      </c>
      <c r="H652" s="50"/>
      <c r="I652" s="105"/>
      <c r="J652" s="50"/>
      <c r="K652" s="50" t="s">
        <v>508</v>
      </c>
      <c r="L652" s="50" t="s">
        <v>328</v>
      </c>
      <c r="M652" s="50" t="s">
        <v>1982</v>
      </c>
      <c r="N652" s="50"/>
      <c r="O652" s="50"/>
      <c r="P652" s="50"/>
      <c r="Q652" s="50"/>
      <c r="R652" s="50"/>
      <c r="S652" s="50" t="str">
        <f t="shared" si="68"/>
        <v/>
      </c>
      <c r="T652" s="50" t="str">
        <f t="shared" si="66"/>
        <v/>
      </c>
      <c r="U652" s="50" t="str">
        <f t="shared" si="67"/>
        <v/>
      </c>
      <c r="V652" s="50" t="str">
        <f t="shared" si="63"/>
        <v/>
      </c>
      <c r="W652" s="50"/>
      <c r="X652" s="50"/>
      <c r="Y652" s="50"/>
      <c r="Z652" s="50"/>
      <c r="AA652" s="50"/>
    </row>
    <row r="653" spans="1:27" ht="25.5" customHeight="1">
      <c r="A653" s="517" t="s">
        <v>776</v>
      </c>
      <c r="B653" s="51" t="s">
        <v>4168</v>
      </c>
      <c r="C653" s="51" t="s">
        <v>143</v>
      </c>
      <c r="D653" s="51" t="s">
        <v>1048</v>
      </c>
      <c r="E653" s="50">
        <v>12856</v>
      </c>
      <c r="F653" s="50">
        <v>16324</v>
      </c>
      <c r="G653" s="50" t="s">
        <v>3955</v>
      </c>
      <c r="H653" s="50"/>
      <c r="I653" s="105"/>
      <c r="J653" s="50"/>
      <c r="K653" s="50" t="s">
        <v>508</v>
      </c>
      <c r="L653" s="50" t="s">
        <v>328</v>
      </c>
      <c r="M653" s="50" t="s">
        <v>1982</v>
      </c>
      <c r="N653" s="50"/>
      <c r="O653" s="50"/>
      <c r="P653" s="50"/>
      <c r="Q653" s="50"/>
      <c r="R653" s="50"/>
      <c r="S653" s="50" t="str">
        <f t="shared" si="68"/>
        <v/>
      </c>
      <c r="T653" s="50" t="str">
        <f t="shared" si="66"/>
        <v/>
      </c>
      <c r="U653" s="50" t="str">
        <f t="shared" si="67"/>
        <v/>
      </c>
      <c r="V653" s="50" t="str">
        <f t="shared" si="63"/>
        <v/>
      </c>
      <c r="W653" s="50"/>
      <c r="X653" s="50"/>
      <c r="Y653" s="50"/>
      <c r="Z653" s="50"/>
      <c r="AA653" s="50"/>
    </row>
    <row r="654" spans="1:27" ht="25.5" customHeight="1">
      <c r="A654" s="517" t="s">
        <v>776</v>
      </c>
      <c r="B654" s="51" t="s">
        <v>4223</v>
      </c>
      <c r="C654" s="51" t="s">
        <v>143</v>
      </c>
      <c r="D654" s="51" t="s">
        <v>3506</v>
      </c>
      <c r="E654" s="50">
        <v>1575</v>
      </c>
      <c r="F654" s="50">
        <v>2050</v>
      </c>
      <c r="G654" s="50" t="s">
        <v>3404</v>
      </c>
      <c r="H654" s="50">
        <v>2025</v>
      </c>
      <c r="I654" s="132">
        <v>45839</v>
      </c>
      <c r="J654" s="50" t="s">
        <v>3125</v>
      </c>
      <c r="K654" s="50" t="s">
        <v>388</v>
      </c>
      <c r="L654" s="50"/>
      <c r="M654" s="50" t="s">
        <v>1982</v>
      </c>
      <c r="N654" s="50" t="s">
        <v>4224</v>
      </c>
      <c r="O654" s="60">
        <v>45855</v>
      </c>
      <c r="P654" s="60"/>
      <c r="Q654" s="60">
        <v>45856</v>
      </c>
      <c r="R654" s="60">
        <v>45856</v>
      </c>
      <c r="S654" s="50">
        <f t="shared" si="68"/>
        <v>12</v>
      </c>
      <c r="T654" s="50" t="str">
        <f>IF(
    OR(ISBLANK(O654), ISBLANK(P654)),
    "",
    MAX(1, IF(
        NETWORKDAYS(O654, P654) &lt;= 0,
        1,
        NETWORKDAYS(O654:P654, Q654) - IF(P654 = Q654, 0, 1)
    ))
)</f>
        <v/>
      </c>
      <c r="U654" s="50">
        <f>IF(
    OR(ISBLANK(O654), ISBLANK(Q654)),
    "",
    MAX(1, IF(
        NETWORKDAYS(O654, Q654) &lt;= 0,
        1,
        NETWORKDAYS(O654, Q654) - IF(O654 = Q654, 0, 1)
    ))
)</f>
        <v>1</v>
      </c>
      <c r="V654" s="50">
        <f t="shared" si="63"/>
        <v>1</v>
      </c>
      <c r="W654" s="50" t="s">
        <v>150</v>
      </c>
      <c r="X654" s="50" t="s">
        <v>4</v>
      </c>
      <c r="Y654" s="50" t="s">
        <v>50</v>
      </c>
      <c r="Z654" s="50" t="s">
        <v>3406</v>
      </c>
      <c r="AA654" s="50"/>
    </row>
    <row r="655" spans="1:27" ht="25.5" customHeight="1">
      <c r="A655" s="517" t="s">
        <v>776</v>
      </c>
      <c r="B655" s="51" t="s">
        <v>4223</v>
      </c>
      <c r="C655" s="51" t="s">
        <v>143</v>
      </c>
      <c r="D655" s="51" t="s">
        <v>1051</v>
      </c>
      <c r="E655" s="50">
        <v>4166</v>
      </c>
      <c r="F655" s="50">
        <v>4611</v>
      </c>
      <c r="G655" s="50" t="s">
        <v>3955</v>
      </c>
      <c r="H655" s="50"/>
      <c r="I655" s="105"/>
      <c r="J655" s="50"/>
      <c r="K655" s="50"/>
      <c r="L655" s="50" t="s">
        <v>328</v>
      </c>
      <c r="M655" s="50" t="s">
        <v>1982</v>
      </c>
      <c r="N655" s="50"/>
      <c r="O655" s="50"/>
      <c r="P655" s="50"/>
      <c r="Q655" s="50"/>
      <c r="R655" s="50"/>
      <c r="S655" s="50" t="str">
        <f t="shared" si="68"/>
        <v/>
      </c>
      <c r="T655" s="50" t="str">
        <f t="shared" ref="T655:U658" si="69">IF(
    OR(ISBLANK(O655), ISBLANK(P655)),
    "",
    MAX(1, IF(
        NETWORKDAYS(O655, P655) &lt;= 0,
        1,
        NETWORKDAYS(O655, P655) - IF(O655 = P655, 0, 1)
    ))
)</f>
        <v/>
      </c>
      <c r="U655" s="50" t="str">
        <f t="shared" si="69"/>
        <v/>
      </c>
      <c r="V655" s="50" t="str">
        <f t="shared" si="63"/>
        <v/>
      </c>
      <c r="W655" s="50"/>
      <c r="X655" s="50"/>
      <c r="Y655" s="50"/>
      <c r="Z655" s="50"/>
      <c r="AA655" s="50"/>
    </row>
    <row r="656" spans="1:27" ht="25.5" customHeight="1">
      <c r="A656" s="517" t="s">
        <v>776</v>
      </c>
      <c r="B656" s="51" t="s">
        <v>4223</v>
      </c>
      <c r="C656" s="51" t="s">
        <v>143</v>
      </c>
      <c r="D656" s="51" t="s">
        <v>4225</v>
      </c>
      <c r="E656" s="50">
        <v>1043</v>
      </c>
      <c r="F656" s="50">
        <v>1744</v>
      </c>
      <c r="G656" s="50" t="s">
        <v>3955</v>
      </c>
      <c r="H656" s="50"/>
      <c r="I656" s="105"/>
      <c r="J656" s="50"/>
      <c r="K656" s="50"/>
      <c r="L656" s="50" t="s">
        <v>328</v>
      </c>
      <c r="M656" s="50" t="s">
        <v>1982</v>
      </c>
      <c r="N656" s="50"/>
      <c r="O656" s="50"/>
      <c r="P656" s="50"/>
      <c r="Q656" s="50"/>
      <c r="R656" s="50"/>
      <c r="S656" s="50" t="str">
        <f t="shared" si="68"/>
        <v/>
      </c>
      <c r="T656" s="50" t="str">
        <f t="shared" si="69"/>
        <v/>
      </c>
      <c r="U656" s="50" t="str">
        <f t="shared" si="69"/>
        <v/>
      </c>
      <c r="V656" s="50" t="str">
        <f t="shared" si="63"/>
        <v/>
      </c>
      <c r="W656" s="50"/>
      <c r="X656" s="50"/>
      <c r="Y656" s="50"/>
      <c r="Z656" s="50"/>
      <c r="AA656" s="50"/>
    </row>
    <row r="657" spans="1:27" ht="25.5" customHeight="1">
      <c r="A657" s="517" t="s">
        <v>776</v>
      </c>
      <c r="B657" s="51" t="s">
        <v>4223</v>
      </c>
      <c r="C657" s="51" t="s">
        <v>143</v>
      </c>
      <c r="D657" s="51" t="s">
        <v>4226</v>
      </c>
      <c r="E657" s="50">
        <v>1745</v>
      </c>
      <c r="F657" s="50">
        <v>2196</v>
      </c>
      <c r="G657" s="50" t="s">
        <v>3955</v>
      </c>
      <c r="H657" s="50"/>
      <c r="I657" s="105"/>
      <c r="J657" s="50"/>
      <c r="K657" s="50"/>
      <c r="L657" s="50" t="s">
        <v>328</v>
      </c>
      <c r="M657" s="50" t="s">
        <v>1982</v>
      </c>
      <c r="N657" s="50"/>
      <c r="O657" s="50"/>
      <c r="P657" s="50"/>
      <c r="Q657" s="50"/>
      <c r="R657" s="50"/>
      <c r="S657" s="50" t="str">
        <f t="shared" si="68"/>
        <v/>
      </c>
      <c r="T657" s="50" t="str">
        <f t="shared" si="69"/>
        <v/>
      </c>
      <c r="U657" s="50" t="str">
        <f t="shared" si="69"/>
        <v/>
      </c>
      <c r="V657" s="50" t="str">
        <f t="shared" si="63"/>
        <v/>
      </c>
      <c r="W657" s="50"/>
      <c r="X657" s="50"/>
      <c r="Y657" s="50"/>
      <c r="Z657" s="50"/>
      <c r="AA657" s="50"/>
    </row>
    <row r="658" spans="1:27" ht="25.5" customHeight="1">
      <c r="A658" s="517" t="s">
        <v>776</v>
      </c>
      <c r="B658" s="51" t="s">
        <v>4223</v>
      </c>
      <c r="C658" s="51" t="s">
        <v>143</v>
      </c>
      <c r="D658" s="51" t="s">
        <v>4227</v>
      </c>
      <c r="E658" s="50">
        <v>6909</v>
      </c>
      <c r="F658" s="50">
        <v>8802</v>
      </c>
      <c r="G658" s="50" t="s">
        <v>3955</v>
      </c>
      <c r="H658" s="50"/>
      <c r="I658" s="105"/>
      <c r="J658" s="50"/>
      <c r="K658" s="50"/>
      <c r="L658" s="50" t="s">
        <v>328</v>
      </c>
      <c r="M658" s="50" t="s">
        <v>1982</v>
      </c>
      <c r="N658" s="50"/>
      <c r="O658" s="50"/>
      <c r="P658" s="50"/>
      <c r="Q658" s="50"/>
      <c r="R658" s="50"/>
      <c r="S658" s="50" t="str">
        <f t="shared" si="68"/>
        <v/>
      </c>
      <c r="T658" s="50" t="str">
        <f t="shared" si="69"/>
        <v/>
      </c>
      <c r="U658" s="50" t="str">
        <f t="shared" si="69"/>
        <v/>
      </c>
      <c r="V658" s="50" t="str">
        <f t="shared" si="63"/>
        <v/>
      </c>
      <c r="W658" s="50"/>
      <c r="X658" s="50"/>
      <c r="Y658" s="50"/>
      <c r="Z658" s="50"/>
      <c r="AA658" s="50"/>
    </row>
    <row r="659" spans="1:27" s="110" customFormat="1" ht="25.5" customHeight="1">
      <c r="A659" s="517" t="s">
        <v>776</v>
      </c>
      <c r="B659" s="51" t="s">
        <v>4223</v>
      </c>
      <c r="C659" s="51" t="s">
        <v>143</v>
      </c>
      <c r="D659" s="51" t="s">
        <v>4228</v>
      </c>
      <c r="E659" s="50">
        <v>2859</v>
      </c>
      <c r="F659" s="50">
        <v>3574</v>
      </c>
      <c r="G659" s="50" t="s">
        <v>3404</v>
      </c>
      <c r="H659" s="50">
        <v>2025</v>
      </c>
      <c r="I659" s="132">
        <v>45839</v>
      </c>
      <c r="J659" s="50" t="s">
        <v>3125</v>
      </c>
      <c r="K659" s="50" t="s">
        <v>388</v>
      </c>
      <c r="L659" s="50"/>
      <c r="M659" s="50" t="s">
        <v>1982</v>
      </c>
      <c r="N659" s="50" t="s">
        <v>4229</v>
      </c>
      <c r="O659" s="60">
        <v>45855</v>
      </c>
      <c r="P659" s="60"/>
      <c r="Q659" s="60">
        <v>45856</v>
      </c>
      <c r="R659" s="60">
        <v>45856</v>
      </c>
      <c r="S659" s="50">
        <f t="shared" si="68"/>
        <v>12</v>
      </c>
      <c r="T659" s="50" t="str">
        <f>IF(
    OR(ISBLANK(O659), ISBLANK(P659)),
    "",
    MAX(1, IF(
        NETWORKDAYS(O659, P659) &lt;= 0,
        1,
        NETWORKDAYS(O659:P659, Q659) - IF(P659 = Q659, 0, 1)
    ))
)</f>
        <v/>
      </c>
      <c r="U659" s="50">
        <f>IF(
    OR(ISBLANK(O659), ISBLANK(Q659)),
    "",
    MAX(1, IF(
        NETWORKDAYS(O659, Q659) &lt;= 0,
        1,
        NETWORKDAYS(O659, Q659) - IF(O659 = Q659, 0, 1)
    ))
)</f>
        <v>1</v>
      </c>
      <c r="V659" s="50">
        <f t="shared" si="63"/>
        <v>1</v>
      </c>
      <c r="W659" s="50" t="s">
        <v>150</v>
      </c>
      <c r="X659" s="50" t="s">
        <v>4</v>
      </c>
      <c r="Y659" s="50" t="s">
        <v>50</v>
      </c>
      <c r="Z659" s="50" t="s">
        <v>3406</v>
      </c>
      <c r="AA659" s="50"/>
    </row>
    <row r="660" spans="1:27" ht="25.5" customHeight="1">
      <c r="A660" s="517" t="s">
        <v>776</v>
      </c>
      <c r="B660" s="51" t="s">
        <v>4223</v>
      </c>
      <c r="C660" s="51" t="s">
        <v>143</v>
      </c>
      <c r="D660" s="51" t="s">
        <v>4230</v>
      </c>
      <c r="E660" s="50">
        <v>2620</v>
      </c>
      <c r="F660" s="50">
        <v>3810</v>
      </c>
      <c r="G660" s="50" t="s">
        <v>3955</v>
      </c>
      <c r="H660" s="50"/>
      <c r="I660" s="105"/>
      <c r="J660" s="50"/>
      <c r="K660" s="50"/>
      <c r="L660" s="50" t="s">
        <v>328</v>
      </c>
      <c r="M660" s="50" t="s">
        <v>1982</v>
      </c>
      <c r="N660" s="50"/>
      <c r="O660" s="50"/>
      <c r="P660" s="50"/>
      <c r="Q660" s="50"/>
      <c r="R660" s="50"/>
      <c r="S660" s="50" t="str">
        <f t="shared" si="68"/>
        <v/>
      </c>
      <c r="T660" s="50" t="str">
        <f>IF(
    OR(ISBLANK(O660), ISBLANK(P660)),
    "",
    MAX(1, IF(
        NETWORKDAYS(O660, P660) &lt;= 0,
        1,
        NETWORKDAYS(O660, P660) - IF(O660 = P660, 0, 1)
    ))
)</f>
        <v/>
      </c>
      <c r="U660" s="50" t="str">
        <f>IF(
    OR(ISBLANK(P660), ISBLANK(Q660)),
    "",
    MAX(1, IF(
        NETWORKDAYS(P660, Q660) &lt;= 0,
        1,
        NETWORKDAYS(P660, Q660) - IF(P660 = Q660, 0, 1)
    ))
)</f>
        <v/>
      </c>
      <c r="V660" s="50" t="str">
        <f t="shared" si="63"/>
        <v/>
      </c>
      <c r="W660" s="50"/>
      <c r="X660" s="50"/>
      <c r="Y660" s="50"/>
      <c r="Z660" s="50"/>
      <c r="AA660" s="50"/>
    </row>
    <row r="661" spans="1:27" ht="25.5" customHeight="1">
      <c r="A661" s="517" t="s">
        <v>776</v>
      </c>
      <c r="B661" s="51" t="s">
        <v>4223</v>
      </c>
      <c r="C661" s="51" t="s">
        <v>143</v>
      </c>
      <c r="D661" s="51" t="s">
        <v>4231</v>
      </c>
      <c r="E661" s="50">
        <v>1746</v>
      </c>
      <c r="F661" s="50">
        <v>1869</v>
      </c>
      <c r="G661" s="50" t="s">
        <v>3955</v>
      </c>
      <c r="H661" s="50"/>
      <c r="I661" s="105"/>
      <c r="J661" s="50"/>
      <c r="K661" s="50"/>
      <c r="L661" s="50" t="s">
        <v>328</v>
      </c>
      <c r="M661" s="50" t="s">
        <v>1982</v>
      </c>
      <c r="N661" s="50"/>
      <c r="O661" s="50"/>
      <c r="P661" s="50"/>
      <c r="Q661" s="50"/>
      <c r="R661" s="50"/>
      <c r="S661" s="50" t="str">
        <f t="shared" si="68"/>
        <v/>
      </c>
      <c r="T661" s="50" t="str">
        <f>IF(
    OR(ISBLANK(O661), ISBLANK(P661)),
    "",
    MAX(1, IF(
        NETWORKDAYS(O661, P661) &lt;= 0,
        1,
        NETWORKDAYS(O661, P661) - IF(O661 = P661, 0, 1)
    ))
)</f>
        <v/>
      </c>
      <c r="U661" s="50" t="str">
        <f>IF(
    OR(ISBLANK(P661), ISBLANK(Q661)),
    "",
    MAX(1, IF(
        NETWORKDAYS(P661, Q661) &lt;= 0,
        1,
        NETWORKDAYS(P661, Q661) - IF(P661 = Q661, 0, 1)
    ))
)</f>
        <v/>
      </c>
      <c r="V661" s="50" t="str">
        <f t="shared" si="63"/>
        <v/>
      </c>
      <c r="W661" s="50"/>
      <c r="X661" s="50"/>
      <c r="Y661" s="50"/>
      <c r="Z661" s="50"/>
      <c r="AA661" s="50"/>
    </row>
    <row r="662" spans="1:27" ht="25.5" customHeight="1">
      <c r="A662" s="517" t="s">
        <v>776</v>
      </c>
      <c r="B662" s="51" t="s">
        <v>1055</v>
      </c>
      <c r="C662" s="51" t="s">
        <v>143</v>
      </c>
      <c r="D662" s="51" t="s">
        <v>1716</v>
      </c>
      <c r="E662" s="50">
        <v>2940</v>
      </c>
      <c r="F662" s="50">
        <v>3518</v>
      </c>
      <c r="G662" s="50" t="s">
        <v>3404</v>
      </c>
      <c r="H662" s="50">
        <v>2025</v>
      </c>
      <c r="I662" s="132">
        <v>45729</v>
      </c>
      <c r="J662" s="50" t="s">
        <v>3416</v>
      </c>
      <c r="K662" s="50" t="s">
        <v>388</v>
      </c>
      <c r="L662" s="50" t="s">
        <v>328</v>
      </c>
      <c r="M662" s="50" t="s">
        <v>1982</v>
      </c>
      <c r="N662" s="50" t="s">
        <v>4232</v>
      </c>
      <c r="O662" s="60">
        <v>45732</v>
      </c>
      <c r="P662" s="60">
        <v>45733</v>
      </c>
      <c r="Q662" s="60">
        <v>45733</v>
      </c>
      <c r="R662" s="60">
        <v>45735</v>
      </c>
      <c r="S662" s="50">
        <f t="shared" si="68"/>
        <v>1</v>
      </c>
      <c r="T662" s="50">
        <f>IF(
    OR(ISBLANK(P662), ISBLANK(Q662)),
    "",
    MAX(1, IF(
        NETWORKDAYS(P662, Q662) &lt;= 0,
        1,
        NETWORKDAYS(P662, Q662) - IF(P662 = Q662, 0, 1)
    ))
)</f>
        <v>1</v>
      </c>
      <c r="U662" s="50">
        <f t="shared" ref="U662:U680" si="70">IF(
    OR(ISBLANK(P662), ISBLANK(Q662)),
    "",
    MAX(1, IF(
        NETWORKDAYS(P662, Q662) &lt;= 0,
        1,
        NETWORKDAYS(P662, Q662) - IF(P662 = Q662, 0, 1)
    ))
)</f>
        <v>1</v>
      </c>
      <c r="V662" s="50">
        <f t="shared" si="63"/>
        <v>2</v>
      </c>
      <c r="W662" s="50" t="s">
        <v>150</v>
      </c>
      <c r="X662" s="50" t="s">
        <v>1078</v>
      </c>
      <c r="Y662" s="50" t="s">
        <v>3528</v>
      </c>
      <c r="Z662" s="50" t="s">
        <v>3406</v>
      </c>
      <c r="AA662" s="50"/>
    </row>
    <row r="663" spans="1:27" ht="25.5" customHeight="1">
      <c r="A663" s="517" t="s">
        <v>776</v>
      </c>
      <c r="B663" s="51" t="s">
        <v>1055</v>
      </c>
      <c r="C663" s="51" t="s">
        <v>143</v>
      </c>
      <c r="D663" s="51" t="s">
        <v>4233</v>
      </c>
      <c r="E663" s="50">
        <v>1800</v>
      </c>
      <c r="F663" s="50">
        <v>2140</v>
      </c>
      <c r="G663" s="50" t="s">
        <v>3404</v>
      </c>
      <c r="H663" s="50">
        <v>2025</v>
      </c>
      <c r="I663" s="132">
        <v>45729</v>
      </c>
      <c r="J663" s="50" t="s">
        <v>3416</v>
      </c>
      <c r="K663" s="50" t="s">
        <v>388</v>
      </c>
      <c r="L663" s="50" t="s">
        <v>328</v>
      </c>
      <c r="M663" s="50" t="s">
        <v>1982</v>
      </c>
      <c r="N663" s="50" t="s">
        <v>4234</v>
      </c>
      <c r="O663" s="60">
        <v>45732</v>
      </c>
      <c r="P663" s="60">
        <v>45733</v>
      </c>
      <c r="Q663" s="60">
        <v>45733</v>
      </c>
      <c r="R663" s="60">
        <v>45735</v>
      </c>
      <c r="S663" s="50">
        <f t="shared" si="68"/>
        <v>1</v>
      </c>
      <c r="T663" s="50">
        <f>IF(
    OR(ISBLANK(P663), ISBLANK(Q663)),
    "",
    MAX(1, IF(
        NETWORKDAYS(P663, Q663) &lt;= 0,
        1,
        NETWORKDAYS(P663, Q663) - IF(P663 = Q663, 0, 1)
    ))
)</f>
        <v>1</v>
      </c>
      <c r="U663" s="50">
        <f t="shared" si="70"/>
        <v>1</v>
      </c>
      <c r="V663" s="50">
        <f t="shared" si="63"/>
        <v>2</v>
      </c>
      <c r="W663" s="50" t="s">
        <v>150</v>
      </c>
      <c r="X663" s="50" t="s">
        <v>1078</v>
      </c>
      <c r="Y663" s="50" t="s">
        <v>3528</v>
      </c>
      <c r="Z663" s="50" t="s">
        <v>3406</v>
      </c>
      <c r="AA663" s="50"/>
    </row>
    <row r="664" spans="1:27" ht="25.5" customHeight="1">
      <c r="A664" s="517" t="s">
        <v>776</v>
      </c>
      <c r="B664" s="51" t="s">
        <v>1055</v>
      </c>
      <c r="C664" s="51" t="s">
        <v>143</v>
      </c>
      <c r="D664" s="51" t="s">
        <v>4235</v>
      </c>
      <c r="E664" s="50">
        <v>5628</v>
      </c>
      <c r="F664" s="50">
        <v>5746</v>
      </c>
      <c r="G664" s="50" t="s">
        <v>3404</v>
      </c>
      <c r="H664" s="50">
        <v>2025</v>
      </c>
      <c r="I664" s="132">
        <v>45728</v>
      </c>
      <c r="J664" s="50" t="s">
        <v>3416</v>
      </c>
      <c r="K664" s="50" t="s">
        <v>388</v>
      </c>
      <c r="L664" s="50" t="s">
        <v>328</v>
      </c>
      <c r="M664" s="50" t="s">
        <v>1982</v>
      </c>
      <c r="N664" s="50" t="s">
        <v>4236</v>
      </c>
      <c r="O664" s="60">
        <v>45732</v>
      </c>
      <c r="P664" s="60">
        <v>45733</v>
      </c>
      <c r="Q664" s="60">
        <v>45733</v>
      </c>
      <c r="R664" s="60">
        <v>45735</v>
      </c>
      <c r="S664" s="50">
        <f t="shared" si="68"/>
        <v>2</v>
      </c>
      <c r="T664" s="50">
        <f>IF(
    OR(ISBLANK(P664), ISBLANK(Q664)),
    "",
    MAX(1, IF(
        NETWORKDAYS(P664, Q664) &lt;= 0,
        1,
        NETWORKDAYS(P664, Q664) - IF(P664 = Q664, 0, 1)
    ))
)</f>
        <v>1</v>
      </c>
      <c r="U664" s="50">
        <f t="shared" si="70"/>
        <v>1</v>
      </c>
      <c r="V664" s="50">
        <f t="shared" si="63"/>
        <v>2</v>
      </c>
      <c r="W664" s="50" t="s">
        <v>150</v>
      </c>
      <c r="X664" s="50" t="s">
        <v>1078</v>
      </c>
      <c r="Y664" s="50" t="s">
        <v>3528</v>
      </c>
      <c r="Z664" s="50" t="s">
        <v>3406</v>
      </c>
      <c r="AA664" s="50"/>
    </row>
    <row r="665" spans="1:27" ht="25.5" customHeight="1">
      <c r="A665" s="521" t="s">
        <v>776</v>
      </c>
      <c r="B665" s="51" t="s">
        <v>1055</v>
      </c>
      <c r="C665" s="51" t="s">
        <v>143</v>
      </c>
      <c r="D665" s="51" t="s">
        <v>4237</v>
      </c>
      <c r="E665" s="50">
        <v>16223</v>
      </c>
      <c r="F665" s="50">
        <v>16851</v>
      </c>
      <c r="G665" s="50" t="s">
        <v>3404</v>
      </c>
      <c r="H665" s="50">
        <v>2024</v>
      </c>
      <c r="I665" s="132">
        <v>45518</v>
      </c>
      <c r="J665" s="50"/>
      <c r="K665" s="50" t="s">
        <v>388</v>
      </c>
      <c r="L665" s="50" t="s">
        <v>328</v>
      </c>
      <c r="M665" s="50" t="s">
        <v>1982</v>
      </c>
      <c r="N665" s="50"/>
      <c r="O665" s="50"/>
      <c r="P665" s="50"/>
      <c r="Q665" s="50"/>
      <c r="R665" s="50"/>
      <c r="S665" s="50" t="str">
        <f t="shared" si="68"/>
        <v/>
      </c>
      <c r="T665" s="50" t="str">
        <f>IF(
    OR(ISBLANK(O665), ISBLANK(P665)),
    "",
    MAX(1, IF(
        NETWORKDAYS(O665, P665) &lt;= 0,
        1,
        NETWORKDAYS(O665, P665) - IF(O665 = P665, 0, 1)
    ))
)</f>
        <v/>
      </c>
      <c r="U665" s="50" t="str">
        <f t="shared" si="70"/>
        <v/>
      </c>
      <c r="V665" s="50" t="str">
        <f t="shared" ref="V665:V728" si="71">IF(
    OR(ISBLANK(Q665), ISBLANK(R665)),
    "",
    MAX(1, IF(
        NETWORKDAYS(Q665, R665) &lt;= 0,
        1,
        NETWORKDAYS(Q665, R665) - IF(Q665 = R665, 0, 1)
    ))
)</f>
        <v/>
      </c>
      <c r="W665" s="50"/>
      <c r="X665" s="50" t="s">
        <v>4</v>
      </c>
      <c r="Y665" s="50" t="s">
        <v>50</v>
      </c>
      <c r="Z665" s="50" t="s">
        <v>3406</v>
      </c>
      <c r="AA665" s="50"/>
    </row>
    <row r="666" spans="1:27" ht="25.5" customHeight="1">
      <c r="A666" s="517" t="s">
        <v>776</v>
      </c>
      <c r="B666" s="51" t="s">
        <v>1055</v>
      </c>
      <c r="C666" s="51" t="s">
        <v>143</v>
      </c>
      <c r="D666" s="51" t="s">
        <v>3951</v>
      </c>
      <c r="E666" s="50">
        <v>1528</v>
      </c>
      <c r="F666" s="50">
        <v>1693</v>
      </c>
      <c r="G666" s="50" t="s">
        <v>3404</v>
      </c>
      <c r="H666" s="50">
        <v>2025</v>
      </c>
      <c r="I666" s="132">
        <v>45729</v>
      </c>
      <c r="J666" s="50" t="s">
        <v>3416</v>
      </c>
      <c r="K666" s="50" t="s">
        <v>388</v>
      </c>
      <c r="L666" s="50" t="s">
        <v>328</v>
      </c>
      <c r="M666" s="50" t="s">
        <v>1982</v>
      </c>
      <c r="N666" s="50" t="s">
        <v>4238</v>
      </c>
      <c r="O666" s="60">
        <v>45732</v>
      </c>
      <c r="P666" s="60">
        <v>45733</v>
      </c>
      <c r="Q666" s="60">
        <v>45733</v>
      </c>
      <c r="R666" s="60">
        <v>45735</v>
      </c>
      <c r="S666" s="50">
        <f t="shared" si="68"/>
        <v>1</v>
      </c>
      <c r="T666" s="50">
        <f>IF(
    OR(ISBLANK(P666), ISBLANK(Q666)),
    "",
    MAX(1, IF(
        NETWORKDAYS(P666, Q666) &lt;= 0,
        1,
        NETWORKDAYS(P666, Q666) - IF(P666 = Q666, 0, 1)
    ))
)</f>
        <v>1</v>
      </c>
      <c r="U666" s="50">
        <f t="shared" si="70"/>
        <v>1</v>
      </c>
      <c r="V666" s="50">
        <f t="shared" si="71"/>
        <v>2</v>
      </c>
      <c r="W666" s="50" t="s">
        <v>150</v>
      </c>
      <c r="X666" s="50" t="s">
        <v>1078</v>
      </c>
      <c r="Y666" s="50" t="s">
        <v>3528</v>
      </c>
      <c r="Z666" s="50" t="s">
        <v>3406</v>
      </c>
      <c r="AA666" s="50"/>
    </row>
    <row r="667" spans="1:27" s="110" customFormat="1" ht="25.5" customHeight="1">
      <c r="A667" s="517" t="s">
        <v>776</v>
      </c>
      <c r="B667" s="51" t="s">
        <v>1055</v>
      </c>
      <c r="C667" s="51" t="s">
        <v>143</v>
      </c>
      <c r="D667" s="51" t="s">
        <v>1056</v>
      </c>
      <c r="E667" s="50">
        <v>4099</v>
      </c>
      <c r="F667" s="50">
        <v>3468</v>
      </c>
      <c r="G667" s="50" t="s">
        <v>3404</v>
      </c>
      <c r="H667" s="50">
        <v>2025</v>
      </c>
      <c r="I667" s="132">
        <v>45692</v>
      </c>
      <c r="J667" s="50" t="s">
        <v>3458</v>
      </c>
      <c r="K667" s="50" t="s">
        <v>388</v>
      </c>
      <c r="L667" s="50" t="s">
        <v>328</v>
      </c>
      <c r="M667" s="50" t="s">
        <v>1982</v>
      </c>
      <c r="N667" s="50" t="s">
        <v>4239</v>
      </c>
      <c r="O667" s="60">
        <v>45697</v>
      </c>
      <c r="P667" s="60">
        <v>45698</v>
      </c>
      <c r="Q667" s="60">
        <v>45699</v>
      </c>
      <c r="R667" s="60">
        <v>45701</v>
      </c>
      <c r="S667" s="50">
        <f t="shared" si="68"/>
        <v>3</v>
      </c>
      <c r="T667" s="50">
        <f>IF(
    OR(ISBLANK(P667), ISBLANK(Q667)),
    "",
    MAX(1, IF(
        NETWORKDAYS(P667, Q667) &lt;= 0,
        1,
        NETWORKDAYS(P667, Q667) - IF(P667 = Q667, 0, 1)
    ))
)</f>
        <v>1</v>
      </c>
      <c r="U667" s="50">
        <f t="shared" si="70"/>
        <v>1</v>
      </c>
      <c r="V667" s="50">
        <f t="shared" si="71"/>
        <v>2</v>
      </c>
      <c r="W667" s="50" t="s">
        <v>150</v>
      </c>
      <c r="X667" s="50" t="s">
        <v>1078</v>
      </c>
      <c r="Y667" s="50" t="s">
        <v>3528</v>
      </c>
      <c r="Z667" s="50" t="s">
        <v>3406</v>
      </c>
      <c r="AA667" s="50"/>
    </row>
    <row r="668" spans="1:27" ht="25.5" customHeight="1">
      <c r="A668" s="50" t="s">
        <v>776</v>
      </c>
      <c r="B668" s="51" t="s">
        <v>1055</v>
      </c>
      <c r="C668" s="51" t="s">
        <v>143</v>
      </c>
      <c r="D668" s="51" t="s">
        <v>4240</v>
      </c>
      <c r="E668" s="50">
        <v>5172</v>
      </c>
      <c r="F668" s="50">
        <v>5270</v>
      </c>
      <c r="G668" s="50" t="s">
        <v>3404</v>
      </c>
      <c r="H668" s="50">
        <v>2024</v>
      </c>
      <c r="I668" s="132">
        <v>45604</v>
      </c>
      <c r="J668" s="50"/>
      <c r="K668" s="50" t="s">
        <v>388</v>
      </c>
      <c r="L668" s="50" t="s">
        <v>328</v>
      </c>
      <c r="M668" s="50" t="s">
        <v>1982</v>
      </c>
      <c r="N668" s="50"/>
      <c r="O668" s="50"/>
      <c r="P668" s="50"/>
      <c r="Q668" s="50"/>
      <c r="R668" s="50"/>
      <c r="S668" s="50" t="str">
        <f t="shared" si="68"/>
        <v/>
      </c>
      <c r="T668" s="50" t="str">
        <f>IF(
    OR(ISBLANK(O668), ISBLANK(P668)),
    "",
    MAX(1, IF(
        NETWORKDAYS(O668, P668) &lt;= 0,
        1,
        NETWORKDAYS(O668, P668) - IF(O668 = P668, 0, 1)
    ))
)</f>
        <v/>
      </c>
      <c r="U668" s="50" t="str">
        <f t="shared" si="70"/>
        <v/>
      </c>
      <c r="V668" s="50" t="str">
        <f t="shared" si="71"/>
        <v/>
      </c>
      <c r="W668" s="50"/>
      <c r="X668" s="50" t="s">
        <v>1078</v>
      </c>
      <c r="Y668" s="50" t="s">
        <v>3528</v>
      </c>
      <c r="Z668" s="50" t="s">
        <v>3406</v>
      </c>
      <c r="AA668" s="50"/>
    </row>
    <row r="669" spans="1:27" ht="25.5" customHeight="1">
      <c r="A669" s="517" t="s">
        <v>776</v>
      </c>
      <c r="B669" s="51" t="s">
        <v>1055</v>
      </c>
      <c r="C669" s="51" t="s">
        <v>143</v>
      </c>
      <c r="D669" s="51" t="s">
        <v>3952</v>
      </c>
      <c r="E669" s="50">
        <v>1879</v>
      </c>
      <c r="F669" s="50">
        <v>3915</v>
      </c>
      <c r="G669" s="50" t="s">
        <v>3404</v>
      </c>
      <c r="H669" s="50">
        <v>2025</v>
      </c>
      <c r="I669" s="132">
        <v>45729</v>
      </c>
      <c r="J669" s="50" t="s">
        <v>3416</v>
      </c>
      <c r="K669" s="50" t="s">
        <v>388</v>
      </c>
      <c r="L669" s="50" t="s">
        <v>328</v>
      </c>
      <c r="M669" s="50" t="s">
        <v>1982</v>
      </c>
      <c r="N669" s="50" t="s">
        <v>4241</v>
      </c>
      <c r="O669" s="60">
        <v>45732</v>
      </c>
      <c r="P669" s="60">
        <v>45733</v>
      </c>
      <c r="Q669" s="60">
        <v>45733</v>
      </c>
      <c r="R669" s="60">
        <v>45735</v>
      </c>
      <c r="S669" s="50">
        <f t="shared" si="68"/>
        <v>1</v>
      </c>
      <c r="T669" s="50">
        <f>IF(
    OR(ISBLANK(P669), ISBLANK(Q669)),
    "",
    MAX(1, IF(
        NETWORKDAYS(P669, Q669) &lt;= 0,
        1,
        NETWORKDAYS(P669, Q669) - IF(P669 = Q669, 0, 1)
    ))
)</f>
        <v>1</v>
      </c>
      <c r="U669" s="50">
        <f t="shared" si="70"/>
        <v>1</v>
      </c>
      <c r="V669" s="50">
        <f t="shared" si="71"/>
        <v>2</v>
      </c>
      <c r="W669" s="50" t="s">
        <v>150</v>
      </c>
      <c r="X669" s="50" t="s">
        <v>1078</v>
      </c>
      <c r="Y669" s="50" t="s">
        <v>3528</v>
      </c>
      <c r="Z669" s="50" t="s">
        <v>3406</v>
      </c>
      <c r="AA669" s="50"/>
    </row>
    <row r="670" spans="1:27" ht="25.5" customHeight="1">
      <c r="A670" s="50" t="s">
        <v>776</v>
      </c>
      <c r="B670" s="51" t="s">
        <v>1055</v>
      </c>
      <c r="C670" s="51" t="s">
        <v>143</v>
      </c>
      <c r="D670" s="51" t="s">
        <v>1899</v>
      </c>
      <c r="E670" s="50">
        <v>12216</v>
      </c>
      <c r="F670" s="50">
        <v>11739</v>
      </c>
      <c r="G670" s="50" t="s">
        <v>3404</v>
      </c>
      <c r="H670" s="50">
        <v>2024</v>
      </c>
      <c r="I670" s="132">
        <v>45604</v>
      </c>
      <c r="J670" s="50"/>
      <c r="K670" s="50" t="s">
        <v>388</v>
      </c>
      <c r="L670" s="50" t="s">
        <v>328</v>
      </c>
      <c r="M670" s="50" t="s">
        <v>1982</v>
      </c>
      <c r="N670" s="50"/>
      <c r="O670" s="50"/>
      <c r="P670" s="50"/>
      <c r="Q670" s="50"/>
      <c r="R670" s="50"/>
      <c r="S670" s="50" t="str">
        <f t="shared" si="68"/>
        <v/>
      </c>
      <c r="T670" s="50" t="str">
        <f>IF(
    OR(ISBLANK(O670), ISBLANK(P670)),
    "",
    MAX(1, IF(
        NETWORKDAYS(O670, P670) &lt;= 0,
        1,
        NETWORKDAYS(O670, P670) - IF(O670 = P670, 0, 1)
    ))
)</f>
        <v/>
      </c>
      <c r="U670" s="50" t="str">
        <f t="shared" si="70"/>
        <v/>
      </c>
      <c r="V670" s="50" t="str">
        <f t="shared" si="71"/>
        <v/>
      </c>
      <c r="W670" s="50"/>
      <c r="X670" s="50" t="s">
        <v>1078</v>
      </c>
      <c r="Y670" s="50" t="s">
        <v>3528</v>
      </c>
      <c r="Z670" s="50" t="s">
        <v>3406</v>
      </c>
      <c r="AA670" s="50"/>
    </row>
    <row r="671" spans="1:27" ht="25.5" customHeight="1">
      <c r="A671" s="521" t="s">
        <v>776</v>
      </c>
      <c r="B671" s="51" t="s">
        <v>1055</v>
      </c>
      <c r="C671" s="51" t="s">
        <v>143</v>
      </c>
      <c r="D671" s="51" t="s">
        <v>4242</v>
      </c>
      <c r="E671" s="50">
        <v>13687</v>
      </c>
      <c r="F671" s="50">
        <v>16386</v>
      </c>
      <c r="G671" s="50" t="s">
        <v>3404</v>
      </c>
      <c r="H671" s="50">
        <v>2024</v>
      </c>
      <c r="I671" s="132">
        <v>45603</v>
      </c>
      <c r="J671" s="50"/>
      <c r="K671" s="50" t="s">
        <v>388</v>
      </c>
      <c r="L671" s="50" t="s">
        <v>328</v>
      </c>
      <c r="M671" s="50" t="s">
        <v>1982</v>
      </c>
      <c r="N671" s="50"/>
      <c r="O671" s="50"/>
      <c r="P671" s="50"/>
      <c r="Q671" s="50"/>
      <c r="R671" s="50"/>
      <c r="S671" s="50" t="str">
        <f t="shared" si="68"/>
        <v/>
      </c>
      <c r="T671" s="50" t="str">
        <f>IF(
    OR(ISBLANK(O671), ISBLANK(P671)),
    "",
    MAX(1, IF(
        NETWORKDAYS(O671, P671) &lt;= 0,
        1,
        NETWORKDAYS(O671, P671) - IF(O671 = P671, 0, 1)
    ))
)</f>
        <v/>
      </c>
      <c r="U671" s="50" t="str">
        <f t="shared" si="70"/>
        <v/>
      </c>
      <c r="V671" s="50" t="str">
        <f t="shared" si="71"/>
        <v/>
      </c>
      <c r="W671" s="50"/>
      <c r="X671" s="50" t="s">
        <v>4</v>
      </c>
      <c r="Y671" s="50" t="s">
        <v>50</v>
      </c>
      <c r="Z671" s="50" t="s">
        <v>3406</v>
      </c>
      <c r="AA671" s="50"/>
    </row>
    <row r="672" spans="1:27" s="110" customFormat="1" ht="25.5" customHeight="1">
      <c r="A672" s="517" t="s">
        <v>776</v>
      </c>
      <c r="B672" s="51" t="s">
        <v>1055</v>
      </c>
      <c r="C672" s="51" t="s">
        <v>143</v>
      </c>
      <c r="D672" s="51" t="s">
        <v>4243</v>
      </c>
      <c r="E672" s="50">
        <v>8832</v>
      </c>
      <c r="F672" s="50">
        <v>11465</v>
      </c>
      <c r="G672" s="50" t="s">
        <v>3404</v>
      </c>
      <c r="H672" s="50">
        <v>2025</v>
      </c>
      <c r="I672" s="60">
        <v>45674</v>
      </c>
      <c r="J672" s="50" t="s">
        <v>3424</v>
      </c>
      <c r="K672" s="50" t="s">
        <v>388</v>
      </c>
      <c r="L672" s="50" t="s">
        <v>328</v>
      </c>
      <c r="M672" s="50" t="s">
        <v>1982</v>
      </c>
      <c r="N672" s="50" t="s">
        <v>4244</v>
      </c>
      <c r="O672" s="60">
        <v>45674</v>
      </c>
      <c r="P672" s="60">
        <v>45678</v>
      </c>
      <c r="Q672" s="60">
        <v>45678</v>
      </c>
      <c r="R672" s="60">
        <v>45679</v>
      </c>
      <c r="S672" s="50">
        <f t="shared" si="68"/>
        <v>1</v>
      </c>
      <c r="T672" s="50">
        <f>IF(
    OR(ISBLANK(P672), ISBLANK(Q672)),
    "",
    MAX(1, IF(
        NETWORKDAYS(P672, Q672) &lt;= 0,
        1,
        NETWORKDAYS(P672, Q672) - IF(P672 = Q672, 0, 1)
    ))
)</f>
        <v>1</v>
      </c>
      <c r="U672" s="50">
        <f t="shared" si="70"/>
        <v>1</v>
      </c>
      <c r="V672" s="50">
        <f t="shared" si="71"/>
        <v>1</v>
      </c>
      <c r="W672" s="50" t="s">
        <v>150</v>
      </c>
      <c r="X672" s="50" t="s">
        <v>3527</v>
      </c>
      <c r="Y672" s="50" t="s">
        <v>3528</v>
      </c>
      <c r="Z672" s="50" t="s">
        <v>3406</v>
      </c>
      <c r="AA672" s="50"/>
    </row>
    <row r="673" spans="1:27" ht="25.5" customHeight="1">
      <c r="A673" s="517" t="s">
        <v>776</v>
      </c>
      <c r="B673" s="51" t="s">
        <v>1055</v>
      </c>
      <c r="C673" s="51" t="s">
        <v>143</v>
      </c>
      <c r="D673" s="51" t="s">
        <v>4245</v>
      </c>
      <c r="E673" s="50">
        <v>8310</v>
      </c>
      <c r="F673" s="50">
        <v>9212</v>
      </c>
      <c r="G673" s="50" t="s">
        <v>3404</v>
      </c>
      <c r="H673" s="50">
        <v>2025</v>
      </c>
      <c r="I673" s="132">
        <v>45692</v>
      </c>
      <c r="J673" s="50" t="s">
        <v>3458</v>
      </c>
      <c r="K673" s="50" t="s">
        <v>388</v>
      </c>
      <c r="L673" s="50" t="s">
        <v>328</v>
      </c>
      <c r="M673" s="50" t="s">
        <v>1982</v>
      </c>
      <c r="N673" s="50" t="s">
        <v>4246</v>
      </c>
      <c r="O673" s="60">
        <v>45697</v>
      </c>
      <c r="P673" s="60">
        <v>45698</v>
      </c>
      <c r="Q673" s="60">
        <v>45699</v>
      </c>
      <c r="R673" s="60">
        <v>45701</v>
      </c>
      <c r="S673" s="50">
        <f t="shared" si="68"/>
        <v>3</v>
      </c>
      <c r="T673" s="50">
        <f>IF(
    OR(ISBLANK(P673), ISBLANK(Q673)),
    "",
    MAX(1, IF(
        NETWORKDAYS(P673, Q673) &lt;= 0,
        1,
        NETWORKDAYS(P673, Q673) - IF(P673 = Q673, 0, 1)
    ))
)</f>
        <v>1</v>
      </c>
      <c r="U673" s="50">
        <f t="shared" si="70"/>
        <v>1</v>
      </c>
      <c r="V673" s="50">
        <f t="shared" si="71"/>
        <v>2</v>
      </c>
      <c r="W673" s="50" t="s">
        <v>150</v>
      </c>
      <c r="X673" s="50" t="s">
        <v>1078</v>
      </c>
      <c r="Y673" s="50" t="s">
        <v>50</v>
      </c>
      <c r="Z673" s="50" t="s">
        <v>3406</v>
      </c>
      <c r="AA673" s="50"/>
    </row>
    <row r="674" spans="1:27" s="110" customFormat="1" ht="25.5" customHeight="1">
      <c r="A674" s="521" t="s">
        <v>776</v>
      </c>
      <c r="B674" s="51" t="s">
        <v>1055</v>
      </c>
      <c r="C674" s="51" t="s">
        <v>143</v>
      </c>
      <c r="D674" s="51" t="s">
        <v>3983</v>
      </c>
      <c r="E674" s="50">
        <v>7640</v>
      </c>
      <c r="F674" s="50">
        <v>10151</v>
      </c>
      <c r="G674" s="50" t="s">
        <v>3404</v>
      </c>
      <c r="H674" s="50">
        <v>2024</v>
      </c>
      <c r="I674" s="132">
        <v>45422</v>
      </c>
      <c r="J674" s="50"/>
      <c r="K674" s="50" t="s">
        <v>388</v>
      </c>
      <c r="L674" s="50" t="s">
        <v>328</v>
      </c>
      <c r="M674" s="50" t="s">
        <v>1982</v>
      </c>
      <c r="N674" s="50"/>
      <c r="O674" s="50"/>
      <c r="P674" s="50"/>
      <c r="Q674" s="50"/>
      <c r="R674" s="50"/>
      <c r="S674" s="50" t="str">
        <f t="shared" si="68"/>
        <v/>
      </c>
      <c r="T674" s="50" t="str">
        <f>IF(
    OR(ISBLANK(O674), ISBLANK(P674)),
    "",
    MAX(1, IF(
        NETWORKDAYS(O674, P674) &lt;= 0,
        1,
        NETWORKDAYS(O674, P674) - IF(O674 = P674, 0, 1)
    ))
)</f>
        <v/>
      </c>
      <c r="U674" s="50" t="str">
        <f t="shared" si="70"/>
        <v/>
      </c>
      <c r="V674" s="50" t="str">
        <f t="shared" si="71"/>
        <v/>
      </c>
      <c r="W674" s="50"/>
      <c r="X674" s="50"/>
      <c r="Y674" s="50"/>
      <c r="Z674" s="50" t="s">
        <v>3406</v>
      </c>
      <c r="AA674" s="50"/>
    </row>
    <row r="675" spans="1:27" ht="25.5" customHeight="1">
      <c r="A675" s="517" t="s">
        <v>776</v>
      </c>
      <c r="B675" s="51" t="s">
        <v>1055</v>
      </c>
      <c r="C675" s="51" t="s">
        <v>143</v>
      </c>
      <c r="D675" s="51" t="s">
        <v>1059</v>
      </c>
      <c r="E675" s="50">
        <v>9776</v>
      </c>
      <c r="F675" s="50">
        <v>11861</v>
      </c>
      <c r="G675" s="50" t="s">
        <v>3404</v>
      </c>
      <c r="H675" s="50">
        <v>2025</v>
      </c>
      <c r="I675" s="132">
        <v>45695</v>
      </c>
      <c r="J675" s="50" t="s">
        <v>3458</v>
      </c>
      <c r="K675" s="50" t="s">
        <v>388</v>
      </c>
      <c r="L675" s="50" t="s">
        <v>328</v>
      </c>
      <c r="M675" s="50" t="s">
        <v>1982</v>
      </c>
      <c r="N675" s="50" t="s">
        <v>4247</v>
      </c>
      <c r="O675" s="60">
        <v>45705</v>
      </c>
      <c r="P675" s="60">
        <v>45705</v>
      </c>
      <c r="Q675" s="60">
        <v>45705</v>
      </c>
      <c r="R675" s="60">
        <v>45706</v>
      </c>
      <c r="S675" s="50">
        <f t="shared" si="68"/>
        <v>6</v>
      </c>
      <c r="T675" s="50">
        <f>IF(
    OR(ISBLANK(P675), ISBLANK(Q675)),
    "",
    MAX(1, IF(
        NETWORKDAYS(P675, Q675) &lt;= 0,
        1,
        NETWORKDAYS(P675, Q675) - IF(P675 = Q675, 0, 1)
    ))
)</f>
        <v>1</v>
      </c>
      <c r="U675" s="50">
        <f t="shared" si="70"/>
        <v>1</v>
      </c>
      <c r="V675" s="50">
        <f t="shared" si="71"/>
        <v>1</v>
      </c>
      <c r="W675" s="50" t="s">
        <v>150</v>
      </c>
      <c r="X675" s="50" t="s">
        <v>4</v>
      </c>
      <c r="Y675" s="50" t="s">
        <v>50</v>
      </c>
      <c r="Z675" s="50" t="s">
        <v>3406</v>
      </c>
      <c r="AA675" s="50"/>
    </row>
    <row r="676" spans="1:27" ht="25.5" customHeight="1">
      <c r="A676" s="50" t="s">
        <v>776</v>
      </c>
      <c r="B676" s="51" t="s">
        <v>1063</v>
      </c>
      <c r="C676" s="51" t="s">
        <v>143</v>
      </c>
      <c r="D676" s="51" t="s">
        <v>1064</v>
      </c>
      <c r="E676" s="50">
        <v>5283</v>
      </c>
      <c r="F676" s="50">
        <v>6522</v>
      </c>
      <c r="G676" s="50" t="s">
        <v>3404</v>
      </c>
      <c r="H676" s="50">
        <v>2024</v>
      </c>
      <c r="I676" s="132">
        <v>45449</v>
      </c>
      <c r="J676" s="50"/>
      <c r="K676" s="50"/>
      <c r="L676" s="50" t="s">
        <v>328</v>
      </c>
      <c r="M676" s="50" t="s">
        <v>1982</v>
      </c>
      <c r="N676" s="50"/>
      <c r="O676" s="50"/>
      <c r="P676" s="50"/>
      <c r="Q676" s="50"/>
      <c r="R676" s="50"/>
      <c r="S676" s="50" t="str">
        <f t="shared" si="68"/>
        <v/>
      </c>
      <c r="T676" s="50" t="str">
        <f>IF(
    OR(ISBLANK(O676), ISBLANK(P676)),
    "",
    MAX(1, IF(
        NETWORKDAYS(O676, P676) &lt;= 0,
        1,
        NETWORKDAYS(O676, P676) - IF(O676 = P676, 0, 1)
    ))
)</f>
        <v/>
      </c>
      <c r="U676" s="50" t="str">
        <f t="shared" si="70"/>
        <v/>
      </c>
      <c r="V676" s="50" t="str">
        <f t="shared" si="71"/>
        <v/>
      </c>
      <c r="W676" s="50"/>
      <c r="X676" s="50"/>
      <c r="Y676" s="50"/>
      <c r="Z676" s="50" t="s">
        <v>3406</v>
      </c>
      <c r="AA676" s="50"/>
    </row>
    <row r="677" spans="1:27" s="110" customFormat="1" ht="25.5" customHeight="1">
      <c r="A677" s="50" t="s">
        <v>776</v>
      </c>
      <c r="B677" s="51" t="s">
        <v>1063</v>
      </c>
      <c r="C677" s="51" t="s">
        <v>143</v>
      </c>
      <c r="D677" s="51" t="s">
        <v>4248</v>
      </c>
      <c r="E677" s="50">
        <v>1708</v>
      </c>
      <c r="F677" s="50">
        <v>1808</v>
      </c>
      <c r="G677" s="50" t="s">
        <v>3404</v>
      </c>
      <c r="H677" s="50">
        <v>2024</v>
      </c>
      <c r="I677" s="132">
        <v>45456</v>
      </c>
      <c r="J677" s="50"/>
      <c r="K677" s="50"/>
      <c r="L677" s="50" t="s">
        <v>328</v>
      </c>
      <c r="M677" s="50" t="s">
        <v>1982</v>
      </c>
      <c r="N677" s="50"/>
      <c r="O677" s="50"/>
      <c r="P677" s="50"/>
      <c r="Q677" s="50"/>
      <c r="R677" s="50"/>
      <c r="S677" s="50" t="str">
        <f t="shared" si="68"/>
        <v/>
      </c>
      <c r="T677" s="50" t="str">
        <f>IF(
    OR(ISBLANK(O677), ISBLANK(P677)),
    "",
    MAX(1, IF(
        NETWORKDAYS(O677, P677) &lt;= 0,
        1,
        NETWORKDAYS(O677, P677) - IF(O677 = P677, 0, 1)
    ))
)</f>
        <v/>
      </c>
      <c r="U677" s="50" t="str">
        <f t="shared" si="70"/>
        <v/>
      </c>
      <c r="V677" s="50" t="str">
        <f t="shared" si="71"/>
        <v/>
      </c>
      <c r="W677" s="50"/>
      <c r="X677" s="50"/>
      <c r="Y677" s="50"/>
      <c r="Z677" s="50" t="s">
        <v>3406</v>
      </c>
      <c r="AA677" s="50"/>
    </row>
    <row r="678" spans="1:27" ht="25.5" customHeight="1">
      <c r="A678" s="50" t="s">
        <v>776</v>
      </c>
      <c r="B678" s="51" t="s">
        <v>1063</v>
      </c>
      <c r="C678" s="51" t="s">
        <v>143</v>
      </c>
      <c r="D678" s="51" t="s">
        <v>1539</v>
      </c>
      <c r="E678" s="50">
        <v>5321</v>
      </c>
      <c r="F678" s="50">
        <v>6466</v>
      </c>
      <c r="G678" s="50" t="s">
        <v>3404</v>
      </c>
      <c r="H678" s="50">
        <v>2024</v>
      </c>
      <c r="I678" s="132">
        <v>45539</v>
      </c>
      <c r="J678" s="50"/>
      <c r="K678" s="50"/>
      <c r="L678" s="50" t="s">
        <v>328</v>
      </c>
      <c r="M678" s="50" t="s">
        <v>1982</v>
      </c>
      <c r="N678" s="50"/>
      <c r="O678" s="50"/>
      <c r="P678" s="50"/>
      <c r="Q678" s="50"/>
      <c r="R678" s="50"/>
      <c r="S678" s="50" t="str">
        <f t="shared" si="68"/>
        <v/>
      </c>
      <c r="T678" s="50" t="str">
        <f>IF(
    OR(ISBLANK(O678), ISBLANK(P678)),
    "",
    MAX(1, IF(
        NETWORKDAYS(O678, P678) &lt;= 0,
        1,
        NETWORKDAYS(O678, P678) - IF(O678 = P678, 0, 1)
    ))
)</f>
        <v/>
      </c>
      <c r="U678" s="50" t="str">
        <f t="shared" si="70"/>
        <v/>
      </c>
      <c r="V678" s="50" t="str">
        <f t="shared" si="71"/>
        <v/>
      </c>
      <c r="W678" s="50"/>
      <c r="X678" s="50" t="s">
        <v>4</v>
      </c>
      <c r="Y678" s="50" t="s">
        <v>50</v>
      </c>
      <c r="Z678" s="50" t="s">
        <v>3406</v>
      </c>
      <c r="AA678" s="50"/>
    </row>
    <row r="679" spans="1:27" ht="25.5" customHeight="1">
      <c r="A679" s="50" t="s">
        <v>776</v>
      </c>
      <c r="B679" s="51" t="s">
        <v>1063</v>
      </c>
      <c r="C679" s="51" t="s">
        <v>143</v>
      </c>
      <c r="D679" s="51" t="s">
        <v>4249</v>
      </c>
      <c r="E679" s="50">
        <v>2564</v>
      </c>
      <c r="F679" s="50">
        <v>2791</v>
      </c>
      <c r="G679" s="50" t="s">
        <v>3404</v>
      </c>
      <c r="H679" s="50">
        <v>2024</v>
      </c>
      <c r="I679" s="132">
        <v>45539</v>
      </c>
      <c r="J679" s="50"/>
      <c r="K679" s="50"/>
      <c r="L679" s="50" t="s">
        <v>328</v>
      </c>
      <c r="M679" s="50" t="s">
        <v>1982</v>
      </c>
      <c r="N679" s="50"/>
      <c r="O679" s="50"/>
      <c r="P679" s="50"/>
      <c r="Q679" s="50"/>
      <c r="R679" s="50"/>
      <c r="S679" s="50" t="str">
        <f t="shared" si="68"/>
        <v/>
      </c>
      <c r="T679" s="50" t="str">
        <f>IF(
    OR(ISBLANK(O679), ISBLANK(P679)),
    "",
    MAX(1, IF(
        NETWORKDAYS(O679, P679) &lt;= 0,
        1,
        NETWORKDAYS(O679, P679) - IF(O679 = P679, 0, 1)
    ))
)</f>
        <v/>
      </c>
      <c r="U679" s="50" t="str">
        <f t="shared" si="70"/>
        <v/>
      </c>
      <c r="V679" s="50" t="str">
        <f t="shared" si="71"/>
        <v/>
      </c>
      <c r="W679" s="50"/>
      <c r="X679" s="50" t="s">
        <v>4</v>
      </c>
      <c r="Y679" s="50" t="s">
        <v>50</v>
      </c>
      <c r="Z679" s="50" t="s">
        <v>3406</v>
      </c>
      <c r="AA679" s="50"/>
    </row>
    <row r="680" spans="1:27" ht="25.5" customHeight="1">
      <c r="A680" s="517" t="s">
        <v>776</v>
      </c>
      <c r="B680" s="51" t="s">
        <v>1063</v>
      </c>
      <c r="C680" s="51" t="s">
        <v>143</v>
      </c>
      <c r="D680" s="51" t="s">
        <v>4250</v>
      </c>
      <c r="E680" s="50">
        <v>7114</v>
      </c>
      <c r="F680" s="50">
        <v>7286</v>
      </c>
      <c r="G680" s="50" t="s">
        <v>3404</v>
      </c>
      <c r="H680" s="50">
        <v>2025</v>
      </c>
      <c r="I680" s="132">
        <v>45854</v>
      </c>
      <c r="J680" s="50" t="s">
        <v>3126</v>
      </c>
      <c r="K680" s="50" t="s">
        <v>200</v>
      </c>
      <c r="L680" s="50"/>
      <c r="M680" s="50" t="s">
        <v>1982</v>
      </c>
      <c r="N680" s="50" t="s">
        <v>4251</v>
      </c>
      <c r="O680" s="60">
        <v>45856</v>
      </c>
      <c r="P680" s="60">
        <v>45859</v>
      </c>
      <c r="Q680" s="60">
        <v>45859</v>
      </c>
      <c r="R680" s="60">
        <v>45859</v>
      </c>
      <c r="S680" s="50">
        <f t="shared" si="68"/>
        <v>2</v>
      </c>
      <c r="T680" s="50">
        <f>IF(
    OR(ISBLANK(P680), ISBLANK(Q680)),
    "",
    MAX(1, IF(
        NETWORKDAYS(P680, Q680) &lt;= 0,
        1,
        NETWORKDAYS(P680, Q680) - IF(P680 = Q680, 0, 1)
    ))
)</f>
        <v>1</v>
      </c>
      <c r="U680" s="50">
        <f t="shared" si="70"/>
        <v>1</v>
      </c>
      <c r="V680" s="50">
        <f t="shared" si="71"/>
        <v>1</v>
      </c>
      <c r="W680" s="50" t="s">
        <v>150</v>
      </c>
      <c r="X680" s="50" t="s">
        <v>4</v>
      </c>
      <c r="Y680" s="50" t="s">
        <v>50</v>
      </c>
      <c r="Z680" s="50" t="s">
        <v>3406</v>
      </c>
      <c r="AA680" s="50"/>
    </row>
    <row r="681" spans="1:27" ht="25.5" customHeight="1">
      <c r="A681" s="517" t="s">
        <v>776</v>
      </c>
      <c r="B681" s="51" t="s">
        <v>1063</v>
      </c>
      <c r="C681" s="51" t="s">
        <v>143</v>
      </c>
      <c r="D681" s="51" t="s">
        <v>4252</v>
      </c>
      <c r="E681" s="50">
        <v>2364</v>
      </c>
      <c r="F681" s="50">
        <v>2342</v>
      </c>
      <c r="G681" s="50" t="s">
        <v>3404</v>
      </c>
      <c r="H681" s="50">
        <v>2025</v>
      </c>
      <c r="I681" s="132">
        <v>45854</v>
      </c>
      <c r="J681" s="50" t="s">
        <v>3126</v>
      </c>
      <c r="K681" s="50" t="s">
        <v>200</v>
      </c>
      <c r="L681" s="50" t="s">
        <v>328</v>
      </c>
      <c r="M681" s="50" t="s">
        <v>1982</v>
      </c>
      <c r="N681" s="50" t="s">
        <v>4253</v>
      </c>
      <c r="O681" s="60">
        <v>45856</v>
      </c>
      <c r="P681" s="60"/>
      <c r="Q681" s="60">
        <v>45859</v>
      </c>
      <c r="R681" s="60">
        <v>45859</v>
      </c>
      <c r="S681" s="50">
        <f t="shared" si="68"/>
        <v>2</v>
      </c>
      <c r="T681" s="50" t="str">
        <f>IF(
    OR(ISBLANK(O681), ISBLANK(P681)),
    "",
    MAX(1, IF(
        NETWORKDAYS(O681, P681) &lt;= 0,
        1,
        NETWORKDAYS(O681:P681, Q681) - IF(P681 = Q681, 0, 1)
    ))
)</f>
        <v/>
      </c>
      <c r="U681" s="50">
        <f>IF(
    OR(ISBLANK(O681), ISBLANK(Q681)),
    "",
    MAX(1, IF(
        NETWORKDAYS(O681, Q681) &lt;= 0,
        1,
        NETWORKDAYS(O681, Q681) - IF(O681 = Q681, 0, 1)
    ))
)</f>
        <v>1</v>
      </c>
      <c r="V681" s="50">
        <f t="shared" si="71"/>
        <v>1</v>
      </c>
      <c r="W681" s="50" t="s">
        <v>150</v>
      </c>
      <c r="X681" s="50" t="s">
        <v>4</v>
      </c>
      <c r="Y681" s="50" t="s">
        <v>50</v>
      </c>
      <c r="Z681" s="50" t="s">
        <v>3406</v>
      </c>
      <c r="AA681" s="50"/>
    </row>
    <row r="682" spans="1:27" ht="25.5" customHeight="1">
      <c r="A682" s="517" t="s">
        <v>776</v>
      </c>
      <c r="B682" s="51" t="s">
        <v>1063</v>
      </c>
      <c r="C682" s="51" t="s">
        <v>143</v>
      </c>
      <c r="D682" s="51" t="s">
        <v>4254</v>
      </c>
      <c r="E682" s="50">
        <v>1907</v>
      </c>
      <c r="F682" s="50">
        <v>1636</v>
      </c>
      <c r="G682" s="50" t="s">
        <v>3955</v>
      </c>
      <c r="H682" s="50"/>
      <c r="I682" s="105"/>
      <c r="J682" s="50"/>
      <c r="K682" s="50"/>
      <c r="L682" s="50" t="s">
        <v>328</v>
      </c>
      <c r="M682" s="50" t="s">
        <v>1982</v>
      </c>
      <c r="N682" s="50"/>
      <c r="O682" s="50"/>
      <c r="P682" s="50"/>
      <c r="Q682" s="50"/>
      <c r="R682" s="50"/>
      <c r="S682" s="50" t="str">
        <f t="shared" si="68"/>
        <v/>
      </c>
      <c r="T682" s="50" t="str">
        <f>IF(
    OR(ISBLANK(O682), ISBLANK(P682)),
    "",
    MAX(1, IF(
        NETWORKDAYS(O682, P682) &lt;= 0,
        1,
        NETWORKDAYS(O682, P682) - IF(O682 = P682, 0, 1)
    ))
)</f>
        <v/>
      </c>
      <c r="U682" s="50" t="str">
        <f>IF(
    OR(ISBLANK(P682), ISBLANK(Q682)),
    "",
    MAX(1, IF(
        NETWORKDAYS(P682, Q682) &lt;= 0,
        1,
        NETWORKDAYS(P682, Q682) - IF(P682 = Q682, 0, 1)
    ))
)</f>
        <v/>
      </c>
      <c r="V682" s="50" t="str">
        <f t="shared" si="71"/>
        <v/>
      </c>
      <c r="W682" s="50"/>
      <c r="X682" s="50"/>
      <c r="Y682" s="50"/>
      <c r="Z682" s="50"/>
      <c r="AA682" s="50"/>
    </row>
    <row r="683" spans="1:27" s="110" customFormat="1" ht="25.5" customHeight="1">
      <c r="A683" s="517" t="s">
        <v>776</v>
      </c>
      <c r="B683" s="51" t="s">
        <v>1063</v>
      </c>
      <c r="C683" s="51" t="s">
        <v>143</v>
      </c>
      <c r="D683" s="51" t="s">
        <v>4255</v>
      </c>
      <c r="E683" s="50">
        <v>6569</v>
      </c>
      <c r="F683" s="50">
        <v>6494</v>
      </c>
      <c r="G683" s="50" t="s">
        <v>3404</v>
      </c>
      <c r="H683" s="50">
        <v>2025</v>
      </c>
      <c r="I683" s="132">
        <v>45729</v>
      </c>
      <c r="J683" s="50" t="s">
        <v>3416</v>
      </c>
      <c r="K683" s="50" t="s">
        <v>200</v>
      </c>
      <c r="L683" s="50" t="s">
        <v>328</v>
      </c>
      <c r="M683" s="50" t="s">
        <v>1982</v>
      </c>
      <c r="N683" s="50" t="s">
        <v>4256</v>
      </c>
      <c r="O683" s="60">
        <v>45732</v>
      </c>
      <c r="P683" s="60">
        <v>45733</v>
      </c>
      <c r="Q683" s="60">
        <v>45734</v>
      </c>
      <c r="R683" s="60">
        <v>45735</v>
      </c>
      <c r="S683" s="50">
        <f t="shared" si="68"/>
        <v>1</v>
      </c>
      <c r="T683" s="50">
        <f>IF(
    OR(ISBLANK(P683), ISBLANK(Q683)),
    "",
    MAX(1, IF(
        NETWORKDAYS(P683, Q683) &lt;= 0,
        1,
        NETWORKDAYS(P683, Q683) - IF(P683 = Q683, 0, 1)
    ))
)</f>
        <v>1</v>
      </c>
      <c r="U683" s="50">
        <f t="shared" ref="U683:U697" si="72">IF(
    OR(ISBLANK(P683), ISBLANK(Q683)),
    "",
    MAX(1, IF(
        NETWORKDAYS(P683, Q683) &lt;= 0,
        1,
        NETWORKDAYS(P683, Q683) - IF(P683 = Q683, 0, 1)
    ))
)</f>
        <v>1</v>
      </c>
      <c r="V683" s="50">
        <f t="shared" si="71"/>
        <v>1</v>
      </c>
      <c r="W683" s="50" t="s">
        <v>150</v>
      </c>
      <c r="X683" s="50" t="s">
        <v>1078</v>
      </c>
      <c r="Y683" s="50" t="s">
        <v>50</v>
      </c>
      <c r="Z683" s="50" t="s">
        <v>3406</v>
      </c>
      <c r="AA683" s="50"/>
    </row>
    <row r="684" spans="1:27" ht="25.5" customHeight="1">
      <c r="A684" s="517" t="s">
        <v>776</v>
      </c>
      <c r="B684" s="51" t="s">
        <v>1063</v>
      </c>
      <c r="C684" s="51" t="s">
        <v>143</v>
      </c>
      <c r="D684" s="51" t="s">
        <v>4126</v>
      </c>
      <c r="E684" s="50">
        <v>10336</v>
      </c>
      <c r="F684" s="50">
        <v>10387</v>
      </c>
      <c r="G684" s="50" t="s">
        <v>3404</v>
      </c>
      <c r="H684" s="50">
        <v>2025</v>
      </c>
      <c r="I684" s="132">
        <v>45729</v>
      </c>
      <c r="J684" s="50" t="s">
        <v>3416</v>
      </c>
      <c r="K684" s="50" t="s">
        <v>200</v>
      </c>
      <c r="L684" s="50" t="s">
        <v>328</v>
      </c>
      <c r="M684" s="50" t="s">
        <v>1982</v>
      </c>
      <c r="N684" s="50" t="s">
        <v>4257</v>
      </c>
      <c r="O684" s="60">
        <v>45732</v>
      </c>
      <c r="P684" s="60">
        <v>45733</v>
      </c>
      <c r="Q684" s="60">
        <v>45734</v>
      </c>
      <c r="R684" s="60">
        <v>45735</v>
      </c>
      <c r="S684" s="50">
        <f t="shared" si="68"/>
        <v>1</v>
      </c>
      <c r="T684" s="50">
        <f>IF(
    OR(ISBLANK(P684), ISBLANK(Q684)),
    "",
    MAX(1, IF(
        NETWORKDAYS(P684, Q684) &lt;= 0,
        1,
        NETWORKDAYS(P684, Q684) - IF(P684 = Q684, 0, 1)
    ))
)</f>
        <v>1</v>
      </c>
      <c r="U684" s="50">
        <f t="shared" si="72"/>
        <v>1</v>
      </c>
      <c r="V684" s="50">
        <f t="shared" si="71"/>
        <v>1</v>
      </c>
      <c r="W684" s="50" t="s">
        <v>150</v>
      </c>
      <c r="X684" s="50" t="s">
        <v>1078</v>
      </c>
      <c r="Y684" s="50" t="s">
        <v>50</v>
      </c>
      <c r="Z684" s="50" t="s">
        <v>3406</v>
      </c>
      <c r="AA684" s="50"/>
    </row>
    <row r="685" spans="1:27" ht="25.5" customHeight="1">
      <c r="A685" s="517" t="s">
        <v>776</v>
      </c>
      <c r="B685" s="51" t="s">
        <v>1063</v>
      </c>
      <c r="C685" s="51" t="s">
        <v>143</v>
      </c>
      <c r="D685" s="51" t="s">
        <v>1180</v>
      </c>
      <c r="E685" s="50">
        <v>8102</v>
      </c>
      <c r="F685" s="50">
        <v>8489</v>
      </c>
      <c r="G685" s="50" t="s">
        <v>3955</v>
      </c>
      <c r="H685" s="50"/>
      <c r="I685" s="105"/>
      <c r="J685" s="50"/>
      <c r="K685" s="50"/>
      <c r="L685" s="50" t="s">
        <v>328</v>
      </c>
      <c r="M685" s="50" t="s">
        <v>1982</v>
      </c>
      <c r="N685" s="50"/>
      <c r="O685" s="50"/>
      <c r="P685" s="50"/>
      <c r="Q685" s="50"/>
      <c r="R685" s="50"/>
      <c r="S685" s="50" t="str">
        <f t="shared" si="68"/>
        <v/>
      </c>
      <c r="T685" s="50" t="str">
        <f t="shared" ref="T685:T697" si="73">IF(
    OR(ISBLANK(O685), ISBLANK(P685)),
    "",
    MAX(1, IF(
        NETWORKDAYS(O685, P685) &lt;= 0,
        1,
        NETWORKDAYS(O685, P685) - IF(O685 = P685, 0, 1)
    ))
)</f>
        <v/>
      </c>
      <c r="U685" s="50" t="str">
        <f t="shared" si="72"/>
        <v/>
      </c>
      <c r="V685" s="50" t="str">
        <f t="shared" si="71"/>
        <v/>
      </c>
      <c r="W685" s="50"/>
      <c r="X685" s="50"/>
      <c r="Y685" s="50"/>
      <c r="Z685" s="50"/>
      <c r="AA685" s="50"/>
    </row>
    <row r="686" spans="1:27" ht="25.5" customHeight="1">
      <c r="A686" s="517" t="s">
        <v>776</v>
      </c>
      <c r="B686" s="51" t="s">
        <v>1063</v>
      </c>
      <c r="C686" s="51" t="s">
        <v>143</v>
      </c>
      <c r="D686" s="51" t="s">
        <v>858</v>
      </c>
      <c r="E686" s="50">
        <v>4646</v>
      </c>
      <c r="F686" s="50">
        <v>4275</v>
      </c>
      <c r="G686" s="50" t="s">
        <v>3955</v>
      </c>
      <c r="H686" s="50"/>
      <c r="I686" s="105"/>
      <c r="J686" s="50"/>
      <c r="K686" s="50"/>
      <c r="L686" s="50" t="s">
        <v>328</v>
      </c>
      <c r="M686" s="50" t="s">
        <v>1982</v>
      </c>
      <c r="N686" s="50"/>
      <c r="O686" s="50"/>
      <c r="P686" s="50"/>
      <c r="Q686" s="50"/>
      <c r="R686" s="50"/>
      <c r="S686" s="50" t="str">
        <f t="shared" si="68"/>
        <v/>
      </c>
      <c r="T686" s="50" t="str">
        <f t="shared" si="73"/>
        <v/>
      </c>
      <c r="U686" s="50" t="str">
        <f t="shared" si="72"/>
        <v/>
      </c>
      <c r="V686" s="50" t="str">
        <f t="shared" si="71"/>
        <v/>
      </c>
      <c r="W686" s="50"/>
      <c r="X686" s="50"/>
      <c r="Y686" s="50"/>
      <c r="Z686" s="50"/>
      <c r="AA686" s="50"/>
    </row>
    <row r="687" spans="1:27" ht="25.5" customHeight="1">
      <c r="A687" s="517" t="s">
        <v>776</v>
      </c>
      <c r="B687" s="51" t="s">
        <v>1063</v>
      </c>
      <c r="C687" s="51" t="s">
        <v>143</v>
      </c>
      <c r="D687" s="51" t="s">
        <v>918</v>
      </c>
      <c r="E687" s="50">
        <v>3542</v>
      </c>
      <c r="F687" s="50">
        <v>3700</v>
      </c>
      <c r="G687" s="50" t="s">
        <v>3955</v>
      </c>
      <c r="H687" s="50"/>
      <c r="I687" s="105"/>
      <c r="J687" s="50"/>
      <c r="K687" s="50"/>
      <c r="L687" s="50" t="s">
        <v>328</v>
      </c>
      <c r="M687" s="50" t="s">
        <v>1982</v>
      </c>
      <c r="N687" s="50"/>
      <c r="O687" s="50"/>
      <c r="P687" s="50"/>
      <c r="Q687" s="50"/>
      <c r="R687" s="50"/>
      <c r="S687" s="50" t="str">
        <f t="shared" si="68"/>
        <v/>
      </c>
      <c r="T687" s="50" t="str">
        <f t="shared" si="73"/>
        <v/>
      </c>
      <c r="U687" s="50" t="str">
        <f t="shared" si="72"/>
        <v/>
      </c>
      <c r="V687" s="50" t="str">
        <f t="shared" si="71"/>
        <v/>
      </c>
      <c r="W687" s="50"/>
      <c r="X687" s="50"/>
      <c r="Y687" s="50"/>
      <c r="Z687" s="50"/>
      <c r="AA687" s="50"/>
    </row>
    <row r="688" spans="1:27" s="110" customFormat="1" ht="25.5" customHeight="1">
      <c r="A688" s="517" t="s">
        <v>776</v>
      </c>
      <c r="B688" s="51" t="s">
        <v>1063</v>
      </c>
      <c r="C688" s="51" t="s">
        <v>143</v>
      </c>
      <c r="D688" s="51" t="s">
        <v>1151</v>
      </c>
      <c r="E688" s="50">
        <v>5888</v>
      </c>
      <c r="F688" s="50">
        <v>6167</v>
      </c>
      <c r="G688" s="50" t="s">
        <v>3955</v>
      </c>
      <c r="H688" s="50"/>
      <c r="I688" s="105"/>
      <c r="J688" s="50"/>
      <c r="K688" s="50"/>
      <c r="L688" s="50" t="s">
        <v>328</v>
      </c>
      <c r="M688" s="50" t="s">
        <v>1982</v>
      </c>
      <c r="N688" s="50"/>
      <c r="O688" s="50"/>
      <c r="P688" s="50"/>
      <c r="Q688" s="50"/>
      <c r="R688" s="50"/>
      <c r="S688" s="50" t="str">
        <f t="shared" si="68"/>
        <v/>
      </c>
      <c r="T688" s="50" t="str">
        <f t="shared" si="73"/>
        <v/>
      </c>
      <c r="U688" s="50" t="str">
        <f t="shared" si="72"/>
        <v/>
      </c>
      <c r="V688" s="50" t="str">
        <f t="shared" si="71"/>
        <v/>
      </c>
      <c r="W688" s="50"/>
      <c r="X688" s="50"/>
      <c r="Y688" s="50"/>
      <c r="Z688" s="50"/>
      <c r="AA688" s="50"/>
    </row>
    <row r="689" spans="1:27" ht="25.5" customHeight="1">
      <c r="A689" s="517" t="s">
        <v>776</v>
      </c>
      <c r="B689" s="51" t="s">
        <v>1063</v>
      </c>
      <c r="C689" s="51" t="s">
        <v>143</v>
      </c>
      <c r="D689" s="51" t="s">
        <v>1439</v>
      </c>
      <c r="E689" s="50">
        <v>5113</v>
      </c>
      <c r="F689" s="50">
        <v>4642</v>
      </c>
      <c r="G689" s="50" t="s">
        <v>3955</v>
      </c>
      <c r="H689" s="50"/>
      <c r="I689" s="105"/>
      <c r="J689" s="50"/>
      <c r="K689" s="50"/>
      <c r="L689" s="50" t="s">
        <v>328</v>
      </c>
      <c r="M689" s="50" t="s">
        <v>1982</v>
      </c>
      <c r="N689" s="50"/>
      <c r="O689" s="50"/>
      <c r="P689" s="50"/>
      <c r="Q689" s="50"/>
      <c r="R689" s="50"/>
      <c r="S689" s="50" t="str">
        <f t="shared" si="68"/>
        <v/>
      </c>
      <c r="T689" s="50" t="str">
        <f t="shared" si="73"/>
        <v/>
      </c>
      <c r="U689" s="50" t="str">
        <f t="shared" si="72"/>
        <v/>
      </c>
      <c r="V689" s="50" t="str">
        <f t="shared" si="71"/>
        <v/>
      </c>
      <c r="W689" s="50"/>
      <c r="X689" s="50"/>
      <c r="Y689" s="50"/>
      <c r="Z689" s="50"/>
      <c r="AA689" s="50"/>
    </row>
    <row r="690" spans="1:27" ht="25.5" customHeight="1">
      <c r="A690" s="517" t="s">
        <v>776</v>
      </c>
      <c r="B690" s="51" t="s">
        <v>1063</v>
      </c>
      <c r="C690" s="51" t="s">
        <v>143</v>
      </c>
      <c r="D690" s="51" t="s">
        <v>3723</v>
      </c>
      <c r="E690" s="50">
        <v>3346</v>
      </c>
      <c r="F690" s="50">
        <v>3470</v>
      </c>
      <c r="G690" s="50" t="s">
        <v>3955</v>
      </c>
      <c r="H690" s="50"/>
      <c r="I690" s="105"/>
      <c r="J690" s="50"/>
      <c r="K690" s="50"/>
      <c r="L690" s="50" t="s">
        <v>328</v>
      </c>
      <c r="M690" s="50" t="s">
        <v>1982</v>
      </c>
      <c r="N690" s="50"/>
      <c r="O690" s="50"/>
      <c r="P690" s="50"/>
      <c r="Q690" s="50"/>
      <c r="R690" s="50"/>
      <c r="S690" s="50" t="str">
        <f t="shared" si="68"/>
        <v/>
      </c>
      <c r="T690" s="50" t="str">
        <f t="shared" si="73"/>
        <v/>
      </c>
      <c r="U690" s="50" t="str">
        <f t="shared" si="72"/>
        <v/>
      </c>
      <c r="V690" s="50" t="str">
        <f t="shared" si="71"/>
        <v/>
      </c>
      <c r="W690" s="50"/>
      <c r="X690" s="50"/>
      <c r="Y690" s="50"/>
      <c r="Z690" s="50"/>
      <c r="AA690" s="50"/>
    </row>
    <row r="691" spans="1:27" ht="25.5" customHeight="1">
      <c r="A691" s="517" t="s">
        <v>776</v>
      </c>
      <c r="B691" s="51" t="s">
        <v>1063</v>
      </c>
      <c r="C691" s="51" t="s">
        <v>143</v>
      </c>
      <c r="D691" s="51" t="s">
        <v>1234</v>
      </c>
      <c r="E691" s="50">
        <v>5957</v>
      </c>
      <c r="F691" s="50">
        <v>5754</v>
      </c>
      <c r="G691" s="50" t="s">
        <v>3955</v>
      </c>
      <c r="H691" s="50"/>
      <c r="I691" s="105"/>
      <c r="J691" s="50"/>
      <c r="K691" s="50"/>
      <c r="L691" s="50" t="s">
        <v>328</v>
      </c>
      <c r="M691" s="50" t="s">
        <v>1982</v>
      </c>
      <c r="N691" s="50"/>
      <c r="O691" s="50"/>
      <c r="P691" s="50"/>
      <c r="Q691" s="50"/>
      <c r="R691" s="50"/>
      <c r="S691" s="50" t="str">
        <f t="shared" si="68"/>
        <v/>
      </c>
      <c r="T691" s="50" t="str">
        <f t="shared" si="73"/>
        <v/>
      </c>
      <c r="U691" s="50" t="str">
        <f t="shared" si="72"/>
        <v/>
      </c>
      <c r="V691" s="50" t="str">
        <f t="shared" si="71"/>
        <v/>
      </c>
      <c r="W691" s="50"/>
      <c r="X691" s="50"/>
      <c r="Y691" s="50"/>
      <c r="Z691" s="50"/>
      <c r="AA691" s="50"/>
    </row>
    <row r="692" spans="1:27" ht="25.5" customHeight="1">
      <c r="A692" s="521" t="s">
        <v>776</v>
      </c>
      <c r="B692" s="51" t="s">
        <v>1063</v>
      </c>
      <c r="C692" s="51" t="s">
        <v>143</v>
      </c>
      <c r="D692" s="51" t="s">
        <v>1253</v>
      </c>
      <c r="E692" s="50">
        <v>5042</v>
      </c>
      <c r="F692" s="50">
        <v>5698</v>
      </c>
      <c r="G692" s="50" t="s">
        <v>3404</v>
      </c>
      <c r="H692" s="50">
        <v>2024</v>
      </c>
      <c r="I692" s="132">
        <v>45483</v>
      </c>
      <c r="J692" s="50"/>
      <c r="K692" s="50" t="s">
        <v>200</v>
      </c>
      <c r="L692" s="50" t="s">
        <v>328</v>
      </c>
      <c r="M692" s="50" t="s">
        <v>1982</v>
      </c>
      <c r="N692" s="50"/>
      <c r="O692" s="50"/>
      <c r="P692" s="50"/>
      <c r="Q692" s="50"/>
      <c r="R692" s="50"/>
      <c r="S692" s="50" t="str">
        <f t="shared" si="68"/>
        <v/>
      </c>
      <c r="T692" s="50" t="str">
        <f t="shared" si="73"/>
        <v/>
      </c>
      <c r="U692" s="50" t="str">
        <f t="shared" si="72"/>
        <v/>
      </c>
      <c r="V692" s="50" t="str">
        <f t="shared" si="71"/>
        <v/>
      </c>
      <c r="W692" s="50"/>
      <c r="X692" s="50" t="s">
        <v>4</v>
      </c>
      <c r="Y692" s="50" t="s">
        <v>50</v>
      </c>
      <c r="Z692" s="50" t="s">
        <v>3406</v>
      </c>
      <c r="AA692" s="50"/>
    </row>
    <row r="693" spans="1:27" ht="25.5" customHeight="1">
      <c r="A693" s="517" t="s">
        <v>776</v>
      </c>
      <c r="B693" s="51" t="s">
        <v>1063</v>
      </c>
      <c r="C693" s="51" t="s">
        <v>143</v>
      </c>
      <c r="D693" s="51" t="s">
        <v>3974</v>
      </c>
      <c r="E693" s="50">
        <v>4908</v>
      </c>
      <c r="F693" s="50">
        <v>5197</v>
      </c>
      <c r="G693" s="50" t="s">
        <v>3955</v>
      </c>
      <c r="H693" s="50"/>
      <c r="I693" s="105"/>
      <c r="J693" s="50"/>
      <c r="K693" s="50"/>
      <c r="L693" s="50" t="s">
        <v>328</v>
      </c>
      <c r="M693" s="50" t="s">
        <v>1982</v>
      </c>
      <c r="N693" s="50"/>
      <c r="O693" s="50"/>
      <c r="P693" s="50"/>
      <c r="Q693" s="50"/>
      <c r="R693" s="50"/>
      <c r="S693" s="50" t="str">
        <f t="shared" si="68"/>
        <v/>
      </c>
      <c r="T693" s="50" t="str">
        <f t="shared" si="73"/>
        <v/>
      </c>
      <c r="U693" s="50" t="str">
        <f t="shared" si="72"/>
        <v/>
      </c>
      <c r="V693" s="50" t="str">
        <f t="shared" si="71"/>
        <v/>
      </c>
      <c r="W693" s="50"/>
      <c r="X693" s="50"/>
      <c r="Y693" s="50"/>
      <c r="Z693" s="50"/>
      <c r="AA693" s="50"/>
    </row>
    <row r="694" spans="1:27" ht="25.5" customHeight="1">
      <c r="A694" s="517" t="s">
        <v>776</v>
      </c>
      <c r="B694" s="51" t="s">
        <v>1063</v>
      </c>
      <c r="C694" s="51" t="s">
        <v>143</v>
      </c>
      <c r="D694" s="51" t="s">
        <v>4258</v>
      </c>
      <c r="E694" s="50">
        <v>8193</v>
      </c>
      <c r="F694" s="50">
        <v>7522</v>
      </c>
      <c r="G694" s="50" t="s">
        <v>3955</v>
      </c>
      <c r="H694" s="50"/>
      <c r="I694" s="105"/>
      <c r="J694" s="50"/>
      <c r="K694" s="50"/>
      <c r="L694" s="50" t="s">
        <v>328</v>
      </c>
      <c r="M694" s="50" t="s">
        <v>1982</v>
      </c>
      <c r="N694" s="50"/>
      <c r="O694" s="50"/>
      <c r="P694" s="50"/>
      <c r="Q694" s="50"/>
      <c r="R694" s="50"/>
      <c r="S694" s="50" t="str">
        <f t="shared" si="68"/>
        <v/>
      </c>
      <c r="T694" s="50" t="str">
        <f t="shared" si="73"/>
        <v/>
      </c>
      <c r="U694" s="50" t="str">
        <f t="shared" si="72"/>
        <v/>
      </c>
      <c r="V694" s="50" t="str">
        <f t="shared" si="71"/>
        <v/>
      </c>
      <c r="W694" s="50"/>
      <c r="X694" s="50"/>
      <c r="Y694" s="50"/>
      <c r="Z694" s="50"/>
      <c r="AA694" s="50"/>
    </row>
    <row r="695" spans="1:27" ht="25.5" customHeight="1">
      <c r="A695" s="517" t="s">
        <v>776</v>
      </c>
      <c r="B695" s="51" t="s">
        <v>1063</v>
      </c>
      <c r="C695" s="51" t="s">
        <v>143</v>
      </c>
      <c r="D695" s="51" t="s">
        <v>1899</v>
      </c>
      <c r="E695" s="50">
        <v>3484</v>
      </c>
      <c r="F695" s="50">
        <v>3223</v>
      </c>
      <c r="G695" s="50" t="s">
        <v>3955</v>
      </c>
      <c r="H695" s="50"/>
      <c r="I695" s="105"/>
      <c r="J695" s="50"/>
      <c r="K695" s="50"/>
      <c r="L695" s="50" t="s">
        <v>328</v>
      </c>
      <c r="M695" s="50" t="s">
        <v>1982</v>
      </c>
      <c r="N695" s="50"/>
      <c r="O695" s="50"/>
      <c r="P695" s="50"/>
      <c r="Q695" s="50"/>
      <c r="R695" s="50"/>
      <c r="S695" s="50" t="str">
        <f t="shared" si="68"/>
        <v/>
      </c>
      <c r="T695" s="50" t="str">
        <f t="shared" si="73"/>
        <v/>
      </c>
      <c r="U695" s="50" t="str">
        <f t="shared" si="72"/>
        <v/>
      </c>
      <c r="V695" s="50" t="str">
        <f t="shared" si="71"/>
        <v/>
      </c>
      <c r="W695" s="50"/>
      <c r="X695" s="50"/>
      <c r="Y695" s="50"/>
      <c r="Z695" s="50"/>
      <c r="AA695" s="50"/>
    </row>
    <row r="696" spans="1:27" ht="25.5" customHeight="1">
      <c r="A696" s="517" t="s">
        <v>776</v>
      </c>
      <c r="B696" s="51" t="s">
        <v>1063</v>
      </c>
      <c r="C696" s="51" t="s">
        <v>143</v>
      </c>
      <c r="D696" s="51" t="s">
        <v>3880</v>
      </c>
      <c r="E696" s="50">
        <v>4918</v>
      </c>
      <c r="F696" s="50">
        <v>5494</v>
      </c>
      <c r="G696" s="50" t="s">
        <v>3955</v>
      </c>
      <c r="H696" s="50"/>
      <c r="I696" s="105"/>
      <c r="J696" s="50"/>
      <c r="K696" s="50"/>
      <c r="L696" s="50" t="s">
        <v>328</v>
      </c>
      <c r="M696" s="50" t="s">
        <v>1982</v>
      </c>
      <c r="N696" s="50"/>
      <c r="O696" s="50"/>
      <c r="P696" s="50"/>
      <c r="Q696" s="50"/>
      <c r="R696" s="50"/>
      <c r="S696" s="50" t="str">
        <f t="shared" si="68"/>
        <v/>
      </c>
      <c r="T696" s="50" t="str">
        <f t="shared" si="73"/>
        <v/>
      </c>
      <c r="U696" s="50" t="str">
        <f t="shared" si="72"/>
        <v/>
      </c>
      <c r="V696" s="50" t="str">
        <f t="shared" si="71"/>
        <v/>
      </c>
      <c r="W696" s="50"/>
      <c r="X696" s="50"/>
      <c r="Y696" s="50"/>
      <c r="Z696" s="50"/>
      <c r="AA696" s="50"/>
    </row>
    <row r="697" spans="1:27" ht="25.5" customHeight="1">
      <c r="A697" s="517" t="s">
        <v>776</v>
      </c>
      <c r="B697" s="51" t="s">
        <v>1063</v>
      </c>
      <c r="C697" s="51" t="s">
        <v>143</v>
      </c>
      <c r="D697" s="51" t="s">
        <v>1424</v>
      </c>
      <c r="E697" s="50">
        <v>8317</v>
      </c>
      <c r="F697" s="50">
        <v>8168</v>
      </c>
      <c r="G697" s="50" t="s">
        <v>3955</v>
      </c>
      <c r="H697" s="50"/>
      <c r="I697" s="105"/>
      <c r="J697" s="50"/>
      <c r="K697" s="50"/>
      <c r="L697" s="50" t="s">
        <v>328</v>
      </c>
      <c r="M697" s="50" t="s">
        <v>1982</v>
      </c>
      <c r="N697" s="50"/>
      <c r="O697" s="50"/>
      <c r="P697" s="50"/>
      <c r="Q697" s="50"/>
      <c r="R697" s="50"/>
      <c r="S697" s="50" t="str">
        <f t="shared" si="68"/>
        <v/>
      </c>
      <c r="T697" s="50" t="str">
        <f t="shared" si="73"/>
        <v/>
      </c>
      <c r="U697" s="50" t="str">
        <f t="shared" si="72"/>
        <v/>
      </c>
      <c r="V697" s="50" t="str">
        <f t="shared" si="71"/>
        <v/>
      </c>
      <c r="W697" s="50"/>
      <c r="X697" s="50"/>
      <c r="Y697" s="50"/>
      <c r="Z697" s="50"/>
      <c r="AA697" s="50"/>
    </row>
    <row r="698" spans="1:27" ht="25.5" customHeight="1">
      <c r="A698" s="517" t="s">
        <v>776</v>
      </c>
      <c r="B698" s="51" t="s">
        <v>1063</v>
      </c>
      <c r="C698" s="51" t="s">
        <v>143</v>
      </c>
      <c r="D698" s="51" t="s">
        <v>4130</v>
      </c>
      <c r="E698" s="50">
        <v>4415</v>
      </c>
      <c r="F698" s="50">
        <v>4554</v>
      </c>
      <c r="G698" s="50" t="s">
        <v>3404</v>
      </c>
      <c r="H698" s="50">
        <v>2025</v>
      </c>
      <c r="I698" s="132">
        <v>45854</v>
      </c>
      <c r="J698" s="50" t="s">
        <v>3126</v>
      </c>
      <c r="K698" s="50" t="s">
        <v>200</v>
      </c>
      <c r="L698" s="50"/>
      <c r="M698" s="50" t="s">
        <v>1982</v>
      </c>
      <c r="N698" s="50" t="s">
        <v>4259</v>
      </c>
      <c r="O698" s="60">
        <v>45856</v>
      </c>
      <c r="P698" s="60"/>
      <c r="Q698" s="60">
        <v>45859</v>
      </c>
      <c r="R698" s="60">
        <v>45859</v>
      </c>
      <c r="S698" s="50">
        <f t="shared" si="68"/>
        <v>2</v>
      </c>
      <c r="T698" s="50" t="str">
        <f>IF(
    OR(ISBLANK(O698), ISBLANK(P698)),
    "",
    MAX(1, IF(
        NETWORKDAYS(O698, P698) &lt;= 0,
        1,
        NETWORKDAYS(O698:P698, Q698) - IF(P698 = Q698, 0, 1)
    ))
)</f>
        <v/>
      </c>
      <c r="U698" s="50">
        <f>IF(
    OR(ISBLANK(O698), ISBLANK(Q698)),
    "",
    MAX(1, IF(
        NETWORKDAYS(O698, Q698) &lt;= 0,
        1,
        NETWORKDAYS(O698, Q698) - IF(O698 = Q698, 0, 1)
    ))
)</f>
        <v>1</v>
      </c>
      <c r="V698" s="50">
        <f t="shared" si="71"/>
        <v>1</v>
      </c>
      <c r="W698" s="50" t="s">
        <v>150</v>
      </c>
      <c r="X698" s="50" t="s">
        <v>4</v>
      </c>
      <c r="Y698" s="50" t="s">
        <v>50</v>
      </c>
      <c r="Z698" s="50" t="s">
        <v>3406</v>
      </c>
      <c r="AA698" s="50" t="s">
        <v>4260</v>
      </c>
    </row>
    <row r="699" spans="1:27" ht="25.5" customHeight="1">
      <c r="A699" s="517" t="s">
        <v>776</v>
      </c>
      <c r="B699" s="51" t="s">
        <v>1063</v>
      </c>
      <c r="C699" s="51" t="s">
        <v>143</v>
      </c>
      <c r="D699" s="51" t="s">
        <v>4261</v>
      </c>
      <c r="E699" s="50">
        <v>5251</v>
      </c>
      <c r="F699" s="50">
        <v>5052</v>
      </c>
      <c r="G699" s="50" t="s">
        <v>3955</v>
      </c>
      <c r="H699" s="50"/>
      <c r="I699" s="105"/>
      <c r="J699" s="50"/>
      <c r="K699" s="50"/>
      <c r="L699" s="50" t="s">
        <v>328</v>
      </c>
      <c r="M699" s="50" t="s">
        <v>1982</v>
      </c>
      <c r="N699" s="50"/>
      <c r="O699" s="50"/>
      <c r="P699" s="50"/>
      <c r="Q699" s="50"/>
      <c r="R699" s="50"/>
      <c r="S699" s="50" t="str">
        <f t="shared" si="68"/>
        <v/>
      </c>
      <c r="T699" s="50" t="str">
        <f t="shared" ref="T699:U701" si="74">IF(
    OR(ISBLANK(O699), ISBLANK(P699)),
    "",
    MAX(1, IF(
        NETWORKDAYS(O699, P699) &lt;= 0,
        1,
        NETWORKDAYS(O699, P699) - IF(O699 = P699, 0, 1)
    ))
)</f>
        <v/>
      </c>
      <c r="U699" s="50" t="str">
        <f t="shared" si="74"/>
        <v/>
      </c>
      <c r="V699" s="50" t="str">
        <f t="shared" si="71"/>
        <v/>
      </c>
      <c r="W699" s="50"/>
      <c r="X699" s="50"/>
      <c r="Y699" s="50"/>
      <c r="Z699" s="50"/>
      <c r="AA699" s="50"/>
    </row>
    <row r="700" spans="1:27" s="110" customFormat="1" ht="25.5" customHeight="1">
      <c r="A700" s="517" t="s">
        <v>776</v>
      </c>
      <c r="B700" s="51" t="s">
        <v>1063</v>
      </c>
      <c r="C700" s="51" t="s">
        <v>143</v>
      </c>
      <c r="D700" s="51" t="s">
        <v>4262</v>
      </c>
      <c r="E700" s="50">
        <v>2635</v>
      </c>
      <c r="F700" s="50">
        <v>3011</v>
      </c>
      <c r="G700" s="50" t="s">
        <v>3955</v>
      </c>
      <c r="H700" s="50"/>
      <c r="I700" s="105"/>
      <c r="J700" s="50"/>
      <c r="K700" s="50"/>
      <c r="L700" s="50" t="s">
        <v>328</v>
      </c>
      <c r="M700" s="50" t="s">
        <v>1982</v>
      </c>
      <c r="N700" s="50"/>
      <c r="O700" s="50"/>
      <c r="P700" s="50"/>
      <c r="Q700" s="50"/>
      <c r="R700" s="50"/>
      <c r="S700" s="50" t="str">
        <f t="shared" si="68"/>
        <v/>
      </c>
      <c r="T700" s="50" t="str">
        <f t="shared" si="74"/>
        <v/>
      </c>
      <c r="U700" s="50" t="str">
        <f t="shared" si="74"/>
        <v/>
      </c>
      <c r="V700" s="50" t="str">
        <f t="shared" si="71"/>
        <v/>
      </c>
      <c r="W700" s="50"/>
      <c r="X700" s="50"/>
      <c r="Y700" s="50"/>
      <c r="Z700" s="50"/>
      <c r="AA700" s="50"/>
    </row>
    <row r="701" spans="1:27" ht="25.5" customHeight="1">
      <c r="A701" s="517" t="s">
        <v>776</v>
      </c>
      <c r="B701" s="51" t="s">
        <v>1063</v>
      </c>
      <c r="C701" s="51" t="s">
        <v>143</v>
      </c>
      <c r="D701" s="51" t="s">
        <v>4263</v>
      </c>
      <c r="E701" s="50">
        <v>2884</v>
      </c>
      <c r="F701" s="50">
        <v>3300</v>
      </c>
      <c r="G701" s="50" t="s">
        <v>3955</v>
      </c>
      <c r="H701" s="50"/>
      <c r="I701" s="105"/>
      <c r="J701" s="50"/>
      <c r="K701" s="50"/>
      <c r="L701" s="50" t="s">
        <v>328</v>
      </c>
      <c r="M701" s="50" t="s">
        <v>1982</v>
      </c>
      <c r="N701" s="50"/>
      <c r="O701" s="50"/>
      <c r="P701" s="50"/>
      <c r="Q701" s="50"/>
      <c r="R701" s="50"/>
      <c r="S701" s="50" t="str">
        <f t="shared" si="68"/>
        <v/>
      </c>
      <c r="T701" s="50" t="str">
        <f t="shared" si="74"/>
        <v/>
      </c>
      <c r="U701" s="50" t="str">
        <f t="shared" si="74"/>
        <v/>
      </c>
      <c r="V701" s="50" t="str">
        <f t="shared" si="71"/>
        <v/>
      </c>
      <c r="W701" s="50"/>
      <c r="X701" s="50"/>
      <c r="Y701" s="50"/>
      <c r="Z701" s="50"/>
      <c r="AA701" s="50"/>
    </row>
    <row r="702" spans="1:27" s="110" customFormat="1" ht="25.5" customHeight="1">
      <c r="A702" s="517" t="s">
        <v>776</v>
      </c>
      <c r="B702" s="51" t="s">
        <v>1071</v>
      </c>
      <c r="C702" s="51" t="s">
        <v>143</v>
      </c>
      <c r="D702" s="51" t="s">
        <v>4264</v>
      </c>
      <c r="E702" s="50">
        <v>9424</v>
      </c>
      <c r="F702" s="50">
        <v>11417</v>
      </c>
      <c r="G702" s="50" t="s">
        <v>3404</v>
      </c>
      <c r="H702" s="50">
        <v>2025</v>
      </c>
      <c r="I702" s="132">
        <v>45757</v>
      </c>
      <c r="J702" s="50" t="s">
        <v>3470</v>
      </c>
      <c r="K702" s="50" t="s">
        <v>508</v>
      </c>
      <c r="L702" s="50" t="s">
        <v>328</v>
      </c>
      <c r="M702" s="50" t="s">
        <v>1982</v>
      </c>
      <c r="N702" s="50" t="s">
        <v>4265</v>
      </c>
      <c r="O702" s="60">
        <v>45759</v>
      </c>
      <c r="P702" s="60">
        <v>45762</v>
      </c>
      <c r="Q702" s="60">
        <v>45762</v>
      </c>
      <c r="R702" s="60">
        <v>45762</v>
      </c>
      <c r="S702" s="50">
        <f t="shared" si="68"/>
        <v>1</v>
      </c>
      <c r="T702" s="50">
        <f>IF(
    OR(ISBLANK(P702), ISBLANK(Q702)),
    "",
    MAX(1, IF(
        NETWORKDAYS(P702, Q702) &lt;= 0,
        1,
        NETWORKDAYS(P702, Q702) - IF(P702 = Q702, 0, 1)
    ))
)</f>
        <v>1</v>
      </c>
      <c r="U702" s="50">
        <f>IF(
    OR(ISBLANK(P702), ISBLANK(Q702)),
    "",
    MAX(1, IF(
        NETWORKDAYS(P702, Q702) &lt;= 0,
        1,
        NETWORKDAYS(P702, Q702) - IF(P702 = Q702, 0, 1)
    ))
)</f>
        <v>1</v>
      </c>
      <c r="V702" s="50">
        <f t="shared" si="71"/>
        <v>1</v>
      </c>
      <c r="W702" s="50" t="s">
        <v>150</v>
      </c>
      <c r="X702" s="50" t="s">
        <v>1078</v>
      </c>
      <c r="Y702" s="50" t="s">
        <v>50</v>
      </c>
      <c r="Z702" s="50" t="s">
        <v>3406</v>
      </c>
      <c r="AA702" s="50"/>
    </row>
    <row r="703" spans="1:27" ht="25.5" customHeight="1">
      <c r="A703" s="517" t="s">
        <v>776</v>
      </c>
      <c r="B703" s="51" t="s">
        <v>1071</v>
      </c>
      <c r="C703" s="51" t="s">
        <v>143</v>
      </c>
      <c r="D703" s="51" t="s">
        <v>4266</v>
      </c>
      <c r="E703" s="50">
        <v>9625</v>
      </c>
      <c r="F703" s="50">
        <v>10595</v>
      </c>
      <c r="G703" s="50" t="s">
        <v>3404</v>
      </c>
      <c r="H703" s="50">
        <v>2025</v>
      </c>
      <c r="I703" s="132">
        <v>45757</v>
      </c>
      <c r="J703" s="50" t="s">
        <v>3470</v>
      </c>
      <c r="K703" s="50" t="s">
        <v>508</v>
      </c>
      <c r="L703" s="50" t="s">
        <v>328</v>
      </c>
      <c r="M703" s="50" t="s">
        <v>1982</v>
      </c>
      <c r="N703" s="50" t="s">
        <v>4267</v>
      </c>
      <c r="O703" s="60">
        <v>45759</v>
      </c>
      <c r="P703" s="60">
        <v>45762</v>
      </c>
      <c r="Q703" s="60">
        <v>45762</v>
      </c>
      <c r="R703" s="60">
        <v>45762</v>
      </c>
      <c r="S703" s="50">
        <f t="shared" si="68"/>
        <v>1</v>
      </c>
      <c r="T703" s="50">
        <f>IF(
    OR(ISBLANK(P703), ISBLANK(Q703)),
    "",
    MAX(1, IF(
        NETWORKDAYS(P703, Q703) &lt;= 0,
        1,
        NETWORKDAYS(P703, Q703) - IF(P703 = Q703, 0, 1)
    ))
)</f>
        <v>1</v>
      </c>
      <c r="U703" s="50">
        <f>IF(
    OR(ISBLANK(P703), ISBLANK(Q703)),
    "",
    MAX(1, IF(
        NETWORKDAYS(P703, Q703) &lt;= 0,
        1,
        NETWORKDAYS(P703, Q703) - IF(P703 = Q703, 0, 1)
    ))
)</f>
        <v>1</v>
      </c>
      <c r="V703" s="50">
        <f t="shared" si="71"/>
        <v>1</v>
      </c>
      <c r="W703" s="50" t="s">
        <v>150</v>
      </c>
      <c r="X703" s="50" t="s">
        <v>1078</v>
      </c>
      <c r="Y703" s="50" t="s">
        <v>50</v>
      </c>
      <c r="Z703" s="50" t="s">
        <v>3406</v>
      </c>
      <c r="AA703" s="50"/>
    </row>
    <row r="704" spans="1:27" ht="25.5" customHeight="1">
      <c r="A704" s="517" t="s">
        <v>776</v>
      </c>
      <c r="B704" s="51" t="s">
        <v>1071</v>
      </c>
      <c r="C704" s="51" t="s">
        <v>143</v>
      </c>
      <c r="D704" s="51" t="s">
        <v>3641</v>
      </c>
      <c r="E704" s="50">
        <v>10103</v>
      </c>
      <c r="F704" s="50">
        <v>8310</v>
      </c>
      <c r="G704" s="50" t="s">
        <v>3404</v>
      </c>
      <c r="H704" s="50">
        <v>2025</v>
      </c>
      <c r="I704" s="132">
        <v>45818</v>
      </c>
      <c r="J704" s="50" t="s">
        <v>3689</v>
      </c>
      <c r="K704" s="50" t="s">
        <v>508</v>
      </c>
      <c r="L704" s="50"/>
      <c r="M704" s="50" t="s">
        <v>1982</v>
      </c>
      <c r="N704" s="50" t="s">
        <v>4268</v>
      </c>
      <c r="O704" s="60">
        <v>45825</v>
      </c>
      <c r="P704" s="60"/>
      <c r="Q704" s="60">
        <v>45827</v>
      </c>
      <c r="R704" s="60">
        <v>45827</v>
      </c>
      <c r="S704" s="50">
        <f t="shared" si="68"/>
        <v>5</v>
      </c>
      <c r="T704" s="50" t="str">
        <f>IF(
    OR(ISBLANK(O704), ISBLANK(P704)),
    "",
    MAX(1, IF(
        NETWORKDAYS(O704, P704) &lt;= 0,
        1,
        NETWORKDAYS(O704:P704, Q704) - IF(P704 = Q704, 0, 1)
    ))
)</f>
        <v/>
      </c>
      <c r="U704" s="50">
        <f>IF(
    OR(ISBLANK(O704), ISBLANK(Q704)),
    "",
    MAX(1, IF(
        NETWORKDAYS(O704, Q704) &lt;= 0,
        1,
        NETWORKDAYS(O704, Q704) - IF(O704 = Q704, 0, 1)
    ))
)</f>
        <v>2</v>
      </c>
      <c r="V704" s="50">
        <f t="shared" si="71"/>
        <v>1</v>
      </c>
      <c r="W704" s="50" t="s">
        <v>150</v>
      </c>
      <c r="X704" s="50" t="s">
        <v>1078</v>
      </c>
      <c r="Y704" s="50" t="s">
        <v>50</v>
      </c>
      <c r="Z704" s="50" t="s">
        <v>3406</v>
      </c>
      <c r="AA704" s="50"/>
    </row>
    <row r="705" spans="1:27" s="110" customFormat="1" ht="25.5" customHeight="1">
      <c r="A705" s="517" t="s">
        <v>776</v>
      </c>
      <c r="B705" s="51" t="s">
        <v>1071</v>
      </c>
      <c r="C705" s="51" t="s">
        <v>143</v>
      </c>
      <c r="D705" s="51" t="s">
        <v>1072</v>
      </c>
      <c r="E705" s="50">
        <v>42821</v>
      </c>
      <c r="F705" s="50">
        <v>48184</v>
      </c>
      <c r="G705" s="50" t="s">
        <v>3404</v>
      </c>
      <c r="H705" s="50">
        <v>2025</v>
      </c>
      <c r="I705" s="132">
        <v>45818</v>
      </c>
      <c r="J705" s="50" t="s">
        <v>3689</v>
      </c>
      <c r="K705" s="50" t="s">
        <v>508</v>
      </c>
      <c r="L705" s="50"/>
      <c r="M705" s="50" t="s">
        <v>1982</v>
      </c>
      <c r="N705" s="50" t="s">
        <v>4269</v>
      </c>
      <c r="O705" s="60">
        <v>45825</v>
      </c>
      <c r="P705" s="50"/>
      <c r="Q705" s="60">
        <v>45827</v>
      </c>
      <c r="R705" s="60">
        <v>45827</v>
      </c>
      <c r="S705" s="50">
        <f t="shared" si="68"/>
        <v>5</v>
      </c>
      <c r="T705" s="50" t="str">
        <f>IF(
    OR(ISBLANK(O705), ISBLANK(P705)),
    "",
    MAX(1, IF(
        NETWORKDAYS(O705, P705) &lt;= 0,
        1,
        NETWORKDAYS(O705:P705, Q705) - IF(P705 = Q705, 0, 1)
    ))
)</f>
        <v/>
      </c>
      <c r="U705" s="50">
        <f>IF(
    OR(ISBLANK(O705), ISBLANK(Q705)),
    "",
    MAX(1, IF(
        NETWORKDAYS(O705, Q705) &lt;= 0,
        1,
        NETWORKDAYS(O705, Q705) - IF(O705 = Q705, 0, 1)
    ))
)</f>
        <v>2</v>
      </c>
      <c r="V705" s="50">
        <f t="shared" si="71"/>
        <v>1</v>
      </c>
      <c r="W705" s="50" t="s">
        <v>150</v>
      </c>
      <c r="X705" s="50" t="s">
        <v>1078</v>
      </c>
      <c r="Y705" s="50" t="s">
        <v>50</v>
      </c>
      <c r="Z705" s="50" t="s">
        <v>3406</v>
      </c>
      <c r="AA705" s="50"/>
    </row>
    <row r="706" spans="1:27" ht="25.5" customHeight="1">
      <c r="A706" s="517" t="s">
        <v>776</v>
      </c>
      <c r="B706" s="51" t="s">
        <v>1071</v>
      </c>
      <c r="C706" s="51" t="s">
        <v>143</v>
      </c>
      <c r="D706" s="51" t="s">
        <v>4270</v>
      </c>
      <c r="E706" s="50">
        <v>12900</v>
      </c>
      <c r="F706" s="50">
        <v>15256</v>
      </c>
      <c r="G706" s="50" t="s">
        <v>3955</v>
      </c>
      <c r="H706" s="50"/>
      <c r="I706" s="105"/>
      <c r="J706" s="50"/>
      <c r="K706" s="50" t="s">
        <v>508</v>
      </c>
      <c r="L706" s="50" t="s">
        <v>328</v>
      </c>
      <c r="M706" s="50" t="s">
        <v>1982</v>
      </c>
      <c r="N706" s="50"/>
      <c r="O706" s="50"/>
      <c r="P706" s="50"/>
      <c r="Q706" s="50"/>
      <c r="R706" s="50"/>
      <c r="S706" s="50" t="str">
        <f t="shared" si="68"/>
        <v/>
      </c>
      <c r="T706" s="50" t="str">
        <f>IF(
    OR(ISBLANK(O706), ISBLANK(P706)),
    "",
    MAX(1, IF(
        NETWORKDAYS(O706, P706) &lt;= 0,
        1,
        NETWORKDAYS(O706, P706) - IF(O706 = P706, 0, 1)
    ))
)</f>
        <v/>
      </c>
      <c r="U706" s="50" t="str">
        <f>IF(
    OR(ISBLANK(P706), ISBLANK(Q706)),
    "",
    MAX(1, IF(
        NETWORKDAYS(P706, Q706) &lt;= 0,
        1,
        NETWORKDAYS(P706, Q706) - IF(P706 = Q706, 0, 1)
    ))
)</f>
        <v/>
      </c>
      <c r="V706" s="50" t="str">
        <f t="shared" si="71"/>
        <v/>
      </c>
      <c r="W706" s="50"/>
      <c r="X706" s="50"/>
      <c r="Y706" s="50"/>
      <c r="Z706" s="50"/>
      <c r="AA706" s="50"/>
    </row>
    <row r="707" spans="1:27" s="110" customFormat="1" ht="25.5" customHeight="1">
      <c r="A707" s="517" t="s">
        <v>776</v>
      </c>
      <c r="B707" s="51" t="s">
        <v>1071</v>
      </c>
      <c r="C707" s="51" t="s">
        <v>143</v>
      </c>
      <c r="D707" s="51" t="s">
        <v>4271</v>
      </c>
      <c r="E707" s="50">
        <v>57569</v>
      </c>
      <c r="F707" s="50">
        <v>71258</v>
      </c>
      <c r="G707" s="50" t="s">
        <v>3404</v>
      </c>
      <c r="H707" s="50">
        <v>2025</v>
      </c>
      <c r="I707" s="132">
        <v>45793</v>
      </c>
      <c r="J707" s="50" t="s">
        <v>3532</v>
      </c>
      <c r="K707" s="50" t="s">
        <v>508</v>
      </c>
      <c r="L707" s="50" t="s">
        <v>328</v>
      </c>
      <c r="M707" s="50" t="s">
        <v>1982</v>
      </c>
      <c r="N707" s="50" t="s">
        <v>4272</v>
      </c>
      <c r="O707" s="60">
        <v>45794</v>
      </c>
      <c r="P707" s="50"/>
      <c r="Q707" s="60">
        <v>45796</v>
      </c>
      <c r="R707" s="60">
        <v>45797</v>
      </c>
      <c r="S707" s="50">
        <f t="shared" si="68"/>
        <v>1</v>
      </c>
      <c r="T707" s="50" t="str">
        <f>IF(
    OR(ISBLANK(O707), ISBLANK(P707)),
    "",
    MAX(1, IF(
        NETWORKDAYS(O707, P707) &lt;= 0,
        1,
        NETWORKDAYS(O707:P707, Q707) - IF(P707 = Q707, 0, 1)
    ))
)</f>
        <v/>
      </c>
      <c r="U707" s="50">
        <f>IF(
    OR(ISBLANK(O707), ISBLANK(Q707)),
    "",
    MAX(1, IF(
        NETWORKDAYS(O707, Q707) &lt;= 0,
        1,
        NETWORKDAYS(O707, Q707) - IF(O707 = Q707, 0, 1)
    ))
)</f>
        <v>1</v>
      </c>
      <c r="V707" s="50">
        <f t="shared" si="71"/>
        <v>1</v>
      </c>
      <c r="W707" s="50" t="s">
        <v>150</v>
      </c>
      <c r="X707" s="50" t="s">
        <v>1078</v>
      </c>
      <c r="Y707" s="50" t="s">
        <v>50</v>
      </c>
      <c r="Z707" s="50" t="s">
        <v>3406</v>
      </c>
      <c r="AA707" s="50"/>
    </row>
    <row r="708" spans="1:27" ht="25.5" customHeight="1">
      <c r="A708" s="517" t="s">
        <v>776</v>
      </c>
      <c r="B708" s="51" t="s">
        <v>1071</v>
      </c>
      <c r="C708" s="51" t="s">
        <v>143</v>
      </c>
      <c r="D708" s="51" t="s">
        <v>4273</v>
      </c>
      <c r="E708" s="50">
        <v>4015</v>
      </c>
      <c r="F708" s="50">
        <v>3518</v>
      </c>
      <c r="G708" s="50" t="s">
        <v>3955</v>
      </c>
      <c r="H708" s="50"/>
      <c r="I708" s="105"/>
      <c r="J708" s="50"/>
      <c r="K708" s="50" t="s">
        <v>508</v>
      </c>
      <c r="L708" s="50" t="s">
        <v>328</v>
      </c>
      <c r="M708" s="50" t="s">
        <v>1982</v>
      </c>
      <c r="N708" s="50"/>
      <c r="O708" s="50"/>
      <c r="P708" s="50"/>
      <c r="Q708" s="50"/>
      <c r="R708" s="50"/>
      <c r="S708" s="50" t="str">
        <f t="shared" si="68"/>
        <v/>
      </c>
      <c r="T708" s="50" t="str">
        <f>IF(
    OR(ISBLANK(O708), ISBLANK(P708)),
    "",
    MAX(1, IF(
        NETWORKDAYS(O708, P708) &lt;= 0,
        1,
        NETWORKDAYS(O708, P708) - IF(O708 = P708, 0, 1)
    ))
)</f>
        <v/>
      </c>
      <c r="U708" s="50" t="str">
        <f>IF(
    OR(ISBLANK(P708), ISBLANK(Q708)),
    "",
    MAX(1, IF(
        NETWORKDAYS(P708, Q708) &lt;= 0,
        1,
        NETWORKDAYS(P708, Q708) - IF(P708 = Q708, 0, 1)
    ))
)</f>
        <v/>
      </c>
      <c r="V708" s="50" t="str">
        <f t="shared" si="71"/>
        <v/>
      </c>
      <c r="W708" s="50"/>
      <c r="X708" s="50"/>
      <c r="Y708" s="50"/>
      <c r="Z708" s="50"/>
      <c r="AA708" s="50"/>
    </row>
    <row r="709" spans="1:27" s="110" customFormat="1" ht="25.5" customHeight="1">
      <c r="A709" s="517" t="s">
        <v>776</v>
      </c>
      <c r="B709" s="51" t="s">
        <v>1071</v>
      </c>
      <c r="C709" s="51" t="s">
        <v>143</v>
      </c>
      <c r="D709" s="51" t="s">
        <v>4274</v>
      </c>
      <c r="E709" s="50">
        <v>7501</v>
      </c>
      <c r="F709" s="50">
        <v>8419</v>
      </c>
      <c r="G709" s="50" t="s">
        <v>3404</v>
      </c>
      <c r="H709" s="50">
        <v>2025</v>
      </c>
      <c r="I709" s="132">
        <v>45791</v>
      </c>
      <c r="J709" s="50" t="s">
        <v>3532</v>
      </c>
      <c r="K709" s="50" t="s">
        <v>508</v>
      </c>
      <c r="L709" s="50" t="s">
        <v>328</v>
      </c>
      <c r="M709" s="50" t="s">
        <v>1982</v>
      </c>
      <c r="N709" s="50" t="s">
        <v>4275</v>
      </c>
      <c r="O709" s="60">
        <v>45794</v>
      </c>
      <c r="P709" s="50"/>
      <c r="Q709" s="60">
        <v>45796</v>
      </c>
      <c r="R709" s="60">
        <v>45797</v>
      </c>
      <c r="S709" s="50">
        <f t="shared" si="68"/>
        <v>2</v>
      </c>
      <c r="T709" s="50" t="str">
        <f>IF(
    OR(ISBLANK(O709), ISBLANK(P709)),
    "",
    MAX(1, IF(
        NETWORKDAYS(O709, P709) &lt;= 0,
        1,
        NETWORKDAYS(O709:P709, Q709) - IF(P709 = Q709, 0, 1)
    ))
)</f>
        <v/>
      </c>
      <c r="U709" s="50">
        <f>IF(
    OR(ISBLANK(O709), ISBLANK(Q709)),
    "",
    MAX(1, IF(
        NETWORKDAYS(O709, Q709) &lt;= 0,
        1,
        NETWORKDAYS(O709, Q709) - IF(O709 = Q709, 0, 1)
    ))
)</f>
        <v>1</v>
      </c>
      <c r="V709" s="50">
        <f t="shared" si="71"/>
        <v>1</v>
      </c>
      <c r="W709" s="50" t="s">
        <v>150</v>
      </c>
      <c r="X709" s="50" t="s">
        <v>1078</v>
      </c>
      <c r="Y709" s="50" t="s">
        <v>50</v>
      </c>
      <c r="Z709" s="50" t="s">
        <v>3406</v>
      </c>
      <c r="AA709" s="50"/>
    </row>
    <row r="710" spans="1:27" ht="25.5" customHeight="1">
      <c r="A710" s="517" t="s">
        <v>776</v>
      </c>
      <c r="B710" s="51" t="s">
        <v>1071</v>
      </c>
      <c r="C710" s="51" t="s">
        <v>143</v>
      </c>
      <c r="D710" s="51" t="s">
        <v>4206</v>
      </c>
      <c r="E710" s="50">
        <v>1826</v>
      </c>
      <c r="F710" s="50">
        <v>1419</v>
      </c>
      <c r="G710" s="50" t="s">
        <v>3404</v>
      </c>
      <c r="H710" s="50">
        <v>2025</v>
      </c>
      <c r="I710" s="132">
        <v>45818</v>
      </c>
      <c r="J710" s="50" t="s">
        <v>3689</v>
      </c>
      <c r="K710" s="50" t="s">
        <v>508</v>
      </c>
      <c r="L710" s="50"/>
      <c r="M710" s="50" t="s">
        <v>1982</v>
      </c>
      <c r="N710" s="50" t="s">
        <v>4276</v>
      </c>
      <c r="O710" s="60">
        <v>45825</v>
      </c>
      <c r="P710" s="60"/>
      <c r="Q710" s="60">
        <v>45827</v>
      </c>
      <c r="R710" s="60">
        <v>45827</v>
      </c>
      <c r="S710" s="50">
        <f t="shared" si="68"/>
        <v>5</v>
      </c>
      <c r="T710" s="50" t="str">
        <f>IF(
    OR(ISBLANK(O710), ISBLANK(P710)),
    "",
    MAX(1, IF(
        NETWORKDAYS(O710, P710) &lt;= 0,
        1,
        NETWORKDAYS(O710:P710, Q710) - IF(P710 = Q710, 0, 1)
    ))
)</f>
        <v/>
      </c>
      <c r="U710" s="50">
        <f>IF(
    OR(ISBLANK(O710), ISBLANK(Q710)),
    "",
    MAX(1, IF(
        NETWORKDAYS(O710, Q710) &lt;= 0,
        1,
        NETWORKDAYS(O710, Q710) - IF(O710 = Q710, 0, 1)
    ))
)</f>
        <v>2</v>
      </c>
      <c r="V710" s="50">
        <f t="shared" si="71"/>
        <v>1</v>
      </c>
      <c r="W710" s="50" t="s">
        <v>150</v>
      </c>
      <c r="X710" s="50" t="s">
        <v>1078</v>
      </c>
      <c r="Y710" s="50" t="s">
        <v>50</v>
      </c>
      <c r="Z710" s="50" t="s">
        <v>3406</v>
      </c>
      <c r="AA710" s="50"/>
    </row>
    <row r="711" spans="1:27" ht="25.5" customHeight="1">
      <c r="A711" s="517" t="s">
        <v>776</v>
      </c>
      <c r="B711" s="51" t="s">
        <v>1071</v>
      </c>
      <c r="C711" s="51" t="s">
        <v>143</v>
      </c>
      <c r="D711" s="51" t="s">
        <v>4277</v>
      </c>
      <c r="E711" s="50">
        <v>5475</v>
      </c>
      <c r="F711" s="50">
        <v>4968</v>
      </c>
      <c r="G711" s="50" t="s">
        <v>3404</v>
      </c>
      <c r="H711" s="50">
        <v>2025</v>
      </c>
      <c r="I711" s="132">
        <v>45818</v>
      </c>
      <c r="J711" s="50" t="s">
        <v>3689</v>
      </c>
      <c r="K711" s="50" t="s">
        <v>508</v>
      </c>
      <c r="L711" s="50"/>
      <c r="M711" s="50" t="s">
        <v>1982</v>
      </c>
      <c r="N711" s="50" t="s">
        <v>4278</v>
      </c>
      <c r="O711" s="60">
        <v>45825</v>
      </c>
      <c r="P711" s="50"/>
      <c r="Q711" s="60">
        <v>45827</v>
      </c>
      <c r="R711" s="60">
        <v>45827</v>
      </c>
      <c r="S711" s="50">
        <f t="shared" ref="S711:S774" si="75">IF(
    OR(ISBLANK(I711), ISBLANK(O711)),
    "",
    MAX(1, IF(
        NETWORKDAYS(I711, O711) &lt;= 0,
        1,
        NETWORKDAYS(I711, O711) - IF(I711 = O711, 0, 1)
    ))
)</f>
        <v>5</v>
      </c>
      <c r="T711" s="50" t="str">
        <f>IF(
    OR(ISBLANK(O711), ISBLANK(P711)),
    "",
    MAX(1, IF(
        NETWORKDAYS(O711, P711) &lt;= 0,
        1,
        NETWORKDAYS(O711:P711, Q711) - IF(P711 = Q711, 0, 1)
    ))
)</f>
        <v/>
      </c>
      <c r="U711" s="50">
        <f>IF(
    OR(ISBLANK(O711), ISBLANK(Q711)),
    "",
    MAX(1, IF(
        NETWORKDAYS(O711, Q711) &lt;= 0,
        1,
        NETWORKDAYS(O711, Q711) - IF(O711 = Q711, 0, 1)
    ))
)</f>
        <v>2</v>
      </c>
      <c r="V711" s="50">
        <f t="shared" si="71"/>
        <v>1</v>
      </c>
      <c r="W711" s="50" t="s">
        <v>150</v>
      </c>
      <c r="X711" s="50" t="s">
        <v>1078</v>
      </c>
      <c r="Y711" s="50" t="s">
        <v>50</v>
      </c>
      <c r="Z711" s="50" t="s">
        <v>3406</v>
      </c>
      <c r="AA711" s="50"/>
    </row>
    <row r="712" spans="1:27" ht="25.5" customHeight="1">
      <c r="A712" s="517" t="s">
        <v>776</v>
      </c>
      <c r="B712" s="51" t="s">
        <v>1071</v>
      </c>
      <c r="C712" s="51" t="s">
        <v>143</v>
      </c>
      <c r="D712" s="51" t="s">
        <v>1822</v>
      </c>
      <c r="E712" s="50">
        <v>7065</v>
      </c>
      <c r="F712" s="50">
        <v>9019</v>
      </c>
      <c r="G712" s="50" t="s">
        <v>3404</v>
      </c>
      <c r="H712" s="50">
        <v>2025</v>
      </c>
      <c r="I712" s="132">
        <v>45876</v>
      </c>
      <c r="J712" s="50" t="s">
        <v>3126</v>
      </c>
      <c r="K712" s="50" t="s">
        <v>508</v>
      </c>
      <c r="L712" s="50"/>
      <c r="M712" s="50" t="s">
        <v>1982</v>
      </c>
      <c r="N712" s="50" t="s">
        <v>4279</v>
      </c>
      <c r="O712" s="60">
        <v>45886</v>
      </c>
      <c r="P712" s="50"/>
      <c r="Q712" s="60">
        <v>45888</v>
      </c>
      <c r="R712" s="60">
        <v>45888</v>
      </c>
      <c r="S712" s="50">
        <f t="shared" si="75"/>
        <v>6</v>
      </c>
      <c r="T712" s="50" t="str">
        <f>IF(
    OR(ISBLANK(O712), ISBLANK(P712)),
    "",
    MAX(1, IF(
        NETWORKDAYS(O712, P712) &lt;= 0,
        1,
        NETWORKDAYS(O712:P712, Q712) - IF(P712 = Q712, 0, 1)
    ))
)</f>
        <v/>
      </c>
      <c r="U712" s="50">
        <f>IF(
    OR(ISBLANK(O712), ISBLANK(Q712)),
    "",
    MAX(1, IF(
        NETWORKDAYS(O712, Q712) &lt;= 0,
        1,
        NETWORKDAYS(O712, Q712) - IF(O712 = Q712, 0, 1)
    ))
)</f>
        <v>1</v>
      </c>
      <c r="V712" s="50">
        <f t="shared" si="71"/>
        <v>1</v>
      </c>
      <c r="W712" s="50" t="s">
        <v>150</v>
      </c>
      <c r="X712" s="50" t="s">
        <v>1078</v>
      </c>
      <c r="Y712" s="50" t="s">
        <v>50</v>
      </c>
      <c r="Z712" s="50" t="s">
        <v>3406</v>
      </c>
      <c r="AA712" s="50"/>
    </row>
    <row r="713" spans="1:27" ht="25.5" customHeight="1">
      <c r="A713" s="517" t="s">
        <v>776</v>
      </c>
      <c r="B713" s="51" t="s">
        <v>1071</v>
      </c>
      <c r="C713" s="51" t="s">
        <v>143</v>
      </c>
      <c r="D713" s="51" t="s">
        <v>4280</v>
      </c>
      <c r="E713" s="50">
        <v>11229</v>
      </c>
      <c r="F713" s="50">
        <v>13784</v>
      </c>
      <c r="G713" s="50" t="s">
        <v>3404</v>
      </c>
      <c r="H713" s="50">
        <v>2025</v>
      </c>
      <c r="I713" s="132">
        <v>45876</v>
      </c>
      <c r="J713" s="50" t="s">
        <v>3126</v>
      </c>
      <c r="K713" s="50" t="s">
        <v>508</v>
      </c>
      <c r="L713" s="50"/>
      <c r="M713" s="50" t="s">
        <v>1982</v>
      </c>
      <c r="N713" s="50" t="s">
        <v>4281</v>
      </c>
      <c r="O713" s="60">
        <v>45886</v>
      </c>
      <c r="P713" s="50"/>
      <c r="Q713" s="60">
        <v>45888</v>
      </c>
      <c r="R713" s="60">
        <v>45888</v>
      </c>
      <c r="S713" s="50">
        <f t="shared" si="75"/>
        <v>6</v>
      </c>
      <c r="T713" s="50" t="str">
        <f>IF(
    OR(ISBLANK(O713), ISBLANK(P713)),
    "",
    MAX(1, IF(
        NETWORKDAYS(O713, P713) &lt;= 0,
        1,
        NETWORKDAYS(O713:P713, Q713) - IF(P713 = Q713, 0, 1)
    ))
)</f>
        <v/>
      </c>
      <c r="U713" s="50">
        <f>IF(
    OR(ISBLANK(O713), ISBLANK(Q713)),
    "",
    MAX(1, IF(
        NETWORKDAYS(O713, Q713) &lt;= 0,
        1,
        NETWORKDAYS(O713, Q713) - IF(O713 = Q713, 0, 1)
    ))
)</f>
        <v>1</v>
      </c>
      <c r="V713" s="50">
        <f t="shared" si="71"/>
        <v>1</v>
      </c>
      <c r="W713" s="50" t="s">
        <v>150</v>
      </c>
      <c r="X713" s="50" t="s">
        <v>1078</v>
      </c>
      <c r="Y713" s="50" t="s">
        <v>50</v>
      </c>
      <c r="Z713" s="50" t="s">
        <v>3406</v>
      </c>
      <c r="AA713" s="50"/>
    </row>
    <row r="714" spans="1:27" ht="25.5" customHeight="1">
      <c r="A714" s="517" t="s">
        <v>776</v>
      </c>
      <c r="B714" s="51" t="s">
        <v>1071</v>
      </c>
      <c r="C714" s="51" t="s">
        <v>143</v>
      </c>
      <c r="D714" s="51" t="s">
        <v>4282</v>
      </c>
      <c r="E714" s="50">
        <v>10793</v>
      </c>
      <c r="F714" s="50">
        <v>11260</v>
      </c>
      <c r="G714" s="50" t="s">
        <v>3955</v>
      </c>
      <c r="H714" s="50"/>
      <c r="I714" s="105"/>
      <c r="J714" s="50"/>
      <c r="K714" s="50" t="s">
        <v>508</v>
      </c>
      <c r="L714" s="50" t="s">
        <v>328</v>
      </c>
      <c r="M714" s="50" t="s">
        <v>1982</v>
      </c>
      <c r="N714" s="50"/>
      <c r="O714" s="50"/>
      <c r="P714" s="50"/>
      <c r="Q714" s="50"/>
      <c r="R714" s="50"/>
      <c r="S714" s="50" t="str">
        <f t="shared" si="75"/>
        <v/>
      </c>
      <c r="T714" s="50" t="str">
        <f>IF(
    OR(ISBLANK(O714), ISBLANK(P714)),
    "",
    MAX(1, IF(
        NETWORKDAYS(O714, P714) &lt;= 0,
        1,
        NETWORKDAYS(O714, P714) - IF(O714 = P714, 0, 1)
    ))
)</f>
        <v/>
      </c>
      <c r="U714" s="50" t="str">
        <f>IF(
    OR(ISBLANK(P714), ISBLANK(Q714)),
    "",
    MAX(1, IF(
        NETWORKDAYS(P714, Q714) &lt;= 0,
        1,
        NETWORKDAYS(P714, Q714) - IF(P714 = Q714, 0, 1)
    ))
)</f>
        <v/>
      </c>
      <c r="V714" s="50" t="str">
        <f t="shared" si="71"/>
        <v/>
      </c>
      <c r="W714" s="50"/>
      <c r="X714" s="50"/>
      <c r="Y714" s="50"/>
      <c r="Z714" s="50"/>
      <c r="AA714" s="50"/>
    </row>
    <row r="715" spans="1:27" s="110" customFormat="1" ht="25.5" customHeight="1">
      <c r="A715" s="50" t="s">
        <v>776</v>
      </c>
      <c r="B715" s="51" t="s">
        <v>1071</v>
      </c>
      <c r="C715" s="51" t="s">
        <v>143</v>
      </c>
      <c r="D715" s="51" t="s">
        <v>4283</v>
      </c>
      <c r="E715" s="50">
        <v>9648</v>
      </c>
      <c r="F715" s="50">
        <v>13378</v>
      </c>
      <c r="G715" s="50" t="s">
        <v>3404</v>
      </c>
      <c r="H715" s="50">
        <v>2024</v>
      </c>
      <c r="I715" s="132">
        <v>45546</v>
      </c>
      <c r="J715" s="50"/>
      <c r="K715" s="50" t="s">
        <v>508</v>
      </c>
      <c r="L715" s="50" t="s">
        <v>328</v>
      </c>
      <c r="M715" s="50" t="s">
        <v>1982</v>
      </c>
      <c r="N715" s="50"/>
      <c r="O715" s="50"/>
      <c r="P715" s="50"/>
      <c r="Q715" s="50"/>
      <c r="R715" s="50"/>
      <c r="S715" s="50" t="str">
        <f t="shared" si="75"/>
        <v/>
      </c>
      <c r="T715" s="50" t="str">
        <f>IF(
    OR(ISBLANK(O715), ISBLANK(P715)),
    "",
    MAX(1, IF(
        NETWORKDAYS(O715, P715) &lt;= 0,
        1,
        NETWORKDAYS(O715, P715) - IF(O715 = P715, 0, 1)
    ))
)</f>
        <v/>
      </c>
      <c r="U715" s="50" t="str">
        <f>IF(
    OR(ISBLANK(P715), ISBLANK(Q715)),
    "",
    MAX(1, IF(
        NETWORKDAYS(P715, Q715) &lt;= 0,
        1,
        NETWORKDAYS(P715, Q715) - IF(P715 = Q715, 0, 1)
    ))
)</f>
        <v/>
      </c>
      <c r="V715" s="50" t="str">
        <f t="shared" si="71"/>
        <v/>
      </c>
      <c r="W715" s="50"/>
      <c r="X715" s="50" t="s">
        <v>1078</v>
      </c>
      <c r="Y715" s="50"/>
      <c r="Z715" s="50" t="s">
        <v>3406</v>
      </c>
      <c r="AA715" s="50"/>
    </row>
    <row r="716" spans="1:27" ht="25.5" customHeight="1">
      <c r="A716" s="517" t="s">
        <v>776</v>
      </c>
      <c r="B716" s="51" t="s">
        <v>1071</v>
      </c>
      <c r="C716" s="51" t="s">
        <v>143</v>
      </c>
      <c r="D716" s="51" t="s">
        <v>4284</v>
      </c>
      <c r="E716" s="50">
        <v>14950</v>
      </c>
      <c r="F716" s="50">
        <v>15612</v>
      </c>
      <c r="G716" s="50" t="s">
        <v>3404</v>
      </c>
      <c r="H716" s="50">
        <v>2025</v>
      </c>
      <c r="I716" s="132">
        <v>45694</v>
      </c>
      <c r="J716" s="50" t="s">
        <v>3458</v>
      </c>
      <c r="K716" s="50" t="s">
        <v>508</v>
      </c>
      <c r="L716" s="50" t="s">
        <v>328</v>
      </c>
      <c r="M716" s="50" t="s">
        <v>1982</v>
      </c>
      <c r="N716" s="50" t="s">
        <v>4285</v>
      </c>
      <c r="O716" s="60">
        <v>45698</v>
      </c>
      <c r="P716" s="60">
        <v>45700</v>
      </c>
      <c r="Q716" s="60">
        <v>45700</v>
      </c>
      <c r="R716" s="60">
        <v>45705</v>
      </c>
      <c r="S716" s="50">
        <f t="shared" si="75"/>
        <v>2</v>
      </c>
      <c r="T716" s="50">
        <f>IF(
    OR(ISBLANK(P716), ISBLANK(Q716)),
    "",
    MAX(1, IF(
        NETWORKDAYS(P716, Q716) &lt;= 0,
        1,
        NETWORKDAYS(P716, Q716) - IF(P716 = Q716, 0, 1)
    ))
)</f>
        <v>1</v>
      </c>
      <c r="U716" s="50">
        <f t="shared" ref="U716:U741" si="76">IF(
    OR(ISBLANK(P716), ISBLANK(Q716)),
    "",
    MAX(1, IF(
        NETWORKDAYS(P716, Q716) &lt;= 0,
        1,
        NETWORKDAYS(P716, Q716) - IF(P716 = Q716, 0, 1)
    ))
)</f>
        <v>1</v>
      </c>
      <c r="V716" s="50">
        <f t="shared" si="71"/>
        <v>3</v>
      </c>
      <c r="W716" s="50" t="s">
        <v>150</v>
      </c>
      <c r="X716" s="50" t="s">
        <v>1078</v>
      </c>
      <c r="Y716" s="50" t="s">
        <v>3528</v>
      </c>
      <c r="Z716" s="50" t="s">
        <v>3406</v>
      </c>
      <c r="AA716" s="50"/>
    </row>
    <row r="717" spans="1:27" s="320" customFormat="1" ht="25.5" customHeight="1">
      <c r="A717" s="517" t="s">
        <v>776</v>
      </c>
      <c r="B717" s="51" t="s">
        <v>1071</v>
      </c>
      <c r="C717" s="51" t="s">
        <v>143</v>
      </c>
      <c r="D717" s="51" t="s">
        <v>3918</v>
      </c>
      <c r="E717" s="50">
        <v>7021</v>
      </c>
      <c r="F717" s="50">
        <v>8056</v>
      </c>
      <c r="G717" s="50" t="s">
        <v>3404</v>
      </c>
      <c r="H717" s="50">
        <v>2025</v>
      </c>
      <c r="I717" s="132">
        <v>45694</v>
      </c>
      <c r="J717" s="50" t="s">
        <v>3458</v>
      </c>
      <c r="K717" s="50" t="s">
        <v>508</v>
      </c>
      <c r="L717" s="50" t="s">
        <v>328</v>
      </c>
      <c r="M717" s="50" t="s">
        <v>1982</v>
      </c>
      <c r="N717" s="50" t="s">
        <v>4286</v>
      </c>
      <c r="O717" s="60">
        <v>45698</v>
      </c>
      <c r="P717" s="60">
        <v>45700</v>
      </c>
      <c r="Q717" s="60">
        <v>45700</v>
      </c>
      <c r="R717" s="60">
        <v>45705</v>
      </c>
      <c r="S717" s="50">
        <f t="shared" si="75"/>
        <v>2</v>
      </c>
      <c r="T717" s="50">
        <f>IF(
    OR(ISBLANK(P717), ISBLANK(Q717)),
    "",
    MAX(1, IF(
        NETWORKDAYS(P717, Q717) &lt;= 0,
        1,
        NETWORKDAYS(P717, Q717) - IF(P717 = Q717, 0, 1)
    ))
)</f>
        <v>1</v>
      </c>
      <c r="U717" s="50">
        <f t="shared" si="76"/>
        <v>1</v>
      </c>
      <c r="V717" s="50">
        <f t="shared" si="71"/>
        <v>3</v>
      </c>
      <c r="W717" s="50" t="s">
        <v>150</v>
      </c>
      <c r="X717" s="50" t="s">
        <v>1078</v>
      </c>
      <c r="Y717" s="50" t="s">
        <v>50</v>
      </c>
      <c r="Z717" s="50" t="s">
        <v>3406</v>
      </c>
      <c r="AA717" s="50"/>
    </row>
    <row r="718" spans="1:27" s="110" customFormat="1" ht="25.5" customHeight="1">
      <c r="A718" s="517" t="s">
        <v>776</v>
      </c>
      <c r="B718" s="51" t="s">
        <v>1090</v>
      </c>
      <c r="C718" s="51" t="s">
        <v>143</v>
      </c>
      <c r="D718" s="51" t="s">
        <v>3591</v>
      </c>
      <c r="E718" s="50">
        <v>1419</v>
      </c>
      <c r="F718" s="50">
        <v>907</v>
      </c>
      <c r="G718" s="50" t="s">
        <v>3404</v>
      </c>
      <c r="H718" s="50">
        <v>2025</v>
      </c>
      <c r="I718" s="132">
        <v>45728</v>
      </c>
      <c r="J718" s="50" t="s">
        <v>3416</v>
      </c>
      <c r="K718" s="50" t="s">
        <v>508</v>
      </c>
      <c r="L718" s="50" t="s">
        <v>328</v>
      </c>
      <c r="M718" s="50" t="s">
        <v>1982</v>
      </c>
      <c r="N718" s="50" t="s">
        <v>4287</v>
      </c>
      <c r="O718" s="60">
        <v>45733</v>
      </c>
      <c r="P718" s="60">
        <v>45733</v>
      </c>
      <c r="Q718" s="60">
        <v>45734</v>
      </c>
      <c r="R718" s="60">
        <v>45735</v>
      </c>
      <c r="S718" s="50">
        <f t="shared" si="75"/>
        <v>3</v>
      </c>
      <c r="T718" s="50">
        <f>IF(
    OR(ISBLANK(P718), ISBLANK(Q718)),
    "",
    MAX(1, IF(
        NETWORKDAYS(P718, Q718) &lt;= 0,
        1,
        NETWORKDAYS(P718, Q718) - IF(P718 = Q718, 0, 1)
    ))
)</f>
        <v>1</v>
      </c>
      <c r="U718" s="50">
        <f t="shared" si="76"/>
        <v>1</v>
      </c>
      <c r="V718" s="50">
        <f t="shared" si="71"/>
        <v>1</v>
      </c>
      <c r="W718" s="50" t="s">
        <v>150</v>
      </c>
      <c r="X718" s="50" t="s">
        <v>1078</v>
      </c>
      <c r="Y718" s="50" t="s">
        <v>50</v>
      </c>
      <c r="Z718" s="50" t="s">
        <v>3406</v>
      </c>
      <c r="AA718" s="50"/>
    </row>
    <row r="719" spans="1:27" ht="25.5" customHeight="1">
      <c r="A719" s="517" t="s">
        <v>776</v>
      </c>
      <c r="B719" s="51" t="s">
        <v>1090</v>
      </c>
      <c r="C719" s="51" t="s">
        <v>143</v>
      </c>
      <c r="D719" s="51" t="s">
        <v>4288</v>
      </c>
      <c r="E719" s="50">
        <v>523</v>
      </c>
      <c r="F719" s="50">
        <v>548</v>
      </c>
      <c r="G719" s="50" t="s">
        <v>3404</v>
      </c>
      <c r="H719" s="50">
        <v>2025</v>
      </c>
      <c r="I719" s="132">
        <v>45728</v>
      </c>
      <c r="J719" s="50" t="s">
        <v>3416</v>
      </c>
      <c r="K719" s="50" t="s">
        <v>508</v>
      </c>
      <c r="L719" s="50" t="s">
        <v>328</v>
      </c>
      <c r="M719" s="50" t="s">
        <v>1982</v>
      </c>
      <c r="N719" s="50" t="s">
        <v>4289</v>
      </c>
      <c r="O719" s="60">
        <v>45733</v>
      </c>
      <c r="P719" s="60">
        <v>45733</v>
      </c>
      <c r="Q719" s="60">
        <v>45734</v>
      </c>
      <c r="R719" s="60">
        <v>45735</v>
      </c>
      <c r="S719" s="50">
        <f t="shared" si="75"/>
        <v>3</v>
      </c>
      <c r="T719" s="50">
        <f>IF(
    OR(ISBLANK(P719), ISBLANK(Q719)),
    "",
    MAX(1, IF(
        NETWORKDAYS(P719, Q719) &lt;= 0,
        1,
        NETWORKDAYS(P719, Q719) - IF(P719 = Q719, 0, 1)
    ))
)</f>
        <v>1</v>
      </c>
      <c r="U719" s="50">
        <f t="shared" si="76"/>
        <v>1</v>
      </c>
      <c r="V719" s="50">
        <f t="shared" si="71"/>
        <v>1</v>
      </c>
      <c r="W719" s="50" t="s">
        <v>150</v>
      </c>
      <c r="X719" s="50" t="s">
        <v>1078</v>
      </c>
      <c r="Y719" s="50" t="s">
        <v>50</v>
      </c>
      <c r="Z719" s="50" t="s">
        <v>3406</v>
      </c>
      <c r="AA719" s="50"/>
    </row>
    <row r="720" spans="1:27" ht="25.5" customHeight="1">
      <c r="A720" s="521" t="s">
        <v>776</v>
      </c>
      <c r="B720" s="51" t="s">
        <v>1090</v>
      </c>
      <c r="C720" s="51" t="s">
        <v>143</v>
      </c>
      <c r="D720" s="51" t="s">
        <v>4290</v>
      </c>
      <c r="E720" s="50">
        <v>12118</v>
      </c>
      <c r="F720" s="50">
        <v>15119</v>
      </c>
      <c r="G720" s="50" t="s">
        <v>3404</v>
      </c>
      <c r="H720" s="50">
        <v>2024</v>
      </c>
      <c r="I720" s="105" t="s">
        <v>3589</v>
      </c>
      <c r="J720" s="50"/>
      <c r="K720" s="50" t="s">
        <v>508</v>
      </c>
      <c r="L720" s="50" t="s">
        <v>328</v>
      </c>
      <c r="M720" s="50" t="s">
        <v>1982</v>
      </c>
      <c r="N720" s="50"/>
      <c r="O720" s="50"/>
      <c r="P720" s="50"/>
      <c r="Q720" s="50"/>
      <c r="R720" s="50"/>
      <c r="S720" s="50" t="str">
        <f t="shared" si="75"/>
        <v/>
      </c>
      <c r="T720" s="50" t="str">
        <f t="shared" ref="T720:T731" si="77">IF(
    OR(ISBLANK(O720), ISBLANK(P720)),
    "",
    MAX(1, IF(
        NETWORKDAYS(O720, P720) &lt;= 0,
        1,
        NETWORKDAYS(O720, P720) - IF(O720 = P720, 0, 1)
    ))
)</f>
        <v/>
      </c>
      <c r="U720" s="50" t="str">
        <f t="shared" si="76"/>
        <v/>
      </c>
      <c r="V720" s="50" t="str">
        <f t="shared" si="71"/>
        <v/>
      </c>
      <c r="W720" s="50"/>
      <c r="X720" s="50"/>
      <c r="Y720" s="50"/>
      <c r="Z720" s="50"/>
      <c r="AA720" s="50"/>
    </row>
    <row r="721" spans="1:27" ht="25.5" customHeight="1">
      <c r="A721" s="521" t="s">
        <v>776</v>
      </c>
      <c r="B721" s="51" t="s">
        <v>1090</v>
      </c>
      <c r="C721" s="51" t="s">
        <v>143</v>
      </c>
      <c r="D721" s="51" t="s">
        <v>1091</v>
      </c>
      <c r="E721" s="50">
        <v>10177</v>
      </c>
      <c r="F721" s="50">
        <v>18427</v>
      </c>
      <c r="G721" s="50" t="s">
        <v>3404</v>
      </c>
      <c r="H721" s="50">
        <v>2024</v>
      </c>
      <c r="I721" s="105" t="s">
        <v>3589</v>
      </c>
      <c r="J721" s="50"/>
      <c r="K721" s="50" t="s">
        <v>508</v>
      </c>
      <c r="L721" s="50" t="s">
        <v>328</v>
      </c>
      <c r="M721" s="50" t="s">
        <v>1982</v>
      </c>
      <c r="N721" s="50"/>
      <c r="O721" s="50"/>
      <c r="P721" s="50"/>
      <c r="Q721" s="50"/>
      <c r="R721" s="50"/>
      <c r="S721" s="50" t="str">
        <f t="shared" si="75"/>
        <v/>
      </c>
      <c r="T721" s="50" t="str">
        <f t="shared" si="77"/>
        <v/>
      </c>
      <c r="U721" s="50" t="str">
        <f t="shared" si="76"/>
        <v/>
      </c>
      <c r="V721" s="50" t="str">
        <f t="shared" si="71"/>
        <v/>
      </c>
      <c r="W721" s="50"/>
      <c r="X721" s="50"/>
      <c r="Y721" s="50"/>
      <c r="Z721" s="50"/>
      <c r="AA721" s="50"/>
    </row>
    <row r="722" spans="1:27" ht="25.5" customHeight="1">
      <c r="A722" s="517" t="s">
        <v>776</v>
      </c>
      <c r="B722" s="51" t="s">
        <v>1090</v>
      </c>
      <c r="C722" s="51" t="s">
        <v>143</v>
      </c>
      <c r="D722" s="51" t="s">
        <v>4291</v>
      </c>
      <c r="E722" s="50">
        <v>14690</v>
      </c>
      <c r="F722" s="50">
        <v>14208</v>
      </c>
      <c r="G722" s="50" t="s">
        <v>3955</v>
      </c>
      <c r="H722" s="50"/>
      <c r="I722" s="105"/>
      <c r="J722" s="50"/>
      <c r="K722" s="50" t="s">
        <v>508</v>
      </c>
      <c r="L722" s="50" t="s">
        <v>328</v>
      </c>
      <c r="M722" s="50" t="s">
        <v>1982</v>
      </c>
      <c r="N722" s="50"/>
      <c r="O722" s="50"/>
      <c r="P722" s="50"/>
      <c r="Q722" s="50"/>
      <c r="R722" s="50"/>
      <c r="S722" s="50" t="str">
        <f t="shared" si="75"/>
        <v/>
      </c>
      <c r="T722" s="50" t="str">
        <f t="shared" si="77"/>
        <v/>
      </c>
      <c r="U722" s="50" t="str">
        <f t="shared" si="76"/>
        <v/>
      </c>
      <c r="V722" s="50" t="str">
        <f t="shared" si="71"/>
        <v/>
      </c>
      <c r="W722" s="50"/>
      <c r="X722" s="50"/>
      <c r="Y722" s="50"/>
      <c r="Z722" s="50"/>
      <c r="AA722" s="50"/>
    </row>
    <row r="723" spans="1:27" s="110" customFormat="1" ht="25.5" customHeight="1">
      <c r="A723" s="50" t="s">
        <v>776</v>
      </c>
      <c r="B723" s="51" t="s">
        <v>1090</v>
      </c>
      <c r="C723" s="51" t="s">
        <v>143</v>
      </c>
      <c r="D723" s="51" t="s">
        <v>1093</v>
      </c>
      <c r="E723" s="50">
        <v>12025</v>
      </c>
      <c r="F723" s="50">
        <v>13553</v>
      </c>
      <c r="G723" s="50" t="s">
        <v>3404</v>
      </c>
      <c r="H723" s="50">
        <v>2024</v>
      </c>
      <c r="I723" s="105" t="s">
        <v>3589</v>
      </c>
      <c r="J723" s="50"/>
      <c r="K723" s="50" t="s">
        <v>508</v>
      </c>
      <c r="L723" s="50" t="s">
        <v>328</v>
      </c>
      <c r="M723" s="50" t="s">
        <v>1982</v>
      </c>
      <c r="N723" s="50"/>
      <c r="O723" s="50"/>
      <c r="P723" s="50"/>
      <c r="Q723" s="50"/>
      <c r="R723" s="50"/>
      <c r="S723" s="50" t="str">
        <f t="shared" si="75"/>
        <v/>
      </c>
      <c r="T723" s="50" t="str">
        <f t="shared" si="77"/>
        <v/>
      </c>
      <c r="U723" s="50" t="str">
        <f t="shared" si="76"/>
        <v/>
      </c>
      <c r="V723" s="50" t="str">
        <f t="shared" si="71"/>
        <v/>
      </c>
      <c r="W723" s="50"/>
      <c r="X723" s="50"/>
      <c r="Y723" s="50"/>
      <c r="Z723" s="50"/>
      <c r="AA723" s="50"/>
    </row>
    <row r="724" spans="1:27" ht="25.5" customHeight="1">
      <c r="A724" s="521" t="s">
        <v>776</v>
      </c>
      <c r="B724" s="51" t="s">
        <v>1090</v>
      </c>
      <c r="C724" s="51" t="s">
        <v>143</v>
      </c>
      <c r="D724" s="51" t="s">
        <v>4199</v>
      </c>
      <c r="E724" s="50">
        <v>10038</v>
      </c>
      <c r="F724" s="50">
        <v>11186</v>
      </c>
      <c r="G724" s="50" t="s">
        <v>3404</v>
      </c>
      <c r="H724" s="50">
        <v>2024</v>
      </c>
      <c r="I724" s="105" t="s">
        <v>3589</v>
      </c>
      <c r="J724" s="50"/>
      <c r="K724" s="50" t="s">
        <v>508</v>
      </c>
      <c r="L724" s="50" t="s">
        <v>328</v>
      </c>
      <c r="M724" s="50" t="s">
        <v>1982</v>
      </c>
      <c r="N724" s="50"/>
      <c r="O724" s="50"/>
      <c r="P724" s="50"/>
      <c r="Q724" s="50"/>
      <c r="R724" s="50"/>
      <c r="S724" s="50" t="str">
        <f t="shared" si="75"/>
        <v/>
      </c>
      <c r="T724" s="50" t="str">
        <f t="shared" si="77"/>
        <v/>
      </c>
      <c r="U724" s="50" t="str">
        <f t="shared" si="76"/>
        <v/>
      </c>
      <c r="V724" s="50" t="str">
        <f t="shared" si="71"/>
        <v/>
      </c>
      <c r="W724" s="50"/>
      <c r="X724" s="50"/>
      <c r="Y724" s="50"/>
      <c r="Z724" s="50"/>
      <c r="AA724" s="50"/>
    </row>
    <row r="725" spans="1:27" ht="25.5" customHeight="1">
      <c r="A725" s="517" t="s">
        <v>776</v>
      </c>
      <c r="B725" s="51" t="s">
        <v>1090</v>
      </c>
      <c r="C725" s="51" t="s">
        <v>143</v>
      </c>
      <c r="D725" s="51" t="s">
        <v>4292</v>
      </c>
      <c r="E725" s="50">
        <v>5422</v>
      </c>
      <c r="F725" s="50">
        <v>6827</v>
      </c>
      <c r="G725" s="50" t="s">
        <v>3955</v>
      </c>
      <c r="H725" s="50"/>
      <c r="I725" s="105"/>
      <c r="J725" s="50"/>
      <c r="K725" s="50" t="s">
        <v>508</v>
      </c>
      <c r="L725" s="50" t="s">
        <v>328</v>
      </c>
      <c r="M725" s="50" t="s">
        <v>1982</v>
      </c>
      <c r="N725" s="50"/>
      <c r="O725" s="50"/>
      <c r="P725" s="50"/>
      <c r="Q725" s="50"/>
      <c r="R725" s="50"/>
      <c r="S725" s="50" t="str">
        <f t="shared" si="75"/>
        <v/>
      </c>
      <c r="T725" s="50" t="str">
        <f t="shared" si="77"/>
        <v/>
      </c>
      <c r="U725" s="50" t="str">
        <f t="shared" si="76"/>
        <v/>
      </c>
      <c r="V725" s="50" t="str">
        <f t="shared" si="71"/>
        <v/>
      </c>
      <c r="W725" s="50"/>
      <c r="X725" s="50"/>
      <c r="Y725" s="50"/>
      <c r="Z725" s="50"/>
      <c r="AA725" s="50"/>
    </row>
    <row r="726" spans="1:27" ht="25.5" customHeight="1">
      <c r="A726" s="517" t="s">
        <v>776</v>
      </c>
      <c r="B726" s="51" t="s">
        <v>1090</v>
      </c>
      <c r="C726" s="51" t="s">
        <v>143</v>
      </c>
      <c r="D726" s="51" t="s">
        <v>4293</v>
      </c>
      <c r="E726" s="50">
        <v>1996</v>
      </c>
      <c r="F726" s="50">
        <v>1799</v>
      </c>
      <c r="G726" s="50" t="s">
        <v>3955</v>
      </c>
      <c r="H726" s="50"/>
      <c r="I726" s="105"/>
      <c r="J726" s="50"/>
      <c r="K726" s="50" t="s">
        <v>508</v>
      </c>
      <c r="L726" s="50" t="s">
        <v>328</v>
      </c>
      <c r="M726" s="50" t="s">
        <v>1982</v>
      </c>
      <c r="N726" s="50"/>
      <c r="O726" s="50"/>
      <c r="P726" s="50"/>
      <c r="Q726" s="50"/>
      <c r="R726" s="50"/>
      <c r="S726" s="50" t="str">
        <f t="shared" si="75"/>
        <v/>
      </c>
      <c r="T726" s="50" t="str">
        <f t="shared" si="77"/>
        <v/>
      </c>
      <c r="U726" s="50" t="str">
        <f t="shared" si="76"/>
        <v/>
      </c>
      <c r="V726" s="50" t="str">
        <f t="shared" si="71"/>
        <v/>
      </c>
      <c r="W726" s="50"/>
      <c r="X726" s="50"/>
      <c r="Y726" s="50"/>
      <c r="Z726" s="50"/>
      <c r="AA726" s="50"/>
    </row>
    <row r="727" spans="1:27" s="110" customFormat="1" ht="25.5" customHeight="1">
      <c r="A727" s="517" t="s">
        <v>776</v>
      </c>
      <c r="B727" s="51" t="s">
        <v>1090</v>
      </c>
      <c r="C727" s="51" t="s">
        <v>143</v>
      </c>
      <c r="D727" s="51" t="s">
        <v>1056</v>
      </c>
      <c r="E727" s="50">
        <v>16262</v>
      </c>
      <c r="F727" s="50">
        <v>15265</v>
      </c>
      <c r="G727" s="50" t="s">
        <v>3955</v>
      </c>
      <c r="H727" s="50"/>
      <c r="I727" s="105"/>
      <c r="J727" s="50"/>
      <c r="K727" s="50" t="s">
        <v>508</v>
      </c>
      <c r="L727" s="50" t="s">
        <v>328</v>
      </c>
      <c r="M727" s="50" t="s">
        <v>1982</v>
      </c>
      <c r="N727" s="50"/>
      <c r="O727" s="50"/>
      <c r="P727" s="50"/>
      <c r="Q727" s="50"/>
      <c r="R727" s="50"/>
      <c r="S727" s="50" t="str">
        <f t="shared" si="75"/>
        <v/>
      </c>
      <c r="T727" s="50" t="str">
        <f t="shared" si="77"/>
        <v/>
      </c>
      <c r="U727" s="50" t="str">
        <f t="shared" si="76"/>
        <v/>
      </c>
      <c r="V727" s="50" t="str">
        <f t="shared" si="71"/>
        <v/>
      </c>
      <c r="W727" s="50"/>
      <c r="X727" s="50"/>
      <c r="Y727" s="50"/>
      <c r="Z727" s="50"/>
      <c r="AA727" s="50"/>
    </row>
    <row r="728" spans="1:27" ht="25.5" customHeight="1">
      <c r="A728" s="517" t="s">
        <v>776</v>
      </c>
      <c r="B728" s="51" t="s">
        <v>1090</v>
      </c>
      <c r="C728" s="51" t="s">
        <v>143</v>
      </c>
      <c r="D728" s="51" t="s">
        <v>950</v>
      </c>
      <c r="E728" s="50">
        <v>1990</v>
      </c>
      <c r="F728" s="50">
        <v>2402</v>
      </c>
      <c r="G728" s="50" t="s">
        <v>3955</v>
      </c>
      <c r="H728" s="50"/>
      <c r="I728" s="105"/>
      <c r="J728" s="50"/>
      <c r="K728" s="50" t="s">
        <v>508</v>
      </c>
      <c r="L728" s="50" t="s">
        <v>328</v>
      </c>
      <c r="M728" s="50" t="s">
        <v>1982</v>
      </c>
      <c r="N728" s="50"/>
      <c r="O728" s="50"/>
      <c r="P728" s="50"/>
      <c r="Q728" s="50"/>
      <c r="R728" s="50"/>
      <c r="S728" s="50" t="str">
        <f t="shared" si="75"/>
        <v/>
      </c>
      <c r="T728" s="50" t="str">
        <f t="shared" si="77"/>
        <v/>
      </c>
      <c r="U728" s="50" t="str">
        <f t="shared" si="76"/>
        <v/>
      </c>
      <c r="V728" s="50" t="str">
        <f t="shared" si="71"/>
        <v/>
      </c>
      <c r="W728" s="50"/>
      <c r="X728" s="50"/>
      <c r="Y728" s="50"/>
      <c r="Z728" s="50"/>
      <c r="AA728" s="50"/>
    </row>
    <row r="729" spans="1:27" ht="25.5" customHeight="1">
      <c r="A729" s="517" t="s">
        <v>776</v>
      </c>
      <c r="B729" s="51" t="s">
        <v>1090</v>
      </c>
      <c r="C729" s="51" t="s">
        <v>143</v>
      </c>
      <c r="D729" s="51" t="s">
        <v>4294</v>
      </c>
      <c r="E729" s="50">
        <v>8630</v>
      </c>
      <c r="F729" s="50">
        <v>12145</v>
      </c>
      <c r="G729" s="50" t="s">
        <v>3955</v>
      </c>
      <c r="H729" s="50"/>
      <c r="I729" s="105"/>
      <c r="J729" s="50"/>
      <c r="K729" s="50" t="s">
        <v>508</v>
      </c>
      <c r="L729" s="50" t="s">
        <v>328</v>
      </c>
      <c r="M729" s="50" t="s">
        <v>1982</v>
      </c>
      <c r="N729" s="50"/>
      <c r="O729" s="50"/>
      <c r="P729" s="50"/>
      <c r="Q729" s="50"/>
      <c r="R729" s="50"/>
      <c r="S729" s="50" t="str">
        <f t="shared" si="75"/>
        <v/>
      </c>
      <c r="T729" s="50" t="str">
        <f t="shared" si="77"/>
        <v/>
      </c>
      <c r="U729" s="50" t="str">
        <f t="shared" si="76"/>
        <v/>
      </c>
      <c r="V729" s="50" t="str">
        <f t="shared" ref="V729:V792" si="78">IF(
    OR(ISBLANK(Q729), ISBLANK(R729)),
    "",
    MAX(1, IF(
        NETWORKDAYS(Q729, R729) &lt;= 0,
        1,
        NETWORKDAYS(Q729, R729) - IF(Q729 = R729, 0, 1)
    ))
)</f>
        <v/>
      </c>
      <c r="W729" s="50"/>
      <c r="X729" s="50"/>
      <c r="Y729" s="50"/>
      <c r="Z729" s="50"/>
      <c r="AA729" s="50"/>
    </row>
    <row r="730" spans="1:27" ht="25.5" customHeight="1">
      <c r="A730" s="50" t="s">
        <v>776</v>
      </c>
      <c r="B730" s="51" t="s">
        <v>1090</v>
      </c>
      <c r="C730" s="51" t="s">
        <v>143</v>
      </c>
      <c r="D730" s="51" t="s">
        <v>4295</v>
      </c>
      <c r="E730" s="50">
        <v>16058</v>
      </c>
      <c r="F730" s="50">
        <v>23678</v>
      </c>
      <c r="G730" s="50" t="s">
        <v>3404</v>
      </c>
      <c r="H730" s="50">
        <v>2024</v>
      </c>
      <c r="I730" s="132">
        <v>45422</v>
      </c>
      <c r="J730" s="50"/>
      <c r="K730" s="50" t="s">
        <v>508</v>
      </c>
      <c r="L730" s="50" t="s">
        <v>328</v>
      </c>
      <c r="M730" s="50" t="s">
        <v>1982</v>
      </c>
      <c r="N730" s="50"/>
      <c r="O730" s="50"/>
      <c r="P730" s="50"/>
      <c r="Q730" s="50"/>
      <c r="R730" s="50"/>
      <c r="S730" s="50" t="str">
        <f t="shared" si="75"/>
        <v/>
      </c>
      <c r="T730" s="50" t="str">
        <f t="shared" si="77"/>
        <v/>
      </c>
      <c r="U730" s="50" t="str">
        <f t="shared" si="76"/>
        <v/>
      </c>
      <c r="V730" s="50" t="str">
        <f t="shared" si="78"/>
        <v/>
      </c>
      <c r="W730" s="50"/>
      <c r="X730" s="50"/>
      <c r="Y730" s="50"/>
      <c r="Z730" s="50" t="s">
        <v>3406</v>
      </c>
      <c r="AA730" s="50"/>
    </row>
    <row r="731" spans="1:27" ht="25.5" customHeight="1">
      <c r="A731" s="517" t="s">
        <v>776</v>
      </c>
      <c r="B731" s="51" t="s">
        <v>1102</v>
      </c>
      <c r="C731" s="51" t="s">
        <v>143</v>
      </c>
      <c r="D731" s="51" t="s">
        <v>902</v>
      </c>
      <c r="E731" s="50">
        <v>5218</v>
      </c>
      <c r="F731" s="50">
        <v>5045</v>
      </c>
      <c r="G731" s="50" t="s">
        <v>3955</v>
      </c>
      <c r="H731" s="50"/>
      <c r="I731" s="105"/>
      <c r="J731" s="50"/>
      <c r="K731" s="50" t="s">
        <v>508</v>
      </c>
      <c r="L731" s="50" t="s">
        <v>328</v>
      </c>
      <c r="M731" s="50" t="s">
        <v>1982</v>
      </c>
      <c r="N731" s="50"/>
      <c r="O731" s="50"/>
      <c r="P731" s="50"/>
      <c r="Q731" s="50"/>
      <c r="R731" s="50"/>
      <c r="S731" s="50" t="str">
        <f t="shared" si="75"/>
        <v/>
      </c>
      <c r="T731" s="50" t="str">
        <f t="shared" si="77"/>
        <v/>
      </c>
      <c r="U731" s="50" t="str">
        <f t="shared" si="76"/>
        <v/>
      </c>
      <c r="V731" s="50" t="str">
        <f t="shared" si="78"/>
        <v/>
      </c>
      <c r="W731" s="50"/>
      <c r="X731" s="50"/>
      <c r="Y731" s="50"/>
      <c r="Z731" s="50"/>
      <c r="AA731" s="50"/>
    </row>
    <row r="732" spans="1:27" ht="25.5" customHeight="1">
      <c r="A732" s="517" t="s">
        <v>776</v>
      </c>
      <c r="B732" s="51" t="s">
        <v>1102</v>
      </c>
      <c r="C732" s="51" t="s">
        <v>143</v>
      </c>
      <c r="D732" s="51" t="s">
        <v>4296</v>
      </c>
      <c r="E732" s="50">
        <v>3164</v>
      </c>
      <c r="F732" s="50">
        <v>3238</v>
      </c>
      <c r="G732" s="50" t="s">
        <v>3404</v>
      </c>
      <c r="H732" s="50">
        <v>2025</v>
      </c>
      <c r="I732" s="132">
        <v>45723</v>
      </c>
      <c r="J732" s="50" t="s">
        <v>3416</v>
      </c>
      <c r="K732" s="50" t="s">
        <v>508</v>
      </c>
      <c r="L732" s="50" t="s">
        <v>328</v>
      </c>
      <c r="M732" s="50" t="s">
        <v>1982</v>
      </c>
      <c r="N732" s="50" t="s">
        <v>4297</v>
      </c>
      <c r="O732" s="60">
        <v>45733</v>
      </c>
      <c r="P732" s="60">
        <v>45733</v>
      </c>
      <c r="Q732" s="60">
        <v>45734</v>
      </c>
      <c r="R732" s="60">
        <v>45734</v>
      </c>
      <c r="S732" s="50">
        <f t="shared" si="75"/>
        <v>6</v>
      </c>
      <c r="T732" s="50">
        <f>IF(
    OR(ISBLANK(P732), ISBLANK(Q732)),
    "",
    MAX(1, IF(
        NETWORKDAYS(P732, Q732) &lt;= 0,
        1,
        NETWORKDAYS(P732, Q732) - IF(P732 = Q732, 0, 1)
    ))
)</f>
        <v>1</v>
      </c>
      <c r="U732" s="50">
        <f t="shared" si="76"/>
        <v>1</v>
      </c>
      <c r="V732" s="50">
        <f t="shared" si="78"/>
        <v>1</v>
      </c>
      <c r="W732" s="50" t="s">
        <v>150</v>
      </c>
      <c r="X732" s="50" t="s">
        <v>1078</v>
      </c>
      <c r="Y732" s="50" t="s">
        <v>50</v>
      </c>
      <c r="Z732" s="50" t="s">
        <v>3406</v>
      </c>
      <c r="AA732" s="50"/>
    </row>
    <row r="733" spans="1:27" ht="25.5" customHeight="1">
      <c r="A733" s="517" t="s">
        <v>776</v>
      </c>
      <c r="B733" s="51" t="s">
        <v>1102</v>
      </c>
      <c r="C733" s="51" t="s">
        <v>143</v>
      </c>
      <c r="D733" s="51" t="s">
        <v>4150</v>
      </c>
      <c r="E733" s="50">
        <v>2503</v>
      </c>
      <c r="F733" s="50">
        <v>2465</v>
      </c>
      <c r="G733" s="50" t="s">
        <v>3955</v>
      </c>
      <c r="H733" s="50"/>
      <c r="I733" s="105"/>
      <c r="J733" s="50"/>
      <c r="K733" s="50" t="s">
        <v>508</v>
      </c>
      <c r="L733" s="50" t="s">
        <v>328</v>
      </c>
      <c r="M733" s="50" t="s">
        <v>1982</v>
      </c>
      <c r="N733" s="50"/>
      <c r="O733" s="50"/>
      <c r="P733" s="50"/>
      <c r="Q733" s="50"/>
      <c r="R733" s="50"/>
      <c r="S733" s="50" t="str">
        <f t="shared" si="75"/>
        <v/>
      </c>
      <c r="T733" s="50" t="str">
        <f t="shared" ref="T733:T741" si="79">IF(
    OR(ISBLANK(O733), ISBLANK(P733)),
    "",
    MAX(1, IF(
        NETWORKDAYS(O733, P733) &lt;= 0,
        1,
        NETWORKDAYS(O733, P733) - IF(O733 = P733, 0, 1)
    ))
)</f>
        <v/>
      </c>
      <c r="U733" s="50" t="str">
        <f t="shared" si="76"/>
        <v/>
      </c>
      <c r="V733" s="50" t="str">
        <f t="shared" si="78"/>
        <v/>
      </c>
      <c r="W733" s="50"/>
      <c r="X733" s="50"/>
      <c r="Y733" s="50"/>
      <c r="Z733" s="50"/>
      <c r="AA733" s="50"/>
    </row>
    <row r="734" spans="1:27" ht="25.5" customHeight="1">
      <c r="A734" s="517" t="s">
        <v>776</v>
      </c>
      <c r="B734" s="51" t="s">
        <v>1102</v>
      </c>
      <c r="C734" s="51" t="s">
        <v>143</v>
      </c>
      <c r="D734" s="51" t="s">
        <v>4154</v>
      </c>
      <c r="E734" s="50">
        <v>8452</v>
      </c>
      <c r="F734" s="50">
        <v>8885</v>
      </c>
      <c r="G734" s="50" t="s">
        <v>3955</v>
      </c>
      <c r="H734" s="50"/>
      <c r="I734" s="105"/>
      <c r="J734" s="50"/>
      <c r="K734" s="50" t="s">
        <v>508</v>
      </c>
      <c r="L734" s="50" t="s">
        <v>328</v>
      </c>
      <c r="M734" s="50" t="s">
        <v>1982</v>
      </c>
      <c r="N734" s="50"/>
      <c r="O734" s="50"/>
      <c r="P734" s="50"/>
      <c r="Q734" s="50"/>
      <c r="R734" s="50"/>
      <c r="S734" s="50" t="str">
        <f t="shared" si="75"/>
        <v/>
      </c>
      <c r="T734" s="50" t="str">
        <f t="shared" si="79"/>
        <v/>
      </c>
      <c r="U734" s="50" t="str">
        <f t="shared" si="76"/>
        <v/>
      </c>
      <c r="V734" s="50" t="str">
        <f t="shared" si="78"/>
        <v/>
      </c>
      <c r="W734" s="50"/>
      <c r="X734" s="50"/>
      <c r="Y734" s="50"/>
      <c r="Z734" s="50"/>
      <c r="AA734" s="50"/>
    </row>
    <row r="735" spans="1:27" ht="25.5" customHeight="1">
      <c r="A735" s="50" t="s">
        <v>776</v>
      </c>
      <c r="B735" s="51" t="s">
        <v>1102</v>
      </c>
      <c r="C735" s="51" t="s">
        <v>143</v>
      </c>
      <c r="D735" s="51" t="s">
        <v>4298</v>
      </c>
      <c r="E735" s="50">
        <v>6866</v>
      </c>
      <c r="F735" s="50">
        <v>7078</v>
      </c>
      <c r="G735" s="50" t="s">
        <v>3404</v>
      </c>
      <c r="H735" s="50">
        <v>2024</v>
      </c>
      <c r="I735" s="132">
        <v>45450</v>
      </c>
      <c r="J735" s="50"/>
      <c r="K735" s="50"/>
      <c r="L735" s="50" t="s">
        <v>328</v>
      </c>
      <c r="M735" s="50" t="s">
        <v>1982</v>
      </c>
      <c r="N735" s="50"/>
      <c r="O735" s="50"/>
      <c r="P735" s="50"/>
      <c r="Q735" s="50"/>
      <c r="R735" s="50"/>
      <c r="S735" s="50" t="str">
        <f t="shared" si="75"/>
        <v/>
      </c>
      <c r="T735" s="50" t="str">
        <f t="shared" si="79"/>
        <v/>
      </c>
      <c r="U735" s="50" t="str">
        <f t="shared" si="76"/>
        <v/>
      </c>
      <c r="V735" s="50" t="str">
        <f t="shared" si="78"/>
        <v/>
      </c>
      <c r="W735" s="50"/>
      <c r="X735" s="50"/>
      <c r="Y735" s="50"/>
      <c r="Z735" s="50" t="s">
        <v>3406</v>
      </c>
      <c r="AA735" s="50"/>
    </row>
    <row r="736" spans="1:27" ht="25.5" customHeight="1">
      <c r="A736" s="517" t="s">
        <v>776</v>
      </c>
      <c r="B736" s="51" t="s">
        <v>1102</v>
      </c>
      <c r="C736" s="51" t="s">
        <v>143</v>
      </c>
      <c r="D736" s="51" t="s">
        <v>4299</v>
      </c>
      <c r="E736" s="50">
        <v>3458</v>
      </c>
      <c r="F736" s="50">
        <v>3448</v>
      </c>
      <c r="G736" s="50" t="s">
        <v>3955</v>
      </c>
      <c r="H736" s="50"/>
      <c r="I736" s="105"/>
      <c r="J736" s="50"/>
      <c r="K736" s="50"/>
      <c r="L736" s="50" t="s">
        <v>328</v>
      </c>
      <c r="M736" s="50" t="s">
        <v>1982</v>
      </c>
      <c r="N736" s="50"/>
      <c r="O736" s="50"/>
      <c r="P736" s="50"/>
      <c r="Q736" s="50"/>
      <c r="R736" s="50"/>
      <c r="S736" s="50" t="str">
        <f t="shared" si="75"/>
        <v/>
      </c>
      <c r="T736" s="50" t="str">
        <f t="shared" si="79"/>
        <v/>
      </c>
      <c r="U736" s="50" t="str">
        <f t="shared" si="76"/>
        <v/>
      </c>
      <c r="V736" s="50" t="str">
        <f t="shared" si="78"/>
        <v/>
      </c>
      <c r="W736" s="50"/>
      <c r="X736" s="50"/>
      <c r="Y736" s="50"/>
      <c r="Z736" s="50"/>
      <c r="AA736" s="50"/>
    </row>
    <row r="737" spans="1:27" ht="25.5" customHeight="1">
      <c r="A737" s="517" t="s">
        <v>776</v>
      </c>
      <c r="B737" s="51" t="s">
        <v>1102</v>
      </c>
      <c r="C737" s="51" t="s">
        <v>143</v>
      </c>
      <c r="D737" s="51" t="s">
        <v>4300</v>
      </c>
      <c r="E737" s="50">
        <v>6113</v>
      </c>
      <c r="F737" s="50">
        <v>5500</v>
      </c>
      <c r="G737" s="50" t="s">
        <v>3955</v>
      </c>
      <c r="H737" s="50"/>
      <c r="I737" s="105"/>
      <c r="J737" s="50"/>
      <c r="K737" s="50"/>
      <c r="L737" s="50" t="s">
        <v>328</v>
      </c>
      <c r="M737" s="50" t="s">
        <v>1982</v>
      </c>
      <c r="N737" s="50"/>
      <c r="O737" s="50"/>
      <c r="P737" s="50"/>
      <c r="Q737" s="50"/>
      <c r="R737" s="50"/>
      <c r="S737" s="50" t="str">
        <f t="shared" si="75"/>
        <v/>
      </c>
      <c r="T737" s="50" t="str">
        <f t="shared" si="79"/>
        <v/>
      </c>
      <c r="U737" s="50" t="str">
        <f t="shared" si="76"/>
        <v/>
      </c>
      <c r="V737" s="50" t="str">
        <f t="shared" si="78"/>
        <v/>
      </c>
      <c r="W737" s="50"/>
      <c r="X737" s="50"/>
      <c r="Y737" s="50"/>
      <c r="Z737" s="50"/>
      <c r="AA737" s="50"/>
    </row>
    <row r="738" spans="1:27" ht="25.5" customHeight="1">
      <c r="A738" s="517" t="s">
        <v>776</v>
      </c>
      <c r="B738" s="51" t="s">
        <v>1102</v>
      </c>
      <c r="C738" s="51" t="s">
        <v>143</v>
      </c>
      <c r="D738" s="51" t="s">
        <v>1107</v>
      </c>
      <c r="E738" s="50">
        <v>12763</v>
      </c>
      <c r="F738" s="50">
        <v>13122</v>
      </c>
      <c r="G738" s="50" t="s">
        <v>3955</v>
      </c>
      <c r="H738" s="50"/>
      <c r="I738" s="105"/>
      <c r="J738" s="50"/>
      <c r="K738" s="50"/>
      <c r="L738" s="50" t="s">
        <v>328</v>
      </c>
      <c r="M738" s="50" t="s">
        <v>1982</v>
      </c>
      <c r="N738" s="50"/>
      <c r="O738" s="50"/>
      <c r="P738" s="50"/>
      <c r="Q738" s="50"/>
      <c r="R738" s="50"/>
      <c r="S738" s="50" t="str">
        <f t="shared" si="75"/>
        <v/>
      </c>
      <c r="T738" s="50" t="str">
        <f t="shared" si="79"/>
        <v/>
      </c>
      <c r="U738" s="50" t="str">
        <f t="shared" si="76"/>
        <v/>
      </c>
      <c r="V738" s="50" t="str">
        <f t="shared" si="78"/>
        <v/>
      </c>
      <c r="W738" s="50"/>
      <c r="X738" s="50"/>
      <c r="Y738" s="50"/>
      <c r="Z738" s="50"/>
      <c r="AA738" s="50"/>
    </row>
    <row r="739" spans="1:27" ht="25.5" customHeight="1">
      <c r="A739" s="517" t="s">
        <v>776</v>
      </c>
      <c r="B739" s="51" t="s">
        <v>1102</v>
      </c>
      <c r="C739" s="51" t="s">
        <v>143</v>
      </c>
      <c r="D739" s="51" t="s">
        <v>4301</v>
      </c>
      <c r="E739" s="50">
        <v>1575</v>
      </c>
      <c r="F739" s="50">
        <v>1575</v>
      </c>
      <c r="G739" s="50" t="s">
        <v>3955</v>
      </c>
      <c r="H739" s="50"/>
      <c r="I739" s="105"/>
      <c r="J739" s="50"/>
      <c r="K739" s="50"/>
      <c r="L739" s="50" t="s">
        <v>328</v>
      </c>
      <c r="M739" s="50" t="s">
        <v>1982</v>
      </c>
      <c r="N739" s="50"/>
      <c r="O739" s="50"/>
      <c r="P739" s="50"/>
      <c r="Q739" s="50"/>
      <c r="R739" s="50"/>
      <c r="S739" s="50" t="str">
        <f t="shared" si="75"/>
        <v/>
      </c>
      <c r="T739" s="50" t="str">
        <f t="shared" si="79"/>
        <v/>
      </c>
      <c r="U739" s="50" t="str">
        <f t="shared" si="76"/>
        <v/>
      </c>
      <c r="V739" s="50" t="str">
        <f t="shared" si="78"/>
        <v/>
      </c>
      <c r="W739" s="50"/>
      <c r="X739" s="50"/>
      <c r="Y739" s="50"/>
      <c r="Z739" s="50"/>
      <c r="AA739" s="50"/>
    </row>
    <row r="740" spans="1:27" s="110" customFormat="1" ht="25.5" customHeight="1">
      <c r="A740" s="517" t="s">
        <v>776</v>
      </c>
      <c r="B740" s="51" t="s">
        <v>1102</v>
      </c>
      <c r="C740" s="51" t="s">
        <v>143</v>
      </c>
      <c r="D740" s="51" t="s">
        <v>1234</v>
      </c>
      <c r="E740" s="50">
        <v>7228</v>
      </c>
      <c r="F740" s="50">
        <v>7769</v>
      </c>
      <c r="G740" s="50" t="s">
        <v>3955</v>
      </c>
      <c r="H740" s="50"/>
      <c r="I740" s="105"/>
      <c r="J740" s="50"/>
      <c r="K740" s="50"/>
      <c r="L740" s="50" t="s">
        <v>328</v>
      </c>
      <c r="M740" s="50" t="s">
        <v>1982</v>
      </c>
      <c r="N740" s="50"/>
      <c r="O740" s="50"/>
      <c r="P740" s="50"/>
      <c r="Q740" s="50"/>
      <c r="R740" s="50"/>
      <c r="S740" s="50" t="str">
        <f t="shared" si="75"/>
        <v/>
      </c>
      <c r="T740" s="50" t="str">
        <f t="shared" si="79"/>
        <v/>
      </c>
      <c r="U740" s="50" t="str">
        <f t="shared" si="76"/>
        <v/>
      </c>
      <c r="V740" s="50" t="str">
        <f t="shared" si="78"/>
        <v/>
      </c>
      <c r="W740" s="50"/>
      <c r="X740" s="50"/>
      <c r="Y740" s="50"/>
      <c r="Z740" s="50"/>
      <c r="AA740" s="50"/>
    </row>
    <row r="741" spans="1:27" ht="25.5" customHeight="1">
      <c r="A741" s="50" t="s">
        <v>776</v>
      </c>
      <c r="B741" s="51" t="s">
        <v>1102</v>
      </c>
      <c r="C741" s="51" t="s">
        <v>143</v>
      </c>
      <c r="D741" s="51" t="s">
        <v>1111</v>
      </c>
      <c r="E741" s="50">
        <v>1857</v>
      </c>
      <c r="F741" s="50">
        <v>1853</v>
      </c>
      <c r="G741" s="50" t="s">
        <v>3404</v>
      </c>
      <c r="H741" s="50">
        <v>2024</v>
      </c>
      <c r="I741" s="132">
        <v>45450</v>
      </c>
      <c r="J741" s="50"/>
      <c r="K741" s="50"/>
      <c r="L741" s="50" t="s">
        <v>328</v>
      </c>
      <c r="M741" s="50" t="s">
        <v>1982</v>
      </c>
      <c r="N741" s="50"/>
      <c r="O741" s="50"/>
      <c r="P741" s="50"/>
      <c r="Q741" s="50"/>
      <c r="R741" s="50"/>
      <c r="S741" s="50" t="str">
        <f t="shared" si="75"/>
        <v/>
      </c>
      <c r="T741" s="50" t="str">
        <f t="shared" si="79"/>
        <v/>
      </c>
      <c r="U741" s="50" t="str">
        <f t="shared" si="76"/>
        <v/>
      </c>
      <c r="V741" s="50" t="str">
        <f t="shared" si="78"/>
        <v/>
      </c>
      <c r="W741" s="50"/>
      <c r="X741" s="50"/>
      <c r="Y741" s="50"/>
      <c r="Z741" s="50"/>
      <c r="AA741" s="50"/>
    </row>
    <row r="742" spans="1:27" ht="25.5" customHeight="1">
      <c r="A742" s="517" t="s">
        <v>776</v>
      </c>
      <c r="B742" s="51" t="s">
        <v>1114</v>
      </c>
      <c r="C742" s="51" t="s">
        <v>143</v>
      </c>
      <c r="D742" s="51" t="s">
        <v>4140</v>
      </c>
      <c r="E742" s="50">
        <v>2327</v>
      </c>
      <c r="F742" s="50">
        <v>2445</v>
      </c>
      <c r="G742" s="50" t="s">
        <v>3404</v>
      </c>
      <c r="H742" s="50">
        <v>2025</v>
      </c>
      <c r="I742" s="132">
        <v>45750</v>
      </c>
      <c r="J742" s="50" t="s">
        <v>3470</v>
      </c>
      <c r="K742" s="50" t="s">
        <v>200</v>
      </c>
      <c r="L742" s="50" t="s">
        <v>328</v>
      </c>
      <c r="M742" s="50" t="s">
        <v>1982</v>
      </c>
      <c r="N742" s="50" t="s">
        <v>4302</v>
      </c>
      <c r="O742" s="60">
        <v>45752</v>
      </c>
      <c r="P742" s="50"/>
      <c r="Q742" s="60">
        <v>45757</v>
      </c>
      <c r="R742" s="60">
        <v>45761</v>
      </c>
      <c r="S742" s="50">
        <f t="shared" si="75"/>
        <v>1</v>
      </c>
      <c r="T742" s="50" t="str">
        <f>IF(
    OR(ISBLANK(O742), ISBLANK(P742)),
    "",
    MAX(1, IF(
        NETWORKDAYS(O742, P742) &lt;= 0,
        1,
        NETWORKDAYS(O742:P742, Q742) - IF(P742 = Q742, 0, 1)
    ))
)</f>
        <v/>
      </c>
      <c r="U742" s="50">
        <f>IF(
    OR(ISBLANK(O742), ISBLANK(Q742)),
    "",
    MAX(1, IF(
        NETWORKDAYS(O742, Q742) &lt;= 0,
        1,
        NETWORKDAYS(O742, Q742) - IF(O742 = Q742, 0, 1)
    ))
)</f>
        <v>3</v>
      </c>
      <c r="V742" s="50">
        <f t="shared" si="78"/>
        <v>2</v>
      </c>
      <c r="W742" s="50" t="s">
        <v>150</v>
      </c>
      <c r="X742" s="50" t="s">
        <v>4</v>
      </c>
      <c r="Y742" s="50" t="s">
        <v>50</v>
      </c>
      <c r="Z742" s="50" t="s">
        <v>3406</v>
      </c>
      <c r="AA742" s="50"/>
    </row>
    <row r="743" spans="1:27" ht="25.5" customHeight="1">
      <c r="A743" s="50" t="s">
        <v>776</v>
      </c>
      <c r="B743" s="51" t="s">
        <v>1114</v>
      </c>
      <c r="C743" s="51" t="s">
        <v>143</v>
      </c>
      <c r="D743" s="51" t="s">
        <v>4303</v>
      </c>
      <c r="E743" s="50">
        <v>10857</v>
      </c>
      <c r="F743" s="50">
        <v>15340</v>
      </c>
      <c r="G743" s="50" t="s">
        <v>3404</v>
      </c>
      <c r="H743" s="50">
        <v>2024</v>
      </c>
      <c r="I743" s="105" t="s">
        <v>3594</v>
      </c>
      <c r="J743" s="50"/>
      <c r="K743" s="50" t="s">
        <v>200</v>
      </c>
      <c r="L743" s="50" t="s">
        <v>328</v>
      </c>
      <c r="M743" s="50" t="s">
        <v>1982</v>
      </c>
      <c r="N743" s="50"/>
      <c r="O743" s="50"/>
      <c r="P743" s="50"/>
      <c r="Q743" s="50"/>
      <c r="R743" s="50"/>
      <c r="S743" s="50" t="str">
        <f t="shared" si="75"/>
        <v/>
      </c>
      <c r="T743" s="50" t="str">
        <f>IF(
    OR(ISBLANK(O743), ISBLANK(P743)),
    "",
    MAX(1, IF(
        NETWORKDAYS(O743, P743) &lt;= 0,
        1,
        NETWORKDAYS(O743, P743) - IF(O743 = P743, 0, 1)
    ))
)</f>
        <v/>
      </c>
      <c r="U743" s="50" t="str">
        <f>IF(
    OR(ISBLANK(P743), ISBLANK(Q743)),
    "",
    MAX(1, IF(
        NETWORKDAYS(P743, Q743) &lt;= 0,
        1,
        NETWORKDAYS(P743, Q743) - IF(P743 = Q743, 0, 1)
    ))
)</f>
        <v/>
      </c>
      <c r="V743" s="50" t="str">
        <f t="shared" si="78"/>
        <v/>
      </c>
      <c r="W743" s="50"/>
      <c r="X743" s="50"/>
      <c r="Y743" s="50"/>
      <c r="Z743" s="50"/>
      <c r="AA743" s="50"/>
    </row>
    <row r="744" spans="1:27" ht="25.5" customHeight="1">
      <c r="A744" s="517" t="s">
        <v>776</v>
      </c>
      <c r="B744" s="51" t="s">
        <v>1114</v>
      </c>
      <c r="C744" s="51" t="s">
        <v>143</v>
      </c>
      <c r="D744" s="51" t="s">
        <v>4304</v>
      </c>
      <c r="E744" s="50">
        <v>848</v>
      </c>
      <c r="F744" s="50">
        <v>759</v>
      </c>
      <c r="G744" s="50" t="s">
        <v>3955</v>
      </c>
      <c r="H744" s="50"/>
      <c r="I744" s="105"/>
      <c r="J744" s="50"/>
      <c r="K744" s="50" t="s">
        <v>200</v>
      </c>
      <c r="L744" s="50" t="s">
        <v>328</v>
      </c>
      <c r="M744" s="50" t="s">
        <v>1982</v>
      </c>
      <c r="N744" s="50"/>
      <c r="O744" s="50"/>
      <c r="P744" s="50"/>
      <c r="Q744" s="50"/>
      <c r="R744" s="50"/>
      <c r="S744" s="50" t="str">
        <f t="shared" si="75"/>
        <v/>
      </c>
      <c r="T744" s="50" t="str">
        <f>IF(
    OR(ISBLANK(O744), ISBLANK(P744)),
    "",
    MAX(1, IF(
        NETWORKDAYS(O744, P744) &lt;= 0,
        1,
        NETWORKDAYS(O744, P744) - IF(O744 = P744, 0, 1)
    ))
)</f>
        <v/>
      </c>
      <c r="U744" s="50" t="str">
        <f>IF(
    OR(ISBLANK(P744), ISBLANK(Q744)),
    "",
    MAX(1, IF(
        NETWORKDAYS(P744, Q744) &lt;= 0,
        1,
        NETWORKDAYS(P744, Q744) - IF(P744 = Q744, 0, 1)
    ))
)</f>
        <v/>
      </c>
      <c r="V744" s="50" t="str">
        <f t="shared" si="78"/>
        <v/>
      </c>
      <c r="W744" s="50"/>
      <c r="X744" s="50"/>
      <c r="Y744" s="50"/>
      <c r="Z744" s="50"/>
      <c r="AA744" s="50"/>
    </row>
    <row r="745" spans="1:27" ht="25.5" customHeight="1">
      <c r="A745" s="517" t="s">
        <v>776</v>
      </c>
      <c r="B745" s="51" t="s">
        <v>1114</v>
      </c>
      <c r="C745" s="51" t="s">
        <v>143</v>
      </c>
      <c r="D745" s="51" t="s">
        <v>4305</v>
      </c>
      <c r="E745" s="50">
        <v>4607</v>
      </c>
      <c r="F745" s="50">
        <v>5326</v>
      </c>
      <c r="G745" s="50" t="s">
        <v>3404</v>
      </c>
      <c r="H745" s="50">
        <v>2025</v>
      </c>
      <c r="I745" s="132">
        <v>45819</v>
      </c>
      <c r="J745" s="50" t="s">
        <v>3689</v>
      </c>
      <c r="K745" s="50" t="s">
        <v>200</v>
      </c>
      <c r="L745" s="50"/>
      <c r="M745" s="50" t="s">
        <v>1982</v>
      </c>
      <c r="N745" s="50" t="s">
        <v>4306</v>
      </c>
      <c r="O745" s="60">
        <v>45822</v>
      </c>
      <c r="P745" s="50"/>
      <c r="Q745" s="60">
        <v>45825</v>
      </c>
      <c r="R745" s="60">
        <v>45826</v>
      </c>
      <c r="S745" s="50">
        <f t="shared" si="75"/>
        <v>2</v>
      </c>
      <c r="T745" s="50" t="str">
        <f>IF(
    OR(ISBLANK(O745), ISBLANK(P745)),
    "",
    MAX(1, IF(
        NETWORKDAYS(O745, P745) &lt;= 0,
        1,
        NETWORKDAYS(O745:P745, Q745) - IF(P745 = Q745, 0, 1)
    ))
)</f>
        <v/>
      </c>
      <c r="U745" s="50">
        <f>IF(
    OR(ISBLANK(O745), ISBLANK(Q745)),
    "",
    MAX(1, IF(
        NETWORKDAYS(O745, Q745) &lt;= 0,
        1,
        NETWORKDAYS(O745, Q745) - IF(O745 = Q745, 0, 1)
    ))
)</f>
        <v>1</v>
      </c>
      <c r="V745" s="50">
        <f t="shared" si="78"/>
        <v>1</v>
      </c>
      <c r="W745" s="50" t="s">
        <v>150</v>
      </c>
      <c r="X745" s="50" t="s">
        <v>4</v>
      </c>
      <c r="Y745" s="50" t="s">
        <v>50</v>
      </c>
      <c r="Z745" s="50" t="s">
        <v>3406</v>
      </c>
      <c r="AA745" s="50"/>
    </row>
    <row r="746" spans="1:27" ht="25.5" customHeight="1">
      <c r="A746" s="50" t="s">
        <v>776</v>
      </c>
      <c r="B746" s="51" t="s">
        <v>1114</v>
      </c>
      <c r="C746" s="51" t="s">
        <v>143</v>
      </c>
      <c r="D746" s="51" t="s">
        <v>4307</v>
      </c>
      <c r="E746" s="50">
        <v>3404</v>
      </c>
      <c r="F746" s="50">
        <v>3651</v>
      </c>
      <c r="G746" s="50" t="s">
        <v>3404</v>
      </c>
      <c r="H746" s="50">
        <v>2024</v>
      </c>
      <c r="I746" s="132">
        <v>45537</v>
      </c>
      <c r="J746" s="50"/>
      <c r="K746" s="50" t="s">
        <v>200</v>
      </c>
      <c r="L746" s="50" t="s">
        <v>328</v>
      </c>
      <c r="M746" s="50" t="s">
        <v>1982</v>
      </c>
      <c r="N746" s="50"/>
      <c r="O746" s="50"/>
      <c r="P746" s="50"/>
      <c r="Q746" s="50"/>
      <c r="R746" s="50"/>
      <c r="S746" s="50" t="str">
        <f t="shared" si="75"/>
        <v/>
      </c>
      <c r="T746" s="50" t="str">
        <f>IF(
    OR(ISBLANK(O746), ISBLANK(P746)),
    "",
    MAX(1, IF(
        NETWORKDAYS(O746, P746) &lt;= 0,
        1,
        NETWORKDAYS(O746, P746) - IF(O746 = P746, 0, 1)
    ))
)</f>
        <v/>
      </c>
      <c r="U746" s="50" t="str">
        <f>IF(
    OR(ISBLANK(P746), ISBLANK(Q746)),
    "",
    MAX(1, IF(
        NETWORKDAYS(P746, Q746) &lt;= 0,
        1,
        NETWORKDAYS(P746, Q746) - IF(P746 = Q746, 0, 1)
    ))
)</f>
        <v/>
      </c>
      <c r="V746" s="50" t="str">
        <f t="shared" si="78"/>
        <v/>
      </c>
      <c r="W746" s="50"/>
      <c r="X746" s="50" t="s">
        <v>4</v>
      </c>
      <c r="Y746" s="50" t="s">
        <v>50</v>
      </c>
      <c r="Z746" s="50" t="s">
        <v>3406</v>
      </c>
      <c r="AA746" s="50"/>
    </row>
    <row r="747" spans="1:27" ht="25.5" customHeight="1">
      <c r="A747" s="517" t="s">
        <v>776</v>
      </c>
      <c r="B747" s="51" t="s">
        <v>1114</v>
      </c>
      <c r="C747" s="51" t="s">
        <v>143</v>
      </c>
      <c r="D747" s="51" t="s">
        <v>4308</v>
      </c>
      <c r="E747" s="50">
        <v>2416</v>
      </c>
      <c r="F747" s="50">
        <v>2451</v>
      </c>
      <c r="G747" s="50" t="s">
        <v>3404</v>
      </c>
      <c r="H747" s="50">
        <v>2025</v>
      </c>
      <c r="I747" s="132">
        <v>45819</v>
      </c>
      <c r="J747" s="50" t="s">
        <v>3689</v>
      </c>
      <c r="K747" s="50" t="s">
        <v>200</v>
      </c>
      <c r="L747" s="50" t="s">
        <v>328</v>
      </c>
      <c r="M747" s="50" t="s">
        <v>1982</v>
      </c>
      <c r="N747" s="50" t="s">
        <v>4309</v>
      </c>
      <c r="O747" s="60">
        <v>45822</v>
      </c>
      <c r="P747" s="50"/>
      <c r="Q747" s="60">
        <v>45825</v>
      </c>
      <c r="R747" s="60">
        <v>45826</v>
      </c>
      <c r="S747" s="50">
        <f t="shared" si="75"/>
        <v>2</v>
      </c>
      <c r="T747" s="50" t="str">
        <f>IF(
    OR(ISBLANK(O747), ISBLANK(P747)),
    "",
    MAX(1, IF(
        NETWORKDAYS(O747, P747) &lt;= 0,
        1,
        NETWORKDAYS(O747:P747, Q747) - IF(P747 = Q747, 0, 1)
    ))
)</f>
        <v/>
      </c>
      <c r="U747" s="50">
        <f>IF(
    OR(ISBLANK(O747), ISBLANK(Q747)),
    "",
    MAX(1, IF(
        NETWORKDAYS(O747, Q747) &lt;= 0,
        1,
        NETWORKDAYS(O747, Q747) - IF(O747 = Q747, 0, 1)
    ))
)</f>
        <v>1</v>
      </c>
      <c r="V747" s="50">
        <f t="shared" si="78"/>
        <v>1</v>
      </c>
      <c r="W747" s="50" t="s">
        <v>150</v>
      </c>
      <c r="X747" s="50" t="s">
        <v>4</v>
      </c>
      <c r="Y747" s="50" t="s">
        <v>50</v>
      </c>
      <c r="Z747" s="50" t="s">
        <v>3406</v>
      </c>
      <c r="AA747" s="50"/>
    </row>
    <row r="748" spans="1:27" ht="25.5" customHeight="1">
      <c r="A748" s="517" t="s">
        <v>776</v>
      </c>
      <c r="B748" s="51" t="s">
        <v>1114</v>
      </c>
      <c r="C748" s="51" t="s">
        <v>143</v>
      </c>
      <c r="D748" s="51" t="s">
        <v>4310</v>
      </c>
      <c r="E748" s="50">
        <v>1434</v>
      </c>
      <c r="F748" s="50">
        <v>14638</v>
      </c>
      <c r="G748" s="50" t="s">
        <v>3404</v>
      </c>
      <c r="H748" s="50">
        <v>2025</v>
      </c>
      <c r="I748" s="132">
        <v>45819</v>
      </c>
      <c r="J748" s="50" t="s">
        <v>3689</v>
      </c>
      <c r="K748" s="50" t="s">
        <v>200</v>
      </c>
      <c r="L748" s="50" t="s">
        <v>388</v>
      </c>
      <c r="M748" s="50" t="s">
        <v>1982</v>
      </c>
      <c r="N748" s="50" t="s">
        <v>4311</v>
      </c>
      <c r="O748" s="60">
        <v>45822</v>
      </c>
      <c r="P748" s="60">
        <v>45823</v>
      </c>
      <c r="Q748" s="60">
        <v>45825</v>
      </c>
      <c r="R748" s="60">
        <v>45826</v>
      </c>
      <c r="S748" s="50">
        <f t="shared" si="75"/>
        <v>2</v>
      </c>
      <c r="T748" s="50">
        <f>IF(
    OR(ISBLANK(P748), ISBLANK(Q748)),
    "",
    MAX(1, IF(
        NETWORKDAYS(P748, Q748) &lt;= 0,
        1,
        NETWORKDAYS(P748, Q748) - IF(P748 = Q748, 0, 1)
    ))
)</f>
        <v>1</v>
      </c>
      <c r="U748" s="50">
        <f t="shared" ref="U748:U754" si="80">IF(
    OR(ISBLANK(P748), ISBLANK(Q748)),
    "",
    MAX(1, IF(
        NETWORKDAYS(P748, Q748) &lt;= 0,
        1,
        NETWORKDAYS(P748, Q748) - IF(P748 = Q748, 0, 1)
    ))
)</f>
        <v>1</v>
      </c>
      <c r="V748" s="50">
        <f t="shared" si="78"/>
        <v>1</v>
      </c>
      <c r="W748" s="50" t="s">
        <v>150</v>
      </c>
      <c r="X748" s="50" t="s">
        <v>4</v>
      </c>
      <c r="Y748" s="50" t="s">
        <v>50</v>
      </c>
      <c r="Z748" s="50" t="s">
        <v>3406</v>
      </c>
      <c r="AA748" s="50"/>
    </row>
    <row r="749" spans="1:27" s="110" customFormat="1" ht="25.5" customHeight="1">
      <c r="A749" s="517" t="s">
        <v>776</v>
      </c>
      <c r="B749" s="51" t="s">
        <v>1114</v>
      </c>
      <c r="C749" s="51" t="s">
        <v>143</v>
      </c>
      <c r="D749" s="51" t="s">
        <v>1115</v>
      </c>
      <c r="E749" s="50">
        <v>6193</v>
      </c>
      <c r="F749" s="50">
        <v>12494</v>
      </c>
      <c r="G749" s="50" t="s">
        <v>3404</v>
      </c>
      <c r="H749" s="50">
        <v>2025</v>
      </c>
      <c r="I749" s="132">
        <v>45695</v>
      </c>
      <c r="J749" s="50" t="s">
        <v>3458</v>
      </c>
      <c r="K749" s="50" t="s">
        <v>200</v>
      </c>
      <c r="L749" s="50" t="s">
        <v>328</v>
      </c>
      <c r="M749" s="50" t="s">
        <v>1982</v>
      </c>
      <c r="N749" s="50" t="s">
        <v>4312</v>
      </c>
      <c r="O749" s="60">
        <v>45697</v>
      </c>
      <c r="P749" s="60">
        <v>45698</v>
      </c>
      <c r="Q749" s="60">
        <v>45699</v>
      </c>
      <c r="R749" s="60">
        <v>45701</v>
      </c>
      <c r="S749" s="50">
        <f t="shared" si="75"/>
        <v>1</v>
      </c>
      <c r="T749" s="50">
        <f>IF(
    OR(ISBLANK(P749), ISBLANK(Q749)),
    "",
    MAX(1, IF(
        NETWORKDAYS(P749, Q749) &lt;= 0,
        1,
        NETWORKDAYS(P749, Q749) - IF(P749 = Q749, 0, 1)
    ))
)</f>
        <v>1</v>
      </c>
      <c r="U749" s="50">
        <f t="shared" si="80"/>
        <v>1</v>
      </c>
      <c r="V749" s="50">
        <f t="shared" si="78"/>
        <v>2</v>
      </c>
      <c r="W749" s="50" t="s">
        <v>150</v>
      </c>
      <c r="X749" s="50" t="s">
        <v>4</v>
      </c>
      <c r="Y749" s="50" t="s">
        <v>50</v>
      </c>
      <c r="Z749" s="50" t="s">
        <v>3406</v>
      </c>
      <c r="AA749" s="50"/>
    </row>
    <row r="750" spans="1:27" ht="25.5" customHeight="1">
      <c r="A750" s="517" t="s">
        <v>776</v>
      </c>
      <c r="B750" s="51" t="s">
        <v>1114</v>
      </c>
      <c r="C750" s="51" t="s">
        <v>143</v>
      </c>
      <c r="D750" s="51" t="s">
        <v>4313</v>
      </c>
      <c r="E750" s="50">
        <v>2719</v>
      </c>
      <c r="F750" s="50">
        <v>2965</v>
      </c>
      <c r="G750" s="50" t="s">
        <v>3955</v>
      </c>
      <c r="H750" s="50"/>
      <c r="I750" s="105"/>
      <c r="J750" s="50"/>
      <c r="K750" s="50" t="s">
        <v>200</v>
      </c>
      <c r="L750" s="50" t="s">
        <v>328</v>
      </c>
      <c r="M750" s="50" t="s">
        <v>1982</v>
      </c>
      <c r="N750" s="50"/>
      <c r="O750" s="50"/>
      <c r="P750" s="50"/>
      <c r="Q750" s="50"/>
      <c r="R750" s="50"/>
      <c r="S750" s="50" t="str">
        <f t="shared" si="75"/>
        <v/>
      </c>
      <c r="T750" s="50" t="str">
        <f>IF(
    OR(ISBLANK(O750), ISBLANK(P750)),
    "",
    MAX(1, IF(
        NETWORKDAYS(O750, P750) &lt;= 0,
        1,
        NETWORKDAYS(O750, P750) - IF(O750 = P750, 0, 1)
    ))
)</f>
        <v/>
      </c>
      <c r="U750" s="50" t="str">
        <f t="shared" si="80"/>
        <v/>
      </c>
      <c r="V750" s="50" t="str">
        <f t="shared" si="78"/>
        <v/>
      </c>
      <c r="W750" s="50"/>
      <c r="X750" s="50"/>
      <c r="Y750" s="50"/>
      <c r="Z750" s="50"/>
      <c r="AA750" s="50"/>
    </row>
    <row r="751" spans="1:27" s="110" customFormat="1" ht="25.5" customHeight="1">
      <c r="A751" s="517" t="s">
        <v>776</v>
      </c>
      <c r="B751" s="51" t="s">
        <v>1114</v>
      </c>
      <c r="C751" s="51" t="s">
        <v>143</v>
      </c>
      <c r="D751" s="51" t="s">
        <v>4314</v>
      </c>
      <c r="E751" s="50">
        <v>2387</v>
      </c>
      <c r="F751" s="50">
        <v>2578</v>
      </c>
      <c r="G751" s="50" t="s">
        <v>3955</v>
      </c>
      <c r="H751" s="50"/>
      <c r="I751" s="105"/>
      <c r="J751" s="50"/>
      <c r="K751" s="50" t="s">
        <v>200</v>
      </c>
      <c r="L751" s="50" t="s">
        <v>328</v>
      </c>
      <c r="M751" s="50" t="s">
        <v>1982</v>
      </c>
      <c r="N751" s="50"/>
      <c r="O751" s="50"/>
      <c r="P751" s="50"/>
      <c r="Q751" s="50"/>
      <c r="R751" s="50"/>
      <c r="S751" s="50" t="str">
        <f t="shared" si="75"/>
        <v/>
      </c>
      <c r="T751" s="50" t="str">
        <f>IF(
    OR(ISBLANK(O751), ISBLANK(P751)),
    "",
    MAX(1, IF(
        NETWORKDAYS(O751, P751) &lt;= 0,
        1,
        NETWORKDAYS(O751, P751) - IF(O751 = P751, 0, 1)
    ))
)</f>
        <v/>
      </c>
      <c r="U751" s="50" t="str">
        <f t="shared" si="80"/>
        <v/>
      </c>
      <c r="V751" s="50" t="str">
        <f t="shared" si="78"/>
        <v/>
      </c>
      <c r="W751" s="50"/>
      <c r="X751" s="50"/>
      <c r="Y751" s="50"/>
      <c r="Z751" s="50"/>
      <c r="AA751" s="50"/>
    </row>
    <row r="752" spans="1:27" ht="25.5" customHeight="1">
      <c r="A752" s="517" t="s">
        <v>776</v>
      </c>
      <c r="B752" s="51" t="s">
        <v>1114</v>
      </c>
      <c r="C752" s="51" t="s">
        <v>143</v>
      </c>
      <c r="D752" s="51" t="s">
        <v>4315</v>
      </c>
      <c r="E752" s="50">
        <v>6296</v>
      </c>
      <c r="F752" s="50">
        <v>6813</v>
      </c>
      <c r="G752" s="50" t="s">
        <v>3955</v>
      </c>
      <c r="H752" s="50"/>
      <c r="I752" s="105"/>
      <c r="J752" s="50"/>
      <c r="K752" s="50" t="s">
        <v>200</v>
      </c>
      <c r="L752" s="50" t="s">
        <v>328</v>
      </c>
      <c r="M752" s="50" t="s">
        <v>1982</v>
      </c>
      <c r="N752" s="50"/>
      <c r="O752" s="50"/>
      <c r="P752" s="50"/>
      <c r="Q752" s="50"/>
      <c r="R752" s="50"/>
      <c r="S752" s="50" t="str">
        <f t="shared" si="75"/>
        <v/>
      </c>
      <c r="T752" s="50" t="str">
        <f>IF(
    OR(ISBLANK(O752), ISBLANK(P752)),
    "",
    MAX(1, IF(
        NETWORKDAYS(O752, P752) &lt;= 0,
        1,
        NETWORKDAYS(O752, P752) - IF(O752 = P752, 0, 1)
    ))
)</f>
        <v/>
      </c>
      <c r="U752" s="50" t="str">
        <f t="shared" si="80"/>
        <v/>
      </c>
      <c r="V752" s="50" t="str">
        <f t="shared" si="78"/>
        <v/>
      </c>
      <c r="W752" s="50"/>
      <c r="X752" s="50"/>
      <c r="Y752" s="50"/>
      <c r="Z752" s="50"/>
      <c r="AA752" s="50"/>
    </row>
    <row r="753" spans="1:27" ht="25.5" customHeight="1">
      <c r="A753" s="50" t="s">
        <v>776</v>
      </c>
      <c r="B753" s="51" t="s">
        <v>1114</v>
      </c>
      <c r="C753" s="51" t="s">
        <v>143</v>
      </c>
      <c r="D753" s="51" t="s">
        <v>4316</v>
      </c>
      <c r="E753" s="50">
        <v>3047</v>
      </c>
      <c r="F753" s="50">
        <v>3153</v>
      </c>
      <c r="G753" s="50" t="s">
        <v>3404</v>
      </c>
      <c r="H753" s="50">
        <v>2024</v>
      </c>
      <c r="I753" s="132">
        <v>45540</v>
      </c>
      <c r="J753" s="50"/>
      <c r="K753" s="50" t="s">
        <v>200</v>
      </c>
      <c r="L753" s="50" t="s">
        <v>328</v>
      </c>
      <c r="M753" s="50" t="s">
        <v>1982</v>
      </c>
      <c r="N753" s="50"/>
      <c r="O753" s="50"/>
      <c r="P753" s="50"/>
      <c r="Q753" s="50"/>
      <c r="R753" s="50"/>
      <c r="S753" s="50" t="str">
        <f t="shared" si="75"/>
        <v/>
      </c>
      <c r="T753" s="50" t="str">
        <f>IF(
    OR(ISBLANK(O753), ISBLANK(P753)),
    "",
    MAX(1, IF(
        NETWORKDAYS(O753, P753) &lt;= 0,
        1,
        NETWORKDAYS(O753, P753) - IF(O753 = P753, 0, 1)
    ))
)</f>
        <v/>
      </c>
      <c r="U753" s="50" t="str">
        <f t="shared" si="80"/>
        <v/>
      </c>
      <c r="V753" s="50" t="str">
        <f t="shared" si="78"/>
        <v/>
      </c>
      <c r="W753" s="50"/>
      <c r="X753" s="50" t="s">
        <v>4</v>
      </c>
      <c r="Y753" s="50" t="s">
        <v>50</v>
      </c>
      <c r="Z753" s="50" t="s">
        <v>3406</v>
      </c>
      <c r="AA753" s="50"/>
    </row>
    <row r="754" spans="1:27" ht="25.5" customHeight="1">
      <c r="A754" s="517" t="s">
        <v>776</v>
      </c>
      <c r="B754" s="51" t="s">
        <v>1114</v>
      </c>
      <c r="C754" s="51" t="s">
        <v>143</v>
      </c>
      <c r="D754" s="51" t="s">
        <v>1123</v>
      </c>
      <c r="E754" s="50">
        <v>8775</v>
      </c>
      <c r="F754" s="50">
        <v>30233</v>
      </c>
      <c r="G754" s="50" t="s">
        <v>3404</v>
      </c>
      <c r="H754" s="50">
        <v>2025</v>
      </c>
      <c r="I754" s="132">
        <v>45695</v>
      </c>
      <c r="J754" s="50" t="s">
        <v>3458</v>
      </c>
      <c r="K754" s="50" t="s">
        <v>200</v>
      </c>
      <c r="L754" s="50" t="s">
        <v>328</v>
      </c>
      <c r="M754" s="50" t="s">
        <v>1982</v>
      </c>
      <c r="N754" s="50" t="s">
        <v>4317</v>
      </c>
      <c r="O754" s="60">
        <v>45697</v>
      </c>
      <c r="P754" s="60">
        <v>45698</v>
      </c>
      <c r="Q754" s="60">
        <v>45699</v>
      </c>
      <c r="R754" s="60">
        <v>45701</v>
      </c>
      <c r="S754" s="50">
        <f t="shared" si="75"/>
        <v>1</v>
      </c>
      <c r="T754" s="50">
        <f>IF(
    OR(ISBLANK(P754), ISBLANK(Q754)),
    "",
    MAX(1, IF(
        NETWORKDAYS(P754, Q754) &lt;= 0,
        1,
        NETWORKDAYS(P754, Q754) - IF(P754 = Q754, 0, 1)
    ))
)</f>
        <v>1</v>
      </c>
      <c r="U754" s="50">
        <f t="shared" si="80"/>
        <v>1</v>
      </c>
      <c r="V754" s="50">
        <f t="shared" si="78"/>
        <v>2</v>
      </c>
      <c r="W754" s="50" t="s">
        <v>150</v>
      </c>
      <c r="X754" s="50" t="s">
        <v>4</v>
      </c>
      <c r="Y754" s="50" t="s">
        <v>50</v>
      </c>
      <c r="Z754" s="50" t="s">
        <v>3406</v>
      </c>
      <c r="AA754" s="50"/>
    </row>
    <row r="755" spans="1:27" ht="25.5" customHeight="1">
      <c r="A755" s="517" t="s">
        <v>776</v>
      </c>
      <c r="B755" s="51" t="s">
        <v>1114</v>
      </c>
      <c r="C755" s="51" t="s">
        <v>143</v>
      </c>
      <c r="D755" s="51" t="s">
        <v>4318</v>
      </c>
      <c r="E755" s="50">
        <v>2496</v>
      </c>
      <c r="F755" s="50">
        <v>2938</v>
      </c>
      <c r="G755" s="50" t="s">
        <v>3404</v>
      </c>
      <c r="H755" s="50">
        <v>2025</v>
      </c>
      <c r="I755" s="132">
        <v>45750</v>
      </c>
      <c r="J755" s="50" t="s">
        <v>3470</v>
      </c>
      <c r="K755" s="50" t="s">
        <v>200</v>
      </c>
      <c r="L755" s="50" t="s">
        <v>328</v>
      </c>
      <c r="M755" s="50" t="s">
        <v>1982</v>
      </c>
      <c r="N755" s="50" t="s">
        <v>4319</v>
      </c>
      <c r="O755" s="60">
        <v>45752</v>
      </c>
      <c r="P755" s="50"/>
      <c r="Q755" s="60">
        <v>45757</v>
      </c>
      <c r="R755" s="60">
        <v>45761</v>
      </c>
      <c r="S755" s="50">
        <f t="shared" si="75"/>
        <v>1</v>
      </c>
      <c r="T755" s="50" t="str">
        <f>IF(
    OR(ISBLANK(O755), ISBLANK(P755)),
    "",
    MAX(1, IF(
        NETWORKDAYS(O755, P755) &lt;= 0,
        1,
        NETWORKDAYS(O755:P755, Q755) - IF(P755 = Q755, 0, 1)
    ))
)</f>
        <v/>
      </c>
      <c r="U755" s="50">
        <f>IF(
    OR(ISBLANK(O755), ISBLANK(Q755)),
    "",
    MAX(1, IF(
        NETWORKDAYS(O755, Q755) &lt;= 0,
        1,
        NETWORKDAYS(O755, Q755) - IF(O755 = Q755, 0, 1)
    ))
)</f>
        <v>3</v>
      </c>
      <c r="V755" s="50">
        <f t="shared" si="78"/>
        <v>2</v>
      </c>
      <c r="W755" s="50" t="s">
        <v>150</v>
      </c>
      <c r="X755" s="50" t="s">
        <v>4</v>
      </c>
      <c r="Y755" s="50" t="s">
        <v>50</v>
      </c>
      <c r="Z755" s="50" t="s">
        <v>3406</v>
      </c>
      <c r="AA755" s="50"/>
    </row>
    <row r="756" spans="1:27" ht="25.5" customHeight="1">
      <c r="A756" s="517" t="s">
        <v>776</v>
      </c>
      <c r="B756" s="51" t="s">
        <v>1114</v>
      </c>
      <c r="C756" s="51" t="s">
        <v>143</v>
      </c>
      <c r="D756" s="51" t="s">
        <v>4320</v>
      </c>
      <c r="E756" s="50">
        <v>3240</v>
      </c>
      <c r="F756" s="50">
        <v>8312</v>
      </c>
      <c r="G756" s="50" t="s">
        <v>3955</v>
      </c>
      <c r="H756" s="50"/>
      <c r="I756" s="105"/>
      <c r="J756" s="50"/>
      <c r="K756" s="50" t="s">
        <v>200</v>
      </c>
      <c r="L756" s="50" t="s">
        <v>328</v>
      </c>
      <c r="M756" s="50" t="s">
        <v>1982</v>
      </c>
      <c r="N756" s="50"/>
      <c r="O756" s="50"/>
      <c r="P756" s="50"/>
      <c r="Q756" s="50"/>
      <c r="R756" s="50"/>
      <c r="S756" s="50" t="str">
        <f t="shared" si="75"/>
        <v/>
      </c>
      <c r="T756" s="50" t="str">
        <f t="shared" ref="T756:U763" si="81">IF(
    OR(ISBLANK(O756), ISBLANK(P756)),
    "",
    MAX(1, IF(
        NETWORKDAYS(O756, P756) &lt;= 0,
        1,
        NETWORKDAYS(O756, P756) - IF(O756 = P756, 0, 1)
    ))
)</f>
        <v/>
      </c>
      <c r="U756" s="50" t="str">
        <f t="shared" si="81"/>
        <v/>
      </c>
      <c r="V756" s="50" t="str">
        <f t="shared" si="78"/>
        <v/>
      </c>
      <c r="W756" s="50"/>
      <c r="X756" s="50"/>
      <c r="Y756" s="50"/>
      <c r="Z756" s="50"/>
      <c r="AA756" s="50"/>
    </row>
    <row r="757" spans="1:27" ht="25.5" customHeight="1">
      <c r="A757" s="517" t="s">
        <v>776</v>
      </c>
      <c r="B757" s="51" t="s">
        <v>1114</v>
      </c>
      <c r="C757" s="51" t="s">
        <v>143</v>
      </c>
      <c r="D757" s="51" t="s">
        <v>4321</v>
      </c>
      <c r="E757" s="50">
        <v>4013</v>
      </c>
      <c r="F757" s="50">
        <v>6899</v>
      </c>
      <c r="G757" s="50" t="s">
        <v>3955</v>
      </c>
      <c r="H757" s="50"/>
      <c r="I757" s="105"/>
      <c r="J757" s="50"/>
      <c r="K757" s="50" t="s">
        <v>200</v>
      </c>
      <c r="L757" s="50" t="s">
        <v>328</v>
      </c>
      <c r="M757" s="50" t="s">
        <v>1982</v>
      </c>
      <c r="N757" s="50"/>
      <c r="O757" s="50"/>
      <c r="P757" s="50"/>
      <c r="Q757" s="50"/>
      <c r="R757" s="50"/>
      <c r="S757" s="50" t="str">
        <f t="shared" si="75"/>
        <v/>
      </c>
      <c r="T757" s="50" t="str">
        <f t="shared" si="81"/>
        <v/>
      </c>
      <c r="U757" s="50" t="str">
        <f t="shared" si="81"/>
        <v/>
      </c>
      <c r="V757" s="50" t="str">
        <f t="shared" si="78"/>
        <v/>
      </c>
      <c r="W757" s="50"/>
      <c r="X757" s="50"/>
      <c r="Y757" s="50"/>
      <c r="Z757" s="50"/>
      <c r="AA757" s="50"/>
    </row>
    <row r="758" spans="1:27" ht="25.5" customHeight="1">
      <c r="A758" s="50" t="s">
        <v>776</v>
      </c>
      <c r="B758" s="51" t="s">
        <v>1114</v>
      </c>
      <c r="C758" s="51" t="s">
        <v>143</v>
      </c>
      <c r="D758" s="51" t="s">
        <v>1056</v>
      </c>
      <c r="E758" s="50">
        <v>7764</v>
      </c>
      <c r="F758" s="50">
        <v>8679</v>
      </c>
      <c r="G758" s="50" t="s">
        <v>3404</v>
      </c>
      <c r="H758" s="50">
        <v>2024</v>
      </c>
      <c r="I758" s="105" t="s">
        <v>3594</v>
      </c>
      <c r="J758" s="50"/>
      <c r="K758" s="50" t="s">
        <v>200</v>
      </c>
      <c r="L758" s="50" t="s">
        <v>328</v>
      </c>
      <c r="M758" s="50" t="s">
        <v>1982</v>
      </c>
      <c r="N758" s="50"/>
      <c r="O758" s="50"/>
      <c r="P758" s="50"/>
      <c r="Q758" s="50"/>
      <c r="R758" s="50"/>
      <c r="S758" s="50" t="str">
        <f t="shared" si="75"/>
        <v/>
      </c>
      <c r="T758" s="50" t="str">
        <f t="shared" si="81"/>
        <v/>
      </c>
      <c r="U758" s="50" t="str">
        <f t="shared" si="81"/>
        <v/>
      </c>
      <c r="V758" s="50" t="str">
        <f t="shared" si="78"/>
        <v/>
      </c>
      <c r="W758" s="50"/>
      <c r="X758" s="50"/>
      <c r="Y758" s="50"/>
      <c r="Z758" s="50"/>
      <c r="AA758" s="50"/>
    </row>
    <row r="759" spans="1:27" ht="25.5" customHeight="1">
      <c r="A759" s="517" t="s">
        <v>776</v>
      </c>
      <c r="B759" s="51" t="s">
        <v>1114</v>
      </c>
      <c r="C759" s="51" t="s">
        <v>143</v>
      </c>
      <c r="D759" s="51" t="s">
        <v>4322</v>
      </c>
      <c r="E759" s="50">
        <v>3421</v>
      </c>
      <c r="F759" s="50">
        <v>4660</v>
      </c>
      <c r="G759" s="50" t="s">
        <v>3955</v>
      </c>
      <c r="H759" s="50"/>
      <c r="I759" s="105"/>
      <c r="J759" s="50"/>
      <c r="K759" s="50" t="s">
        <v>200</v>
      </c>
      <c r="L759" s="50" t="s">
        <v>328</v>
      </c>
      <c r="M759" s="50" t="s">
        <v>1982</v>
      </c>
      <c r="N759" s="50"/>
      <c r="O759" s="50"/>
      <c r="P759" s="50"/>
      <c r="Q759" s="50"/>
      <c r="R759" s="50"/>
      <c r="S759" s="50" t="str">
        <f t="shared" si="75"/>
        <v/>
      </c>
      <c r="T759" s="50" t="str">
        <f t="shared" si="81"/>
        <v/>
      </c>
      <c r="U759" s="50" t="str">
        <f t="shared" si="81"/>
        <v/>
      </c>
      <c r="V759" s="50" t="str">
        <f t="shared" si="78"/>
        <v/>
      </c>
      <c r="W759" s="50"/>
      <c r="X759" s="50"/>
      <c r="Y759" s="50"/>
      <c r="Z759" s="50"/>
      <c r="AA759" s="50"/>
    </row>
    <row r="760" spans="1:27" ht="25.5" customHeight="1">
      <c r="A760" s="517" t="s">
        <v>776</v>
      </c>
      <c r="B760" s="51" t="s">
        <v>1114</v>
      </c>
      <c r="C760" s="51" t="s">
        <v>143</v>
      </c>
      <c r="D760" s="51" t="s">
        <v>3974</v>
      </c>
      <c r="E760" s="50">
        <v>2676</v>
      </c>
      <c r="F760" s="50">
        <v>2894</v>
      </c>
      <c r="G760" s="50" t="s">
        <v>3955</v>
      </c>
      <c r="H760" s="50"/>
      <c r="I760" s="105"/>
      <c r="J760" s="50"/>
      <c r="K760" s="50" t="s">
        <v>200</v>
      </c>
      <c r="L760" s="50" t="s">
        <v>328</v>
      </c>
      <c r="M760" s="50" t="s">
        <v>1982</v>
      </c>
      <c r="N760" s="50"/>
      <c r="O760" s="50"/>
      <c r="P760" s="50"/>
      <c r="Q760" s="50"/>
      <c r="R760" s="50"/>
      <c r="S760" s="50" t="str">
        <f t="shared" si="75"/>
        <v/>
      </c>
      <c r="T760" s="50" t="str">
        <f t="shared" si="81"/>
        <v/>
      </c>
      <c r="U760" s="50" t="str">
        <f t="shared" si="81"/>
        <v/>
      </c>
      <c r="V760" s="50" t="str">
        <f t="shared" si="78"/>
        <v/>
      </c>
      <c r="W760" s="50"/>
      <c r="X760" s="50"/>
      <c r="Y760" s="50"/>
      <c r="Z760" s="50"/>
      <c r="AA760" s="50"/>
    </row>
    <row r="761" spans="1:27" ht="25.5" customHeight="1">
      <c r="A761" s="517" t="s">
        <v>776</v>
      </c>
      <c r="B761" s="51" t="s">
        <v>1114</v>
      </c>
      <c r="C761" s="51" t="s">
        <v>143</v>
      </c>
      <c r="D761" s="51" t="s">
        <v>3727</v>
      </c>
      <c r="E761" s="50">
        <v>1601</v>
      </c>
      <c r="F761" s="50">
        <v>1749</v>
      </c>
      <c r="G761" s="50" t="s">
        <v>3955</v>
      </c>
      <c r="H761" s="50"/>
      <c r="I761" s="105"/>
      <c r="J761" s="50"/>
      <c r="K761" s="50" t="s">
        <v>200</v>
      </c>
      <c r="L761" s="50" t="s">
        <v>328</v>
      </c>
      <c r="M761" s="50" t="s">
        <v>1982</v>
      </c>
      <c r="N761" s="50"/>
      <c r="O761" s="50"/>
      <c r="P761" s="50"/>
      <c r="Q761" s="50"/>
      <c r="R761" s="50"/>
      <c r="S761" s="50" t="str">
        <f t="shared" si="75"/>
        <v/>
      </c>
      <c r="T761" s="50" t="str">
        <f t="shared" si="81"/>
        <v/>
      </c>
      <c r="U761" s="50" t="str">
        <f t="shared" si="81"/>
        <v/>
      </c>
      <c r="V761" s="50" t="str">
        <f t="shared" si="78"/>
        <v/>
      </c>
      <c r="W761" s="50"/>
      <c r="X761" s="50"/>
      <c r="Y761" s="50"/>
      <c r="Z761" s="50"/>
      <c r="AA761" s="50"/>
    </row>
    <row r="762" spans="1:27" s="110" customFormat="1" ht="25.5" customHeight="1">
      <c r="A762" s="517" t="s">
        <v>776</v>
      </c>
      <c r="B762" s="51" t="s">
        <v>1114</v>
      </c>
      <c r="C762" s="51" t="s">
        <v>143</v>
      </c>
      <c r="D762" s="51" t="s">
        <v>1125</v>
      </c>
      <c r="E762" s="50">
        <v>4875</v>
      </c>
      <c r="F762" s="50">
        <v>12578</v>
      </c>
      <c r="G762" s="50" t="s">
        <v>3955</v>
      </c>
      <c r="H762" s="50"/>
      <c r="I762" s="105"/>
      <c r="J762" s="50"/>
      <c r="K762" s="50" t="s">
        <v>200</v>
      </c>
      <c r="L762" s="50" t="s">
        <v>328</v>
      </c>
      <c r="M762" s="50" t="s">
        <v>1982</v>
      </c>
      <c r="N762" s="50"/>
      <c r="O762" s="50"/>
      <c r="P762" s="50"/>
      <c r="Q762" s="50"/>
      <c r="R762" s="50"/>
      <c r="S762" s="50" t="str">
        <f t="shared" si="75"/>
        <v/>
      </c>
      <c r="T762" s="50" t="str">
        <f t="shared" si="81"/>
        <v/>
      </c>
      <c r="U762" s="50" t="str">
        <f t="shared" si="81"/>
        <v/>
      </c>
      <c r="V762" s="50" t="str">
        <f t="shared" si="78"/>
        <v/>
      </c>
      <c r="W762" s="50"/>
      <c r="X762" s="50"/>
      <c r="Y762" s="50"/>
      <c r="Z762" s="50"/>
      <c r="AA762" s="50"/>
    </row>
    <row r="763" spans="1:27" ht="25.5" customHeight="1">
      <c r="A763" s="517" t="s">
        <v>776</v>
      </c>
      <c r="B763" s="51" t="s">
        <v>1114</v>
      </c>
      <c r="C763" s="51" t="s">
        <v>143</v>
      </c>
      <c r="D763" s="51" t="s">
        <v>4323</v>
      </c>
      <c r="E763" s="50">
        <v>3679</v>
      </c>
      <c r="F763" s="50">
        <v>3560</v>
      </c>
      <c r="G763" s="50" t="s">
        <v>3955</v>
      </c>
      <c r="H763" s="50"/>
      <c r="I763" s="105"/>
      <c r="J763" s="50"/>
      <c r="K763" s="50" t="s">
        <v>200</v>
      </c>
      <c r="L763" s="50" t="s">
        <v>328</v>
      </c>
      <c r="M763" s="50" t="s">
        <v>1982</v>
      </c>
      <c r="N763" s="50"/>
      <c r="O763" s="50"/>
      <c r="P763" s="50"/>
      <c r="Q763" s="50"/>
      <c r="R763" s="50"/>
      <c r="S763" s="50" t="str">
        <f t="shared" si="75"/>
        <v/>
      </c>
      <c r="T763" s="50" t="str">
        <f t="shared" si="81"/>
        <v/>
      </c>
      <c r="U763" s="50" t="str">
        <f t="shared" si="81"/>
        <v/>
      </c>
      <c r="V763" s="50" t="str">
        <f t="shared" si="78"/>
        <v/>
      </c>
      <c r="W763" s="50"/>
      <c r="X763" s="50"/>
      <c r="Y763" s="50"/>
      <c r="Z763" s="50"/>
      <c r="AA763" s="50"/>
    </row>
    <row r="764" spans="1:27" ht="25.5" customHeight="1">
      <c r="A764" s="517" t="s">
        <v>776</v>
      </c>
      <c r="B764" s="51" t="s">
        <v>1127</v>
      </c>
      <c r="C764" s="51" t="s">
        <v>143</v>
      </c>
      <c r="D764" s="51" t="s">
        <v>4324</v>
      </c>
      <c r="E764" s="50">
        <v>3163</v>
      </c>
      <c r="F764" s="50">
        <v>3253</v>
      </c>
      <c r="G764" s="50" t="s">
        <v>3404</v>
      </c>
      <c r="H764" s="50">
        <v>2025</v>
      </c>
      <c r="I764" s="132">
        <v>45875</v>
      </c>
      <c r="J764" s="50" t="s">
        <v>3988</v>
      </c>
      <c r="K764" s="50" t="s">
        <v>200</v>
      </c>
      <c r="L764" s="50" t="s">
        <v>328</v>
      </c>
      <c r="M764" s="50" t="s">
        <v>1982</v>
      </c>
      <c r="N764" s="50" t="s">
        <v>4325</v>
      </c>
      <c r="O764" s="60">
        <v>45880</v>
      </c>
      <c r="P764" s="60"/>
      <c r="Q764" s="60">
        <v>45904</v>
      </c>
      <c r="R764" s="60">
        <v>45909</v>
      </c>
      <c r="S764" s="50">
        <f t="shared" si="75"/>
        <v>3</v>
      </c>
      <c r="T764" s="50" t="str">
        <f>IF(
    OR(ISBLANK(O764), ISBLANK(P764)),
    "",
    MAX(1, IF(
        NETWORKDAYS(O764, P764) &lt;= 0,
        1,
        NETWORKDAYS(O764:P764, Q764) - IF(P764 = Q764, 0, 1)
    ))
)</f>
        <v/>
      </c>
      <c r="U764" s="50">
        <f>IF(
    OR(ISBLANK(O764), ISBLANK(Q764)),
    "",
    MAX(1, IF(
        NETWORKDAYS(O764, Q764) &lt;= 0,
        1,
        NETWORKDAYS(O764, Q764) - IF(O764 = Q764, 0, 1)
    ))
)</f>
        <v>18</v>
      </c>
      <c r="V764" s="50">
        <f t="shared" si="78"/>
        <v>3</v>
      </c>
      <c r="W764" s="50" t="s">
        <v>150</v>
      </c>
      <c r="X764" s="50" t="s">
        <v>4</v>
      </c>
      <c r="Y764" s="50" t="s">
        <v>57</v>
      </c>
      <c r="Z764" s="50" t="s">
        <v>3406</v>
      </c>
      <c r="AA764" s="50"/>
    </row>
    <row r="765" spans="1:27" ht="25.5" customHeight="1">
      <c r="A765" s="517" t="s">
        <v>776</v>
      </c>
      <c r="B765" s="51" t="s">
        <v>1127</v>
      </c>
      <c r="C765" s="51" t="s">
        <v>143</v>
      </c>
      <c r="D765" s="51" t="s">
        <v>4326</v>
      </c>
      <c r="E765" s="50">
        <v>1582</v>
      </c>
      <c r="F765" s="50">
        <v>1886</v>
      </c>
      <c r="G765" s="50" t="s">
        <v>3955</v>
      </c>
      <c r="H765" s="50"/>
      <c r="I765" s="105"/>
      <c r="J765" s="50"/>
      <c r="K765" s="50"/>
      <c r="L765" s="50" t="s">
        <v>328</v>
      </c>
      <c r="M765" s="50" t="s">
        <v>1982</v>
      </c>
      <c r="N765" s="50"/>
      <c r="O765" s="50"/>
      <c r="P765" s="50"/>
      <c r="Q765" s="50"/>
      <c r="R765" s="50"/>
      <c r="S765" s="50" t="str">
        <f t="shared" si="75"/>
        <v/>
      </c>
      <c r="T765" s="50" t="str">
        <f>IF(
    OR(ISBLANK(O765), ISBLANK(P765)),
    "",
    MAX(1, IF(
        NETWORKDAYS(O765, P765) &lt;= 0,
        1,
        NETWORKDAYS(O765, P765) - IF(O765 = P765, 0, 1)
    ))
)</f>
        <v/>
      </c>
      <c r="U765" s="50" t="str">
        <f>IF(
    OR(ISBLANK(P765), ISBLANK(Q765)),
    "",
    MAX(1, IF(
        NETWORKDAYS(P765, Q765) &lt;= 0,
        1,
        NETWORKDAYS(P765, Q765) - IF(P765 = Q765, 0, 1)
    ))
)</f>
        <v/>
      </c>
      <c r="V765" s="50" t="str">
        <f t="shared" si="78"/>
        <v/>
      </c>
      <c r="W765" s="50"/>
      <c r="X765" s="50"/>
      <c r="Y765" s="50"/>
      <c r="Z765" s="50"/>
      <c r="AA765" s="50"/>
    </row>
    <row r="766" spans="1:27" ht="25.5" customHeight="1">
      <c r="A766" s="517" t="s">
        <v>776</v>
      </c>
      <c r="B766" s="51" t="s">
        <v>1127</v>
      </c>
      <c r="C766" s="51" t="s">
        <v>143</v>
      </c>
      <c r="D766" s="51" t="s">
        <v>4327</v>
      </c>
      <c r="E766" s="50">
        <v>4262</v>
      </c>
      <c r="F766" s="50">
        <v>4708</v>
      </c>
      <c r="G766" s="50" t="s">
        <v>3404</v>
      </c>
      <c r="H766" s="50">
        <v>2025</v>
      </c>
      <c r="I766" s="132">
        <v>45755</v>
      </c>
      <c r="J766" s="50" t="s">
        <v>3470</v>
      </c>
      <c r="K766" s="50" t="s">
        <v>200</v>
      </c>
      <c r="L766" s="50" t="s">
        <v>328</v>
      </c>
      <c r="M766" s="50" t="s">
        <v>1982</v>
      </c>
      <c r="N766" s="50" t="s">
        <v>4328</v>
      </c>
      <c r="O766" s="60">
        <v>45758</v>
      </c>
      <c r="P766" s="50"/>
      <c r="Q766" s="60">
        <v>45761</v>
      </c>
      <c r="R766" s="60">
        <v>45762</v>
      </c>
      <c r="S766" s="50">
        <f t="shared" si="75"/>
        <v>3</v>
      </c>
      <c r="T766" s="50" t="str">
        <f>IF(
    OR(ISBLANK(O766), ISBLANK(P766)),
    "",
    MAX(1, IF(
        NETWORKDAYS(O766, P766) &lt;= 0,
        1,
        NETWORKDAYS(O766:P766, Q766) - IF(P766 = Q766, 0, 1)
    ))
)</f>
        <v/>
      </c>
      <c r="U766" s="50">
        <f>IF(
    OR(ISBLANK(O766), ISBLANK(Q766)),
    "",
    MAX(1, IF(
        NETWORKDAYS(O766, Q766) &lt;= 0,
        1,
        NETWORKDAYS(O766, Q766) - IF(O766 = Q766, 0, 1)
    ))
)</f>
        <v>1</v>
      </c>
      <c r="V766" s="50">
        <f t="shared" si="78"/>
        <v>1</v>
      </c>
      <c r="W766" s="50" t="s">
        <v>150</v>
      </c>
      <c r="X766" s="50" t="s">
        <v>4</v>
      </c>
      <c r="Y766" s="50" t="s">
        <v>50</v>
      </c>
      <c r="Z766" s="50" t="s">
        <v>3406</v>
      </c>
      <c r="AA766" s="50"/>
    </row>
    <row r="767" spans="1:27" ht="25.5" customHeight="1">
      <c r="A767" s="517" t="s">
        <v>776</v>
      </c>
      <c r="B767" s="51" t="s">
        <v>1127</v>
      </c>
      <c r="C767" s="51" t="s">
        <v>143</v>
      </c>
      <c r="D767" s="51" t="s">
        <v>4329</v>
      </c>
      <c r="E767" s="50">
        <v>1545</v>
      </c>
      <c r="F767" s="50">
        <v>1389</v>
      </c>
      <c r="G767" s="50" t="s">
        <v>3955</v>
      </c>
      <c r="H767" s="50"/>
      <c r="I767" s="105"/>
      <c r="J767" s="50"/>
      <c r="K767" s="50" t="s">
        <v>200</v>
      </c>
      <c r="L767" s="50" t="s">
        <v>328</v>
      </c>
      <c r="M767" s="50" t="s">
        <v>1982</v>
      </c>
      <c r="N767" s="50"/>
      <c r="O767" s="50"/>
      <c r="P767" s="50"/>
      <c r="Q767" s="50"/>
      <c r="R767" s="50"/>
      <c r="S767" s="50" t="str">
        <f t="shared" si="75"/>
        <v/>
      </c>
      <c r="T767" s="50" t="str">
        <f>IF(
    OR(ISBLANK(O767), ISBLANK(P767)),
    "",
    MAX(1, IF(
        NETWORKDAYS(O767, P767) &lt;= 0,
        1,
        NETWORKDAYS(O767, P767) - IF(O767 = P767, 0, 1)
    ))
)</f>
        <v/>
      </c>
      <c r="U767" s="50" t="str">
        <f>IF(
    OR(ISBLANK(P767), ISBLANK(Q767)),
    "",
    MAX(1, IF(
        NETWORKDAYS(P767, Q767) &lt;= 0,
        1,
        NETWORKDAYS(P767, Q767) - IF(P767 = Q767, 0, 1)
    ))
)</f>
        <v/>
      </c>
      <c r="V767" s="50" t="str">
        <f t="shared" si="78"/>
        <v/>
      </c>
      <c r="W767" s="50"/>
      <c r="X767" s="50"/>
      <c r="Y767" s="50"/>
      <c r="Z767" s="50"/>
      <c r="AA767" s="50"/>
    </row>
    <row r="768" spans="1:27" ht="25.5" customHeight="1">
      <c r="A768" s="517" t="s">
        <v>776</v>
      </c>
      <c r="B768" s="51" t="s">
        <v>1127</v>
      </c>
      <c r="C768" s="51" t="s">
        <v>143</v>
      </c>
      <c r="D768" s="51" t="s">
        <v>3974</v>
      </c>
      <c r="E768" s="50">
        <v>4847</v>
      </c>
      <c r="F768" s="50">
        <v>4810</v>
      </c>
      <c r="G768" s="50" t="s">
        <v>3404</v>
      </c>
      <c r="H768" s="50">
        <v>2025</v>
      </c>
      <c r="I768" s="132">
        <v>45875</v>
      </c>
      <c r="J768" s="50" t="s">
        <v>3988</v>
      </c>
      <c r="K768" s="50" t="s">
        <v>200</v>
      </c>
      <c r="L768" s="50" t="s">
        <v>328</v>
      </c>
      <c r="M768" s="50" t="s">
        <v>1982</v>
      </c>
      <c r="N768" s="50" t="s">
        <v>4330</v>
      </c>
      <c r="O768" s="60">
        <v>45880</v>
      </c>
      <c r="P768" s="50"/>
      <c r="Q768" s="60">
        <v>45904</v>
      </c>
      <c r="R768" s="60">
        <v>45909</v>
      </c>
      <c r="S768" s="50">
        <f t="shared" si="75"/>
        <v>3</v>
      </c>
      <c r="T768" s="50" t="str">
        <f>IF(
    OR(ISBLANK(O768), ISBLANK(P768)),
    "",
    MAX(1, IF(
        NETWORKDAYS(O768, P768) &lt;= 0,
        1,
        NETWORKDAYS(O768:P768, Q768) - IF(P768 = Q768, 0, 1)
    ))
)</f>
        <v/>
      </c>
      <c r="U768" s="50">
        <f>IF(
    OR(ISBLANK(O768), ISBLANK(Q768)),
    "",
    MAX(1, IF(
        NETWORKDAYS(O768, Q768) &lt;= 0,
        1,
        NETWORKDAYS(O768, Q768) - IF(O768 = Q768, 0, 1)
    ))
)</f>
        <v>18</v>
      </c>
      <c r="V768" s="50">
        <f t="shared" si="78"/>
        <v>3</v>
      </c>
      <c r="W768" s="50" t="s">
        <v>150</v>
      </c>
      <c r="X768" s="50" t="s">
        <v>4</v>
      </c>
      <c r="Y768" s="50" t="s">
        <v>50</v>
      </c>
      <c r="Z768" s="50" t="s">
        <v>3406</v>
      </c>
      <c r="AA768" s="50"/>
    </row>
    <row r="769" spans="1:27" ht="25.5" customHeight="1">
      <c r="A769" s="50" t="s">
        <v>776</v>
      </c>
      <c r="B769" s="51" t="s">
        <v>1127</v>
      </c>
      <c r="C769" s="51" t="s">
        <v>143</v>
      </c>
      <c r="D769" s="51" t="s">
        <v>1056</v>
      </c>
      <c r="E769" s="50">
        <v>1194</v>
      </c>
      <c r="F769" s="50">
        <v>1462</v>
      </c>
      <c r="G769" s="50" t="s">
        <v>3404</v>
      </c>
      <c r="H769" s="50">
        <v>2024</v>
      </c>
      <c r="I769" s="132">
        <v>45450</v>
      </c>
      <c r="J769" s="50"/>
      <c r="K769" s="50" t="s">
        <v>200</v>
      </c>
      <c r="L769" s="50" t="s">
        <v>328</v>
      </c>
      <c r="M769" s="50" t="s">
        <v>1982</v>
      </c>
      <c r="N769" s="50"/>
      <c r="O769" s="50"/>
      <c r="P769" s="50"/>
      <c r="Q769" s="50"/>
      <c r="R769" s="50"/>
      <c r="S769" s="50" t="str">
        <f t="shared" si="75"/>
        <v/>
      </c>
      <c r="T769" s="50" t="str">
        <f>IF(
    OR(ISBLANK(O769), ISBLANK(P769)),
    "",
    MAX(1, IF(
        NETWORKDAYS(O769, P769) &lt;= 0,
        1,
        NETWORKDAYS(O769, P769) - IF(O769 = P769, 0, 1)
    ))
)</f>
        <v/>
      </c>
      <c r="U769" s="50" t="str">
        <f>IF(
    OR(ISBLANK(P769), ISBLANK(Q769)),
    "",
    MAX(1, IF(
        NETWORKDAYS(P769, Q769) &lt;= 0,
        1,
        NETWORKDAYS(P769, Q769) - IF(P769 = Q769, 0, 1)
    ))
)</f>
        <v/>
      </c>
      <c r="V769" s="50" t="str">
        <f t="shared" si="78"/>
        <v/>
      </c>
      <c r="W769" s="50"/>
      <c r="X769" s="50"/>
      <c r="Y769" s="50"/>
      <c r="Z769" s="50" t="s">
        <v>3406</v>
      </c>
      <c r="AA769" s="50"/>
    </row>
    <row r="770" spans="1:27" ht="25.5" customHeight="1">
      <c r="A770" s="517" t="s">
        <v>776</v>
      </c>
      <c r="B770" s="51" t="s">
        <v>1127</v>
      </c>
      <c r="C770" s="51" t="s">
        <v>143</v>
      </c>
      <c r="D770" s="51" t="s">
        <v>4331</v>
      </c>
      <c r="E770" s="50">
        <v>1439</v>
      </c>
      <c r="F770" s="50">
        <v>1423</v>
      </c>
      <c r="G770" s="50" t="s">
        <v>3955</v>
      </c>
      <c r="H770" s="50"/>
      <c r="I770" s="105"/>
      <c r="J770" s="50"/>
      <c r="K770" s="50" t="s">
        <v>200</v>
      </c>
      <c r="L770" s="50" t="s">
        <v>328</v>
      </c>
      <c r="M770" s="50" t="s">
        <v>1982</v>
      </c>
      <c r="N770" s="50"/>
      <c r="O770" s="50"/>
      <c r="P770" s="50"/>
      <c r="Q770" s="50"/>
      <c r="R770" s="50"/>
      <c r="S770" s="50" t="str">
        <f t="shared" si="75"/>
        <v/>
      </c>
      <c r="T770" s="50" t="str">
        <f>IF(
    OR(ISBLANK(O770), ISBLANK(P770)),
    "",
    MAX(1, IF(
        NETWORKDAYS(O770, P770) &lt;= 0,
        1,
        NETWORKDAYS(O770, P770) - IF(O770 = P770, 0, 1)
    ))
)</f>
        <v/>
      </c>
      <c r="U770" s="50" t="str">
        <f>IF(
    OR(ISBLANK(P770), ISBLANK(Q770)),
    "",
    MAX(1, IF(
        NETWORKDAYS(P770, Q770) &lt;= 0,
        1,
        NETWORKDAYS(P770, Q770) - IF(P770 = Q770, 0, 1)
    ))
)</f>
        <v/>
      </c>
      <c r="V770" s="50" t="str">
        <f t="shared" si="78"/>
        <v/>
      </c>
      <c r="W770" s="50"/>
      <c r="X770" s="50"/>
      <c r="Y770" s="50"/>
      <c r="Z770" s="50"/>
      <c r="AA770" s="50"/>
    </row>
    <row r="771" spans="1:27" ht="25.5" customHeight="1">
      <c r="A771" s="517" t="s">
        <v>776</v>
      </c>
      <c r="B771" s="51" t="s">
        <v>1127</v>
      </c>
      <c r="C771" s="51" t="s">
        <v>143</v>
      </c>
      <c r="D771" s="51" t="s">
        <v>4332</v>
      </c>
      <c r="E771" s="50">
        <v>3641</v>
      </c>
      <c r="F771" s="50">
        <v>3427</v>
      </c>
      <c r="G771" s="50" t="s">
        <v>3404</v>
      </c>
      <c r="H771" s="50">
        <v>2025</v>
      </c>
      <c r="I771" s="132">
        <v>45821</v>
      </c>
      <c r="J771" s="60" t="s">
        <v>3689</v>
      </c>
      <c r="K771" s="50" t="s">
        <v>200</v>
      </c>
      <c r="L771" s="50" t="s">
        <v>328</v>
      </c>
      <c r="M771" s="50" t="s">
        <v>1982</v>
      </c>
      <c r="N771" s="50" t="s">
        <v>4333</v>
      </c>
      <c r="O771" s="60">
        <v>45822</v>
      </c>
      <c r="P771" s="60">
        <v>45823</v>
      </c>
      <c r="Q771" s="60">
        <v>45823</v>
      </c>
      <c r="R771" s="60">
        <v>45826</v>
      </c>
      <c r="S771" s="50">
        <f t="shared" si="75"/>
        <v>1</v>
      </c>
      <c r="T771" s="50">
        <f>IF(
    OR(ISBLANK(P771), ISBLANK(Q771)),
    "",
    MAX(1, IF(
        NETWORKDAYS(P771, Q771) &lt;= 0,
        1,
        NETWORKDAYS(P771, Q771) - IF(P771 = Q771, 0, 1)
    ))
)</f>
        <v>1</v>
      </c>
      <c r="U771" s="50">
        <f t="shared" ref="U771:U776" si="82">IF(
    OR(ISBLANK(P771), ISBLANK(Q771)),
    "",
    MAX(1, IF(
        NETWORKDAYS(P771, Q771) &lt;= 0,
        1,
        NETWORKDAYS(P771, Q771) - IF(P771 = Q771, 0, 1)
    ))
)</f>
        <v>1</v>
      </c>
      <c r="V771" s="50">
        <f t="shared" si="78"/>
        <v>2</v>
      </c>
      <c r="W771" s="50" t="s">
        <v>150</v>
      </c>
      <c r="X771" s="50" t="s">
        <v>4</v>
      </c>
      <c r="Y771" s="50" t="s">
        <v>62</v>
      </c>
      <c r="Z771" s="50" t="s">
        <v>3406</v>
      </c>
      <c r="AA771" s="50"/>
    </row>
    <row r="772" spans="1:27" ht="25.5" customHeight="1">
      <c r="A772" s="50" t="s">
        <v>776</v>
      </c>
      <c r="B772" s="51" t="s">
        <v>1127</v>
      </c>
      <c r="C772" s="51" t="s">
        <v>143</v>
      </c>
      <c r="D772" s="51" t="s">
        <v>1128</v>
      </c>
      <c r="E772" s="50">
        <v>11177</v>
      </c>
      <c r="F772" s="50">
        <v>12011</v>
      </c>
      <c r="G772" s="50" t="s">
        <v>3404</v>
      </c>
      <c r="H772" s="50">
        <v>2024</v>
      </c>
      <c r="I772" s="132">
        <v>45484</v>
      </c>
      <c r="J772" s="50"/>
      <c r="K772" s="50" t="s">
        <v>200</v>
      </c>
      <c r="L772" s="50" t="s">
        <v>328</v>
      </c>
      <c r="M772" s="50" t="s">
        <v>1982</v>
      </c>
      <c r="N772" s="50"/>
      <c r="O772" s="50"/>
      <c r="P772" s="50"/>
      <c r="Q772" s="50"/>
      <c r="R772" s="50"/>
      <c r="S772" s="50" t="str">
        <f t="shared" si="75"/>
        <v/>
      </c>
      <c r="T772" s="50" t="str">
        <f>IF(
    OR(ISBLANK(O772), ISBLANK(P772)),
    "",
    MAX(1, IF(
        NETWORKDAYS(O772, P772) &lt;= 0,
        1,
        NETWORKDAYS(O772, P772) - IF(O772 = P772, 0, 1)
    ))
)</f>
        <v/>
      </c>
      <c r="U772" s="50" t="str">
        <f t="shared" si="82"/>
        <v/>
      </c>
      <c r="V772" s="50" t="str">
        <f t="shared" si="78"/>
        <v/>
      </c>
      <c r="W772" s="50"/>
      <c r="X772" s="50" t="s">
        <v>4</v>
      </c>
      <c r="Y772" s="50" t="s">
        <v>50</v>
      </c>
      <c r="Z772" s="50" t="s">
        <v>3406</v>
      </c>
      <c r="AA772" s="50"/>
    </row>
    <row r="773" spans="1:27" ht="25.5" customHeight="1">
      <c r="A773" s="517" t="s">
        <v>776</v>
      </c>
      <c r="B773" s="51" t="s">
        <v>1127</v>
      </c>
      <c r="C773" s="51" t="s">
        <v>143</v>
      </c>
      <c r="D773" s="51" t="s">
        <v>858</v>
      </c>
      <c r="E773" s="50">
        <v>5211</v>
      </c>
      <c r="F773" s="50">
        <v>5209</v>
      </c>
      <c r="G773" s="50" t="s">
        <v>3955</v>
      </c>
      <c r="H773" s="50"/>
      <c r="I773" s="105"/>
      <c r="J773" s="50"/>
      <c r="K773" s="50" t="s">
        <v>200</v>
      </c>
      <c r="L773" s="50" t="s">
        <v>328</v>
      </c>
      <c r="M773" s="50" t="s">
        <v>1982</v>
      </c>
      <c r="N773" s="50"/>
      <c r="O773" s="50"/>
      <c r="P773" s="50"/>
      <c r="Q773" s="50"/>
      <c r="R773" s="50"/>
      <c r="S773" s="50" t="str">
        <f t="shared" si="75"/>
        <v/>
      </c>
      <c r="T773" s="50" t="str">
        <f>IF(
    OR(ISBLANK(O773), ISBLANK(P773)),
    "",
    MAX(1, IF(
        NETWORKDAYS(O773, P773) &lt;= 0,
        1,
        NETWORKDAYS(O773, P773) - IF(O773 = P773, 0, 1)
    ))
)</f>
        <v/>
      </c>
      <c r="U773" s="50" t="str">
        <f t="shared" si="82"/>
        <v/>
      </c>
      <c r="V773" s="50" t="str">
        <f t="shared" si="78"/>
        <v/>
      </c>
      <c r="W773" s="50"/>
      <c r="X773" s="50"/>
      <c r="Y773" s="50"/>
      <c r="Z773" s="50"/>
      <c r="AA773" s="50"/>
    </row>
    <row r="774" spans="1:27" ht="25.5" customHeight="1">
      <c r="A774" s="50" t="s">
        <v>776</v>
      </c>
      <c r="B774" s="51" t="s">
        <v>1127</v>
      </c>
      <c r="C774" s="51" t="s">
        <v>143</v>
      </c>
      <c r="D774" s="51" t="s">
        <v>1166</v>
      </c>
      <c r="E774" s="50">
        <v>2811</v>
      </c>
      <c r="F774" s="50">
        <v>3176</v>
      </c>
      <c r="G774" s="50" t="s">
        <v>3404</v>
      </c>
      <c r="H774" s="50">
        <v>2024</v>
      </c>
      <c r="I774" s="132">
        <v>45484</v>
      </c>
      <c r="J774" s="50"/>
      <c r="K774" s="50" t="s">
        <v>200</v>
      </c>
      <c r="L774" s="50" t="s">
        <v>328</v>
      </c>
      <c r="M774" s="50" t="s">
        <v>1982</v>
      </c>
      <c r="N774" s="50"/>
      <c r="O774" s="60"/>
      <c r="P774" s="50"/>
      <c r="Q774" s="50"/>
      <c r="R774" s="50"/>
      <c r="S774" s="50" t="str">
        <f t="shared" si="75"/>
        <v/>
      </c>
      <c r="T774" s="50" t="str">
        <f>IF(
    OR(ISBLANK(O774), ISBLANK(P774)),
    "",
    MAX(1, IF(
        NETWORKDAYS(O774, P774) &lt;= 0,
        1,
        NETWORKDAYS(O774, P774) - IF(O774 = P774, 0, 1)
    ))
)</f>
        <v/>
      </c>
      <c r="U774" s="50" t="str">
        <f t="shared" si="82"/>
        <v/>
      </c>
      <c r="V774" s="50" t="str">
        <f t="shared" si="78"/>
        <v/>
      </c>
      <c r="W774" s="50"/>
      <c r="X774" s="50" t="s">
        <v>4</v>
      </c>
      <c r="Y774" s="50" t="s">
        <v>50</v>
      </c>
      <c r="Z774" s="50" t="s">
        <v>3406</v>
      </c>
      <c r="AA774" s="50"/>
    </row>
    <row r="775" spans="1:27" ht="25.5" customHeight="1">
      <c r="A775" s="517" t="s">
        <v>776</v>
      </c>
      <c r="B775" s="51" t="s">
        <v>1127</v>
      </c>
      <c r="C775" s="51" t="s">
        <v>143</v>
      </c>
      <c r="D775" s="51" t="s">
        <v>1899</v>
      </c>
      <c r="E775" s="50">
        <v>1611</v>
      </c>
      <c r="F775" s="50">
        <v>1386</v>
      </c>
      <c r="G775" s="50" t="s">
        <v>3955</v>
      </c>
      <c r="H775" s="50"/>
      <c r="I775" s="105"/>
      <c r="J775" s="50"/>
      <c r="K775" s="50" t="s">
        <v>200</v>
      </c>
      <c r="L775" s="50" t="s">
        <v>328</v>
      </c>
      <c r="M775" s="50" t="s">
        <v>1982</v>
      </c>
      <c r="N775" s="50"/>
      <c r="O775" s="50"/>
      <c r="P775" s="50"/>
      <c r="Q775" s="50"/>
      <c r="R775" s="50"/>
      <c r="S775" s="50" t="str">
        <f t="shared" ref="S775:S838" si="83">IF(
    OR(ISBLANK(I775), ISBLANK(O775)),
    "",
    MAX(1, IF(
        NETWORKDAYS(I775, O775) &lt;= 0,
        1,
        NETWORKDAYS(I775, O775) - IF(I775 = O775, 0, 1)
    ))
)</f>
        <v/>
      </c>
      <c r="T775" s="50" t="str">
        <f>IF(
    OR(ISBLANK(O775), ISBLANK(P775)),
    "",
    MAX(1, IF(
        NETWORKDAYS(O775, P775) &lt;= 0,
        1,
        NETWORKDAYS(O775, P775) - IF(O775 = P775, 0, 1)
    ))
)</f>
        <v/>
      </c>
      <c r="U775" s="50" t="str">
        <f t="shared" si="82"/>
        <v/>
      </c>
      <c r="V775" s="50" t="str">
        <f t="shared" si="78"/>
        <v/>
      </c>
      <c r="W775" s="50"/>
      <c r="X775" s="50"/>
      <c r="Y775" s="50"/>
      <c r="Z775" s="50"/>
      <c r="AA775" s="50"/>
    </row>
    <row r="776" spans="1:27" ht="25.5" customHeight="1">
      <c r="A776" s="50" t="s">
        <v>776</v>
      </c>
      <c r="B776" s="51" t="s">
        <v>1127</v>
      </c>
      <c r="C776" s="51" t="s">
        <v>143</v>
      </c>
      <c r="D776" s="51" t="s">
        <v>3727</v>
      </c>
      <c r="E776" s="50">
        <v>3640</v>
      </c>
      <c r="F776" s="50">
        <v>3574</v>
      </c>
      <c r="G776" s="50" t="s">
        <v>3404</v>
      </c>
      <c r="H776" s="50">
        <v>2025</v>
      </c>
      <c r="I776" s="132">
        <v>45821</v>
      </c>
      <c r="J776" s="50" t="s">
        <v>4334</v>
      </c>
      <c r="K776" s="50" t="s">
        <v>200</v>
      </c>
      <c r="L776" s="50" t="s">
        <v>388</v>
      </c>
      <c r="M776" s="50" t="s">
        <v>1982</v>
      </c>
      <c r="N776" s="50" t="s">
        <v>4335</v>
      </c>
      <c r="O776" s="60">
        <v>45822</v>
      </c>
      <c r="P776" s="60">
        <v>45823</v>
      </c>
      <c r="Q776" s="60">
        <v>45825</v>
      </c>
      <c r="R776" s="60">
        <v>45826</v>
      </c>
      <c r="S776" s="50">
        <f t="shared" si="83"/>
        <v>1</v>
      </c>
      <c r="T776" s="50">
        <f>IF(
    OR(ISBLANK(P776), ISBLANK(Q776)),
    "",
    MAX(1, IF(
        NETWORKDAYS(P776, Q776) &lt;= 0,
        1,
        NETWORKDAYS(P776, Q776) - IF(P776 = Q776, 0, 1)
    ))
)</f>
        <v>1</v>
      </c>
      <c r="U776" s="50">
        <f t="shared" si="82"/>
        <v>1</v>
      </c>
      <c r="V776" s="50">
        <f t="shared" si="78"/>
        <v>1</v>
      </c>
      <c r="W776" s="50" t="s">
        <v>150</v>
      </c>
      <c r="X776" s="50" t="s">
        <v>4</v>
      </c>
      <c r="Y776" s="50" t="s">
        <v>62</v>
      </c>
      <c r="Z776" s="50" t="s">
        <v>3406</v>
      </c>
      <c r="AA776" s="50"/>
    </row>
    <row r="777" spans="1:27" ht="25.5" customHeight="1">
      <c r="A777" s="517" t="s">
        <v>776</v>
      </c>
      <c r="B777" s="51" t="s">
        <v>1127</v>
      </c>
      <c r="C777" s="51" t="s">
        <v>143</v>
      </c>
      <c r="D777" s="51" t="s">
        <v>4261</v>
      </c>
      <c r="E777" s="50">
        <v>7171</v>
      </c>
      <c r="F777" s="50">
        <v>7982</v>
      </c>
      <c r="G777" s="50" t="s">
        <v>3404</v>
      </c>
      <c r="H777" s="50">
        <v>2025</v>
      </c>
      <c r="I777" s="132">
        <v>45755</v>
      </c>
      <c r="J777" s="50" t="s">
        <v>3470</v>
      </c>
      <c r="K777" s="50" t="s">
        <v>200</v>
      </c>
      <c r="L777" s="50" t="s">
        <v>328</v>
      </c>
      <c r="M777" s="50" t="s">
        <v>1982</v>
      </c>
      <c r="N777" s="50" t="s">
        <v>4336</v>
      </c>
      <c r="O777" s="60">
        <v>45755</v>
      </c>
      <c r="P777" s="50"/>
      <c r="Q777" s="60">
        <v>45761</v>
      </c>
      <c r="R777" s="60">
        <v>45762</v>
      </c>
      <c r="S777" s="50">
        <f t="shared" si="83"/>
        <v>1</v>
      </c>
      <c r="T777" s="50" t="str">
        <f>IF(
    OR(ISBLANK(O777), ISBLANK(P777)),
    "",
    MAX(1, IF(
        NETWORKDAYS(O777, P777) &lt;= 0,
        1,
        NETWORKDAYS(O777:P777, Q777) - IF(P777 = Q777, 0, 1)
    ))
)</f>
        <v/>
      </c>
      <c r="U777" s="50">
        <f>IF(
    OR(ISBLANK(O777), ISBLANK(Q777)),
    "",
    MAX(1, IF(
        NETWORKDAYS(O777, Q777) &lt;= 0,
        1,
        NETWORKDAYS(O777, Q777) - IF(O777 = Q777, 0, 1)
    ))
)</f>
        <v>4</v>
      </c>
      <c r="V777" s="50">
        <f t="shared" si="78"/>
        <v>1</v>
      </c>
      <c r="W777" s="50" t="s">
        <v>150</v>
      </c>
      <c r="X777" s="50" t="s">
        <v>4</v>
      </c>
      <c r="Y777" s="50" t="s">
        <v>50</v>
      </c>
      <c r="Z777" s="50" t="s">
        <v>3406</v>
      </c>
      <c r="AA777" s="50"/>
    </row>
    <row r="778" spans="1:27" s="110" customFormat="1" ht="25.5" customHeight="1">
      <c r="A778" s="521" t="s">
        <v>776</v>
      </c>
      <c r="B778" s="51" t="s">
        <v>1135</v>
      </c>
      <c r="C778" s="51" t="s">
        <v>143</v>
      </c>
      <c r="D778" s="51" t="s">
        <v>4337</v>
      </c>
      <c r="E778" s="50">
        <v>2585</v>
      </c>
      <c r="F778" s="50">
        <v>2821</v>
      </c>
      <c r="G778" s="50" t="s">
        <v>3404</v>
      </c>
      <c r="H778" s="50">
        <v>2024</v>
      </c>
      <c r="I778" s="132">
        <v>45552</v>
      </c>
      <c r="J778" s="50"/>
      <c r="K778" s="50" t="s">
        <v>388</v>
      </c>
      <c r="L778" s="50" t="s">
        <v>328</v>
      </c>
      <c r="M778" s="50" t="s">
        <v>1982</v>
      </c>
      <c r="N778" s="50"/>
      <c r="O778" s="60"/>
      <c r="P778" s="50"/>
      <c r="Q778" s="50"/>
      <c r="R778" s="50"/>
      <c r="S778" s="50" t="str">
        <f t="shared" si="83"/>
        <v/>
      </c>
      <c r="T778" s="50" t="str">
        <f t="shared" ref="T778:U784" si="84">IF(
    OR(ISBLANK(O778), ISBLANK(P778)),
    "",
    MAX(1, IF(
        NETWORKDAYS(O778, P778) &lt;= 0,
        1,
        NETWORKDAYS(O778, P778) - IF(O778 = P778, 0, 1)
    ))
)</f>
        <v/>
      </c>
      <c r="U778" s="50" t="str">
        <f t="shared" si="84"/>
        <v/>
      </c>
      <c r="V778" s="50" t="str">
        <f t="shared" si="78"/>
        <v/>
      </c>
      <c r="W778" s="50"/>
      <c r="X778" s="50" t="s">
        <v>4</v>
      </c>
      <c r="Y778" s="50" t="s">
        <v>50</v>
      </c>
      <c r="Z778" s="50" t="s">
        <v>3406</v>
      </c>
      <c r="AA778" s="50"/>
    </row>
    <row r="779" spans="1:27" ht="25.5" customHeight="1">
      <c r="A779" s="50" t="s">
        <v>776</v>
      </c>
      <c r="B779" s="51" t="s">
        <v>1135</v>
      </c>
      <c r="C779" s="51" t="s">
        <v>143</v>
      </c>
      <c r="D779" s="51" t="s">
        <v>1332</v>
      </c>
      <c r="E779" s="50">
        <v>3322</v>
      </c>
      <c r="F779" s="50">
        <v>4237</v>
      </c>
      <c r="G779" s="50" t="s">
        <v>3404</v>
      </c>
      <c r="H779" s="50">
        <v>2024</v>
      </c>
      <c r="I779" s="132">
        <v>45457</v>
      </c>
      <c r="J779" s="50"/>
      <c r="K779" s="50" t="s">
        <v>388</v>
      </c>
      <c r="L779" s="50" t="s">
        <v>328</v>
      </c>
      <c r="M779" s="50" t="s">
        <v>1982</v>
      </c>
      <c r="N779" s="50"/>
      <c r="O779" s="60"/>
      <c r="P779" s="50"/>
      <c r="Q779" s="50"/>
      <c r="R779" s="50"/>
      <c r="S779" s="50" t="str">
        <f t="shared" si="83"/>
        <v/>
      </c>
      <c r="T779" s="50" t="str">
        <f t="shared" si="84"/>
        <v/>
      </c>
      <c r="U779" s="50" t="str">
        <f t="shared" si="84"/>
        <v/>
      </c>
      <c r="V779" s="50" t="str">
        <f t="shared" si="78"/>
        <v/>
      </c>
      <c r="W779" s="50"/>
      <c r="X779" s="50"/>
      <c r="Y779" s="50"/>
      <c r="Z779" s="50"/>
      <c r="AA779" s="50"/>
    </row>
    <row r="780" spans="1:27" ht="25.5" customHeight="1">
      <c r="A780" s="521" t="s">
        <v>776</v>
      </c>
      <c r="B780" s="51" t="s">
        <v>1135</v>
      </c>
      <c r="C780" s="51" t="s">
        <v>143</v>
      </c>
      <c r="D780" s="51" t="s">
        <v>4338</v>
      </c>
      <c r="E780" s="50">
        <v>7030</v>
      </c>
      <c r="F780" s="50">
        <v>5892</v>
      </c>
      <c r="G780" s="50" t="s">
        <v>3404</v>
      </c>
      <c r="H780" s="50">
        <v>2024</v>
      </c>
      <c r="I780" s="105" t="s">
        <v>3589</v>
      </c>
      <c r="J780" s="50"/>
      <c r="K780" s="50" t="s">
        <v>388</v>
      </c>
      <c r="L780" s="50" t="s">
        <v>328</v>
      </c>
      <c r="M780" s="50" t="s">
        <v>1982</v>
      </c>
      <c r="N780" s="50"/>
      <c r="O780" s="50"/>
      <c r="P780" s="50"/>
      <c r="Q780" s="50"/>
      <c r="R780" s="50"/>
      <c r="S780" s="50" t="str">
        <f t="shared" si="83"/>
        <v/>
      </c>
      <c r="T780" s="50" t="str">
        <f t="shared" si="84"/>
        <v/>
      </c>
      <c r="U780" s="50" t="str">
        <f t="shared" si="84"/>
        <v/>
      </c>
      <c r="V780" s="50" t="str">
        <f t="shared" si="78"/>
        <v/>
      </c>
      <c r="W780" s="50"/>
      <c r="X780" s="50"/>
      <c r="Y780" s="50"/>
      <c r="Z780" s="50"/>
      <c r="AA780" s="50"/>
    </row>
    <row r="781" spans="1:27" ht="25.5" customHeight="1">
      <c r="A781" s="521" t="s">
        <v>776</v>
      </c>
      <c r="B781" s="51" t="s">
        <v>1135</v>
      </c>
      <c r="C781" s="51" t="s">
        <v>143</v>
      </c>
      <c r="D781" s="51" t="s">
        <v>4339</v>
      </c>
      <c r="E781" s="50">
        <v>9036</v>
      </c>
      <c r="F781" s="50">
        <v>8741</v>
      </c>
      <c r="G781" s="50" t="s">
        <v>3404</v>
      </c>
      <c r="H781" s="50">
        <v>2024</v>
      </c>
      <c r="I781" s="132">
        <v>45575</v>
      </c>
      <c r="J781" s="50"/>
      <c r="K781" s="50" t="s">
        <v>388</v>
      </c>
      <c r="L781" s="50" t="s">
        <v>328</v>
      </c>
      <c r="M781" s="50" t="s">
        <v>1982</v>
      </c>
      <c r="N781" s="50"/>
      <c r="O781" s="50"/>
      <c r="P781" s="50"/>
      <c r="Q781" s="50"/>
      <c r="R781" s="50"/>
      <c r="S781" s="50" t="str">
        <f t="shared" si="83"/>
        <v/>
      </c>
      <c r="T781" s="50" t="str">
        <f t="shared" si="84"/>
        <v/>
      </c>
      <c r="U781" s="50" t="str">
        <f t="shared" si="84"/>
        <v/>
      </c>
      <c r="V781" s="50" t="str">
        <f t="shared" si="78"/>
        <v/>
      </c>
      <c r="W781" s="50"/>
      <c r="X781" s="50" t="s">
        <v>4</v>
      </c>
      <c r="Y781" s="50" t="s">
        <v>50</v>
      </c>
      <c r="Z781" s="50" t="s">
        <v>3406</v>
      </c>
      <c r="AA781" s="50"/>
    </row>
    <row r="782" spans="1:27" ht="25.5" customHeight="1">
      <c r="A782" s="521" t="s">
        <v>776</v>
      </c>
      <c r="B782" s="51" t="s">
        <v>1135</v>
      </c>
      <c r="C782" s="51" t="s">
        <v>143</v>
      </c>
      <c r="D782" s="51" t="s">
        <v>4340</v>
      </c>
      <c r="E782" s="50">
        <v>4122</v>
      </c>
      <c r="F782" s="50">
        <v>4585</v>
      </c>
      <c r="G782" s="50" t="s">
        <v>3404</v>
      </c>
      <c r="H782" s="50">
        <v>2024</v>
      </c>
      <c r="I782" s="132">
        <v>45575</v>
      </c>
      <c r="J782" s="50"/>
      <c r="K782" s="50" t="s">
        <v>388</v>
      </c>
      <c r="L782" s="50" t="s">
        <v>328</v>
      </c>
      <c r="M782" s="50" t="s">
        <v>1982</v>
      </c>
      <c r="N782" s="50"/>
      <c r="O782" s="50"/>
      <c r="P782" s="50"/>
      <c r="Q782" s="50"/>
      <c r="R782" s="50"/>
      <c r="S782" s="50" t="str">
        <f t="shared" si="83"/>
        <v/>
      </c>
      <c r="T782" s="50" t="str">
        <f t="shared" si="84"/>
        <v/>
      </c>
      <c r="U782" s="50" t="str">
        <f t="shared" si="84"/>
        <v/>
      </c>
      <c r="V782" s="50" t="str">
        <f t="shared" si="78"/>
        <v/>
      </c>
      <c r="W782" s="50"/>
      <c r="X782" s="50" t="s">
        <v>1078</v>
      </c>
      <c r="Y782" s="50" t="s">
        <v>3528</v>
      </c>
      <c r="Z782" s="50" t="s">
        <v>3406</v>
      </c>
      <c r="AA782" s="50"/>
    </row>
    <row r="783" spans="1:27" ht="25.5" customHeight="1">
      <c r="A783" s="517" t="s">
        <v>776</v>
      </c>
      <c r="B783" s="51" t="s">
        <v>1135</v>
      </c>
      <c r="C783" s="51" t="s">
        <v>143</v>
      </c>
      <c r="D783" s="51" t="s">
        <v>1136</v>
      </c>
      <c r="E783" s="50">
        <v>5721</v>
      </c>
      <c r="F783" s="50">
        <v>6755</v>
      </c>
      <c r="G783" s="50" t="s">
        <v>3955</v>
      </c>
      <c r="H783" s="50"/>
      <c r="I783" s="105"/>
      <c r="J783" s="50"/>
      <c r="K783" s="50" t="s">
        <v>388</v>
      </c>
      <c r="L783" s="50" t="s">
        <v>328</v>
      </c>
      <c r="M783" s="50" t="s">
        <v>1982</v>
      </c>
      <c r="N783" s="50"/>
      <c r="O783" s="50"/>
      <c r="P783" s="50"/>
      <c r="Q783" s="50"/>
      <c r="R783" s="50"/>
      <c r="S783" s="50" t="str">
        <f t="shared" si="83"/>
        <v/>
      </c>
      <c r="T783" s="50" t="str">
        <f t="shared" si="84"/>
        <v/>
      </c>
      <c r="U783" s="50" t="str">
        <f t="shared" si="84"/>
        <v/>
      </c>
      <c r="V783" s="50" t="str">
        <f t="shared" si="78"/>
        <v/>
      </c>
      <c r="W783" s="50"/>
      <c r="X783" s="50"/>
      <c r="Y783" s="50"/>
      <c r="Z783" s="50"/>
      <c r="AA783" s="50"/>
    </row>
    <row r="784" spans="1:27" s="110" customFormat="1" ht="25.5" customHeight="1">
      <c r="A784" s="50" t="s">
        <v>776</v>
      </c>
      <c r="B784" s="51" t="s">
        <v>1135</v>
      </c>
      <c r="C784" s="51" t="s">
        <v>143</v>
      </c>
      <c r="D784" s="51" t="s">
        <v>4341</v>
      </c>
      <c r="E784" s="50">
        <v>4130</v>
      </c>
      <c r="F784" s="50">
        <v>6731</v>
      </c>
      <c r="G784" s="50" t="s">
        <v>3404</v>
      </c>
      <c r="H784" s="50">
        <v>2024</v>
      </c>
      <c r="I784" s="132">
        <v>45575</v>
      </c>
      <c r="J784" s="50"/>
      <c r="K784" s="50" t="s">
        <v>388</v>
      </c>
      <c r="L784" s="50" t="s">
        <v>328</v>
      </c>
      <c r="M784" s="50" t="s">
        <v>1982</v>
      </c>
      <c r="N784" s="50"/>
      <c r="O784" s="50"/>
      <c r="P784" s="50"/>
      <c r="Q784" s="50"/>
      <c r="R784" s="50"/>
      <c r="S784" s="50" t="str">
        <f t="shared" si="83"/>
        <v/>
      </c>
      <c r="T784" s="50" t="str">
        <f t="shared" si="84"/>
        <v/>
      </c>
      <c r="U784" s="50" t="str">
        <f t="shared" si="84"/>
        <v/>
      </c>
      <c r="V784" s="50" t="str">
        <f t="shared" si="78"/>
        <v/>
      </c>
      <c r="W784" s="50"/>
      <c r="X784" s="50" t="s">
        <v>4</v>
      </c>
      <c r="Y784" s="50" t="s">
        <v>50</v>
      </c>
      <c r="Z784" s="50" t="s">
        <v>3406</v>
      </c>
      <c r="AA784" s="50"/>
    </row>
    <row r="785" spans="1:27" ht="25.5" customHeight="1">
      <c r="A785" s="319" t="s">
        <v>776</v>
      </c>
      <c r="B785" s="319" t="s">
        <v>1135</v>
      </c>
      <c r="C785" s="319" t="s">
        <v>143</v>
      </c>
      <c r="D785" s="319" t="s">
        <v>4342</v>
      </c>
      <c r="E785" s="319">
        <v>3183</v>
      </c>
      <c r="F785" s="319">
        <v>3476</v>
      </c>
      <c r="G785" s="319" t="s">
        <v>3404</v>
      </c>
      <c r="H785" s="319">
        <v>2025</v>
      </c>
      <c r="I785" s="522">
        <v>45702</v>
      </c>
      <c r="J785" s="319" t="s">
        <v>3458</v>
      </c>
      <c r="K785" s="319" t="s">
        <v>388</v>
      </c>
      <c r="L785" s="50" t="s">
        <v>328</v>
      </c>
      <c r="M785" s="319" t="s">
        <v>1982</v>
      </c>
      <c r="N785" s="319" t="s">
        <v>4343</v>
      </c>
      <c r="O785" s="523">
        <v>45705</v>
      </c>
      <c r="P785" s="523">
        <v>45705</v>
      </c>
      <c r="Q785" s="523">
        <v>45705</v>
      </c>
      <c r="R785" s="523">
        <v>45706</v>
      </c>
      <c r="S785" s="50">
        <f t="shared" si="83"/>
        <v>1</v>
      </c>
      <c r="T785" s="50">
        <f>IF(
    OR(ISBLANK(P785), ISBLANK(Q785)),
    "",
    MAX(1, IF(
        NETWORKDAYS(P785, Q785) &lt;= 0,
        1,
        NETWORKDAYS(P785, Q785) - IF(P785 = Q785, 0, 1)
    ))
)</f>
        <v>1</v>
      </c>
      <c r="U785" s="50">
        <f>IF(
    OR(ISBLANK(P785), ISBLANK(Q785)),
    "",
    MAX(1, IF(
        NETWORKDAYS(P785, Q785) &lt;= 0,
        1,
        NETWORKDAYS(P785, Q785) - IF(P785 = Q785, 0, 1)
    ))
)</f>
        <v>1</v>
      </c>
      <c r="V785" s="50">
        <f t="shared" si="78"/>
        <v>1</v>
      </c>
      <c r="W785" s="319" t="s">
        <v>150</v>
      </c>
      <c r="X785" s="319" t="s">
        <v>4</v>
      </c>
      <c r="Y785" s="319" t="s">
        <v>50</v>
      </c>
      <c r="Z785" s="319" t="s">
        <v>3406</v>
      </c>
      <c r="AA785" s="319"/>
    </row>
    <row r="786" spans="1:27" ht="25.5" customHeight="1">
      <c r="A786" s="517" t="s">
        <v>776</v>
      </c>
      <c r="B786" s="51" t="s">
        <v>1135</v>
      </c>
      <c r="C786" s="51" t="s">
        <v>143</v>
      </c>
      <c r="D786" s="51" t="s">
        <v>4344</v>
      </c>
      <c r="E786" s="50">
        <v>4243</v>
      </c>
      <c r="F786" s="50">
        <v>4962</v>
      </c>
      <c r="G786" s="50" t="s">
        <v>3404</v>
      </c>
      <c r="H786" s="50">
        <v>2025</v>
      </c>
      <c r="I786" s="132">
        <v>45693</v>
      </c>
      <c r="J786" s="50" t="s">
        <v>3458</v>
      </c>
      <c r="K786" s="50" t="s">
        <v>388</v>
      </c>
      <c r="L786" s="50" t="s">
        <v>328</v>
      </c>
      <c r="M786" s="50" t="s">
        <v>1982</v>
      </c>
      <c r="N786" s="50" t="s">
        <v>4345</v>
      </c>
      <c r="O786" s="60">
        <v>45697</v>
      </c>
      <c r="P786" s="60">
        <v>45698</v>
      </c>
      <c r="Q786" s="60">
        <v>45699</v>
      </c>
      <c r="R786" s="60">
        <v>45701</v>
      </c>
      <c r="S786" s="50">
        <f t="shared" si="83"/>
        <v>2</v>
      </c>
      <c r="T786" s="50">
        <f>IF(
    OR(ISBLANK(P786), ISBLANK(Q786)),
    "",
    MAX(1, IF(
        NETWORKDAYS(P786, Q786) &lt;= 0,
        1,
        NETWORKDAYS(P786, Q786) - IF(P786 = Q786, 0, 1)
    ))
)</f>
        <v>1</v>
      </c>
      <c r="U786" s="50">
        <f>IF(
    OR(ISBLANK(P786), ISBLANK(Q786)),
    "",
    MAX(1, IF(
        NETWORKDAYS(P786, Q786) &lt;= 0,
        1,
        NETWORKDAYS(P786, Q786) - IF(P786 = Q786, 0, 1)
    ))
)</f>
        <v>1</v>
      </c>
      <c r="V786" s="50">
        <f t="shared" si="78"/>
        <v>2</v>
      </c>
      <c r="W786" s="50" t="s">
        <v>150</v>
      </c>
      <c r="X786" s="50" t="s">
        <v>1078</v>
      </c>
      <c r="Y786" s="50" t="s">
        <v>3528</v>
      </c>
      <c r="Z786" s="50" t="s">
        <v>3406</v>
      </c>
      <c r="AA786" s="50"/>
    </row>
    <row r="787" spans="1:27" ht="25.5" customHeight="1">
      <c r="A787" s="521" t="s">
        <v>776</v>
      </c>
      <c r="B787" s="51" t="s">
        <v>1135</v>
      </c>
      <c r="C787" s="51" t="s">
        <v>143</v>
      </c>
      <c r="D787" s="51" t="s">
        <v>4346</v>
      </c>
      <c r="E787" s="50">
        <v>2077</v>
      </c>
      <c r="F787" s="50">
        <v>2259</v>
      </c>
      <c r="G787" s="50" t="s">
        <v>3404</v>
      </c>
      <c r="H787" s="50">
        <v>2024</v>
      </c>
      <c r="I787" s="132">
        <v>45552</v>
      </c>
      <c r="J787" s="50"/>
      <c r="K787" s="50" t="s">
        <v>388</v>
      </c>
      <c r="L787" s="50" t="s">
        <v>328</v>
      </c>
      <c r="M787" s="50" t="s">
        <v>1982</v>
      </c>
      <c r="N787" s="50"/>
      <c r="O787" s="50"/>
      <c r="P787" s="50"/>
      <c r="Q787" s="50"/>
      <c r="R787" s="50"/>
      <c r="S787" s="50" t="str">
        <f t="shared" si="83"/>
        <v/>
      </c>
      <c r="T787" s="50" t="str">
        <f>IF(
    OR(ISBLANK(O787), ISBLANK(P787)),
    "",
    MAX(1, IF(
        NETWORKDAYS(O787, P787) &lt;= 0,
        1,
        NETWORKDAYS(O787, P787) - IF(O787 = P787, 0, 1)
    ))
)</f>
        <v/>
      </c>
      <c r="U787" s="50" t="str">
        <f>IF(
    OR(ISBLANK(P787), ISBLANK(Q787)),
    "",
    MAX(1, IF(
        NETWORKDAYS(P787, Q787) &lt;= 0,
        1,
        NETWORKDAYS(P787, Q787) - IF(P787 = Q787, 0, 1)
    ))
)</f>
        <v/>
      </c>
      <c r="V787" s="50" t="str">
        <f t="shared" si="78"/>
        <v/>
      </c>
      <c r="W787" s="50"/>
      <c r="X787" s="50" t="s">
        <v>1078</v>
      </c>
      <c r="Y787" s="50" t="s">
        <v>57</v>
      </c>
      <c r="Z787" s="50" t="s">
        <v>3406</v>
      </c>
      <c r="AA787" s="50"/>
    </row>
    <row r="788" spans="1:27" ht="25.5" customHeight="1">
      <c r="A788" s="50" t="s">
        <v>776</v>
      </c>
      <c r="B788" s="51" t="s">
        <v>1135</v>
      </c>
      <c r="C788" s="51" t="s">
        <v>143</v>
      </c>
      <c r="D788" s="51" t="s">
        <v>4347</v>
      </c>
      <c r="E788" s="50">
        <v>5361</v>
      </c>
      <c r="F788" s="50">
        <v>5609</v>
      </c>
      <c r="G788" s="50" t="s">
        <v>3404</v>
      </c>
      <c r="H788" s="50">
        <v>2024</v>
      </c>
      <c r="I788" s="132">
        <v>45552</v>
      </c>
      <c r="J788" s="50"/>
      <c r="K788" s="50" t="s">
        <v>388</v>
      </c>
      <c r="L788" s="50" t="s">
        <v>328</v>
      </c>
      <c r="M788" s="50" t="s">
        <v>1982</v>
      </c>
      <c r="N788" s="50"/>
      <c r="O788" s="50"/>
      <c r="P788" s="50"/>
      <c r="Q788" s="50"/>
      <c r="R788" s="50"/>
      <c r="S788" s="50" t="str">
        <f t="shared" si="83"/>
        <v/>
      </c>
      <c r="T788" s="50" t="str">
        <f>IF(
    OR(ISBLANK(O788), ISBLANK(P788)),
    "",
    MAX(1, IF(
        NETWORKDAYS(O788, P788) &lt;= 0,
        1,
        NETWORKDAYS(O788, P788) - IF(O788 = P788, 0, 1)
    ))
)</f>
        <v/>
      </c>
      <c r="U788" s="50" t="str">
        <f>IF(
    OR(ISBLANK(P788), ISBLANK(Q788)),
    "",
    MAX(1, IF(
        NETWORKDAYS(P788, Q788) &lt;= 0,
        1,
        NETWORKDAYS(P788, Q788) - IF(P788 = Q788, 0, 1)
    ))
)</f>
        <v/>
      </c>
      <c r="V788" s="50" t="str">
        <f t="shared" si="78"/>
        <v/>
      </c>
      <c r="W788" s="50"/>
      <c r="X788" s="50" t="s">
        <v>4</v>
      </c>
      <c r="Y788" s="50" t="s">
        <v>50</v>
      </c>
      <c r="Z788" s="50" t="s">
        <v>3406</v>
      </c>
      <c r="AA788" s="50"/>
    </row>
    <row r="789" spans="1:27" ht="25.5" customHeight="1">
      <c r="A789" s="521" t="s">
        <v>776</v>
      </c>
      <c r="B789" s="51" t="s">
        <v>1135</v>
      </c>
      <c r="C789" s="51" t="s">
        <v>143</v>
      </c>
      <c r="D789" s="51" t="s">
        <v>4348</v>
      </c>
      <c r="E789" s="50">
        <v>7590</v>
      </c>
      <c r="F789" s="50">
        <v>8935</v>
      </c>
      <c r="G789" s="50" t="s">
        <v>3404</v>
      </c>
      <c r="H789" s="50">
        <v>2024</v>
      </c>
      <c r="I789" s="132">
        <v>45575</v>
      </c>
      <c r="J789" s="50"/>
      <c r="K789" s="50" t="s">
        <v>388</v>
      </c>
      <c r="L789" s="50" t="s">
        <v>328</v>
      </c>
      <c r="M789" s="50" t="s">
        <v>1982</v>
      </c>
      <c r="N789" s="50"/>
      <c r="O789" s="50"/>
      <c r="P789" s="50"/>
      <c r="Q789" s="50"/>
      <c r="R789" s="50"/>
      <c r="S789" s="50" t="str">
        <f t="shared" si="83"/>
        <v/>
      </c>
      <c r="T789" s="50" t="str">
        <f>IF(
    OR(ISBLANK(O789), ISBLANK(P789)),
    "",
    MAX(1, IF(
        NETWORKDAYS(O789, P789) &lt;= 0,
        1,
        NETWORKDAYS(O789, P789) - IF(O789 = P789, 0, 1)
    ))
)</f>
        <v/>
      </c>
      <c r="U789" s="50" t="str">
        <f>IF(
    OR(ISBLANK(P789), ISBLANK(Q789)),
    "",
    MAX(1, IF(
        NETWORKDAYS(P789, Q789) &lt;= 0,
        1,
        NETWORKDAYS(P789, Q789) - IF(P789 = Q789, 0, 1)
    ))
)</f>
        <v/>
      </c>
      <c r="V789" s="50" t="str">
        <f t="shared" si="78"/>
        <v/>
      </c>
      <c r="W789" s="50"/>
      <c r="X789" s="50" t="s">
        <v>4</v>
      </c>
      <c r="Y789" s="50" t="s">
        <v>50</v>
      </c>
      <c r="Z789" s="50" t="s">
        <v>3406</v>
      </c>
      <c r="AA789" s="50"/>
    </row>
    <row r="790" spans="1:27" ht="25.5" customHeight="1">
      <c r="A790" s="517" t="s">
        <v>776</v>
      </c>
      <c r="B790" s="51" t="s">
        <v>1135</v>
      </c>
      <c r="C790" s="51" t="s">
        <v>143</v>
      </c>
      <c r="D790" s="51" t="s">
        <v>1056</v>
      </c>
      <c r="E790" s="50">
        <v>3901</v>
      </c>
      <c r="F790" s="50">
        <v>3878</v>
      </c>
      <c r="G790" s="50" t="s">
        <v>3404</v>
      </c>
      <c r="H790" s="50">
        <v>2025</v>
      </c>
      <c r="I790" s="132">
        <v>45876</v>
      </c>
      <c r="J790" s="50" t="s">
        <v>3126</v>
      </c>
      <c r="K790" s="50" t="s">
        <v>388</v>
      </c>
      <c r="L790" s="50"/>
      <c r="M790" s="50" t="s">
        <v>1982</v>
      </c>
      <c r="N790" s="50" t="s">
        <v>4349</v>
      </c>
      <c r="O790" s="60">
        <v>45885</v>
      </c>
      <c r="P790" s="50"/>
      <c r="Q790" s="60">
        <v>45888</v>
      </c>
      <c r="R790" s="60">
        <v>45888</v>
      </c>
      <c r="S790" s="50">
        <f t="shared" si="83"/>
        <v>6</v>
      </c>
      <c r="T790" s="50" t="str">
        <f>IF(
    OR(ISBLANK(O790), ISBLANK(P790)),
    "",
    MAX(1, IF(
        NETWORKDAYS(O790, P790) &lt;= 0,
        1,
        NETWORKDAYS(O790:P790, Q790) - IF(P790 = Q790, 0, 1)
    ))
)</f>
        <v/>
      </c>
      <c r="U790" s="50">
        <f>IF(
    OR(ISBLANK(O790), ISBLANK(Q790)),
    "",
    MAX(1, IF(
        NETWORKDAYS(O790, Q790) &lt;= 0,
        1,
        NETWORKDAYS(O790, Q790) - IF(O790 = Q790, 0, 1)
    ))
)</f>
        <v>1</v>
      </c>
      <c r="V790" s="50">
        <f t="shared" si="78"/>
        <v>1</v>
      </c>
      <c r="W790" s="50" t="s">
        <v>150</v>
      </c>
      <c r="X790" s="50" t="s">
        <v>4350</v>
      </c>
      <c r="Y790" s="50" t="s">
        <v>3528</v>
      </c>
      <c r="Z790" s="50" t="s">
        <v>3406</v>
      </c>
      <c r="AA790" s="50"/>
    </row>
    <row r="791" spans="1:27" s="110" customFormat="1" ht="25.5" customHeight="1">
      <c r="A791" s="517" t="s">
        <v>776</v>
      </c>
      <c r="B791" s="51" t="s">
        <v>1135</v>
      </c>
      <c r="C791" s="51" t="s">
        <v>143</v>
      </c>
      <c r="D791" s="51" t="s">
        <v>4351</v>
      </c>
      <c r="E791" s="50">
        <v>1803</v>
      </c>
      <c r="F791" s="50">
        <v>1821</v>
      </c>
      <c r="G791" s="50" t="s">
        <v>3404</v>
      </c>
      <c r="H791" s="50">
        <v>2025</v>
      </c>
      <c r="I791" s="132">
        <v>45693</v>
      </c>
      <c r="J791" s="50" t="s">
        <v>3458</v>
      </c>
      <c r="K791" s="50" t="s">
        <v>388</v>
      </c>
      <c r="L791" s="50" t="s">
        <v>328</v>
      </c>
      <c r="M791" s="50" t="s">
        <v>1982</v>
      </c>
      <c r="N791" s="50" t="s">
        <v>4352</v>
      </c>
      <c r="O791" s="60">
        <v>45697</v>
      </c>
      <c r="P791" s="60">
        <v>45698</v>
      </c>
      <c r="Q791" s="60">
        <v>45699</v>
      </c>
      <c r="R791" s="60">
        <v>45705</v>
      </c>
      <c r="S791" s="50">
        <f t="shared" si="83"/>
        <v>2</v>
      </c>
      <c r="T791" s="50">
        <f>IF(
    OR(ISBLANK(P791), ISBLANK(Q791)),
    "",
    MAX(1, IF(
        NETWORKDAYS(P791, Q791) &lt;= 0,
        1,
        NETWORKDAYS(P791, Q791) - IF(P791 = Q791, 0, 1)
    ))
)</f>
        <v>1</v>
      </c>
      <c r="U791" s="50">
        <f t="shared" ref="U791:U797" si="85">IF(
    OR(ISBLANK(P791), ISBLANK(Q791)),
    "",
    MAX(1, IF(
        NETWORKDAYS(P791, Q791) &lt;= 0,
        1,
        NETWORKDAYS(P791, Q791) - IF(P791 = Q791, 0, 1)
    ))
)</f>
        <v>1</v>
      </c>
      <c r="V791" s="50">
        <f t="shared" si="78"/>
        <v>4</v>
      </c>
      <c r="W791" s="50" t="s">
        <v>150</v>
      </c>
      <c r="X791" s="50" t="s">
        <v>4</v>
      </c>
      <c r="Y791" s="50" t="s">
        <v>50</v>
      </c>
      <c r="Z791" s="50" t="s">
        <v>3406</v>
      </c>
      <c r="AA791" s="50"/>
    </row>
    <row r="792" spans="1:27" ht="25.5" customHeight="1">
      <c r="A792" s="50" t="s">
        <v>776</v>
      </c>
      <c r="B792" s="51" t="s">
        <v>1135</v>
      </c>
      <c r="C792" s="51" t="s">
        <v>143</v>
      </c>
      <c r="D792" s="51" t="s">
        <v>858</v>
      </c>
      <c r="E792" s="50">
        <v>4448</v>
      </c>
      <c r="F792" s="50">
        <v>5016</v>
      </c>
      <c r="G792" s="50" t="s">
        <v>3404</v>
      </c>
      <c r="H792" s="50">
        <v>2024</v>
      </c>
      <c r="I792" s="132">
        <v>45575</v>
      </c>
      <c r="J792" s="50"/>
      <c r="K792" s="50" t="s">
        <v>388</v>
      </c>
      <c r="L792" s="50" t="s">
        <v>328</v>
      </c>
      <c r="M792" s="50" t="s">
        <v>1982</v>
      </c>
      <c r="N792" s="50"/>
      <c r="O792" s="50"/>
      <c r="P792" s="50"/>
      <c r="Q792" s="50"/>
      <c r="R792" s="50"/>
      <c r="S792" s="50" t="str">
        <f t="shared" si="83"/>
        <v/>
      </c>
      <c r="T792" s="50" t="str">
        <f>IF(
    OR(ISBLANK(O792), ISBLANK(P792)),
    "",
    MAX(1, IF(
        NETWORKDAYS(O792, P792) &lt;= 0,
        1,
        NETWORKDAYS(O792, P792) - IF(O792 = P792, 0, 1)
    ))
)</f>
        <v/>
      </c>
      <c r="U792" s="50" t="str">
        <f t="shared" si="85"/>
        <v/>
      </c>
      <c r="V792" s="50" t="str">
        <f t="shared" si="78"/>
        <v/>
      </c>
      <c r="W792" s="50"/>
      <c r="X792" s="50" t="s">
        <v>4</v>
      </c>
      <c r="Y792" s="50" t="s">
        <v>50</v>
      </c>
      <c r="Z792" s="50" t="s">
        <v>3406</v>
      </c>
      <c r="AA792" s="50"/>
    </row>
    <row r="793" spans="1:27" ht="25.5" customHeight="1">
      <c r="A793" s="50" t="s">
        <v>776</v>
      </c>
      <c r="B793" s="51" t="s">
        <v>1135</v>
      </c>
      <c r="C793" s="51" t="s">
        <v>143</v>
      </c>
      <c r="D793" s="51" t="s">
        <v>4027</v>
      </c>
      <c r="E793" s="50">
        <v>2953</v>
      </c>
      <c r="F793" s="50">
        <v>2922</v>
      </c>
      <c r="G793" s="50" t="s">
        <v>3404</v>
      </c>
      <c r="H793" s="50">
        <v>2024</v>
      </c>
      <c r="I793" s="132">
        <v>45426</v>
      </c>
      <c r="J793" s="50"/>
      <c r="K793" s="50" t="s">
        <v>388</v>
      </c>
      <c r="L793" s="50" t="s">
        <v>328</v>
      </c>
      <c r="M793" s="50" t="s">
        <v>1982</v>
      </c>
      <c r="N793" s="50"/>
      <c r="O793" s="50"/>
      <c r="P793" s="50"/>
      <c r="Q793" s="50"/>
      <c r="R793" s="50"/>
      <c r="S793" s="50" t="str">
        <f t="shared" si="83"/>
        <v/>
      </c>
      <c r="T793" s="50" t="str">
        <f>IF(
    OR(ISBLANK(O793), ISBLANK(P793)),
    "",
    MAX(1, IF(
        NETWORKDAYS(O793, P793) &lt;= 0,
        1,
        NETWORKDAYS(O793, P793) - IF(O793 = P793, 0, 1)
    ))
)</f>
        <v/>
      </c>
      <c r="U793" s="50" t="str">
        <f t="shared" si="85"/>
        <v/>
      </c>
      <c r="V793" s="50" t="str">
        <f t="shared" ref="V793:V856" si="86">IF(
    OR(ISBLANK(Q793), ISBLANK(R793)),
    "",
    MAX(1, IF(
        NETWORKDAYS(Q793, R793) &lt;= 0,
        1,
        NETWORKDAYS(Q793, R793) - IF(Q793 = R793, 0, 1)
    ))
)</f>
        <v/>
      </c>
      <c r="W793" s="50"/>
      <c r="X793" s="50"/>
      <c r="Y793" s="50"/>
      <c r="Z793" s="50"/>
      <c r="AA793" s="50"/>
    </row>
    <row r="794" spans="1:27" ht="25.5" customHeight="1">
      <c r="A794" s="521" t="s">
        <v>776</v>
      </c>
      <c r="B794" s="51" t="s">
        <v>1135</v>
      </c>
      <c r="C794" s="51" t="s">
        <v>143</v>
      </c>
      <c r="D794" s="51" t="s">
        <v>3727</v>
      </c>
      <c r="E794" s="50">
        <v>10761</v>
      </c>
      <c r="F794" s="50">
        <v>10721</v>
      </c>
      <c r="G794" s="50" t="s">
        <v>3404</v>
      </c>
      <c r="H794" s="50">
        <v>2024</v>
      </c>
      <c r="I794" s="132">
        <v>45483</v>
      </c>
      <c r="J794" s="50" t="s">
        <v>3532</v>
      </c>
      <c r="K794" s="50" t="s">
        <v>388</v>
      </c>
      <c r="L794" s="50" t="s">
        <v>328</v>
      </c>
      <c r="M794" s="50" t="s">
        <v>1982</v>
      </c>
      <c r="N794" s="50"/>
      <c r="O794" s="60"/>
      <c r="P794" s="50"/>
      <c r="Q794" s="50"/>
      <c r="R794" s="50"/>
      <c r="S794" s="50" t="str">
        <f t="shared" si="83"/>
        <v/>
      </c>
      <c r="T794" s="50" t="str">
        <f>IF(
    OR(ISBLANK(O794), ISBLANK(P794)),
    "",
    MAX(1, IF(
        NETWORKDAYS(O794, P794) &lt;= 0,
        1,
        NETWORKDAYS(O794, P794) - IF(O794 = P794, 0, 1)
    ))
)</f>
        <v/>
      </c>
      <c r="U794" s="50" t="str">
        <f t="shared" si="85"/>
        <v/>
      </c>
      <c r="V794" s="50" t="str">
        <f t="shared" si="86"/>
        <v/>
      </c>
      <c r="W794" s="50"/>
      <c r="X794" s="50" t="s">
        <v>4</v>
      </c>
      <c r="Y794" s="50" t="s">
        <v>50</v>
      </c>
      <c r="Z794" s="50" t="s">
        <v>3406</v>
      </c>
      <c r="AA794" s="50"/>
    </row>
    <row r="795" spans="1:27" ht="25.5" customHeight="1">
      <c r="A795" s="517" t="s">
        <v>776</v>
      </c>
      <c r="B795" s="51" t="s">
        <v>1135</v>
      </c>
      <c r="C795" s="51" t="s">
        <v>143</v>
      </c>
      <c r="D795" s="51" t="s">
        <v>4353</v>
      </c>
      <c r="E795" s="50">
        <v>5856</v>
      </c>
      <c r="F795" s="50">
        <v>7822</v>
      </c>
      <c r="G795" s="50" t="s">
        <v>3404</v>
      </c>
      <c r="H795" s="50">
        <v>2025</v>
      </c>
      <c r="I795" s="132">
        <v>45721</v>
      </c>
      <c r="J795" s="50" t="s">
        <v>3416</v>
      </c>
      <c r="K795" s="50" t="s">
        <v>388</v>
      </c>
      <c r="L795" s="50" t="s">
        <v>328</v>
      </c>
      <c r="M795" s="50" t="s">
        <v>1982</v>
      </c>
      <c r="N795" s="50" t="s">
        <v>4354</v>
      </c>
      <c r="O795" s="60">
        <v>45732</v>
      </c>
      <c r="P795" s="60">
        <v>45733</v>
      </c>
      <c r="Q795" s="60">
        <v>45733</v>
      </c>
      <c r="R795" s="60">
        <v>45735</v>
      </c>
      <c r="S795" s="50">
        <f t="shared" si="83"/>
        <v>7</v>
      </c>
      <c r="T795" s="50">
        <f>IF(
    OR(ISBLANK(P795), ISBLANK(Q795)),
    "",
    MAX(1, IF(
        NETWORKDAYS(P795, Q795) &lt;= 0,
        1,
        NETWORKDAYS(P795, Q795) - IF(P795 = Q795, 0, 1)
    ))
)</f>
        <v>1</v>
      </c>
      <c r="U795" s="50">
        <f t="shared" si="85"/>
        <v>1</v>
      </c>
      <c r="V795" s="50">
        <f t="shared" si="86"/>
        <v>2</v>
      </c>
      <c r="W795" s="50" t="s">
        <v>150</v>
      </c>
      <c r="X795" s="50" t="s">
        <v>4</v>
      </c>
      <c r="Y795" s="50" t="s">
        <v>50</v>
      </c>
      <c r="Z795" s="50" t="s">
        <v>3406</v>
      </c>
      <c r="AA795" s="50"/>
    </row>
    <row r="796" spans="1:27" ht="25.5" customHeight="1">
      <c r="A796" s="521" t="s">
        <v>776</v>
      </c>
      <c r="B796" s="51" t="s">
        <v>1135</v>
      </c>
      <c r="C796" s="51" t="s">
        <v>143</v>
      </c>
      <c r="D796" s="51" t="s">
        <v>4243</v>
      </c>
      <c r="E796" s="50">
        <v>19683</v>
      </c>
      <c r="F796" s="50">
        <v>17249</v>
      </c>
      <c r="G796" s="50" t="s">
        <v>3404</v>
      </c>
      <c r="H796" s="50">
        <v>2024</v>
      </c>
      <c r="I796" s="132">
        <v>45456</v>
      </c>
      <c r="J796" s="50"/>
      <c r="K796" s="50" t="s">
        <v>388</v>
      </c>
      <c r="L796" s="50" t="s">
        <v>328</v>
      </c>
      <c r="M796" s="50" t="s">
        <v>1982</v>
      </c>
      <c r="N796" s="50"/>
      <c r="O796" s="60"/>
      <c r="P796" s="50"/>
      <c r="Q796" s="50"/>
      <c r="R796" s="50"/>
      <c r="S796" s="50" t="str">
        <f t="shared" si="83"/>
        <v/>
      </c>
      <c r="T796" s="50" t="str">
        <f>IF(
    OR(ISBLANK(O796), ISBLANK(P796)),
    "",
    MAX(1, IF(
        NETWORKDAYS(O796, P796) &lt;= 0,
        1,
        NETWORKDAYS(O796, P796) - IF(O796 = P796, 0, 1)
    ))
)</f>
        <v/>
      </c>
      <c r="U796" s="50" t="str">
        <f t="shared" si="85"/>
        <v/>
      </c>
      <c r="V796" s="50" t="str">
        <f t="shared" si="86"/>
        <v/>
      </c>
      <c r="W796" s="50"/>
      <c r="X796" s="50"/>
      <c r="Y796" s="50"/>
      <c r="Z796" s="50"/>
      <c r="AA796" s="50"/>
    </row>
    <row r="797" spans="1:27" ht="25.5" customHeight="1">
      <c r="A797" s="517" t="s">
        <v>776</v>
      </c>
      <c r="B797" s="51" t="s">
        <v>1141</v>
      </c>
      <c r="C797" s="51" t="s">
        <v>143</v>
      </c>
      <c r="D797" s="51" t="s">
        <v>4355</v>
      </c>
      <c r="E797" s="50">
        <v>3926</v>
      </c>
      <c r="F797" s="50">
        <v>4114</v>
      </c>
      <c r="G797" s="50" t="s">
        <v>3404</v>
      </c>
      <c r="H797" s="50">
        <v>2025</v>
      </c>
      <c r="I797" s="132">
        <v>45910</v>
      </c>
      <c r="J797" s="50" t="s">
        <v>3988</v>
      </c>
      <c r="K797" s="50" t="s">
        <v>388</v>
      </c>
      <c r="L797" s="50" t="s">
        <v>1838</v>
      </c>
      <c r="M797" s="50" t="s">
        <v>1982</v>
      </c>
      <c r="N797" s="50" t="s">
        <v>4356</v>
      </c>
      <c r="O797" s="60">
        <v>45911</v>
      </c>
      <c r="P797" s="60">
        <v>45915</v>
      </c>
      <c r="Q797" s="60">
        <v>45916</v>
      </c>
      <c r="R797" s="60">
        <v>45918</v>
      </c>
      <c r="S797" s="50">
        <f t="shared" si="83"/>
        <v>1</v>
      </c>
      <c r="T797" s="50">
        <f>IF(
    OR(ISBLANK(P797), ISBLANK(Q797)),
    "",
    MAX(1, IF(
        NETWORKDAYS(P797, Q797) &lt;= 0,
        1,
        NETWORKDAYS(P797, Q797) - IF(P797 = Q797, 0, 1)
    ))
)</f>
        <v>1</v>
      </c>
      <c r="U797" s="50">
        <f t="shared" si="85"/>
        <v>1</v>
      </c>
      <c r="V797" s="50">
        <f t="shared" si="86"/>
        <v>2</v>
      </c>
      <c r="W797" s="50" t="s">
        <v>150</v>
      </c>
      <c r="X797" s="50" t="s">
        <v>1078</v>
      </c>
      <c r="Y797" s="50" t="s">
        <v>50</v>
      </c>
      <c r="Z797" s="50" t="s">
        <v>3406</v>
      </c>
      <c r="AA797" s="50"/>
    </row>
    <row r="798" spans="1:27" ht="25.5" customHeight="1">
      <c r="A798" s="517" t="s">
        <v>776</v>
      </c>
      <c r="B798" s="51" t="s">
        <v>1141</v>
      </c>
      <c r="C798" s="51" t="s">
        <v>143</v>
      </c>
      <c r="D798" s="51" t="s">
        <v>4357</v>
      </c>
      <c r="E798" s="50">
        <v>1656</v>
      </c>
      <c r="F798" s="50">
        <v>1877</v>
      </c>
      <c r="G798" s="50" t="s">
        <v>3404</v>
      </c>
      <c r="H798" s="50">
        <v>2025</v>
      </c>
      <c r="I798" s="132">
        <v>45793</v>
      </c>
      <c r="J798" s="50" t="s">
        <v>3532</v>
      </c>
      <c r="K798" s="50" t="s">
        <v>388</v>
      </c>
      <c r="L798" s="50" t="s">
        <v>328</v>
      </c>
      <c r="M798" s="50" t="s">
        <v>1982</v>
      </c>
      <c r="N798" s="50" t="s">
        <v>4358</v>
      </c>
      <c r="O798" s="60">
        <v>45794</v>
      </c>
      <c r="P798" s="60"/>
      <c r="Q798" s="60">
        <v>45796</v>
      </c>
      <c r="R798" s="60">
        <v>45797</v>
      </c>
      <c r="S798" s="50">
        <f t="shared" si="83"/>
        <v>1</v>
      </c>
      <c r="T798" s="50" t="str">
        <f>IF(
    OR(ISBLANK(O798), ISBLANK(P798)),
    "",
    MAX(1, IF(
        NETWORKDAYS(O798, P798) &lt;= 0,
        1,
        NETWORKDAYS(O798:P798, Q798) - IF(P798 = Q798, 0, 1)
    ))
)</f>
        <v/>
      </c>
      <c r="U798" s="50">
        <f>IF(
    OR(ISBLANK(O798), ISBLANK(Q798)),
    "",
    MAX(1, IF(
        NETWORKDAYS(O798, Q798) &lt;= 0,
        1,
        NETWORKDAYS(O798, Q798) - IF(O798 = Q798, 0, 1)
    ))
)</f>
        <v>1</v>
      </c>
      <c r="V798" s="50">
        <f t="shared" si="86"/>
        <v>1</v>
      </c>
      <c r="W798" s="50" t="s">
        <v>150</v>
      </c>
      <c r="X798" s="50" t="s">
        <v>3527</v>
      </c>
      <c r="Y798" s="50" t="s">
        <v>3528</v>
      </c>
      <c r="Z798" s="50" t="s">
        <v>3406</v>
      </c>
      <c r="AA798" s="50"/>
    </row>
    <row r="799" spans="1:27" ht="25.5" customHeight="1">
      <c r="A799" s="517" t="s">
        <v>776</v>
      </c>
      <c r="B799" s="51" t="s">
        <v>1141</v>
      </c>
      <c r="C799" s="51" t="s">
        <v>143</v>
      </c>
      <c r="D799" s="51" t="s">
        <v>4359</v>
      </c>
      <c r="E799" s="50">
        <v>3691</v>
      </c>
      <c r="F799" s="50">
        <v>4100</v>
      </c>
      <c r="G799" s="50" t="s">
        <v>3404</v>
      </c>
      <c r="H799" s="50">
        <v>2025</v>
      </c>
      <c r="I799" s="132">
        <v>45793</v>
      </c>
      <c r="J799" s="50" t="s">
        <v>3532</v>
      </c>
      <c r="K799" s="50" t="s">
        <v>388</v>
      </c>
      <c r="L799" s="50" t="s">
        <v>328</v>
      </c>
      <c r="M799" s="50" t="s">
        <v>1982</v>
      </c>
      <c r="N799" s="50" t="s">
        <v>4360</v>
      </c>
      <c r="O799" s="60">
        <v>45794</v>
      </c>
      <c r="P799" s="50"/>
      <c r="Q799" s="60">
        <v>45796</v>
      </c>
      <c r="R799" s="60">
        <v>45797</v>
      </c>
      <c r="S799" s="50">
        <f t="shared" si="83"/>
        <v>1</v>
      </c>
      <c r="T799" s="50" t="str">
        <f>IF(
    OR(ISBLANK(O799), ISBLANK(P799)),
    "",
    MAX(1, IF(
        NETWORKDAYS(O799, P799) &lt;= 0,
        1,
        NETWORKDAYS(O799:P799, Q799) - IF(P799 = Q799, 0, 1)
    ))
)</f>
        <v/>
      </c>
      <c r="U799" s="50">
        <f>IF(
    OR(ISBLANK(O799), ISBLANK(Q799)),
    "",
    MAX(1, IF(
        NETWORKDAYS(O799, Q799) &lt;= 0,
        1,
        NETWORKDAYS(O799, Q799) - IF(O799 = Q799, 0, 1)
    ))
)</f>
        <v>1</v>
      </c>
      <c r="V799" s="50">
        <f t="shared" si="86"/>
        <v>1</v>
      </c>
      <c r="W799" s="50" t="s">
        <v>150</v>
      </c>
      <c r="X799" s="50" t="s">
        <v>3527</v>
      </c>
      <c r="Y799" s="50" t="s">
        <v>3528</v>
      </c>
      <c r="Z799" s="50" t="s">
        <v>3406</v>
      </c>
      <c r="AA799" s="50"/>
    </row>
    <row r="800" spans="1:27" ht="25.5" customHeight="1">
      <c r="A800" s="517" t="s">
        <v>776</v>
      </c>
      <c r="B800" s="51" t="s">
        <v>1141</v>
      </c>
      <c r="C800" s="51" t="s">
        <v>143</v>
      </c>
      <c r="D800" s="51" t="s">
        <v>4361</v>
      </c>
      <c r="E800" s="50">
        <v>7152</v>
      </c>
      <c r="F800" s="50">
        <v>8320</v>
      </c>
      <c r="G800" s="50" t="s">
        <v>3404</v>
      </c>
      <c r="H800" s="50">
        <v>2025</v>
      </c>
      <c r="I800" s="132">
        <v>45793</v>
      </c>
      <c r="J800" s="50" t="s">
        <v>3532</v>
      </c>
      <c r="K800" s="50" t="s">
        <v>388</v>
      </c>
      <c r="L800" s="50" t="s">
        <v>328</v>
      </c>
      <c r="M800" s="50" t="s">
        <v>1982</v>
      </c>
      <c r="N800" s="50" t="s">
        <v>4362</v>
      </c>
      <c r="O800" s="60">
        <v>45794</v>
      </c>
      <c r="P800" s="50"/>
      <c r="Q800" s="60">
        <v>45796</v>
      </c>
      <c r="R800" s="60">
        <v>45797</v>
      </c>
      <c r="S800" s="50">
        <f t="shared" si="83"/>
        <v>1</v>
      </c>
      <c r="T800" s="50" t="str">
        <f>IF(
    OR(ISBLANK(O800), ISBLANK(P800)),
    "",
    MAX(1, IF(
        NETWORKDAYS(O800, P800) &lt;= 0,
        1,
        NETWORKDAYS(O800:P800, Q800) - IF(P800 = Q800, 0, 1)
    ))
)</f>
        <v/>
      </c>
      <c r="U800" s="50">
        <f>IF(
    OR(ISBLANK(O800), ISBLANK(Q800)),
    "",
    MAX(1, IF(
        NETWORKDAYS(O800, Q800) &lt;= 0,
        1,
        NETWORKDAYS(O800, Q800) - IF(O800 = Q800, 0, 1)
    ))
)</f>
        <v>1</v>
      </c>
      <c r="V800" s="50">
        <f t="shared" si="86"/>
        <v>1</v>
      </c>
      <c r="W800" s="50" t="s">
        <v>150</v>
      </c>
      <c r="X800" s="50" t="s">
        <v>3527</v>
      </c>
      <c r="Y800" s="50" t="s">
        <v>3528</v>
      </c>
      <c r="Z800" s="50" t="s">
        <v>3406</v>
      </c>
      <c r="AA800" s="50"/>
    </row>
    <row r="801" spans="1:27" ht="25.5" customHeight="1">
      <c r="A801" s="517" t="s">
        <v>776</v>
      </c>
      <c r="B801" s="51" t="s">
        <v>1141</v>
      </c>
      <c r="C801" s="51" t="s">
        <v>143</v>
      </c>
      <c r="D801" s="51" t="s">
        <v>4363</v>
      </c>
      <c r="E801" s="50">
        <v>6028</v>
      </c>
      <c r="F801" s="50">
        <v>6770</v>
      </c>
      <c r="G801" s="50" t="s">
        <v>3404</v>
      </c>
      <c r="H801" s="50">
        <v>2025</v>
      </c>
      <c r="I801" s="132">
        <v>45848</v>
      </c>
      <c r="J801" s="50" t="s">
        <v>3125</v>
      </c>
      <c r="K801" s="50" t="s">
        <v>388</v>
      </c>
      <c r="L801" s="50"/>
      <c r="M801" s="50" t="s">
        <v>1982</v>
      </c>
      <c r="N801" s="50" t="s">
        <v>4364</v>
      </c>
      <c r="O801" s="60">
        <v>45853</v>
      </c>
      <c r="P801" s="60"/>
      <c r="Q801" s="60">
        <v>45855</v>
      </c>
      <c r="R801" s="60">
        <v>45856</v>
      </c>
      <c r="S801" s="50">
        <f t="shared" si="83"/>
        <v>3</v>
      </c>
      <c r="T801" s="50" t="str">
        <f>IF(
    OR(ISBLANK(O801), ISBLANK(P801)),
    "",
    MAX(1, IF(
        NETWORKDAYS(O801, P801) &lt;= 0,
        1,
        NETWORKDAYS(O801:P801, Q801) - IF(P801 = Q801, 0, 1)
    ))
)</f>
        <v/>
      </c>
      <c r="U801" s="50">
        <f>IF(
    OR(ISBLANK(O801), ISBLANK(Q801)),
    "",
    MAX(1, IF(
        NETWORKDAYS(O801, Q801) &lt;= 0,
        1,
        NETWORKDAYS(O801, Q801) - IF(O801 = Q801, 0, 1)
    ))
)</f>
        <v>2</v>
      </c>
      <c r="V801" s="50">
        <f t="shared" si="86"/>
        <v>1</v>
      </c>
      <c r="W801" s="50" t="s">
        <v>150</v>
      </c>
      <c r="X801" s="50" t="s">
        <v>3527</v>
      </c>
      <c r="Y801" s="50" t="s">
        <v>3528</v>
      </c>
      <c r="Z801" s="50" t="s">
        <v>3406</v>
      </c>
      <c r="AA801" s="50"/>
    </row>
    <row r="802" spans="1:27" ht="25.5" customHeight="1">
      <c r="A802" s="517" t="s">
        <v>776</v>
      </c>
      <c r="B802" s="51" t="s">
        <v>1141</v>
      </c>
      <c r="C802" s="51" t="s">
        <v>143</v>
      </c>
      <c r="D802" s="51" t="s">
        <v>4365</v>
      </c>
      <c r="E802" s="50">
        <v>4225</v>
      </c>
      <c r="F802" s="50">
        <v>4896</v>
      </c>
      <c r="G802" s="50" t="s">
        <v>3404</v>
      </c>
      <c r="H802" s="50">
        <v>2025</v>
      </c>
      <c r="I802" s="132">
        <v>45854</v>
      </c>
      <c r="J802" s="50" t="s">
        <v>3125</v>
      </c>
      <c r="K802" s="50" t="s">
        <v>388</v>
      </c>
      <c r="L802" s="50"/>
      <c r="M802" s="50" t="s">
        <v>1982</v>
      </c>
      <c r="N802" s="50" t="s">
        <v>4366</v>
      </c>
      <c r="O802" s="60">
        <v>45855</v>
      </c>
      <c r="P802" s="60"/>
      <c r="Q802" s="60">
        <v>45856</v>
      </c>
      <c r="R802" s="60">
        <v>45856</v>
      </c>
      <c r="S802" s="50">
        <f t="shared" si="83"/>
        <v>1</v>
      </c>
      <c r="T802" s="50" t="str">
        <f>IF(
    OR(ISBLANK(O802), ISBLANK(P802)),
    "",
    MAX(1, IF(
        NETWORKDAYS(O802, P802) &lt;= 0,
        1,
        NETWORKDAYS(O802:P802, Q802) - IF(P802 = Q802, 0, 1)
    ))
)</f>
        <v/>
      </c>
      <c r="U802" s="50">
        <f>IF(
    OR(ISBLANK(O802), ISBLANK(Q802)),
    "",
    MAX(1, IF(
        NETWORKDAYS(O802, Q802) &lt;= 0,
        1,
        NETWORKDAYS(O802, Q802) - IF(O802 = Q802, 0, 1)
    ))
)</f>
        <v>1</v>
      </c>
      <c r="V802" s="50">
        <f t="shared" si="86"/>
        <v>1</v>
      </c>
      <c r="W802" s="50" t="s">
        <v>150</v>
      </c>
      <c r="X802" s="50" t="s">
        <v>3527</v>
      </c>
      <c r="Y802" s="50" t="s">
        <v>3528</v>
      </c>
      <c r="Z802" s="50" t="s">
        <v>3406</v>
      </c>
      <c r="AA802" s="50"/>
    </row>
    <row r="803" spans="1:27" ht="25.5" customHeight="1">
      <c r="A803" s="517" t="s">
        <v>776</v>
      </c>
      <c r="B803" s="51" t="s">
        <v>1141</v>
      </c>
      <c r="C803" s="51" t="s">
        <v>143</v>
      </c>
      <c r="D803" s="51" t="s">
        <v>4367</v>
      </c>
      <c r="E803" s="50">
        <v>4706</v>
      </c>
      <c r="F803" s="50">
        <v>5317</v>
      </c>
      <c r="G803" s="50" t="s">
        <v>3955</v>
      </c>
      <c r="H803" s="50"/>
      <c r="I803" s="105"/>
      <c r="J803" s="50"/>
      <c r="K803" s="50" t="s">
        <v>388</v>
      </c>
      <c r="L803" s="50" t="s">
        <v>328</v>
      </c>
      <c r="M803" s="50" t="s">
        <v>1982</v>
      </c>
      <c r="N803" s="50"/>
      <c r="O803" s="50"/>
      <c r="P803" s="50"/>
      <c r="Q803" s="50"/>
      <c r="R803" s="50"/>
      <c r="S803" s="50" t="str">
        <f t="shared" si="83"/>
        <v/>
      </c>
      <c r="T803" s="50" t="str">
        <f>IF(
    OR(ISBLANK(O803), ISBLANK(P803)),
    "",
    MAX(1, IF(
        NETWORKDAYS(O803, P803) &lt;= 0,
        1,
        NETWORKDAYS(O803, P803) - IF(O803 = P803, 0, 1)
    ))
)</f>
        <v/>
      </c>
      <c r="U803" s="50" t="str">
        <f>IF(
    OR(ISBLANK(P803), ISBLANK(Q803)),
    "",
    MAX(1, IF(
        NETWORKDAYS(P803, Q803) &lt;= 0,
        1,
        NETWORKDAYS(P803, Q803) - IF(P803 = Q803, 0, 1)
    ))
)</f>
        <v/>
      </c>
      <c r="V803" s="50" t="str">
        <f t="shared" si="86"/>
        <v/>
      </c>
      <c r="W803" s="50"/>
      <c r="X803" s="50"/>
      <c r="Y803" s="50"/>
      <c r="Z803" s="50"/>
      <c r="AA803" s="50"/>
    </row>
    <row r="804" spans="1:27" ht="25.5" customHeight="1">
      <c r="A804" s="517" t="s">
        <v>776</v>
      </c>
      <c r="B804" s="51" t="s">
        <v>1141</v>
      </c>
      <c r="C804" s="51" t="s">
        <v>143</v>
      </c>
      <c r="D804" s="51" t="s">
        <v>4368</v>
      </c>
      <c r="E804" s="50">
        <v>8037</v>
      </c>
      <c r="F804" s="50">
        <v>9453</v>
      </c>
      <c r="G804" s="50" t="s">
        <v>3404</v>
      </c>
      <c r="H804" s="50">
        <v>2025</v>
      </c>
      <c r="I804" s="132">
        <v>45910</v>
      </c>
      <c r="J804" s="50" t="s">
        <v>3127</v>
      </c>
      <c r="K804" s="50" t="s">
        <v>388</v>
      </c>
      <c r="L804" s="50" t="s">
        <v>1838</v>
      </c>
      <c r="M804" s="50" t="s">
        <v>1982</v>
      </c>
      <c r="N804" s="50" t="s">
        <v>4369</v>
      </c>
      <c r="O804" s="60">
        <v>45911</v>
      </c>
      <c r="P804" s="60">
        <v>45911</v>
      </c>
      <c r="Q804" s="60">
        <v>45916</v>
      </c>
      <c r="R804" s="60">
        <v>45917</v>
      </c>
      <c r="S804" s="50">
        <f t="shared" si="83"/>
        <v>1</v>
      </c>
      <c r="T804" s="50">
        <f>IF(
    OR(ISBLANK(P804), ISBLANK(Q804)),
    "",
    MAX(1, IF(
        NETWORKDAYS(P804, Q804) &lt;= 0,
        1,
        NETWORKDAYS(P804, Q804) - IF(P804 = Q804, 0, 1)
    ))
)</f>
        <v>3</v>
      </c>
      <c r="U804" s="50">
        <f>IF(
    OR(ISBLANK(P804), ISBLANK(Q804)),
    "",
    MAX(1, IF(
        NETWORKDAYS(P804, Q804) &lt;= 0,
        1,
        NETWORKDAYS(P804, Q804) - IF(P804 = Q804, 0, 1)
    ))
)</f>
        <v>3</v>
      </c>
      <c r="V804" s="50">
        <f t="shared" si="86"/>
        <v>1</v>
      </c>
      <c r="W804" s="50" t="s">
        <v>150</v>
      </c>
      <c r="X804" s="50" t="s">
        <v>3527</v>
      </c>
      <c r="Y804" s="50" t="s">
        <v>3528</v>
      </c>
      <c r="Z804" s="50" t="s">
        <v>3406</v>
      </c>
      <c r="AA804" s="50"/>
    </row>
    <row r="805" spans="1:27" ht="25.5" customHeight="1">
      <c r="A805" s="517" t="s">
        <v>776</v>
      </c>
      <c r="B805" s="51" t="s">
        <v>1141</v>
      </c>
      <c r="C805" s="51" t="s">
        <v>143</v>
      </c>
      <c r="D805" s="51" t="s">
        <v>4370</v>
      </c>
      <c r="E805" s="50">
        <v>4073</v>
      </c>
      <c r="F805" s="50">
        <v>4766</v>
      </c>
      <c r="G805" s="50" t="s">
        <v>3404</v>
      </c>
      <c r="H805" s="50">
        <v>2025</v>
      </c>
      <c r="I805" s="132">
        <v>45910</v>
      </c>
      <c r="J805" s="50" t="s">
        <v>3988</v>
      </c>
      <c r="K805" s="50" t="s">
        <v>388</v>
      </c>
      <c r="L805" s="50" t="s">
        <v>1838</v>
      </c>
      <c r="M805" s="50" t="s">
        <v>1982</v>
      </c>
      <c r="N805" s="50" t="s">
        <v>4371</v>
      </c>
      <c r="O805" s="60">
        <v>45911</v>
      </c>
      <c r="P805" s="60">
        <v>45916</v>
      </c>
      <c r="Q805" s="60">
        <v>45916</v>
      </c>
      <c r="R805" s="60">
        <v>45918</v>
      </c>
      <c r="S805" s="50">
        <f t="shared" si="83"/>
        <v>1</v>
      </c>
      <c r="T805" s="50">
        <f>IF(
    OR(ISBLANK(P805), ISBLANK(Q805)),
    "",
    MAX(1, IF(
        NETWORKDAYS(P805, Q805) &lt;= 0,
        1,
        NETWORKDAYS(P805, Q805) - IF(P805 = Q805, 0, 1)
    ))
)</f>
        <v>1</v>
      </c>
      <c r="U805" s="50">
        <f>IF(
    OR(ISBLANK(P805), ISBLANK(Q805)),
    "",
    MAX(1, IF(
        NETWORKDAYS(P805, Q805) &lt;= 0,
        1,
        NETWORKDAYS(P805, Q805) - IF(P805 = Q805, 0, 1)
    ))
)</f>
        <v>1</v>
      </c>
      <c r="V805" s="50">
        <f t="shared" si="86"/>
        <v>2</v>
      </c>
      <c r="W805" s="50" t="s">
        <v>150</v>
      </c>
      <c r="X805" s="50" t="s">
        <v>3527</v>
      </c>
      <c r="Y805" s="50" t="s">
        <v>3528</v>
      </c>
      <c r="Z805" s="50" t="s">
        <v>3406</v>
      </c>
      <c r="AA805" s="50"/>
    </row>
    <row r="806" spans="1:27" ht="25.5" customHeight="1">
      <c r="A806" s="517" t="s">
        <v>776</v>
      </c>
      <c r="B806" s="51" t="s">
        <v>1141</v>
      </c>
      <c r="C806" s="51" t="s">
        <v>143</v>
      </c>
      <c r="D806" s="51" t="s">
        <v>1831</v>
      </c>
      <c r="E806" s="50">
        <v>5426</v>
      </c>
      <c r="F806" s="50">
        <v>5817</v>
      </c>
      <c r="G806" s="50" t="s">
        <v>3404</v>
      </c>
      <c r="H806" s="50">
        <v>2025</v>
      </c>
      <c r="I806" s="132">
        <v>45793</v>
      </c>
      <c r="J806" s="50" t="s">
        <v>3532</v>
      </c>
      <c r="K806" s="50" t="s">
        <v>388</v>
      </c>
      <c r="L806" s="50" t="s">
        <v>328</v>
      </c>
      <c r="M806" s="50" t="s">
        <v>1982</v>
      </c>
      <c r="N806" s="50" t="s">
        <v>4372</v>
      </c>
      <c r="O806" s="60">
        <v>45794</v>
      </c>
      <c r="P806" s="50"/>
      <c r="Q806" s="60">
        <v>45796</v>
      </c>
      <c r="R806" s="60">
        <v>45797</v>
      </c>
      <c r="S806" s="50">
        <f t="shared" si="83"/>
        <v>1</v>
      </c>
      <c r="T806" s="50" t="str">
        <f>IF(
    OR(ISBLANK(O806), ISBLANK(P806)),
    "",
    MAX(1, IF(
        NETWORKDAYS(O806, P806) &lt;= 0,
        1,
        NETWORKDAYS(O806:P806, Q806) - IF(P806 = Q806, 0, 1)
    ))
)</f>
        <v/>
      </c>
      <c r="U806" s="50">
        <f>IF(
    OR(ISBLANK(O806), ISBLANK(Q806)),
    "",
    MAX(1, IF(
        NETWORKDAYS(O806, Q806) &lt;= 0,
        1,
        NETWORKDAYS(O806, Q806) - IF(O806 = Q806, 0, 1)
    ))
)</f>
        <v>1</v>
      </c>
      <c r="V806" s="50">
        <f t="shared" si="86"/>
        <v>1</v>
      </c>
      <c r="W806" s="50" t="s">
        <v>150</v>
      </c>
      <c r="X806" s="50" t="s">
        <v>3527</v>
      </c>
      <c r="Y806" s="50" t="s">
        <v>3528</v>
      </c>
      <c r="Z806" s="50" t="s">
        <v>3406</v>
      </c>
      <c r="AA806" s="50"/>
    </row>
    <row r="807" spans="1:27" ht="25.5" customHeight="1">
      <c r="A807" s="517" t="s">
        <v>776</v>
      </c>
      <c r="B807" s="51" t="s">
        <v>1141</v>
      </c>
      <c r="C807" s="51" t="s">
        <v>143</v>
      </c>
      <c r="D807" s="51" t="s">
        <v>4373</v>
      </c>
      <c r="E807" s="50">
        <v>1553</v>
      </c>
      <c r="F807" s="50">
        <v>1666</v>
      </c>
      <c r="G807" s="50" t="s">
        <v>3404</v>
      </c>
      <c r="H807" s="50">
        <v>2025</v>
      </c>
      <c r="I807" s="132">
        <v>45910</v>
      </c>
      <c r="J807" s="50" t="s">
        <v>3988</v>
      </c>
      <c r="K807" s="50" t="s">
        <v>388</v>
      </c>
      <c r="L807" s="50" t="s">
        <v>1838</v>
      </c>
      <c r="M807" s="50" t="s">
        <v>1982</v>
      </c>
      <c r="N807" s="50" t="s">
        <v>4374</v>
      </c>
      <c r="O807" s="60">
        <v>45911</v>
      </c>
      <c r="P807" s="60">
        <v>45911</v>
      </c>
      <c r="Q807" s="60">
        <v>45915</v>
      </c>
      <c r="R807" s="60">
        <v>45918</v>
      </c>
      <c r="S807" s="50">
        <f t="shared" si="83"/>
        <v>1</v>
      </c>
      <c r="T807" s="50">
        <f>IF(
    OR(ISBLANK(P807), ISBLANK(Q807)),
    "",
    MAX(1, IF(
        NETWORKDAYS(P807, Q807) &lt;= 0,
        1,
        NETWORKDAYS(P807, Q807) - IF(P807 = Q807, 0, 1)
    ))
)</f>
        <v>2</v>
      </c>
      <c r="U807" s="50">
        <f>IF(
    OR(ISBLANK(P807), ISBLANK(Q807)),
    "",
    MAX(1, IF(
        NETWORKDAYS(P807, Q807) &lt;= 0,
        1,
        NETWORKDAYS(P807, Q807) - IF(P807 = Q807, 0, 1)
    ))
)</f>
        <v>2</v>
      </c>
      <c r="V807" s="50">
        <f t="shared" si="86"/>
        <v>3</v>
      </c>
      <c r="W807" s="524" t="s">
        <v>150</v>
      </c>
      <c r="X807" s="50" t="s">
        <v>3527</v>
      </c>
      <c r="Y807" s="50" t="s">
        <v>3528</v>
      </c>
      <c r="Z807" s="50" t="s">
        <v>3406</v>
      </c>
      <c r="AA807" s="50"/>
    </row>
    <row r="808" spans="1:27" ht="25.5" customHeight="1">
      <c r="A808" s="517" t="s">
        <v>776</v>
      </c>
      <c r="B808" s="51" t="s">
        <v>1141</v>
      </c>
      <c r="C808" s="51" t="s">
        <v>143</v>
      </c>
      <c r="D808" s="51" t="s">
        <v>4375</v>
      </c>
      <c r="E808" s="50">
        <v>6543</v>
      </c>
      <c r="F808" s="50">
        <v>6457</v>
      </c>
      <c r="G808" s="50" t="s">
        <v>3404</v>
      </c>
      <c r="H808" s="50">
        <v>2025</v>
      </c>
      <c r="I808" s="132">
        <v>45847</v>
      </c>
      <c r="J808" s="50" t="s">
        <v>3125</v>
      </c>
      <c r="K808" s="50" t="s">
        <v>388</v>
      </c>
      <c r="L808" s="50"/>
      <c r="M808" s="50" t="s">
        <v>1982</v>
      </c>
      <c r="N808" s="50" t="s">
        <v>4376</v>
      </c>
      <c r="O808" s="60">
        <v>45853</v>
      </c>
      <c r="P808" s="60"/>
      <c r="Q808" s="60">
        <v>45855</v>
      </c>
      <c r="R808" s="60">
        <v>45856</v>
      </c>
      <c r="S808" s="50">
        <f t="shared" si="83"/>
        <v>4</v>
      </c>
      <c r="T808" s="50" t="str">
        <f>IF(
    OR(ISBLANK(O808), ISBLANK(P808)),
    "",
    MAX(1, IF(
        NETWORKDAYS(O808, P808) &lt;= 0,
        1,
        NETWORKDAYS(O808:P808, Q808) - IF(P808 = Q808, 0, 1)
    ))
)</f>
        <v/>
      </c>
      <c r="U808" s="50">
        <f>IF(
    OR(ISBLANK(O808), ISBLANK(Q808)),
    "",
    MAX(1, IF(
        NETWORKDAYS(O808, Q808) &lt;= 0,
        1,
        NETWORKDAYS(O808, Q808) - IF(O808 = Q808, 0, 1)
    ))
)</f>
        <v>2</v>
      </c>
      <c r="V808" s="50">
        <f t="shared" si="86"/>
        <v>1</v>
      </c>
      <c r="W808" s="50" t="s">
        <v>150</v>
      </c>
      <c r="X808" s="50" t="s">
        <v>4</v>
      </c>
      <c r="Y808" s="50" t="s">
        <v>50</v>
      </c>
      <c r="Z808" s="50" t="s">
        <v>3406</v>
      </c>
      <c r="AA808" s="50"/>
    </row>
    <row r="809" spans="1:27" ht="25.5" customHeight="1">
      <c r="A809" s="517" t="s">
        <v>776</v>
      </c>
      <c r="B809" s="51" t="s">
        <v>1141</v>
      </c>
      <c r="C809" s="51" t="s">
        <v>143</v>
      </c>
      <c r="D809" s="51" t="s">
        <v>4377</v>
      </c>
      <c r="E809" s="50">
        <v>1996</v>
      </c>
      <c r="F809" s="50">
        <v>2377</v>
      </c>
      <c r="G809" s="50" t="s">
        <v>3404</v>
      </c>
      <c r="H809" s="50">
        <v>2025</v>
      </c>
      <c r="I809" s="132">
        <v>45876</v>
      </c>
      <c r="J809" s="50" t="s">
        <v>3126</v>
      </c>
      <c r="K809" s="50" t="s">
        <v>388</v>
      </c>
      <c r="L809" s="50"/>
      <c r="M809" s="50" t="s">
        <v>1982</v>
      </c>
      <c r="N809" s="50" t="s">
        <v>4378</v>
      </c>
      <c r="O809" s="60">
        <v>45885</v>
      </c>
      <c r="P809" s="50"/>
      <c r="Q809" s="60">
        <v>45887</v>
      </c>
      <c r="R809" s="60">
        <v>45888</v>
      </c>
      <c r="S809" s="50">
        <f t="shared" si="83"/>
        <v>6</v>
      </c>
      <c r="T809" s="50" t="str">
        <f>IF(
    OR(ISBLANK(O809), ISBLANK(P809)),
    "",
    MAX(1, IF(
        NETWORKDAYS(O809, P809) &lt;= 0,
        1,
        NETWORKDAYS(O809:P809, Q809) - IF(P809 = Q809, 0, 1)
    ))
)</f>
        <v/>
      </c>
      <c r="U809" s="50">
        <f>IF(
    OR(ISBLANK(O809), ISBLANK(Q809)),
    "",
    MAX(1, IF(
        NETWORKDAYS(O809, Q809) &lt;= 0,
        1,
        NETWORKDAYS(O809, Q809) - IF(O809 = Q809, 0, 1)
    ))
)</f>
        <v>1</v>
      </c>
      <c r="V809" s="50">
        <f t="shared" si="86"/>
        <v>1</v>
      </c>
      <c r="W809" s="50" t="s">
        <v>150</v>
      </c>
      <c r="X809" s="50" t="s">
        <v>3527</v>
      </c>
      <c r="Y809" s="50" t="s">
        <v>3528</v>
      </c>
      <c r="Z809" s="50" t="s">
        <v>3406</v>
      </c>
      <c r="AA809" s="50"/>
    </row>
    <row r="810" spans="1:27" s="110" customFormat="1" ht="25.5" customHeight="1">
      <c r="A810" s="521" t="s">
        <v>776</v>
      </c>
      <c r="B810" s="51" t="s">
        <v>1141</v>
      </c>
      <c r="C810" s="51" t="s">
        <v>143</v>
      </c>
      <c r="D810" s="51" t="s">
        <v>1056</v>
      </c>
      <c r="E810" s="50">
        <v>12227</v>
      </c>
      <c r="F810" s="50">
        <v>13353</v>
      </c>
      <c r="G810" s="50" t="s">
        <v>3404</v>
      </c>
      <c r="H810" s="50">
        <v>2024</v>
      </c>
      <c r="I810" s="132">
        <v>45427</v>
      </c>
      <c r="J810" s="50"/>
      <c r="K810" s="50" t="s">
        <v>388</v>
      </c>
      <c r="L810" s="50" t="s">
        <v>328</v>
      </c>
      <c r="M810" s="50" t="s">
        <v>1982</v>
      </c>
      <c r="N810" s="50"/>
      <c r="O810" s="50"/>
      <c r="P810" s="50"/>
      <c r="Q810" s="50"/>
      <c r="R810" s="50"/>
      <c r="S810" s="50" t="str">
        <f t="shared" si="83"/>
        <v/>
      </c>
      <c r="T810" s="50" t="str">
        <f>IF(
    OR(ISBLANK(O810), ISBLANK(P810)),
    "",
    MAX(1, IF(
        NETWORKDAYS(O810, P810) &lt;= 0,
        1,
        NETWORKDAYS(O810, P810) - IF(O810 = P810, 0, 1)
    ))
)</f>
        <v/>
      </c>
      <c r="U810" s="50" t="str">
        <f>IF(
    OR(ISBLANK(P810), ISBLANK(Q810)),
    "",
    MAX(1, IF(
        NETWORKDAYS(P810, Q810) &lt;= 0,
        1,
        NETWORKDAYS(P810, Q810) - IF(P810 = Q810, 0, 1)
    ))
)</f>
        <v/>
      </c>
      <c r="V810" s="50" t="str">
        <f t="shared" si="86"/>
        <v/>
      </c>
      <c r="W810" s="50"/>
      <c r="X810" s="50"/>
      <c r="Y810" s="50"/>
      <c r="Z810" s="50" t="s">
        <v>3406</v>
      </c>
      <c r="AA810" s="50"/>
    </row>
    <row r="811" spans="1:27" ht="25.5" customHeight="1">
      <c r="A811" s="517" t="s">
        <v>776</v>
      </c>
      <c r="B811" s="51" t="s">
        <v>1141</v>
      </c>
      <c r="C811" s="51" t="s">
        <v>143</v>
      </c>
      <c r="D811" s="51" t="s">
        <v>4379</v>
      </c>
      <c r="E811" s="50">
        <v>3889</v>
      </c>
      <c r="F811" s="50">
        <v>4153</v>
      </c>
      <c r="G811" s="50" t="s">
        <v>3404</v>
      </c>
      <c r="H811" s="50">
        <v>2025</v>
      </c>
      <c r="I811" s="132">
        <v>45876</v>
      </c>
      <c r="J811" s="50" t="s">
        <v>3127</v>
      </c>
      <c r="K811" s="50" t="s">
        <v>388</v>
      </c>
      <c r="L811" s="50" t="s">
        <v>328</v>
      </c>
      <c r="M811" s="50" t="s">
        <v>1982</v>
      </c>
      <c r="N811" s="50" t="s">
        <v>4380</v>
      </c>
      <c r="O811" s="60">
        <v>45885</v>
      </c>
      <c r="P811" s="50"/>
      <c r="Q811" s="60">
        <v>45888</v>
      </c>
      <c r="R811" s="60">
        <v>45888</v>
      </c>
      <c r="S811" s="50">
        <f t="shared" si="83"/>
        <v>6</v>
      </c>
      <c r="T811" s="50" t="str">
        <f>IF(
    OR(ISBLANK(O811), ISBLANK(P811)),
    "",
    MAX(1, IF(
        NETWORKDAYS(O811, P811) &lt;= 0,
        1,
        NETWORKDAYS(O811:P811, Q811) - IF(P811 = Q811, 0, 1)
    ))
)</f>
        <v/>
      </c>
      <c r="U811" s="50">
        <f>IF(
    OR(ISBLANK(O811), ISBLANK(Q811)),
    "",
    MAX(1, IF(
        NETWORKDAYS(O811, Q811) &lt;= 0,
        1,
        NETWORKDAYS(O811, Q811) - IF(O811 = Q811, 0, 1)
    ))
)</f>
        <v>1</v>
      </c>
      <c r="V811" s="50">
        <f t="shared" si="86"/>
        <v>1</v>
      </c>
      <c r="W811" s="50" t="s">
        <v>150</v>
      </c>
      <c r="X811" s="50" t="s">
        <v>3527</v>
      </c>
      <c r="Y811" s="50" t="s">
        <v>3528</v>
      </c>
      <c r="Z811" s="50" t="s">
        <v>3406</v>
      </c>
      <c r="AA811" s="50"/>
    </row>
    <row r="812" spans="1:27" ht="25.5" customHeight="1">
      <c r="A812" s="517" t="s">
        <v>776</v>
      </c>
      <c r="B812" s="51" t="s">
        <v>1141</v>
      </c>
      <c r="C812" s="51" t="s">
        <v>143</v>
      </c>
      <c r="D812" s="51" t="s">
        <v>3977</v>
      </c>
      <c r="E812" s="50">
        <v>6831</v>
      </c>
      <c r="F812" s="50">
        <v>7700</v>
      </c>
      <c r="G812" s="50" t="s">
        <v>3404</v>
      </c>
      <c r="H812" s="50">
        <v>2025</v>
      </c>
      <c r="I812" s="132">
        <v>45757</v>
      </c>
      <c r="J812" s="50" t="s">
        <v>3470</v>
      </c>
      <c r="K812" s="50" t="s">
        <v>388</v>
      </c>
      <c r="L812" s="50" t="s">
        <v>328</v>
      </c>
      <c r="M812" s="50" t="s">
        <v>1982</v>
      </c>
      <c r="N812" s="50" t="s">
        <v>4381</v>
      </c>
      <c r="O812" s="60">
        <v>45761</v>
      </c>
      <c r="P812" s="60">
        <v>45761</v>
      </c>
      <c r="Q812" s="60">
        <v>45761</v>
      </c>
      <c r="R812" s="60">
        <v>45761</v>
      </c>
      <c r="S812" s="50">
        <f t="shared" si="83"/>
        <v>2</v>
      </c>
      <c r="T812" s="50">
        <f>IF(
    OR(ISBLANK(P812), ISBLANK(Q812)),
    "",
    MAX(1, IF(
        NETWORKDAYS(P812, Q812) &lt;= 0,
        1,
        NETWORKDAYS(P812, Q812) - IF(P812 = Q812, 0, 1)
    ))
)</f>
        <v>1</v>
      </c>
      <c r="U812" s="50">
        <f>IF(
    OR(ISBLANK(P812), ISBLANK(Q812)),
    "",
    MAX(1, IF(
        NETWORKDAYS(P812, Q812) &lt;= 0,
        1,
        NETWORKDAYS(P812, Q812) - IF(P812 = Q812, 0, 1)
    ))
)</f>
        <v>1</v>
      </c>
      <c r="V812" s="50">
        <f t="shared" si="86"/>
        <v>1</v>
      </c>
      <c r="W812" s="50" t="s">
        <v>150</v>
      </c>
      <c r="X812" s="50" t="s">
        <v>1078</v>
      </c>
      <c r="Y812" s="50" t="s">
        <v>50</v>
      </c>
      <c r="Z812" s="50" t="s">
        <v>3406</v>
      </c>
      <c r="AA812" s="50"/>
    </row>
    <row r="813" spans="1:27" ht="25.5" customHeight="1">
      <c r="A813" s="517" t="s">
        <v>776</v>
      </c>
      <c r="B813" s="51" t="s">
        <v>1141</v>
      </c>
      <c r="C813" s="51" t="s">
        <v>143</v>
      </c>
      <c r="D813" s="51" t="s">
        <v>4014</v>
      </c>
      <c r="E813" s="50">
        <v>6774</v>
      </c>
      <c r="F813" s="50">
        <v>7912</v>
      </c>
      <c r="G813" s="50" t="s">
        <v>3404</v>
      </c>
      <c r="H813" s="50">
        <v>2025</v>
      </c>
      <c r="I813" s="132">
        <v>45757</v>
      </c>
      <c r="J813" s="50" t="s">
        <v>3470</v>
      </c>
      <c r="K813" s="50" t="s">
        <v>388</v>
      </c>
      <c r="L813" s="50" t="s">
        <v>328</v>
      </c>
      <c r="M813" s="50" t="s">
        <v>1982</v>
      </c>
      <c r="N813" s="50" t="s">
        <v>4382</v>
      </c>
      <c r="O813" s="60">
        <v>45761</v>
      </c>
      <c r="P813" s="60">
        <v>45761</v>
      </c>
      <c r="Q813" s="60">
        <v>45761</v>
      </c>
      <c r="R813" s="60">
        <v>45761</v>
      </c>
      <c r="S813" s="50">
        <f t="shared" si="83"/>
        <v>2</v>
      </c>
      <c r="T813" s="50">
        <f>IF(
    OR(ISBLANK(P813), ISBLANK(Q813)),
    "",
    MAX(1, IF(
        NETWORKDAYS(P813, Q813) &lt;= 0,
        1,
        NETWORKDAYS(P813, Q813) - IF(P813 = Q813, 0, 1)
    ))
)</f>
        <v>1</v>
      </c>
      <c r="U813" s="50">
        <f>IF(
    OR(ISBLANK(P813), ISBLANK(Q813)),
    "",
    MAX(1, IF(
        NETWORKDAYS(P813, Q813) &lt;= 0,
        1,
        NETWORKDAYS(P813, Q813) - IF(P813 = Q813, 0, 1)
    ))
)</f>
        <v>1</v>
      </c>
      <c r="V813" s="50">
        <f t="shared" si="86"/>
        <v>1</v>
      </c>
      <c r="W813" s="50" t="s">
        <v>150</v>
      </c>
      <c r="X813" s="50" t="s">
        <v>3527</v>
      </c>
      <c r="Y813" s="50" t="s">
        <v>3528</v>
      </c>
      <c r="Z813" s="50" t="s">
        <v>3406</v>
      </c>
      <c r="AA813" s="50"/>
    </row>
    <row r="814" spans="1:27" ht="25.5" customHeight="1">
      <c r="A814" s="517" t="s">
        <v>776</v>
      </c>
      <c r="B814" s="51" t="s">
        <v>1141</v>
      </c>
      <c r="C814" s="51" t="s">
        <v>143</v>
      </c>
      <c r="D814" s="51" t="s">
        <v>1305</v>
      </c>
      <c r="E814" s="50">
        <v>4355</v>
      </c>
      <c r="F814" s="50">
        <v>4931</v>
      </c>
      <c r="G814" s="50" t="s">
        <v>3404</v>
      </c>
      <c r="H814" s="50">
        <v>2025</v>
      </c>
      <c r="I814" s="132">
        <v>45757</v>
      </c>
      <c r="J814" s="50" t="s">
        <v>3470</v>
      </c>
      <c r="K814" s="50" t="s">
        <v>388</v>
      </c>
      <c r="L814" s="50" t="s">
        <v>328</v>
      </c>
      <c r="M814" s="50" t="s">
        <v>1982</v>
      </c>
      <c r="N814" s="50" t="s">
        <v>4383</v>
      </c>
      <c r="O814" s="60">
        <v>45762</v>
      </c>
      <c r="P814" s="50"/>
      <c r="Q814" s="60">
        <v>45762</v>
      </c>
      <c r="R814" s="60">
        <v>45768</v>
      </c>
      <c r="S814" s="50">
        <f t="shared" si="83"/>
        <v>3</v>
      </c>
      <c r="T814" s="50" t="str">
        <f>IF(
    OR(ISBLANK(O814), ISBLANK(P814)),
    "",
    MAX(1, IF(
        NETWORKDAYS(O814, P814) &lt;= 0,
        1,
        NETWORKDAYS(O814:P814, Q814) - IF(P814 = Q814, 0, 1)
    ))
)</f>
        <v/>
      </c>
      <c r="U814" s="50">
        <f>IF(
    OR(ISBLANK(O814), ISBLANK(Q814)),
    "",
    MAX(1, IF(
        NETWORKDAYS(O814, Q814) &lt;= 0,
        1,
        NETWORKDAYS(O814, Q814) - IF(O814 = Q814, 0, 1)
    ))
)</f>
        <v>1</v>
      </c>
      <c r="V814" s="50">
        <f t="shared" si="86"/>
        <v>4</v>
      </c>
      <c r="W814" s="50" t="s">
        <v>150</v>
      </c>
      <c r="X814" s="50" t="s">
        <v>3527</v>
      </c>
      <c r="Y814" s="50" t="s">
        <v>3528</v>
      </c>
      <c r="Z814" s="50" t="s">
        <v>3406</v>
      </c>
      <c r="AA814" s="50"/>
    </row>
    <row r="815" spans="1:27" s="110" customFormat="1" ht="25.5" customHeight="1">
      <c r="A815" s="517" t="s">
        <v>776</v>
      </c>
      <c r="B815" s="51" t="s">
        <v>1141</v>
      </c>
      <c r="C815" s="51" t="s">
        <v>143</v>
      </c>
      <c r="D815" s="51" t="s">
        <v>1462</v>
      </c>
      <c r="E815" s="50">
        <v>4235</v>
      </c>
      <c r="F815" s="50">
        <v>4857</v>
      </c>
      <c r="G815" s="50" t="s">
        <v>3404</v>
      </c>
      <c r="H815" s="50">
        <v>2025</v>
      </c>
      <c r="I815" s="132">
        <v>45757</v>
      </c>
      <c r="J815" s="50" t="s">
        <v>3470</v>
      </c>
      <c r="K815" s="50" t="s">
        <v>388</v>
      </c>
      <c r="L815" s="50" t="s">
        <v>328</v>
      </c>
      <c r="M815" s="50" t="s">
        <v>1982</v>
      </c>
      <c r="N815" s="50" t="s">
        <v>4384</v>
      </c>
      <c r="O815" s="60">
        <v>45761</v>
      </c>
      <c r="P815" s="60">
        <v>45761</v>
      </c>
      <c r="Q815" s="60">
        <v>45761</v>
      </c>
      <c r="R815" s="60">
        <v>45761</v>
      </c>
      <c r="S815" s="50">
        <f t="shared" si="83"/>
        <v>2</v>
      </c>
      <c r="T815" s="50">
        <f>IF(
    OR(ISBLANK(P815), ISBLANK(Q815)),
    "",
    MAX(1, IF(
        NETWORKDAYS(P815, Q815) &lt;= 0,
        1,
        NETWORKDAYS(P815, Q815) - IF(P815 = Q815, 0, 1)
    ))
)</f>
        <v>1</v>
      </c>
      <c r="U815" s="50">
        <f t="shared" ref="U815:U846" si="87">IF(
    OR(ISBLANK(P815), ISBLANK(Q815)),
    "",
    MAX(1, IF(
        NETWORKDAYS(P815, Q815) &lt;= 0,
        1,
        NETWORKDAYS(P815, Q815) - IF(P815 = Q815, 0, 1)
    ))
)</f>
        <v>1</v>
      </c>
      <c r="V815" s="50">
        <f t="shared" si="86"/>
        <v>1</v>
      </c>
      <c r="W815" s="50" t="s">
        <v>150</v>
      </c>
      <c r="X815" s="50" t="s">
        <v>4</v>
      </c>
      <c r="Y815" s="50" t="s">
        <v>50</v>
      </c>
      <c r="Z815" s="50" t="s">
        <v>3406</v>
      </c>
      <c r="AA815" s="50"/>
    </row>
    <row r="816" spans="1:27" ht="25.5" customHeight="1">
      <c r="A816" s="517" t="s">
        <v>776</v>
      </c>
      <c r="B816" s="51" t="s">
        <v>1148</v>
      </c>
      <c r="C816" s="51" t="s">
        <v>143</v>
      </c>
      <c r="D816" s="51" t="s">
        <v>2100</v>
      </c>
      <c r="E816" s="50">
        <v>4330</v>
      </c>
      <c r="F816" s="50">
        <v>4653</v>
      </c>
      <c r="G816" s="50" t="s">
        <v>3955</v>
      </c>
      <c r="H816" s="50"/>
      <c r="I816" s="105"/>
      <c r="J816" s="50"/>
      <c r="K816" s="50"/>
      <c r="L816" s="50" t="s">
        <v>328</v>
      </c>
      <c r="M816" s="50" t="s">
        <v>1982</v>
      </c>
      <c r="N816" s="50"/>
      <c r="O816" s="50"/>
      <c r="P816" s="50"/>
      <c r="Q816" s="50"/>
      <c r="R816" s="50"/>
      <c r="S816" s="50" t="str">
        <f t="shared" si="83"/>
        <v/>
      </c>
      <c r="T816" s="50" t="str">
        <f t="shared" ref="T816:T847" si="88">IF(
    OR(ISBLANK(O816), ISBLANK(P816)),
    "",
    MAX(1, IF(
        NETWORKDAYS(O816, P816) &lt;= 0,
        1,
        NETWORKDAYS(O816, P816) - IF(O816 = P816, 0, 1)
    ))
)</f>
        <v/>
      </c>
      <c r="U816" s="50" t="str">
        <f t="shared" si="87"/>
        <v/>
      </c>
      <c r="V816" s="50" t="str">
        <f t="shared" si="86"/>
        <v/>
      </c>
      <c r="W816" s="50"/>
      <c r="X816" s="50"/>
      <c r="Y816" s="50"/>
      <c r="Z816" s="50"/>
      <c r="AA816" s="50"/>
    </row>
    <row r="817" spans="1:27" ht="25.5" customHeight="1">
      <c r="A817" s="517" t="s">
        <v>776</v>
      </c>
      <c r="B817" s="51" t="s">
        <v>1148</v>
      </c>
      <c r="C817" s="51" t="s">
        <v>143</v>
      </c>
      <c r="D817" s="51" t="s">
        <v>4385</v>
      </c>
      <c r="E817" s="50">
        <v>3506</v>
      </c>
      <c r="F817" s="50">
        <v>3607</v>
      </c>
      <c r="G817" s="50" t="s">
        <v>3955</v>
      </c>
      <c r="H817" s="50"/>
      <c r="I817" s="105"/>
      <c r="J817" s="50"/>
      <c r="K817" s="50"/>
      <c r="L817" s="50" t="s">
        <v>328</v>
      </c>
      <c r="M817" s="50" t="s">
        <v>1982</v>
      </c>
      <c r="N817" s="50"/>
      <c r="O817" s="50"/>
      <c r="P817" s="50"/>
      <c r="Q817" s="50"/>
      <c r="R817" s="50"/>
      <c r="S817" s="50" t="str">
        <f t="shared" si="83"/>
        <v/>
      </c>
      <c r="T817" s="50" t="str">
        <f t="shared" si="88"/>
        <v/>
      </c>
      <c r="U817" s="50" t="str">
        <f t="shared" si="87"/>
        <v/>
      </c>
      <c r="V817" s="50" t="str">
        <f t="shared" si="86"/>
        <v/>
      </c>
      <c r="W817" s="50"/>
      <c r="X817" s="50"/>
      <c r="Y817" s="50"/>
      <c r="Z817" s="50"/>
      <c r="AA817" s="50"/>
    </row>
    <row r="818" spans="1:27" ht="25.5" customHeight="1">
      <c r="A818" s="50" t="s">
        <v>776</v>
      </c>
      <c r="B818" s="51" t="s">
        <v>1148</v>
      </c>
      <c r="C818" s="51" t="s">
        <v>143</v>
      </c>
      <c r="D818" s="51" t="s">
        <v>4386</v>
      </c>
      <c r="E818" s="50">
        <v>4169</v>
      </c>
      <c r="F818" s="50">
        <v>5271</v>
      </c>
      <c r="G818" s="50" t="s">
        <v>3404</v>
      </c>
      <c r="H818" s="50">
        <v>2024</v>
      </c>
      <c r="I818" s="132">
        <v>45428</v>
      </c>
      <c r="J818" s="50"/>
      <c r="K818" s="50"/>
      <c r="L818" s="50" t="s">
        <v>328</v>
      </c>
      <c r="M818" s="50" t="s">
        <v>1982</v>
      </c>
      <c r="N818" s="50"/>
      <c r="O818" s="50"/>
      <c r="P818" s="50"/>
      <c r="Q818" s="50"/>
      <c r="R818" s="50"/>
      <c r="S818" s="50" t="str">
        <f t="shared" si="83"/>
        <v/>
      </c>
      <c r="T818" s="50" t="str">
        <f t="shared" si="88"/>
        <v/>
      </c>
      <c r="U818" s="50" t="str">
        <f t="shared" si="87"/>
        <v/>
      </c>
      <c r="V818" s="50" t="str">
        <f t="shared" si="86"/>
        <v/>
      </c>
      <c r="W818" s="50"/>
      <c r="X818" s="50"/>
      <c r="Y818" s="50"/>
      <c r="Z818" s="50" t="s">
        <v>3406</v>
      </c>
      <c r="AA818" s="50"/>
    </row>
    <row r="819" spans="1:27" ht="25.5" customHeight="1">
      <c r="A819" s="517" t="s">
        <v>776</v>
      </c>
      <c r="B819" s="51" t="s">
        <v>1148</v>
      </c>
      <c r="C819" s="51" t="s">
        <v>143</v>
      </c>
      <c r="D819" s="51" t="s">
        <v>4303</v>
      </c>
      <c r="E819" s="50">
        <v>2150</v>
      </c>
      <c r="F819" s="50">
        <v>2407</v>
      </c>
      <c r="G819" s="50" t="s">
        <v>3955</v>
      </c>
      <c r="H819" s="50"/>
      <c r="I819" s="105"/>
      <c r="J819" s="50"/>
      <c r="K819" s="50"/>
      <c r="L819" s="50" t="s">
        <v>328</v>
      </c>
      <c r="M819" s="50" t="s">
        <v>1982</v>
      </c>
      <c r="N819" s="50"/>
      <c r="O819" s="50"/>
      <c r="P819" s="50"/>
      <c r="Q819" s="50"/>
      <c r="R819" s="50"/>
      <c r="S819" s="50" t="str">
        <f t="shared" si="83"/>
        <v/>
      </c>
      <c r="T819" s="50" t="str">
        <f t="shared" si="88"/>
        <v/>
      </c>
      <c r="U819" s="50" t="str">
        <f t="shared" si="87"/>
        <v/>
      </c>
      <c r="V819" s="50" t="str">
        <f t="shared" si="86"/>
        <v/>
      </c>
      <c r="W819" s="50"/>
      <c r="X819" s="50"/>
      <c r="Y819" s="50"/>
      <c r="Z819" s="50"/>
      <c r="AA819" s="50"/>
    </row>
    <row r="820" spans="1:27" ht="25.5" customHeight="1">
      <c r="A820" s="50" t="s">
        <v>776</v>
      </c>
      <c r="B820" s="51" t="s">
        <v>1148</v>
      </c>
      <c r="C820" s="51" t="s">
        <v>143</v>
      </c>
      <c r="D820" s="51" t="s">
        <v>4387</v>
      </c>
      <c r="E820" s="50">
        <v>2068</v>
      </c>
      <c r="F820" s="50">
        <v>2199</v>
      </c>
      <c r="G820" s="50" t="s">
        <v>3404</v>
      </c>
      <c r="H820" s="50">
        <v>2024</v>
      </c>
      <c r="I820" s="132">
        <v>45483</v>
      </c>
      <c r="J820" s="50"/>
      <c r="K820" s="50"/>
      <c r="L820" s="50" t="s">
        <v>328</v>
      </c>
      <c r="M820" s="50" t="s">
        <v>1982</v>
      </c>
      <c r="N820" s="50"/>
      <c r="O820" s="50"/>
      <c r="P820" s="50"/>
      <c r="Q820" s="50"/>
      <c r="R820" s="50"/>
      <c r="S820" s="50" t="str">
        <f t="shared" si="83"/>
        <v/>
      </c>
      <c r="T820" s="50" t="str">
        <f t="shared" si="88"/>
        <v/>
      </c>
      <c r="U820" s="50" t="str">
        <f t="shared" si="87"/>
        <v/>
      </c>
      <c r="V820" s="50" t="str">
        <f t="shared" si="86"/>
        <v/>
      </c>
      <c r="W820" s="50"/>
      <c r="X820" s="50" t="s">
        <v>4</v>
      </c>
      <c r="Y820" s="50" t="s">
        <v>50</v>
      </c>
      <c r="Z820" s="50" t="s">
        <v>3406</v>
      </c>
      <c r="AA820" s="50"/>
    </row>
    <row r="821" spans="1:27" ht="25.5" customHeight="1">
      <c r="A821" s="517" t="s">
        <v>776</v>
      </c>
      <c r="B821" s="51" t="s">
        <v>1148</v>
      </c>
      <c r="C821" s="51" t="s">
        <v>143</v>
      </c>
      <c r="D821" s="51" t="s">
        <v>4388</v>
      </c>
      <c r="E821" s="50">
        <v>2069</v>
      </c>
      <c r="F821" s="50">
        <v>2200</v>
      </c>
      <c r="G821" s="50" t="s">
        <v>3955</v>
      </c>
      <c r="H821" s="50"/>
      <c r="I821" s="105"/>
      <c r="J821" s="50"/>
      <c r="K821" s="50"/>
      <c r="L821" s="50" t="s">
        <v>328</v>
      </c>
      <c r="M821" s="50" t="s">
        <v>1982</v>
      </c>
      <c r="N821" s="50"/>
      <c r="O821" s="50"/>
      <c r="P821" s="50"/>
      <c r="Q821" s="50"/>
      <c r="R821" s="50"/>
      <c r="S821" s="50" t="str">
        <f t="shared" si="83"/>
        <v/>
      </c>
      <c r="T821" s="50" t="str">
        <f t="shared" si="88"/>
        <v/>
      </c>
      <c r="U821" s="50" t="str">
        <f t="shared" si="87"/>
        <v/>
      </c>
      <c r="V821" s="50" t="str">
        <f t="shared" si="86"/>
        <v/>
      </c>
      <c r="W821" s="50"/>
      <c r="X821" s="50"/>
      <c r="Y821" s="50"/>
      <c r="Z821" s="50"/>
      <c r="AA821" s="50"/>
    </row>
    <row r="822" spans="1:27" ht="25.5" customHeight="1">
      <c r="A822" s="517" t="s">
        <v>776</v>
      </c>
      <c r="B822" s="51" t="s">
        <v>1148</v>
      </c>
      <c r="C822" s="51" t="s">
        <v>143</v>
      </c>
      <c r="D822" s="51" t="s">
        <v>4389</v>
      </c>
      <c r="E822" s="50">
        <v>2245</v>
      </c>
      <c r="F822" s="50">
        <v>2560</v>
      </c>
      <c r="G822" s="50" t="s">
        <v>3955</v>
      </c>
      <c r="H822" s="50"/>
      <c r="I822" s="105"/>
      <c r="J822" s="50"/>
      <c r="K822" s="50"/>
      <c r="L822" s="50" t="s">
        <v>328</v>
      </c>
      <c r="M822" s="50" t="s">
        <v>1982</v>
      </c>
      <c r="N822" s="50"/>
      <c r="O822" s="50"/>
      <c r="P822" s="50"/>
      <c r="Q822" s="50"/>
      <c r="R822" s="50"/>
      <c r="S822" s="50" t="str">
        <f t="shared" si="83"/>
        <v/>
      </c>
      <c r="T822" s="50" t="str">
        <f t="shared" si="88"/>
        <v/>
      </c>
      <c r="U822" s="50" t="str">
        <f t="shared" si="87"/>
        <v/>
      </c>
      <c r="V822" s="50" t="str">
        <f t="shared" si="86"/>
        <v/>
      </c>
      <c r="W822" s="50"/>
      <c r="X822" s="50"/>
      <c r="Y822" s="50"/>
      <c r="Z822" s="50"/>
      <c r="AA822" s="50"/>
    </row>
    <row r="823" spans="1:27" ht="25.5" customHeight="1">
      <c r="A823" s="517" t="s">
        <v>776</v>
      </c>
      <c r="B823" s="51" t="s">
        <v>1148</v>
      </c>
      <c r="C823" s="51" t="s">
        <v>143</v>
      </c>
      <c r="D823" s="51" t="s">
        <v>4390</v>
      </c>
      <c r="E823" s="50">
        <v>1402</v>
      </c>
      <c r="F823" s="50">
        <v>1973</v>
      </c>
      <c r="G823" s="50" t="s">
        <v>3955</v>
      </c>
      <c r="H823" s="50"/>
      <c r="I823" s="105"/>
      <c r="J823" s="50"/>
      <c r="K823" s="50"/>
      <c r="L823" s="50" t="s">
        <v>328</v>
      </c>
      <c r="M823" s="50" t="s">
        <v>1982</v>
      </c>
      <c r="N823" s="50"/>
      <c r="O823" s="50"/>
      <c r="P823" s="50"/>
      <c r="Q823" s="50"/>
      <c r="R823" s="50"/>
      <c r="S823" s="50" t="str">
        <f t="shared" si="83"/>
        <v/>
      </c>
      <c r="T823" s="50" t="str">
        <f t="shared" si="88"/>
        <v/>
      </c>
      <c r="U823" s="50" t="str">
        <f t="shared" si="87"/>
        <v/>
      </c>
      <c r="V823" s="50" t="str">
        <f t="shared" si="86"/>
        <v/>
      </c>
      <c r="W823" s="50"/>
      <c r="X823" s="50"/>
      <c r="Y823" s="50"/>
      <c r="Z823" s="50"/>
      <c r="AA823" s="50"/>
    </row>
    <row r="824" spans="1:27" ht="25.5" customHeight="1">
      <c r="A824" s="517" t="s">
        <v>776</v>
      </c>
      <c r="B824" s="51" t="s">
        <v>1148</v>
      </c>
      <c r="C824" s="51" t="s">
        <v>143</v>
      </c>
      <c r="D824" s="51" t="s">
        <v>4391</v>
      </c>
      <c r="E824" s="50">
        <v>1948</v>
      </c>
      <c r="F824" s="50">
        <v>2118</v>
      </c>
      <c r="G824" s="50" t="s">
        <v>3955</v>
      </c>
      <c r="H824" s="50"/>
      <c r="I824" s="105"/>
      <c r="J824" s="50"/>
      <c r="K824" s="50"/>
      <c r="L824" s="50" t="s">
        <v>328</v>
      </c>
      <c r="M824" s="50" t="s">
        <v>1982</v>
      </c>
      <c r="N824" s="50"/>
      <c r="O824" s="50"/>
      <c r="P824" s="50"/>
      <c r="Q824" s="50"/>
      <c r="R824" s="50"/>
      <c r="S824" s="50" t="str">
        <f t="shared" si="83"/>
        <v/>
      </c>
      <c r="T824" s="50" t="str">
        <f t="shared" si="88"/>
        <v/>
      </c>
      <c r="U824" s="50" t="str">
        <f t="shared" si="87"/>
        <v/>
      </c>
      <c r="V824" s="50" t="str">
        <f t="shared" si="86"/>
        <v/>
      </c>
      <c r="W824" s="50"/>
      <c r="X824" s="50"/>
      <c r="Y824" s="50"/>
      <c r="Z824" s="50"/>
      <c r="AA824" s="50"/>
    </row>
    <row r="825" spans="1:27" s="110" customFormat="1" ht="25.5" customHeight="1">
      <c r="A825" s="517" t="s">
        <v>776</v>
      </c>
      <c r="B825" s="51" t="s">
        <v>1148</v>
      </c>
      <c r="C825" s="51" t="s">
        <v>143</v>
      </c>
      <c r="D825" s="51" t="s">
        <v>4392</v>
      </c>
      <c r="E825" s="50">
        <v>3578</v>
      </c>
      <c r="F825" s="50">
        <v>3705</v>
      </c>
      <c r="G825" s="50" t="s">
        <v>3955</v>
      </c>
      <c r="H825" s="50"/>
      <c r="I825" s="105"/>
      <c r="J825" s="50"/>
      <c r="K825" s="50"/>
      <c r="L825" s="50" t="s">
        <v>328</v>
      </c>
      <c r="M825" s="50" t="s">
        <v>1982</v>
      </c>
      <c r="N825" s="50"/>
      <c r="O825" s="50"/>
      <c r="P825" s="50"/>
      <c r="Q825" s="50"/>
      <c r="R825" s="50"/>
      <c r="S825" s="50" t="str">
        <f t="shared" si="83"/>
        <v/>
      </c>
      <c r="T825" s="50" t="str">
        <f t="shared" si="88"/>
        <v/>
      </c>
      <c r="U825" s="50" t="str">
        <f t="shared" si="87"/>
        <v/>
      </c>
      <c r="V825" s="50" t="str">
        <f t="shared" si="86"/>
        <v/>
      </c>
      <c r="W825" s="50"/>
      <c r="X825" s="50"/>
      <c r="Y825" s="50"/>
      <c r="Z825" s="50"/>
      <c r="AA825" s="50"/>
    </row>
    <row r="826" spans="1:27" ht="25.5" customHeight="1">
      <c r="A826" s="517" t="s">
        <v>776</v>
      </c>
      <c r="B826" s="51" t="s">
        <v>1148</v>
      </c>
      <c r="C826" s="51" t="s">
        <v>143</v>
      </c>
      <c r="D826" s="51" t="s">
        <v>4393</v>
      </c>
      <c r="E826" s="50">
        <v>3435</v>
      </c>
      <c r="F826" s="50">
        <v>3717</v>
      </c>
      <c r="G826" s="50" t="s">
        <v>3955</v>
      </c>
      <c r="H826" s="50"/>
      <c r="I826" s="105"/>
      <c r="J826" s="50"/>
      <c r="K826" s="50"/>
      <c r="L826" s="50" t="s">
        <v>328</v>
      </c>
      <c r="M826" s="50" t="s">
        <v>1982</v>
      </c>
      <c r="N826" s="50"/>
      <c r="O826" s="50"/>
      <c r="P826" s="50"/>
      <c r="Q826" s="50"/>
      <c r="R826" s="50"/>
      <c r="S826" s="50" t="str">
        <f t="shared" si="83"/>
        <v/>
      </c>
      <c r="T826" s="50" t="str">
        <f t="shared" si="88"/>
        <v/>
      </c>
      <c r="U826" s="50" t="str">
        <f t="shared" si="87"/>
        <v/>
      </c>
      <c r="V826" s="50" t="str">
        <f t="shared" si="86"/>
        <v/>
      </c>
      <c r="W826" s="50"/>
      <c r="X826" s="50"/>
      <c r="Y826" s="50"/>
      <c r="Z826" s="50"/>
      <c r="AA826" s="50"/>
    </row>
    <row r="827" spans="1:27" ht="25.5" customHeight="1">
      <c r="A827" s="517" t="s">
        <v>776</v>
      </c>
      <c r="B827" s="51" t="s">
        <v>1148</v>
      </c>
      <c r="C827" s="51" t="s">
        <v>143</v>
      </c>
      <c r="D827" s="51" t="s">
        <v>4394</v>
      </c>
      <c r="E827" s="50">
        <v>1811</v>
      </c>
      <c r="F827" s="50">
        <v>2030</v>
      </c>
      <c r="G827" s="50" t="s">
        <v>3955</v>
      </c>
      <c r="H827" s="50"/>
      <c r="I827" s="105"/>
      <c r="J827" s="50"/>
      <c r="K827" s="50"/>
      <c r="L827" s="50" t="s">
        <v>328</v>
      </c>
      <c r="M827" s="50" t="s">
        <v>1982</v>
      </c>
      <c r="N827" s="50"/>
      <c r="O827" s="50"/>
      <c r="P827" s="50"/>
      <c r="Q827" s="50"/>
      <c r="R827" s="50"/>
      <c r="S827" s="50" t="str">
        <f t="shared" si="83"/>
        <v/>
      </c>
      <c r="T827" s="50" t="str">
        <f t="shared" si="88"/>
        <v/>
      </c>
      <c r="U827" s="50" t="str">
        <f t="shared" si="87"/>
        <v/>
      </c>
      <c r="V827" s="50" t="str">
        <f t="shared" si="86"/>
        <v/>
      </c>
      <c r="W827" s="50"/>
      <c r="X827" s="50"/>
      <c r="Y827" s="50"/>
      <c r="Z827" s="50"/>
      <c r="AA827" s="50"/>
    </row>
    <row r="828" spans="1:27" ht="25.5" customHeight="1">
      <c r="A828" s="517" t="s">
        <v>776</v>
      </c>
      <c r="B828" s="51" t="s">
        <v>1148</v>
      </c>
      <c r="C828" s="51" t="s">
        <v>143</v>
      </c>
      <c r="D828" s="51" t="s">
        <v>4395</v>
      </c>
      <c r="E828" s="50">
        <v>3393</v>
      </c>
      <c r="F828" s="50">
        <v>3699</v>
      </c>
      <c r="G828" s="50" t="s">
        <v>3955</v>
      </c>
      <c r="H828" s="50"/>
      <c r="I828" s="105"/>
      <c r="J828" s="50"/>
      <c r="K828" s="50"/>
      <c r="L828" s="50" t="s">
        <v>328</v>
      </c>
      <c r="M828" s="50" t="s">
        <v>1982</v>
      </c>
      <c r="N828" s="50"/>
      <c r="O828" s="50"/>
      <c r="P828" s="50"/>
      <c r="Q828" s="50"/>
      <c r="R828" s="50"/>
      <c r="S828" s="50" t="str">
        <f t="shared" si="83"/>
        <v/>
      </c>
      <c r="T828" s="50" t="str">
        <f t="shared" si="88"/>
        <v/>
      </c>
      <c r="U828" s="50" t="str">
        <f t="shared" si="87"/>
        <v/>
      </c>
      <c r="V828" s="50" t="str">
        <f t="shared" si="86"/>
        <v/>
      </c>
      <c r="W828" s="50"/>
      <c r="X828" s="50"/>
      <c r="Y828" s="50"/>
      <c r="Z828" s="50"/>
      <c r="AA828" s="50"/>
    </row>
    <row r="829" spans="1:27" ht="25.5" customHeight="1">
      <c r="A829" s="517" t="s">
        <v>776</v>
      </c>
      <c r="B829" s="51" t="s">
        <v>1148</v>
      </c>
      <c r="C829" s="51" t="s">
        <v>143</v>
      </c>
      <c r="D829" s="51" t="s">
        <v>4396</v>
      </c>
      <c r="E829" s="50">
        <v>1183</v>
      </c>
      <c r="F829" s="50">
        <v>1273</v>
      </c>
      <c r="G829" s="50" t="s">
        <v>3955</v>
      </c>
      <c r="H829" s="50"/>
      <c r="I829" s="105"/>
      <c r="J829" s="50"/>
      <c r="K829" s="50"/>
      <c r="L829" s="50" t="s">
        <v>328</v>
      </c>
      <c r="M829" s="50" t="s">
        <v>1982</v>
      </c>
      <c r="N829" s="50"/>
      <c r="O829" s="50"/>
      <c r="P829" s="50"/>
      <c r="Q829" s="50"/>
      <c r="R829" s="50"/>
      <c r="S829" s="50" t="str">
        <f t="shared" si="83"/>
        <v/>
      </c>
      <c r="T829" s="50" t="str">
        <f t="shared" si="88"/>
        <v/>
      </c>
      <c r="U829" s="50" t="str">
        <f t="shared" si="87"/>
        <v/>
      </c>
      <c r="V829" s="50" t="str">
        <f t="shared" si="86"/>
        <v/>
      </c>
      <c r="W829" s="50"/>
      <c r="X829" s="50"/>
      <c r="Y829" s="50"/>
      <c r="Z829" s="50"/>
      <c r="AA829" s="50"/>
    </row>
    <row r="830" spans="1:27" ht="25.5" customHeight="1">
      <c r="A830" s="517" t="s">
        <v>776</v>
      </c>
      <c r="B830" s="51" t="s">
        <v>1148</v>
      </c>
      <c r="C830" s="51" t="s">
        <v>143</v>
      </c>
      <c r="D830" s="51" t="s">
        <v>4397</v>
      </c>
      <c r="E830" s="50">
        <v>3134</v>
      </c>
      <c r="F830" s="50">
        <v>3268</v>
      </c>
      <c r="G830" s="50" t="s">
        <v>3955</v>
      </c>
      <c r="H830" s="50"/>
      <c r="I830" s="105"/>
      <c r="J830" s="50"/>
      <c r="K830" s="50"/>
      <c r="L830" s="50" t="s">
        <v>328</v>
      </c>
      <c r="M830" s="50" t="s">
        <v>1982</v>
      </c>
      <c r="N830" s="50"/>
      <c r="O830" s="50"/>
      <c r="P830" s="50"/>
      <c r="Q830" s="50"/>
      <c r="R830" s="50"/>
      <c r="S830" s="50" t="str">
        <f t="shared" si="83"/>
        <v/>
      </c>
      <c r="T830" s="50" t="str">
        <f t="shared" si="88"/>
        <v/>
      </c>
      <c r="U830" s="50" t="str">
        <f t="shared" si="87"/>
        <v/>
      </c>
      <c r="V830" s="50" t="str">
        <f t="shared" si="86"/>
        <v/>
      </c>
      <c r="W830" s="50"/>
      <c r="X830" s="50"/>
      <c r="Y830" s="50"/>
      <c r="Z830" s="50"/>
      <c r="AA830" s="50"/>
    </row>
    <row r="831" spans="1:27" s="110" customFormat="1" ht="25.5" customHeight="1">
      <c r="A831" s="50" t="s">
        <v>776</v>
      </c>
      <c r="B831" s="51" t="s">
        <v>1148</v>
      </c>
      <c r="C831" s="51" t="s">
        <v>143</v>
      </c>
      <c r="D831" s="51" t="s">
        <v>4398</v>
      </c>
      <c r="E831" s="50">
        <v>3774</v>
      </c>
      <c r="F831" s="50">
        <v>3693</v>
      </c>
      <c r="G831" s="50" t="s">
        <v>3404</v>
      </c>
      <c r="H831" s="50">
        <v>2024</v>
      </c>
      <c r="I831" s="132">
        <v>45540</v>
      </c>
      <c r="J831" s="50"/>
      <c r="K831" s="50"/>
      <c r="L831" s="50" t="s">
        <v>328</v>
      </c>
      <c r="M831" s="50" t="s">
        <v>1982</v>
      </c>
      <c r="N831" s="50"/>
      <c r="O831" s="50"/>
      <c r="P831" s="50"/>
      <c r="Q831" s="50"/>
      <c r="R831" s="50"/>
      <c r="S831" s="50" t="str">
        <f t="shared" si="83"/>
        <v/>
      </c>
      <c r="T831" s="50" t="str">
        <f t="shared" si="88"/>
        <v/>
      </c>
      <c r="U831" s="50" t="str">
        <f t="shared" si="87"/>
        <v/>
      </c>
      <c r="V831" s="50" t="str">
        <f t="shared" si="86"/>
        <v/>
      </c>
      <c r="W831" s="50"/>
      <c r="X831" s="50" t="s">
        <v>1078</v>
      </c>
      <c r="Y831" s="50"/>
      <c r="Z831" s="50" t="s">
        <v>3406</v>
      </c>
      <c r="AA831" s="50"/>
    </row>
    <row r="832" spans="1:27" ht="25.5" customHeight="1">
      <c r="A832" s="50" t="s">
        <v>776</v>
      </c>
      <c r="B832" s="51" t="s">
        <v>1148</v>
      </c>
      <c r="C832" s="51" t="s">
        <v>143</v>
      </c>
      <c r="D832" s="51" t="s">
        <v>4399</v>
      </c>
      <c r="E832" s="50">
        <v>2234</v>
      </c>
      <c r="F832" s="50">
        <v>2744</v>
      </c>
      <c r="G832" s="50" t="s">
        <v>3404</v>
      </c>
      <c r="H832" s="50">
        <v>2024</v>
      </c>
      <c r="I832" s="132">
        <v>45518</v>
      </c>
      <c r="J832" s="50"/>
      <c r="K832" s="50"/>
      <c r="L832" s="50" t="s">
        <v>328</v>
      </c>
      <c r="M832" s="50" t="s">
        <v>1982</v>
      </c>
      <c r="N832" s="50"/>
      <c r="O832" s="50"/>
      <c r="P832" s="50"/>
      <c r="Q832" s="50"/>
      <c r="R832" s="50"/>
      <c r="S832" s="50" t="str">
        <f t="shared" si="83"/>
        <v/>
      </c>
      <c r="T832" s="50" t="str">
        <f t="shared" si="88"/>
        <v/>
      </c>
      <c r="U832" s="50" t="str">
        <f t="shared" si="87"/>
        <v/>
      </c>
      <c r="V832" s="50" t="str">
        <f t="shared" si="86"/>
        <v/>
      </c>
      <c r="W832" s="50"/>
      <c r="X832" s="50" t="s">
        <v>1078</v>
      </c>
      <c r="Y832" s="50"/>
      <c r="Z832" s="50" t="s">
        <v>3406</v>
      </c>
      <c r="AA832" s="50"/>
    </row>
    <row r="833" spans="1:27" ht="25.5" customHeight="1">
      <c r="A833" s="521" t="s">
        <v>776</v>
      </c>
      <c r="B833" s="51" t="s">
        <v>1148</v>
      </c>
      <c r="C833" s="51" t="s">
        <v>143</v>
      </c>
      <c r="D833" s="51" t="s">
        <v>4400</v>
      </c>
      <c r="E833" s="50">
        <v>5897</v>
      </c>
      <c r="F833" s="50">
        <v>6605</v>
      </c>
      <c r="G833" s="50" t="s">
        <v>3404</v>
      </c>
      <c r="H833" s="50">
        <v>2024</v>
      </c>
      <c r="I833" s="132">
        <v>45540</v>
      </c>
      <c r="J833" s="50"/>
      <c r="K833" s="50"/>
      <c r="L833" s="50" t="s">
        <v>328</v>
      </c>
      <c r="M833" s="50" t="s">
        <v>1982</v>
      </c>
      <c r="N833" s="50"/>
      <c r="O833" s="50"/>
      <c r="P833" s="50"/>
      <c r="Q833" s="50"/>
      <c r="R833" s="50"/>
      <c r="S833" s="50" t="str">
        <f t="shared" si="83"/>
        <v/>
      </c>
      <c r="T833" s="50" t="str">
        <f t="shared" si="88"/>
        <v/>
      </c>
      <c r="U833" s="50" t="str">
        <f t="shared" si="87"/>
        <v/>
      </c>
      <c r="V833" s="50" t="str">
        <f t="shared" si="86"/>
        <v/>
      </c>
      <c r="W833" s="50"/>
      <c r="X833" s="50" t="s">
        <v>1078</v>
      </c>
      <c r="Y833" s="50"/>
      <c r="Z833" s="50" t="s">
        <v>3406</v>
      </c>
      <c r="AA833" s="50"/>
    </row>
    <row r="834" spans="1:27" ht="25.5" customHeight="1">
      <c r="A834" s="517" t="s">
        <v>776</v>
      </c>
      <c r="B834" s="51" t="s">
        <v>1148</v>
      </c>
      <c r="C834" s="51" t="s">
        <v>143</v>
      </c>
      <c r="D834" s="51" t="s">
        <v>4401</v>
      </c>
      <c r="E834" s="50">
        <v>2460</v>
      </c>
      <c r="F834" s="50">
        <v>3070</v>
      </c>
      <c r="G834" s="50" t="s">
        <v>3955</v>
      </c>
      <c r="H834" s="50"/>
      <c r="I834" s="105"/>
      <c r="J834" s="50"/>
      <c r="K834" s="50"/>
      <c r="L834" s="50" t="s">
        <v>328</v>
      </c>
      <c r="M834" s="50" t="s">
        <v>1982</v>
      </c>
      <c r="N834" s="50"/>
      <c r="O834" s="50"/>
      <c r="P834" s="50"/>
      <c r="Q834" s="50"/>
      <c r="R834" s="50"/>
      <c r="S834" s="50" t="str">
        <f t="shared" si="83"/>
        <v/>
      </c>
      <c r="T834" s="50" t="str">
        <f t="shared" si="88"/>
        <v/>
      </c>
      <c r="U834" s="50" t="str">
        <f t="shared" si="87"/>
        <v/>
      </c>
      <c r="V834" s="50" t="str">
        <f t="shared" si="86"/>
        <v/>
      </c>
      <c r="W834" s="50"/>
      <c r="X834" s="50"/>
      <c r="Y834" s="50"/>
      <c r="Z834" s="50"/>
      <c r="AA834" s="50"/>
    </row>
    <row r="835" spans="1:27" ht="25.5" customHeight="1">
      <c r="A835" s="517" t="s">
        <v>776</v>
      </c>
      <c r="B835" s="51" t="s">
        <v>1148</v>
      </c>
      <c r="C835" s="51" t="s">
        <v>143</v>
      </c>
      <c r="D835" s="51" t="s">
        <v>4402</v>
      </c>
      <c r="E835" s="50">
        <v>2583</v>
      </c>
      <c r="F835" s="50">
        <v>2806</v>
      </c>
      <c r="G835" s="50" t="s">
        <v>3955</v>
      </c>
      <c r="H835" s="50"/>
      <c r="I835" s="105"/>
      <c r="J835" s="50"/>
      <c r="K835" s="50"/>
      <c r="L835" s="50" t="s">
        <v>328</v>
      </c>
      <c r="M835" s="50" t="s">
        <v>1982</v>
      </c>
      <c r="N835" s="50"/>
      <c r="O835" s="50"/>
      <c r="P835" s="50"/>
      <c r="Q835" s="50"/>
      <c r="R835" s="50"/>
      <c r="S835" s="50" t="str">
        <f t="shared" si="83"/>
        <v/>
      </c>
      <c r="T835" s="50" t="str">
        <f t="shared" si="88"/>
        <v/>
      </c>
      <c r="U835" s="50" t="str">
        <f t="shared" si="87"/>
        <v/>
      </c>
      <c r="V835" s="50" t="str">
        <f t="shared" si="86"/>
        <v/>
      </c>
      <c r="W835" s="50"/>
      <c r="X835" s="50"/>
      <c r="Y835" s="50"/>
      <c r="Z835" s="50"/>
      <c r="AA835" s="50"/>
    </row>
    <row r="836" spans="1:27" ht="25.5" customHeight="1">
      <c r="A836" s="517" t="s">
        <v>776</v>
      </c>
      <c r="B836" s="51" t="s">
        <v>1148</v>
      </c>
      <c r="C836" s="51" t="s">
        <v>143</v>
      </c>
      <c r="D836" s="51" t="s">
        <v>4403</v>
      </c>
      <c r="E836" s="50">
        <v>1914</v>
      </c>
      <c r="F836" s="50">
        <v>2389</v>
      </c>
      <c r="G836" s="50" t="s">
        <v>3955</v>
      </c>
      <c r="H836" s="50"/>
      <c r="I836" s="105"/>
      <c r="J836" s="50"/>
      <c r="K836" s="50"/>
      <c r="L836" s="50" t="s">
        <v>328</v>
      </c>
      <c r="M836" s="50" t="s">
        <v>1982</v>
      </c>
      <c r="N836" s="50"/>
      <c r="O836" s="50"/>
      <c r="P836" s="50"/>
      <c r="Q836" s="50"/>
      <c r="R836" s="50"/>
      <c r="S836" s="50" t="str">
        <f t="shared" si="83"/>
        <v/>
      </c>
      <c r="T836" s="50" t="str">
        <f t="shared" si="88"/>
        <v/>
      </c>
      <c r="U836" s="50" t="str">
        <f t="shared" si="87"/>
        <v/>
      </c>
      <c r="V836" s="50" t="str">
        <f t="shared" si="86"/>
        <v/>
      </c>
      <c r="W836" s="50"/>
      <c r="X836" s="50"/>
      <c r="Y836" s="50"/>
      <c r="Z836" s="50"/>
      <c r="AA836" s="50"/>
    </row>
    <row r="837" spans="1:27" s="110" customFormat="1" ht="25.5" customHeight="1">
      <c r="A837" s="517" t="s">
        <v>776</v>
      </c>
      <c r="B837" s="51" t="s">
        <v>1148</v>
      </c>
      <c r="C837" s="51" t="s">
        <v>143</v>
      </c>
      <c r="D837" s="51" t="s">
        <v>1834</v>
      </c>
      <c r="E837" s="50">
        <v>6087</v>
      </c>
      <c r="F837" s="50">
        <v>6743</v>
      </c>
      <c r="G837" s="50" t="s">
        <v>3955</v>
      </c>
      <c r="H837" s="50"/>
      <c r="I837" s="105"/>
      <c r="J837" s="50"/>
      <c r="K837" s="50"/>
      <c r="L837" s="50" t="s">
        <v>328</v>
      </c>
      <c r="M837" s="50" t="s">
        <v>1982</v>
      </c>
      <c r="N837" s="50"/>
      <c r="O837" s="50"/>
      <c r="P837" s="50"/>
      <c r="Q837" s="50"/>
      <c r="R837" s="50"/>
      <c r="S837" s="50" t="str">
        <f t="shared" si="83"/>
        <v/>
      </c>
      <c r="T837" s="50" t="str">
        <f t="shared" si="88"/>
        <v/>
      </c>
      <c r="U837" s="50" t="str">
        <f t="shared" si="87"/>
        <v/>
      </c>
      <c r="V837" s="50" t="str">
        <f t="shared" si="86"/>
        <v/>
      </c>
      <c r="W837" s="50"/>
      <c r="X837" s="50"/>
      <c r="Y837" s="50"/>
      <c r="Z837" s="50"/>
      <c r="AA837" s="50"/>
    </row>
    <row r="838" spans="1:27" ht="25.5" customHeight="1">
      <c r="A838" s="517" t="s">
        <v>776</v>
      </c>
      <c r="B838" s="51" t="s">
        <v>1148</v>
      </c>
      <c r="C838" s="51" t="s">
        <v>143</v>
      </c>
      <c r="D838" s="51" t="s">
        <v>4404</v>
      </c>
      <c r="E838" s="50">
        <v>839</v>
      </c>
      <c r="F838" s="50">
        <v>1145</v>
      </c>
      <c r="G838" s="50" t="s">
        <v>3955</v>
      </c>
      <c r="H838" s="50"/>
      <c r="I838" s="105"/>
      <c r="J838" s="50"/>
      <c r="K838" s="50"/>
      <c r="L838" s="50" t="s">
        <v>328</v>
      </c>
      <c r="M838" s="50" t="s">
        <v>1982</v>
      </c>
      <c r="N838" s="50"/>
      <c r="O838" s="50"/>
      <c r="P838" s="50"/>
      <c r="Q838" s="50"/>
      <c r="R838" s="50"/>
      <c r="S838" s="50" t="str">
        <f t="shared" si="83"/>
        <v/>
      </c>
      <c r="T838" s="50" t="str">
        <f t="shared" si="88"/>
        <v/>
      </c>
      <c r="U838" s="50" t="str">
        <f t="shared" si="87"/>
        <v/>
      </c>
      <c r="V838" s="50" t="str">
        <f t="shared" si="86"/>
        <v/>
      </c>
      <c r="W838" s="50"/>
      <c r="X838" s="50"/>
      <c r="Y838" s="50"/>
      <c r="Z838" s="50"/>
      <c r="AA838" s="50"/>
    </row>
    <row r="839" spans="1:27" s="110" customFormat="1" ht="25.5" customHeight="1">
      <c r="A839" s="517" t="s">
        <v>776</v>
      </c>
      <c r="B839" s="51" t="s">
        <v>1148</v>
      </c>
      <c r="C839" s="51" t="s">
        <v>143</v>
      </c>
      <c r="D839" s="51" t="s">
        <v>4405</v>
      </c>
      <c r="E839" s="50">
        <v>7283</v>
      </c>
      <c r="F839" s="50">
        <v>7738</v>
      </c>
      <c r="G839" s="50" t="s">
        <v>3955</v>
      </c>
      <c r="H839" s="50"/>
      <c r="I839" s="105"/>
      <c r="J839" s="50"/>
      <c r="K839" s="50"/>
      <c r="L839" s="50" t="s">
        <v>328</v>
      </c>
      <c r="M839" s="50" t="s">
        <v>1982</v>
      </c>
      <c r="N839" s="50"/>
      <c r="O839" s="50"/>
      <c r="P839" s="50"/>
      <c r="Q839" s="50"/>
      <c r="R839" s="50"/>
      <c r="S839" s="50" t="str">
        <f t="shared" ref="S839:S902" si="89">IF(
    OR(ISBLANK(I839), ISBLANK(O839)),
    "",
    MAX(1, IF(
        NETWORKDAYS(I839, O839) &lt;= 0,
        1,
        NETWORKDAYS(I839, O839) - IF(I839 = O839, 0, 1)
    ))
)</f>
        <v/>
      </c>
      <c r="T839" s="50" t="str">
        <f t="shared" si="88"/>
        <v/>
      </c>
      <c r="U839" s="50" t="str">
        <f t="shared" si="87"/>
        <v/>
      </c>
      <c r="V839" s="50" t="str">
        <f t="shared" si="86"/>
        <v/>
      </c>
      <c r="W839" s="50"/>
      <c r="X839" s="50"/>
      <c r="Y839" s="50"/>
      <c r="Z839" s="50"/>
      <c r="AA839" s="50"/>
    </row>
    <row r="840" spans="1:27" ht="25.5" customHeight="1">
      <c r="A840" s="517" t="s">
        <v>776</v>
      </c>
      <c r="B840" s="51" t="s">
        <v>1148</v>
      </c>
      <c r="C840" s="51" t="s">
        <v>143</v>
      </c>
      <c r="D840" s="51" t="s">
        <v>1056</v>
      </c>
      <c r="E840" s="50">
        <v>4080</v>
      </c>
      <c r="F840" s="50">
        <v>4901</v>
      </c>
      <c r="G840" s="50" t="s">
        <v>3955</v>
      </c>
      <c r="H840" s="50"/>
      <c r="I840" s="105"/>
      <c r="J840" s="50"/>
      <c r="K840" s="50"/>
      <c r="L840" s="50" t="s">
        <v>328</v>
      </c>
      <c r="M840" s="50" t="s">
        <v>1982</v>
      </c>
      <c r="N840" s="50"/>
      <c r="O840" s="50"/>
      <c r="P840" s="50"/>
      <c r="Q840" s="50"/>
      <c r="R840" s="50"/>
      <c r="S840" s="50" t="str">
        <f t="shared" si="89"/>
        <v/>
      </c>
      <c r="T840" s="50" t="str">
        <f t="shared" si="88"/>
        <v/>
      </c>
      <c r="U840" s="50" t="str">
        <f t="shared" si="87"/>
        <v/>
      </c>
      <c r="V840" s="50" t="str">
        <f t="shared" si="86"/>
        <v/>
      </c>
      <c r="W840" s="50"/>
      <c r="X840" s="50"/>
      <c r="Y840" s="50"/>
      <c r="Z840" s="50"/>
      <c r="AA840" s="50"/>
    </row>
    <row r="841" spans="1:27" ht="25.5" customHeight="1">
      <c r="A841" s="517" t="s">
        <v>776</v>
      </c>
      <c r="B841" s="51" t="s">
        <v>1148</v>
      </c>
      <c r="C841" s="51" t="s">
        <v>143</v>
      </c>
      <c r="D841" s="51" t="s">
        <v>4406</v>
      </c>
      <c r="E841" s="50">
        <v>1987</v>
      </c>
      <c r="F841" s="50">
        <v>2198</v>
      </c>
      <c r="G841" s="50" t="s">
        <v>3955</v>
      </c>
      <c r="H841" s="50"/>
      <c r="I841" s="105"/>
      <c r="J841" s="50"/>
      <c r="K841" s="50"/>
      <c r="L841" s="50" t="s">
        <v>328</v>
      </c>
      <c r="M841" s="50" t="s">
        <v>1982</v>
      </c>
      <c r="N841" s="50"/>
      <c r="O841" s="50"/>
      <c r="P841" s="50"/>
      <c r="Q841" s="50"/>
      <c r="R841" s="50"/>
      <c r="S841" s="50" t="str">
        <f t="shared" si="89"/>
        <v/>
      </c>
      <c r="T841" s="50" t="str">
        <f t="shared" si="88"/>
        <v/>
      </c>
      <c r="U841" s="50" t="str">
        <f t="shared" si="87"/>
        <v/>
      </c>
      <c r="V841" s="50" t="str">
        <f t="shared" si="86"/>
        <v/>
      </c>
      <c r="W841" s="50"/>
      <c r="X841" s="50"/>
      <c r="Y841" s="50"/>
      <c r="Z841" s="50"/>
      <c r="AA841" s="50"/>
    </row>
    <row r="842" spans="1:27" ht="25.5" customHeight="1">
      <c r="A842" s="517" t="s">
        <v>776</v>
      </c>
      <c r="B842" s="51" t="s">
        <v>1148</v>
      </c>
      <c r="C842" s="51" t="s">
        <v>143</v>
      </c>
      <c r="D842" s="51" t="s">
        <v>918</v>
      </c>
      <c r="E842" s="50">
        <v>5149</v>
      </c>
      <c r="F842" s="50">
        <v>4986</v>
      </c>
      <c r="G842" s="50" t="s">
        <v>3955</v>
      </c>
      <c r="H842" s="50"/>
      <c r="I842" s="105"/>
      <c r="J842" s="50"/>
      <c r="K842" s="50"/>
      <c r="L842" s="50" t="s">
        <v>328</v>
      </c>
      <c r="M842" s="50" t="s">
        <v>1982</v>
      </c>
      <c r="N842" s="50"/>
      <c r="O842" s="50"/>
      <c r="P842" s="50"/>
      <c r="Q842" s="50"/>
      <c r="R842" s="50"/>
      <c r="S842" s="50" t="str">
        <f t="shared" si="89"/>
        <v/>
      </c>
      <c r="T842" s="50" t="str">
        <f t="shared" si="88"/>
        <v/>
      </c>
      <c r="U842" s="50" t="str">
        <f t="shared" si="87"/>
        <v/>
      </c>
      <c r="V842" s="50" t="str">
        <f t="shared" si="86"/>
        <v/>
      </c>
      <c r="W842" s="50"/>
      <c r="X842" s="50"/>
      <c r="Y842" s="50"/>
      <c r="Z842" s="50"/>
      <c r="AA842" s="50"/>
    </row>
    <row r="843" spans="1:27" s="110" customFormat="1" ht="25.5" customHeight="1">
      <c r="A843" s="517" t="s">
        <v>776</v>
      </c>
      <c r="B843" s="51" t="s">
        <v>1148</v>
      </c>
      <c r="C843" s="51" t="s">
        <v>143</v>
      </c>
      <c r="D843" s="51" t="s">
        <v>4407</v>
      </c>
      <c r="E843" s="50">
        <v>1502</v>
      </c>
      <c r="F843" s="50">
        <v>1422</v>
      </c>
      <c r="G843" s="50" t="s">
        <v>3955</v>
      </c>
      <c r="H843" s="50"/>
      <c r="I843" s="105"/>
      <c r="J843" s="50"/>
      <c r="K843" s="50"/>
      <c r="L843" s="50" t="s">
        <v>328</v>
      </c>
      <c r="M843" s="50" t="s">
        <v>1982</v>
      </c>
      <c r="N843" s="50"/>
      <c r="O843" s="50"/>
      <c r="P843" s="50"/>
      <c r="Q843" s="50"/>
      <c r="R843" s="50"/>
      <c r="S843" s="50" t="str">
        <f t="shared" si="89"/>
        <v/>
      </c>
      <c r="T843" s="50" t="str">
        <f t="shared" si="88"/>
        <v/>
      </c>
      <c r="U843" s="50" t="str">
        <f t="shared" si="87"/>
        <v/>
      </c>
      <c r="V843" s="50" t="str">
        <f t="shared" si="86"/>
        <v/>
      </c>
      <c r="W843" s="50"/>
      <c r="X843" s="50"/>
      <c r="Y843" s="50"/>
      <c r="Z843" s="50"/>
      <c r="AA843" s="50"/>
    </row>
    <row r="844" spans="1:27" ht="25.5" customHeight="1">
      <c r="A844" s="517" t="s">
        <v>776</v>
      </c>
      <c r="B844" s="51" t="s">
        <v>1148</v>
      </c>
      <c r="C844" s="51" t="s">
        <v>143</v>
      </c>
      <c r="D844" s="51" t="s">
        <v>4408</v>
      </c>
      <c r="E844" s="50">
        <v>2620</v>
      </c>
      <c r="F844" s="50">
        <v>2971</v>
      </c>
      <c r="G844" s="50" t="s">
        <v>3955</v>
      </c>
      <c r="H844" s="50"/>
      <c r="I844" s="105"/>
      <c r="J844" s="50"/>
      <c r="K844" s="50"/>
      <c r="L844" s="50" t="s">
        <v>328</v>
      </c>
      <c r="M844" s="50" t="s">
        <v>1982</v>
      </c>
      <c r="N844" s="50"/>
      <c r="O844" s="50"/>
      <c r="P844" s="50"/>
      <c r="Q844" s="50"/>
      <c r="R844" s="50"/>
      <c r="S844" s="50" t="str">
        <f t="shared" si="89"/>
        <v/>
      </c>
      <c r="T844" s="50" t="str">
        <f t="shared" si="88"/>
        <v/>
      </c>
      <c r="U844" s="50" t="str">
        <f t="shared" si="87"/>
        <v/>
      </c>
      <c r="V844" s="50" t="str">
        <f t="shared" si="86"/>
        <v/>
      </c>
      <c r="W844" s="50"/>
      <c r="X844" s="50"/>
      <c r="Y844" s="50"/>
      <c r="Z844" s="50"/>
      <c r="AA844" s="50"/>
    </row>
    <row r="845" spans="1:27" ht="25.5" customHeight="1">
      <c r="A845" s="517" t="s">
        <v>776</v>
      </c>
      <c r="B845" s="51" t="s">
        <v>1148</v>
      </c>
      <c r="C845" s="51" t="s">
        <v>143</v>
      </c>
      <c r="D845" s="51" t="s">
        <v>4409</v>
      </c>
      <c r="E845" s="50">
        <v>1483</v>
      </c>
      <c r="F845" s="50">
        <v>1626</v>
      </c>
      <c r="G845" s="50" t="s">
        <v>3955</v>
      </c>
      <c r="H845" s="50"/>
      <c r="I845" s="105"/>
      <c r="J845" s="50"/>
      <c r="K845" s="50"/>
      <c r="L845" s="50" t="s">
        <v>328</v>
      </c>
      <c r="M845" s="50" t="s">
        <v>1982</v>
      </c>
      <c r="N845" s="50"/>
      <c r="O845" s="50"/>
      <c r="P845" s="50"/>
      <c r="Q845" s="50"/>
      <c r="R845" s="50"/>
      <c r="S845" s="50" t="str">
        <f t="shared" si="89"/>
        <v/>
      </c>
      <c r="T845" s="50" t="str">
        <f t="shared" si="88"/>
        <v/>
      </c>
      <c r="U845" s="50" t="str">
        <f t="shared" si="87"/>
        <v/>
      </c>
      <c r="V845" s="50" t="str">
        <f t="shared" si="86"/>
        <v/>
      </c>
      <c r="W845" s="50"/>
      <c r="X845" s="50"/>
      <c r="Y845" s="50"/>
      <c r="Z845" s="50"/>
      <c r="AA845" s="50"/>
    </row>
    <row r="846" spans="1:27" s="110" customFormat="1" ht="25.5" customHeight="1">
      <c r="A846" s="517" t="s">
        <v>776</v>
      </c>
      <c r="B846" s="51" t="s">
        <v>1148</v>
      </c>
      <c r="C846" s="51" t="s">
        <v>143</v>
      </c>
      <c r="D846" s="51" t="s">
        <v>4410</v>
      </c>
      <c r="E846" s="50">
        <v>3946</v>
      </c>
      <c r="F846" s="50">
        <v>4858</v>
      </c>
      <c r="G846" s="50" t="s">
        <v>3955</v>
      </c>
      <c r="H846" s="50"/>
      <c r="I846" s="105"/>
      <c r="J846" s="50"/>
      <c r="K846" s="50"/>
      <c r="L846" s="50" t="s">
        <v>328</v>
      </c>
      <c r="M846" s="50" t="s">
        <v>1982</v>
      </c>
      <c r="N846" s="50"/>
      <c r="O846" s="50"/>
      <c r="P846" s="50"/>
      <c r="Q846" s="50"/>
      <c r="R846" s="50"/>
      <c r="S846" s="50" t="str">
        <f t="shared" si="89"/>
        <v/>
      </c>
      <c r="T846" s="50" t="str">
        <f t="shared" si="88"/>
        <v/>
      </c>
      <c r="U846" s="50" t="str">
        <f t="shared" si="87"/>
        <v/>
      </c>
      <c r="V846" s="50" t="str">
        <f t="shared" si="86"/>
        <v/>
      </c>
      <c r="W846" s="50"/>
      <c r="X846" s="50"/>
      <c r="Y846" s="50"/>
      <c r="Z846" s="50"/>
      <c r="AA846" s="50"/>
    </row>
    <row r="847" spans="1:27" ht="25.5" customHeight="1">
      <c r="A847" s="517" t="s">
        <v>776</v>
      </c>
      <c r="B847" s="51" t="s">
        <v>1148</v>
      </c>
      <c r="C847" s="51" t="s">
        <v>143</v>
      </c>
      <c r="D847" s="51" t="s">
        <v>4411</v>
      </c>
      <c r="E847" s="50">
        <v>1988</v>
      </c>
      <c r="F847" s="50">
        <v>2383</v>
      </c>
      <c r="G847" s="50" t="s">
        <v>3955</v>
      </c>
      <c r="H847" s="50"/>
      <c r="I847" s="105"/>
      <c r="J847" s="50"/>
      <c r="K847" s="50"/>
      <c r="L847" s="50" t="s">
        <v>328</v>
      </c>
      <c r="M847" s="50" t="s">
        <v>1982</v>
      </c>
      <c r="N847" s="50"/>
      <c r="O847" s="50"/>
      <c r="P847" s="50"/>
      <c r="Q847" s="50"/>
      <c r="R847" s="50"/>
      <c r="S847" s="50" t="str">
        <f t="shared" si="89"/>
        <v/>
      </c>
      <c r="T847" s="50" t="str">
        <f t="shared" si="88"/>
        <v/>
      </c>
      <c r="U847" s="50" t="str">
        <f t="shared" ref="U847:U878" si="90">IF(
    OR(ISBLANK(P847), ISBLANK(Q847)),
    "",
    MAX(1, IF(
        NETWORKDAYS(P847, Q847) &lt;= 0,
        1,
        NETWORKDAYS(P847, Q847) - IF(P847 = Q847, 0, 1)
    ))
)</f>
        <v/>
      </c>
      <c r="V847" s="50" t="str">
        <f t="shared" si="86"/>
        <v/>
      </c>
      <c r="W847" s="50"/>
      <c r="X847" s="50"/>
      <c r="Y847" s="50"/>
      <c r="Z847" s="50"/>
      <c r="AA847" s="50"/>
    </row>
    <row r="848" spans="1:27" ht="25.5" customHeight="1">
      <c r="A848" s="521" t="s">
        <v>776</v>
      </c>
      <c r="B848" s="51" t="s">
        <v>1148</v>
      </c>
      <c r="C848" s="51" t="s">
        <v>143</v>
      </c>
      <c r="D848" s="51" t="s">
        <v>4412</v>
      </c>
      <c r="E848" s="50">
        <v>2257</v>
      </c>
      <c r="F848" s="50">
        <v>2407</v>
      </c>
      <c r="G848" s="50" t="s">
        <v>3404</v>
      </c>
      <c r="H848" s="50">
        <v>2024</v>
      </c>
      <c r="I848" s="132">
        <v>45483</v>
      </c>
      <c r="J848" s="50"/>
      <c r="K848" s="50"/>
      <c r="L848" s="50" t="s">
        <v>328</v>
      </c>
      <c r="M848" s="50" t="s">
        <v>1982</v>
      </c>
      <c r="N848" s="50"/>
      <c r="O848" s="50"/>
      <c r="P848" s="50"/>
      <c r="Q848" s="50"/>
      <c r="R848" s="50"/>
      <c r="S848" s="50" t="str">
        <f t="shared" si="89"/>
        <v/>
      </c>
      <c r="T848" s="50" t="str">
        <f t="shared" ref="T848:T879" si="91">IF(
    OR(ISBLANK(O848), ISBLANK(P848)),
    "",
    MAX(1, IF(
        NETWORKDAYS(O848, P848) &lt;= 0,
        1,
        NETWORKDAYS(O848, P848) - IF(O848 = P848, 0, 1)
    ))
)</f>
        <v/>
      </c>
      <c r="U848" s="50" t="str">
        <f t="shared" si="90"/>
        <v/>
      </c>
      <c r="V848" s="50" t="str">
        <f t="shared" si="86"/>
        <v/>
      </c>
      <c r="W848" s="50"/>
      <c r="X848" s="50" t="s">
        <v>4</v>
      </c>
      <c r="Y848" s="50" t="s">
        <v>50</v>
      </c>
      <c r="Z848" s="50" t="s">
        <v>3406</v>
      </c>
      <c r="AA848" s="50"/>
    </row>
    <row r="849" spans="1:27" ht="25.5" customHeight="1">
      <c r="A849" s="517" t="s">
        <v>776</v>
      </c>
      <c r="B849" s="51" t="s">
        <v>1148</v>
      </c>
      <c r="C849" s="51" t="s">
        <v>143</v>
      </c>
      <c r="D849" s="51" t="s">
        <v>4413</v>
      </c>
      <c r="E849" s="50">
        <v>1020</v>
      </c>
      <c r="F849" s="50">
        <v>1110</v>
      </c>
      <c r="G849" s="50" t="s">
        <v>3955</v>
      </c>
      <c r="H849" s="50"/>
      <c r="I849" s="105"/>
      <c r="J849" s="50"/>
      <c r="K849" s="50"/>
      <c r="L849" s="50" t="s">
        <v>328</v>
      </c>
      <c r="M849" s="50" t="s">
        <v>1982</v>
      </c>
      <c r="N849" s="50"/>
      <c r="O849" s="50"/>
      <c r="P849" s="50"/>
      <c r="Q849" s="50"/>
      <c r="R849" s="50"/>
      <c r="S849" s="50" t="str">
        <f t="shared" si="89"/>
        <v/>
      </c>
      <c r="T849" s="50" t="str">
        <f t="shared" si="91"/>
        <v/>
      </c>
      <c r="U849" s="50" t="str">
        <f t="shared" si="90"/>
        <v/>
      </c>
      <c r="V849" s="50" t="str">
        <f t="shared" si="86"/>
        <v/>
      </c>
      <c r="W849" s="50"/>
      <c r="X849" s="50"/>
      <c r="Y849" s="50"/>
      <c r="Z849" s="50"/>
      <c r="AA849" s="50"/>
    </row>
    <row r="850" spans="1:27" ht="25.5" customHeight="1">
      <c r="A850" s="517" t="s">
        <v>776</v>
      </c>
      <c r="B850" s="51" t="s">
        <v>1148</v>
      </c>
      <c r="C850" s="51" t="s">
        <v>143</v>
      </c>
      <c r="D850" s="51" t="s">
        <v>4414</v>
      </c>
      <c r="E850" s="50">
        <v>2423</v>
      </c>
      <c r="F850" s="50">
        <v>2509</v>
      </c>
      <c r="G850" s="50" t="s">
        <v>3955</v>
      </c>
      <c r="H850" s="50"/>
      <c r="I850" s="105"/>
      <c r="J850" s="50"/>
      <c r="K850" s="50"/>
      <c r="L850" s="50" t="s">
        <v>328</v>
      </c>
      <c r="M850" s="50" t="s">
        <v>1982</v>
      </c>
      <c r="N850" s="50"/>
      <c r="O850" s="50"/>
      <c r="P850" s="50"/>
      <c r="Q850" s="50"/>
      <c r="R850" s="50"/>
      <c r="S850" s="50" t="str">
        <f t="shared" si="89"/>
        <v/>
      </c>
      <c r="T850" s="50" t="str">
        <f t="shared" si="91"/>
        <v/>
      </c>
      <c r="U850" s="50" t="str">
        <f t="shared" si="90"/>
        <v/>
      </c>
      <c r="V850" s="50" t="str">
        <f t="shared" si="86"/>
        <v/>
      </c>
      <c r="W850" s="50"/>
      <c r="X850" s="50"/>
      <c r="Y850" s="50"/>
      <c r="Z850" s="50"/>
      <c r="AA850" s="50"/>
    </row>
    <row r="851" spans="1:27" ht="25.5" customHeight="1">
      <c r="A851" s="517" t="s">
        <v>776</v>
      </c>
      <c r="B851" s="51" t="s">
        <v>1148</v>
      </c>
      <c r="C851" s="51" t="s">
        <v>143</v>
      </c>
      <c r="D851" s="51" t="s">
        <v>4415</v>
      </c>
      <c r="E851" s="50">
        <v>2524</v>
      </c>
      <c r="F851" s="50">
        <v>2729</v>
      </c>
      <c r="G851" s="50" t="s">
        <v>3955</v>
      </c>
      <c r="H851" s="50"/>
      <c r="I851" s="105"/>
      <c r="J851" s="50"/>
      <c r="K851" s="50"/>
      <c r="L851" s="50" t="s">
        <v>328</v>
      </c>
      <c r="M851" s="50" t="s">
        <v>1982</v>
      </c>
      <c r="N851" s="50"/>
      <c r="O851" s="50"/>
      <c r="P851" s="50"/>
      <c r="Q851" s="50"/>
      <c r="R851" s="50"/>
      <c r="S851" s="50" t="str">
        <f t="shared" si="89"/>
        <v/>
      </c>
      <c r="T851" s="50" t="str">
        <f t="shared" si="91"/>
        <v/>
      </c>
      <c r="U851" s="50" t="str">
        <f t="shared" si="90"/>
        <v/>
      </c>
      <c r="V851" s="50" t="str">
        <f t="shared" si="86"/>
        <v/>
      </c>
      <c r="W851" s="50"/>
      <c r="X851" s="50"/>
      <c r="Y851" s="50"/>
      <c r="Z851" s="50"/>
      <c r="AA851" s="50"/>
    </row>
    <row r="852" spans="1:27" ht="25.5" customHeight="1">
      <c r="A852" s="517" t="s">
        <v>776</v>
      </c>
      <c r="B852" s="51" t="s">
        <v>1151</v>
      </c>
      <c r="C852" s="51" t="s">
        <v>143</v>
      </c>
      <c r="D852" s="51" t="s">
        <v>4416</v>
      </c>
      <c r="E852" s="50">
        <v>1314</v>
      </c>
      <c r="F852" s="50">
        <v>1438</v>
      </c>
      <c r="G852" s="50" t="s">
        <v>3955</v>
      </c>
      <c r="H852" s="50"/>
      <c r="I852" s="105"/>
      <c r="J852" s="50"/>
      <c r="K852" s="50"/>
      <c r="L852" s="50" t="s">
        <v>328</v>
      </c>
      <c r="M852" s="50" t="s">
        <v>1982</v>
      </c>
      <c r="N852" s="50"/>
      <c r="O852" s="50"/>
      <c r="P852" s="50"/>
      <c r="Q852" s="50"/>
      <c r="R852" s="50"/>
      <c r="S852" s="50" t="str">
        <f t="shared" si="89"/>
        <v/>
      </c>
      <c r="T852" s="50" t="str">
        <f t="shared" si="91"/>
        <v/>
      </c>
      <c r="U852" s="50" t="str">
        <f t="shared" si="90"/>
        <v/>
      </c>
      <c r="V852" s="50" t="str">
        <f t="shared" si="86"/>
        <v/>
      </c>
      <c r="W852" s="50"/>
      <c r="X852" s="50"/>
      <c r="Y852" s="50"/>
      <c r="Z852" s="50"/>
      <c r="AA852" s="50"/>
    </row>
    <row r="853" spans="1:27" ht="25.5" customHeight="1">
      <c r="A853" s="50" t="s">
        <v>776</v>
      </c>
      <c r="B853" s="51" t="s">
        <v>1151</v>
      </c>
      <c r="C853" s="51" t="s">
        <v>143</v>
      </c>
      <c r="D853" s="51" t="s">
        <v>1332</v>
      </c>
      <c r="E853" s="50">
        <v>1876</v>
      </c>
      <c r="F853" s="50">
        <v>2092</v>
      </c>
      <c r="G853" s="50" t="s">
        <v>3404</v>
      </c>
      <c r="H853" s="50">
        <v>2024</v>
      </c>
      <c r="I853" s="132">
        <v>45602</v>
      </c>
      <c r="J853" s="50"/>
      <c r="K853" s="50"/>
      <c r="L853" s="50" t="s">
        <v>328</v>
      </c>
      <c r="M853" s="50" t="s">
        <v>1982</v>
      </c>
      <c r="N853" s="50"/>
      <c r="O853" s="50"/>
      <c r="P853" s="50"/>
      <c r="Q853" s="50"/>
      <c r="R853" s="50"/>
      <c r="S853" s="50" t="str">
        <f t="shared" si="89"/>
        <v/>
      </c>
      <c r="T853" s="50" t="str">
        <f t="shared" si="91"/>
        <v/>
      </c>
      <c r="U853" s="50" t="str">
        <f t="shared" si="90"/>
        <v/>
      </c>
      <c r="V853" s="50" t="str">
        <f t="shared" si="86"/>
        <v/>
      </c>
      <c r="W853" s="50"/>
      <c r="X853" s="50" t="s">
        <v>4</v>
      </c>
      <c r="Y853" s="50" t="s">
        <v>50</v>
      </c>
      <c r="Z853" s="50" t="s">
        <v>3406</v>
      </c>
      <c r="AA853" s="50"/>
    </row>
    <row r="854" spans="1:27" ht="25.5" customHeight="1">
      <c r="A854" s="517" t="s">
        <v>776</v>
      </c>
      <c r="B854" s="51" t="s">
        <v>1151</v>
      </c>
      <c r="C854" s="51" t="s">
        <v>143</v>
      </c>
      <c r="D854" s="51" t="s">
        <v>4417</v>
      </c>
      <c r="E854" s="50">
        <v>2670</v>
      </c>
      <c r="F854" s="50">
        <v>2823</v>
      </c>
      <c r="G854" s="50" t="s">
        <v>3955</v>
      </c>
      <c r="H854" s="50"/>
      <c r="I854" s="105"/>
      <c r="J854" s="50"/>
      <c r="K854" s="50"/>
      <c r="L854" s="50" t="s">
        <v>328</v>
      </c>
      <c r="M854" s="50" t="s">
        <v>1982</v>
      </c>
      <c r="N854" s="50"/>
      <c r="O854" s="50"/>
      <c r="P854" s="50"/>
      <c r="Q854" s="50"/>
      <c r="R854" s="50"/>
      <c r="S854" s="50" t="str">
        <f t="shared" si="89"/>
        <v/>
      </c>
      <c r="T854" s="50" t="str">
        <f t="shared" si="91"/>
        <v/>
      </c>
      <c r="U854" s="50" t="str">
        <f t="shared" si="90"/>
        <v/>
      </c>
      <c r="V854" s="50" t="str">
        <f t="shared" si="86"/>
        <v/>
      </c>
      <c r="W854" s="50"/>
      <c r="X854" s="50"/>
      <c r="Y854" s="50"/>
      <c r="Z854" s="50"/>
      <c r="AA854" s="50"/>
    </row>
    <row r="855" spans="1:27" s="110" customFormat="1" ht="25.5" customHeight="1">
      <c r="A855" s="517" t="s">
        <v>776</v>
      </c>
      <c r="B855" s="51" t="s">
        <v>1151</v>
      </c>
      <c r="C855" s="51" t="s">
        <v>143</v>
      </c>
      <c r="D855" s="51" t="s">
        <v>4045</v>
      </c>
      <c r="E855" s="50">
        <v>2598</v>
      </c>
      <c r="F855" s="50">
        <v>3669</v>
      </c>
      <c r="G855" s="50" t="s">
        <v>3955</v>
      </c>
      <c r="H855" s="50"/>
      <c r="I855" s="105"/>
      <c r="J855" s="50"/>
      <c r="K855" s="50"/>
      <c r="L855" s="50" t="s">
        <v>328</v>
      </c>
      <c r="M855" s="50" t="s">
        <v>1982</v>
      </c>
      <c r="N855" s="50"/>
      <c r="O855" s="50"/>
      <c r="P855" s="50"/>
      <c r="Q855" s="50"/>
      <c r="R855" s="50"/>
      <c r="S855" s="50" t="str">
        <f t="shared" si="89"/>
        <v/>
      </c>
      <c r="T855" s="50" t="str">
        <f t="shared" si="91"/>
        <v/>
      </c>
      <c r="U855" s="50" t="str">
        <f t="shared" si="90"/>
        <v/>
      </c>
      <c r="V855" s="50" t="str">
        <f t="shared" si="86"/>
        <v/>
      </c>
      <c r="W855" s="50"/>
      <c r="X855" s="50"/>
      <c r="Y855" s="50"/>
      <c r="Z855" s="50"/>
      <c r="AA855" s="50"/>
    </row>
    <row r="856" spans="1:27" ht="25.5" customHeight="1">
      <c r="A856" s="50" t="s">
        <v>776</v>
      </c>
      <c r="B856" s="51" t="s">
        <v>1151</v>
      </c>
      <c r="C856" s="51" t="s">
        <v>143</v>
      </c>
      <c r="D856" s="51" t="s">
        <v>1475</v>
      </c>
      <c r="E856" s="50">
        <v>3695</v>
      </c>
      <c r="F856" s="50">
        <v>3955</v>
      </c>
      <c r="G856" s="50" t="s">
        <v>3404</v>
      </c>
      <c r="H856" s="50">
        <v>2024</v>
      </c>
      <c r="I856" s="132">
        <v>45601</v>
      </c>
      <c r="J856" s="50"/>
      <c r="K856" s="50"/>
      <c r="L856" s="50" t="s">
        <v>328</v>
      </c>
      <c r="M856" s="50" t="s">
        <v>1982</v>
      </c>
      <c r="N856" s="50"/>
      <c r="O856" s="50"/>
      <c r="P856" s="50"/>
      <c r="Q856" s="50"/>
      <c r="R856" s="50"/>
      <c r="S856" s="50" t="str">
        <f t="shared" si="89"/>
        <v/>
      </c>
      <c r="T856" s="50" t="str">
        <f t="shared" si="91"/>
        <v/>
      </c>
      <c r="U856" s="50" t="str">
        <f t="shared" si="90"/>
        <v/>
      </c>
      <c r="V856" s="50" t="str">
        <f t="shared" si="86"/>
        <v/>
      </c>
      <c r="W856" s="50"/>
      <c r="X856" s="50" t="s">
        <v>4</v>
      </c>
      <c r="Y856" s="50" t="s">
        <v>50</v>
      </c>
      <c r="Z856" s="50" t="s">
        <v>3406</v>
      </c>
      <c r="AA856" s="50"/>
    </row>
    <row r="857" spans="1:27" s="110" customFormat="1" ht="25.5" customHeight="1">
      <c r="A857" s="517" t="s">
        <v>776</v>
      </c>
      <c r="B857" s="51" t="s">
        <v>1151</v>
      </c>
      <c r="C857" s="51" t="s">
        <v>143</v>
      </c>
      <c r="D857" s="51" t="s">
        <v>4418</v>
      </c>
      <c r="E857" s="50">
        <v>1636</v>
      </c>
      <c r="F857" s="50">
        <v>2080</v>
      </c>
      <c r="G857" s="50" t="s">
        <v>3955</v>
      </c>
      <c r="H857" s="50"/>
      <c r="I857" s="105"/>
      <c r="J857" s="50"/>
      <c r="K857" s="50"/>
      <c r="L857" s="50" t="s">
        <v>328</v>
      </c>
      <c r="M857" s="50" t="s">
        <v>1982</v>
      </c>
      <c r="N857" s="50"/>
      <c r="O857" s="50"/>
      <c r="P857" s="50"/>
      <c r="Q857" s="50"/>
      <c r="R857" s="50"/>
      <c r="S857" s="50" t="str">
        <f t="shared" si="89"/>
        <v/>
      </c>
      <c r="T857" s="50" t="str">
        <f t="shared" si="91"/>
        <v/>
      </c>
      <c r="U857" s="50" t="str">
        <f t="shared" si="90"/>
        <v/>
      </c>
      <c r="V857" s="50" t="str">
        <f t="shared" ref="V857:V920" si="92">IF(
    OR(ISBLANK(Q857), ISBLANK(R857)),
    "",
    MAX(1, IF(
        NETWORKDAYS(Q857, R857) &lt;= 0,
        1,
        NETWORKDAYS(Q857, R857) - IF(Q857 = R857, 0, 1)
    ))
)</f>
        <v/>
      </c>
      <c r="W857" s="50"/>
      <c r="X857" s="50"/>
      <c r="Y857" s="50"/>
      <c r="Z857" s="50"/>
      <c r="AA857" s="50"/>
    </row>
    <row r="858" spans="1:27" ht="25.5" customHeight="1">
      <c r="A858" s="517" t="s">
        <v>776</v>
      </c>
      <c r="B858" s="51" t="s">
        <v>1151</v>
      </c>
      <c r="C858" s="51" t="s">
        <v>143</v>
      </c>
      <c r="D858" s="51" t="s">
        <v>4419</v>
      </c>
      <c r="E858" s="50">
        <v>1553</v>
      </c>
      <c r="F858" s="50">
        <v>1704</v>
      </c>
      <c r="G858" s="50" t="s">
        <v>3955</v>
      </c>
      <c r="H858" s="50"/>
      <c r="I858" s="105"/>
      <c r="J858" s="50"/>
      <c r="K858" s="50"/>
      <c r="L858" s="50" t="s">
        <v>328</v>
      </c>
      <c r="M858" s="50" t="s">
        <v>1982</v>
      </c>
      <c r="N858" s="50"/>
      <c r="O858" s="50"/>
      <c r="P858" s="50"/>
      <c r="Q858" s="50"/>
      <c r="R858" s="50"/>
      <c r="S858" s="50" t="str">
        <f t="shared" si="89"/>
        <v/>
      </c>
      <c r="T858" s="50" t="str">
        <f t="shared" si="91"/>
        <v/>
      </c>
      <c r="U858" s="50" t="str">
        <f t="shared" si="90"/>
        <v/>
      </c>
      <c r="V858" s="50" t="str">
        <f t="shared" si="92"/>
        <v/>
      </c>
      <c r="W858" s="50"/>
      <c r="X858" s="50"/>
      <c r="Y858" s="50"/>
      <c r="Z858" s="50"/>
      <c r="AA858" s="50"/>
    </row>
    <row r="859" spans="1:27" ht="25.5" customHeight="1">
      <c r="A859" s="517" t="s">
        <v>776</v>
      </c>
      <c r="B859" s="51" t="s">
        <v>1151</v>
      </c>
      <c r="C859" s="51" t="s">
        <v>143</v>
      </c>
      <c r="D859" s="51" t="s">
        <v>4420</v>
      </c>
      <c r="E859" s="50">
        <v>2037</v>
      </c>
      <c r="F859" s="50">
        <v>2336</v>
      </c>
      <c r="G859" s="50" t="s">
        <v>3955</v>
      </c>
      <c r="H859" s="50"/>
      <c r="I859" s="105"/>
      <c r="J859" s="50"/>
      <c r="K859" s="50"/>
      <c r="L859" s="50" t="s">
        <v>328</v>
      </c>
      <c r="M859" s="50" t="s">
        <v>1982</v>
      </c>
      <c r="N859" s="50"/>
      <c r="O859" s="50"/>
      <c r="P859" s="50"/>
      <c r="Q859" s="50"/>
      <c r="R859" s="50"/>
      <c r="S859" s="50" t="str">
        <f t="shared" si="89"/>
        <v/>
      </c>
      <c r="T859" s="50" t="str">
        <f t="shared" si="91"/>
        <v/>
      </c>
      <c r="U859" s="50" t="str">
        <f t="shared" si="90"/>
        <v/>
      </c>
      <c r="V859" s="50" t="str">
        <f t="shared" si="92"/>
        <v/>
      </c>
      <c r="W859" s="50"/>
      <c r="X859" s="50"/>
      <c r="Y859" s="50"/>
      <c r="Z859" s="50"/>
      <c r="AA859" s="50"/>
    </row>
    <row r="860" spans="1:27" ht="25.5" customHeight="1">
      <c r="A860" s="517" t="s">
        <v>776</v>
      </c>
      <c r="B860" s="51" t="s">
        <v>1151</v>
      </c>
      <c r="C860" s="51" t="s">
        <v>143</v>
      </c>
      <c r="D860" s="51" t="s">
        <v>4421</v>
      </c>
      <c r="E860" s="50">
        <v>3003</v>
      </c>
      <c r="F860" s="50">
        <v>3404</v>
      </c>
      <c r="G860" s="50" t="s">
        <v>3955</v>
      </c>
      <c r="H860" s="50"/>
      <c r="I860" s="105"/>
      <c r="J860" s="50"/>
      <c r="K860" s="50"/>
      <c r="L860" s="50" t="s">
        <v>328</v>
      </c>
      <c r="M860" s="50" t="s">
        <v>1982</v>
      </c>
      <c r="N860" s="50"/>
      <c r="O860" s="50"/>
      <c r="P860" s="50"/>
      <c r="Q860" s="50"/>
      <c r="R860" s="50"/>
      <c r="S860" s="50" t="str">
        <f t="shared" si="89"/>
        <v/>
      </c>
      <c r="T860" s="50" t="str">
        <f t="shared" si="91"/>
        <v/>
      </c>
      <c r="U860" s="50" t="str">
        <f t="shared" si="90"/>
        <v/>
      </c>
      <c r="V860" s="50" t="str">
        <f t="shared" si="92"/>
        <v/>
      </c>
      <c r="W860" s="50"/>
      <c r="X860" s="50"/>
      <c r="Y860" s="50"/>
      <c r="Z860" s="50"/>
      <c r="AA860" s="50"/>
    </row>
    <row r="861" spans="1:27" ht="25.5" customHeight="1">
      <c r="A861" s="517" t="s">
        <v>776</v>
      </c>
      <c r="B861" s="51" t="s">
        <v>1151</v>
      </c>
      <c r="C861" s="51" t="s">
        <v>143</v>
      </c>
      <c r="D861" s="51" t="s">
        <v>4422</v>
      </c>
      <c r="E861" s="50">
        <v>1737</v>
      </c>
      <c r="F861" s="50">
        <v>2433</v>
      </c>
      <c r="G861" s="50" t="s">
        <v>3955</v>
      </c>
      <c r="H861" s="50"/>
      <c r="I861" s="105"/>
      <c r="J861" s="50"/>
      <c r="K861" s="50"/>
      <c r="L861" s="50" t="s">
        <v>328</v>
      </c>
      <c r="M861" s="50" t="s">
        <v>1982</v>
      </c>
      <c r="N861" s="50"/>
      <c r="O861" s="50"/>
      <c r="P861" s="50"/>
      <c r="Q861" s="50"/>
      <c r="R861" s="50"/>
      <c r="S861" s="50" t="str">
        <f t="shared" si="89"/>
        <v/>
      </c>
      <c r="T861" s="50" t="str">
        <f t="shared" si="91"/>
        <v/>
      </c>
      <c r="U861" s="50" t="str">
        <f t="shared" si="90"/>
        <v/>
      </c>
      <c r="V861" s="50" t="str">
        <f t="shared" si="92"/>
        <v/>
      </c>
      <c r="W861" s="50"/>
      <c r="X861" s="50"/>
      <c r="Y861" s="50"/>
      <c r="Z861" s="50"/>
      <c r="AA861" s="50"/>
    </row>
    <row r="862" spans="1:27" ht="25.5" customHeight="1">
      <c r="A862" s="517" t="s">
        <v>776</v>
      </c>
      <c r="B862" s="51" t="s">
        <v>1151</v>
      </c>
      <c r="C862" s="51" t="s">
        <v>143</v>
      </c>
      <c r="D862" s="51" t="s">
        <v>4423</v>
      </c>
      <c r="E862" s="50">
        <v>1870</v>
      </c>
      <c r="F862" s="50">
        <v>1761</v>
      </c>
      <c r="G862" s="50" t="s">
        <v>3955</v>
      </c>
      <c r="H862" s="50"/>
      <c r="I862" s="105"/>
      <c r="J862" s="50"/>
      <c r="K862" s="50"/>
      <c r="L862" s="50" t="s">
        <v>328</v>
      </c>
      <c r="M862" s="50" t="s">
        <v>1982</v>
      </c>
      <c r="N862" s="50"/>
      <c r="O862" s="50"/>
      <c r="P862" s="50"/>
      <c r="Q862" s="50"/>
      <c r="R862" s="50"/>
      <c r="S862" s="50" t="str">
        <f t="shared" si="89"/>
        <v/>
      </c>
      <c r="T862" s="50" t="str">
        <f t="shared" si="91"/>
        <v/>
      </c>
      <c r="U862" s="50" t="str">
        <f t="shared" si="90"/>
        <v/>
      </c>
      <c r="V862" s="50" t="str">
        <f t="shared" si="92"/>
        <v/>
      </c>
      <c r="W862" s="50"/>
      <c r="X862" s="50"/>
      <c r="Y862" s="50"/>
      <c r="Z862" s="50"/>
      <c r="AA862" s="50"/>
    </row>
    <row r="863" spans="1:27" ht="25.5" customHeight="1">
      <c r="A863" s="517" t="s">
        <v>776</v>
      </c>
      <c r="B863" s="51" t="s">
        <v>1151</v>
      </c>
      <c r="C863" s="51" t="s">
        <v>143</v>
      </c>
      <c r="D863" s="51" t="s">
        <v>4424</v>
      </c>
      <c r="E863" s="50">
        <v>1512</v>
      </c>
      <c r="F863" s="50">
        <v>1680</v>
      </c>
      <c r="G863" s="50" t="s">
        <v>3955</v>
      </c>
      <c r="H863" s="50"/>
      <c r="I863" s="105"/>
      <c r="J863" s="50"/>
      <c r="K863" s="50"/>
      <c r="L863" s="50" t="s">
        <v>328</v>
      </c>
      <c r="M863" s="50" t="s">
        <v>1982</v>
      </c>
      <c r="N863" s="50"/>
      <c r="O863" s="50"/>
      <c r="P863" s="50"/>
      <c r="Q863" s="50"/>
      <c r="R863" s="50"/>
      <c r="S863" s="50" t="str">
        <f t="shared" si="89"/>
        <v/>
      </c>
      <c r="T863" s="50" t="str">
        <f t="shared" si="91"/>
        <v/>
      </c>
      <c r="U863" s="50" t="str">
        <f t="shared" si="90"/>
        <v/>
      </c>
      <c r="V863" s="50" t="str">
        <f t="shared" si="92"/>
        <v/>
      </c>
      <c r="W863" s="50"/>
      <c r="X863" s="50"/>
      <c r="Y863" s="50"/>
      <c r="Z863" s="50"/>
      <c r="AA863" s="50"/>
    </row>
    <row r="864" spans="1:27" ht="25.5" customHeight="1">
      <c r="A864" s="517" t="s">
        <v>776</v>
      </c>
      <c r="B864" s="51" t="s">
        <v>1151</v>
      </c>
      <c r="C864" s="51" t="s">
        <v>143</v>
      </c>
      <c r="D864" s="51" t="s">
        <v>4425</v>
      </c>
      <c r="E864" s="50">
        <v>4862</v>
      </c>
      <c r="F864" s="50">
        <v>5499</v>
      </c>
      <c r="G864" s="50" t="s">
        <v>3955</v>
      </c>
      <c r="H864" s="50"/>
      <c r="I864" s="105"/>
      <c r="J864" s="50"/>
      <c r="K864" s="50"/>
      <c r="L864" s="50" t="s">
        <v>328</v>
      </c>
      <c r="M864" s="50" t="s">
        <v>1982</v>
      </c>
      <c r="N864" s="50"/>
      <c r="O864" s="50"/>
      <c r="P864" s="50"/>
      <c r="Q864" s="50"/>
      <c r="R864" s="50"/>
      <c r="S864" s="50" t="str">
        <f t="shared" si="89"/>
        <v/>
      </c>
      <c r="T864" s="50" t="str">
        <f t="shared" si="91"/>
        <v/>
      </c>
      <c r="U864" s="50" t="str">
        <f t="shared" si="90"/>
        <v/>
      </c>
      <c r="V864" s="50" t="str">
        <f t="shared" si="92"/>
        <v/>
      </c>
      <c r="W864" s="50"/>
      <c r="X864" s="50"/>
      <c r="Y864" s="50"/>
      <c r="Z864" s="50"/>
      <c r="AA864" s="50"/>
    </row>
    <row r="865" spans="1:27" ht="25.5" customHeight="1">
      <c r="A865" s="50" t="s">
        <v>776</v>
      </c>
      <c r="B865" s="51" t="s">
        <v>1151</v>
      </c>
      <c r="C865" s="51" t="s">
        <v>143</v>
      </c>
      <c r="D865" s="51" t="s">
        <v>4426</v>
      </c>
      <c r="E865" s="50">
        <v>2873</v>
      </c>
      <c r="F865" s="50">
        <v>2890</v>
      </c>
      <c r="G865" s="50" t="s">
        <v>3404</v>
      </c>
      <c r="H865" s="50">
        <v>2024</v>
      </c>
      <c r="I865" s="132">
        <v>45601</v>
      </c>
      <c r="J865" s="50"/>
      <c r="K865" s="50"/>
      <c r="L865" s="50" t="s">
        <v>328</v>
      </c>
      <c r="M865" s="50" t="s">
        <v>1982</v>
      </c>
      <c r="N865" s="50"/>
      <c r="O865" s="50"/>
      <c r="P865" s="50"/>
      <c r="Q865" s="50"/>
      <c r="R865" s="50"/>
      <c r="S865" s="50" t="str">
        <f t="shared" si="89"/>
        <v/>
      </c>
      <c r="T865" s="50" t="str">
        <f t="shared" si="91"/>
        <v/>
      </c>
      <c r="U865" s="50" t="str">
        <f t="shared" si="90"/>
        <v/>
      </c>
      <c r="V865" s="50" t="str">
        <f t="shared" si="92"/>
        <v/>
      </c>
      <c r="W865" s="50"/>
      <c r="X865" s="50" t="s">
        <v>4</v>
      </c>
      <c r="Y865" s="50" t="s">
        <v>57</v>
      </c>
      <c r="Z865" s="50" t="s">
        <v>3406</v>
      </c>
      <c r="AA865" s="50"/>
    </row>
    <row r="866" spans="1:27" ht="25.5" customHeight="1">
      <c r="A866" s="517" t="s">
        <v>776</v>
      </c>
      <c r="B866" s="51" t="s">
        <v>1151</v>
      </c>
      <c r="C866" s="51" t="s">
        <v>143</v>
      </c>
      <c r="D866" s="51" t="s">
        <v>4051</v>
      </c>
      <c r="E866" s="50">
        <v>3980</v>
      </c>
      <c r="F866" s="50">
        <v>5531</v>
      </c>
      <c r="G866" s="50" t="s">
        <v>3955</v>
      </c>
      <c r="H866" s="50"/>
      <c r="I866" s="105"/>
      <c r="J866" s="50"/>
      <c r="K866" s="50"/>
      <c r="L866" s="50" t="s">
        <v>328</v>
      </c>
      <c r="M866" s="50" t="s">
        <v>1982</v>
      </c>
      <c r="N866" s="50"/>
      <c r="O866" s="50"/>
      <c r="P866" s="50"/>
      <c r="Q866" s="50"/>
      <c r="R866" s="50"/>
      <c r="S866" s="50" t="str">
        <f t="shared" si="89"/>
        <v/>
      </c>
      <c r="T866" s="50" t="str">
        <f t="shared" si="91"/>
        <v/>
      </c>
      <c r="U866" s="50" t="str">
        <f t="shared" si="90"/>
        <v/>
      </c>
      <c r="V866" s="50" t="str">
        <f t="shared" si="92"/>
        <v/>
      </c>
      <c r="W866" s="50"/>
      <c r="X866" s="50"/>
      <c r="Y866" s="50"/>
      <c r="Z866" s="50"/>
      <c r="AA866" s="50"/>
    </row>
    <row r="867" spans="1:27" ht="25.5" customHeight="1">
      <c r="A867" s="50" t="s">
        <v>776</v>
      </c>
      <c r="B867" s="51" t="s">
        <v>1151</v>
      </c>
      <c r="C867" s="51" t="s">
        <v>143</v>
      </c>
      <c r="D867" s="51" t="s">
        <v>4427</v>
      </c>
      <c r="E867" s="50">
        <v>1886</v>
      </c>
      <c r="F867" s="50">
        <v>2223</v>
      </c>
      <c r="G867" s="50" t="s">
        <v>3404</v>
      </c>
      <c r="H867" s="50">
        <v>2024</v>
      </c>
      <c r="I867" s="132">
        <v>45602</v>
      </c>
      <c r="J867" s="50"/>
      <c r="K867" s="50"/>
      <c r="L867" s="50" t="s">
        <v>328</v>
      </c>
      <c r="M867" s="50" t="s">
        <v>1982</v>
      </c>
      <c r="N867" s="50"/>
      <c r="O867" s="50"/>
      <c r="P867" s="50"/>
      <c r="Q867" s="50"/>
      <c r="R867" s="50"/>
      <c r="S867" s="50" t="str">
        <f t="shared" si="89"/>
        <v/>
      </c>
      <c r="T867" s="50" t="str">
        <f t="shared" si="91"/>
        <v/>
      </c>
      <c r="U867" s="50" t="str">
        <f t="shared" si="90"/>
        <v/>
      </c>
      <c r="V867" s="50" t="str">
        <f t="shared" si="92"/>
        <v/>
      </c>
      <c r="W867" s="50"/>
      <c r="X867" s="50" t="s">
        <v>4</v>
      </c>
      <c r="Y867" s="50" t="s">
        <v>50</v>
      </c>
      <c r="Z867" s="50" t="s">
        <v>3406</v>
      </c>
      <c r="AA867" s="50"/>
    </row>
    <row r="868" spans="1:27" ht="25.5" customHeight="1">
      <c r="A868" s="517" t="s">
        <v>776</v>
      </c>
      <c r="B868" s="51" t="s">
        <v>1151</v>
      </c>
      <c r="C868" s="51" t="s">
        <v>143</v>
      </c>
      <c r="D868" s="51" t="s">
        <v>4428</v>
      </c>
      <c r="E868" s="50">
        <v>7560</v>
      </c>
      <c r="F868" s="50">
        <v>8555</v>
      </c>
      <c r="G868" s="50" t="s">
        <v>3955</v>
      </c>
      <c r="H868" s="50"/>
      <c r="I868" s="105"/>
      <c r="J868" s="50"/>
      <c r="K868" s="50"/>
      <c r="L868" s="50" t="s">
        <v>328</v>
      </c>
      <c r="M868" s="50" t="s">
        <v>1982</v>
      </c>
      <c r="N868" s="50"/>
      <c r="O868" s="50"/>
      <c r="P868" s="50"/>
      <c r="Q868" s="50"/>
      <c r="R868" s="50"/>
      <c r="S868" s="50" t="str">
        <f t="shared" si="89"/>
        <v/>
      </c>
      <c r="T868" s="50" t="str">
        <f t="shared" si="91"/>
        <v/>
      </c>
      <c r="U868" s="50" t="str">
        <f t="shared" si="90"/>
        <v/>
      </c>
      <c r="V868" s="50" t="str">
        <f t="shared" si="92"/>
        <v/>
      </c>
      <c r="W868" s="50"/>
      <c r="X868" s="50"/>
      <c r="Y868" s="50"/>
      <c r="Z868" s="50"/>
      <c r="AA868" s="50"/>
    </row>
    <row r="869" spans="1:27" ht="25.5" customHeight="1">
      <c r="A869" s="517" t="s">
        <v>776</v>
      </c>
      <c r="B869" s="51" t="s">
        <v>1151</v>
      </c>
      <c r="C869" s="51" t="s">
        <v>143</v>
      </c>
      <c r="D869" s="51" t="s">
        <v>4429</v>
      </c>
      <c r="E869" s="50">
        <v>1604</v>
      </c>
      <c r="F869" s="50">
        <v>1695</v>
      </c>
      <c r="G869" s="50" t="s">
        <v>3955</v>
      </c>
      <c r="H869" s="50"/>
      <c r="I869" s="105"/>
      <c r="J869" s="50"/>
      <c r="K869" s="50"/>
      <c r="L869" s="50" t="s">
        <v>328</v>
      </c>
      <c r="M869" s="50" t="s">
        <v>1982</v>
      </c>
      <c r="N869" s="50"/>
      <c r="O869" s="50"/>
      <c r="P869" s="50"/>
      <c r="Q869" s="50"/>
      <c r="R869" s="50"/>
      <c r="S869" s="50" t="str">
        <f t="shared" si="89"/>
        <v/>
      </c>
      <c r="T869" s="50" t="str">
        <f t="shared" si="91"/>
        <v/>
      </c>
      <c r="U869" s="50" t="str">
        <f t="shared" si="90"/>
        <v/>
      </c>
      <c r="V869" s="50" t="str">
        <f t="shared" si="92"/>
        <v/>
      </c>
      <c r="W869" s="50"/>
      <c r="X869" s="50"/>
      <c r="Y869" s="50"/>
      <c r="Z869" s="50"/>
      <c r="AA869" s="50"/>
    </row>
    <row r="870" spans="1:27" ht="25.5" customHeight="1">
      <c r="A870" s="517" t="s">
        <v>776</v>
      </c>
      <c r="B870" s="51" t="s">
        <v>1151</v>
      </c>
      <c r="C870" s="51" t="s">
        <v>143</v>
      </c>
      <c r="D870" s="51" t="s">
        <v>4430</v>
      </c>
      <c r="E870" s="50">
        <v>1662</v>
      </c>
      <c r="F870" s="50">
        <v>1851</v>
      </c>
      <c r="G870" s="50" t="s">
        <v>3955</v>
      </c>
      <c r="H870" s="50"/>
      <c r="I870" s="105"/>
      <c r="J870" s="50"/>
      <c r="K870" s="50"/>
      <c r="L870" s="50" t="s">
        <v>328</v>
      </c>
      <c r="M870" s="50" t="s">
        <v>1982</v>
      </c>
      <c r="N870" s="50"/>
      <c r="O870" s="50"/>
      <c r="P870" s="50"/>
      <c r="Q870" s="50"/>
      <c r="R870" s="50"/>
      <c r="S870" s="50" t="str">
        <f t="shared" si="89"/>
        <v/>
      </c>
      <c r="T870" s="50" t="str">
        <f t="shared" si="91"/>
        <v/>
      </c>
      <c r="U870" s="50" t="str">
        <f t="shared" si="90"/>
        <v/>
      </c>
      <c r="V870" s="50" t="str">
        <f t="shared" si="92"/>
        <v/>
      </c>
      <c r="W870" s="50"/>
      <c r="X870" s="50"/>
      <c r="Y870" s="50"/>
      <c r="Z870" s="50"/>
      <c r="AA870" s="50"/>
    </row>
    <row r="871" spans="1:27" s="110" customFormat="1" ht="25.5" customHeight="1">
      <c r="A871" s="517" t="s">
        <v>776</v>
      </c>
      <c r="B871" s="51" t="s">
        <v>1151</v>
      </c>
      <c r="C871" s="51" t="s">
        <v>143</v>
      </c>
      <c r="D871" s="51" t="s">
        <v>4431</v>
      </c>
      <c r="E871" s="50">
        <v>1431</v>
      </c>
      <c r="F871" s="50">
        <v>1562</v>
      </c>
      <c r="G871" s="50" t="s">
        <v>3955</v>
      </c>
      <c r="H871" s="50"/>
      <c r="I871" s="105"/>
      <c r="J871" s="50"/>
      <c r="K871" s="50"/>
      <c r="L871" s="50" t="s">
        <v>328</v>
      </c>
      <c r="M871" s="50" t="s">
        <v>1982</v>
      </c>
      <c r="N871" s="50"/>
      <c r="O871" s="50"/>
      <c r="P871" s="50"/>
      <c r="Q871" s="50"/>
      <c r="R871" s="50"/>
      <c r="S871" s="50" t="str">
        <f t="shared" si="89"/>
        <v/>
      </c>
      <c r="T871" s="50" t="str">
        <f t="shared" si="91"/>
        <v/>
      </c>
      <c r="U871" s="50" t="str">
        <f t="shared" si="90"/>
        <v/>
      </c>
      <c r="V871" s="50" t="str">
        <f t="shared" si="92"/>
        <v/>
      </c>
      <c r="W871" s="50"/>
      <c r="X871" s="50"/>
      <c r="Y871" s="50"/>
      <c r="Z871" s="50"/>
      <c r="AA871" s="50"/>
    </row>
    <row r="872" spans="1:27" ht="25.5" customHeight="1">
      <c r="A872" s="517" t="s">
        <v>776</v>
      </c>
      <c r="B872" s="51" t="s">
        <v>1151</v>
      </c>
      <c r="C872" s="51" t="s">
        <v>143</v>
      </c>
      <c r="D872" s="51" t="s">
        <v>1072</v>
      </c>
      <c r="E872" s="50">
        <v>2805</v>
      </c>
      <c r="F872" s="50">
        <v>3108</v>
      </c>
      <c r="G872" s="50" t="s">
        <v>3955</v>
      </c>
      <c r="H872" s="50"/>
      <c r="I872" s="105"/>
      <c r="J872" s="50"/>
      <c r="K872" s="50"/>
      <c r="L872" s="50" t="s">
        <v>328</v>
      </c>
      <c r="M872" s="50" t="s">
        <v>1982</v>
      </c>
      <c r="N872" s="50"/>
      <c r="O872" s="50"/>
      <c r="P872" s="50"/>
      <c r="Q872" s="50"/>
      <c r="R872" s="50"/>
      <c r="S872" s="50" t="str">
        <f t="shared" si="89"/>
        <v/>
      </c>
      <c r="T872" s="50" t="str">
        <f t="shared" si="91"/>
        <v/>
      </c>
      <c r="U872" s="50" t="str">
        <f t="shared" si="90"/>
        <v/>
      </c>
      <c r="V872" s="50" t="str">
        <f t="shared" si="92"/>
        <v/>
      </c>
      <c r="W872" s="50"/>
      <c r="X872" s="50"/>
      <c r="Y872" s="50"/>
      <c r="Z872" s="50"/>
      <c r="AA872" s="50"/>
    </row>
    <row r="873" spans="1:27" s="110" customFormat="1" ht="25.5" customHeight="1">
      <c r="A873" s="517" t="s">
        <v>776</v>
      </c>
      <c r="B873" s="51" t="s">
        <v>1151</v>
      </c>
      <c r="C873" s="51" t="s">
        <v>143</v>
      </c>
      <c r="D873" s="51" t="s">
        <v>4432</v>
      </c>
      <c r="E873" s="50">
        <v>2163</v>
      </c>
      <c r="F873" s="50">
        <v>2544</v>
      </c>
      <c r="G873" s="50" t="s">
        <v>3955</v>
      </c>
      <c r="H873" s="50"/>
      <c r="I873" s="105"/>
      <c r="J873" s="50"/>
      <c r="K873" s="50"/>
      <c r="L873" s="50" t="s">
        <v>328</v>
      </c>
      <c r="M873" s="50" t="s">
        <v>1982</v>
      </c>
      <c r="N873" s="50"/>
      <c r="O873" s="50"/>
      <c r="P873" s="50"/>
      <c r="Q873" s="50"/>
      <c r="R873" s="50"/>
      <c r="S873" s="50" t="str">
        <f t="shared" si="89"/>
        <v/>
      </c>
      <c r="T873" s="50" t="str">
        <f t="shared" si="91"/>
        <v/>
      </c>
      <c r="U873" s="50" t="str">
        <f t="shared" si="90"/>
        <v/>
      </c>
      <c r="V873" s="50" t="str">
        <f t="shared" si="92"/>
        <v/>
      </c>
      <c r="W873" s="50"/>
      <c r="X873" s="50"/>
      <c r="Y873" s="50"/>
      <c r="Z873" s="50"/>
      <c r="AA873" s="50"/>
    </row>
    <row r="874" spans="1:27" ht="25.5" customHeight="1">
      <c r="A874" s="517" t="s">
        <v>776</v>
      </c>
      <c r="B874" s="51" t="s">
        <v>1151</v>
      </c>
      <c r="C874" s="51" t="s">
        <v>143</v>
      </c>
      <c r="D874" s="51" t="s">
        <v>4433</v>
      </c>
      <c r="E874" s="50">
        <v>1935</v>
      </c>
      <c r="F874" s="50">
        <v>2619</v>
      </c>
      <c r="G874" s="50" t="s">
        <v>3955</v>
      </c>
      <c r="H874" s="50"/>
      <c r="I874" s="105"/>
      <c r="J874" s="50"/>
      <c r="K874" s="50"/>
      <c r="L874" s="50" t="s">
        <v>328</v>
      </c>
      <c r="M874" s="50" t="s">
        <v>1982</v>
      </c>
      <c r="N874" s="50"/>
      <c r="O874" s="50"/>
      <c r="P874" s="50"/>
      <c r="Q874" s="50"/>
      <c r="R874" s="50"/>
      <c r="S874" s="50" t="str">
        <f t="shared" si="89"/>
        <v/>
      </c>
      <c r="T874" s="50" t="str">
        <f t="shared" si="91"/>
        <v/>
      </c>
      <c r="U874" s="50" t="str">
        <f t="shared" si="90"/>
        <v/>
      </c>
      <c r="V874" s="50" t="str">
        <f t="shared" si="92"/>
        <v/>
      </c>
      <c r="W874" s="50"/>
      <c r="X874" s="50"/>
      <c r="Y874" s="50"/>
      <c r="Z874" s="50"/>
      <c r="AA874" s="50"/>
    </row>
    <row r="875" spans="1:27" ht="25.5" customHeight="1">
      <c r="A875" s="517" t="s">
        <v>776</v>
      </c>
      <c r="B875" s="51" t="s">
        <v>1151</v>
      </c>
      <c r="C875" s="51" t="s">
        <v>143</v>
      </c>
      <c r="D875" s="51" t="s">
        <v>1245</v>
      </c>
      <c r="E875" s="50">
        <v>2092</v>
      </c>
      <c r="F875" s="50">
        <v>2415</v>
      </c>
      <c r="G875" s="50" t="s">
        <v>3955</v>
      </c>
      <c r="H875" s="50"/>
      <c r="I875" s="105"/>
      <c r="J875" s="50"/>
      <c r="K875" s="50"/>
      <c r="L875" s="50" t="s">
        <v>328</v>
      </c>
      <c r="M875" s="50" t="s">
        <v>1982</v>
      </c>
      <c r="N875" s="50"/>
      <c r="O875" s="50"/>
      <c r="P875" s="50"/>
      <c r="Q875" s="50"/>
      <c r="R875" s="50"/>
      <c r="S875" s="50" t="str">
        <f t="shared" si="89"/>
        <v/>
      </c>
      <c r="T875" s="50" t="str">
        <f t="shared" si="91"/>
        <v/>
      </c>
      <c r="U875" s="50" t="str">
        <f t="shared" si="90"/>
        <v/>
      </c>
      <c r="V875" s="50" t="str">
        <f t="shared" si="92"/>
        <v/>
      </c>
      <c r="W875" s="50"/>
      <c r="X875" s="50"/>
      <c r="Y875" s="50"/>
      <c r="Z875" s="50"/>
      <c r="AA875" s="50"/>
    </row>
    <row r="876" spans="1:27" ht="25.5" customHeight="1">
      <c r="A876" s="517" t="s">
        <v>776</v>
      </c>
      <c r="B876" s="51" t="s">
        <v>1151</v>
      </c>
      <c r="C876" s="51" t="s">
        <v>143</v>
      </c>
      <c r="D876" s="51" t="s">
        <v>4434</v>
      </c>
      <c r="E876" s="50">
        <v>1878</v>
      </c>
      <c r="F876" s="50">
        <v>2147</v>
      </c>
      <c r="G876" s="50" t="s">
        <v>3955</v>
      </c>
      <c r="H876" s="50"/>
      <c r="I876" s="105"/>
      <c r="J876" s="50"/>
      <c r="K876" s="50"/>
      <c r="L876" s="50" t="s">
        <v>328</v>
      </c>
      <c r="M876" s="50" t="s">
        <v>1982</v>
      </c>
      <c r="N876" s="50"/>
      <c r="O876" s="50"/>
      <c r="P876" s="50"/>
      <c r="Q876" s="50"/>
      <c r="R876" s="50"/>
      <c r="S876" s="50" t="str">
        <f t="shared" si="89"/>
        <v/>
      </c>
      <c r="T876" s="50" t="str">
        <f t="shared" si="91"/>
        <v/>
      </c>
      <c r="U876" s="50" t="str">
        <f t="shared" si="90"/>
        <v/>
      </c>
      <c r="V876" s="50" t="str">
        <f t="shared" si="92"/>
        <v/>
      </c>
      <c r="W876" s="50"/>
      <c r="X876" s="50"/>
      <c r="Y876" s="50"/>
      <c r="Z876" s="50"/>
      <c r="AA876" s="50"/>
    </row>
    <row r="877" spans="1:27" s="110" customFormat="1" ht="25.5" customHeight="1">
      <c r="A877" s="517" t="s">
        <v>776</v>
      </c>
      <c r="B877" s="51" t="s">
        <v>1151</v>
      </c>
      <c r="C877" s="51" t="s">
        <v>143</v>
      </c>
      <c r="D877" s="51" t="s">
        <v>4435</v>
      </c>
      <c r="E877" s="50">
        <v>2883</v>
      </c>
      <c r="F877" s="50">
        <v>3370</v>
      </c>
      <c r="G877" s="50" t="s">
        <v>3955</v>
      </c>
      <c r="H877" s="50"/>
      <c r="I877" s="105"/>
      <c r="J877" s="50"/>
      <c r="K877" s="50"/>
      <c r="L877" s="50" t="s">
        <v>328</v>
      </c>
      <c r="M877" s="50" t="s">
        <v>1982</v>
      </c>
      <c r="N877" s="50"/>
      <c r="O877" s="50"/>
      <c r="P877" s="50"/>
      <c r="Q877" s="50"/>
      <c r="R877" s="50"/>
      <c r="S877" s="50" t="str">
        <f t="shared" si="89"/>
        <v/>
      </c>
      <c r="T877" s="50" t="str">
        <f t="shared" si="91"/>
        <v/>
      </c>
      <c r="U877" s="50" t="str">
        <f t="shared" si="90"/>
        <v/>
      </c>
      <c r="V877" s="50" t="str">
        <f t="shared" si="92"/>
        <v/>
      </c>
      <c r="W877" s="50"/>
      <c r="X877" s="50"/>
      <c r="Y877" s="50"/>
      <c r="Z877" s="50"/>
      <c r="AA877" s="50"/>
    </row>
    <row r="878" spans="1:27" ht="25.5" customHeight="1">
      <c r="A878" s="517" t="s">
        <v>776</v>
      </c>
      <c r="B878" s="51" t="s">
        <v>1151</v>
      </c>
      <c r="C878" s="51" t="s">
        <v>143</v>
      </c>
      <c r="D878" s="51" t="s">
        <v>4436</v>
      </c>
      <c r="E878" s="50">
        <v>1165</v>
      </c>
      <c r="F878" s="50">
        <v>1222</v>
      </c>
      <c r="G878" s="50" t="s">
        <v>3955</v>
      </c>
      <c r="H878" s="50"/>
      <c r="I878" s="105"/>
      <c r="J878" s="50"/>
      <c r="K878" s="50"/>
      <c r="L878" s="50" t="s">
        <v>328</v>
      </c>
      <c r="M878" s="50" t="s">
        <v>1982</v>
      </c>
      <c r="N878" s="50"/>
      <c r="O878" s="50"/>
      <c r="P878" s="50"/>
      <c r="Q878" s="50"/>
      <c r="R878" s="50"/>
      <c r="S878" s="50" t="str">
        <f t="shared" si="89"/>
        <v/>
      </c>
      <c r="T878" s="50" t="str">
        <f t="shared" si="91"/>
        <v/>
      </c>
      <c r="U878" s="50" t="str">
        <f t="shared" si="90"/>
        <v/>
      </c>
      <c r="V878" s="50" t="str">
        <f t="shared" si="92"/>
        <v/>
      </c>
      <c r="W878" s="50"/>
      <c r="X878" s="50"/>
      <c r="Y878" s="50"/>
      <c r="Z878" s="50"/>
      <c r="AA878" s="50"/>
    </row>
    <row r="879" spans="1:27" ht="25.5" customHeight="1">
      <c r="A879" s="517" t="s">
        <v>776</v>
      </c>
      <c r="B879" s="51" t="s">
        <v>1151</v>
      </c>
      <c r="C879" s="51" t="s">
        <v>143</v>
      </c>
      <c r="D879" s="51" t="s">
        <v>4437</v>
      </c>
      <c r="E879" s="50">
        <v>2849</v>
      </c>
      <c r="F879" s="50">
        <v>3240</v>
      </c>
      <c r="G879" s="50" t="s">
        <v>3955</v>
      </c>
      <c r="H879" s="50"/>
      <c r="I879" s="105"/>
      <c r="J879" s="50"/>
      <c r="K879" s="50"/>
      <c r="L879" s="50" t="s">
        <v>328</v>
      </c>
      <c r="M879" s="50" t="s">
        <v>1982</v>
      </c>
      <c r="N879" s="50"/>
      <c r="O879" s="50"/>
      <c r="P879" s="50"/>
      <c r="Q879" s="50"/>
      <c r="R879" s="50"/>
      <c r="S879" s="50" t="str">
        <f t="shared" si="89"/>
        <v/>
      </c>
      <c r="T879" s="50" t="str">
        <f t="shared" si="91"/>
        <v/>
      </c>
      <c r="U879" s="50" t="str">
        <f t="shared" ref="U879:U910" si="93">IF(
    OR(ISBLANK(P879), ISBLANK(Q879)),
    "",
    MAX(1, IF(
        NETWORKDAYS(P879, Q879) &lt;= 0,
        1,
        NETWORKDAYS(P879, Q879) - IF(P879 = Q879, 0, 1)
    ))
)</f>
        <v/>
      </c>
      <c r="V879" s="50" t="str">
        <f t="shared" si="92"/>
        <v/>
      </c>
      <c r="W879" s="50"/>
      <c r="X879" s="50"/>
      <c r="Y879" s="50"/>
      <c r="Z879" s="50"/>
      <c r="AA879" s="50"/>
    </row>
    <row r="880" spans="1:27" ht="25.5" customHeight="1">
      <c r="A880" s="517" t="s">
        <v>776</v>
      </c>
      <c r="B880" s="51" t="s">
        <v>1151</v>
      </c>
      <c r="C880" s="51" t="s">
        <v>143</v>
      </c>
      <c r="D880" s="51" t="s">
        <v>4292</v>
      </c>
      <c r="E880" s="50">
        <v>3205</v>
      </c>
      <c r="F880" s="50">
        <v>3503</v>
      </c>
      <c r="G880" s="50" t="s">
        <v>3955</v>
      </c>
      <c r="H880" s="50"/>
      <c r="I880" s="105"/>
      <c r="J880" s="50"/>
      <c r="K880" s="50"/>
      <c r="L880" s="50" t="s">
        <v>328</v>
      </c>
      <c r="M880" s="50" t="s">
        <v>1982</v>
      </c>
      <c r="N880" s="50"/>
      <c r="O880" s="50"/>
      <c r="P880" s="50"/>
      <c r="Q880" s="50"/>
      <c r="R880" s="50"/>
      <c r="S880" s="50" t="str">
        <f t="shared" si="89"/>
        <v/>
      </c>
      <c r="T880" s="50" t="str">
        <f t="shared" ref="T880:T900" si="94">IF(
    OR(ISBLANK(O880), ISBLANK(P880)),
    "",
    MAX(1, IF(
        NETWORKDAYS(O880, P880) &lt;= 0,
        1,
        NETWORKDAYS(O880, P880) - IF(O880 = P880, 0, 1)
    ))
)</f>
        <v/>
      </c>
      <c r="U880" s="50" t="str">
        <f t="shared" si="93"/>
        <v/>
      </c>
      <c r="V880" s="50" t="str">
        <f t="shared" si="92"/>
        <v/>
      </c>
      <c r="W880" s="50"/>
      <c r="X880" s="50"/>
      <c r="Y880" s="50"/>
      <c r="Z880" s="50"/>
      <c r="AA880" s="50"/>
    </row>
    <row r="881" spans="1:27" ht="25.5" customHeight="1">
      <c r="A881" s="517" t="s">
        <v>776</v>
      </c>
      <c r="B881" s="51" t="s">
        <v>1151</v>
      </c>
      <c r="C881" s="51" t="s">
        <v>143</v>
      </c>
      <c r="D881" s="51" t="s">
        <v>4438</v>
      </c>
      <c r="E881" s="50">
        <v>3860</v>
      </c>
      <c r="F881" s="50">
        <v>4573</v>
      </c>
      <c r="G881" s="50" t="s">
        <v>3955</v>
      </c>
      <c r="H881" s="50"/>
      <c r="I881" s="105"/>
      <c r="J881" s="50"/>
      <c r="K881" s="50"/>
      <c r="L881" s="50" t="s">
        <v>328</v>
      </c>
      <c r="M881" s="50" t="s">
        <v>1982</v>
      </c>
      <c r="N881" s="50"/>
      <c r="O881" s="50"/>
      <c r="P881" s="50"/>
      <c r="Q881" s="50"/>
      <c r="R881" s="50"/>
      <c r="S881" s="50" t="str">
        <f t="shared" si="89"/>
        <v/>
      </c>
      <c r="T881" s="50" t="str">
        <f t="shared" si="94"/>
        <v/>
      </c>
      <c r="U881" s="50" t="str">
        <f t="shared" si="93"/>
        <v/>
      </c>
      <c r="V881" s="50" t="str">
        <f t="shared" si="92"/>
        <v/>
      </c>
      <c r="W881" s="50"/>
      <c r="X881" s="50"/>
      <c r="Y881" s="50"/>
      <c r="Z881" s="50"/>
      <c r="AA881" s="50"/>
    </row>
    <row r="882" spans="1:27" ht="25.5" customHeight="1">
      <c r="A882" s="521" t="s">
        <v>776</v>
      </c>
      <c r="B882" s="51" t="s">
        <v>1151</v>
      </c>
      <c r="C882" s="51" t="s">
        <v>143</v>
      </c>
      <c r="D882" s="51" t="s">
        <v>1056</v>
      </c>
      <c r="E882" s="50">
        <v>3127</v>
      </c>
      <c r="F882" s="50">
        <v>3127</v>
      </c>
      <c r="G882" s="50" t="s">
        <v>3404</v>
      </c>
      <c r="H882" s="50">
        <v>2024</v>
      </c>
      <c r="I882" s="132">
        <v>45539</v>
      </c>
      <c r="J882" s="50"/>
      <c r="K882" s="50"/>
      <c r="L882" s="50" t="s">
        <v>328</v>
      </c>
      <c r="M882" s="50" t="s">
        <v>1982</v>
      </c>
      <c r="N882" s="50"/>
      <c r="O882" s="50"/>
      <c r="P882" s="50"/>
      <c r="Q882" s="50"/>
      <c r="R882" s="50"/>
      <c r="S882" s="50" t="str">
        <f t="shared" si="89"/>
        <v/>
      </c>
      <c r="T882" s="50" t="str">
        <f t="shared" si="94"/>
        <v/>
      </c>
      <c r="U882" s="50" t="str">
        <f t="shared" si="93"/>
        <v/>
      </c>
      <c r="V882" s="50" t="str">
        <f t="shared" si="92"/>
        <v/>
      </c>
      <c r="W882" s="50"/>
      <c r="X882" s="50" t="s">
        <v>1078</v>
      </c>
      <c r="Y882" s="50"/>
      <c r="Z882" s="50" t="s">
        <v>3406</v>
      </c>
      <c r="AA882" s="50"/>
    </row>
    <row r="883" spans="1:27" ht="25.5" customHeight="1">
      <c r="A883" s="517" t="s">
        <v>776</v>
      </c>
      <c r="B883" s="51" t="s">
        <v>1151</v>
      </c>
      <c r="C883" s="51" t="s">
        <v>143</v>
      </c>
      <c r="D883" s="51" t="s">
        <v>4439</v>
      </c>
      <c r="E883" s="50">
        <v>2030</v>
      </c>
      <c r="F883" s="50">
        <v>2420</v>
      </c>
      <c r="G883" s="50" t="s">
        <v>3955</v>
      </c>
      <c r="H883" s="50"/>
      <c r="I883" s="105"/>
      <c r="J883" s="50"/>
      <c r="K883" s="50"/>
      <c r="L883" s="50" t="s">
        <v>328</v>
      </c>
      <c r="M883" s="50" t="s">
        <v>1982</v>
      </c>
      <c r="N883" s="50"/>
      <c r="O883" s="50"/>
      <c r="P883" s="50"/>
      <c r="Q883" s="50"/>
      <c r="R883" s="50"/>
      <c r="S883" s="50" t="str">
        <f t="shared" si="89"/>
        <v/>
      </c>
      <c r="T883" s="50" t="str">
        <f t="shared" si="94"/>
        <v/>
      </c>
      <c r="U883" s="50" t="str">
        <f t="shared" si="93"/>
        <v/>
      </c>
      <c r="V883" s="50" t="str">
        <f t="shared" si="92"/>
        <v/>
      </c>
      <c r="W883" s="50"/>
      <c r="X883" s="50"/>
      <c r="Y883" s="50"/>
      <c r="Z883" s="50"/>
      <c r="AA883" s="50"/>
    </row>
    <row r="884" spans="1:27" ht="25.5" customHeight="1">
      <c r="A884" s="517" t="s">
        <v>776</v>
      </c>
      <c r="B884" s="51" t="s">
        <v>1151</v>
      </c>
      <c r="C884" s="51" t="s">
        <v>143</v>
      </c>
      <c r="D884" s="51" t="s">
        <v>4440</v>
      </c>
      <c r="E884" s="50">
        <v>1389</v>
      </c>
      <c r="F884" s="50">
        <v>1439</v>
      </c>
      <c r="G884" s="50" t="s">
        <v>3955</v>
      </c>
      <c r="H884" s="50"/>
      <c r="I884" s="105"/>
      <c r="J884" s="50"/>
      <c r="K884" s="50"/>
      <c r="L884" s="50" t="s">
        <v>328</v>
      </c>
      <c r="M884" s="50" t="s">
        <v>1982</v>
      </c>
      <c r="N884" s="50"/>
      <c r="O884" s="50"/>
      <c r="P884" s="50"/>
      <c r="Q884" s="50"/>
      <c r="R884" s="50"/>
      <c r="S884" s="50" t="str">
        <f t="shared" si="89"/>
        <v/>
      </c>
      <c r="T884" s="50" t="str">
        <f t="shared" si="94"/>
        <v/>
      </c>
      <c r="U884" s="50" t="str">
        <f t="shared" si="93"/>
        <v/>
      </c>
      <c r="V884" s="50" t="str">
        <f t="shared" si="92"/>
        <v/>
      </c>
      <c r="W884" s="50"/>
      <c r="X884" s="50"/>
      <c r="Y884" s="50"/>
      <c r="Z884" s="50"/>
      <c r="AA884" s="50"/>
    </row>
    <row r="885" spans="1:27" ht="25.5" customHeight="1">
      <c r="A885" s="521" t="s">
        <v>776</v>
      </c>
      <c r="B885" s="51" t="s">
        <v>1151</v>
      </c>
      <c r="C885" s="51" t="s">
        <v>143</v>
      </c>
      <c r="D885" s="51" t="s">
        <v>4441</v>
      </c>
      <c r="E885" s="50">
        <v>2216</v>
      </c>
      <c r="F885" s="50">
        <v>2279</v>
      </c>
      <c r="G885" s="50" t="s">
        <v>3404</v>
      </c>
      <c r="H885" s="50">
        <v>2024</v>
      </c>
      <c r="I885" s="132">
        <v>45601</v>
      </c>
      <c r="J885" s="50"/>
      <c r="K885" s="50"/>
      <c r="L885" s="50" t="s">
        <v>328</v>
      </c>
      <c r="M885" s="50" t="s">
        <v>1982</v>
      </c>
      <c r="N885" s="50"/>
      <c r="O885" s="50"/>
      <c r="P885" s="50"/>
      <c r="Q885" s="50"/>
      <c r="R885" s="50"/>
      <c r="S885" s="50" t="str">
        <f t="shared" si="89"/>
        <v/>
      </c>
      <c r="T885" s="50" t="str">
        <f t="shared" si="94"/>
        <v/>
      </c>
      <c r="U885" s="50" t="str">
        <f t="shared" si="93"/>
        <v/>
      </c>
      <c r="V885" s="50" t="str">
        <f t="shared" si="92"/>
        <v/>
      </c>
      <c r="W885" s="50"/>
      <c r="X885" s="50" t="s">
        <v>4</v>
      </c>
      <c r="Y885" s="50" t="s">
        <v>50</v>
      </c>
      <c r="Z885" s="50" t="s">
        <v>3406</v>
      </c>
      <c r="AA885" s="50"/>
    </row>
    <row r="886" spans="1:27" ht="25.5" customHeight="1">
      <c r="A886" s="517" t="s">
        <v>776</v>
      </c>
      <c r="B886" s="51" t="s">
        <v>1151</v>
      </c>
      <c r="C886" s="51" t="s">
        <v>143</v>
      </c>
      <c r="D886" s="51" t="s">
        <v>4442</v>
      </c>
      <c r="E886" s="50">
        <v>3127</v>
      </c>
      <c r="F886" s="50">
        <v>3378</v>
      </c>
      <c r="G886" s="50" t="s">
        <v>3955</v>
      </c>
      <c r="H886" s="50"/>
      <c r="I886" s="105"/>
      <c r="J886" s="50"/>
      <c r="K886" s="50"/>
      <c r="L886" s="50" t="s">
        <v>328</v>
      </c>
      <c r="M886" s="50" t="s">
        <v>1982</v>
      </c>
      <c r="N886" s="50"/>
      <c r="O886" s="50"/>
      <c r="P886" s="50"/>
      <c r="Q886" s="50"/>
      <c r="R886" s="50"/>
      <c r="S886" s="50" t="str">
        <f t="shared" si="89"/>
        <v/>
      </c>
      <c r="T886" s="50" t="str">
        <f t="shared" si="94"/>
        <v/>
      </c>
      <c r="U886" s="50" t="str">
        <f t="shared" si="93"/>
        <v/>
      </c>
      <c r="V886" s="50" t="str">
        <f t="shared" si="92"/>
        <v/>
      </c>
      <c r="W886" s="50"/>
      <c r="X886" s="50"/>
      <c r="Y886" s="50"/>
      <c r="Z886" s="50"/>
      <c r="AA886" s="50"/>
    </row>
    <row r="887" spans="1:27" ht="25.5" customHeight="1">
      <c r="A887" s="517" t="s">
        <v>776</v>
      </c>
      <c r="B887" s="51" t="s">
        <v>1151</v>
      </c>
      <c r="C887" s="51" t="s">
        <v>143</v>
      </c>
      <c r="D887" s="51" t="s">
        <v>4443</v>
      </c>
      <c r="E887" s="50">
        <v>5056</v>
      </c>
      <c r="F887" s="50">
        <v>5363</v>
      </c>
      <c r="G887" s="50" t="s">
        <v>3955</v>
      </c>
      <c r="H887" s="50"/>
      <c r="I887" s="105"/>
      <c r="J887" s="50"/>
      <c r="K887" s="50"/>
      <c r="L887" s="50" t="s">
        <v>328</v>
      </c>
      <c r="M887" s="50" t="s">
        <v>1982</v>
      </c>
      <c r="N887" s="50"/>
      <c r="O887" s="50"/>
      <c r="P887" s="50"/>
      <c r="Q887" s="50"/>
      <c r="R887" s="50"/>
      <c r="S887" s="50" t="str">
        <f t="shared" si="89"/>
        <v/>
      </c>
      <c r="T887" s="50" t="str">
        <f t="shared" si="94"/>
        <v/>
      </c>
      <c r="U887" s="50" t="str">
        <f t="shared" si="93"/>
        <v/>
      </c>
      <c r="V887" s="50" t="str">
        <f t="shared" si="92"/>
        <v/>
      </c>
      <c r="W887" s="50"/>
      <c r="X887" s="50"/>
      <c r="Y887" s="50"/>
      <c r="Z887" s="50"/>
      <c r="AA887" s="50"/>
    </row>
    <row r="888" spans="1:27" ht="25.5" customHeight="1">
      <c r="A888" s="517" t="s">
        <v>776</v>
      </c>
      <c r="B888" s="51" t="s">
        <v>1151</v>
      </c>
      <c r="C888" s="51" t="s">
        <v>143</v>
      </c>
      <c r="D888" s="51" t="s">
        <v>4126</v>
      </c>
      <c r="E888" s="50">
        <v>3755</v>
      </c>
      <c r="F888" s="50">
        <v>4323</v>
      </c>
      <c r="G888" s="50" t="s">
        <v>3955</v>
      </c>
      <c r="H888" s="50"/>
      <c r="I888" s="105"/>
      <c r="J888" s="50"/>
      <c r="K888" s="50"/>
      <c r="L888" s="50" t="s">
        <v>328</v>
      </c>
      <c r="M888" s="50" t="s">
        <v>1982</v>
      </c>
      <c r="N888" s="50"/>
      <c r="O888" s="50"/>
      <c r="P888" s="50"/>
      <c r="Q888" s="50"/>
      <c r="R888" s="50"/>
      <c r="S888" s="50" t="str">
        <f t="shared" si="89"/>
        <v/>
      </c>
      <c r="T888" s="50" t="str">
        <f t="shared" si="94"/>
        <v/>
      </c>
      <c r="U888" s="50" t="str">
        <f t="shared" si="93"/>
        <v/>
      </c>
      <c r="V888" s="50" t="str">
        <f t="shared" si="92"/>
        <v/>
      </c>
      <c r="W888" s="50"/>
      <c r="X888" s="50"/>
      <c r="Y888" s="50"/>
      <c r="Z888" s="50"/>
      <c r="AA888" s="50"/>
    </row>
    <row r="889" spans="1:27" ht="25.5" customHeight="1">
      <c r="A889" s="50" t="s">
        <v>776</v>
      </c>
      <c r="B889" s="51" t="s">
        <v>1151</v>
      </c>
      <c r="C889" s="51" t="s">
        <v>143</v>
      </c>
      <c r="D889" s="51" t="s">
        <v>858</v>
      </c>
      <c r="E889" s="50">
        <v>4951</v>
      </c>
      <c r="F889" s="50">
        <v>4613</v>
      </c>
      <c r="G889" s="50" t="s">
        <v>3404</v>
      </c>
      <c r="H889" s="50">
        <v>2024</v>
      </c>
      <c r="I889" s="132">
        <v>45539</v>
      </c>
      <c r="J889" s="50"/>
      <c r="K889" s="50"/>
      <c r="L889" s="50" t="s">
        <v>328</v>
      </c>
      <c r="M889" s="50" t="s">
        <v>1982</v>
      </c>
      <c r="N889" s="50"/>
      <c r="O889" s="50"/>
      <c r="P889" s="50"/>
      <c r="Q889" s="50"/>
      <c r="R889" s="50"/>
      <c r="S889" s="50" t="str">
        <f t="shared" si="89"/>
        <v/>
      </c>
      <c r="T889" s="50" t="str">
        <f t="shared" si="94"/>
        <v/>
      </c>
      <c r="U889" s="50" t="str">
        <f t="shared" si="93"/>
        <v/>
      </c>
      <c r="V889" s="50" t="str">
        <f t="shared" si="92"/>
        <v/>
      </c>
      <c r="W889" s="50"/>
      <c r="X889" s="50" t="s">
        <v>1078</v>
      </c>
      <c r="Y889" s="50"/>
      <c r="Z889" s="50" t="s">
        <v>3406</v>
      </c>
      <c r="AA889" s="50"/>
    </row>
    <row r="890" spans="1:27" ht="25.5" customHeight="1">
      <c r="A890" s="517" t="s">
        <v>776</v>
      </c>
      <c r="B890" s="51" t="s">
        <v>1151</v>
      </c>
      <c r="C890" s="51" t="s">
        <v>143</v>
      </c>
      <c r="D890" s="51" t="s">
        <v>918</v>
      </c>
      <c r="E890" s="50">
        <v>8602</v>
      </c>
      <c r="F890" s="50">
        <v>8950</v>
      </c>
      <c r="G890" s="50" t="s">
        <v>3955</v>
      </c>
      <c r="H890" s="50"/>
      <c r="I890" s="105"/>
      <c r="J890" s="50"/>
      <c r="K890" s="50"/>
      <c r="L890" s="50" t="s">
        <v>328</v>
      </c>
      <c r="M890" s="50" t="s">
        <v>1982</v>
      </c>
      <c r="N890" s="50"/>
      <c r="O890" s="50"/>
      <c r="P890" s="50"/>
      <c r="Q890" s="50"/>
      <c r="R890" s="50"/>
      <c r="S890" s="50" t="str">
        <f t="shared" si="89"/>
        <v/>
      </c>
      <c r="T890" s="50" t="str">
        <f t="shared" si="94"/>
        <v/>
      </c>
      <c r="U890" s="50" t="str">
        <f t="shared" si="93"/>
        <v/>
      </c>
      <c r="V890" s="50" t="str">
        <f t="shared" si="92"/>
        <v/>
      </c>
      <c r="W890" s="50"/>
      <c r="X890" s="50"/>
      <c r="Y890" s="50"/>
      <c r="Z890" s="50"/>
      <c r="AA890" s="50"/>
    </row>
    <row r="891" spans="1:27" ht="25.5" customHeight="1">
      <c r="A891" s="517" t="s">
        <v>776</v>
      </c>
      <c r="B891" s="51" t="s">
        <v>1151</v>
      </c>
      <c r="C891" s="51" t="s">
        <v>143</v>
      </c>
      <c r="D891" s="51" t="s">
        <v>1166</v>
      </c>
      <c r="E891" s="50">
        <v>2860</v>
      </c>
      <c r="F891" s="50">
        <v>2746</v>
      </c>
      <c r="G891" s="50" t="s">
        <v>3955</v>
      </c>
      <c r="H891" s="50"/>
      <c r="I891" s="105"/>
      <c r="J891" s="50"/>
      <c r="K891" s="50"/>
      <c r="L891" s="50" t="s">
        <v>328</v>
      </c>
      <c r="M891" s="50" t="s">
        <v>1982</v>
      </c>
      <c r="N891" s="50"/>
      <c r="O891" s="50"/>
      <c r="P891" s="50"/>
      <c r="Q891" s="50"/>
      <c r="R891" s="50"/>
      <c r="S891" s="50" t="str">
        <f t="shared" si="89"/>
        <v/>
      </c>
      <c r="T891" s="50" t="str">
        <f t="shared" si="94"/>
        <v/>
      </c>
      <c r="U891" s="50" t="str">
        <f t="shared" si="93"/>
        <v/>
      </c>
      <c r="V891" s="50" t="str">
        <f t="shared" si="92"/>
        <v/>
      </c>
      <c r="W891" s="50"/>
      <c r="X891" s="50"/>
      <c r="Y891" s="50"/>
      <c r="Z891" s="50"/>
      <c r="AA891" s="50"/>
    </row>
    <row r="892" spans="1:27" ht="25.5" customHeight="1">
      <c r="A892" s="517" t="s">
        <v>776</v>
      </c>
      <c r="B892" s="51" t="s">
        <v>1151</v>
      </c>
      <c r="C892" s="51" t="s">
        <v>143</v>
      </c>
      <c r="D892" s="51" t="s">
        <v>4027</v>
      </c>
      <c r="E892" s="50">
        <v>6000</v>
      </c>
      <c r="F892" s="50">
        <v>6509</v>
      </c>
      <c r="G892" s="50" t="s">
        <v>3955</v>
      </c>
      <c r="H892" s="50"/>
      <c r="I892" s="105"/>
      <c r="J892" s="50"/>
      <c r="K892" s="50"/>
      <c r="L892" s="50" t="s">
        <v>328</v>
      </c>
      <c r="M892" s="50" t="s">
        <v>1982</v>
      </c>
      <c r="N892" s="50"/>
      <c r="O892" s="50"/>
      <c r="P892" s="50"/>
      <c r="Q892" s="50"/>
      <c r="R892" s="50"/>
      <c r="S892" s="50" t="str">
        <f t="shared" si="89"/>
        <v/>
      </c>
      <c r="T892" s="50" t="str">
        <f t="shared" si="94"/>
        <v/>
      </c>
      <c r="U892" s="50" t="str">
        <f t="shared" si="93"/>
        <v/>
      </c>
      <c r="V892" s="50" t="str">
        <f t="shared" si="92"/>
        <v/>
      </c>
      <c r="W892" s="50"/>
      <c r="X892" s="50"/>
      <c r="Y892" s="50"/>
      <c r="Z892" s="50"/>
      <c r="AA892" s="50"/>
    </row>
    <row r="893" spans="1:27" ht="25.5" customHeight="1">
      <c r="A893" s="517" t="s">
        <v>776</v>
      </c>
      <c r="B893" s="51" t="s">
        <v>1151</v>
      </c>
      <c r="C893" s="51" t="s">
        <v>143</v>
      </c>
      <c r="D893" s="51" t="s">
        <v>3565</v>
      </c>
      <c r="E893" s="50">
        <v>3335</v>
      </c>
      <c r="F893" s="50">
        <v>4005</v>
      </c>
      <c r="G893" s="50" t="s">
        <v>3955</v>
      </c>
      <c r="H893" s="50"/>
      <c r="I893" s="105"/>
      <c r="J893" s="50"/>
      <c r="K893" s="50"/>
      <c r="L893" s="50" t="s">
        <v>328</v>
      </c>
      <c r="M893" s="50" t="s">
        <v>1982</v>
      </c>
      <c r="N893" s="50"/>
      <c r="O893" s="50"/>
      <c r="P893" s="50"/>
      <c r="Q893" s="50"/>
      <c r="R893" s="50"/>
      <c r="S893" s="50" t="str">
        <f t="shared" si="89"/>
        <v/>
      </c>
      <c r="T893" s="50" t="str">
        <f t="shared" si="94"/>
        <v/>
      </c>
      <c r="U893" s="50" t="str">
        <f t="shared" si="93"/>
        <v/>
      </c>
      <c r="V893" s="50" t="str">
        <f t="shared" si="92"/>
        <v/>
      </c>
      <c r="W893" s="50"/>
      <c r="X893" s="50"/>
      <c r="Y893" s="50"/>
      <c r="Z893" s="50"/>
      <c r="AA893" s="50"/>
    </row>
    <row r="894" spans="1:27" ht="25.5" customHeight="1">
      <c r="A894" s="517" t="s">
        <v>776</v>
      </c>
      <c r="B894" s="51" t="s">
        <v>1151</v>
      </c>
      <c r="C894" s="51" t="s">
        <v>143</v>
      </c>
      <c r="D894" s="51" t="s">
        <v>4444</v>
      </c>
      <c r="E894" s="50">
        <v>2945</v>
      </c>
      <c r="F894" s="50">
        <v>3829</v>
      </c>
      <c r="G894" s="50" t="s">
        <v>3955</v>
      </c>
      <c r="H894" s="50"/>
      <c r="I894" s="105"/>
      <c r="J894" s="50"/>
      <c r="K894" s="50"/>
      <c r="L894" s="50" t="s">
        <v>328</v>
      </c>
      <c r="M894" s="50" t="s">
        <v>1982</v>
      </c>
      <c r="N894" s="50"/>
      <c r="O894" s="50"/>
      <c r="P894" s="50"/>
      <c r="Q894" s="50"/>
      <c r="R894" s="50"/>
      <c r="S894" s="50" t="str">
        <f t="shared" si="89"/>
        <v/>
      </c>
      <c r="T894" s="50" t="str">
        <f t="shared" si="94"/>
        <v/>
      </c>
      <c r="U894" s="50" t="str">
        <f t="shared" si="93"/>
        <v/>
      </c>
      <c r="V894" s="50" t="str">
        <f t="shared" si="92"/>
        <v/>
      </c>
      <c r="W894" s="50"/>
      <c r="X894" s="50"/>
      <c r="Y894" s="50"/>
      <c r="Z894" s="50"/>
      <c r="AA894" s="50"/>
    </row>
    <row r="895" spans="1:27" ht="25.5" customHeight="1">
      <c r="A895" s="517" t="s">
        <v>776</v>
      </c>
      <c r="B895" s="51" t="s">
        <v>1151</v>
      </c>
      <c r="C895" s="51" t="s">
        <v>143</v>
      </c>
      <c r="D895" s="51" t="s">
        <v>4445</v>
      </c>
      <c r="E895" s="50">
        <v>2829</v>
      </c>
      <c r="F895" s="50">
        <v>2983</v>
      </c>
      <c r="G895" s="50" t="s">
        <v>3955</v>
      </c>
      <c r="H895" s="50"/>
      <c r="I895" s="105"/>
      <c r="J895" s="50"/>
      <c r="K895" s="50"/>
      <c r="L895" s="50" t="s">
        <v>328</v>
      </c>
      <c r="M895" s="50" t="s">
        <v>1982</v>
      </c>
      <c r="N895" s="50"/>
      <c r="O895" s="50"/>
      <c r="P895" s="50"/>
      <c r="Q895" s="50"/>
      <c r="R895" s="50"/>
      <c r="S895" s="50" t="str">
        <f t="shared" si="89"/>
        <v/>
      </c>
      <c r="T895" s="50" t="str">
        <f t="shared" si="94"/>
        <v/>
      </c>
      <c r="U895" s="50" t="str">
        <f t="shared" si="93"/>
        <v/>
      </c>
      <c r="V895" s="50" t="str">
        <f t="shared" si="92"/>
        <v/>
      </c>
      <c r="W895" s="50"/>
      <c r="X895" s="50"/>
      <c r="Y895" s="50"/>
      <c r="Z895" s="50"/>
      <c r="AA895" s="50"/>
    </row>
    <row r="896" spans="1:27" ht="25.5" customHeight="1">
      <c r="A896" s="517" t="s">
        <v>776</v>
      </c>
      <c r="B896" s="51" t="s">
        <v>1151</v>
      </c>
      <c r="C896" s="51" t="s">
        <v>143</v>
      </c>
      <c r="D896" s="51" t="s">
        <v>4446</v>
      </c>
      <c r="E896" s="50">
        <v>1632</v>
      </c>
      <c r="F896" s="50">
        <v>1997</v>
      </c>
      <c r="G896" s="50" t="s">
        <v>3955</v>
      </c>
      <c r="H896" s="50"/>
      <c r="I896" s="105"/>
      <c r="J896" s="50"/>
      <c r="K896" s="50"/>
      <c r="L896" s="50" t="s">
        <v>328</v>
      </c>
      <c r="M896" s="50" t="s">
        <v>1982</v>
      </c>
      <c r="N896" s="50"/>
      <c r="O896" s="50"/>
      <c r="P896" s="50"/>
      <c r="Q896" s="50"/>
      <c r="R896" s="50"/>
      <c r="S896" s="50" t="str">
        <f t="shared" si="89"/>
        <v/>
      </c>
      <c r="T896" s="50" t="str">
        <f t="shared" si="94"/>
        <v/>
      </c>
      <c r="U896" s="50" t="str">
        <f t="shared" si="93"/>
        <v/>
      </c>
      <c r="V896" s="50" t="str">
        <f t="shared" si="92"/>
        <v/>
      </c>
      <c r="W896" s="50"/>
      <c r="X896" s="50"/>
      <c r="Y896" s="50"/>
      <c r="Z896" s="50"/>
      <c r="AA896" s="50"/>
    </row>
    <row r="897" spans="1:27" ht="25.5" customHeight="1">
      <c r="A897" s="517" t="s">
        <v>776</v>
      </c>
      <c r="B897" s="51" t="s">
        <v>1151</v>
      </c>
      <c r="C897" s="51" t="s">
        <v>143</v>
      </c>
      <c r="D897" s="51" t="s">
        <v>3848</v>
      </c>
      <c r="E897" s="50">
        <v>10161</v>
      </c>
      <c r="F897" s="50">
        <v>11092</v>
      </c>
      <c r="G897" s="50" t="s">
        <v>3955</v>
      </c>
      <c r="H897" s="50"/>
      <c r="I897" s="105"/>
      <c r="J897" s="50"/>
      <c r="K897" s="50"/>
      <c r="L897" s="50" t="s">
        <v>328</v>
      </c>
      <c r="M897" s="50" t="s">
        <v>1982</v>
      </c>
      <c r="N897" s="50"/>
      <c r="O897" s="50"/>
      <c r="P897" s="50"/>
      <c r="Q897" s="50"/>
      <c r="R897" s="50"/>
      <c r="S897" s="50" t="str">
        <f t="shared" si="89"/>
        <v/>
      </c>
      <c r="T897" s="50" t="str">
        <f t="shared" si="94"/>
        <v/>
      </c>
      <c r="U897" s="50" t="str">
        <f t="shared" si="93"/>
        <v/>
      </c>
      <c r="V897" s="50" t="str">
        <f t="shared" si="92"/>
        <v/>
      </c>
      <c r="W897" s="50"/>
      <c r="X897" s="50"/>
      <c r="Y897" s="50"/>
      <c r="Z897" s="50"/>
      <c r="AA897" s="50"/>
    </row>
    <row r="898" spans="1:27" ht="25.5" customHeight="1">
      <c r="A898" s="517" t="s">
        <v>776</v>
      </c>
      <c r="B898" s="51" t="s">
        <v>1151</v>
      </c>
      <c r="C898" s="51" t="s">
        <v>143</v>
      </c>
      <c r="D898" s="51" t="s">
        <v>4447</v>
      </c>
      <c r="E898" s="50">
        <v>6001</v>
      </c>
      <c r="F898" s="50">
        <v>6039</v>
      </c>
      <c r="G898" s="50" t="s">
        <v>3955</v>
      </c>
      <c r="H898" s="50"/>
      <c r="I898" s="105"/>
      <c r="J898" s="50"/>
      <c r="K898" s="50"/>
      <c r="L898" s="50" t="s">
        <v>328</v>
      </c>
      <c r="M898" s="50" t="s">
        <v>1982</v>
      </c>
      <c r="N898" s="50"/>
      <c r="O898" s="50"/>
      <c r="P898" s="50"/>
      <c r="Q898" s="50"/>
      <c r="R898" s="50"/>
      <c r="S898" s="50" t="str">
        <f t="shared" si="89"/>
        <v/>
      </c>
      <c r="T898" s="50" t="str">
        <f t="shared" si="94"/>
        <v/>
      </c>
      <c r="U898" s="50" t="str">
        <f t="shared" si="93"/>
        <v/>
      </c>
      <c r="V898" s="50" t="str">
        <f t="shared" si="92"/>
        <v/>
      </c>
      <c r="W898" s="50"/>
      <c r="X898" s="50"/>
      <c r="Y898" s="50"/>
      <c r="Z898" s="50"/>
      <c r="AA898" s="50"/>
    </row>
    <row r="899" spans="1:27" ht="25.5" customHeight="1">
      <c r="A899" s="517" t="s">
        <v>776</v>
      </c>
      <c r="B899" s="51" t="s">
        <v>1151</v>
      </c>
      <c r="C899" s="51" t="s">
        <v>143</v>
      </c>
      <c r="D899" s="51" t="s">
        <v>4044</v>
      </c>
      <c r="E899" s="50">
        <v>3678</v>
      </c>
      <c r="F899" s="50">
        <v>4662</v>
      </c>
      <c r="G899" s="50" t="s">
        <v>3955</v>
      </c>
      <c r="H899" s="50"/>
      <c r="I899" s="105"/>
      <c r="J899" s="50"/>
      <c r="K899" s="50"/>
      <c r="L899" s="50" t="s">
        <v>328</v>
      </c>
      <c r="M899" s="50" t="s">
        <v>1982</v>
      </c>
      <c r="N899" s="50"/>
      <c r="O899" s="50"/>
      <c r="P899" s="50"/>
      <c r="Q899" s="50"/>
      <c r="R899" s="50"/>
      <c r="S899" s="50" t="str">
        <f t="shared" si="89"/>
        <v/>
      </c>
      <c r="T899" s="50" t="str">
        <f t="shared" si="94"/>
        <v/>
      </c>
      <c r="U899" s="50" t="str">
        <f t="shared" si="93"/>
        <v/>
      </c>
      <c r="V899" s="50" t="str">
        <f t="shared" si="92"/>
        <v/>
      </c>
      <c r="W899" s="50"/>
      <c r="X899" s="50"/>
      <c r="Y899" s="50"/>
      <c r="Z899" s="50"/>
      <c r="AA899" s="50"/>
    </row>
    <row r="900" spans="1:27" ht="25.5" customHeight="1">
      <c r="A900" s="517" t="s">
        <v>776</v>
      </c>
      <c r="B900" s="51" t="s">
        <v>1151</v>
      </c>
      <c r="C900" s="51" t="s">
        <v>143</v>
      </c>
      <c r="D900" s="51" t="s">
        <v>4448</v>
      </c>
      <c r="E900" s="50">
        <v>3994</v>
      </c>
      <c r="F900" s="50">
        <v>4397</v>
      </c>
      <c r="G900" s="50" t="s">
        <v>3955</v>
      </c>
      <c r="H900" s="50"/>
      <c r="I900" s="105"/>
      <c r="J900" s="50"/>
      <c r="K900" s="50"/>
      <c r="L900" s="50" t="s">
        <v>328</v>
      </c>
      <c r="M900" s="50" t="s">
        <v>1982</v>
      </c>
      <c r="N900" s="50"/>
      <c r="O900" s="50"/>
      <c r="P900" s="50"/>
      <c r="Q900" s="50"/>
      <c r="R900" s="50"/>
      <c r="S900" s="50" t="str">
        <f t="shared" si="89"/>
        <v/>
      </c>
      <c r="T900" s="50" t="str">
        <f t="shared" si="94"/>
        <v/>
      </c>
      <c r="U900" s="50" t="str">
        <f t="shared" si="93"/>
        <v/>
      </c>
      <c r="V900" s="50" t="str">
        <f t="shared" si="92"/>
        <v/>
      </c>
      <c r="W900" s="50"/>
      <c r="X900" s="50"/>
      <c r="Y900" s="50"/>
      <c r="Z900" s="50"/>
      <c r="AA900" s="50"/>
    </row>
    <row r="901" spans="1:27" ht="25.5" customHeight="1">
      <c r="A901" s="517" t="s">
        <v>776</v>
      </c>
      <c r="B901" s="51" t="s">
        <v>1155</v>
      </c>
      <c r="C901" s="51" t="s">
        <v>143</v>
      </c>
      <c r="D901" s="51" t="s">
        <v>4449</v>
      </c>
      <c r="E901" s="50">
        <v>1174</v>
      </c>
      <c r="F901" s="50">
        <v>1354</v>
      </c>
      <c r="G901" s="50" t="s">
        <v>3404</v>
      </c>
      <c r="H901" s="50">
        <v>2025</v>
      </c>
      <c r="I901" s="132">
        <v>45943</v>
      </c>
      <c r="J901" s="50" t="s">
        <v>3129</v>
      </c>
      <c r="K901" s="50" t="s">
        <v>388</v>
      </c>
      <c r="L901" s="50" t="s">
        <v>1838</v>
      </c>
      <c r="M901" s="50" t="s">
        <v>1982</v>
      </c>
      <c r="N901" s="50" t="s">
        <v>4450</v>
      </c>
      <c r="O901" s="60">
        <v>45946</v>
      </c>
      <c r="P901" s="60">
        <v>45947</v>
      </c>
      <c r="Q901" s="60">
        <v>45949</v>
      </c>
      <c r="R901" s="60">
        <v>45950</v>
      </c>
      <c r="S901" s="50">
        <f t="shared" si="89"/>
        <v>3</v>
      </c>
      <c r="T901" s="50">
        <f>IF(
    OR(ISBLANK(P901), ISBLANK(Q901)),
    "",
    MAX(1, IF(
        NETWORKDAYS(P901, Q901) &lt;= 0,
        1,
        NETWORKDAYS(P901, Q901) - IF(P901 = Q901, 0, 1)
    ))
)</f>
        <v>1</v>
      </c>
      <c r="U901" s="50">
        <f t="shared" si="93"/>
        <v>1</v>
      </c>
      <c r="V901" s="50">
        <f t="shared" si="92"/>
        <v>1</v>
      </c>
      <c r="W901" s="50" t="s">
        <v>150</v>
      </c>
      <c r="X901" s="50" t="s">
        <v>1078</v>
      </c>
      <c r="Y901" s="50" t="s">
        <v>3528</v>
      </c>
      <c r="Z901" s="50" t="s">
        <v>3406</v>
      </c>
      <c r="AA901" s="50"/>
    </row>
    <row r="902" spans="1:27" ht="25.5" customHeight="1">
      <c r="A902" s="517" t="s">
        <v>776</v>
      </c>
      <c r="B902" s="51" t="s">
        <v>1155</v>
      </c>
      <c r="C902" s="51" t="s">
        <v>143</v>
      </c>
      <c r="D902" s="51" t="s">
        <v>4451</v>
      </c>
      <c r="E902" s="50">
        <v>1515</v>
      </c>
      <c r="F902" s="50">
        <v>2263</v>
      </c>
      <c r="G902" s="50" t="s">
        <v>3404</v>
      </c>
      <c r="H902" s="50">
        <v>2025</v>
      </c>
      <c r="I902" s="132">
        <v>45943</v>
      </c>
      <c r="J902" s="50" t="s">
        <v>3129</v>
      </c>
      <c r="K902" s="50" t="s">
        <v>388</v>
      </c>
      <c r="L902" s="50" t="s">
        <v>1838</v>
      </c>
      <c r="M902" s="50" t="s">
        <v>1982</v>
      </c>
      <c r="N902" s="50" t="s">
        <v>4452</v>
      </c>
      <c r="O902" s="60">
        <v>45946</v>
      </c>
      <c r="P902" s="60">
        <v>45947</v>
      </c>
      <c r="Q902" s="60">
        <v>45949</v>
      </c>
      <c r="R902" s="60">
        <v>45950</v>
      </c>
      <c r="S902" s="50">
        <f t="shared" si="89"/>
        <v>3</v>
      </c>
      <c r="T902" s="50">
        <f>IF(
    OR(ISBLANK(P902), ISBLANK(Q902)),
    "",
    MAX(1, IF(
        NETWORKDAYS(P902, Q902) &lt;= 0,
        1,
        NETWORKDAYS(P902, Q902) - IF(P902 = Q902, 0, 1)
    ))
)</f>
        <v>1</v>
      </c>
      <c r="U902" s="50">
        <f t="shared" si="93"/>
        <v>1</v>
      </c>
      <c r="V902" s="50">
        <f t="shared" si="92"/>
        <v>1</v>
      </c>
      <c r="W902" s="50" t="s">
        <v>150</v>
      </c>
      <c r="X902" s="50" t="s">
        <v>1078</v>
      </c>
      <c r="Y902" s="50" t="s">
        <v>3528</v>
      </c>
      <c r="Z902" s="50" t="s">
        <v>3406</v>
      </c>
      <c r="AA902" s="50"/>
    </row>
    <row r="903" spans="1:27" ht="25.5" customHeight="1">
      <c r="A903" s="517" t="s">
        <v>776</v>
      </c>
      <c r="B903" s="51" t="s">
        <v>1155</v>
      </c>
      <c r="C903" s="51" t="s">
        <v>143</v>
      </c>
      <c r="D903" s="51" t="s">
        <v>1083</v>
      </c>
      <c r="E903" s="50">
        <v>10262</v>
      </c>
      <c r="F903" s="50">
        <v>10836</v>
      </c>
      <c r="G903" s="50" t="s">
        <v>3955</v>
      </c>
      <c r="H903" s="50"/>
      <c r="I903" s="105"/>
      <c r="J903" s="50"/>
      <c r="K903" s="50"/>
      <c r="L903" s="50" t="s">
        <v>328</v>
      </c>
      <c r="M903" s="50" t="s">
        <v>1982</v>
      </c>
      <c r="N903" s="50"/>
      <c r="O903" s="50"/>
      <c r="P903" s="50"/>
      <c r="Q903" s="50"/>
      <c r="R903" s="50"/>
      <c r="S903" s="50" t="str">
        <f t="shared" ref="S903:S966" si="95">IF(
    OR(ISBLANK(I903), ISBLANK(O903)),
    "",
    MAX(1, IF(
        NETWORKDAYS(I903, O903) &lt;= 0,
        1,
        NETWORKDAYS(I903, O903) - IF(I903 = O903, 0, 1)
    ))
)</f>
        <v/>
      </c>
      <c r="T903" s="50" t="str">
        <f>IF(
    OR(ISBLANK(O903), ISBLANK(P903)),
    "",
    MAX(1, IF(
        NETWORKDAYS(O903, P903) &lt;= 0,
        1,
        NETWORKDAYS(O903, P903) - IF(O903 = P903, 0, 1)
    ))
)</f>
        <v/>
      </c>
      <c r="U903" s="50" t="str">
        <f t="shared" si="93"/>
        <v/>
      </c>
      <c r="V903" s="50" t="str">
        <f t="shared" si="92"/>
        <v/>
      </c>
      <c r="W903" s="50"/>
      <c r="X903" s="50"/>
      <c r="Y903" s="50"/>
      <c r="Z903" s="50"/>
      <c r="AA903" s="50"/>
    </row>
    <row r="904" spans="1:27" ht="25.5" customHeight="1">
      <c r="A904" s="517" t="s">
        <v>776</v>
      </c>
      <c r="B904" s="51" t="s">
        <v>1155</v>
      </c>
      <c r="C904" s="51" t="s">
        <v>143</v>
      </c>
      <c r="D904" s="51" t="s">
        <v>4453</v>
      </c>
      <c r="E904" s="50">
        <v>6423</v>
      </c>
      <c r="F904" s="50">
        <v>6128</v>
      </c>
      <c r="G904" s="50" t="s">
        <v>3404</v>
      </c>
      <c r="H904" s="50">
        <v>2025</v>
      </c>
      <c r="I904" s="132">
        <v>45937</v>
      </c>
      <c r="J904" s="50" t="s">
        <v>3129</v>
      </c>
      <c r="K904" s="50" t="s">
        <v>388</v>
      </c>
      <c r="L904" s="50" t="s">
        <v>1838</v>
      </c>
      <c r="M904" s="50" t="s">
        <v>1982</v>
      </c>
      <c r="N904" s="50" t="s">
        <v>4454</v>
      </c>
      <c r="O904" s="60">
        <v>45939</v>
      </c>
      <c r="P904" s="60">
        <v>45945</v>
      </c>
      <c r="Q904" s="60">
        <v>45946</v>
      </c>
      <c r="R904" s="60">
        <v>45950</v>
      </c>
      <c r="S904" s="50">
        <f t="shared" si="95"/>
        <v>2</v>
      </c>
      <c r="T904" s="50">
        <f>IF(
    OR(ISBLANK(P904), ISBLANK(Q904)),
    "",
    MAX(1, IF(
        NETWORKDAYS(P904, Q904) &lt;= 0,
        1,
        NETWORKDAYS(P904, Q904) - IF(P904 = Q904, 0, 1)
    ))
)</f>
        <v>1</v>
      </c>
      <c r="U904" s="50">
        <f t="shared" si="93"/>
        <v>1</v>
      </c>
      <c r="V904" s="50">
        <f t="shared" si="92"/>
        <v>2</v>
      </c>
      <c r="W904" s="50" t="s">
        <v>150</v>
      </c>
      <c r="X904" s="50" t="s">
        <v>1078</v>
      </c>
      <c r="Y904" s="50" t="s">
        <v>3528</v>
      </c>
      <c r="Z904" s="50" t="s">
        <v>3406</v>
      </c>
      <c r="AA904" s="50"/>
    </row>
    <row r="905" spans="1:27" ht="25.5" customHeight="1">
      <c r="A905" s="517" t="s">
        <v>776</v>
      </c>
      <c r="B905" s="51" t="s">
        <v>1155</v>
      </c>
      <c r="C905" s="51" t="s">
        <v>143</v>
      </c>
      <c r="D905" s="51" t="s">
        <v>4455</v>
      </c>
      <c r="E905" s="50">
        <v>1500</v>
      </c>
      <c r="F905" s="50">
        <v>1804</v>
      </c>
      <c r="G905" s="50" t="s">
        <v>3404</v>
      </c>
      <c r="H905" s="50">
        <v>2025</v>
      </c>
      <c r="I905" s="132">
        <v>45943</v>
      </c>
      <c r="J905" s="50" t="s">
        <v>3129</v>
      </c>
      <c r="K905" s="50" t="s">
        <v>388</v>
      </c>
      <c r="L905" s="50" t="s">
        <v>1838</v>
      </c>
      <c r="M905" s="50" t="s">
        <v>1982</v>
      </c>
      <c r="N905" s="50" t="s">
        <v>4456</v>
      </c>
      <c r="O905" s="60">
        <v>45946</v>
      </c>
      <c r="P905" s="60">
        <v>45947</v>
      </c>
      <c r="Q905" s="60">
        <v>45949</v>
      </c>
      <c r="R905" s="60">
        <v>45950</v>
      </c>
      <c r="S905" s="50">
        <f t="shared" si="95"/>
        <v>3</v>
      </c>
      <c r="T905" s="50">
        <f>IF(
    OR(ISBLANK(P905), ISBLANK(Q905)),
    "",
    MAX(1, IF(
        NETWORKDAYS(P905, Q905) &lt;= 0,
        1,
        NETWORKDAYS(P905, Q905) - IF(P905 = Q905, 0, 1)
    ))
)</f>
        <v>1</v>
      </c>
      <c r="U905" s="50">
        <f t="shared" si="93"/>
        <v>1</v>
      </c>
      <c r="V905" s="50">
        <f t="shared" si="92"/>
        <v>1</v>
      </c>
      <c r="W905" s="50" t="s">
        <v>150</v>
      </c>
      <c r="X905" s="50" t="s">
        <v>1078</v>
      </c>
      <c r="Y905" s="50" t="s">
        <v>3528</v>
      </c>
      <c r="Z905" s="50" t="s">
        <v>3406</v>
      </c>
      <c r="AA905" s="50"/>
    </row>
    <row r="906" spans="1:27" ht="25.5" customHeight="1">
      <c r="A906" s="517" t="s">
        <v>776</v>
      </c>
      <c r="B906" s="51" t="s">
        <v>1155</v>
      </c>
      <c r="C906" s="51" t="s">
        <v>143</v>
      </c>
      <c r="D906" s="51" t="s">
        <v>4457</v>
      </c>
      <c r="E906" s="50">
        <v>1372</v>
      </c>
      <c r="F906" s="50">
        <v>1135</v>
      </c>
      <c r="G906" s="50" t="s">
        <v>3404</v>
      </c>
      <c r="H906" s="50">
        <v>2025</v>
      </c>
      <c r="I906" s="132">
        <v>45943</v>
      </c>
      <c r="J906" s="50" t="s">
        <v>3129</v>
      </c>
      <c r="K906" s="50" t="s">
        <v>388</v>
      </c>
      <c r="L906" s="50" t="s">
        <v>1838</v>
      </c>
      <c r="M906" s="50" t="s">
        <v>1982</v>
      </c>
      <c r="N906" s="50" t="s">
        <v>4458</v>
      </c>
      <c r="O906" s="60">
        <v>45946</v>
      </c>
      <c r="P906" s="60">
        <v>45947</v>
      </c>
      <c r="Q906" s="60">
        <v>45949</v>
      </c>
      <c r="R906" s="60">
        <v>45950</v>
      </c>
      <c r="S906" s="50">
        <f t="shared" si="95"/>
        <v>3</v>
      </c>
      <c r="T906" s="50">
        <f>IF(
    OR(ISBLANK(P906), ISBLANK(Q906)),
    "",
    MAX(1, IF(
        NETWORKDAYS(P906, Q906) &lt;= 0,
        1,
        NETWORKDAYS(P906, Q906) - IF(P906 = Q906, 0, 1)
    ))
)</f>
        <v>1</v>
      </c>
      <c r="U906" s="50">
        <f t="shared" si="93"/>
        <v>1</v>
      </c>
      <c r="V906" s="50">
        <f t="shared" si="92"/>
        <v>1</v>
      </c>
      <c r="W906" s="50" t="s">
        <v>150</v>
      </c>
      <c r="X906" s="50" t="s">
        <v>1078</v>
      </c>
      <c r="Y906" s="50" t="s">
        <v>3528</v>
      </c>
      <c r="Z906" s="50" t="s">
        <v>3406</v>
      </c>
      <c r="AA906" s="50"/>
    </row>
    <row r="907" spans="1:27" ht="25.5" customHeight="1">
      <c r="A907" s="517" t="s">
        <v>776</v>
      </c>
      <c r="B907" s="51" t="s">
        <v>1155</v>
      </c>
      <c r="C907" s="51" t="s">
        <v>143</v>
      </c>
      <c r="D907" s="51" t="s">
        <v>4459</v>
      </c>
      <c r="E907" s="50">
        <v>1347</v>
      </c>
      <c r="F907" s="50">
        <v>1485</v>
      </c>
      <c r="G907" s="50" t="s">
        <v>3404</v>
      </c>
      <c r="H907" s="50">
        <v>2025</v>
      </c>
      <c r="I907" s="132">
        <v>45943</v>
      </c>
      <c r="J907" s="50" t="s">
        <v>3129</v>
      </c>
      <c r="K907" s="50" t="s">
        <v>388</v>
      </c>
      <c r="L907" s="50" t="s">
        <v>1838</v>
      </c>
      <c r="M907" s="50" t="s">
        <v>1982</v>
      </c>
      <c r="N907" s="50" t="s">
        <v>4460</v>
      </c>
      <c r="O907" s="60">
        <v>45946</v>
      </c>
      <c r="P907" s="60">
        <v>45947</v>
      </c>
      <c r="Q907" s="60">
        <v>45949</v>
      </c>
      <c r="R907" s="60">
        <v>45950</v>
      </c>
      <c r="S907" s="50">
        <f t="shared" si="95"/>
        <v>3</v>
      </c>
      <c r="T907" s="50">
        <f>IF(
    OR(ISBLANK(P907), ISBLANK(Q907)),
    "",
    MAX(1, IF(
        NETWORKDAYS(P907, Q907) &lt;= 0,
        1,
        NETWORKDAYS(P907, Q907) - IF(P907 = Q907, 0, 1)
    ))
)</f>
        <v>1</v>
      </c>
      <c r="U907" s="50">
        <f t="shared" si="93"/>
        <v>1</v>
      </c>
      <c r="V907" s="50">
        <f t="shared" si="92"/>
        <v>1</v>
      </c>
      <c r="W907" s="50" t="s">
        <v>150</v>
      </c>
      <c r="X907" s="50" t="s">
        <v>1078</v>
      </c>
      <c r="Y907" s="50" t="s">
        <v>3528</v>
      </c>
      <c r="Z907" s="50" t="s">
        <v>3406</v>
      </c>
      <c r="AA907" s="50"/>
    </row>
    <row r="908" spans="1:27" s="110" customFormat="1" ht="25.5" customHeight="1">
      <c r="A908" s="517" t="s">
        <v>776</v>
      </c>
      <c r="B908" s="51" t="s">
        <v>1155</v>
      </c>
      <c r="C908" s="51" t="s">
        <v>143</v>
      </c>
      <c r="D908" s="51" t="s">
        <v>4461</v>
      </c>
      <c r="E908" s="50">
        <v>3340</v>
      </c>
      <c r="F908" s="50">
        <v>3634</v>
      </c>
      <c r="G908" s="50" t="s">
        <v>3955</v>
      </c>
      <c r="H908" s="50"/>
      <c r="I908" s="105"/>
      <c r="J908" s="50"/>
      <c r="K908" s="50"/>
      <c r="L908" s="50" t="s">
        <v>328</v>
      </c>
      <c r="M908" s="50" t="s">
        <v>1982</v>
      </c>
      <c r="N908" s="50"/>
      <c r="O908" s="50"/>
      <c r="P908" s="50"/>
      <c r="Q908" s="50"/>
      <c r="R908" s="50"/>
      <c r="S908" s="50" t="str">
        <f t="shared" si="95"/>
        <v/>
      </c>
      <c r="T908" s="50" t="str">
        <f>IF(
    OR(ISBLANK(O908), ISBLANK(P908)),
    "",
    MAX(1, IF(
        NETWORKDAYS(O908, P908) &lt;= 0,
        1,
        NETWORKDAYS(O908, P908) - IF(O908 = P908, 0, 1)
    ))
)</f>
        <v/>
      </c>
      <c r="U908" s="50" t="str">
        <f t="shared" si="93"/>
        <v/>
      </c>
      <c r="V908" s="50" t="str">
        <f t="shared" si="92"/>
        <v/>
      </c>
      <c r="W908" s="50"/>
      <c r="X908" s="50"/>
      <c r="Y908" s="50"/>
      <c r="Z908" s="50"/>
      <c r="AA908" s="50"/>
    </row>
    <row r="909" spans="1:27" ht="25.5" customHeight="1">
      <c r="A909" s="517" t="s">
        <v>776</v>
      </c>
      <c r="B909" s="51" t="s">
        <v>1155</v>
      </c>
      <c r="C909" s="51" t="s">
        <v>143</v>
      </c>
      <c r="D909" s="51" t="s">
        <v>4462</v>
      </c>
      <c r="E909" s="50">
        <v>850</v>
      </c>
      <c r="F909" s="50">
        <v>871</v>
      </c>
      <c r="G909" s="50" t="s">
        <v>3404</v>
      </c>
      <c r="H909" s="50">
        <v>2025</v>
      </c>
      <c r="I909" s="132">
        <v>45943</v>
      </c>
      <c r="J909" s="50" t="s">
        <v>3129</v>
      </c>
      <c r="K909" s="50" t="s">
        <v>388</v>
      </c>
      <c r="L909" s="50" t="s">
        <v>1838</v>
      </c>
      <c r="M909" s="50" t="s">
        <v>1982</v>
      </c>
      <c r="N909" s="50" t="s">
        <v>4463</v>
      </c>
      <c r="O909" s="60">
        <v>45946</v>
      </c>
      <c r="P909" s="60">
        <v>45947</v>
      </c>
      <c r="Q909" s="60">
        <v>45950</v>
      </c>
      <c r="R909" s="60">
        <v>45950</v>
      </c>
      <c r="S909" s="50">
        <f t="shared" si="95"/>
        <v>3</v>
      </c>
      <c r="T909" s="50">
        <f>IF(
    OR(ISBLANK(P909), ISBLANK(Q909)),
    "",
    MAX(1, IF(
        NETWORKDAYS(P909, Q909) &lt;= 0,
        1,
        NETWORKDAYS(P909, Q909) - IF(P909 = Q909, 0, 1)
    ))
)</f>
        <v>1</v>
      </c>
      <c r="U909" s="50">
        <f t="shared" si="93"/>
        <v>1</v>
      </c>
      <c r="V909" s="50">
        <f t="shared" si="92"/>
        <v>1</v>
      </c>
      <c r="W909" s="50" t="s">
        <v>150</v>
      </c>
      <c r="X909" s="50" t="s">
        <v>1078</v>
      </c>
      <c r="Y909" s="50" t="s">
        <v>3528</v>
      </c>
      <c r="Z909" s="50" t="s">
        <v>3406</v>
      </c>
      <c r="AA909" s="50"/>
    </row>
    <row r="910" spans="1:27" ht="25.5" customHeight="1">
      <c r="A910" s="517" t="s">
        <v>776</v>
      </c>
      <c r="B910" s="51" t="s">
        <v>1155</v>
      </c>
      <c r="C910" s="51" t="s">
        <v>143</v>
      </c>
      <c r="D910" s="51" t="s">
        <v>4464</v>
      </c>
      <c r="E910" s="50">
        <v>2228</v>
      </c>
      <c r="F910" s="50">
        <v>1910</v>
      </c>
      <c r="G910" s="50" t="s">
        <v>3404</v>
      </c>
      <c r="H910" s="50">
        <v>2025</v>
      </c>
      <c r="I910" s="132">
        <v>45943</v>
      </c>
      <c r="J910" s="50" t="s">
        <v>3129</v>
      </c>
      <c r="K910" s="50" t="s">
        <v>388</v>
      </c>
      <c r="L910" s="50" t="s">
        <v>1838</v>
      </c>
      <c r="M910" s="50" t="s">
        <v>1982</v>
      </c>
      <c r="N910" s="50" t="s">
        <v>4465</v>
      </c>
      <c r="O910" s="60">
        <v>45946</v>
      </c>
      <c r="P910" s="60">
        <v>45947</v>
      </c>
      <c r="Q910" s="60">
        <v>45950</v>
      </c>
      <c r="R910" s="60">
        <v>45950</v>
      </c>
      <c r="S910" s="50">
        <f t="shared" si="95"/>
        <v>3</v>
      </c>
      <c r="T910" s="50">
        <f>IF(
    OR(ISBLANK(P910), ISBLANK(Q910)),
    "",
    MAX(1, IF(
        NETWORKDAYS(P910, Q910) &lt;= 0,
        1,
        NETWORKDAYS(P910, Q910) - IF(P910 = Q910, 0, 1)
    ))
)</f>
        <v>1</v>
      </c>
      <c r="U910" s="50">
        <f t="shared" si="93"/>
        <v>1</v>
      </c>
      <c r="V910" s="50">
        <f t="shared" si="92"/>
        <v>1</v>
      </c>
      <c r="W910" s="50" t="s">
        <v>150</v>
      </c>
      <c r="X910" s="50" t="s">
        <v>1078</v>
      </c>
      <c r="Y910" s="50" t="s">
        <v>3528</v>
      </c>
      <c r="Z910" s="50" t="s">
        <v>3406</v>
      </c>
      <c r="AA910" s="50"/>
    </row>
    <row r="911" spans="1:27" ht="25.5" customHeight="1">
      <c r="A911" s="517" t="s">
        <v>776</v>
      </c>
      <c r="B911" s="51" t="s">
        <v>1155</v>
      </c>
      <c r="C911" s="51" t="s">
        <v>143</v>
      </c>
      <c r="D911" s="51" t="s">
        <v>4466</v>
      </c>
      <c r="E911" s="50">
        <v>2023</v>
      </c>
      <c r="F911" s="50">
        <v>2001</v>
      </c>
      <c r="G911" s="50" t="s">
        <v>3955</v>
      </c>
      <c r="H911" s="50"/>
      <c r="I911" s="105"/>
      <c r="J911" s="50"/>
      <c r="K911" s="50"/>
      <c r="L911" s="50" t="s">
        <v>328</v>
      </c>
      <c r="M911" s="50" t="s">
        <v>1982</v>
      </c>
      <c r="N911" s="50"/>
      <c r="O911" s="50"/>
      <c r="P911" s="50"/>
      <c r="Q911" s="50"/>
      <c r="R911" s="50"/>
      <c r="S911" s="50" t="str">
        <f t="shared" si="95"/>
        <v/>
      </c>
      <c r="T911" s="50" t="str">
        <f t="shared" ref="T911:T936" si="96">IF(
    OR(ISBLANK(O911), ISBLANK(P911)),
    "",
    MAX(1, IF(
        NETWORKDAYS(O911, P911) &lt;= 0,
        1,
        NETWORKDAYS(O911, P911) - IF(O911 = P911, 0, 1)
    ))
)</f>
        <v/>
      </c>
      <c r="U911" s="50" t="str">
        <f t="shared" ref="U911:U936" si="97">IF(
    OR(ISBLANK(P911), ISBLANK(Q911)),
    "",
    MAX(1, IF(
        NETWORKDAYS(P911, Q911) &lt;= 0,
        1,
        NETWORKDAYS(P911, Q911) - IF(P911 = Q911, 0, 1)
    ))
)</f>
        <v/>
      </c>
      <c r="V911" s="50" t="str">
        <f t="shared" si="92"/>
        <v/>
      </c>
      <c r="W911" s="50"/>
      <c r="X911" s="50"/>
      <c r="Y911" s="50"/>
      <c r="Z911" s="50"/>
      <c r="AA911" s="50"/>
    </row>
    <row r="912" spans="1:27" ht="25.5" customHeight="1">
      <c r="A912" s="517" t="s">
        <v>776</v>
      </c>
      <c r="B912" s="51" t="s">
        <v>1155</v>
      </c>
      <c r="C912" s="51" t="s">
        <v>143</v>
      </c>
      <c r="D912" s="51" t="s">
        <v>4398</v>
      </c>
      <c r="E912" s="50">
        <v>1346</v>
      </c>
      <c r="F912" s="50">
        <v>1383</v>
      </c>
      <c r="G912" s="50" t="s">
        <v>3955</v>
      </c>
      <c r="H912" s="50"/>
      <c r="I912" s="105"/>
      <c r="J912" s="50"/>
      <c r="K912" s="50"/>
      <c r="L912" s="50" t="s">
        <v>328</v>
      </c>
      <c r="M912" s="50" t="s">
        <v>1982</v>
      </c>
      <c r="N912" s="50"/>
      <c r="O912" s="50"/>
      <c r="P912" s="50"/>
      <c r="Q912" s="50"/>
      <c r="R912" s="50"/>
      <c r="S912" s="50" t="str">
        <f t="shared" si="95"/>
        <v/>
      </c>
      <c r="T912" s="50" t="str">
        <f t="shared" si="96"/>
        <v/>
      </c>
      <c r="U912" s="50" t="str">
        <f t="shared" si="97"/>
        <v/>
      </c>
      <c r="V912" s="50" t="str">
        <f t="shared" si="92"/>
        <v/>
      </c>
      <c r="W912" s="50"/>
      <c r="X912" s="50"/>
      <c r="Y912" s="50"/>
      <c r="Z912" s="50"/>
      <c r="AA912" s="50"/>
    </row>
    <row r="913" spans="1:27" ht="25.5" customHeight="1">
      <c r="A913" s="517" t="s">
        <v>776</v>
      </c>
      <c r="B913" s="51" t="s">
        <v>1155</v>
      </c>
      <c r="C913" s="51" t="s">
        <v>143</v>
      </c>
      <c r="D913" s="51" t="s">
        <v>4467</v>
      </c>
      <c r="E913" s="50">
        <v>3667</v>
      </c>
      <c r="F913" s="50">
        <v>4168</v>
      </c>
      <c r="G913" s="50" t="s">
        <v>3955</v>
      </c>
      <c r="H913" s="50"/>
      <c r="I913" s="105"/>
      <c r="J913" s="50"/>
      <c r="K913" s="50"/>
      <c r="L913" s="50" t="s">
        <v>328</v>
      </c>
      <c r="M913" s="50" t="s">
        <v>1982</v>
      </c>
      <c r="N913" s="50"/>
      <c r="O913" s="50"/>
      <c r="P913" s="50"/>
      <c r="Q913" s="50"/>
      <c r="R913" s="50"/>
      <c r="S913" s="50" t="str">
        <f t="shared" si="95"/>
        <v/>
      </c>
      <c r="T913" s="50" t="str">
        <f t="shared" si="96"/>
        <v/>
      </c>
      <c r="U913" s="50" t="str">
        <f t="shared" si="97"/>
        <v/>
      </c>
      <c r="V913" s="50" t="str">
        <f t="shared" si="92"/>
        <v/>
      </c>
      <c r="W913" s="50"/>
      <c r="X913" s="50"/>
      <c r="Y913" s="50"/>
      <c r="Z913" s="50"/>
      <c r="AA913" s="50"/>
    </row>
    <row r="914" spans="1:27" ht="25.5" customHeight="1">
      <c r="A914" s="517" t="s">
        <v>776</v>
      </c>
      <c r="B914" s="51" t="s">
        <v>1155</v>
      </c>
      <c r="C914" s="51" t="s">
        <v>143</v>
      </c>
      <c r="D914" s="51" t="s">
        <v>4468</v>
      </c>
      <c r="E914" s="50">
        <v>4123</v>
      </c>
      <c r="F914" s="50">
        <v>4940</v>
      </c>
      <c r="G914" s="50" t="s">
        <v>3955</v>
      </c>
      <c r="H914" s="50"/>
      <c r="I914" s="105"/>
      <c r="J914" s="50"/>
      <c r="K914" s="50"/>
      <c r="L914" s="50" t="s">
        <v>328</v>
      </c>
      <c r="M914" s="50" t="s">
        <v>1982</v>
      </c>
      <c r="N914" s="50"/>
      <c r="O914" s="50"/>
      <c r="P914" s="50"/>
      <c r="Q914" s="50"/>
      <c r="R914" s="50"/>
      <c r="S914" s="50" t="str">
        <f t="shared" si="95"/>
        <v/>
      </c>
      <c r="T914" s="50" t="str">
        <f t="shared" si="96"/>
        <v/>
      </c>
      <c r="U914" s="50" t="str">
        <f t="shared" si="97"/>
        <v/>
      </c>
      <c r="V914" s="50" t="str">
        <f t="shared" si="92"/>
        <v/>
      </c>
      <c r="W914" s="50"/>
      <c r="X914" s="50"/>
      <c r="Y914" s="50"/>
      <c r="Z914" s="50"/>
      <c r="AA914" s="50"/>
    </row>
    <row r="915" spans="1:27" ht="25.5" customHeight="1">
      <c r="A915" s="517" t="s">
        <v>776</v>
      </c>
      <c r="B915" s="51" t="s">
        <v>1155</v>
      </c>
      <c r="C915" s="51" t="s">
        <v>143</v>
      </c>
      <c r="D915" s="51" t="s">
        <v>4469</v>
      </c>
      <c r="E915" s="50">
        <v>3284</v>
      </c>
      <c r="F915" s="50">
        <v>3958</v>
      </c>
      <c r="G915" s="50" t="s">
        <v>3955</v>
      </c>
      <c r="H915" s="50"/>
      <c r="I915" s="105"/>
      <c r="J915" s="50"/>
      <c r="K915" s="50"/>
      <c r="L915" s="50" t="s">
        <v>328</v>
      </c>
      <c r="M915" s="50" t="s">
        <v>1982</v>
      </c>
      <c r="N915" s="50"/>
      <c r="O915" s="50"/>
      <c r="P915" s="50"/>
      <c r="Q915" s="50"/>
      <c r="R915" s="50"/>
      <c r="S915" s="50" t="str">
        <f t="shared" si="95"/>
        <v/>
      </c>
      <c r="T915" s="50" t="str">
        <f t="shared" si="96"/>
        <v/>
      </c>
      <c r="U915" s="50" t="str">
        <f t="shared" si="97"/>
        <v/>
      </c>
      <c r="V915" s="50" t="str">
        <f t="shared" si="92"/>
        <v/>
      </c>
      <c r="W915" s="50"/>
      <c r="X915" s="50"/>
      <c r="Y915" s="50"/>
      <c r="Z915" s="50"/>
      <c r="AA915" s="50"/>
    </row>
    <row r="916" spans="1:27" ht="25.5" customHeight="1">
      <c r="A916" s="517" t="s">
        <v>776</v>
      </c>
      <c r="B916" s="51" t="s">
        <v>1155</v>
      </c>
      <c r="C916" s="51" t="s">
        <v>143</v>
      </c>
      <c r="D916" s="51" t="s">
        <v>4298</v>
      </c>
      <c r="E916" s="50">
        <v>1101</v>
      </c>
      <c r="F916" s="50">
        <v>1043</v>
      </c>
      <c r="G916" s="50" t="s">
        <v>3955</v>
      </c>
      <c r="H916" s="50"/>
      <c r="I916" s="105"/>
      <c r="J916" s="50"/>
      <c r="K916" s="50"/>
      <c r="L916" s="50" t="s">
        <v>328</v>
      </c>
      <c r="M916" s="50" t="s">
        <v>1982</v>
      </c>
      <c r="N916" s="50"/>
      <c r="O916" s="50"/>
      <c r="P916" s="50"/>
      <c r="Q916" s="50"/>
      <c r="R916" s="50"/>
      <c r="S916" s="50" t="str">
        <f t="shared" si="95"/>
        <v/>
      </c>
      <c r="T916" s="50" t="str">
        <f t="shared" si="96"/>
        <v/>
      </c>
      <c r="U916" s="50" t="str">
        <f t="shared" si="97"/>
        <v/>
      </c>
      <c r="V916" s="50" t="str">
        <f t="shared" si="92"/>
        <v/>
      </c>
      <c r="W916" s="50"/>
      <c r="X916" s="50"/>
      <c r="Y916" s="50"/>
      <c r="Z916" s="50"/>
      <c r="AA916" s="50"/>
    </row>
    <row r="917" spans="1:27" ht="25.5" customHeight="1">
      <c r="A917" s="50" t="s">
        <v>776</v>
      </c>
      <c r="B917" s="51" t="s">
        <v>1155</v>
      </c>
      <c r="C917" s="51" t="s">
        <v>143</v>
      </c>
      <c r="D917" s="51" t="s">
        <v>4470</v>
      </c>
      <c r="E917" s="50">
        <v>997</v>
      </c>
      <c r="F917" s="50">
        <v>1118</v>
      </c>
      <c r="G917" s="50" t="s">
        <v>3404</v>
      </c>
      <c r="H917" s="50">
        <v>2024</v>
      </c>
      <c r="I917" s="518">
        <v>45812</v>
      </c>
      <c r="J917" s="50"/>
      <c r="K917" s="50"/>
      <c r="L917" s="50" t="s">
        <v>328</v>
      </c>
      <c r="M917" s="50" t="s">
        <v>1982</v>
      </c>
      <c r="N917" s="50"/>
      <c r="O917" s="50"/>
      <c r="P917" s="50"/>
      <c r="Q917" s="50"/>
      <c r="R917" s="50"/>
      <c r="S917" s="50" t="str">
        <f t="shared" si="95"/>
        <v/>
      </c>
      <c r="T917" s="50" t="str">
        <f t="shared" si="96"/>
        <v/>
      </c>
      <c r="U917" s="50" t="str">
        <f t="shared" si="97"/>
        <v/>
      </c>
      <c r="V917" s="50" t="str">
        <f t="shared" si="92"/>
        <v/>
      </c>
      <c r="W917" s="50"/>
      <c r="X917" s="50"/>
      <c r="Y917" s="50"/>
      <c r="Z917" s="50" t="s">
        <v>3406</v>
      </c>
      <c r="AA917" s="50"/>
    </row>
    <row r="918" spans="1:27" s="110" customFormat="1" ht="25.5" customHeight="1">
      <c r="A918" s="517" t="s">
        <v>776</v>
      </c>
      <c r="B918" s="51" t="s">
        <v>1155</v>
      </c>
      <c r="C918" s="51" t="s">
        <v>143</v>
      </c>
      <c r="D918" s="51" t="s">
        <v>4471</v>
      </c>
      <c r="E918" s="50">
        <v>3750</v>
      </c>
      <c r="F918" s="50">
        <v>3789</v>
      </c>
      <c r="G918" s="50" t="s">
        <v>3955</v>
      </c>
      <c r="H918" s="50"/>
      <c r="I918" s="105"/>
      <c r="J918" s="50"/>
      <c r="K918" s="50"/>
      <c r="L918" s="50" t="s">
        <v>328</v>
      </c>
      <c r="M918" s="50" t="s">
        <v>1982</v>
      </c>
      <c r="N918" s="50"/>
      <c r="O918" s="50"/>
      <c r="P918" s="50"/>
      <c r="Q918" s="50"/>
      <c r="R918" s="50"/>
      <c r="S918" s="50" t="str">
        <f t="shared" si="95"/>
        <v/>
      </c>
      <c r="T918" s="50" t="str">
        <f t="shared" si="96"/>
        <v/>
      </c>
      <c r="U918" s="50" t="str">
        <f t="shared" si="97"/>
        <v/>
      </c>
      <c r="V918" s="50" t="str">
        <f t="shared" si="92"/>
        <v/>
      </c>
      <c r="W918" s="50"/>
      <c r="X918" s="50"/>
      <c r="Y918" s="50"/>
      <c r="Z918" s="50"/>
      <c r="AA918" s="50"/>
    </row>
    <row r="919" spans="1:27" ht="25.5" customHeight="1">
      <c r="A919" s="517" t="s">
        <v>776</v>
      </c>
      <c r="B919" s="51" t="s">
        <v>1155</v>
      </c>
      <c r="C919" s="51" t="s">
        <v>143</v>
      </c>
      <c r="D919" s="51" t="s">
        <v>4404</v>
      </c>
      <c r="E919" s="50">
        <v>955</v>
      </c>
      <c r="F919" s="50">
        <v>1107</v>
      </c>
      <c r="G919" s="50" t="s">
        <v>3955</v>
      </c>
      <c r="H919" s="50"/>
      <c r="I919" s="105"/>
      <c r="J919" s="50"/>
      <c r="K919" s="50"/>
      <c r="L919" s="50" t="s">
        <v>328</v>
      </c>
      <c r="M919" s="50" t="s">
        <v>1982</v>
      </c>
      <c r="N919" s="50"/>
      <c r="O919" s="50"/>
      <c r="P919" s="50"/>
      <c r="Q919" s="50"/>
      <c r="R919" s="50"/>
      <c r="S919" s="50" t="str">
        <f t="shared" si="95"/>
        <v/>
      </c>
      <c r="T919" s="50" t="str">
        <f t="shared" si="96"/>
        <v/>
      </c>
      <c r="U919" s="50" t="str">
        <f t="shared" si="97"/>
        <v/>
      </c>
      <c r="V919" s="50" t="str">
        <f t="shared" si="92"/>
        <v/>
      </c>
      <c r="W919" s="50"/>
      <c r="X919" s="50"/>
      <c r="Y919" s="50"/>
      <c r="Z919" s="50"/>
      <c r="AA919" s="50"/>
    </row>
    <row r="920" spans="1:27" ht="25.5" customHeight="1">
      <c r="A920" s="517" t="s">
        <v>776</v>
      </c>
      <c r="B920" s="51" t="s">
        <v>1155</v>
      </c>
      <c r="C920" s="51" t="s">
        <v>143</v>
      </c>
      <c r="D920" s="51" t="s">
        <v>4472</v>
      </c>
      <c r="E920" s="50">
        <v>818</v>
      </c>
      <c r="F920" s="50">
        <v>911</v>
      </c>
      <c r="G920" s="50" t="s">
        <v>3955</v>
      </c>
      <c r="H920" s="50"/>
      <c r="I920" s="105"/>
      <c r="J920" s="50"/>
      <c r="K920" s="50"/>
      <c r="L920" s="50" t="s">
        <v>328</v>
      </c>
      <c r="M920" s="50" t="s">
        <v>1982</v>
      </c>
      <c r="N920" s="50"/>
      <c r="O920" s="50"/>
      <c r="P920" s="50"/>
      <c r="Q920" s="50"/>
      <c r="R920" s="50"/>
      <c r="S920" s="50" t="str">
        <f t="shared" si="95"/>
        <v/>
      </c>
      <c r="T920" s="50" t="str">
        <f t="shared" si="96"/>
        <v/>
      </c>
      <c r="U920" s="50" t="str">
        <f t="shared" si="97"/>
        <v/>
      </c>
      <c r="V920" s="50" t="str">
        <f t="shared" si="92"/>
        <v/>
      </c>
      <c r="W920" s="50"/>
      <c r="X920" s="50"/>
      <c r="Y920" s="50"/>
      <c r="Z920" s="50"/>
      <c r="AA920" s="50"/>
    </row>
    <row r="921" spans="1:27" ht="25.5" customHeight="1">
      <c r="A921" s="517" t="s">
        <v>776</v>
      </c>
      <c r="B921" s="51" t="s">
        <v>1155</v>
      </c>
      <c r="C921" s="51" t="s">
        <v>143</v>
      </c>
      <c r="D921" s="51" t="s">
        <v>4473</v>
      </c>
      <c r="E921" s="50">
        <v>1459</v>
      </c>
      <c r="F921" s="50">
        <v>1492</v>
      </c>
      <c r="G921" s="50" t="s">
        <v>3955</v>
      </c>
      <c r="H921" s="50"/>
      <c r="I921" s="105"/>
      <c r="J921" s="50"/>
      <c r="K921" s="50"/>
      <c r="L921" s="50" t="s">
        <v>328</v>
      </c>
      <c r="M921" s="50" t="s">
        <v>1982</v>
      </c>
      <c r="N921" s="50"/>
      <c r="O921" s="50"/>
      <c r="P921" s="50"/>
      <c r="Q921" s="50"/>
      <c r="R921" s="50"/>
      <c r="S921" s="50" t="str">
        <f t="shared" si="95"/>
        <v/>
      </c>
      <c r="T921" s="50" t="str">
        <f t="shared" si="96"/>
        <v/>
      </c>
      <c r="U921" s="50" t="str">
        <f t="shared" si="97"/>
        <v/>
      </c>
      <c r="V921" s="50" t="str">
        <f t="shared" ref="V921:V984" si="98">IF(
    OR(ISBLANK(Q921), ISBLANK(R921)),
    "",
    MAX(1, IF(
        NETWORKDAYS(Q921, R921) &lt;= 0,
        1,
        NETWORKDAYS(Q921, R921) - IF(Q921 = R921, 0, 1)
    ))
)</f>
        <v/>
      </c>
      <c r="W921" s="50"/>
      <c r="X921" s="50"/>
      <c r="Y921" s="50"/>
      <c r="Z921" s="50"/>
      <c r="AA921" s="50"/>
    </row>
    <row r="922" spans="1:27" s="110" customFormat="1" ht="25.5" customHeight="1">
      <c r="A922" s="517" t="s">
        <v>776</v>
      </c>
      <c r="B922" s="51" t="s">
        <v>1155</v>
      </c>
      <c r="C922" s="51" t="s">
        <v>143</v>
      </c>
      <c r="D922" s="51" t="s">
        <v>4474</v>
      </c>
      <c r="E922" s="50">
        <v>1815</v>
      </c>
      <c r="F922" s="50">
        <v>1840</v>
      </c>
      <c r="G922" s="50" t="s">
        <v>3955</v>
      </c>
      <c r="H922" s="50"/>
      <c r="I922" s="105"/>
      <c r="J922" s="50"/>
      <c r="K922" s="50"/>
      <c r="L922" s="50" t="s">
        <v>328</v>
      </c>
      <c r="M922" s="50" t="s">
        <v>1982</v>
      </c>
      <c r="N922" s="50"/>
      <c r="O922" s="50"/>
      <c r="P922" s="50"/>
      <c r="Q922" s="50"/>
      <c r="R922" s="50"/>
      <c r="S922" s="50" t="str">
        <f t="shared" si="95"/>
        <v/>
      </c>
      <c r="T922" s="50" t="str">
        <f t="shared" si="96"/>
        <v/>
      </c>
      <c r="U922" s="50" t="str">
        <f t="shared" si="97"/>
        <v/>
      </c>
      <c r="V922" s="50" t="str">
        <f t="shared" si="98"/>
        <v/>
      </c>
      <c r="W922" s="50"/>
      <c r="X922" s="50"/>
      <c r="Y922" s="50"/>
      <c r="Z922" s="50"/>
      <c r="AA922" s="50"/>
    </row>
    <row r="923" spans="1:27" ht="25.5" customHeight="1">
      <c r="A923" s="517" t="s">
        <v>776</v>
      </c>
      <c r="B923" s="51" t="s">
        <v>1155</v>
      </c>
      <c r="C923" s="51" t="s">
        <v>143</v>
      </c>
      <c r="D923" s="51" t="s">
        <v>1056</v>
      </c>
      <c r="E923" s="50">
        <v>1636</v>
      </c>
      <c r="F923" s="50">
        <v>1640</v>
      </c>
      <c r="G923" s="50" t="s">
        <v>3955</v>
      </c>
      <c r="H923" s="50"/>
      <c r="I923" s="105"/>
      <c r="J923" s="50"/>
      <c r="K923" s="50"/>
      <c r="L923" s="50" t="s">
        <v>328</v>
      </c>
      <c r="M923" s="50" t="s">
        <v>1982</v>
      </c>
      <c r="N923" s="50"/>
      <c r="O923" s="50"/>
      <c r="P923" s="50"/>
      <c r="Q923" s="50"/>
      <c r="R923" s="50"/>
      <c r="S923" s="50" t="str">
        <f t="shared" si="95"/>
        <v/>
      </c>
      <c r="T923" s="50" t="str">
        <f t="shared" si="96"/>
        <v/>
      </c>
      <c r="U923" s="50" t="str">
        <f t="shared" si="97"/>
        <v/>
      </c>
      <c r="V923" s="50" t="str">
        <f t="shared" si="98"/>
        <v/>
      </c>
      <c r="W923" s="50"/>
      <c r="X923" s="50"/>
      <c r="Y923" s="50"/>
      <c r="Z923" s="50"/>
      <c r="AA923" s="50"/>
    </row>
    <row r="924" spans="1:27" ht="25.5" customHeight="1">
      <c r="A924" s="517" t="s">
        <v>776</v>
      </c>
      <c r="B924" s="51" t="s">
        <v>1155</v>
      </c>
      <c r="C924" s="51" t="s">
        <v>143</v>
      </c>
      <c r="D924" s="51" t="s">
        <v>3763</v>
      </c>
      <c r="E924" s="50">
        <v>3488</v>
      </c>
      <c r="F924" s="50">
        <v>3600</v>
      </c>
      <c r="G924" s="50" t="s">
        <v>3955</v>
      </c>
      <c r="H924" s="50"/>
      <c r="I924" s="105"/>
      <c r="J924" s="50"/>
      <c r="K924" s="50"/>
      <c r="L924" s="50" t="s">
        <v>328</v>
      </c>
      <c r="M924" s="50" t="s">
        <v>1982</v>
      </c>
      <c r="N924" s="50"/>
      <c r="O924" s="50"/>
      <c r="P924" s="50"/>
      <c r="Q924" s="50"/>
      <c r="R924" s="50"/>
      <c r="S924" s="50" t="str">
        <f t="shared" si="95"/>
        <v/>
      </c>
      <c r="T924" s="50" t="str">
        <f t="shared" si="96"/>
        <v/>
      </c>
      <c r="U924" s="50" t="str">
        <f t="shared" si="97"/>
        <v/>
      </c>
      <c r="V924" s="50" t="str">
        <f t="shared" si="98"/>
        <v/>
      </c>
      <c r="W924" s="50"/>
      <c r="X924" s="50"/>
      <c r="Y924" s="50"/>
      <c r="Z924" s="50"/>
      <c r="AA924" s="50"/>
    </row>
    <row r="925" spans="1:27" ht="25.5" customHeight="1">
      <c r="A925" s="517" t="s">
        <v>776</v>
      </c>
      <c r="B925" s="51" t="s">
        <v>1155</v>
      </c>
      <c r="C925" s="51" t="s">
        <v>143</v>
      </c>
      <c r="D925" s="51" t="s">
        <v>4439</v>
      </c>
      <c r="E925" s="50">
        <v>1071</v>
      </c>
      <c r="F925" s="50">
        <v>1259</v>
      </c>
      <c r="G925" s="50" t="s">
        <v>3955</v>
      </c>
      <c r="H925" s="50"/>
      <c r="I925" s="105"/>
      <c r="J925" s="50"/>
      <c r="K925" s="50"/>
      <c r="L925" s="50" t="s">
        <v>328</v>
      </c>
      <c r="M925" s="50" t="s">
        <v>1982</v>
      </c>
      <c r="N925" s="50"/>
      <c r="O925" s="50"/>
      <c r="P925" s="50"/>
      <c r="Q925" s="50"/>
      <c r="R925" s="50"/>
      <c r="S925" s="50" t="str">
        <f t="shared" si="95"/>
        <v/>
      </c>
      <c r="T925" s="50" t="str">
        <f t="shared" si="96"/>
        <v/>
      </c>
      <c r="U925" s="50" t="str">
        <f t="shared" si="97"/>
        <v/>
      </c>
      <c r="V925" s="50" t="str">
        <f t="shared" si="98"/>
        <v/>
      </c>
      <c r="W925" s="50"/>
      <c r="X925" s="50"/>
      <c r="Y925" s="50"/>
      <c r="Z925" s="50"/>
      <c r="AA925" s="50"/>
    </row>
    <row r="926" spans="1:27" ht="25.5" customHeight="1">
      <c r="A926" s="517" t="s">
        <v>776</v>
      </c>
      <c r="B926" s="51" t="s">
        <v>1155</v>
      </c>
      <c r="C926" s="51" t="s">
        <v>143</v>
      </c>
      <c r="D926" s="51" t="s">
        <v>4475</v>
      </c>
      <c r="E926" s="50">
        <v>2058</v>
      </c>
      <c r="F926" s="50">
        <v>2442</v>
      </c>
      <c r="G926" s="50" t="s">
        <v>3955</v>
      </c>
      <c r="H926" s="50"/>
      <c r="I926" s="105"/>
      <c r="J926" s="50"/>
      <c r="K926" s="50"/>
      <c r="L926" s="50" t="s">
        <v>328</v>
      </c>
      <c r="M926" s="50" t="s">
        <v>1982</v>
      </c>
      <c r="N926" s="50"/>
      <c r="O926" s="50"/>
      <c r="P926" s="50"/>
      <c r="Q926" s="50"/>
      <c r="R926" s="50"/>
      <c r="S926" s="50" t="str">
        <f t="shared" si="95"/>
        <v/>
      </c>
      <c r="T926" s="50" t="str">
        <f t="shared" si="96"/>
        <v/>
      </c>
      <c r="U926" s="50" t="str">
        <f t="shared" si="97"/>
        <v/>
      </c>
      <c r="V926" s="50" t="str">
        <f t="shared" si="98"/>
        <v/>
      </c>
      <c r="W926" s="50"/>
      <c r="X926" s="50"/>
      <c r="Y926" s="50"/>
      <c r="Z926" s="50"/>
      <c r="AA926" s="50"/>
    </row>
    <row r="927" spans="1:27" s="110" customFormat="1" ht="25.5" customHeight="1">
      <c r="A927" s="50" t="s">
        <v>776</v>
      </c>
      <c r="B927" s="51" t="s">
        <v>1155</v>
      </c>
      <c r="C927" s="51" t="s">
        <v>143</v>
      </c>
      <c r="D927" s="51" t="s">
        <v>4476</v>
      </c>
      <c r="E927" s="50">
        <v>4009</v>
      </c>
      <c r="F927" s="50">
        <v>4480</v>
      </c>
      <c r="G927" s="50" t="s">
        <v>3404</v>
      </c>
      <c r="H927" s="50">
        <v>2024</v>
      </c>
      <c r="I927" s="132">
        <v>45447</v>
      </c>
      <c r="J927" s="50"/>
      <c r="K927" s="50"/>
      <c r="L927" s="50" t="s">
        <v>328</v>
      </c>
      <c r="M927" s="50" t="s">
        <v>1982</v>
      </c>
      <c r="N927" s="50"/>
      <c r="O927" s="50"/>
      <c r="P927" s="50"/>
      <c r="Q927" s="50"/>
      <c r="R927" s="50"/>
      <c r="S927" s="50" t="str">
        <f t="shared" si="95"/>
        <v/>
      </c>
      <c r="T927" s="50" t="str">
        <f t="shared" si="96"/>
        <v/>
      </c>
      <c r="U927" s="50" t="str">
        <f t="shared" si="97"/>
        <v/>
      </c>
      <c r="V927" s="50" t="str">
        <f t="shared" si="98"/>
        <v/>
      </c>
      <c r="W927" s="50"/>
      <c r="X927" s="50"/>
      <c r="Y927" s="50"/>
      <c r="Z927" s="50" t="s">
        <v>3406</v>
      </c>
      <c r="AA927" s="50"/>
    </row>
    <row r="928" spans="1:27" ht="25.5" customHeight="1">
      <c r="A928" s="517" t="s">
        <v>776</v>
      </c>
      <c r="B928" s="51" t="s">
        <v>1155</v>
      </c>
      <c r="C928" s="51" t="s">
        <v>143</v>
      </c>
      <c r="D928" s="51" t="s">
        <v>4126</v>
      </c>
      <c r="E928" s="50">
        <v>1486</v>
      </c>
      <c r="F928" s="50">
        <v>1745</v>
      </c>
      <c r="G928" s="50" t="s">
        <v>3955</v>
      </c>
      <c r="H928" s="50"/>
      <c r="I928" s="105"/>
      <c r="J928" s="50"/>
      <c r="K928" s="50"/>
      <c r="L928" s="50" t="s">
        <v>328</v>
      </c>
      <c r="M928" s="50" t="s">
        <v>1982</v>
      </c>
      <c r="N928" s="50"/>
      <c r="O928" s="50"/>
      <c r="P928" s="50"/>
      <c r="Q928" s="50"/>
      <c r="R928" s="50"/>
      <c r="S928" s="50" t="str">
        <f t="shared" si="95"/>
        <v/>
      </c>
      <c r="T928" s="50" t="str">
        <f t="shared" si="96"/>
        <v/>
      </c>
      <c r="U928" s="50" t="str">
        <f t="shared" si="97"/>
        <v/>
      </c>
      <c r="V928" s="50" t="str">
        <f t="shared" si="98"/>
        <v/>
      </c>
      <c r="W928" s="50"/>
      <c r="X928" s="50"/>
      <c r="Y928" s="50"/>
      <c r="Z928" s="50"/>
      <c r="AA928" s="50"/>
    </row>
    <row r="929" spans="1:27" s="110" customFormat="1" ht="25.5" customHeight="1">
      <c r="A929" s="517" t="s">
        <v>776</v>
      </c>
      <c r="B929" s="51" t="s">
        <v>1155</v>
      </c>
      <c r="C929" s="51" t="s">
        <v>143</v>
      </c>
      <c r="D929" s="51" t="s">
        <v>3974</v>
      </c>
      <c r="E929" s="50">
        <v>8233</v>
      </c>
      <c r="F929" s="50">
        <v>9674</v>
      </c>
      <c r="G929" s="50" t="s">
        <v>3955</v>
      </c>
      <c r="H929" s="50"/>
      <c r="I929" s="105"/>
      <c r="J929" s="50"/>
      <c r="K929" s="50"/>
      <c r="L929" s="50" t="s">
        <v>328</v>
      </c>
      <c r="M929" s="50" t="s">
        <v>1982</v>
      </c>
      <c r="N929" s="50"/>
      <c r="O929" s="50"/>
      <c r="P929" s="50"/>
      <c r="Q929" s="50"/>
      <c r="R929" s="50"/>
      <c r="S929" s="50" t="str">
        <f t="shared" si="95"/>
        <v/>
      </c>
      <c r="T929" s="50" t="str">
        <f t="shared" si="96"/>
        <v/>
      </c>
      <c r="U929" s="50" t="str">
        <f t="shared" si="97"/>
        <v/>
      </c>
      <c r="V929" s="50" t="str">
        <f t="shared" si="98"/>
        <v/>
      </c>
      <c r="W929" s="50"/>
      <c r="X929" s="50"/>
      <c r="Y929" s="50"/>
      <c r="Z929" s="50"/>
      <c r="AA929" s="50"/>
    </row>
    <row r="930" spans="1:27" ht="25.5" customHeight="1">
      <c r="A930" s="517" t="s">
        <v>776</v>
      </c>
      <c r="B930" s="51" t="s">
        <v>1155</v>
      </c>
      <c r="C930" s="51" t="s">
        <v>143</v>
      </c>
      <c r="D930" s="51" t="s">
        <v>4477</v>
      </c>
      <c r="E930" s="50">
        <v>822</v>
      </c>
      <c r="F930" s="50">
        <v>926</v>
      </c>
      <c r="G930" s="50" t="s">
        <v>3955</v>
      </c>
      <c r="H930" s="50"/>
      <c r="I930" s="105"/>
      <c r="J930" s="50"/>
      <c r="K930" s="50"/>
      <c r="L930" s="50" t="s">
        <v>328</v>
      </c>
      <c r="M930" s="50" t="s">
        <v>1982</v>
      </c>
      <c r="N930" s="50"/>
      <c r="O930" s="50"/>
      <c r="P930" s="50"/>
      <c r="Q930" s="50"/>
      <c r="R930" s="50"/>
      <c r="S930" s="50" t="str">
        <f t="shared" si="95"/>
        <v/>
      </c>
      <c r="T930" s="50" t="str">
        <f t="shared" si="96"/>
        <v/>
      </c>
      <c r="U930" s="50" t="str">
        <f t="shared" si="97"/>
        <v/>
      </c>
      <c r="V930" s="50" t="str">
        <f t="shared" si="98"/>
        <v/>
      </c>
      <c r="W930" s="50"/>
      <c r="X930" s="50"/>
      <c r="Y930" s="50"/>
      <c r="Z930" s="50"/>
      <c r="AA930" s="50"/>
    </row>
    <row r="931" spans="1:27" ht="25.5" customHeight="1">
      <c r="A931" s="517" t="s">
        <v>776</v>
      </c>
      <c r="B931" s="51" t="s">
        <v>1155</v>
      </c>
      <c r="C931" s="51" t="s">
        <v>143</v>
      </c>
      <c r="D931" s="51" t="s">
        <v>4478</v>
      </c>
      <c r="E931" s="50">
        <v>3659</v>
      </c>
      <c r="F931" s="50">
        <v>4152</v>
      </c>
      <c r="G931" s="50" t="s">
        <v>3955</v>
      </c>
      <c r="H931" s="50"/>
      <c r="I931" s="105"/>
      <c r="J931" s="50"/>
      <c r="K931" s="50"/>
      <c r="L931" s="50" t="s">
        <v>328</v>
      </c>
      <c r="M931" s="50" t="s">
        <v>1982</v>
      </c>
      <c r="N931" s="50"/>
      <c r="O931" s="50"/>
      <c r="P931" s="50"/>
      <c r="Q931" s="50"/>
      <c r="R931" s="50"/>
      <c r="S931" s="50" t="str">
        <f t="shared" si="95"/>
        <v/>
      </c>
      <c r="T931" s="50" t="str">
        <f t="shared" si="96"/>
        <v/>
      </c>
      <c r="U931" s="50" t="str">
        <f t="shared" si="97"/>
        <v/>
      </c>
      <c r="V931" s="50" t="str">
        <f t="shared" si="98"/>
        <v/>
      </c>
      <c r="W931" s="50"/>
      <c r="X931" s="50"/>
      <c r="Y931" s="50"/>
      <c r="Z931" s="50"/>
      <c r="AA931" s="50"/>
    </row>
    <row r="932" spans="1:27" ht="25.5" customHeight="1">
      <c r="A932" s="50" t="s">
        <v>776</v>
      </c>
      <c r="B932" s="51" t="s">
        <v>1155</v>
      </c>
      <c r="C932" s="51" t="s">
        <v>143</v>
      </c>
      <c r="D932" s="51" t="s">
        <v>4479</v>
      </c>
      <c r="E932" s="50">
        <v>7810</v>
      </c>
      <c r="F932" s="50">
        <v>7719</v>
      </c>
      <c r="G932" s="50" t="s">
        <v>3404</v>
      </c>
      <c r="H932" s="50">
        <v>2024</v>
      </c>
      <c r="I932" s="132">
        <v>45447</v>
      </c>
      <c r="J932" s="50"/>
      <c r="K932" s="50"/>
      <c r="L932" s="50" t="s">
        <v>328</v>
      </c>
      <c r="M932" s="50" t="s">
        <v>1982</v>
      </c>
      <c r="N932" s="50"/>
      <c r="O932" s="50"/>
      <c r="P932" s="50"/>
      <c r="Q932" s="50"/>
      <c r="R932" s="50"/>
      <c r="S932" s="50" t="str">
        <f t="shared" si="95"/>
        <v/>
      </c>
      <c r="T932" s="50" t="str">
        <f t="shared" si="96"/>
        <v/>
      </c>
      <c r="U932" s="50" t="str">
        <f t="shared" si="97"/>
        <v/>
      </c>
      <c r="V932" s="50" t="str">
        <f t="shared" si="98"/>
        <v/>
      </c>
      <c r="W932" s="50"/>
      <c r="X932" s="50"/>
      <c r="Y932" s="50"/>
      <c r="Z932" s="50" t="s">
        <v>3406</v>
      </c>
      <c r="AA932" s="50"/>
    </row>
    <row r="933" spans="1:27" s="110" customFormat="1" ht="25.5" customHeight="1">
      <c r="A933" s="517" t="s">
        <v>776</v>
      </c>
      <c r="B933" s="51" t="s">
        <v>1155</v>
      </c>
      <c r="C933" s="51" t="s">
        <v>143</v>
      </c>
      <c r="D933" s="51" t="s">
        <v>4480</v>
      </c>
      <c r="E933" s="50">
        <v>2381</v>
      </c>
      <c r="F933" s="50">
        <v>2579</v>
      </c>
      <c r="G933" s="50" t="s">
        <v>3955</v>
      </c>
      <c r="H933" s="50"/>
      <c r="I933" s="105"/>
      <c r="J933" s="50"/>
      <c r="K933" s="50"/>
      <c r="L933" s="50" t="s">
        <v>328</v>
      </c>
      <c r="M933" s="50" t="s">
        <v>1982</v>
      </c>
      <c r="N933" s="50"/>
      <c r="O933" s="50"/>
      <c r="P933" s="50"/>
      <c r="Q933" s="50"/>
      <c r="R933" s="50"/>
      <c r="S933" s="50" t="str">
        <f t="shared" si="95"/>
        <v/>
      </c>
      <c r="T933" s="50" t="str">
        <f t="shared" si="96"/>
        <v/>
      </c>
      <c r="U933" s="50" t="str">
        <f t="shared" si="97"/>
        <v/>
      </c>
      <c r="V933" s="50" t="str">
        <f t="shared" si="98"/>
        <v/>
      </c>
      <c r="W933" s="50"/>
      <c r="X933" s="50"/>
      <c r="Y933" s="50"/>
      <c r="Z933" s="50"/>
      <c r="AA933" s="50"/>
    </row>
    <row r="934" spans="1:27" ht="25.5" customHeight="1">
      <c r="A934" s="517" t="s">
        <v>776</v>
      </c>
      <c r="B934" s="51" t="s">
        <v>1155</v>
      </c>
      <c r="C934" s="51" t="s">
        <v>143</v>
      </c>
      <c r="D934" s="51" t="s">
        <v>4481</v>
      </c>
      <c r="E934" s="50">
        <v>2653</v>
      </c>
      <c r="F934" s="50">
        <v>3711</v>
      </c>
      <c r="G934" s="50" t="s">
        <v>3955</v>
      </c>
      <c r="H934" s="50"/>
      <c r="I934" s="105"/>
      <c r="J934" s="50"/>
      <c r="K934" s="50"/>
      <c r="L934" s="50" t="s">
        <v>328</v>
      </c>
      <c r="M934" s="50" t="s">
        <v>1982</v>
      </c>
      <c r="N934" s="50"/>
      <c r="O934" s="50"/>
      <c r="P934" s="50"/>
      <c r="Q934" s="50"/>
      <c r="R934" s="50"/>
      <c r="S934" s="50" t="str">
        <f t="shared" si="95"/>
        <v/>
      </c>
      <c r="T934" s="50" t="str">
        <f t="shared" si="96"/>
        <v/>
      </c>
      <c r="U934" s="50" t="str">
        <f t="shared" si="97"/>
        <v/>
      </c>
      <c r="V934" s="50" t="str">
        <f t="shared" si="98"/>
        <v/>
      </c>
      <c r="W934" s="50"/>
      <c r="X934" s="50"/>
      <c r="Y934" s="50"/>
      <c r="Z934" s="50"/>
      <c r="AA934" s="50"/>
    </row>
    <row r="935" spans="1:27" ht="25.5" customHeight="1">
      <c r="A935" s="517" t="s">
        <v>776</v>
      </c>
      <c r="B935" s="51" t="s">
        <v>1160</v>
      </c>
      <c r="C935" s="51" t="s">
        <v>143</v>
      </c>
      <c r="D935" s="51" t="s">
        <v>4140</v>
      </c>
      <c r="E935" s="50">
        <v>8912</v>
      </c>
      <c r="F935" s="50">
        <v>7839</v>
      </c>
      <c r="G935" s="50" t="s">
        <v>3955</v>
      </c>
      <c r="H935" s="50"/>
      <c r="I935" s="105"/>
      <c r="J935" s="50"/>
      <c r="K935" s="50" t="s">
        <v>508</v>
      </c>
      <c r="L935" s="50" t="s">
        <v>328</v>
      </c>
      <c r="M935" s="50" t="s">
        <v>1982</v>
      </c>
      <c r="N935" s="50"/>
      <c r="O935" s="50"/>
      <c r="P935" s="50"/>
      <c r="Q935" s="50"/>
      <c r="R935" s="50"/>
      <c r="S935" s="50" t="str">
        <f t="shared" si="95"/>
        <v/>
      </c>
      <c r="T935" s="50" t="str">
        <f t="shared" si="96"/>
        <v/>
      </c>
      <c r="U935" s="50" t="str">
        <f t="shared" si="97"/>
        <v/>
      </c>
      <c r="V935" s="50" t="str">
        <f t="shared" si="98"/>
        <v/>
      </c>
      <c r="W935" s="50"/>
      <c r="X935" s="50"/>
      <c r="Y935" s="50"/>
      <c r="Z935" s="50"/>
      <c r="AA935" s="50"/>
    </row>
    <row r="936" spans="1:27" ht="25.5" customHeight="1">
      <c r="A936" s="50" t="s">
        <v>776</v>
      </c>
      <c r="B936" s="51" t="s">
        <v>1160</v>
      </c>
      <c r="C936" s="51" t="s">
        <v>143</v>
      </c>
      <c r="D936" s="51" t="s">
        <v>4482</v>
      </c>
      <c r="E936" s="50">
        <v>7900</v>
      </c>
      <c r="F936" s="50">
        <v>9732</v>
      </c>
      <c r="G936" s="50" t="s">
        <v>3404</v>
      </c>
      <c r="H936" s="50">
        <v>2024</v>
      </c>
      <c r="I936" s="132">
        <v>45545</v>
      </c>
      <c r="J936" s="50"/>
      <c r="K936" s="50" t="s">
        <v>508</v>
      </c>
      <c r="L936" s="50" t="s">
        <v>328</v>
      </c>
      <c r="M936" s="50" t="s">
        <v>1982</v>
      </c>
      <c r="N936" s="50"/>
      <c r="O936" s="50"/>
      <c r="P936" s="50"/>
      <c r="Q936" s="50"/>
      <c r="R936" s="50"/>
      <c r="S936" s="50" t="str">
        <f t="shared" si="95"/>
        <v/>
      </c>
      <c r="T936" s="50" t="str">
        <f t="shared" si="96"/>
        <v/>
      </c>
      <c r="U936" s="50" t="str">
        <f t="shared" si="97"/>
        <v/>
      </c>
      <c r="V936" s="50" t="str">
        <f t="shared" si="98"/>
        <v/>
      </c>
      <c r="W936" s="50"/>
      <c r="X936" s="50" t="s">
        <v>1078</v>
      </c>
      <c r="Y936" s="50" t="s">
        <v>50</v>
      </c>
      <c r="Z936" s="50" t="s">
        <v>3406</v>
      </c>
      <c r="AA936" s="50"/>
    </row>
    <row r="937" spans="1:27" s="110" customFormat="1" ht="25.5" customHeight="1">
      <c r="A937" s="517" t="s">
        <v>776</v>
      </c>
      <c r="B937" s="51" t="s">
        <v>1160</v>
      </c>
      <c r="C937" s="51" t="s">
        <v>143</v>
      </c>
      <c r="D937" s="51" t="s">
        <v>3508</v>
      </c>
      <c r="E937" s="50">
        <v>2436</v>
      </c>
      <c r="F937" s="50">
        <v>2821</v>
      </c>
      <c r="G937" s="50" t="s">
        <v>3404</v>
      </c>
      <c r="H937" s="50">
        <v>2025</v>
      </c>
      <c r="I937" s="132">
        <v>45883</v>
      </c>
      <c r="J937" s="50" t="s">
        <v>3126</v>
      </c>
      <c r="K937" s="50" t="s">
        <v>508</v>
      </c>
      <c r="L937" s="50"/>
      <c r="M937" s="50" t="s">
        <v>1982</v>
      </c>
      <c r="N937" s="50" t="s">
        <v>4483</v>
      </c>
      <c r="O937" s="60">
        <v>45886</v>
      </c>
      <c r="P937" s="50"/>
      <c r="Q937" s="60">
        <v>45887</v>
      </c>
      <c r="R937" s="60">
        <v>45888</v>
      </c>
      <c r="S937" s="50">
        <f t="shared" si="95"/>
        <v>1</v>
      </c>
      <c r="T937" s="50" t="str">
        <f>IF(
    OR(ISBLANK(O937), ISBLANK(P937)),
    "",
    MAX(1, IF(
        NETWORKDAYS(O937, P937) &lt;= 0,
        1,
        NETWORKDAYS(O937:P937, Q937) - IF(P937 = Q937, 0, 1)
    ))
)</f>
        <v/>
      </c>
      <c r="U937" s="50">
        <f>IF(
    OR(ISBLANK(O937), ISBLANK(Q937)),
    "",
    MAX(1, IF(
        NETWORKDAYS(O937, Q937) &lt;= 0,
        1,
        NETWORKDAYS(O937, Q937) - IF(O937 = Q937, 0, 1)
    ))
)</f>
        <v>1</v>
      </c>
      <c r="V937" s="50">
        <f t="shared" si="98"/>
        <v>1</v>
      </c>
      <c r="W937" s="50" t="s">
        <v>150</v>
      </c>
      <c r="X937" s="50" t="s">
        <v>1078</v>
      </c>
      <c r="Y937" s="50" t="s">
        <v>50</v>
      </c>
      <c r="Z937" s="50" t="s">
        <v>3406</v>
      </c>
      <c r="AA937" s="50"/>
    </row>
    <row r="938" spans="1:27" ht="25.5" customHeight="1">
      <c r="A938" s="50" t="s">
        <v>776</v>
      </c>
      <c r="B938" s="51" t="s">
        <v>1160</v>
      </c>
      <c r="C938" s="51" t="s">
        <v>143</v>
      </c>
      <c r="D938" s="51" t="s">
        <v>4484</v>
      </c>
      <c r="E938" s="50">
        <v>9225</v>
      </c>
      <c r="F938" s="50">
        <v>10015</v>
      </c>
      <c r="G938" s="50" t="s">
        <v>3404</v>
      </c>
      <c r="H938" s="50">
        <v>2024</v>
      </c>
      <c r="I938" s="132">
        <v>45545</v>
      </c>
      <c r="J938" s="50"/>
      <c r="K938" s="50" t="s">
        <v>508</v>
      </c>
      <c r="L938" s="50" t="s">
        <v>328</v>
      </c>
      <c r="M938" s="50" t="s">
        <v>1982</v>
      </c>
      <c r="N938" s="50"/>
      <c r="O938" s="50"/>
      <c r="P938" s="50"/>
      <c r="Q938" s="50"/>
      <c r="R938" s="50"/>
      <c r="S938" s="50" t="str">
        <f t="shared" si="95"/>
        <v/>
      </c>
      <c r="T938" s="50" t="str">
        <f>IF(
    OR(ISBLANK(O938), ISBLANK(P938)),
    "",
    MAX(1, IF(
        NETWORKDAYS(O938, P938) &lt;= 0,
        1,
        NETWORKDAYS(O938, P938) - IF(O938 = P938, 0, 1)
    ))
)</f>
        <v/>
      </c>
      <c r="U938" s="50" t="str">
        <f>IF(
    OR(ISBLANK(P938), ISBLANK(Q938)),
    "",
    MAX(1, IF(
        NETWORKDAYS(P938, Q938) &lt;= 0,
        1,
        NETWORKDAYS(P938, Q938) - IF(P938 = Q938, 0, 1)
    ))
)</f>
        <v/>
      </c>
      <c r="V938" s="50" t="str">
        <f t="shared" si="98"/>
        <v/>
      </c>
      <c r="W938" s="50"/>
      <c r="X938" s="50" t="s">
        <v>4</v>
      </c>
      <c r="Y938" s="50" t="s">
        <v>50</v>
      </c>
      <c r="Z938" s="50" t="s">
        <v>3406</v>
      </c>
      <c r="AA938" s="50"/>
    </row>
    <row r="939" spans="1:27" ht="25.5" customHeight="1">
      <c r="A939" s="517" t="s">
        <v>776</v>
      </c>
      <c r="B939" s="51" t="s">
        <v>1160</v>
      </c>
      <c r="C939" s="51" t="s">
        <v>143</v>
      </c>
      <c r="D939" s="51" t="s">
        <v>4485</v>
      </c>
      <c r="E939" s="50">
        <v>5388</v>
      </c>
      <c r="F939" s="50">
        <v>5019</v>
      </c>
      <c r="G939" s="50" t="s">
        <v>3955</v>
      </c>
      <c r="H939" s="50"/>
      <c r="I939" s="105"/>
      <c r="J939" s="50"/>
      <c r="K939" s="50" t="s">
        <v>508</v>
      </c>
      <c r="L939" s="50" t="s">
        <v>328</v>
      </c>
      <c r="M939" s="50" t="s">
        <v>1982</v>
      </c>
      <c r="N939" s="50"/>
      <c r="O939" s="50"/>
      <c r="P939" s="50"/>
      <c r="Q939" s="50"/>
      <c r="R939" s="50"/>
      <c r="S939" s="50" t="str">
        <f t="shared" si="95"/>
        <v/>
      </c>
      <c r="T939" s="50" t="str">
        <f>IF(
    OR(ISBLANK(O939), ISBLANK(P939)),
    "",
    MAX(1, IF(
        NETWORKDAYS(O939, P939) &lt;= 0,
        1,
        NETWORKDAYS(O939, P939) - IF(O939 = P939, 0, 1)
    ))
)</f>
        <v/>
      </c>
      <c r="U939" s="50" t="str">
        <f>IF(
    OR(ISBLANK(P939), ISBLANK(Q939)),
    "",
    MAX(1, IF(
        NETWORKDAYS(P939, Q939) &lt;= 0,
        1,
        NETWORKDAYS(P939, Q939) - IF(P939 = Q939, 0, 1)
    ))
)</f>
        <v/>
      </c>
      <c r="V939" s="50" t="str">
        <f t="shared" si="98"/>
        <v/>
      </c>
      <c r="W939" s="50"/>
      <c r="X939" s="50"/>
      <c r="Y939" s="50"/>
      <c r="Z939" s="50"/>
      <c r="AA939" s="50"/>
    </row>
    <row r="940" spans="1:27" ht="25.5" customHeight="1">
      <c r="A940" s="517" t="s">
        <v>776</v>
      </c>
      <c r="B940" s="51" t="s">
        <v>1160</v>
      </c>
      <c r="C940" s="51" t="s">
        <v>143</v>
      </c>
      <c r="D940" s="51" t="s">
        <v>4099</v>
      </c>
      <c r="E940" s="50">
        <v>13334</v>
      </c>
      <c r="F940" s="50">
        <v>15938</v>
      </c>
      <c r="G940" s="50" t="s">
        <v>3404</v>
      </c>
      <c r="H940" s="50">
        <v>2025</v>
      </c>
      <c r="I940" s="132">
        <v>45693</v>
      </c>
      <c r="J940" s="50" t="s">
        <v>3458</v>
      </c>
      <c r="K940" s="50" t="s">
        <v>508</v>
      </c>
      <c r="L940" s="50" t="s">
        <v>328</v>
      </c>
      <c r="M940" s="50" t="s">
        <v>1982</v>
      </c>
      <c r="N940" s="50" t="s">
        <v>4486</v>
      </c>
      <c r="O940" s="60">
        <v>45698</v>
      </c>
      <c r="P940" s="60">
        <v>45700</v>
      </c>
      <c r="Q940" s="60">
        <v>45700</v>
      </c>
      <c r="R940" s="60">
        <v>45701</v>
      </c>
      <c r="S940" s="50">
        <f t="shared" si="95"/>
        <v>3</v>
      </c>
      <c r="T940" s="50">
        <f>IF(
    OR(ISBLANK(P940), ISBLANK(Q940)),
    "",
    MAX(1, IF(
        NETWORKDAYS(P940, Q940) &lt;= 0,
        1,
        NETWORKDAYS(P940, Q940) - IF(P940 = Q940, 0, 1)
    ))
)</f>
        <v>1</v>
      </c>
      <c r="U940" s="50">
        <f t="shared" ref="U940:U947" si="99">IF(
    OR(ISBLANK(P940), ISBLANK(Q940)),
    "",
    MAX(1, IF(
        NETWORKDAYS(P940, Q940) &lt;= 0,
        1,
        NETWORKDAYS(P940, Q940) - IF(P940 = Q940, 0, 1)
    ))
)</f>
        <v>1</v>
      </c>
      <c r="V940" s="50">
        <f t="shared" si="98"/>
        <v>1</v>
      </c>
      <c r="W940" s="50" t="s">
        <v>150</v>
      </c>
      <c r="X940" s="50" t="s">
        <v>4</v>
      </c>
      <c r="Y940" s="50" t="s">
        <v>50</v>
      </c>
      <c r="Z940" s="50" t="s">
        <v>3406</v>
      </c>
      <c r="AA940" s="50"/>
    </row>
    <row r="941" spans="1:27" ht="25.5" customHeight="1">
      <c r="A941" s="517" t="s">
        <v>776</v>
      </c>
      <c r="B941" s="51" t="s">
        <v>1160</v>
      </c>
      <c r="C941" s="51" t="s">
        <v>143</v>
      </c>
      <c r="D941" s="51" t="s">
        <v>4487</v>
      </c>
      <c r="E941" s="50">
        <v>28947</v>
      </c>
      <c r="F941" s="50">
        <v>32674</v>
      </c>
      <c r="G941" s="50" t="s">
        <v>3404</v>
      </c>
      <c r="H941" s="50">
        <v>2025</v>
      </c>
      <c r="I941" s="60">
        <v>45693</v>
      </c>
      <c r="J941" s="50" t="s">
        <v>3458</v>
      </c>
      <c r="K941" s="50" t="s">
        <v>508</v>
      </c>
      <c r="L941" s="50" t="s">
        <v>328</v>
      </c>
      <c r="M941" s="50" t="s">
        <v>1982</v>
      </c>
      <c r="N941" s="50" t="s">
        <v>4488</v>
      </c>
      <c r="O941" s="60">
        <v>45698</v>
      </c>
      <c r="P941" s="60">
        <v>45700</v>
      </c>
      <c r="Q941" s="60">
        <v>45700</v>
      </c>
      <c r="R941" s="60">
        <v>45705</v>
      </c>
      <c r="S941" s="50">
        <f t="shared" si="95"/>
        <v>3</v>
      </c>
      <c r="T941" s="50">
        <f>IF(
    OR(ISBLANK(P941), ISBLANK(Q941)),
    "",
    MAX(1, IF(
        NETWORKDAYS(P941, Q941) &lt;= 0,
        1,
        NETWORKDAYS(P941, Q941) - IF(P941 = Q941, 0, 1)
    ))
)</f>
        <v>1</v>
      </c>
      <c r="U941" s="50">
        <f t="shared" si="99"/>
        <v>1</v>
      </c>
      <c r="V941" s="50">
        <f t="shared" si="98"/>
        <v>3</v>
      </c>
      <c r="W941" s="50" t="s">
        <v>150</v>
      </c>
      <c r="X941" s="50" t="s">
        <v>1078</v>
      </c>
      <c r="Y941" s="50" t="s">
        <v>50</v>
      </c>
      <c r="Z941" s="50" t="s">
        <v>3406</v>
      </c>
      <c r="AA941" s="50"/>
    </row>
    <row r="942" spans="1:27" s="110" customFormat="1" ht="25.5" customHeight="1">
      <c r="A942" s="50" t="s">
        <v>776</v>
      </c>
      <c r="B942" s="51" t="s">
        <v>1160</v>
      </c>
      <c r="C942" s="51" t="s">
        <v>143</v>
      </c>
      <c r="D942" s="51" t="s">
        <v>4489</v>
      </c>
      <c r="E942" s="50">
        <v>14365</v>
      </c>
      <c r="F942" s="50">
        <v>14979</v>
      </c>
      <c r="G942" s="50" t="s">
        <v>3404</v>
      </c>
      <c r="H942" s="50">
        <v>2024</v>
      </c>
      <c r="I942" s="132">
        <v>45545</v>
      </c>
      <c r="J942" s="50"/>
      <c r="K942" s="50" t="s">
        <v>508</v>
      </c>
      <c r="L942" s="50" t="s">
        <v>328</v>
      </c>
      <c r="M942" s="50" t="s">
        <v>1982</v>
      </c>
      <c r="N942" s="50"/>
      <c r="O942" s="50"/>
      <c r="P942" s="50"/>
      <c r="Q942" s="50"/>
      <c r="R942" s="50"/>
      <c r="S942" s="50" t="str">
        <f t="shared" si="95"/>
        <v/>
      </c>
      <c r="T942" s="50" t="str">
        <f t="shared" ref="T942:T947" si="100">IF(
    OR(ISBLANK(O942), ISBLANK(P942)),
    "",
    MAX(1, IF(
        NETWORKDAYS(O942, P942) &lt;= 0,
        1,
        NETWORKDAYS(O942, P942) - IF(O942 = P942, 0, 1)
    ))
)</f>
        <v/>
      </c>
      <c r="U942" s="50" t="str">
        <f t="shared" si="99"/>
        <v/>
      </c>
      <c r="V942" s="50" t="str">
        <f t="shared" si="98"/>
        <v/>
      </c>
      <c r="W942" s="50"/>
      <c r="X942" s="50"/>
      <c r="Y942" s="50"/>
      <c r="Z942" s="50" t="s">
        <v>3406</v>
      </c>
      <c r="AA942" s="50"/>
    </row>
    <row r="943" spans="1:27" ht="25.5" customHeight="1">
      <c r="A943" s="521" t="s">
        <v>776</v>
      </c>
      <c r="B943" s="51" t="s">
        <v>1160</v>
      </c>
      <c r="C943" s="51" t="s">
        <v>143</v>
      </c>
      <c r="D943" s="51" t="s">
        <v>4490</v>
      </c>
      <c r="E943" s="50">
        <v>14749</v>
      </c>
      <c r="F943" s="50">
        <v>16909</v>
      </c>
      <c r="G943" s="50" t="s">
        <v>3404</v>
      </c>
      <c r="H943" s="50">
        <v>2024</v>
      </c>
      <c r="I943" s="132">
        <v>45545</v>
      </c>
      <c r="J943" s="50"/>
      <c r="K943" s="50" t="s">
        <v>508</v>
      </c>
      <c r="L943" s="50" t="s">
        <v>328</v>
      </c>
      <c r="M943" s="50" t="s">
        <v>1982</v>
      </c>
      <c r="N943" s="50"/>
      <c r="O943" s="50"/>
      <c r="P943" s="50"/>
      <c r="Q943" s="50"/>
      <c r="R943" s="50"/>
      <c r="S943" s="50" t="str">
        <f t="shared" si="95"/>
        <v/>
      </c>
      <c r="T943" s="50" t="str">
        <f t="shared" si="100"/>
        <v/>
      </c>
      <c r="U943" s="50" t="str">
        <f t="shared" si="99"/>
        <v/>
      </c>
      <c r="V943" s="50" t="str">
        <f t="shared" si="98"/>
        <v/>
      </c>
      <c r="W943" s="50"/>
      <c r="X943" s="50" t="s">
        <v>1078</v>
      </c>
      <c r="Y943" s="50" t="s">
        <v>50</v>
      </c>
      <c r="Z943" s="50" t="s">
        <v>3406</v>
      </c>
      <c r="AA943" s="50"/>
    </row>
    <row r="944" spans="1:27" ht="25.5" customHeight="1">
      <c r="A944" s="517" t="s">
        <v>776</v>
      </c>
      <c r="B944" s="51" t="s">
        <v>1160</v>
      </c>
      <c r="C944" s="51" t="s">
        <v>143</v>
      </c>
      <c r="D944" s="51" t="s">
        <v>4491</v>
      </c>
      <c r="E944" s="50">
        <v>2337</v>
      </c>
      <c r="F944" s="50">
        <v>2319</v>
      </c>
      <c r="G944" s="50" t="s">
        <v>3955</v>
      </c>
      <c r="H944" s="50"/>
      <c r="I944" s="105"/>
      <c r="J944" s="50"/>
      <c r="K944" s="50" t="s">
        <v>508</v>
      </c>
      <c r="L944" s="50" t="s">
        <v>328</v>
      </c>
      <c r="M944" s="50" t="s">
        <v>1982</v>
      </c>
      <c r="N944" s="50"/>
      <c r="O944" s="50"/>
      <c r="P944" s="50"/>
      <c r="Q944" s="50"/>
      <c r="R944" s="50"/>
      <c r="S944" s="50" t="str">
        <f t="shared" si="95"/>
        <v/>
      </c>
      <c r="T944" s="50" t="str">
        <f t="shared" si="100"/>
        <v/>
      </c>
      <c r="U944" s="50" t="str">
        <f t="shared" si="99"/>
        <v/>
      </c>
      <c r="V944" s="50" t="str">
        <f t="shared" si="98"/>
        <v/>
      </c>
      <c r="W944" s="50"/>
      <c r="X944" s="50"/>
      <c r="Y944" s="50"/>
      <c r="Z944" s="50"/>
      <c r="AA944" s="50"/>
    </row>
    <row r="945" spans="1:27" ht="25.5" customHeight="1">
      <c r="A945" s="517" t="s">
        <v>776</v>
      </c>
      <c r="B945" s="51" t="s">
        <v>1160</v>
      </c>
      <c r="C945" s="51" t="s">
        <v>143</v>
      </c>
      <c r="D945" s="51" t="s">
        <v>4492</v>
      </c>
      <c r="E945" s="50">
        <v>9373</v>
      </c>
      <c r="F945" s="50">
        <v>10381</v>
      </c>
      <c r="G945" s="50" t="s">
        <v>3955</v>
      </c>
      <c r="H945" s="50"/>
      <c r="I945" s="105"/>
      <c r="J945" s="50"/>
      <c r="K945" s="50" t="s">
        <v>508</v>
      </c>
      <c r="L945" s="50" t="s">
        <v>328</v>
      </c>
      <c r="M945" s="50" t="s">
        <v>1982</v>
      </c>
      <c r="N945" s="50"/>
      <c r="O945" s="50"/>
      <c r="P945" s="50"/>
      <c r="Q945" s="50"/>
      <c r="R945" s="50"/>
      <c r="S945" s="50" t="str">
        <f t="shared" si="95"/>
        <v/>
      </c>
      <c r="T945" s="50" t="str">
        <f t="shared" si="100"/>
        <v/>
      </c>
      <c r="U945" s="50" t="str">
        <f t="shared" si="99"/>
        <v/>
      </c>
      <c r="V945" s="50" t="str">
        <f t="shared" si="98"/>
        <v/>
      </c>
      <c r="W945" s="50"/>
      <c r="X945" s="50"/>
      <c r="Y945" s="50"/>
      <c r="Z945" s="50"/>
      <c r="AA945" s="50"/>
    </row>
    <row r="946" spans="1:27" ht="25.5" customHeight="1">
      <c r="A946" s="50" t="s">
        <v>776</v>
      </c>
      <c r="B946" s="51" t="s">
        <v>1160</v>
      </c>
      <c r="C946" s="51" t="s">
        <v>143</v>
      </c>
      <c r="D946" s="51" t="s">
        <v>4493</v>
      </c>
      <c r="E946" s="50">
        <v>4361</v>
      </c>
      <c r="F946" s="50">
        <v>5140</v>
      </c>
      <c r="G946" s="50" t="s">
        <v>3404</v>
      </c>
      <c r="H946" s="50">
        <v>2024</v>
      </c>
      <c r="I946" s="132">
        <v>45482</v>
      </c>
      <c r="J946" s="50"/>
      <c r="K946" s="50" t="s">
        <v>508</v>
      </c>
      <c r="L946" s="50" t="s">
        <v>328</v>
      </c>
      <c r="M946" s="50" t="s">
        <v>1982</v>
      </c>
      <c r="N946" s="50"/>
      <c r="O946" s="50"/>
      <c r="P946" s="50"/>
      <c r="Q946" s="50"/>
      <c r="R946" s="50"/>
      <c r="S946" s="50" t="str">
        <f t="shared" si="95"/>
        <v/>
      </c>
      <c r="T946" s="50" t="str">
        <f t="shared" si="100"/>
        <v/>
      </c>
      <c r="U946" s="50" t="str">
        <f t="shared" si="99"/>
        <v/>
      </c>
      <c r="V946" s="50" t="str">
        <f t="shared" si="98"/>
        <v/>
      </c>
      <c r="W946" s="50"/>
      <c r="X946" s="50" t="s">
        <v>4</v>
      </c>
      <c r="Y946" s="50" t="s">
        <v>50</v>
      </c>
      <c r="Z946" s="50" t="s">
        <v>3406</v>
      </c>
      <c r="AA946" s="50"/>
    </row>
    <row r="947" spans="1:27" ht="25.5" customHeight="1">
      <c r="A947" s="517" t="s">
        <v>776</v>
      </c>
      <c r="B947" s="51" t="s">
        <v>1160</v>
      </c>
      <c r="C947" s="51" t="s">
        <v>143</v>
      </c>
      <c r="D947" s="51" t="s">
        <v>4494</v>
      </c>
      <c r="E947" s="50">
        <v>2398</v>
      </c>
      <c r="F947" s="50">
        <v>2779</v>
      </c>
      <c r="G947" s="50" t="s">
        <v>3955</v>
      </c>
      <c r="H947" s="50"/>
      <c r="I947" s="105"/>
      <c r="J947" s="50"/>
      <c r="K947" s="50" t="s">
        <v>508</v>
      </c>
      <c r="L947" s="50" t="s">
        <v>328</v>
      </c>
      <c r="M947" s="50" t="s">
        <v>1982</v>
      </c>
      <c r="N947" s="50"/>
      <c r="O947" s="50"/>
      <c r="P947" s="50"/>
      <c r="Q947" s="50"/>
      <c r="R947" s="50"/>
      <c r="S947" s="50" t="str">
        <f t="shared" si="95"/>
        <v/>
      </c>
      <c r="T947" s="50" t="str">
        <f t="shared" si="100"/>
        <v/>
      </c>
      <c r="U947" s="50" t="str">
        <f t="shared" si="99"/>
        <v/>
      </c>
      <c r="V947" s="50" t="str">
        <f t="shared" si="98"/>
        <v/>
      </c>
      <c r="W947" s="50"/>
      <c r="X947" s="50"/>
      <c r="Y947" s="50"/>
      <c r="Z947" s="50"/>
      <c r="AA947" s="50"/>
    </row>
    <row r="948" spans="1:27" ht="25.5" customHeight="1">
      <c r="A948" s="517" t="s">
        <v>776</v>
      </c>
      <c r="B948" s="51" t="s">
        <v>1160</v>
      </c>
      <c r="C948" s="51" t="s">
        <v>143</v>
      </c>
      <c r="D948" s="51" t="s">
        <v>1164</v>
      </c>
      <c r="E948" s="50">
        <v>8448</v>
      </c>
      <c r="F948" s="50">
        <v>9419</v>
      </c>
      <c r="G948" s="50" t="s">
        <v>3404</v>
      </c>
      <c r="H948" s="50">
        <v>2025</v>
      </c>
      <c r="I948" s="132">
        <v>45883</v>
      </c>
      <c r="J948" s="50" t="s">
        <v>3126</v>
      </c>
      <c r="K948" s="50" t="s">
        <v>508</v>
      </c>
      <c r="L948" s="50"/>
      <c r="M948" s="50" t="s">
        <v>1982</v>
      </c>
      <c r="N948" s="50" t="s">
        <v>4495</v>
      </c>
      <c r="O948" s="60">
        <v>45886</v>
      </c>
      <c r="P948" s="50"/>
      <c r="Q948" s="60">
        <v>45887</v>
      </c>
      <c r="R948" s="60">
        <v>45888</v>
      </c>
      <c r="S948" s="50">
        <f t="shared" si="95"/>
        <v>1</v>
      </c>
      <c r="T948" s="50" t="str">
        <f>IF(
    OR(ISBLANK(O948), ISBLANK(P948)),
    "",
    MAX(1, IF(
        NETWORKDAYS(O948, P948) &lt;= 0,
        1,
        NETWORKDAYS(O948:P948, Q948) - IF(P948 = Q948, 0, 1)
    ))
)</f>
        <v/>
      </c>
      <c r="U948" s="50">
        <f>IF(
    OR(ISBLANK(O948), ISBLANK(Q948)),
    "",
    MAX(1, IF(
        NETWORKDAYS(O948, Q948) &lt;= 0,
        1,
        NETWORKDAYS(O948, Q948) - IF(O948 = Q948, 0, 1)
    ))
)</f>
        <v>1</v>
      </c>
      <c r="V948" s="50">
        <f t="shared" si="98"/>
        <v>1</v>
      </c>
      <c r="W948" s="50" t="s">
        <v>150</v>
      </c>
      <c r="X948" s="50" t="s">
        <v>1078</v>
      </c>
      <c r="Y948" s="50" t="s">
        <v>50</v>
      </c>
      <c r="Z948" s="50" t="s">
        <v>3406</v>
      </c>
      <c r="AA948" s="50"/>
    </row>
    <row r="949" spans="1:27" ht="25.5" customHeight="1">
      <c r="A949" s="517" t="s">
        <v>776</v>
      </c>
      <c r="B949" s="51" t="s">
        <v>1160</v>
      </c>
      <c r="C949" s="51" t="s">
        <v>143</v>
      </c>
      <c r="D949" s="51" t="s">
        <v>1056</v>
      </c>
      <c r="E949" s="50">
        <v>12876</v>
      </c>
      <c r="F949" s="50">
        <v>12871</v>
      </c>
      <c r="G949" s="50" t="s">
        <v>3955</v>
      </c>
      <c r="H949" s="50"/>
      <c r="I949" s="105"/>
      <c r="J949" s="50"/>
      <c r="K949" s="50" t="s">
        <v>508</v>
      </c>
      <c r="L949" s="50" t="s">
        <v>328</v>
      </c>
      <c r="M949" s="50" t="s">
        <v>1982</v>
      </c>
      <c r="N949" s="50"/>
      <c r="O949" s="50"/>
      <c r="P949" s="50"/>
      <c r="Q949" s="50"/>
      <c r="R949" s="50"/>
      <c r="S949" s="50" t="str">
        <f t="shared" si="95"/>
        <v/>
      </c>
      <c r="T949" s="50" t="str">
        <f t="shared" ref="T949:U952" si="101">IF(
    OR(ISBLANK(O949), ISBLANK(P949)),
    "",
    MAX(1, IF(
        NETWORKDAYS(O949, P949) &lt;= 0,
        1,
        NETWORKDAYS(O949, P949) - IF(O949 = P949, 0, 1)
    ))
)</f>
        <v/>
      </c>
      <c r="U949" s="50" t="str">
        <f t="shared" si="101"/>
        <v/>
      </c>
      <c r="V949" s="50" t="str">
        <f t="shared" si="98"/>
        <v/>
      </c>
      <c r="W949" s="50"/>
      <c r="X949" s="50"/>
      <c r="Y949" s="50"/>
      <c r="Z949" s="50"/>
      <c r="AA949" s="50"/>
    </row>
    <row r="950" spans="1:27" ht="25.5" customHeight="1">
      <c r="A950" s="517" t="s">
        <v>776</v>
      </c>
      <c r="B950" s="51" t="s">
        <v>1160</v>
      </c>
      <c r="C950" s="51" t="s">
        <v>143</v>
      </c>
      <c r="D950" s="51" t="s">
        <v>4496</v>
      </c>
      <c r="E950" s="50">
        <v>36893</v>
      </c>
      <c r="F950" s="50">
        <v>41218</v>
      </c>
      <c r="G950" s="50" t="s">
        <v>3955</v>
      </c>
      <c r="H950" s="50"/>
      <c r="I950" s="105"/>
      <c r="J950" s="50"/>
      <c r="K950" s="50" t="s">
        <v>508</v>
      </c>
      <c r="L950" s="50" t="s">
        <v>328</v>
      </c>
      <c r="M950" s="50" t="s">
        <v>1982</v>
      </c>
      <c r="N950" s="50"/>
      <c r="O950" s="50"/>
      <c r="P950" s="50"/>
      <c r="Q950" s="50"/>
      <c r="R950" s="50"/>
      <c r="S950" s="50" t="str">
        <f t="shared" si="95"/>
        <v/>
      </c>
      <c r="T950" s="50" t="str">
        <f t="shared" si="101"/>
        <v/>
      </c>
      <c r="U950" s="50" t="str">
        <f t="shared" si="101"/>
        <v/>
      </c>
      <c r="V950" s="50" t="str">
        <f t="shared" si="98"/>
        <v/>
      </c>
      <c r="W950" s="50"/>
      <c r="X950" s="50"/>
      <c r="Y950" s="50"/>
      <c r="Z950" s="50"/>
      <c r="AA950" s="50"/>
    </row>
    <row r="951" spans="1:27" ht="25.5" customHeight="1">
      <c r="A951" s="50" t="s">
        <v>776</v>
      </c>
      <c r="B951" s="51" t="s">
        <v>1160</v>
      </c>
      <c r="C951" s="51" t="s">
        <v>143</v>
      </c>
      <c r="D951" s="51" t="s">
        <v>4127</v>
      </c>
      <c r="E951" s="50">
        <v>8465</v>
      </c>
      <c r="F951" s="50">
        <v>9630</v>
      </c>
      <c r="G951" s="50" t="s">
        <v>3404</v>
      </c>
      <c r="H951" s="50">
        <v>2024</v>
      </c>
      <c r="I951" s="132">
        <v>45482</v>
      </c>
      <c r="J951" s="50"/>
      <c r="K951" s="50" t="s">
        <v>508</v>
      </c>
      <c r="L951" s="50" t="s">
        <v>328</v>
      </c>
      <c r="M951" s="50" t="s">
        <v>1982</v>
      </c>
      <c r="N951" s="50"/>
      <c r="O951" s="50"/>
      <c r="P951" s="50"/>
      <c r="Q951" s="50"/>
      <c r="R951" s="50"/>
      <c r="S951" s="50" t="str">
        <f t="shared" si="95"/>
        <v/>
      </c>
      <c r="T951" s="50" t="str">
        <f t="shared" si="101"/>
        <v/>
      </c>
      <c r="U951" s="50" t="str">
        <f t="shared" si="101"/>
        <v/>
      </c>
      <c r="V951" s="50" t="str">
        <f t="shared" si="98"/>
        <v/>
      </c>
      <c r="W951" s="50"/>
      <c r="X951" s="50" t="s">
        <v>4</v>
      </c>
      <c r="Y951" s="50" t="s">
        <v>50</v>
      </c>
      <c r="Z951" s="50" t="s">
        <v>3406</v>
      </c>
      <c r="AA951" s="50"/>
    </row>
    <row r="952" spans="1:27" ht="25.5" customHeight="1">
      <c r="A952" s="517" t="s">
        <v>776</v>
      </c>
      <c r="B952" s="51" t="s">
        <v>1160</v>
      </c>
      <c r="C952" s="51" t="s">
        <v>143</v>
      </c>
      <c r="D952" s="51" t="s">
        <v>4497</v>
      </c>
      <c r="E952" s="50">
        <v>11282</v>
      </c>
      <c r="F952" s="50">
        <v>13985</v>
      </c>
      <c r="G952" s="50" t="s">
        <v>3955</v>
      </c>
      <c r="H952" s="50"/>
      <c r="I952" s="105"/>
      <c r="J952" s="50"/>
      <c r="K952" s="50" t="s">
        <v>508</v>
      </c>
      <c r="L952" s="50" t="s">
        <v>328</v>
      </c>
      <c r="M952" s="50" t="s">
        <v>1982</v>
      </c>
      <c r="N952" s="50"/>
      <c r="O952" s="50"/>
      <c r="P952" s="50"/>
      <c r="Q952" s="50"/>
      <c r="R952" s="50"/>
      <c r="S952" s="50" t="str">
        <f t="shared" si="95"/>
        <v/>
      </c>
      <c r="T952" s="50" t="str">
        <f t="shared" si="101"/>
        <v/>
      </c>
      <c r="U952" s="50" t="str">
        <f t="shared" si="101"/>
        <v/>
      </c>
      <c r="V952" s="50" t="str">
        <f t="shared" si="98"/>
        <v/>
      </c>
      <c r="W952" s="50"/>
      <c r="X952" s="50"/>
      <c r="Y952" s="50"/>
      <c r="Z952" s="50"/>
      <c r="AA952" s="50"/>
    </row>
    <row r="953" spans="1:27" ht="25.5" customHeight="1">
      <c r="A953" s="517" t="s">
        <v>776</v>
      </c>
      <c r="B953" s="51" t="s">
        <v>1160</v>
      </c>
      <c r="C953" s="51" t="s">
        <v>143</v>
      </c>
      <c r="D953" s="51" t="s">
        <v>1166</v>
      </c>
      <c r="E953" s="50">
        <v>16871</v>
      </c>
      <c r="F953" s="50">
        <v>24451</v>
      </c>
      <c r="G953" s="50" t="s">
        <v>3404</v>
      </c>
      <c r="H953" s="50">
        <v>2025</v>
      </c>
      <c r="I953" s="132">
        <v>45883</v>
      </c>
      <c r="J953" s="50" t="s">
        <v>3126</v>
      </c>
      <c r="K953" s="50" t="s">
        <v>508</v>
      </c>
      <c r="L953" s="50"/>
      <c r="M953" s="50" t="s">
        <v>1982</v>
      </c>
      <c r="N953" s="50" t="s">
        <v>4498</v>
      </c>
      <c r="O953" s="60">
        <v>45886</v>
      </c>
      <c r="P953" s="50"/>
      <c r="Q953" s="60">
        <v>45887</v>
      </c>
      <c r="R953" s="60">
        <v>45888</v>
      </c>
      <c r="S953" s="50">
        <f t="shared" si="95"/>
        <v>1</v>
      </c>
      <c r="T953" s="50" t="str">
        <f>IF(
    OR(ISBLANK(O953), ISBLANK(P953)),
    "",
    MAX(1, IF(
        NETWORKDAYS(O953, P953) &lt;= 0,
        1,
        NETWORKDAYS(O953:P953, Q953) - IF(P953 = Q953, 0, 1)
    ))
)</f>
        <v/>
      </c>
      <c r="U953" s="50">
        <f>IF(
    OR(ISBLANK(O953), ISBLANK(Q953)),
    "",
    MAX(1, IF(
        NETWORKDAYS(O953, Q953) &lt;= 0,
        1,
        NETWORKDAYS(O953, Q953) - IF(O953 = Q953, 0, 1)
    ))
)</f>
        <v>1</v>
      </c>
      <c r="V953" s="50">
        <f t="shared" si="98"/>
        <v>1</v>
      </c>
      <c r="W953" s="50" t="s">
        <v>150</v>
      </c>
      <c r="X953" s="50" t="s">
        <v>1078</v>
      </c>
      <c r="Y953" s="50" t="s">
        <v>50</v>
      </c>
      <c r="Z953" s="50" t="s">
        <v>3406</v>
      </c>
      <c r="AA953" s="50"/>
    </row>
    <row r="954" spans="1:27" ht="25.5" customHeight="1">
      <c r="A954" s="517" t="s">
        <v>776</v>
      </c>
      <c r="B954" s="51" t="s">
        <v>1160</v>
      </c>
      <c r="C954" s="51" t="s">
        <v>143</v>
      </c>
      <c r="D954" s="51" t="s">
        <v>4499</v>
      </c>
      <c r="E954" s="50">
        <v>12115</v>
      </c>
      <c r="F954" s="50">
        <v>12419</v>
      </c>
      <c r="G954" s="50" t="s">
        <v>3955</v>
      </c>
      <c r="H954" s="50"/>
      <c r="I954" s="105"/>
      <c r="J954" s="50"/>
      <c r="K954" s="50" t="s">
        <v>508</v>
      </c>
      <c r="L954" s="50" t="s">
        <v>328</v>
      </c>
      <c r="M954" s="50" t="s">
        <v>1982</v>
      </c>
      <c r="N954" s="50"/>
      <c r="O954" s="50"/>
      <c r="P954" s="50"/>
      <c r="Q954" s="50"/>
      <c r="R954" s="50"/>
      <c r="S954" s="50" t="str">
        <f t="shared" si="95"/>
        <v/>
      </c>
      <c r="T954" s="50" t="str">
        <f t="shared" ref="T954:T1017" si="102">IF(
    OR(ISBLANK(O954), ISBLANK(P954)),
    "",
    MAX(1, IF(
        NETWORKDAYS(O954, P954) &lt;= 0,
        1,
        NETWORKDAYS(O954, P954) - IF(O954 = P954, 0, 1)
    ))
)</f>
        <v/>
      </c>
      <c r="U954" s="50" t="str">
        <f t="shared" ref="U954:U1017" si="103">IF(
    OR(ISBLANK(P954), ISBLANK(Q954)),
    "",
    MAX(1, IF(
        NETWORKDAYS(P954, Q954) &lt;= 0,
        1,
        NETWORKDAYS(P954, Q954) - IF(P954 = Q954, 0, 1)
    ))
)</f>
        <v/>
      </c>
      <c r="V954" s="50" t="str">
        <f t="shared" si="98"/>
        <v/>
      </c>
      <c r="W954" s="50"/>
      <c r="X954" s="50"/>
      <c r="Y954" s="50"/>
      <c r="Z954" s="50"/>
      <c r="AA954" s="50"/>
    </row>
    <row r="955" spans="1:27" ht="25.5" customHeight="1">
      <c r="A955" s="517" t="s">
        <v>776</v>
      </c>
      <c r="B955" s="51" t="s">
        <v>1160</v>
      </c>
      <c r="C955" s="51" t="s">
        <v>143</v>
      </c>
      <c r="D955" s="51" t="s">
        <v>1899</v>
      </c>
      <c r="E955" s="50">
        <v>9211</v>
      </c>
      <c r="F955" s="50">
        <v>11364</v>
      </c>
      <c r="G955" s="50" t="s">
        <v>3955</v>
      </c>
      <c r="H955" s="50"/>
      <c r="I955" s="105"/>
      <c r="J955" s="50"/>
      <c r="K955" s="50" t="s">
        <v>508</v>
      </c>
      <c r="L955" s="50" t="s">
        <v>328</v>
      </c>
      <c r="M955" s="50" t="s">
        <v>1982</v>
      </c>
      <c r="N955" s="50"/>
      <c r="O955" s="50"/>
      <c r="P955" s="50"/>
      <c r="Q955" s="50"/>
      <c r="R955" s="50"/>
      <c r="S955" s="50" t="str">
        <f t="shared" si="95"/>
        <v/>
      </c>
      <c r="T955" s="50" t="str">
        <f t="shared" si="102"/>
        <v/>
      </c>
      <c r="U955" s="50" t="str">
        <f t="shared" si="103"/>
        <v/>
      </c>
      <c r="V955" s="50" t="str">
        <f t="shared" si="98"/>
        <v/>
      </c>
      <c r="W955" s="50"/>
      <c r="X955" s="50"/>
      <c r="Y955" s="50"/>
      <c r="Z955" s="50"/>
      <c r="AA955" s="50"/>
    </row>
    <row r="956" spans="1:27" ht="25.5" customHeight="1">
      <c r="A956" s="517" t="s">
        <v>776</v>
      </c>
      <c r="B956" s="51" t="s">
        <v>1160</v>
      </c>
      <c r="C956" s="51" t="s">
        <v>143</v>
      </c>
      <c r="D956" s="51" t="s">
        <v>4500</v>
      </c>
      <c r="E956" s="50">
        <v>2028</v>
      </c>
      <c r="F956" s="50">
        <v>2102</v>
      </c>
      <c r="G956" s="50" t="s">
        <v>3955</v>
      </c>
      <c r="H956" s="50"/>
      <c r="I956" s="105"/>
      <c r="J956" s="50"/>
      <c r="K956" s="50" t="s">
        <v>508</v>
      </c>
      <c r="L956" s="50" t="s">
        <v>328</v>
      </c>
      <c r="M956" s="50" t="s">
        <v>1982</v>
      </c>
      <c r="N956" s="50"/>
      <c r="O956" s="50"/>
      <c r="P956" s="50"/>
      <c r="Q956" s="50"/>
      <c r="R956" s="50"/>
      <c r="S956" s="50" t="str">
        <f t="shared" si="95"/>
        <v/>
      </c>
      <c r="T956" s="50" t="str">
        <f t="shared" si="102"/>
        <v/>
      </c>
      <c r="U956" s="50" t="str">
        <f t="shared" si="103"/>
        <v/>
      </c>
      <c r="V956" s="50" t="str">
        <f t="shared" si="98"/>
        <v/>
      </c>
      <c r="W956" s="50"/>
      <c r="X956" s="50"/>
      <c r="Y956" s="50"/>
      <c r="Z956" s="50"/>
      <c r="AA956" s="50"/>
    </row>
    <row r="957" spans="1:27" ht="25.5" customHeight="1">
      <c r="A957" s="517" t="s">
        <v>776</v>
      </c>
      <c r="B957" s="51" t="s">
        <v>1160</v>
      </c>
      <c r="C957" s="51" t="s">
        <v>143</v>
      </c>
      <c r="D957" s="51" t="s">
        <v>4501</v>
      </c>
      <c r="E957" s="50">
        <v>5716</v>
      </c>
      <c r="F957" s="50">
        <v>5410</v>
      </c>
      <c r="G957" s="50" t="s">
        <v>3955</v>
      </c>
      <c r="H957" s="50"/>
      <c r="I957" s="105"/>
      <c r="J957" s="50"/>
      <c r="K957" s="50" t="s">
        <v>508</v>
      </c>
      <c r="L957" s="50" t="s">
        <v>328</v>
      </c>
      <c r="M957" s="50" t="s">
        <v>1982</v>
      </c>
      <c r="N957" s="50"/>
      <c r="O957" s="50"/>
      <c r="P957" s="50"/>
      <c r="Q957" s="50"/>
      <c r="R957" s="50"/>
      <c r="S957" s="50" t="str">
        <f t="shared" si="95"/>
        <v/>
      </c>
      <c r="T957" s="50" t="str">
        <f t="shared" si="102"/>
        <v/>
      </c>
      <c r="U957" s="50" t="str">
        <f t="shared" si="103"/>
        <v/>
      </c>
      <c r="V957" s="50" t="str">
        <f t="shared" si="98"/>
        <v/>
      </c>
      <c r="W957" s="50"/>
      <c r="X957" s="50"/>
      <c r="Y957" s="50"/>
      <c r="Z957" s="50"/>
      <c r="AA957" s="50"/>
    </row>
    <row r="958" spans="1:27" ht="25.5" customHeight="1">
      <c r="A958" s="517" t="s">
        <v>776</v>
      </c>
      <c r="B958" s="51" t="s">
        <v>1160</v>
      </c>
      <c r="C958" s="51" t="s">
        <v>143</v>
      </c>
      <c r="D958" s="51" t="s">
        <v>4502</v>
      </c>
      <c r="E958" s="50">
        <v>8824</v>
      </c>
      <c r="F958" s="50">
        <v>10406</v>
      </c>
      <c r="G958" s="50" t="s">
        <v>3955</v>
      </c>
      <c r="H958" s="50"/>
      <c r="I958" s="105"/>
      <c r="J958" s="50"/>
      <c r="K958" s="50" t="s">
        <v>508</v>
      </c>
      <c r="L958" s="50" t="s">
        <v>328</v>
      </c>
      <c r="M958" s="50" t="s">
        <v>1982</v>
      </c>
      <c r="N958" s="50"/>
      <c r="O958" s="50"/>
      <c r="P958" s="50"/>
      <c r="Q958" s="50"/>
      <c r="R958" s="50"/>
      <c r="S958" s="50" t="str">
        <f t="shared" si="95"/>
        <v/>
      </c>
      <c r="T958" s="50" t="str">
        <f t="shared" si="102"/>
        <v/>
      </c>
      <c r="U958" s="50" t="str">
        <f t="shared" si="103"/>
        <v/>
      </c>
      <c r="V958" s="50" t="str">
        <f t="shared" si="98"/>
        <v/>
      </c>
      <c r="W958" s="50"/>
      <c r="X958" s="50"/>
      <c r="Y958" s="50"/>
      <c r="Z958" s="50"/>
      <c r="AA958" s="50"/>
    </row>
    <row r="959" spans="1:27" ht="25.5" customHeight="1">
      <c r="A959" s="517" t="s">
        <v>2286</v>
      </c>
      <c r="B959" s="51" t="s">
        <v>1169</v>
      </c>
      <c r="C959" s="51" t="s">
        <v>143</v>
      </c>
      <c r="D959" s="51" t="s">
        <v>4503</v>
      </c>
      <c r="E959" s="50">
        <v>1396</v>
      </c>
      <c r="F959" s="50">
        <v>1679</v>
      </c>
      <c r="G959" s="50" t="s">
        <v>3404</v>
      </c>
      <c r="H959" s="50">
        <v>2025</v>
      </c>
      <c r="I959" s="132">
        <v>45918</v>
      </c>
      <c r="J959" s="50" t="s">
        <v>3127</v>
      </c>
      <c r="K959" s="50" t="s">
        <v>224</v>
      </c>
      <c r="L959" s="50" t="s">
        <v>2289</v>
      </c>
      <c r="M959" s="50" t="s">
        <v>212</v>
      </c>
      <c r="N959" s="50" t="s">
        <v>4504</v>
      </c>
      <c r="O959" s="60">
        <v>45918</v>
      </c>
      <c r="P959" s="60">
        <v>45918</v>
      </c>
      <c r="Q959" s="60">
        <v>45918</v>
      </c>
      <c r="R959" s="60">
        <v>45919</v>
      </c>
      <c r="S959" s="50">
        <f t="shared" si="95"/>
        <v>1</v>
      </c>
      <c r="T959" s="50">
        <f t="shared" si="102"/>
        <v>1</v>
      </c>
      <c r="U959" s="50">
        <f t="shared" si="103"/>
        <v>1</v>
      </c>
      <c r="V959" s="50">
        <f t="shared" si="98"/>
        <v>1</v>
      </c>
      <c r="W959" s="50" t="s">
        <v>150</v>
      </c>
      <c r="X959" s="50" t="s">
        <v>1078</v>
      </c>
      <c r="Y959" s="50" t="s">
        <v>50</v>
      </c>
      <c r="Z959" s="50" t="s">
        <v>3406</v>
      </c>
      <c r="AA959" s="50"/>
    </row>
    <row r="960" spans="1:27" ht="25.5" customHeight="1">
      <c r="A960" s="517" t="s">
        <v>2286</v>
      </c>
      <c r="B960" s="51" t="s">
        <v>1169</v>
      </c>
      <c r="C960" s="51" t="s">
        <v>143</v>
      </c>
      <c r="D960" s="51" t="s">
        <v>4505</v>
      </c>
      <c r="E960" s="50">
        <v>2083</v>
      </c>
      <c r="F960" s="50">
        <v>2472</v>
      </c>
      <c r="G960" s="50" t="s">
        <v>3955</v>
      </c>
      <c r="H960" s="50"/>
      <c r="I960" s="105"/>
      <c r="J960" s="50"/>
      <c r="K960" s="50" t="s">
        <v>224</v>
      </c>
      <c r="L960" s="50" t="s">
        <v>2289</v>
      </c>
      <c r="M960" s="50" t="s">
        <v>212</v>
      </c>
      <c r="N960" s="50"/>
      <c r="O960" s="50"/>
      <c r="P960" s="50"/>
      <c r="Q960" s="50"/>
      <c r="R960" s="50"/>
      <c r="S960" s="50" t="str">
        <f t="shared" si="95"/>
        <v/>
      </c>
      <c r="T960" s="50" t="str">
        <f t="shared" si="102"/>
        <v/>
      </c>
      <c r="U960" s="50" t="str">
        <f t="shared" si="103"/>
        <v/>
      </c>
      <c r="V960" s="50" t="str">
        <f t="shared" si="98"/>
        <v/>
      </c>
      <c r="W960" s="50"/>
      <c r="X960" s="50"/>
      <c r="Y960" s="50"/>
      <c r="Z960" s="50"/>
      <c r="AA960" s="50"/>
    </row>
    <row r="961" spans="1:27" ht="25.5" customHeight="1">
      <c r="A961" s="517" t="s">
        <v>2286</v>
      </c>
      <c r="B961" s="51" t="s">
        <v>1169</v>
      </c>
      <c r="C961" s="51" t="s">
        <v>143</v>
      </c>
      <c r="D961" s="51" t="s">
        <v>4506</v>
      </c>
      <c r="E961" s="50">
        <v>7467</v>
      </c>
      <c r="F961" s="50">
        <v>8355</v>
      </c>
      <c r="G961" s="50" t="s">
        <v>3404</v>
      </c>
      <c r="H961" s="50">
        <v>2025</v>
      </c>
      <c r="I961" s="132">
        <v>45707</v>
      </c>
      <c r="J961" s="50" t="s">
        <v>3416</v>
      </c>
      <c r="K961" s="50" t="s">
        <v>224</v>
      </c>
      <c r="L961" s="50" t="s">
        <v>2289</v>
      </c>
      <c r="M961" s="50" t="s">
        <v>212</v>
      </c>
      <c r="N961" s="50" t="s">
        <v>4507</v>
      </c>
      <c r="O961" s="60">
        <v>45707</v>
      </c>
      <c r="P961" s="60">
        <v>45713</v>
      </c>
      <c r="Q961" s="60">
        <v>45714</v>
      </c>
      <c r="R961" s="60">
        <v>45719</v>
      </c>
      <c r="S961" s="50">
        <f t="shared" si="95"/>
        <v>1</v>
      </c>
      <c r="T961" s="50">
        <f t="shared" si="102"/>
        <v>4</v>
      </c>
      <c r="U961" s="50">
        <f t="shared" si="103"/>
        <v>1</v>
      </c>
      <c r="V961" s="50">
        <f t="shared" si="98"/>
        <v>3</v>
      </c>
      <c r="W961" s="50" t="s">
        <v>150</v>
      </c>
      <c r="X961" s="50" t="s">
        <v>1078</v>
      </c>
      <c r="Y961" s="50" t="s">
        <v>50</v>
      </c>
      <c r="Z961" s="50" t="s">
        <v>3406</v>
      </c>
      <c r="AA961" s="50"/>
    </row>
    <row r="962" spans="1:27" ht="25.5" customHeight="1">
      <c r="A962" s="517" t="s">
        <v>2286</v>
      </c>
      <c r="B962" s="51" t="s">
        <v>1169</v>
      </c>
      <c r="C962" s="51" t="s">
        <v>143</v>
      </c>
      <c r="D962" s="51" t="s">
        <v>4508</v>
      </c>
      <c r="E962" s="50">
        <v>5156</v>
      </c>
      <c r="F962" s="50">
        <v>5355</v>
      </c>
      <c r="G962" s="50" t="s">
        <v>3404</v>
      </c>
      <c r="H962" s="50">
        <v>2025</v>
      </c>
      <c r="I962" s="132">
        <v>45707</v>
      </c>
      <c r="J962" s="50" t="s">
        <v>3416</v>
      </c>
      <c r="K962" s="50" t="s">
        <v>224</v>
      </c>
      <c r="L962" s="50" t="s">
        <v>2289</v>
      </c>
      <c r="M962" s="50" t="s">
        <v>212</v>
      </c>
      <c r="N962" s="50" t="s">
        <v>4509</v>
      </c>
      <c r="O962" s="60">
        <v>45707</v>
      </c>
      <c r="P962" s="60">
        <v>45713</v>
      </c>
      <c r="Q962" s="60">
        <v>45714</v>
      </c>
      <c r="R962" s="60">
        <v>45719</v>
      </c>
      <c r="S962" s="50">
        <f t="shared" si="95"/>
        <v>1</v>
      </c>
      <c r="T962" s="50">
        <f t="shared" si="102"/>
        <v>4</v>
      </c>
      <c r="U962" s="50">
        <f t="shared" si="103"/>
        <v>1</v>
      </c>
      <c r="V962" s="50">
        <f t="shared" si="98"/>
        <v>3</v>
      </c>
      <c r="W962" s="50" t="s">
        <v>150</v>
      </c>
      <c r="X962" s="50" t="s">
        <v>1078</v>
      </c>
      <c r="Y962" s="50" t="s">
        <v>50</v>
      </c>
      <c r="Z962" s="50" t="s">
        <v>3406</v>
      </c>
      <c r="AA962" s="50"/>
    </row>
    <row r="963" spans="1:27" ht="25.5" customHeight="1">
      <c r="A963" s="517" t="s">
        <v>2286</v>
      </c>
      <c r="B963" s="51" t="s">
        <v>1169</v>
      </c>
      <c r="C963" s="51" t="s">
        <v>143</v>
      </c>
      <c r="D963" s="51" t="s">
        <v>4510</v>
      </c>
      <c r="E963" s="50">
        <v>1969</v>
      </c>
      <c r="F963" s="50">
        <v>2086</v>
      </c>
      <c r="G963" s="50" t="s">
        <v>3955</v>
      </c>
      <c r="H963" s="50"/>
      <c r="I963" s="105"/>
      <c r="J963" s="50"/>
      <c r="K963" s="50" t="s">
        <v>224</v>
      </c>
      <c r="L963" s="50" t="s">
        <v>2289</v>
      </c>
      <c r="M963" s="50" t="s">
        <v>212</v>
      </c>
      <c r="N963" s="50"/>
      <c r="O963" s="50"/>
      <c r="P963" s="50"/>
      <c r="Q963" s="50"/>
      <c r="R963" s="50"/>
      <c r="S963" s="50" t="str">
        <f t="shared" si="95"/>
        <v/>
      </c>
      <c r="T963" s="50" t="str">
        <f t="shared" si="102"/>
        <v/>
      </c>
      <c r="U963" s="50" t="str">
        <f t="shared" si="103"/>
        <v/>
      </c>
      <c r="V963" s="50" t="str">
        <f t="shared" si="98"/>
        <v/>
      </c>
      <c r="W963" s="50"/>
      <c r="X963" s="50"/>
      <c r="Y963" s="50"/>
      <c r="Z963" s="50"/>
      <c r="AA963" s="50"/>
    </row>
    <row r="964" spans="1:27" ht="25.5" customHeight="1">
      <c r="A964" s="517" t="s">
        <v>2286</v>
      </c>
      <c r="B964" s="51" t="s">
        <v>1169</v>
      </c>
      <c r="C964" s="51" t="s">
        <v>143</v>
      </c>
      <c r="D964" s="51" t="s">
        <v>4511</v>
      </c>
      <c r="E964" s="50">
        <v>1081</v>
      </c>
      <c r="F964" s="50">
        <v>1230</v>
      </c>
      <c r="G964" s="50" t="s">
        <v>3404</v>
      </c>
      <c r="H964" s="50">
        <v>2025</v>
      </c>
      <c r="I964" s="132">
        <v>45918</v>
      </c>
      <c r="J964" s="50" t="s">
        <v>3127</v>
      </c>
      <c r="K964" s="50" t="s">
        <v>224</v>
      </c>
      <c r="L964" s="50" t="s">
        <v>2289</v>
      </c>
      <c r="M964" s="50" t="s">
        <v>212</v>
      </c>
      <c r="N964" s="50" t="s">
        <v>4512</v>
      </c>
      <c r="O964" s="60">
        <v>45918</v>
      </c>
      <c r="P964" s="60">
        <v>45918</v>
      </c>
      <c r="Q964" s="60">
        <v>45918</v>
      </c>
      <c r="R964" s="60">
        <v>45918</v>
      </c>
      <c r="S964" s="50">
        <f t="shared" si="95"/>
        <v>1</v>
      </c>
      <c r="T964" s="50">
        <f t="shared" si="102"/>
        <v>1</v>
      </c>
      <c r="U964" s="50">
        <f t="shared" si="103"/>
        <v>1</v>
      </c>
      <c r="V964" s="50">
        <f t="shared" si="98"/>
        <v>1</v>
      </c>
      <c r="W964" s="50" t="s">
        <v>150</v>
      </c>
      <c r="X964" s="50" t="s">
        <v>1078</v>
      </c>
      <c r="Y964" s="50" t="s">
        <v>50</v>
      </c>
      <c r="Z964" s="50" t="s">
        <v>3406</v>
      </c>
      <c r="AA964" s="50"/>
    </row>
    <row r="965" spans="1:27" ht="25.5" customHeight="1">
      <c r="A965" s="517" t="s">
        <v>2286</v>
      </c>
      <c r="B965" s="51" t="s">
        <v>1169</v>
      </c>
      <c r="C965" s="51" t="s">
        <v>143</v>
      </c>
      <c r="D965" s="51" t="s">
        <v>3699</v>
      </c>
      <c r="E965" s="50">
        <v>2503</v>
      </c>
      <c r="F965" s="50">
        <v>2631</v>
      </c>
      <c r="G965" s="50" t="s">
        <v>3404</v>
      </c>
      <c r="H965" s="50">
        <v>2025</v>
      </c>
      <c r="I965" s="132">
        <v>45800</v>
      </c>
      <c r="J965" s="50" t="s">
        <v>3689</v>
      </c>
      <c r="K965" s="50" t="s">
        <v>224</v>
      </c>
      <c r="L965" s="50" t="s">
        <v>2289</v>
      </c>
      <c r="M965" s="50" t="s">
        <v>212</v>
      </c>
      <c r="N965" s="50" t="s">
        <v>4513</v>
      </c>
      <c r="O965" s="60">
        <v>45803</v>
      </c>
      <c r="P965" s="60">
        <v>45805</v>
      </c>
      <c r="Q965" s="60">
        <v>45806</v>
      </c>
      <c r="R965" s="60">
        <v>45807</v>
      </c>
      <c r="S965" s="50">
        <f t="shared" si="95"/>
        <v>1</v>
      </c>
      <c r="T965" s="50">
        <f t="shared" si="102"/>
        <v>2</v>
      </c>
      <c r="U965" s="50">
        <f t="shared" si="103"/>
        <v>1</v>
      </c>
      <c r="V965" s="50">
        <f t="shared" si="98"/>
        <v>1</v>
      </c>
      <c r="W965" s="50" t="s">
        <v>150</v>
      </c>
      <c r="X965" s="50" t="s">
        <v>1078</v>
      </c>
      <c r="Y965" s="50" t="s">
        <v>50</v>
      </c>
      <c r="Z965" s="50" t="s">
        <v>3406</v>
      </c>
      <c r="AA965" s="50"/>
    </row>
    <row r="966" spans="1:27" ht="25.5" customHeight="1">
      <c r="A966" s="517" t="s">
        <v>2286</v>
      </c>
      <c r="B966" s="51" t="s">
        <v>1169</v>
      </c>
      <c r="C966" s="51" t="s">
        <v>143</v>
      </c>
      <c r="D966" s="51" t="s">
        <v>1197</v>
      </c>
      <c r="E966" s="50">
        <v>2192</v>
      </c>
      <c r="F966" s="50">
        <v>2527</v>
      </c>
      <c r="G966" s="50" t="s">
        <v>3404</v>
      </c>
      <c r="H966" s="50">
        <v>2025</v>
      </c>
      <c r="I966" s="132">
        <v>45925</v>
      </c>
      <c r="J966" s="50" t="s">
        <v>3128</v>
      </c>
      <c r="K966" s="50" t="s">
        <v>224</v>
      </c>
      <c r="L966" s="50" t="s">
        <v>2289</v>
      </c>
      <c r="M966" s="50" t="s">
        <v>212</v>
      </c>
      <c r="N966" s="50" t="s">
        <v>4514</v>
      </c>
      <c r="O966" s="60">
        <v>45926</v>
      </c>
      <c r="P966" s="60">
        <v>45929</v>
      </c>
      <c r="Q966" s="60">
        <v>45929</v>
      </c>
      <c r="R966" s="60">
        <v>45929</v>
      </c>
      <c r="S966" s="50">
        <f t="shared" si="95"/>
        <v>1</v>
      </c>
      <c r="T966" s="50">
        <f t="shared" si="102"/>
        <v>1</v>
      </c>
      <c r="U966" s="50">
        <f t="shared" si="103"/>
        <v>1</v>
      </c>
      <c r="V966" s="50">
        <f t="shared" si="98"/>
        <v>1</v>
      </c>
      <c r="W966" s="50" t="s">
        <v>150</v>
      </c>
      <c r="X966" s="50" t="s">
        <v>1078</v>
      </c>
      <c r="Y966" s="50" t="s">
        <v>50</v>
      </c>
      <c r="Z966" s="50" t="s">
        <v>3406</v>
      </c>
      <c r="AA966" s="50"/>
    </row>
    <row r="967" spans="1:27" ht="25.5" customHeight="1">
      <c r="A967" s="517" t="s">
        <v>2286</v>
      </c>
      <c r="B967" s="51" t="s">
        <v>1169</v>
      </c>
      <c r="C967" s="51" t="s">
        <v>143</v>
      </c>
      <c r="D967" s="51" t="s">
        <v>4515</v>
      </c>
      <c r="E967" s="50">
        <v>1660</v>
      </c>
      <c r="F967" s="50">
        <v>2306</v>
      </c>
      <c r="G967" s="50" t="s">
        <v>3955</v>
      </c>
      <c r="H967" s="50"/>
      <c r="I967" s="105"/>
      <c r="J967" s="50"/>
      <c r="K967" s="50" t="s">
        <v>224</v>
      </c>
      <c r="L967" s="50" t="s">
        <v>2289</v>
      </c>
      <c r="M967" s="50" t="s">
        <v>212</v>
      </c>
      <c r="N967" s="50"/>
      <c r="O967" s="50"/>
      <c r="P967" s="50"/>
      <c r="Q967" s="50"/>
      <c r="R967" s="50"/>
      <c r="S967" s="50" t="str">
        <f t="shared" ref="S967:S1030" si="104">IF(
    OR(ISBLANK(I967), ISBLANK(O967)),
    "",
    MAX(1, IF(
        NETWORKDAYS(I967, O967) &lt;= 0,
        1,
        NETWORKDAYS(I967, O967) - IF(I967 = O967, 0, 1)
    ))
)</f>
        <v/>
      </c>
      <c r="T967" s="50" t="str">
        <f t="shared" si="102"/>
        <v/>
      </c>
      <c r="U967" s="50" t="str">
        <f t="shared" si="103"/>
        <v/>
      </c>
      <c r="V967" s="50" t="str">
        <f t="shared" si="98"/>
        <v/>
      </c>
      <c r="W967" s="50"/>
      <c r="X967" s="50"/>
      <c r="Y967" s="50"/>
      <c r="Z967" s="50"/>
      <c r="AA967" s="50"/>
    </row>
    <row r="968" spans="1:27" ht="25.5" customHeight="1">
      <c r="A968" s="517" t="s">
        <v>2286</v>
      </c>
      <c r="B968" s="51" t="s">
        <v>1169</v>
      </c>
      <c r="C968" s="51" t="s">
        <v>143</v>
      </c>
      <c r="D968" s="51" t="s">
        <v>4516</v>
      </c>
      <c r="E968" s="50">
        <v>2122</v>
      </c>
      <c r="F968" s="50">
        <v>2383</v>
      </c>
      <c r="G968" s="50" t="s">
        <v>3955</v>
      </c>
      <c r="H968" s="50"/>
      <c r="I968" s="105"/>
      <c r="J968" s="50"/>
      <c r="K968" s="50" t="s">
        <v>224</v>
      </c>
      <c r="L968" s="50" t="s">
        <v>2289</v>
      </c>
      <c r="M968" s="50" t="s">
        <v>212</v>
      </c>
      <c r="N968" s="50"/>
      <c r="O968" s="50"/>
      <c r="P968" s="50"/>
      <c r="Q968" s="50"/>
      <c r="R968" s="50"/>
      <c r="S968" s="50" t="str">
        <f t="shared" si="104"/>
        <v/>
      </c>
      <c r="T968" s="50" t="str">
        <f t="shared" si="102"/>
        <v/>
      </c>
      <c r="U968" s="50" t="str">
        <f t="shared" si="103"/>
        <v/>
      </c>
      <c r="V968" s="50" t="str">
        <f t="shared" si="98"/>
        <v/>
      </c>
      <c r="W968" s="50"/>
      <c r="X968" s="50"/>
      <c r="Y968" s="50"/>
      <c r="Z968" s="50"/>
      <c r="AA968" s="50"/>
    </row>
    <row r="969" spans="1:27" ht="25.5" customHeight="1">
      <c r="A969" s="517" t="s">
        <v>2286</v>
      </c>
      <c r="B969" s="51" t="s">
        <v>1169</v>
      </c>
      <c r="C969" s="51" t="s">
        <v>143</v>
      </c>
      <c r="D969" s="51" t="s">
        <v>4517</v>
      </c>
      <c r="E969" s="50">
        <v>1646</v>
      </c>
      <c r="F969" s="50">
        <v>1512</v>
      </c>
      <c r="G969" s="50" t="s">
        <v>3955</v>
      </c>
      <c r="H969" s="50"/>
      <c r="I969" s="105"/>
      <c r="J969" s="50"/>
      <c r="K969" s="50" t="s">
        <v>224</v>
      </c>
      <c r="L969" s="50" t="s">
        <v>2289</v>
      </c>
      <c r="M969" s="50" t="s">
        <v>212</v>
      </c>
      <c r="N969" s="50"/>
      <c r="O969" s="50"/>
      <c r="P969" s="50"/>
      <c r="Q969" s="50"/>
      <c r="R969" s="50"/>
      <c r="S969" s="50" t="str">
        <f t="shared" si="104"/>
        <v/>
      </c>
      <c r="T969" s="50" t="str">
        <f t="shared" si="102"/>
        <v/>
      </c>
      <c r="U969" s="50" t="str">
        <f t="shared" si="103"/>
        <v/>
      </c>
      <c r="V969" s="50" t="str">
        <f t="shared" si="98"/>
        <v/>
      </c>
      <c r="W969" s="50"/>
      <c r="X969" s="50"/>
      <c r="Y969" s="50"/>
      <c r="Z969" s="50"/>
      <c r="AA969" s="50"/>
    </row>
    <row r="970" spans="1:27" s="110" customFormat="1" ht="25.5" customHeight="1">
      <c r="A970" s="517" t="s">
        <v>2286</v>
      </c>
      <c r="B970" s="51" t="s">
        <v>1169</v>
      </c>
      <c r="C970" s="51" t="s">
        <v>143</v>
      </c>
      <c r="D970" s="51" t="s">
        <v>4518</v>
      </c>
      <c r="E970" s="50">
        <v>1338</v>
      </c>
      <c r="F970" s="50">
        <v>1208</v>
      </c>
      <c r="G970" s="50" t="s">
        <v>3955</v>
      </c>
      <c r="H970" s="50"/>
      <c r="I970" s="105"/>
      <c r="J970" s="50"/>
      <c r="K970" s="50" t="s">
        <v>224</v>
      </c>
      <c r="L970" s="50" t="s">
        <v>2289</v>
      </c>
      <c r="M970" s="50" t="s">
        <v>212</v>
      </c>
      <c r="N970" s="50"/>
      <c r="O970" s="50"/>
      <c r="P970" s="50"/>
      <c r="Q970" s="50"/>
      <c r="R970" s="50"/>
      <c r="S970" s="50" t="str">
        <f t="shared" si="104"/>
        <v/>
      </c>
      <c r="T970" s="50" t="str">
        <f t="shared" si="102"/>
        <v/>
      </c>
      <c r="U970" s="50" t="str">
        <f t="shared" si="103"/>
        <v/>
      </c>
      <c r="V970" s="50" t="str">
        <f t="shared" si="98"/>
        <v/>
      </c>
      <c r="W970" s="50"/>
      <c r="X970" s="50"/>
      <c r="Y970" s="50"/>
      <c r="Z970" s="50"/>
      <c r="AA970" s="50"/>
    </row>
    <row r="971" spans="1:27" ht="25.5" customHeight="1">
      <c r="A971" s="517" t="s">
        <v>2286</v>
      </c>
      <c r="B971" s="51" t="s">
        <v>1169</v>
      </c>
      <c r="C971" s="51" t="s">
        <v>143</v>
      </c>
      <c r="D971" s="51" t="s">
        <v>4519</v>
      </c>
      <c r="E971" s="50">
        <v>726</v>
      </c>
      <c r="F971" s="50">
        <v>696</v>
      </c>
      <c r="G971" s="50" t="s">
        <v>3955</v>
      </c>
      <c r="H971" s="50"/>
      <c r="I971" s="105"/>
      <c r="J971" s="50"/>
      <c r="K971" s="50" t="s">
        <v>224</v>
      </c>
      <c r="L971" s="50" t="s">
        <v>2289</v>
      </c>
      <c r="M971" s="50" t="s">
        <v>212</v>
      </c>
      <c r="N971" s="50"/>
      <c r="O971" s="50"/>
      <c r="P971" s="50"/>
      <c r="Q971" s="50"/>
      <c r="R971" s="50"/>
      <c r="S971" s="50" t="str">
        <f t="shared" si="104"/>
        <v/>
      </c>
      <c r="T971" s="50" t="str">
        <f t="shared" si="102"/>
        <v/>
      </c>
      <c r="U971" s="50" t="str">
        <f t="shared" si="103"/>
        <v/>
      </c>
      <c r="V971" s="50" t="str">
        <f t="shared" si="98"/>
        <v/>
      </c>
      <c r="W971" s="50"/>
      <c r="X971" s="50"/>
      <c r="Y971" s="50"/>
      <c r="Z971" s="50"/>
      <c r="AA971" s="50"/>
    </row>
    <row r="972" spans="1:27" ht="25.5" customHeight="1">
      <c r="A972" s="517" t="s">
        <v>2286</v>
      </c>
      <c r="B972" s="51" t="s">
        <v>1169</v>
      </c>
      <c r="C972" s="51" t="s">
        <v>143</v>
      </c>
      <c r="D972" s="51" t="s">
        <v>3809</v>
      </c>
      <c r="E972" s="50">
        <v>2953</v>
      </c>
      <c r="F972" s="50">
        <v>3272</v>
      </c>
      <c r="G972" s="50" t="s">
        <v>3404</v>
      </c>
      <c r="H972" s="50">
        <v>2024</v>
      </c>
      <c r="I972" s="132">
        <v>45422</v>
      </c>
      <c r="J972" s="50"/>
      <c r="K972" s="50" t="s">
        <v>224</v>
      </c>
      <c r="L972" s="50" t="s">
        <v>2289</v>
      </c>
      <c r="M972" s="50" t="s">
        <v>212</v>
      </c>
      <c r="N972" s="50"/>
      <c r="O972" s="50"/>
      <c r="P972" s="50"/>
      <c r="Q972" s="50"/>
      <c r="R972" s="50"/>
      <c r="S972" s="50" t="str">
        <f t="shared" si="104"/>
        <v/>
      </c>
      <c r="T972" s="50" t="str">
        <f t="shared" si="102"/>
        <v/>
      </c>
      <c r="U972" s="50" t="str">
        <f t="shared" si="103"/>
        <v/>
      </c>
      <c r="V972" s="50" t="str">
        <f t="shared" si="98"/>
        <v/>
      </c>
      <c r="W972" s="50"/>
      <c r="X972" s="50"/>
      <c r="Y972" s="50"/>
      <c r="Z972" s="50" t="s">
        <v>3406</v>
      </c>
      <c r="AA972" s="50"/>
    </row>
    <row r="973" spans="1:27" ht="25.5" customHeight="1">
      <c r="A973" s="517" t="s">
        <v>2286</v>
      </c>
      <c r="B973" s="51" t="s">
        <v>1169</v>
      </c>
      <c r="C973" s="51" t="s">
        <v>143</v>
      </c>
      <c r="D973" s="51" t="s">
        <v>4520</v>
      </c>
      <c r="E973" s="50">
        <v>1221</v>
      </c>
      <c r="F973" s="50">
        <v>1520</v>
      </c>
      <c r="G973" s="50" t="s">
        <v>3955</v>
      </c>
      <c r="H973" s="50"/>
      <c r="I973" s="105"/>
      <c r="J973" s="50"/>
      <c r="K973" s="50" t="s">
        <v>224</v>
      </c>
      <c r="L973" s="50" t="s">
        <v>2289</v>
      </c>
      <c r="M973" s="50" t="s">
        <v>212</v>
      </c>
      <c r="N973" s="50"/>
      <c r="O973" s="50"/>
      <c r="P973" s="50"/>
      <c r="Q973" s="50"/>
      <c r="R973" s="50"/>
      <c r="S973" s="50" t="str">
        <f t="shared" si="104"/>
        <v/>
      </c>
      <c r="T973" s="50" t="str">
        <f t="shared" si="102"/>
        <v/>
      </c>
      <c r="U973" s="50" t="str">
        <f t="shared" si="103"/>
        <v/>
      </c>
      <c r="V973" s="50" t="str">
        <f t="shared" si="98"/>
        <v/>
      </c>
      <c r="W973" s="50"/>
      <c r="X973" s="50"/>
      <c r="Y973" s="50"/>
      <c r="Z973" s="50"/>
      <c r="AA973" s="50"/>
    </row>
    <row r="974" spans="1:27" ht="25.5" customHeight="1">
      <c r="A974" s="517" t="s">
        <v>2286</v>
      </c>
      <c r="B974" s="51" t="s">
        <v>1169</v>
      </c>
      <c r="C974" s="51" t="s">
        <v>143</v>
      </c>
      <c r="D974" s="51" t="s">
        <v>4521</v>
      </c>
      <c r="E974" s="50">
        <v>1731</v>
      </c>
      <c r="F974" s="50">
        <v>2355</v>
      </c>
      <c r="G974" s="50" t="s">
        <v>3404</v>
      </c>
      <c r="H974" s="50">
        <v>2025</v>
      </c>
      <c r="I974" s="132">
        <v>45925</v>
      </c>
      <c r="J974" s="50" t="s">
        <v>3128</v>
      </c>
      <c r="K974" s="50" t="s">
        <v>224</v>
      </c>
      <c r="L974" s="50" t="s">
        <v>2289</v>
      </c>
      <c r="M974" s="50" t="s">
        <v>212</v>
      </c>
      <c r="N974" s="50" t="s">
        <v>4522</v>
      </c>
      <c r="O974" s="60">
        <v>45926</v>
      </c>
      <c r="P974" s="60">
        <v>45929</v>
      </c>
      <c r="Q974" s="60">
        <v>45929</v>
      </c>
      <c r="R974" s="60">
        <v>45929</v>
      </c>
      <c r="S974" s="50">
        <f t="shared" si="104"/>
        <v>1</v>
      </c>
      <c r="T974" s="50">
        <f t="shared" si="102"/>
        <v>1</v>
      </c>
      <c r="U974" s="50">
        <f t="shared" si="103"/>
        <v>1</v>
      </c>
      <c r="V974" s="50">
        <f t="shared" si="98"/>
        <v>1</v>
      </c>
      <c r="W974" s="50" t="s">
        <v>150</v>
      </c>
      <c r="X974" s="50" t="s">
        <v>1078</v>
      </c>
      <c r="Y974" s="50" t="s">
        <v>50</v>
      </c>
      <c r="Z974" s="50" t="s">
        <v>3406</v>
      </c>
      <c r="AA974" s="50"/>
    </row>
    <row r="975" spans="1:27" ht="25.5" customHeight="1">
      <c r="A975" s="517" t="s">
        <v>2286</v>
      </c>
      <c r="B975" s="51" t="s">
        <v>1169</v>
      </c>
      <c r="C975" s="51" t="s">
        <v>143</v>
      </c>
      <c r="D975" s="51" t="s">
        <v>4523</v>
      </c>
      <c r="E975" s="50">
        <v>1780</v>
      </c>
      <c r="F975" s="50">
        <v>1934</v>
      </c>
      <c r="G975" s="50" t="s">
        <v>3955</v>
      </c>
      <c r="H975" s="50"/>
      <c r="I975" s="105"/>
      <c r="J975" s="50"/>
      <c r="K975" s="50" t="s">
        <v>224</v>
      </c>
      <c r="L975" s="50" t="s">
        <v>2289</v>
      </c>
      <c r="M975" s="50" t="s">
        <v>212</v>
      </c>
      <c r="N975" s="50"/>
      <c r="O975" s="50"/>
      <c r="P975" s="50"/>
      <c r="Q975" s="50"/>
      <c r="R975" s="50"/>
      <c r="S975" s="50" t="str">
        <f t="shared" si="104"/>
        <v/>
      </c>
      <c r="T975" s="50" t="str">
        <f t="shared" si="102"/>
        <v/>
      </c>
      <c r="U975" s="50" t="str">
        <f t="shared" si="103"/>
        <v/>
      </c>
      <c r="V975" s="50" t="str">
        <f t="shared" si="98"/>
        <v/>
      </c>
      <c r="W975" s="50"/>
      <c r="X975" s="50"/>
      <c r="Y975" s="50"/>
      <c r="Z975" s="50"/>
      <c r="AA975" s="50"/>
    </row>
    <row r="976" spans="1:27" ht="25.5" customHeight="1">
      <c r="A976" s="517" t="s">
        <v>2286</v>
      </c>
      <c r="B976" s="51" t="s">
        <v>1169</v>
      </c>
      <c r="C976" s="51" t="s">
        <v>143</v>
      </c>
      <c r="D976" s="51" t="s">
        <v>4524</v>
      </c>
      <c r="E976" s="50">
        <v>2251</v>
      </c>
      <c r="F976" s="50">
        <v>2771</v>
      </c>
      <c r="G976" s="50" t="s">
        <v>3955</v>
      </c>
      <c r="H976" s="50"/>
      <c r="I976" s="105"/>
      <c r="J976" s="50"/>
      <c r="K976" s="50" t="s">
        <v>224</v>
      </c>
      <c r="L976" s="50" t="s">
        <v>2289</v>
      </c>
      <c r="M976" s="50" t="s">
        <v>212</v>
      </c>
      <c r="N976" s="50"/>
      <c r="O976" s="50"/>
      <c r="P976" s="50"/>
      <c r="Q976" s="50"/>
      <c r="R976" s="50"/>
      <c r="S976" s="50" t="str">
        <f t="shared" si="104"/>
        <v/>
      </c>
      <c r="T976" s="50" t="str">
        <f t="shared" si="102"/>
        <v/>
      </c>
      <c r="U976" s="50" t="str">
        <f t="shared" si="103"/>
        <v/>
      </c>
      <c r="V976" s="50" t="str">
        <f t="shared" si="98"/>
        <v/>
      </c>
      <c r="W976" s="50"/>
      <c r="X976" s="50"/>
      <c r="Y976" s="50"/>
      <c r="Z976" s="50"/>
      <c r="AA976" s="50"/>
    </row>
    <row r="977" spans="1:27" ht="25.5" customHeight="1">
      <c r="A977" s="517" t="s">
        <v>2286</v>
      </c>
      <c r="B977" s="51" t="s">
        <v>1169</v>
      </c>
      <c r="C977" s="51" t="s">
        <v>143</v>
      </c>
      <c r="D977" s="51" t="s">
        <v>918</v>
      </c>
      <c r="E977" s="50">
        <v>4768</v>
      </c>
      <c r="F977" s="50">
        <v>5255</v>
      </c>
      <c r="G977" s="50" t="s">
        <v>3955</v>
      </c>
      <c r="H977" s="50"/>
      <c r="I977" s="105"/>
      <c r="J977" s="50"/>
      <c r="K977" s="50" t="s">
        <v>224</v>
      </c>
      <c r="L977" s="50" t="s">
        <v>2289</v>
      </c>
      <c r="M977" s="50" t="s">
        <v>212</v>
      </c>
      <c r="N977" s="50"/>
      <c r="O977" s="50"/>
      <c r="P977" s="50"/>
      <c r="Q977" s="50"/>
      <c r="R977" s="50"/>
      <c r="S977" s="50" t="str">
        <f t="shared" si="104"/>
        <v/>
      </c>
      <c r="T977" s="50" t="str">
        <f t="shared" si="102"/>
        <v/>
      </c>
      <c r="U977" s="50" t="str">
        <f t="shared" si="103"/>
        <v/>
      </c>
      <c r="V977" s="50" t="str">
        <f t="shared" si="98"/>
        <v/>
      </c>
      <c r="W977" s="50"/>
      <c r="X977" s="50"/>
      <c r="Y977" s="50"/>
      <c r="Z977" s="50"/>
      <c r="AA977" s="50"/>
    </row>
    <row r="978" spans="1:27" ht="25.5" customHeight="1">
      <c r="A978" s="517" t="s">
        <v>2286</v>
      </c>
      <c r="B978" s="51" t="s">
        <v>1169</v>
      </c>
      <c r="C978" s="51" t="s">
        <v>143</v>
      </c>
      <c r="D978" s="51" t="s">
        <v>4525</v>
      </c>
      <c r="E978" s="50">
        <v>1979</v>
      </c>
      <c r="F978" s="50">
        <v>2056</v>
      </c>
      <c r="G978" s="50" t="s">
        <v>3404</v>
      </c>
      <c r="H978" s="50">
        <v>2025</v>
      </c>
      <c r="I978" s="132">
        <v>45883</v>
      </c>
      <c r="J978" s="50" t="s">
        <v>3126</v>
      </c>
      <c r="K978" s="50" t="s">
        <v>224</v>
      </c>
      <c r="L978" s="50" t="s">
        <v>2289</v>
      </c>
      <c r="M978" s="50" t="s">
        <v>212</v>
      </c>
      <c r="N978" s="50" t="s">
        <v>4526</v>
      </c>
      <c r="O978" s="60">
        <v>45886</v>
      </c>
      <c r="P978" s="60">
        <v>45887</v>
      </c>
      <c r="Q978" s="60">
        <v>45887</v>
      </c>
      <c r="R978" s="60">
        <v>45887</v>
      </c>
      <c r="S978" s="50">
        <f t="shared" si="104"/>
        <v>1</v>
      </c>
      <c r="T978" s="50">
        <f t="shared" si="102"/>
        <v>1</v>
      </c>
      <c r="U978" s="50">
        <f t="shared" si="103"/>
        <v>1</v>
      </c>
      <c r="V978" s="50">
        <f t="shared" si="98"/>
        <v>1</v>
      </c>
      <c r="W978" s="50" t="s">
        <v>150</v>
      </c>
      <c r="X978" s="50" t="s">
        <v>1078</v>
      </c>
      <c r="Y978" s="50" t="s">
        <v>50</v>
      </c>
      <c r="Z978" s="50" t="s">
        <v>3406</v>
      </c>
      <c r="AA978" s="50"/>
    </row>
    <row r="979" spans="1:27" ht="25.5" customHeight="1">
      <c r="A979" s="517" t="s">
        <v>2286</v>
      </c>
      <c r="B979" s="51" t="s">
        <v>1169</v>
      </c>
      <c r="C979" s="51" t="s">
        <v>143</v>
      </c>
      <c r="D979" s="51" t="s">
        <v>1424</v>
      </c>
      <c r="E979" s="50">
        <v>1195</v>
      </c>
      <c r="F979" s="50">
        <v>1185</v>
      </c>
      <c r="G979" s="50" t="s">
        <v>3404</v>
      </c>
      <c r="H979" s="50">
        <v>2025</v>
      </c>
      <c r="I979" s="132">
        <v>45925</v>
      </c>
      <c r="J979" s="50" t="s">
        <v>3128</v>
      </c>
      <c r="K979" s="50" t="s">
        <v>224</v>
      </c>
      <c r="L979" s="50" t="s">
        <v>2289</v>
      </c>
      <c r="M979" s="50" t="s">
        <v>212</v>
      </c>
      <c r="N979" s="50" t="s">
        <v>4527</v>
      </c>
      <c r="O979" s="60">
        <v>45926</v>
      </c>
      <c r="P979" s="60">
        <v>45929</v>
      </c>
      <c r="Q979" s="60">
        <v>45929</v>
      </c>
      <c r="R979" s="60">
        <v>45929</v>
      </c>
      <c r="S979" s="50">
        <f t="shared" si="104"/>
        <v>1</v>
      </c>
      <c r="T979" s="50">
        <f t="shared" si="102"/>
        <v>1</v>
      </c>
      <c r="U979" s="50">
        <f t="shared" si="103"/>
        <v>1</v>
      </c>
      <c r="V979" s="50">
        <f t="shared" si="98"/>
        <v>1</v>
      </c>
      <c r="W979" s="50" t="s">
        <v>150</v>
      </c>
      <c r="X979" s="50" t="s">
        <v>1078</v>
      </c>
      <c r="Y979" s="50" t="s">
        <v>50</v>
      </c>
      <c r="Z979" s="50" t="s">
        <v>3406</v>
      </c>
      <c r="AA979" s="50"/>
    </row>
    <row r="980" spans="1:27" ht="25.5" customHeight="1">
      <c r="A980" s="517" t="s">
        <v>2286</v>
      </c>
      <c r="B980" s="51" t="s">
        <v>1169</v>
      </c>
      <c r="C980" s="51" t="s">
        <v>143</v>
      </c>
      <c r="D980" s="51" t="s">
        <v>1170</v>
      </c>
      <c r="E980" s="50">
        <v>2197</v>
      </c>
      <c r="F980" s="50">
        <v>2427</v>
      </c>
      <c r="G980" s="50" t="s">
        <v>3955</v>
      </c>
      <c r="H980" s="50"/>
      <c r="I980" s="105"/>
      <c r="J980" s="50"/>
      <c r="K980" s="50" t="s">
        <v>224</v>
      </c>
      <c r="L980" s="50" t="s">
        <v>2289</v>
      </c>
      <c r="M980" s="50" t="s">
        <v>212</v>
      </c>
      <c r="N980" s="50"/>
      <c r="O980" s="50"/>
      <c r="P980" s="50"/>
      <c r="Q980" s="50"/>
      <c r="R980" s="50"/>
      <c r="S980" s="50" t="str">
        <f t="shared" si="104"/>
        <v/>
      </c>
      <c r="T980" s="50" t="str">
        <f t="shared" si="102"/>
        <v/>
      </c>
      <c r="U980" s="50" t="str">
        <f t="shared" si="103"/>
        <v/>
      </c>
      <c r="V980" s="50" t="str">
        <f t="shared" si="98"/>
        <v/>
      </c>
      <c r="W980" s="50"/>
      <c r="X980" s="50"/>
      <c r="Y980" s="50"/>
      <c r="Z980" s="50"/>
      <c r="AA980" s="50"/>
    </row>
    <row r="981" spans="1:27" ht="25.5" customHeight="1">
      <c r="A981" s="517" t="s">
        <v>2286</v>
      </c>
      <c r="B981" s="51" t="s">
        <v>1169</v>
      </c>
      <c r="C981" s="51" t="s">
        <v>143</v>
      </c>
      <c r="D981" s="51" t="s">
        <v>4261</v>
      </c>
      <c r="E981" s="50">
        <v>2268</v>
      </c>
      <c r="F981" s="50">
        <v>2645</v>
      </c>
      <c r="G981" s="50" t="s">
        <v>3955</v>
      </c>
      <c r="H981" s="50"/>
      <c r="I981" s="105"/>
      <c r="J981" s="50"/>
      <c r="K981" s="50" t="s">
        <v>224</v>
      </c>
      <c r="L981" s="50" t="s">
        <v>2289</v>
      </c>
      <c r="M981" s="50" t="s">
        <v>212</v>
      </c>
      <c r="N981" s="50"/>
      <c r="O981" s="50"/>
      <c r="P981" s="50"/>
      <c r="Q981" s="50"/>
      <c r="R981" s="50"/>
      <c r="S981" s="50" t="str">
        <f t="shared" si="104"/>
        <v/>
      </c>
      <c r="T981" s="50" t="str">
        <f t="shared" si="102"/>
        <v/>
      </c>
      <c r="U981" s="50" t="str">
        <f t="shared" si="103"/>
        <v/>
      </c>
      <c r="V981" s="50" t="str">
        <f t="shared" si="98"/>
        <v/>
      </c>
      <c r="W981" s="50"/>
      <c r="X981" s="50"/>
      <c r="Y981" s="50"/>
      <c r="Z981" s="50"/>
      <c r="AA981" s="50"/>
    </row>
    <row r="982" spans="1:27" ht="25.5" customHeight="1">
      <c r="A982" s="517" t="s">
        <v>2286</v>
      </c>
      <c r="B982" s="51" t="s">
        <v>1169</v>
      </c>
      <c r="C982" s="51" t="s">
        <v>143</v>
      </c>
      <c r="D982" s="51" t="s">
        <v>3566</v>
      </c>
      <c r="E982" s="50">
        <v>5117</v>
      </c>
      <c r="F982" s="50">
        <v>5708</v>
      </c>
      <c r="G982" s="50" t="s">
        <v>3404</v>
      </c>
      <c r="H982" s="50">
        <v>2025</v>
      </c>
      <c r="I982" s="132">
        <v>45883</v>
      </c>
      <c r="J982" s="50" t="s">
        <v>3126</v>
      </c>
      <c r="K982" s="50" t="s">
        <v>224</v>
      </c>
      <c r="L982" s="50" t="s">
        <v>2289</v>
      </c>
      <c r="M982" s="50" t="s">
        <v>212</v>
      </c>
      <c r="N982" s="50" t="s">
        <v>4528</v>
      </c>
      <c r="O982" s="60">
        <v>45886</v>
      </c>
      <c r="P982" s="60">
        <v>45887</v>
      </c>
      <c r="Q982" s="60">
        <v>45887</v>
      </c>
      <c r="R982" s="60">
        <v>45887</v>
      </c>
      <c r="S982" s="50">
        <f t="shared" si="104"/>
        <v>1</v>
      </c>
      <c r="T982" s="50">
        <f t="shared" si="102"/>
        <v>1</v>
      </c>
      <c r="U982" s="50">
        <f t="shared" si="103"/>
        <v>1</v>
      </c>
      <c r="V982" s="50">
        <f t="shared" si="98"/>
        <v>1</v>
      </c>
      <c r="W982" s="50" t="s">
        <v>150</v>
      </c>
      <c r="X982" s="50" t="s">
        <v>1078</v>
      </c>
      <c r="Y982" s="50" t="s">
        <v>50</v>
      </c>
      <c r="Z982" s="50" t="s">
        <v>3406</v>
      </c>
      <c r="AA982" s="50"/>
    </row>
    <row r="983" spans="1:27" ht="25.5" customHeight="1">
      <c r="A983" s="517" t="s">
        <v>2286</v>
      </c>
      <c r="B983" s="51" t="s">
        <v>1169</v>
      </c>
      <c r="C983" s="51" t="s">
        <v>143</v>
      </c>
      <c r="D983" s="51" t="s">
        <v>4529</v>
      </c>
      <c r="E983" s="50">
        <v>1039</v>
      </c>
      <c r="F983" s="50">
        <v>887</v>
      </c>
      <c r="G983" s="50" t="s">
        <v>3955</v>
      </c>
      <c r="H983" s="50"/>
      <c r="I983" s="105"/>
      <c r="J983" s="50"/>
      <c r="K983" s="50" t="s">
        <v>224</v>
      </c>
      <c r="L983" s="50" t="s">
        <v>2289</v>
      </c>
      <c r="M983" s="50" t="s">
        <v>212</v>
      </c>
      <c r="N983" s="50"/>
      <c r="O983" s="50"/>
      <c r="P983" s="50"/>
      <c r="Q983" s="50"/>
      <c r="R983" s="50"/>
      <c r="S983" s="50" t="str">
        <f t="shared" si="104"/>
        <v/>
      </c>
      <c r="T983" s="50" t="str">
        <f t="shared" si="102"/>
        <v/>
      </c>
      <c r="U983" s="50" t="str">
        <f t="shared" si="103"/>
        <v/>
      </c>
      <c r="V983" s="50" t="str">
        <f t="shared" si="98"/>
        <v/>
      </c>
      <c r="W983" s="50"/>
      <c r="X983" s="50"/>
      <c r="Y983" s="50"/>
      <c r="Z983" s="50"/>
      <c r="AA983" s="50"/>
    </row>
    <row r="984" spans="1:27" ht="25.5" customHeight="1">
      <c r="A984" s="517" t="s">
        <v>2286</v>
      </c>
      <c r="B984" s="51" t="s">
        <v>1169</v>
      </c>
      <c r="C984" s="51" t="s">
        <v>143</v>
      </c>
      <c r="D984" s="51" t="s">
        <v>4530</v>
      </c>
      <c r="E984" s="50">
        <v>3705</v>
      </c>
      <c r="F984" s="50">
        <v>3908</v>
      </c>
      <c r="G984" s="50" t="s">
        <v>3955</v>
      </c>
      <c r="H984" s="50"/>
      <c r="I984" s="105"/>
      <c r="J984" s="50"/>
      <c r="K984" s="50" t="s">
        <v>224</v>
      </c>
      <c r="L984" s="50" t="s">
        <v>2289</v>
      </c>
      <c r="M984" s="50" t="s">
        <v>212</v>
      </c>
      <c r="N984" s="50"/>
      <c r="O984" s="50"/>
      <c r="P984" s="50"/>
      <c r="Q984" s="50"/>
      <c r="R984" s="50"/>
      <c r="S984" s="50" t="str">
        <f t="shared" si="104"/>
        <v/>
      </c>
      <c r="T984" s="50" t="str">
        <f t="shared" si="102"/>
        <v/>
      </c>
      <c r="U984" s="50" t="str">
        <f t="shared" si="103"/>
        <v/>
      </c>
      <c r="V984" s="50" t="str">
        <f t="shared" si="98"/>
        <v/>
      </c>
      <c r="W984" s="50"/>
      <c r="X984" s="50"/>
      <c r="Y984" s="50"/>
      <c r="Z984" s="50"/>
      <c r="AA984" s="50"/>
    </row>
    <row r="985" spans="1:27" ht="25.5" customHeight="1">
      <c r="A985" s="517" t="s">
        <v>2286</v>
      </c>
      <c r="B985" s="51" t="s">
        <v>1173</v>
      </c>
      <c r="C985" s="51" t="s">
        <v>143</v>
      </c>
      <c r="D985" s="51" t="s">
        <v>4531</v>
      </c>
      <c r="E985" s="50">
        <v>3763</v>
      </c>
      <c r="F985" s="50">
        <v>3819</v>
      </c>
      <c r="G985" s="50" t="s">
        <v>3404</v>
      </c>
      <c r="H985" s="50">
        <v>2025</v>
      </c>
      <c r="I985" s="132">
        <v>45898</v>
      </c>
      <c r="J985" s="50" t="s">
        <v>3127</v>
      </c>
      <c r="K985" s="50" t="s">
        <v>267</v>
      </c>
      <c r="L985" s="50" t="s">
        <v>2289</v>
      </c>
      <c r="M985" s="50" t="s">
        <v>212</v>
      </c>
      <c r="N985" s="50" t="s">
        <v>4532</v>
      </c>
      <c r="O985" s="60">
        <v>45918</v>
      </c>
      <c r="P985" s="60">
        <v>45918</v>
      </c>
      <c r="Q985" s="60">
        <v>45918</v>
      </c>
      <c r="R985" s="60">
        <v>45918</v>
      </c>
      <c r="S985" s="50">
        <f t="shared" si="104"/>
        <v>14</v>
      </c>
      <c r="T985" s="50">
        <f t="shared" si="102"/>
        <v>1</v>
      </c>
      <c r="U985" s="50">
        <f t="shared" si="103"/>
        <v>1</v>
      </c>
      <c r="V985" s="50">
        <f t="shared" ref="V985:V1048" si="105">IF(
    OR(ISBLANK(Q985), ISBLANK(R985)),
    "",
    MAX(1, IF(
        NETWORKDAYS(Q985, R985) &lt;= 0,
        1,
        NETWORKDAYS(Q985, R985) - IF(Q985 = R985, 0, 1)
    ))
)</f>
        <v>1</v>
      </c>
      <c r="W985" s="50" t="s">
        <v>150</v>
      </c>
      <c r="X985" s="50" t="s">
        <v>4</v>
      </c>
      <c r="Y985" s="50" t="s">
        <v>50</v>
      </c>
      <c r="Z985" s="50" t="s">
        <v>3406</v>
      </c>
      <c r="AA985" s="50"/>
    </row>
    <row r="986" spans="1:27" ht="25.5" customHeight="1">
      <c r="A986" s="517" t="s">
        <v>2286</v>
      </c>
      <c r="B986" s="51" t="s">
        <v>1173</v>
      </c>
      <c r="C986" s="51" t="s">
        <v>143</v>
      </c>
      <c r="D986" s="51" t="s">
        <v>4533</v>
      </c>
      <c r="E986" s="50">
        <v>4124</v>
      </c>
      <c r="F986" s="50">
        <v>4684</v>
      </c>
      <c r="G986" s="50" t="s">
        <v>3955</v>
      </c>
      <c r="H986" s="50"/>
      <c r="I986" s="105"/>
      <c r="J986" s="50"/>
      <c r="K986" s="50" t="s">
        <v>28</v>
      </c>
      <c r="L986" s="50" t="s">
        <v>2289</v>
      </c>
      <c r="M986" s="50" t="s">
        <v>212</v>
      </c>
      <c r="N986" s="50"/>
      <c r="O986" s="50"/>
      <c r="P986" s="50"/>
      <c r="Q986" s="50"/>
      <c r="R986" s="50"/>
      <c r="S986" s="50" t="str">
        <f t="shared" si="104"/>
        <v/>
      </c>
      <c r="T986" s="50" t="str">
        <f t="shared" si="102"/>
        <v/>
      </c>
      <c r="U986" s="50" t="str">
        <f t="shared" si="103"/>
        <v/>
      </c>
      <c r="V986" s="50" t="str">
        <f t="shared" si="105"/>
        <v/>
      </c>
      <c r="W986" s="50"/>
      <c r="X986" s="50"/>
      <c r="Y986" s="50"/>
      <c r="Z986" s="50"/>
      <c r="AA986" s="50"/>
    </row>
    <row r="987" spans="1:27" ht="25.5" customHeight="1">
      <c r="A987" s="517" t="s">
        <v>2286</v>
      </c>
      <c r="B987" s="51" t="s">
        <v>1173</v>
      </c>
      <c r="C987" s="51" t="s">
        <v>143</v>
      </c>
      <c r="D987" s="51" t="s">
        <v>4534</v>
      </c>
      <c r="E987" s="50">
        <v>1263</v>
      </c>
      <c r="F987" s="50">
        <v>1515</v>
      </c>
      <c r="G987" s="50" t="s">
        <v>3955</v>
      </c>
      <c r="H987" s="50"/>
      <c r="I987" s="105"/>
      <c r="J987" s="50"/>
      <c r="K987" s="50" t="s">
        <v>28</v>
      </c>
      <c r="L987" s="50" t="s">
        <v>2289</v>
      </c>
      <c r="M987" s="50" t="s">
        <v>212</v>
      </c>
      <c r="N987" s="50"/>
      <c r="O987" s="50"/>
      <c r="P987" s="50"/>
      <c r="Q987" s="50"/>
      <c r="R987" s="50"/>
      <c r="S987" s="50" t="str">
        <f t="shared" si="104"/>
        <v/>
      </c>
      <c r="T987" s="50" t="str">
        <f t="shared" si="102"/>
        <v/>
      </c>
      <c r="U987" s="50" t="str">
        <f t="shared" si="103"/>
        <v/>
      </c>
      <c r="V987" s="50" t="str">
        <f t="shared" si="105"/>
        <v/>
      </c>
      <c r="W987" s="50"/>
      <c r="X987" s="50"/>
      <c r="Y987" s="50"/>
      <c r="Z987" s="50"/>
      <c r="AA987" s="50"/>
    </row>
    <row r="988" spans="1:27" ht="25.5" customHeight="1">
      <c r="A988" s="517" t="s">
        <v>2286</v>
      </c>
      <c r="B988" s="51" t="s">
        <v>1173</v>
      </c>
      <c r="C988" s="51" t="s">
        <v>143</v>
      </c>
      <c r="D988" s="51" t="s">
        <v>4535</v>
      </c>
      <c r="E988" s="50">
        <v>917</v>
      </c>
      <c r="F988" s="50">
        <v>877</v>
      </c>
      <c r="G988" s="50" t="s">
        <v>3955</v>
      </c>
      <c r="H988" s="50"/>
      <c r="I988" s="105"/>
      <c r="J988" s="50"/>
      <c r="K988" s="50" t="s">
        <v>28</v>
      </c>
      <c r="L988" s="50" t="s">
        <v>2289</v>
      </c>
      <c r="M988" s="50" t="s">
        <v>212</v>
      </c>
      <c r="N988" s="50"/>
      <c r="O988" s="50"/>
      <c r="P988" s="50"/>
      <c r="Q988" s="50"/>
      <c r="R988" s="50"/>
      <c r="S988" s="50" t="str">
        <f t="shared" si="104"/>
        <v/>
      </c>
      <c r="T988" s="50" t="str">
        <f t="shared" si="102"/>
        <v/>
      </c>
      <c r="U988" s="50" t="str">
        <f t="shared" si="103"/>
        <v/>
      </c>
      <c r="V988" s="50" t="str">
        <f t="shared" si="105"/>
        <v/>
      </c>
      <c r="W988" s="50"/>
      <c r="X988" s="50"/>
      <c r="Y988" s="50"/>
      <c r="Z988" s="50"/>
      <c r="AA988" s="50"/>
    </row>
    <row r="989" spans="1:27" ht="25.5" customHeight="1">
      <c r="A989" s="517" t="s">
        <v>2286</v>
      </c>
      <c r="B989" s="51" t="s">
        <v>1173</v>
      </c>
      <c r="C989" s="51" t="s">
        <v>143</v>
      </c>
      <c r="D989" s="51" t="s">
        <v>4536</v>
      </c>
      <c r="E989" s="50">
        <v>2900</v>
      </c>
      <c r="F989" s="50">
        <v>2575</v>
      </c>
      <c r="G989" s="50" t="s">
        <v>3955</v>
      </c>
      <c r="H989" s="50"/>
      <c r="I989" s="105"/>
      <c r="J989" s="50"/>
      <c r="K989" s="50" t="s">
        <v>28</v>
      </c>
      <c r="L989" s="50" t="s">
        <v>2289</v>
      </c>
      <c r="M989" s="50" t="s">
        <v>212</v>
      </c>
      <c r="N989" s="50"/>
      <c r="O989" s="50"/>
      <c r="P989" s="50"/>
      <c r="Q989" s="50"/>
      <c r="R989" s="50"/>
      <c r="S989" s="50" t="str">
        <f t="shared" si="104"/>
        <v/>
      </c>
      <c r="T989" s="50" t="str">
        <f t="shared" si="102"/>
        <v/>
      </c>
      <c r="U989" s="50" t="str">
        <f t="shared" si="103"/>
        <v/>
      </c>
      <c r="V989" s="50" t="str">
        <f t="shared" si="105"/>
        <v/>
      </c>
      <c r="W989" s="50"/>
      <c r="X989" s="50"/>
      <c r="Y989" s="50"/>
      <c r="Z989" s="50"/>
      <c r="AA989" s="50"/>
    </row>
    <row r="990" spans="1:27" ht="25.5" customHeight="1">
      <c r="A990" s="517" t="s">
        <v>2286</v>
      </c>
      <c r="B990" s="51" t="s">
        <v>1173</v>
      </c>
      <c r="C990" s="51" t="s">
        <v>143</v>
      </c>
      <c r="D990" s="51" t="s">
        <v>4537</v>
      </c>
      <c r="E990" s="50">
        <v>283</v>
      </c>
      <c r="F990" s="50">
        <v>208</v>
      </c>
      <c r="G990" s="50" t="s">
        <v>3955</v>
      </c>
      <c r="H990" s="50"/>
      <c r="I990" s="105"/>
      <c r="J990" s="50"/>
      <c r="K990" s="50" t="s">
        <v>28</v>
      </c>
      <c r="L990" s="50" t="s">
        <v>2289</v>
      </c>
      <c r="M990" s="50" t="s">
        <v>212</v>
      </c>
      <c r="N990" s="50"/>
      <c r="O990" s="50"/>
      <c r="P990" s="50"/>
      <c r="Q990" s="50"/>
      <c r="R990" s="50"/>
      <c r="S990" s="50" t="str">
        <f t="shared" si="104"/>
        <v/>
      </c>
      <c r="T990" s="50" t="str">
        <f t="shared" si="102"/>
        <v/>
      </c>
      <c r="U990" s="50" t="str">
        <f t="shared" si="103"/>
        <v/>
      </c>
      <c r="V990" s="50" t="str">
        <f t="shared" si="105"/>
        <v/>
      </c>
      <c r="W990" s="50"/>
      <c r="X990" s="50"/>
      <c r="Y990" s="50"/>
      <c r="Z990" s="50"/>
      <c r="AA990" s="50"/>
    </row>
    <row r="991" spans="1:27" ht="25.5" customHeight="1">
      <c r="A991" s="517" t="s">
        <v>2286</v>
      </c>
      <c r="B991" s="51" t="s">
        <v>1173</v>
      </c>
      <c r="C991" s="51" t="s">
        <v>143</v>
      </c>
      <c r="D991" s="51" t="s">
        <v>4538</v>
      </c>
      <c r="E991" s="50">
        <v>2013</v>
      </c>
      <c r="F991" s="50">
        <v>2087</v>
      </c>
      <c r="G991" s="50" t="s">
        <v>3955</v>
      </c>
      <c r="H991" s="50"/>
      <c r="I991" s="105"/>
      <c r="J991" s="50"/>
      <c r="K991" s="50" t="s">
        <v>28</v>
      </c>
      <c r="L991" s="50" t="s">
        <v>2289</v>
      </c>
      <c r="M991" s="50" t="s">
        <v>212</v>
      </c>
      <c r="N991" s="50"/>
      <c r="O991" s="50"/>
      <c r="P991" s="50"/>
      <c r="Q991" s="50"/>
      <c r="R991" s="50"/>
      <c r="S991" s="50" t="str">
        <f t="shared" si="104"/>
        <v/>
      </c>
      <c r="T991" s="50" t="str">
        <f t="shared" si="102"/>
        <v/>
      </c>
      <c r="U991" s="50" t="str">
        <f t="shared" si="103"/>
        <v/>
      </c>
      <c r="V991" s="50" t="str">
        <f t="shared" si="105"/>
        <v/>
      </c>
      <c r="W991" s="50"/>
      <c r="X991" s="50"/>
      <c r="Y991" s="50"/>
      <c r="Z991" s="50"/>
      <c r="AA991" s="50"/>
    </row>
    <row r="992" spans="1:27" ht="25.5" customHeight="1">
      <c r="A992" s="517" t="s">
        <v>2286</v>
      </c>
      <c r="B992" s="51" t="s">
        <v>1173</v>
      </c>
      <c r="C992" s="51" t="s">
        <v>143</v>
      </c>
      <c r="D992" s="51" t="s">
        <v>4539</v>
      </c>
      <c r="E992" s="50">
        <v>2248</v>
      </c>
      <c r="F992" s="50">
        <v>2347</v>
      </c>
      <c r="G992" s="50" t="s">
        <v>3404</v>
      </c>
      <c r="H992" s="50">
        <v>2025</v>
      </c>
      <c r="I992" s="132">
        <v>45898</v>
      </c>
      <c r="J992" s="50" t="s">
        <v>3127</v>
      </c>
      <c r="K992" s="50" t="s">
        <v>267</v>
      </c>
      <c r="L992" s="50" t="s">
        <v>2289</v>
      </c>
      <c r="M992" s="50" t="s">
        <v>212</v>
      </c>
      <c r="N992" s="50" t="s">
        <v>4540</v>
      </c>
      <c r="O992" s="60">
        <v>45918</v>
      </c>
      <c r="P992" s="60">
        <v>45918</v>
      </c>
      <c r="Q992" s="60">
        <v>45918</v>
      </c>
      <c r="R992" s="60">
        <v>45918</v>
      </c>
      <c r="S992" s="50">
        <f t="shared" si="104"/>
        <v>14</v>
      </c>
      <c r="T992" s="50">
        <f t="shared" si="102"/>
        <v>1</v>
      </c>
      <c r="U992" s="50">
        <f t="shared" si="103"/>
        <v>1</v>
      </c>
      <c r="V992" s="50">
        <f t="shared" si="105"/>
        <v>1</v>
      </c>
      <c r="W992" s="50" t="s">
        <v>150</v>
      </c>
      <c r="X992" s="50" t="s">
        <v>4</v>
      </c>
      <c r="Y992" s="50" t="s">
        <v>50</v>
      </c>
      <c r="Z992" s="50" t="s">
        <v>3406</v>
      </c>
      <c r="AA992" s="50"/>
    </row>
    <row r="993" spans="1:27" ht="25.5" customHeight="1">
      <c r="A993" s="517" t="s">
        <v>2286</v>
      </c>
      <c r="B993" s="51" t="s">
        <v>1173</v>
      </c>
      <c r="C993" s="51" t="s">
        <v>143</v>
      </c>
      <c r="D993" s="51" t="s">
        <v>4541</v>
      </c>
      <c r="E993" s="50">
        <v>1106</v>
      </c>
      <c r="F993" s="50">
        <v>1544</v>
      </c>
      <c r="G993" s="50" t="s">
        <v>3955</v>
      </c>
      <c r="H993" s="50"/>
      <c r="I993" s="105"/>
      <c r="J993" s="50"/>
      <c r="K993" s="50" t="s">
        <v>28</v>
      </c>
      <c r="L993" s="50" t="s">
        <v>2289</v>
      </c>
      <c r="M993" s="50" t="s">
        <v>212</v>
      </c>
      <c r="N993" s="50"/>
      <c r="O993" s="50"/>
      <c r="P993" s="50"/>
      <c r="Q993" s="50"/>
      <c r="R993" s="50"/>
      <c r="S993" s="50" t="str">
        <f t="shared" si="104"/>
        <v/>
      </c>
      <c r="T993" s="50" t="str">
        <f t="shared" si="102"/>
        <v/>
      </c>
      <c r="U993" s="50" t="str">
        <f t="shared" si="103"/>
        <v/>
      </c>
      <c r="V993" s="50" t="str">
        <f t="shared" si="105"/>
        <v/>
      </c>
      <c r="W993" s="50"/>
      <c r="X993" s="50"/>
      <c r="Y993" s="50"/>
      <c r="Z993" s="50"/>
      <c r="AA993" s="50"/>
    </row>
    <row r="994" spans="1:27" ht="25.5" customHeight="1">
      <c r="A994" s="517" t="s">
        <v>2286</v>
      </c>
      <c r="B994" s="51" t="s">
        <v>1173</v>
      </c>
      <c r="C994" s="51" t="s">
        <v>143</v>
      </c>
      <c r="D994" s="51" t="s">
        <v>4542</v>
      </c>
      <c r="E994" s="50">
        <v>2865</v>
      </c>
      <c r="F994" s="50">
        <v>2735</v>
      </c>
      <c r="G994" s="50" t="s">
        <v>3955</v>
      </c>
      <c r="H994" s="50"/>
      <c r="I994" s="105"/>
      <c r="J994" s="50"/>
      <c r="K994" s="50" t="s">
        <v>28</v>
      </c>
      <c r="L994" s="50" t="s">
        <v>2289</v>
      </c>
      <c r="M994" s="50" t="s">
        <v>212</v>
      </c>
      <c r="N994" s="50"/>
      <c r="O994" s="50"/>
      <c r="P994" s="50"/>
      <c r="Q994" s="50"/>
      <c r="R994" s="50"/>
      <c r="S994" s="50" t="str">
        <f t="shared" si="104"/>
        <v/>
      </c>
      <c r="T994" s="50" t="str">
        <f t="shared" si="102"/>
        <v/>
      </c>
      <c r="U994" s="50" t="str">
        <f t="shared" si="103"/>
        <v/>
      </c>
      <c r="V994" s="50" t="str">
        <f t="shared" si="105"/>
        <v/>
      </c>
      <c r="W994" s="50"/>
      <c r="X994" s="50"/>
      <c r="Y994" s="50"/>
      <c r="Z994" s="50"/>
      <c r="AA994" s="50"/>
    </row>
    <row r="995" spans="1:27" ht="25.5" customHeight="1">
      <c r="A995" s="517" t="s">
        <v>2286</v>
      </c>
      <c r="B995" s="51" t="s">
        <v>1173</v>
      </c>
      <c r="C995" s="51" t="s">
        <v>143</v>
      </c>
      <c r="D995" s="51" t="s">
        <v>4543</v>
      </c>
      <c r="E995" s="50">
        <v>1575</v>
      </c>
      <c r="F995" s="50">
        <v>1644</v>
      </c>
      <c r="G995" s="50" t="s">
        <v>3955</v>
      </c>
      <c r="H995" s="50"/>
      <c r="I995" s="105"/>
      <c r="J995" s="50"/>
      <c r="K995" s="50" t="s">
        <v>28</v>
      </c>
      <c r="L995" s="50" t="s">
        <v>2289</v>
      </c>
      <c r="M995" s="50" t="s">
        <v>212</v>
      </c>
      <c r="N995" s="50"/>
      <c r="O995" s="50"/>
      <c r="P995" s="50"/>
      <c r="Q995" s="50"/>
      <c r="R995" s="50"/>
      <c r="S995" s="50" t="str">
        <f t="shared" si="104"/>
        <v/>
      </c>
      <c r="T995" s="50" t="str">
        <f t="shared" si="102"/>
        <v/>
      </c>
      <c r="U995" s="50" t="str">
        <f t="shared" si="103"/>
        <v/>
      </c>
      <c r="V995" s="50" t="str">
        <f t="shared" si="105"/>
        <v/>
      </c>
      <c r="W995" s="50"/>
      <c r="X995" s="50"/>
      <c r="Y995" s="50"/>
      <c r="Z995" s="50"/>
      <c r="AA995" s="50"/>
    </row>
    <row r="996" spans="1:27" ht="25.5" customHeight="1">
      <c r="A996" s="517" t="s">
        <v>2286</v>
      </c>
      <c r="B996" s="51" t="s">
        <v>1173</v>
      </c>
      <c r="C996" s="51" t="s">
        <v>143</v>
      </c>
      <c r="D996" s="51" t="s">
        <v>4544</v>
      </c>
      <c r="E996" s="50">
        <v>1597</v>
      </c>
      <c r="F996" s="50">
        <v>1710</v>
      </c>
      <c r="G996" s="50" t="s">
        <v>3404</v>
      </c>
      <c r="H996" s="50">
        <v>2025</v>
      </c>
      <c r="I996" s="132">
        <v>45688</v>
      </c>
      <c r="J996" s="50" t="s">
        <v>3458</v>
      </c>
      <c r="K996" s="50" t="s">
        <v>28</v>
      </c>
      <c r="L996" s="50" t="s">
        <v>2289</v>
      </c>
      <c r="M996" s="50" t="s">
        <v>212</v>
      </c>
      <c r="N996" s="53" t="s">
        <v>4545</v>
      </c>
      <c r="O996" s="60">
        <v>45691</v>
      </c>
      <c r="P996" s="60">
        <v>45694</v>
      </c>
      <c r="Q996" s="60">
        <v>45694</v>
      </c>
      <c r="R996" s="60">
        <v>45699</v>
      </c>
      <c r="S996" s="50">
        <f t="shared" si="104"/>
        <v>1</v>
      </c>
      <c r="T996" s="50">
        <f t="shared" si="102"/>
        <v>3</v>
      </c>
      <c r="U996" s="50">
        <f t="shared" si="103"/>
        <v>1</v>
      </c>
      <c r="V996" s="50">
        <f t="shared" si="105"/>
        <v>3</v>
      </c>
      <c r="W996" s="50" t="s">
        <v>150</v>
      </c>
      <c r="X996" s="50" t="s">
        <v>1078</v>
      </c>
      <c r="Y996" s="50" t="s">
        <v>50</v>
      </c>
      <c r="Z996" s="50" t="s">
        <v>3406</v>
      </c>
      <c r="AA996" s="50" t="s">
        <v>815</v>
      </c>
    </row>
    <row r="997" spans="1:27" ht="25.5" customHeight="1">
      <c r="A997" s="517" t="s">
        <v>2286</v>
      </c>
      <c r="B997" s="51" t="s">
        <v>1173</v>
      </c>
      <c r="C997" s="51" t="s">
        <v>143</v>
      </c>
      <c r="D997" s="51" t="s">
        <v>4546</v>
      </c>
      <c r="E997" s="50">
        <v>2707</v>
      </c>
      <c r="F997" s="50">
        <v>2735</v>
      </c>
      <c r="G997" s="50" t="s">
        <v>3955</v>
      </c>
      <c r="H997" s="50"/>
      <c r="I997" s="105"/>
      <c r="J997" s="50"/>
      <c r="K997" s="50" t="s">
        <v>28</v>
      </c>
      <c r="L997" s="50" t="s">
        <v>2289</v>
      </c>
      <c r="M997" s="50" t="s">
        <v>212</v>
      </c>
      <c r="N997" s="50"/>
      <c r="O997" s="50"/>
      <c r="P997" s="50"/>
      <c r="Q997" s="50"/>
      <c r="R997" s="50"/>
      <c r="S997" s="50" t="str">
        <f t="shared" si="104"/>
        <v/>
      </c>
      <c r="T997" s="50" t="str">
        <f t="shared" si="102"/>
        <v/>
      </c>
      <c r="U997" s="50" t="str">
        <f t="shared" si="103"/>
        <v/>
      </c>
      <c r="V997" s="50" t="str">
        <f t="shared" si="105"/>
        <v/>
      </c>
      <c r="W997" s="50"/>
      <c r="X997" s="50"/>
      <c r="Y997" s="50"/>
      <c r="Z997" s="50"/>
      <c r="AA997" s="50"/>
    </row>
    <row r="998" spans="1:27" ht="25.5" customHeight="1">
      <c r="A998" s="517" t="s">
        <v>2286</v>
      </c>
      <c r="B998" s="51" t="s">
        <v>1173</v>
      </c>
      <c r="C998" s="51" t="s">
        <v>143</v>
      </c>
      <c r="D998" s="51" t="s">
        <v>4547</v>
      </c>
      <c r="E998" s="50">
        <v>1715</v>
      </c>
      <c r="F998" s="50">
        <v>1437</v>
      </c>
      <c r="G998" s="50" t="s">
        <v>3404</v>
      </c>
      <c r="H998" s="50">
        <v>2025</v>
      </c>
      <c r="I998" s="132">
        <v>45687</v>
      </c>
      <c r="J998" s="50" t="s">
        <v>3458</v>
      </c>
      <c r="K998" s="50" t="s">
        <v>28</v>
      </c>
      <c r="L998" s="50" t="s">
        <v>2289</v>
      </c>
      <c r="M998" s="50" t="s">
        <v>212</v>
      </c>
      <c r="N998" s="50" t="s">
        <v>4548</v>
      </c>
      <c r="O998" s="60">
        <v>45691</v>
      </c>
      <c r="P998" s="60">
        <v>45694</v>
      </c>
      <c r="Q998" s="60">
        <v>45694</v>
      </c>
      <c r="R998" s="60">
        <v>45699</v>
      </c>
      <c r="S998" s="50">
        <f t="shared" si="104"/>
        <v>2</v>
      </c>
      <c r="T998" s="50">
        <f t="shared" si="102"/>
        <v>3</v>
      </c>
      <c r="U998" s="50">
        <f t="shared" si="103"/>
        <v>1</v>
      </c>
      <c r="V998" s="50">
        <f t="shared" si="105"/>
        <v>3</v>
      </c>
      <c r="W998" s="50" t="s">
        <v>150</v>
      </c>
      <c r="X998" s="50" t="s">
        <v>1078</v>
      </c>
      <c r="Y998" s="50" t="s">
        <v>50</v>
      </c>
      <c r="Z998" s="50" t="s">
        <v>3406</v>
      </c>
      <c r="AA998" s="50" t="s">
        <v>815</v>
      </c>
    </row>
    <row r="999" spans="1:27" ht="25.5" customHeight="1">
      <c r="A999" s="517" t="s">
        <v>2286</v>
      </c>
      <c r="B999" s="51" t="s">
        <v>1173</v>
      </c>
      <c r="C999" s="51" t="s">
        <v>143</v>
      </c>
      <c r="D999" s="51" t="s">
        <v>4549</v>
      </c>
      <c r="E999" s="50">
        <v>1358</v>
      </c>
      <c r="F999" s="50">
        <v>1399</v>
      </c>
      <c r="G999" s="50" t="s">
        <v>3404</v>
      </c>
      <c r="H999" s="50">
        <v>2025</v>
      </c>
      <c r="I999" s="132">
        <v>45687</v>
      </c>
      <c r="J999" s="50" t="s">
        <v>3458</v>
      </c>
      <c r="K999" s="50" t="s">
        <v>28</v>
      </c>
      <c r="L999" s="50" t="s">
        <v>2289</v>
      </c>
      <c r="M999" s="50" t="s">
        <v>212</v>
      </c>
      <c r="N999" s="50" t="s">
        <v>4550</v>
      </c>
      <c r="O999" s="60">
        <v>45691</v>
      </c>
      <c r="P999" s="60">
        <v>45694</v>
      </c>
      <c r="Q999" s="60">
        <v>45694</v>
      </c>
      <c r="R999" s="60">
        <v>45699</v>
      </c>
      <c r="S999" s="50">
        <f t="shared" si="104"/>
        <v>2</v>
      </c>
      <c r="T999" s="50">
        <f t="shared" si="102"/>
        <v>3</v>
      </c>
      <c r="U999" s="50">
        <f t="shared" si="103"/>
        <v>1</v>
      </c>
      <c r="V999" s="50">
        <f t="shared" si="105"/>
        <v>3</v>
      </c>
      <c r="W999" s="50" t="s">
        <v>150</v>
      </c>
      <c r="X999" s="50" t="s">
        <v>1078</v>
      </c>
      <c r="Y999" s="50" t="s">
        <v>50</v>
      </c>
      <c r="Z999" s="50" t="s">
        <v>3406</v>
      </c>
      <c r="AA999" s="50" t="s">
        <v>815</v>
      </c>
    </row>
    <row r="1000" spans="1:27" ht="25.5" customHeight="1">
      <c r="A1000" s="517" t="s">
        <v>2286</v>
      </c>
      <c r="B1000" s="51" t="s">
        <v>1173</v>
      </c>
      <c r="C1000" s="51" t="s">
        <v>143</v>
      </c>
      <c r="D1000" s="51" t="s">
        <v>4551</v>
      </c>
      <c r="E1000" s="50">
        <v>1944</v>
      </c>
      <c r="F1000" s="50">
        <v>2275</v>
      </c>
      <c r="G1000" s="50" t="s">
        <v>3955</v>
      </c>
      <c r="H1000" s="50"/>
      <c r="I1000" s="105"/>
      <c r="J1000" s="50"/>
      <c r="K1000" s="50" t="s">
        <v>28</v>
      </c>
      <c r="L1000" s="50" t="s">
        <v>2289</v>
      </c>
      <c r="M1000" s="50" t="s">
        <v>212</v>
      </c>
      <c r="N1000" s="50"/>
      <c r="O1000" s="50"/>
      <c r="P1000" s="50"/>
      <c r="Q1000" s="50"/>
      <c r="R1000" s="50"/>
      <c r="S1000" s="50" t="str">
        <f t="shared" si="104"/>
        <v/>
      </c>
      <c r="T1000" s="50" t="str">
        <f t="shared" si="102"/>
        <v/>
      </c>
      <c r="U1000" s="50" t="str">
        <f t="shared" si="103"/>
        <v/>
      </c>
      <c r="V1000" s="50" t="str">
        <f t="shared" si="105"/>
        <v/>
      </c>
      <c r="W1000" s="50"/>
      <c r="X1000" s="50"/>
      <c r="Y1000" s="50"/>
      <c r="Z1000" s="50"/>
      <c r="AA1000" s="50"/>
    </row>
    <row r="1001" spans="1:27" s="110" customFormat="1" ht="25.5" customHeight="1">
      <c r="A1001" s="517" t="s">
        <v>2286</v>
      </c>
      <c r="B1001" s="51" t="s">
        <v>1173</v>
      </c>
      <c r="C1001" s="51" t="s">
        <v>143</v>
      </c>
      <c r="D1001" s="51" t="s">
        <v>4552</v>
      </c>
      <c r="E1001" s="50">
        <v>2288</v>
      </c>
      <c r="F1001" s="50">
        <v>2423</v>
      </c>
      <c r="G1001" s="50" t="s">
        <v>3955</v>
      </c>
      <c r="H1001" s="50"/>
      <c r="I1001" s="105"/>
      <c r="J1001" s="50"/>
      <c r="K1001" s="50" t="s">
        <v>28</v>
      </c>
      <c r="L1001" s="50" t="s">
        <v>2289</v>
      </c>
      <c r="M1001" s="50" t="s">
        <v>212</v>
      </c>
      <c r="N1001" s="50"/>
      <c r="O1001" s="50"/>
      <c r="P1001" s="50"/>
      <c r="Q1001" s="50"/>
      <c r="R1001" s="50"/>
      <c r="S1001" s="50" t="str">
        <f t="shared" si="104"/>
        <v/>
      </c>
      <c r="T1001" s="50" t="str">
        <f t="shared" si="102"/>
        <v/>
      </c>
      <c r="U1001" s="50" t="str">
        <f t="shared" si="103"/>
        <v/>
      </c>
      <c r="V1001" s="50" t="str">
        <f t="shared" si="105"/>
        <v/>
      </c>
      <c r="W1001" s="50"/>
      <c r="X1001" s="50"/>
      <c r="Y1001" s="50"/>
      <c r="Z1001" s="50"/>
      <c r="AA1001" s="50"/>
    </row>
    <row r="1002" spans="1:27" ht="25.5" customHeight="1">
      <c r="A1002" s="517" t="s">
        <v>2286</v>
      </c>
      <c r="B1002" s="51" t="s">
        <v>1173</v>
      </c>
      <c r="C1002" s="51" t="s">
        <v>143</v>
      </c>
      <c r="D1002" s="51" t="s">
        <v>1174</v>
      </c>
      <c r="E1002" s="50">
        <v>2281</v>
      </c>
      <c r="F1002" s="50">
        <v>2651</v>
      </c>
      <c r="G1002" s="50" t="s">
        <v>3404</v>
      </c>
      <c r="H1002" s="50">
        <v>2024</v>
      </c>
      <c r="I1002" s="132">
        <v>45546</v>
      </c>
      <c r="J1002" s="50"/>
      <c r="K1002" s="50" t="s">
        <v>28</v>
      </c>
      <c r="L1002" s="50" t="s">
        <v>2289</v>
      </c>
      <c r="M1002" s="50" t="s">
        <v>212</v>
      </c>
      <c r="N1002" s="50"/>
      <c r="O1002" s="50"/>
      <c r="P1002" s="50"/>
      <c r="Q1002" s="50"/>
      <c r="R1002" s="50"/>
      <c r="S1002" s="50" t="str">
        <f t="shared" si="104"/>
        <v/>
      </c>
      <c r="T1002" s="50" t="str">
        <f t="shared" si="102"/>
        <v/>
      </c>
      <c r="U1002" s="50" t="str">
        <f t="shared" si="103"/>
        <v/>
      </c>
      <c r="V1002" s="50" t="str">
        <f t="shared" si="105"/>
        <v/>
      </c>
      <c r="W1002" s="50"/>
      <c r="X1002" s="50" t="s">
        <v>4</v>
      </c>
      <c r="Y1002" s="50" t="s">
        <v>50</v>
      </c>
      <c r="Z1002" s="50" t="s">
        <v>3406</v>
      </c>
      <c r="AA1002" s="50" t="s">
        <v>815</v>
      </c>
    </row>
    <row r="1003" spans="1:27" ht="25.5" customHeight="1">
      <c r="A1003" s="517" t="s">
        <v>2286</v>
      </c>
      <c r="B1003" s="51" t="s">
        <v>1173</v>
      </c>
      <c r="C1003" s="51" t="s">
        <v>143</v>
      </c>
      <c r="D1003" s="51" t="s">
        <v>3713</v>
      </c>
      <c r="E1003" s="50">
        <v>2946</v>
      </c>
      <c r="F1003" s="50">
        <v>3194</v>
      </c>
      <c r="G1003" s="50" t="s">
        <v>3404</v>
      </c>
      <c r="H1003" s="50">
        <v>2025</v>
      </c>
      <c r="I1003" s="132">
        <v>45688</v>
      </c>
      <c r="J1003" s="50" t="s">
        <v>3458</v>
      </c>
      <c r="K1003" s="50" t="s">
        <v>28</v>
      </c>
      <c r="L1003" s="50" t="s">
        <v>2289</v>
      </c>
      <c r="M1003" s="50" t="s">
        <v>212</v>
      </c>
      <c r="N1003" s="50" t="s">
        <v>4553</v>
      </c>
      <c r="O1003" s="60">
        <v>45691</v>
      </c>
      <c r="P1003" s="60">
        <v>45694</v>
      </c>
      <c r="Q1003" s="60">
        <v>45694</v>
      </c>
      <c r="R1003" s="60">
        <v>45699</v>
      </c>
      <c r="S1003" s="50">
        <f t="shared" si="104"/>
        <v>1</v>
      </c>
      <c r="T1003" s="50">
        <f t="shared" si="102"/>
        <v>3</v>
      </c>
      <c r="U1003" s="50">
        <f t="shared" si="103"/>
        <v>1</v>
      </c>
      <c r="V1003" s="50">
        <f t="shared" si="105"/>
        <v>3</v>
      </c>
      <c r="W1003" s="50" t="s">
        <v>150</v>
      </c>
      <c r="X1003" s="50" t="s">
        <v>4</v>
      </c>
      <c r="Y1003" s="50" t="s">
        <v>50</v>
      </c>
      <c r="Z1003" s="50" t="s">
        <v>3406</v>
      </c>
      <c r="AA1003" s="50" t="s">
        <v>815</v>
      </c>
    </row>
    <row r="1004" spans="1:27" ht="25.5" customHeight="1">
      <c r="A1004" s="517" t="s">
        <v>2286</v>
      </c>
      <c r="B1004" s="51" t="s">
        <v>1173</v>
      </c>
      <c r="C1004" s="51" t="s">
        <v>143</v>
      </c>
      <c r="D1004" s="51" t="s">
        <v>4554</v>
      </c>
      <c r="E1004" s="50">
        <v>1644</v>
      </c>
      <c r="F1004" s="50">
        <v>1525</v>
      </c>
      <c r="G1004" s="50" t="s">
        <v>3404</v>
      </c>
      <c r="H1004" s="50">
        <v>2025</v>
      </c>
      <c r="I1004" s="132">
        <v>45678</v>
      </c>
      <c r="J1004" s="50" t="s">
        <v>3424</v>
      </c>
      <c r="K1004" s="50" t="s">
        <v>28</v>
      </c>
      <c r="L1004" s="50" t="s">
        <v>2289</v>
      </c>
      <c r="M1004" s="50" t="s">
        <v>212</v>
      </c>
      <c r="N1004" s="50" t="s">
        <v>4555</v>
      </c>
      <c r="O1004" s="60">
        <v>45679</v>
      </c>
      <c r="P1004" s="60">
        <v>45680</v>
      </c>
      <c r="Q1004" s="60">
        <v>45680</v>
      </c>
      <c r="R1004" s="60">
        <v>45681</v>
      </c>
      <c r="S1004" s="50">
        <f t="shared" si="104"/>
        <v>1</v>
      </c>
      <c r="T1004" s="50">
        <f t="shared" si="102"/>
        <v>1</v>
      </c>
      <c r="U1004" s="50">
        <f t="shared" si="103"/>
        <v>1</v>
      </c>
      <c r="V1004" s="50">
        <f t="shared" si="105"/>
        <v>1</v>
      </c>
      <c r="W1004" s="50" t="s">
        <v>150</v>
      </c>
      <c r="X1004" s="50" t="s">
        <v>1078</v>
      </c>
      <c r="Y1004" s="50" t="s">
        <v>50</v>
      </c>
      <c r="Z1004" s="50" t="s">
        <v>3406</v>
      </c>
      <c r="AA1004" s="50" t="s">
        <v>815</v>
      </c>
    </row>
    <row r="1005" spans="1:27" s="110" customFormat="1" ht="25.5" customHeight="1">
      <c r="A1005" s="517" t="s">
        <v>2286</v>
      </c>
      <c r="B1005" s="51" t="s">
        <v>1173</v>
      </c>
      <c r="C1005" s="51" t="s">
        <v>143</v>
      </c>
      <c r="D1005" s="51" t="s">
        <v>3915</v>
      </c>
      <c r="E1005" s="50">
        <v>2465</v>
      </c>
      <c r="F1005" s="50">
        <v>2773</v>
      </c>
      <c r="G1005" s="50" t="s">
        <v>3955</v>
      </c>
      <c r="H1005" s="50"/>
      <c r="I1005" s="105"/>
      <c r="J1005" s="50"/>
      <c r="K1005" s="50" t="s">
        <v>28</v>
      </c>
      <c r="L1005" s="50" t="s">
        <v>2289</v>
      </c>
      <c r="M1005" s="50" t="s">
        <v>212</v>
      </c>
      <c r="N1005" s="50"/>
      <c r="O1005" s="50"/>
      <c r="P1005" s="50"/>
      <c r="Q1005" s="50"/>
      <c r="R1005" s="50"/>
      <c r="S1005" s="50" t="str">
        <f t="shared" si="104"/>
        <v/>
      </c>
      <c r="T1005" s="50" t="str">
        <f t="shared" si="102"/>
        <v/>
      </c>
      <c r="U1005" s="50" t="str">
        <f t="shared" si="103"/>
        <v/>
      </c>
      <c r="V1005" s="50" t="str">
        <f t="shared" si="105"/>
        <v/>
      </c>
      <c r="W1005" s="50"/>
      <c r="X1005" s="50"/>
      <c r="Y1005" s="50"/>
      <c r="Z1005" s="50"/>
      <c r="AA1005" s="50"/>
    </row>
    <row r="1006" spans="1:27" ht="25.5" customHeight="1">
      <c r="A1006" s="517" t="s">
        <v>2286</v>
      </c>
      <c r="B1006" s="51" t="s">
        <v>1173</v>
      </c>
      <c r="C1006" s="51" t="s">
        <v>143</v>
      </c>
      <c r="D1006" s="51" t="s">
        <v>4556</v>
      </c>
      <c r="E1006" s="50">
        <v>6037</v>
      </c>
      <c r="F1006" s="50">
        <v>6046</v>
      </c>
      <c r="G1006" s="50" t="s">
        <v>3404</v>
      </c>
      <c r="H1006" s="50">
        <v>2024</v>
      </c>
      <c r="I1006" s="132">
        <v>45385</v>
      </c>
      <c r="J1006" s="50"/>
      <c r="K1006" s="50" t="s">
        <v>28</v>
      </c>
      <c r="L1006" s="50" t="s">
        <v>2289</v>
      </c>
      <c r="M1006" s="50" t="s">
        <v>212</v>
      </c>
      <c r="N1006" s="50"/>
      <c r="O1006" s="50"/>
      <c r="P1006" s="50"/>
      <c r="Q1006" s="50"/>
      <c r="R1006" s="50"/>
      <c r="S1006" s="50" t="str">
        <f t="shared" si="104"/>
        <v/>
      </c>
      <c r="T1006" s="50" t="str">
        <f t="shared" si="102"/>
        <v/>
      </c>
      <c r="U1006" s="50" t="str">
        <f t="shared" si="103"/>
        <v/>
      </c>
      <c r="V1006" s="50" t="str">
        <f t="shared" si="105"/>
        <v/>
      </c>
      <c r="W1006" s="50"/>
      <c r="X1006" s="50"/>
      <c r="Y1006" s="50"/>
      <c r="Z1006" s="50" t="s">
        <v>3406</v>
      </c>
      <c r="AA1006" s="50" t="s">
        <v>815</v>
      </c>
    </row>
    <row r="1007" spans="1:27" s="110" customFormat="1" ht="25.5" customHeight="1">
      <c r="A1007" s="517" t="s">
        <v>2286</v>
      </c>
      <c r="B1007" s="51" t="s">
        <v>1173</v>
      </c>
      <c r="C1007" s="51" t="s">
        <v>143</v>
      </c>
      <c r="D1007" s="51" t="s">
        <v>4557</v>
      </c>
      <c r="E1007" s="50">
        <v>2672</v>
      </c>
      <c r="F1007" s="50">
        <v>2542</v>
      </c>
      <c r="G1007" s="50" t="s">
        <v>3955</v>
      </c>
      <c r="H1007" s="50"/>
      <c r="I1007" s="105"/>
      <c r="J1007" s="50"/>
      <c r="K1007" s="50" t="s">
        <v>28</v>
      </c>
      <c r="L1007" s="50" t="s">
        <v>2289</v>
      </c>
      <c r="M1007" s="50" t="s">
        <v>212</v>
      </c>
      <c r="N1007" s="50"/>
      <c r="O1007" s="50"/>
      <c r="P1007" s="50"/>
      <c r="Q1007" s="50"/>
      <c r="R1007" s="50"/>
      <c r="S1007" s="50" t="str">
        <f t="shared" si="104"/>
        <v/>
      </c>
      <c r="T1007" s="50" t="str">
        <f t="shared" si="102"/>
        <v/>
      </c>
      <c r="U1007" s="50" t="str">
        <f t="shared" si="103"/>
        <v/>
      </c>
      <c r="V1007" s="50" t="str">
        <f t="shared" si="105"/>
        <v/>
      </c>
      <c r="W1007" s="50"/>
      <c r="X1007" s="50"/>
      <c r="Y1007" s="50"/>
      <c r="Z1007" s="50"/>
      <c r="AA1007" s="50"/>
    </row>
    <row r="1008" spans="1:27" ht="25.5" customHeight="1">
      <c r="A1008" s="517" t="s">
        <v>2286</v>
      </c>
      <c r="B1008" s="51" t="s">
        <v>1173</v>
      </c>
      <c r="C1008" s="51" t="s">
        <v>143</v>
      </c>
      <c r="D1008" s="51" t="s">
        <v>4558</v>
      </c>
      <c r="E1008" s="50">
        <v>623</v>
      </c>
      <c r="F1008" s="50">
        <v>587</v>
      </c>
      <c r="G1008" s="50" t="s">
        <v>3404</v>
      </c>
      <c r="H1008" s="50">
        <v>2024</v>
      </c>
      <c r="I1008" s="132">
        <v>45596</v>
      </c>
      <c r="J1008" s="50"/>
      <c r="K1008" s="50" t="s">
        <v>28</v>
      </c>
      <c r="L1008" s="50" t="s">
        <v>2289</v>
      </c>
      <c r="M1008" s="50" t="s">
        <v>212</v>
      </c>
      <c r="N1008" s="9"/>
      <c r="O1008" s="50"/>
      <c r="P1008" s="50"/>
      <c r="Q1008" s="50"/>
      <c r="R1008" s="50"/>
      <c r="S1008" s="50" t="str">
        <f t="shared" si="104"/>
        <v/>
      </c>
      <c r="T1008" s="50" t="str">
        <f t="shared" si="102"/>
        <v/>
      </c>
      <c r="U1008" s="50" t="str">
        <f t="shared" si="103"/>
        <v/>
      </c>
      <c r="V1008" s="50" t="str">
        <f t="shared" si="105"/>
        <v/>
      </c>
      <c r="W1008" s="50"/>
      <c r="X1008" s="50" t="s">
        <v>4</v>
      </c>
      <c r="Y1008" s="50" t="s">
        <v>50</v>
      </c>
      <c r="Z1008" s="50" t="s">
        <v>3406</v>
      </c>
      <c r="AA1008" s="50" t="s">
        <v>815</v>
      </c>
    </row>
    <row r="1009" spans="1:27" ht="25.5" customHeight="1">
      <c r="A1009" s="517" t="s">
        <v>2286</v>
      </c>
      <c r="B1009" s="51" t="s">
        <v>1173</v>
      </c>
      <c r="C1009" s="51" t="s">
        <v>143</v>
      </c>
      <c r="D1009" s="51" t="s">
        <v>4559</v>
      </c>
      <c r="E1009" s="50">
        <v>663</v>
      </c>
      <c r="F1009" s="50">
        <v>795</v>
      </c>
      <c r="G1009" s="50" t="s">
        <v>3404</v>
      </c>
      <c r="H1009" s="50">
        <v>2025</v>
      </c>
      <c r="I1009" s="132">
        <v>45687</v>
      </c>
      <c r="J1009" s="50" t="s">
        <v>3458</v>
      </c>
      <c r="K1009" s="50" t="s">
        <v>28</v>
      </c>
      <c r="L1009" s="50" t="s">
        <v>2289</v>
      </c>
      <c r="M1009" s="50" t="s">
        <v>212</v>
      </c>
      <c r="N1009" s="50" t="s">
        <v>4560</v>
      </c>
      <c r="O1009" s="60">
        <v>45691</v>
      </c>
      <c r="P1009" s="60">
        <v>45694</v>
      </c>
      <c r="Q1009" s="60">
        <v>45694</v>
      </c>
      <c r="R1009" s="60">
        <v>45699</v>
      </c>
      <c r="S1009" s="50">
        <f t="shared" si="104"/>
        <v>2</v>
      </c>
      <c r="T1009" s="50">
        <f t="shared" si="102"/>
        <v>3</v>
      </c>
      <c r="U1009" s="50">
        <f t="shared" si="103"/>
        <v>1</v>
      </c>
      <c r="V1009" s="50">
        <f t="shared" si="105"/>
        <v>3</v>
      </c>
      <c r="W1009" s="50" t="s">
        <v>150</v>
      </c>
      <c r="X1009" s="50" t="s">
        <v>1078</v>
      </c>
      <c r="Y1009" s="50" t="s">
        <v>50</v>
      </c>
      <c r="Z1009" s="50" t="s">
        <v>3406</v>
      </c>
      <c r="AA1009" s="50" t="s">
        <v>815</v>
      </c>
    </row>
    <row r="1010" spans="1:27" ht="25.5" customHeight="1">
      <c r="A1010" s="517" t="s">
        <v>2286</v>
      </c>
      <c r="B1010" s="51" t="s">
        <v>1173</v>
      </c>
      <c r="C1010" s="51" t="s">
        <v>143</v>
      </c>
      <c r="D1010" s="51" t="s">
        <v>4561</v>
      </c>
      <c r="E1010" s="50">
        <v>2034</v>
      </c>
      <c r="F1010" s="50">
        <v>2259</v>
      </c>
      <c r="G1010" s="50" t="s">
        <v>3955</v>
      </c>
      <c r="H1010" s="50"/>
      <c r="I1010" s="105"/>
      <c r="J1010" s="50"/>
      <c r="K1010" s="50" t="s">
        <v>28</v>
      </c>
      <c r="L1010" s="50" t="s">
        <v>2289</v>
      </c>
      <c r="M1010" s="50" t="s">
        <v>212</v>
      </c>
      <c r="N1010" s="50"/>
      <c r="O1010" s="50"/>
      <c r="P1010" s="50"/>
      <c r="Q1010" s="50"/>
      <c r="R1010" s="50"/>
      <c r="S1010" s="50" t="str">
        <f t="shared" si="104"/>
        <v/>
      </c>
      <c r="T1010" s="50" t="str">
        <f t="shared" si="102"/>
        <v/>
      </c>
      <c r="U1010" s="50" t="str">
        <f t="shared" si="103"/>
        <v/>
      </c>
      <c r="V1010" s="50" t="str">
        <f t="shared" si="105"/>
        <v/>
      </c>
      <c r="W1010" s="50"/>
      <c r="X1010" s="50"/>
      <c r="Y1010" s="50"/>
      <c r="Z1010" s="50"/>
      <c r="AA1010" s="50"/>
    </row>
    <row r="1011" spans="1:27" ht="25.5" customHeight="1">
      <c r="A1011" s="517" t="s">
        <v>2286</v>
      </c>
      <c r="B1011" s="51" t="s">
        <v>1173</v>
      </c>
      <c r="C1011" s="51" t="s">
        <v>143</v>
      </c>
      <c r="D1011" s="51" t="s">
        <v>4562</v>
      </c>
      <c r="E1011" s="50">
        <v>2034</v>
      </c>
      <c r="F1011" s="50">
        <v>2291</v>
      </c>
      <c r="G1011" s="50" t="s">
        <v>3404</v>
      </c>
      <c r="H1011" s="50">
        <v>2025</v>
      </c>
      <c r="I1011" s="132">
        <v>45687</v>
      </c>
      <c r="J1011" s="50" t="s">
        <v>3458</v>
      </c>
      <c r="K1011" s="50" t="s">
        <v>28</v>
      </c>
      <c r="L1011" s="50" t="s">
        <v>2289</v>
      </c>
      <c r="M1011" s="50" t="s">
        <v>212</v>
      </c>
      <c r="N1011" s="50" t="s">
        <v>4563</v>
      </c>
      <c r="O1011" s="60">
        <v>45691</v>
      </c>
      <c r="P1011" s="60">
        <v>45694</v>
      </c>
      <c r="Q1011" s="60">
        <v>45694</v>
      </c>
      <c r="R1011" s="60">
        <v>45699</v>
      </c>
      <c r="S1011" s="50">
        <f t="shared" si="104"/>
        <v>2</v>
      </c>
      <c r="T1011" s="50">
        <f t="shared" si="102"/>
        <v>3</v>
      </c>
      <c r="U1011" s="50">
        <f t="shared" si="103"/>
        <v>1</v>
      </c>
      <c r="V1011" s="50">
        <f t="shared" si="105"/>
        <v>3</v>
      </c>
      <c r="W1011" s="50" t="s">
        <v>150</v>
      </c>
      <c r="X1011" s="50" t="s">
        <v>4</v>
      </c>
      <c r="Y1011" s="50" t="s">
        <v>50</v>
      </c>
      <c r="Z1011" s="50" t="s">
        <v>3406</v>
      </c>
      <c r="AA1011" s="50" t="s">
        <v>815</v>
      </c>
    </row>
    <row r="1012" spans="1:27" ht="25.5" customHeight="1">
      <c r="A1012" s="517" t="s">
        <v>2286</v>
      </c>
      <c r="B1012" s="51" t="s">
        <v>1173</v>
      </c>
      <c r="C1012" s="51" t="s">
        <v>143</v>
      </c>
      <c r="D1012" s="51" t="s">
        <v>4564</v>
      </c>
      <c r="E1012" s="50">
        <v>6108</v>
      </c>
      <c r="F1012" s="50">
        <v>6162</v>
      </c>
      <c r="G1012" s="50" t="s">
        <v>3955</v>
      </c>
      <c r="H1012" s="50"/>
      <c r="I1012" s="105"/>
      <c r="J1012" s="50"/>
      <c r="K1012" s="50" t="s">
        <v>28</v>
      </c>
      <c r="L1012" s="50" t="s">
        <v>2289</v>
      </c>
      <c r="M1012" s="50" t="s">
        <v>212</v>
      </c>
      <c r="N1012" s="50"/>
      <c r="O1012" s="50"/>
      <c r="P1012" s="50"/>
      <c r="Q1012" s="50"/>
      <c r="R1012" s="50"/>
      <c r="S1012" s="50" t="str">
        <f t="shared" si="104"/>
        <v/>
      </c>
      <c r="T1012" s="50" t="str">
        <f t="shared" si="102"/>
        <v/>
      </c>
      <c r="U1012" s="50" t="str">
        <f t="shared" si="103"/>
        <v/>
      </c>
      <c r="V1012" s="50" t="str">
        <f t="shared" si="105"/>
        <v/>
      </c>
      <c r="W1012" s="50"/>
      <c r="X1012" s="50"/>
      <c r="Y1012" s="50"/>
      <c r="Z1012" s="50"/>
      <c r="AA1012" s="50"/>
    </row>
    <row r="1013" spans="1:27" ht="25.5" customHeight="1">
      <c r="A1013" s="517" t="s">
        <v>2286</v>
      </c>
      <c r="B1013" s="51" t="s">
        <v>1176</v>
      </c>
      <c r="C1013" s="51" t="s">
        <v>143</v>
      </c>
      <c r="D1013" s="51" t="s">
        <v>4565</v>
      </c>
      <c r="E1013" s="50">
        <v>5116</v>
      </c>
      <c r="F1013" s="50">
        <v>5116</v>
      </c>
      <c r="G1013" s="50" t="s">
        <v>3955</v>
      </c>
      <c r="H1013" s="50"/>
      <c r="I1013" s="105"/>
      <c r="J1013" s="50"/>
      <c r="K1013" s="50" t="s">
        <v>28</v>
      </c>
      <c r="L1013" s="50" t="s">
        <v>2289</v>
      </c>
      <c r="M1013" s="50" t="s">
        <v>212</v>
      </c>
      <c r="N1013" s="50"/>
      <c r="O1013" s="50"/>
      <c r="P1013" s="50"/>
      <c r="Q1013" s="50"/>
      <c r="R1013" s="50"/>
      <c r="S1013" s="50" t="str">
        <f t="shared" si="104"/>
        <v/>
      </c>
      <c r="T1013" s="50" t="str">
        <f t="shared" si="102"/>
        <v/>
      </c>
      <c r="U1013" s="50" t="str">
        <f t="shared" si="103"/>
        <v/>
      </c>
      <c r="V1013" s="50" t="str">
        <f t="shared" si="105"/>
        <v/>
      </c>
      <c r="W1013" s="50"/>
      <c r="X1013" s="50"/>
      <c r="Y1013" s="50"/>
      <c r="Z1013" s="50"/>
      <c r="AA1013" s="50"/>
    </row>
    <row r="1014" spans="1:27" ht="25.5" customHeight="1">
      <c r="A1014" s="517" t="s">
        <v>2286</v>
      </c>
      <c r="B1014" s="51" t="s">
        <v>1176</v>
      </c>
      <c r="C1014" s="51" t="s">
        <v>143</v>
      </c>
      <c r="D1014" s="51" t="s">
        <v>4566</v>
      </c>
      <c r="E1014" s="50">
        <v>5546</v>
      </c>
      <c r="F1014" s="50">
        <v>5755</v>
      </c>
      <c r="G1014" s="50" t="s">
        <v>3404</v>
      </c>
      <c r="H1014" s="50">
        <v>2025</v>
      </c>
      <c r="I1014" s="132">
        <v>45938</v>
      </c>
      <c r="J1014" s="50" t="s">
        <v>3128</v>
      </c>
      <c r="K1014" s="50" t="s">
        <v>267</v>
      </c>
      <c r="L1014" s="50" t="s">
        <v>2289</v>
      </c>
      <c r="M1014" s="50" t="s">
        <v>212</v>
      </c>
      <c r="N1014" s="50" t="s">
        <v>4567</v>
      </c>
      <c r="O1014" s="60">
        <v>45938</v>
      </c>
      <c r="P1014" s="60">
        <v>45944</v>
      </c>
      <c r="Q1014" s="60">
        <v>45946</v>
      </c>
      <c r="R1014" s="60">
        <v>45947</v>
      </c>
      <c r="S1014" s="50">
        <f t="shared" si="104"/>
        <v>1</v>
      </c>
      <c r="T1014" s="50">
        <f t="shared" si="102"/>
        <v>4</v>
      </c>
      <c r="U1014" s="50">
        <f t="shared" si="103"/>
        <v>2</v>
      </c>
      <c r="V1014" s="50">
        <f t="shared" si="105"/>
        <v>1</v>
      </c>
      <c r="W1014" s="50" t="s">
        <v>150</v>
      </c>
      <c r="X1014" s="50" t="s">
        <v>1078</v>
      </c>
      <c r="Y1014" s="50" t="s">
        <v>50</v>
      </c>
      <c r="Z1014" s="50" t="s">
        <v>3406</v>
      </c>
      <c r="AA1014" s="50"/>
    </row>
    <row r="1015" spans="1:27" ht="25.5" customHeight="1">
      <c r="A1015" s="517" t="s">
        <v>2286</v>
      </c>
      <c r="B1015" s="51" t="s">
        <v>1176</v>
      </c>
      <c r="C1015" s="51" t="s">
        <v>143</v>
      </c>
      <c r="D1015" s="51" t="s">
        <v>4568</v>
      </c>
      <c r="E1015" s="50">
        <v>6745</v>
      </c>
      <c r="F1015" s="50">
        <v>7640</v>
      </c>
      <c r="G1015" s="50" t="s">
        <v>3955</v>
      </c>
      <c r="H1015" s="50"/>
      <c r="I1015" s="105"/>
      <c r="J1015" s="50"/>
      <c r="K1015" s="50" t="s">
        <v>28</v>
      </c>
      <c r="L1015" s="50" t="s">
        <v>2289</v>
      </c>
      <c r="M1015" s="50" t="s">
        <v>212</v>
      </c>
      <c r="N1015" s="50"/>
      <c r="O1015" s="50"/>
      <c r="P1015" s="50"/>
      <c r="Q1015" s="50"/>
      <c r="R1015" s="50"/>
      <c r="S1015" s="50" t="str">
        <f t="shared" si="104"/>
        <v/>
      </c>
      <c r="T1015" s="50" t="str">
        <f t="shared" si="102"/>
        <v/>
      </c>
      <c r="U1015" s="50" t="str">
        <f t="shared" si="103"/>
        <v/>
      </c>
      <c r="V1015" s="50" t="str">
        <f t="shared" si="105"/>
        <v/>
      </c>
      <c r="W1015" s="50"/>
      <c r="X1015" s="50"/>
      <c r="Y1015" s="50"/>
      <c r="Z1015" s="50"/>
      <c r="AA1015" s="50"/>
    </row>
    <row r="1016" spans="1:27" ht="25.5" customHeight="1">
      <c r="A1016" s="517" t="s">
        <v>2286</v>
      </c>
      <c r="B1016" s="51" t="s">
        <v>1176</v>
      </c>
      <c r="C1016" s="51" t="s">
        <v>143</v>
      </c>
      <c r="D1016" s="51" t="s">
        <v>4170</v>
      </c>
      <c r="E1016" s="50">
        <v>852</v>
      </c>
      <c r="F1016" s="50">
        <v>934</v>
      </c>
      <c r="G1016" s="50" t="s">
        <v>3955</v>
      </c>
      <c r="H1016" s="50"/>
      <c r="I1016" s="105"/>
      <c r="J1016" s="50"/>
      <c r="K1016" s="50" t="s">
        <v>28</v>
      </c>
      <c r="L1016" s="50" t="s">
        <v>2289</v>
      </c>
      <c r="M1016" s="50" t="s">
        <v>212</v>
      </c>
      <c r="N1016" s="50"/>
      <c r="O1016" s="50"/>
      <c r="P1016" s="50"/>
      <c r="Q1016" s="50"/>
      <c r="R1016" s="50"/>
      <c r="S1016" s="50" t="str">
        <f t="shared" si="104"/>
        <v/>
      </c>
      <c r="T1016" s="50" t="str">
        <f t="shared" si="102"/>
        <v/>
      </c>
      <c r="U1016" s="50" t="str">
        <f t="shared" si="103"/>
        <v/>
      </c>
      <c r="V1016" s="50" t="str">
        <f t="shared" si="105"/>
        <v/>
      </c>
      <c r="W1016" s="50"/>
      <c r="X1016" s="50"/>
      <c r="Y1016" s="50"/>
      <c r="Z1016" s="50"/>
      <c r="AA1016" s="50"/>
    </row>
    <row r="1017" spans="1:27" ht="25.5" customHeight="1">
      <c r="A1017" s="517" t="s">
        <v>2286</v>
      </c>
      <c r="B1017" s="51" t="s">
        <v>1176</v>
      </c>
      <c r="C1017" s="51" t="s">
        <v>143</v>
      </c>
      <c r="D1017" s="51" t="s">
        <v>4569</v>
      </c>
      <c r="E1017" s="50">
        <v>4599</v>
      </c>
      <c r="F1017" s="50">
        <v>5272</v>
      </c>
      <c r="G1017" s="50" t="s">
        <v>3955</v>
      </c>
      <c r="H1017" s="50"/>
      <c r="I1017" s="105"/>
      <c r="J1017" s="50"/>
      <c r="K1017" s="50" t="s">
        <v>28</v>
      </c>
      <c r="L1017" s="50" t="s">
        <v>2289</v>
      </c>
      <c r="M1017" s="50" t="s">
        <v>212</v>
      </c>
      <c r="N1017" s="50"/>
      <c r="O1017" s="50"/>
      <c r="P1017" s="50"/>
      <c r="Q1017" s="50"/>
      <c r="R1017" s="50"/>
      <c r="S1017" s="50" t="str">
        <f t="shared" si="104"/>
        <v/>
      </c>
      <c r="T1017" s="50" t="str">
        <f t="shared" si="102"/>
        <v/>
      </c>
      <c r="U1017" s="50" t="str">
        <f t="shared" si="103"/>
        <v/>
      </c>
      <c r="V1017" s="50" t="str">
        <f t="shared" si="105"/>
        <v/>
      </c>
      <c r="W1017" s="50"/>
      <c r="X1017" s="50"/>
      <c r="Y1017" s="50"/>
      <c r="Z1017" s="50"/>
      <c r="AA1017" s="50"/>
    </row>
    <row r="1018" spans="1:27" ht="25.5" customHeight="1">
      <c r="A1018" s="517" t="s">
        <v>2286</v>
      </c>
      <c r="B1018" s="51" t="s">
        <v>1176</v>
      </c>
      <c r="C1018" s="51" t="s">
        <v>143</v>
      </c>
      <c r="D1018" s="51" t="s">
        <v>4570</v>
      </c>
      <c r="E1018" s="50">
        <v>3073</v>
      </c>
      <c r="F1018" s="50">
        <v>3359</v>
      </c>
      <c r="G1018" s="50" t="s">
        <v>3955</v>
      </c>
      <c r="H1018" s="50"/>
      <c r="I1018" s="105"/>
      <c r="J1018" s="50"/>
      <c r="K1018" s="50" t="s">
        <v>28</v>
      </c>
      <c r="L1018" s="50" t="s">
        <v>2289</v>
      </c>
      <c r="M1018" s="50" t="s">
        <v>212</v>
      </c>
      <c r="N1018" s="50"/>
      <c r="O1018" s="50"/>
      <c r="P1018" s="50"/>
      <c r="Q1018" s="50"/>
      <c r="R1018" s="50"/>
      <c r="S1018" s="50" t="str">
        <f t="shared" si="104"/>
        <v/>
      </c>
      <c r="T1018" s="50" t="str">
        <f t="shared" ref="T1018:T1081" si="106">IF(
    OR(ISBLANK(O1018), ISBLANK(P1018)),
    "",
    MAX(1, IF(
        NETWORKDAYS(O1018, P1018) &lt;= 0,
        1,
        NETWORKDAYS(O1018, P1018) - IF(O1018 = P1018, 0, 1)
    ))
)</f>
        <v/>
      </c>
      <c r="U1018" s="50" t="str">
        <f t="shared" ref="U1018:U1081" si="107">IF(
    OR(ISBLANK(P1018), ISBLANK(Q1018)),
    "",
    MAX(1, IF(
        NETWORKDAYS(P1018, Q1018) &lt;= 0,
        1,
        NETWORKDAYS(P1018, Q1018) - IF(P1018 = Q1018, 0, 1)
    ))
)</f>
        <v/>
      </c>
      <c r="V1018" s="50" t="str">
        <f t="shared" si="105"/>
        <v/>
      </c>
      <c r="W1018" s="50"/>
      <c r="X1018" s="50"/>
      <c r="Y1018" s="50"/>
      <c r="Z1018" s="50"/>
      <c r="AA1018" s="50"/>
    </row>
    <row r="1019" spans="1:27" ht="25.5" customHeight="1">
      <c r="A1019" s="517" t="s">
        <v>2286</v>
      </c>
      <c r="B1019" s="51" t="s">
        <v>1176</v>
      </c>
      <c r="C1019" s="51" t="s">
        <v>143</v>
      </c>
      <c r="D1019" s="51" t="s">
        <v>4571</v>
      </c>
      <c r="E1019" s="50">
        <v>7659</v>
      </c>
      <c r="F1019" s="50">
        <v>9981</v>
      </c>
      <c r="G1019" s="50" t="s">
        <v>3955</v>
      </c>
      <c r="H1019" s="50"/>
      <c r="I1019" s="105"/>
      <c r="J1019" s="50"/>
      <c r="K1019" s="50" t="s">
        <v>28</v>
      </c>
      <c r="L1019" s="50" t="s">
        <v>2289</v>
      </c>
      <c r="M1019" s="50" t="s">
        <v>212</v>
      </c>
      <c r="N1019" s="50"/>
      <c r="O1019" s="50"/>
      <c r="P1019" s="50"/>
      <c r="Q1019" s="50"/>
      <c r="R1019" s="50"/>
      <c r="S1019" s="50" t="str">
        <f t="shared" si="104"/>
        <v/>
      </c>
      <c r="T1019" s="50" t="str">
        <f t="shared" si="106"/>
        <v/>
      </c>
      <c r="U1019" s="50" t="str">
        <f t="shared" si="107"/>
        <v/>
      </c>
      <c r="V1019" s="50" t="str">
        <f t="shared" si="105"/>
        <v/>
      </c>
      <c r="W1019" s="50"/>
      <c r="X1019" s="50"/>
      <c r="Y1019" s="50"/>
      <c r="Z1019" s="50"/>
      <c r="AA1019" s="50"/>
    </row>
    <row r="1020" spans="1:27" ht="25.5" customHeight="1">
      <c r="A1020" s="517" t="s">
        <v>2286</v>
      </c>
      <c r="B1020" s="51" t="s">
        <v>1176</v>
      </c>
      <c r="C1020" s="51" t="s">
        <v>143</v>
      </c>
      <c r="D1020" s="51" t="s">
        <v>4572</v>
      </c>
      <c r="E1020" s="50">
        <v>7596</v>
      </c>
      <c r="F1020" s="50">
        <v>7688</v>
      </c>
      <c r="G1020" s="50" t="s">
        <v>3955</v>
      </c>
      <c r="H1020" s="50"/>
      <c r="I1020" s="105"/>
      <c r="J1020" s="50"/>
      <c r="K1020" s="50" t="s">
        <v>28</v>
      </c>
      <c r="L1020" s="50" t="s">
        <v>2289</v>
      </c>
      <c r="M1020" s="50" t="s">
        <v>212</v>
      </c>
      <c r="N1020" s="50"/>
      <c r="O1020" s="50"/>
      <c r="P1020" s="50"/>
      <c r="Q1020" s="50"/>
      <c r="R1020" s="50"/>
      <c r="S1020" s="50" t="str">
        <f t="shared" si="104"/>
        <v/>
      </c>
      <c r="T1020" s="50" t="str">
        <f t="shared" si="106"/>
        <v/>
      </c>
      <c r="U1020" s="50" t="str">
        <f t="shared" si="107"/>
        <v/>
      </c>
      <c r="V1020" s="50" t="str">
        <f t="shared" si="105"/>
        <v/>
      </c>
      <c r="W1020" s="50"/>
      <c r="X1020" s="50"/>
      <c r="Y1020" s="50"/>
      <c r="Z1020" s="50"/>
      <c r="AA1020" s="50"/>
    </row>
    <row r="1021" spans="1:27" ht="25.5" customHeight="1">
      <c r="A1021" s="517" t="s">
        <v>2286</v>
      </c>
      <c r="B1021" s="51" t="s">
        <v>1176</v>
      </c>
      <c r="C1021" s="51" t="s">
        <v>143</v>
      </c>
      <c r="D1021" s="51" t="s">
        <v>4045</v>
      </c>
      <c r="E1021" s="50">
        <v>2141</v>
      </c>
      <c r="F1021" s="50">
        <v>2307</v>
      </c>
      <c r="G1021" s="50" t="s">
        <v>3955</v>
      </c>
      <c r="H1021" s="50"/>
      <c r="I1021" s="105"/>
      <c r="J1021" s="50"/>
      <c r="K1021" s="50" t="s">
        <v>28</v>
      </c>
      <c r="L1021" s="50" t="s">
        <v>2289</v>
      </c>
      <c r="M1021" s="50" t="s">
        <v>212</v>
      </c>
      <c r="N1021" s="50"/>
      <c r="O1021" s="50"/>
      <c r="P1021" s="50"/>
      <c r="Q1021" s="50"/>
      <c r="R1021" s="50"/>
      <c r="S1021" s="50" t="str">
        <f t="shared" si="104"/>
        <v/>
      </c>
      <c r="T1021" s="50" t="str">
        <f t="shared" si="106"/>
        <v/>
      </c>
      <c r="U1021" s="50" t="str">
        <f t="shared" si="107"/>
        <v/>
      </c>
      <c r="V1021" s="50" t="str">
        <f t="shared" si="105"/>
        <v/>
      </c>
      <c r="W1021" s="50"/>
      <c r="X1021" s="50"/>
      <c r="Y1021" s="50"/>
      <c r="Z1021" s="50"/>
      <c r="AA1021" s="50"/>
    </row>
    <row r="1022" spans="1:27" s="110" customFormat="1" ht="25.5" customHeight="1">
      <c r="A1022" s="517" t="s">
        <v>2286</v>
      </c>
      <c r="B1022" s="51" t="s">
        <v>1176</v>
      </c>
      <c r="C1022" s="51" t="s">
        <v>143</v>
      </c>
      <c r="D1022" s="51" t="s">
        <v>4573</v>
      </c>
      <c r="E1022" s="50">
        <v>2390</v>
      </c>
      <c r="F1022" s="50">
        <v>2009</v>
      </c>
      <c r="G1022" s="50" t="s">
        <v>3955</v>
      </c>
      <c r="H1022" s="50"/>
      <c r="I1022" s="105"/>
      <c r="J1022" s="50"/>
      <c r="K1022" s="50" t="s">
        <v>28</v>
      </c>
      <c r="L1022" s="50" t="s">
        <v>2289</v>
      </c>
      <c r="M1022" s="50" t="s">
        <v>212</v>
      </c>
      <c r="N1022" s="50"/>
      <c r="O1022" s="50"/>
      <c r="P1022" s="50"/>
      <c r="Q1022" s="50"/>
      <c r="R1022" s="50"/>
      <c r="S1022" s="50" t="str">
        <f t="shared" si="104"/>
        <v/>
      </c>
      <c r="T1022" s="50" t="str">
        <f t="shared" si="106"/>
        <v/>
      </c>
      <c r="U1022" s="50" t="str">
        <f t="shared" si="107"/>
        <v/>
      </c>
      <c r="V1022" s="50" t="str">
        <f t="shared" si="105"/>
        <v/>
      </c>
      <c r="W1022" s="50"/>
      <c r="X1022" s="50"/>
      <c r="Y1022" s="50"/>
      <c r="Z1022" s="50"/>
      <c r="AA1022" s="50"/>
    </row>
    <row r="1023" spans="1:27" ht="25.5" customHeight="1">
      <c r="A1023" s="517" t="s">
        <v>2286</v>
      </c>
      <c r="B1023" s="51" t="s">
        <v>1176</v>
      </c>
      <c r="C1023" s="51" t="s">
        <v>143</v>
      </c>
      <c r="D1023" s="51" t="s">
        <v>4574</v>
      </c>
      <c r="E1023" s="50">
        <v>8695</v>
      </c>
      <c r="F1023" s="50">
        <v>8686</v>
      </c>
      <c r="G1023" s="50" t="s">
        <v>3955</v>
      </c>
      <c r="H1023" s="50"/>
      <c r="I1023" s="105"/>
      <c r="J1023" s="50"/>
      <c r="K1023" s="50" t="s">
        <v>28</v>
      </c>
      <c r="L1023" s="50" t="s">
        <v>2289</v>
      </c>
      <c r="M1023" s="50" t="s">
        <v>212</v>
      </c>
      <c r="N1023" s="50"/>
      <c r="O1023" s="50"/>
      <c r="P1023" s="50"/>
      <c r="Q1023" s="50"/>
      <c r="R1023" s="50"/>
      <c r="S1023" s="50" t="str">
        <f t="shared" si="104"/>
        <v/>
      </c>
      <c r="T1023" s="50" t="str">
        <f t="shared" si="106"/>
        <v/>
      </c>
      <c r="U1023" s="50" t="str">
        <f t="shared" si="107"/>
        <v/>
      </c>
      <c r="V1023" s="50" t="str">
        <f t="shared" si="105"/>
        <v/>
      </c>
      <c r="W1023" s="50"/>
      <c r="X1023" s="50"/>
      <c r="Y1023" s="50"/>
      <c r="Z1023" s="50"/>
      <c r="AA1023" s="50"/>
    </row>
    <row r="1024" spans="1:27" ht="25.5" customHeight="1">
      <c r="A1024" s="517" t="s">
        <v>2286</v>
      </c>
      <c r="B1024" s="51" t="s">
        <v>1176</v>
      </c>
      <c r="C1024" s="51" t="s">
        <v>143</v>
      </c>
      <c r="D1024" s="51" t="s">
        <v>4575</v>
      </c>
      <c r="E1024" s="50">
        <v>2066</v>
      </c>
      <c r="F1024" s="50">
        <v>2258</v>
      </c>
      <c r="G1024" s="50" t="s">
        <v>3955</v>
      </c>
      <c r="H1024" s="50"/>
      <c r="I1024" s="105"/>
      <c r="J1024" s="50"/>
      <c r="K1024" s="50" t="s">
        <v>28</v>
      </c>
      <c r="L1024" s="50" t="s">
        <v>2289</v>
      </c>
      <c r="M1024" s="50" t="s">
        <v>212</v>
      </c>
      <c r="N1024" s="50"/>
      <c r="O1024" s="50"/>
      <c r="P1024" s="50"/>
      <c r="Q1024" s="50"/>
      <c r="R1024" s="50"/>
      <c r="S1024" s="50" t="str">
        <f t="shared" si="104"/>
        <v/>
      </c>
      <c r="T1024" s="50" t="str">
        <f t="shared" si="106"/>
        <v/>
      </c>
      <c r="U1024" s="50" t="str">
        <f t="shared" si="107"/>
        <v/>
      </c>
      <c r="V1024" s="50" t="str">
        <f t="shared" si="105"/>
        <v/>
      </c>
      <c r="W1024" s="50"/>
      <c r="X1024" s="50"/>
      <c r="Y1024" s="50"/>
      <c r="Z1024" s="50"/>
      <c r="AA1024" s="50"/>
    </row>
    <row r="1025" spans="1:27" ht="25.5" customHeight="1">
      <c r="A1025" s="517" t="s">
        <v>2286</v>
      </c>
      <c r="B1025" s="51" t="s">
        <v>1176</v>
      </c>
      <c r="C1025" s="51" t="s">
        <v>143</v>
      </c>
      <c r="D1025" s="51" t="s">
        <v>4576</v>
      </c>
      <c r="E1025" s="50">
        <v>1233</v>
      </c>
      <c r="F1025" s="50">
        <v>1144</v>
      </c>
      <c r="G1025" s="50" t="s">
        <v>3955</v>
      </c>
      <c r="H1025" s="50"/>
      <c r="I1025" s="105"/>
      <c r="J1025" s="50"/>
      <c r="K1025" s="50" t="s">
        <v>28</v>
      </c>
      <c r="L1025" s="50" t="s">
        <v>2289</v>
      </c>
      <c r="M1025" s="50" t="s">
        <v>212</v>
      </c>
      <c r="N1025" s="50"/>
      <c r="O1025" s="50"/>
      <c r="P1025" s="50"/>
      <c r="Q1025" s="50"/>
      <c r="R1025" s="50"/>
      <c r="S1025" s="50" t="str">
        <f t="shared" si="104"/>
        <v/>
      </c>
      <c r="T1025" s="50" t="str">
        <f t="shared" si="106"/>
        <v/>
      </c>
      <c r="U1025" s="50" t="str">
        <f t="shared" si="107"/>
        <v/>
      </c>
      <c r="V1025" s="50" t="str">
        <f t="shared" si="105"/>
        <v/>
      </c>
      <c r="W1025" s="50"/>
      <c r="X1025" s="50"/>
      <c r="Y1025" s="50"/>
      <c r="Z1025" s="50"/>
      <c r="AA1025" s="50"/>
    </row>
    <row r="1026" spans="1:27" ht="25.5" customHeight="1">
      <c r="A1026" s="517" t="s">
        <v>2286</v>
      </c>
      <c r="B1026" s="51" t="s">
        <v>1176</v>
      </c>
      <c r="C1026" s="51" t="s">
        <v>143</v>
      </c>
      <c r="D1026" s="51" t="s">
        <v>4577</v>
      </c>
      <c r="E1026" s="50">
        <v>5374</v>
      </c>
      <c r="F1026" s="50">
        <v>5290</v>
      </c>
      <c r="G1026" s="50" t="s">
        <v>3404</v>
      </c>
      <c r="H1026" s="50">
        <v>2024</v>
      </c>
      <c r="I1026" s="132">
        <v>45316</v>
      </c>
      <c r="J1026" s="50" t="s">
        <v>3424</v>
      </c>
      <c r="K1026" s="50" t="s">
        <v>28</v>
      </c>
      <c r="L1026" s="50" t="s">
        <v>2289</v>
      </c>
      <c r="M1026" s="50" t="s">
        <v>212</v>
      </c>
      <c r="N1026" s="50"/>
      <c r="O1026" s="50"/>
      <c r="P1026" s="50"/>
      <c r="Q1026" s="50"/>
      <c r="R1026" s="50"/>
      <c r="S1026" s="50" t="str">
        <f t="shared" si="104"/>
        <v/>
      </c>
      <c r="T1026" s="50" t="str">
        <f t="shared" si="106"/>
        <v/>
      </c>
      <c r="U1026" s="50" t="str">
        <f t="shared" si="107"/>
        <v/>
      </c>
      <c r="V1026" s="50" t="str">
        <f t="shared" si="105"/>
        <v/>
      </c>
      <c r="W1026" s="50"/>
      <c r="X1026" s="50"/>
      <c r="Y1026" s="50"/>
      <c r="Z1026" s="50" t="s">
        <v>3406</v>
      </c>
      <c r="AA1026" s="50"/>
    </row>
    <row r="1027" spans="1:27" ht="25.5" customHeight="1">
      <c r="A1027" s="517" t="s">
        <v>2286</v>
      </c>
      <c r="B1027" s="51" t="s">
        <v>1176</v>
      </c>
      <c r="C1027" s="51" t="s">
        <v>143</v>
      </c>
      <c r="D1027" s="51" t="s">
        <v>4578</v>
      </c>
      <c r="E1027" s="50">
        <v>2917</v>
      </c>
      <c r="F1027" s="50">
        <v>3041</v>
      </c>
      <c r="G1027" s="50" t="s">
        <v>3955</v>
      </c>
      <c r="H1027" s="50"/>
      <c r="I1027" s="105"/>
      <c r="J1027" s="50"/>
      <c r="K1027" s="50" t="s">
        <v>28</v>
      </c>
      <c r="L1027" s="50" t="s">
        <v>2289</v>
      </c>
      <c r="M1027" s="50" t="s">
        <v>212</v>
      </c>
      <c r="N1027" s="50"/>
      <c r="O1027" s="50"/>
      <c r="P1027" s="50"/>
      <c r="Q1027" s="50"/>
      <c r="R1027" s="50"/>
      <c r="S1027" s="50" t="str">
        <f t="shared" si="104"/>
        <v/>
      </c>
      <c r="T1027" s="50" t="str">
        <f t="shared" si="106"/>
        <v/>
      </c>
      <c r="U1027" s="50" t="str">
        <f t="shared" si="107"/>
        <v/>
      </c>
      <c r="V1027" s="50" t="str">
        <f t="shared" si="105"/>
        <v/>
      </c>
      <c r="W1027" s="50"/>
      <c r="X1027" s="50"/>
      <c r="Y1027" s="50"/>
      <c r="Z1027" s="50"/>
      <c r="AA1027" s="50"/>
    </row>
    <row r="1028" spans="1:27" ht="25.5" customHeight="1">
      <c r="A1028" s="517" t="s">
        <v>2286</v>
      </c>
      <c r="B1028" s="51" t="s">
        <v>1176</v>
      </c>
      <c r="C1028" s="51" t="s">
        <v>143</v>
      </c>
      <c r="D1028" s="51" t="s">
        <v>4579</v>
      </c>
      <c r="E1028" s="50">
        <v>5779</v>
      </c>
      <c r="F1028" s="50">
        <v>5513</v>
      </c>
      <c r="G1028" s="50" t="s">
        <v>3955</v>
      </c>
      <c r="H1028" s="50"/>
      <c r="I1028" s="105"/>
      <c r="J1028" s="50"/>
      <c r="K1028" s="50" t="s">
        <v>28</v>
      </c>
      <c r="L1028" s="50" t="s">
        <v>2289</v>
      </c>
      <c r="M1028" s="50" t="s">
        <v>212</v>
      </c>
      <c r="N1028" s="50"/>
      <c r="O1028" s="50"/>
      <c r="P1028" s="50"/>
      <c r="Q1028" s="50"/>
      <c r="R1028" s="50"/>
      <c r="S1028" s="50" t="str">
        <f t="shared" si="104"/>
        <v/>
      </c>
      <c r="T1028" s="50" t="str">
        <f t="shared" si="106"/>
        <v/>
      </c>
      <c r="U1028" s="50" t="str">
        <f t="shared" si="107"/>
        <v/>
      </c>
      <c r="V1028" s="50" t="str">
        <f t="shared" si="105"/>
        <v/>
      </c>
      <c r="W1028" s="50"/>
      <c r="X1028" s="50"/>
      <c r="Y1028" s="50"/>
      <c r="Z1028" s="50"/>
      <c r="AA1028" s="50"/>
    </row>
    <row r="1029" spans="1:27" ht="25.5" customHeight="1">
      <c r="A1029" s="517" t="s">
        <v>2286</v>
      </c>
      <c r="B1029" s="51" t="s">
        <v>1176</v>
      </c>
      <c r="C1029" s="51" t="s">
        <v>143</v>
      </c>
      <c r="D1029" s="51" t="s">
        <v>4580</v>
      </c>
      <c r="E1029" s="50">
        <v>1757</v>
      </c>
      <c r="F1029" s="50">
        <v>1836</v>
      </c>
      <c r="G1029" s="50" t="s">
        <v>3955</v>
      </c>
      <c r="H1029" s="50"/>
      <c r="I1029" s="105"/>
      <c r="J1029" s="50"/>
      <c r="K1029" s="50" t="s">
        <v>28</v>
      </c>
      <c r="L1029" s="50" t="s">
        <v>2289</v>
      </c>
      <c r="M1029" s="50" t="s">
        <v>212</v>
      </c>
      <c r="N1029" s="50"/>
      <c r="O1029" s="50"/>
      <c r="P1029" s="50"/>
      <c r="Q1029" s="50"/>
      <c r="R1029" s="50"/>
      <c r="S1029" s="50" t="str">
        <f t="shared" si="104"/>
        <v/>
      </c>
      <c r="T1029" s="50" t="str">
        <f t="shared" si="106"/>
        <v/>
      </c>
      <c r="U1029" s="50" t="str">
        <f t="shared" si="107"/>
        <v/>
      </c>
      <c r="V1029" s="50" t="str">
        <f t="shared" si="105"/>
        <v/>
      </c>
      <c r="W1029" s="50"/>
      <c r="X1029" s="50"/>
      <c r="Y1029" s="50"/>
      <c r="Z1029" s="50"/>
      <c r="AA1029" s="50"/>
    </row>
    <row r="1030" spans="1:27" s="110" customFormat="1" ht="25.5" customHeight="1">
      <c r="A1030" s="517" t="s">
        <v>2286</v>
      </c>
      <c r="B1030" s="51" t="s">
        <v>1176</v>
      </c>
      <c r="C1030" s="51" t="s">
        <v>143</v>
      </c>
      <c r="D1030" s="51" t="s">
        <v>4425</v>
      </c>
      <c r="E1030" s="50">
        <v>3322</v>
      </c>
      <c r="F1030" s="50">
        <v>3461</v>
      </c>
      <c r="G1030" s="50" t="s">
        <v>3404</v>
      </c>
      <c r="H1030" s="50">
        <v>2025</v>
      </c>
      <c r="I1030" s="60">
        <v>45869</v>
      </c>
      <c r="J1030" s="50" t="s">
        <v>3126</v>
      </c>
      <c r="K1030" s="50" t="s">
        <v>267</v>
      </c>
      <c r="L1030" s="50" t="s">
        <v>28</v>
      </c>
      <c r="M1030" s="50" t="s">
        <v>212</v>
      </c>
      <c r="N1030" s="50" t="s">
        <v>4581</v>
      </c>
      <c r="O1030" s="60">
        <v>45887</v>
      </c>
      <c r="P1030" s="60">
        <v>45887</v>
      </c>
      <c r="Q1030" s="60">
        <v>45888</v>
      </c>
      <c r="R1030" s="60">
        <v>45888</v>
      </c>
      <c r="S1030" s="50">
        <f t="shared" si="104"/>
        <v>12</v>
      </c>
      <c r="T1030" s="50">
        <f t="shared" si="106"/>
        <v>1</v>
      </c>
      <c r="U1030" s="50">
        <f t="shared" si="107"/>
        <v>1</v>
      </c>
      <c r="V1030" s="50">
        <f t="shared" si="105"/>
        <v>1</v>
      </c>
      <c r="W1030" s="50" t="s">
        <v>150</v>
      </c>
      <c r="X1030" s="50" t="s">
        <v>1078</v>
      </c>
      <c r="Y1030" s="50" t="s">
        <v>50</v>
      </c>
      <c r="Z1030" s="50" t="s">
        <v>3406</v>
      </c>
      <c r="AA1030" s="50"/>
    </row>
    <row r="1031" spans="1:27" ht="25.5" customHeight="1">
      <c r="A1031" s="517" t="s">
        <v>2286</v>
      </c>
      <c r="B1031" s="51" t="s">
        <v>1176</v>
      </c>
      <c r="C1031" s="51" t="s">
        <v>143</v>
      </c>
      <c r="D1031" s="51" t="s">
        <v>4582</v>
      </c>
      <c r="E1031" s="50">
        <v>11112</v>
      </c>
      <c r="F1031" s="50">
        <v>11104</v>
      </c>
      <c r="G1031" s="50" t="s">
        <v>3404</v>
      </c>
      <c r="H1031" s="50">
        <v>2025</v>
      </c>
      <c r="I1031" s="132">
        <v>45855</v>
      </c>
      <c r="J1031" s="50" t="s">
        <v>3126</v>
      </c>
      <c r="K1031" s="50" t="s">
        <v>267</v>
      </c>
      <c r="L1031" s="50" t="s">
        <v>28</v>
      </c>
      <c r="M1031" s="50" t="s">
        <v>212</v>
      </c>
      <c r="N1031" s="50" t="s">
        <v>4583</v>
      </c>
      <c r="O1031" s="60">
        <v>45858</v>
      </c>
      <c r="P1031" s="60">
        <v>45859</v>
      </c>
      <c r="Q1031" s="60">
        <v>45859</v>
      </c>
      <c r="R1031" s="60">
        <v>45859</v>
      </c>
      <c r="S1031" s="50">
        <f t="shared" ref="S1031:S1094" si="108">IF(
    OR(ISBLANK(I1031), ISBLANK(O1031)),
    "",
    MAX(1, IF(
        NETWORKDAYS(I1031, O1031) &lt;= 0,
        1,
        NETWORKDAYS(I1031, O1031) - IF(I1031 = O1031, 0, 1)
    ))
)</f>
        <v>1</v>
      </c>
      <c r="T1031" s="50">
        <f t="shared" si="106"/>
        <v>1</v>
      </c>
      <c r="U1031" s="50">
        <f t="shared" si="107"/>
        <v>1</v>
      </c>
      <c r="V1031" s="50">
        <f t="shared" si="105"/>
        <v>1</v>
      </c>
      <c r="W1031" s="50" t="s">
        <v>150</v>
      </c>
      <c r="X1031" s="50" t="s">
        <v>1078</v>
      </c>
      <c r="Y1031" s="50" t="s">
        <v>50</v>
      </c>
      <c r="Z1031" s="50" t="s">
        <v>3406</v>
      </c>
      <c r="AA1031" s="50"/>
    </row>
    <row r="1032" spans="1:27" ht="25.5" customHeight="1">
      <c r="A1032" s="517" t="s">
        <v>2286</v>
      </c>
      <c r="B1032" s="51" t="s">
        <v>1176</v>
      </c>
      <c r="C1032" s="51" t="s">
        <v>143</v>
      </c>
      <c r="D1032" s="51" t="s">
        <v>4584</v>
      </c>
      <c r="E1032" s="50">
        <v>4054</v>
      </c>
      <c r="F1032" s="50">
        <v>5182</v>
      </c>
      <c r="G1032" s="50" t="s">
        <v>3404</v>
      </c>
      <c r="H1032" s="50">
        <v>2025</v>
      </c>
      <c r="I1032" s="132">
        <v>45779</v>
      </c>
      <c r="J1032" s="50" t="s">
        <v>3532</v>
      </c>
      <c r="K1032" s="50" t="s">
        <v>267</v>
      </c>
      <c r="L1032" s="50" t="s">
        <v>28</v>
      </c>
      <c r="M1032" s="50" t="s">
        <v>212</v>
      </c>
      <c r="N1032" s="50" t="s">
        <v>4585</v>
      </c>
      <c r="O1032" s="60">
        <v>45780</v>
      </c>
      <c r="P1032" s="60">
        <v>45783</v>
      </c>
      <c r="Q1032" s="60">
        <v>45783</v>
      </c>
      <c r="R1032" s="60">
        <v>45792</v>
      </c>
      <c r="S1032" s="50">
        <f t="shared" si="108"/>
        <v>1</v>
      </c>
      <c r="T1032" s="50">
        <f t="shared" si="106"/>
        <v>1</v>
      </c>
      <c r="U1032" s="50">
        <f t="shared" si="107"/>
        <v>1</v>
      </c>
      <c r="V1032" s="50">
        <f t="shared" si="105"/>
        <v>7</v>
      </c>
      <c r="W1032" s="50" t="s">
        <v>150</v>
      </c>
      <c r="X1032" s="50" t="s">
        <v>1078</v>
      </c>
      <c r="Y1032" s="50" t="s">
        <v>50</v>
      </c>
      <c r="Z1032" s="50" t="s">
        <v>3406</v>
      </c>
      <c r="AA1032" s="50"/>
    </row>
    <row r="1033" spans="1:27" ht="25.5" customHeight="1">
      <c r="A1033" s="517" t="s">
        <v>2286</v>
      </c>
      <c r="B1033" s="51" t="s">
        <v>1176</v>
      </c>
      <c r="C1033" s="51" t="s">
        <v>143</v>
      </c>
      <c r="D1033" s="51" t="s">
        <v>4586</v>
      </c>
      <c r="E1033" s="50">
        <v>11449</v>
      </c>
      <c r="F1033" s="50">
        <v>11917</v>
      </c>
      <c r="G1033" s="50" t="s">
        <v>3955</v>
      </c>
      <c r="H1033" s="50"/>
      <c r="I1033" s="105"/>
      <c r="J1033" s="50"/>
      <c r="K1033" s="50" t="s">
        <v>28</v>
      </c>
      <c r="L1033" s="50" t="s">
        <v>2289</v>
      </c>
      <c r="M1033" s="50" t="s">
        <v>212</v>
      </c>
      <c r="N1033" s="50"/>
      <c r="O1033" s="50"/>
      <c r="P1033" s="50"/>
      <c r="Q1033" s="50"/>
      <c r="R1033" s="50"/>
      <c r="S1033" s="50" t="str">
        <f t="shared" si="108"/>
        <v/>
      </c>
      <c r="T1033" s="50" t="str">
        <f t="shared" si="106"/>
        <v/>
      </c>
      <c r="U1033" s="50" t="str">
        <f t="shared" si="107"/>
        <v/>
      </c>
      <c r="V1033" s="50" t="str">
        <f t="shared" si="105"/>
        <v/>
      </c>
      <c r="W1033" s="50"/>
      <c r="X1033" s="50"/>
      <c r="Y1033" s="50"/>
      <c r="Z1033" s="50"/>
      <c r="AA1033" s="50"/>
    </row>
    <row r="1034" spans="1:27" ht="25.5" customHeight="1">
      <c r="A1034" s="517" t="s">
        <v>2286</v>
      </c>
      <c r="B1034" s="51" t="s">
        <v>1176</v>
      </c>
      <c r="C1034" s="51" t="s">
        <v>143</v>
      </c>
      <c r="D1034" s="51" t="s">
        <v>4587</v>
      </c>
      <c r="E1034" s="50">
        <v>1885</v>
      </c>
      <c r="F1034" s="50">
        <v>1905</v>
      </c>
      <c r="G1034" s="50" t="s">
        <v>3955</v>
      </c>
      <c r="H1034" s="50"/>
      <c r="I1034" s="105"/>
      <c r="J1034" s="50"/>
      <c r="K1034" s="50" t="s">
        <v>28</v>
      </c>
      <c r="L1034" s="50" t="s">
        <v>2289</v>
      </c>
      <c r="M1034" s="50" t="s">
        <v>212</v>
      </c>
      <c r="N1034" s="50"/>
      <c r="O1034" s="50"/>
      <c r="P1034" s="50"/>
      <c r="Q1034" s="50"/>
      <c r="R1034" s="50"/>
      <c r="S1034" s="50" t="str">
        <f t="shared" si="108"/>
        <v/>
      </c>
      <c r="T1034" s="50" t="str">
        <f t="shared" si="106"/>
        <v/>
      </c>
      <c r="U1034" s="50" t="str">
        <f t="shared" si="107"/>
        <v/>
      </c>
      <c r="V1034" s="50" t="str">
        <f t="shared" si="105"/>
        <v/>
      </c>
      <c r="W1034" s="50"/>
      <c r="X1034" s="50"/>
      <c r="Y1034" s="50"/>
      <c r="Z1034" s="50"/>
      <c r="AA1034" s="50"/>
    </row>
    <row r="1035" spans="1:27" ht="25.5" customHeight="1">
      <c r="A1035" s="517" t="s">
        <v>2286</v>
      </c>
      <c r="B1035" s="51" t="s">
        <v>1176</v>
      </c>
      <c r="C1035" s="51" t="s">
        <v>143</v>
      </c>
      <c r="D1035" s="51" t="s">
        <v>4588</v>
      </c>
      <c r="E1035" s="50">
        <v>1614</v>
      </c>
      <c r="F1035" s="50">
        <v>1920</v>
      </c>
      <c r="G1035" s="50" t="s">
        <v>3955</v>
      </c>
      <c r="H1035" s="50"/>
      <c r="I1035" s="105"/>
      <c r="J1035" s="50"/>
      <c r="K1035" s="50" t="s">
        <v>28</v>
      </c>
      <c r="L1035" s="50" t="s">
        <v>2289</v>
      </c>
      <c r="M1035" s="50" t="s">
        <v>212</v>
      </c>
      <c r="N1035" s="50"/>
      <c r="O1035" s="50"/>
      <c r="P1035" s="50"/>
      <c r="Q1035" s="50"/>
      <c r="R1035" s="50"/>
      <c r="S1035" s="50" t="str">
        <f t="shared" si="108"/>
        <v/>
      </c>
      <c r="T1035" s="50" t="str">
        <f t="shared" si="106"/>
        <v/>
      </c>
      <c r="U1035" s="50" t="str">
        <f t="shared" si="107"/>
        <v/>
      </c>
      <c r="V1035" s="50" t="str">
        <f t="shared" si="105"/>
        <v/>
      </c>
      <c r="W1035" s="50"/>
      <c r="X1035" s="50"/>
      <c r="Y1035" s="50"/>
      <c r="Z1035" s="50"/>
      <c r="AA1035" s="50"/>
    </row>
    <row r="1036" spans="1:27" ht="25.5" customHeight="1">
      <c r="A1036" s="517" t="s">
        <v>2286</v>
      </c>
      <c r="B1036" s="51" t="s">
        <v>1176</v>
      </c>
      <c r="C1036" s="51" t="s">
        <v>143</v>
      </c>
      <c r="D1036" s="51" t="s">
        <v>4589</v>
      </c>
      <c r="E1036" s="50">
        <v>1816</v>
      </c>
      <c r="F1036" s="50">
        <v>2163</v>
      </c>
      <c r="G1036" s="50" t="s">
        <v>3955</v>
      </c>
      <c r="H1036" s="50"/>
      <c r="I1036" s="105"/>
      <c r="J1036" s="50"/>
      <c r="K1036" s="50" t="s">
        <v>28</v>
      </c>
      <c r="L1036" s="50" t="s">
        <v>2289</v>
      </c>
      <c r="M1036" s="50" t="s">
        <v>212</v>
      </c>
      <c r="N1036" s="50"/>
      <c r="O1036" s="50"/>
      <c r="P1036" s="50"/>
      <c r="Q1036" s="50"/>
      <c r="R1036" s="50"/>
      <c r="S1036" s="50" t="str">
        <f t="shared" si="108"/>
        <v/>
      </c>
      <c r="T1036" s="50" t="str">
        <f t="shared" si="106"/>
        <v/>
      </c>
      <c r="U1036" s="50" t="str">
        <f t="shared" si="107"/>
        <v/>
      </c>
      <c r="V1036" s="50" t="str">
        <f t="shared" si="105"/>
        <v/>
      </c>
      <c r="W1036" s="50"/>
      <c r="X1036" s="50"/>
      <c r="Y1036" s="50"/>
      <c r="Z1036" s="50"/>
      <c r="AA1036" s="50"/>
    </row>
    <row r="1037" spans="1:27" ht="25.5" customHeight="1">
      <c r="A1037" s="517" t="s">
        <v>2286</v>
      </c>
      <c r="B1037" s="51" t="s">
        <v>1176</v>
      </c>
      <c r="C1037" s="51" t="s">
        <v>143</v>
      </c>
      <c r="D1037" s="51" t="s">
        <v>4590</v>
      </c>
      <c r="E1037" s="50">
        <v>172</v>
      </c>
      <c r="F1037" s="50">
        <v>95</v>
      </c>
      <c r="G1037" s="50" t="s">
        <v>3955</v>
      </c>
      <c r="H1037" s="50"/>
      <c r="I1037" s="105"/>
      <c r="J1037" s="50"/>
      <c r="K1037" s="50" t="s">
        <v>28</v>
      </c>
      <c r="L1037" s="50" t="s">
        <v>2289</v>
      </c>
      <c r="M1037" s="50" t="s">
        <v>212</v>
      </c>
      <c r="N1037" s="50"/>
      <c r="O1037" s="50"/>
      <c r="P1037" s="50"/>
      <c r="Q1037" s="50"/>
      <c r="R1037" s="50"/>
      <c r="S1037" s="50" t="str">
        <f t="shared" si="108"/>
        <v/>
      </c>
      <c r="T1037" s="50" t="str">
        <f t="shared" si="106"/>
        <v/>
      </c>
      <c r="U1037" s="50" t="str">
        <f t="shared" si="107"/>
        <v/>
      </c>
      <c r="V1037" s="50" t="str">
        <f t="shared" si="105"/>
        <v/>
      </c>
      <c r="W1037" s="50"/>
      <c r="X1037" s="50"/>
      <c r="Y1037" s="50"/>
      <c r="Z1037" s="50"/>
      <c r="AA1037" s="50"/>
    </row>
    <row r="1038" spans="1:27" ht="25.5" customHeight="1">
      <c r="A1038" s="517" t="s">
        <v>2286</v>
      </c>
      <c r="B1038" s="51" t="s">
        <v>1176</v>
      </c>
      <c r="C1038" s="51" t="s">
        <v>143</v>
      </c>
      <c r="D1038" s="51" t="s">
        <v>4591</v>
      </c>
      <c r="E1038" s="50">
        <v>1451</v>
      </c>
      <c r="F1038" s="50">
        <v>1791</v>
      </c>
      <c r="G1038" s="50" t="s">
        <v>3955</v>
      </c>
      <c r="H1038" s="50"/>
      <c r="I1038" s="105"/>
      <c r="J1038" s="50"/>
      <c r="K1038" s="50" t="s">
        <v>28</v>
      </c>
      <c r="L1038" s="50" t="s">
        <v>2289</v>
      </c>
      <c r="M1038" s="50" t="s">
        <v>212</v>
      </c>
      <c r="N1038" s="50"/>
      <c r="O1038" s="50"/>
      <c r="P1038" s="50"/>
      <c r="Q1038" s="50"/>
      <c r="R1038" s="50"/>
      <c r="S1038" s="50" t="str">
        <f t="shared" si="108"/>
        <v/>
      </c>
      <c r="T1038" s="50" t="str">
        <f t="shared" si="106"/>
        <v/>
      </c>
      <c r="U1038" s="50" t="str">
        <f t="shared" si="107"/>
        <v/>
      </c>
      <c r="V1038" s="50" t="str">
        <f t="shared" si="105"/>
        <v/>
      </c>
      <c r="W1038" s="50"/>
      <c r="X1038" s="50"/>
      <c r="Y1038" s="50"/>
      <c r="Z1038" s="50"/>
      <c r="AA1038" s="50"/>
    </row>
    <row r="1039" spans="1:27" ht="25.5" customHeight="1">
      <c r="A1039" s="517" t="s">
        <v>2286</v>
      </c>
      <c r="B1039" s="51" t="s">
        <v>1176</v>
      </c>
      <c r="C1039" s="51" t="s">
        <v>143</v>
      </c>
      <c r="D1039" s="51" t="s">
        <v>4592</v>
      </c>
      <c r="E1039" s="50">
        <v>4480</v>
      </c>
      <c r="F1039" s="50">
        <v>4344</v>
      </c>
      <c r="G1039" s="50" t="s">
        <v>3955</v>
      </c>
      <c r="H1039" s="50"/>
      <c r="I1039" s="105"/>
      <c r="J1039" s="50"/>
      <c r="K1039" s="50" t="s">
        <v>28</v>
      </c>
      <c r="L1039" s="50" t="s">
        <v>2289</v>
      </c>
      <c r="M1039" s="50" t="s">
        <v>212</v>
      </c>
      <c r="N1039" s="50"/>
      <c r="O1039" s="50"/>
      <c r="P1039" s="50"/>
      <c r="Q1039" s="50"/>
      <c r="R1039" s="50"/>
      <c r="S1039" s="50" t="str">
        <f t="shared" si="108"/>
        <v/>
      </c>
      <c r="T1039" s="50" t="str">
        <f t="shared" si="106"/>
        <v/>
      </c>
      <c r="U1039" s="50" t="str">
        <f t="shared" si="107"/>
        <v/>
      </c>
      <c r="V1039" s="50" t="str">
        <f t="shared" si="105"/>
        <v/>
      </c>
      <c r="W1039" s="50"/>
      <c r="X1039" s="50"/>
      <c r="Y1039" s="50"/>
      <c r="Z1039" s="50"/>
      <c r="AA1039" s="50"/>
    </row>
    <row r="1040" spans="1:27" s="110" customFormat="1" ht="25.5" customHeight="1">
      <c r="A1040" s="517" t="s">
        <v>2286</v>
      </c>
      <c r="B1040" s="51" t="s">
        <v>1176</v>
      </c>
      <c r="C1040" s="51" t="s">
        <v>143</v>
      </c>
      <c r="D1040" s="51" t="s">
        <v>4593</v>
      </c>
      <c r="E1040" s="50">
        <v>4145</v>
      </c>
      <c r="F1040" s="50">
        <v>5354</v>
      </c>
      <c r="G1040" s="50" t="s">
        <v>3955</v>
      </c>
      <c r="H1040" s="50"/>
      <c r="I1040" s="105"/>
      <c r="J1040" s="50"/>
      <c r="K1040" s="50" t="s">
        <v>28</v>
      </c>
      <c r="L1040" s="50" t="s">
        <v>2289</v>
      </c>
      <c r="M1040" s="50" t="s">
        <v>212</v>
      </c>
      <c r="N1040" s="50"/>
      <c r="O1040" s="50"/>
      <c r="P1040" s="50"/>
      <c r="Q1040" s="50"/>
      <c r="R1040" s="50"/>
      <c r="S1040" s="50" t="str">
        <f t="shared" si="108"/>
        <v/>
      </c>
      <c r="T1040" s="50" t="str">
        <f t="shared" si="106"/>
        <v/>
      </c>
      <c r="U1040" s="50" t="str">
        <f t="shared" si="107"/>
        <v/>
      </c>
      <c r="V1040" s="50" t="str">
        <f t="shared" si="105"/>
        <v/>
      </c>
      <c r="W1040" s="50"/>
      <c r="X1040" s="50"/>
      <c r="Y1040" s="50"/>
      <c r="Z1040" s="50"/>
      <c r="AA1040" s="50"/>
    </row>
    <row r="1041" spans="1:27" ht="25.5" customHeight="1">
      <c r="A1041" s="517" t="s">
        <v>2286</v>
      </c>
      <c r="B1041" s="51" t="s">
        <v>1176</v>
      </c>
      <c r="C1041" s="51" t="s">
        <v>143</v>
      </c>
      <c r="D1041" s="51" t="s">
        <v>4594</v>
      </c>
      <c r="E1041" s="50">
        <v>7191</v>
      </c>
      <c r="F1041" s="50">
        <v>8030</v>
      </c>
      <c r="G1041" s="50" t="s">
        <v>3404</v>
      </c>
      <c r="H1041" s="50">
        <v>2025</v>
      </c>
      <c r="I1041" s="132">
        <v>45944</v>
      </c>
      <c r="J1041" s="50" t="s">
        <v>3129</v>
      </c>
      <c r="K1041" s="50" t="s">
        <v>267</v>
      </c>
      <c r="L1041" s="50" t="s">
        <v>2289</v>
      </c>
      <c r="M1041" s="50" t="s">
        <v>212</v>
      </c>
      <c r="N1041" s="50" t="s">
        <v>4595</v>
      </c>
      <c r="O1041" s="60">
        <v>45946</v>
      </c>
      <c r="P1041" s="60">
        <v>45950</v>
      </c>
      <c r="Q1041" s="60">
        <v>45960</v>
      </c>
      <c r="R1041" s="60">
        <v>45964</v>
      </c>
      <c r="S1041" s="50">
        <f t="shared" si="108"/>
        <v>2</v>
      </c>
      <c r="T1041" s="50">
        <f t="shared" si="106"/>
        <v>2</v>
      </c>
      <c r="U1041" s="50">
        <f t="shared" si="107"/>
        <v>8</v>
      </c>
      <c r="V1041" s="50">
        <f t="shared" si="105"/>
        <v>2</v>
      </c>
      <c r="W1041" s="50" t="s">
        <v>150</v>
      </c>
      <c r="X1041" s="50" t="s">
        <v>4</v>
      </c>
      <c r="Y1041" s="50" t="s">
        <v>50</v>
      </c>
      <c r="Z1041" s="50" t="s">
        <v>3406</v>
      </c>
      <c r="AA1041" s="50"/>
    </row>
    <row r="1042" spans="1:27" ht="25.5" customHeight="1">
      <c r="A1042" s="517" t="s">
        <v>2286</v>
      </c>
      <c r="B1042" s="51" t="s">
        <v>1176</v>
      </c>
      <c r="C1042" s="51" t="s">
        <v>143</v>
      </c>
      <c r="D1042" s="51" t="s">
        <v>4596</v>
      </c>
      <c r="E1042" s="50">
        <v>2057</v>
      </c>
      <c r="F1042" s="50">
        <v>2202</v>
      </c>
      <c r="G1042" s="50" t="s">
        <v>3955</v>
      </c>
      <c r="H1042" s="50"/>
      <c r="I1042" s="105"/>
      <c r="J1042" s="50"/>
      <c r="K1042" s="50" t="s">
        <v>28</v>
      </c>
      <c r="L1042" s="50" t="s">
        <v>2289</v>
      </c>
      <c r="M1042" s="50" t="s">
        <v>212</v>
      </c>
      <c r="N1042" s="50"/>
      <c r="O1042" s="50"/>
      <c r="P1042" s="50"/>
      <c r="Q1042" s="50"/>
      <c r="R1042" s="50"/>
      <c r="S1042" s="50" t="str">
        <f t="shared" si="108"/>
        <v/>
      </c>
      <c r="T1042" s="50" t="str">
        <f t="shared" si="106"/>
        <v/>
      </c>
      <c r="U1042" s="50" t="str">
        <f t="shared" si="107"/>
        <v/>
      </c>
      <c r="V1042" s="50" t="str">
        <f t="shared" si="105"/>
        <v/>
      </c>
      <c r="W1042" s="50"/>
      <c r="X1042" s="50"/>
      <c r="Y1042" s="50"/>
      <c r="Z1042" s="50"/>
      <c r="AA1042" s="50"/>
    </row>
    <row r="1043" spans="1:27" ht="25.5" customHeight="1">
      <c r="A1043" s="517" t="s">
        <v>2286</v>
      </c>
      <c r="B1043" s="51" t="s">
        <v>1176</v>
      </c>
      <c r="C1043" s="51" t="s">
        <v>143</v>
      </c>
      <c r="D1043" s="51" t="s">
        <v>4597</v>
      </c>
      <c r="E1043" s="50">
        <v>1421</v>
      </c>
      <c r="F1043" s="50">
        <v>1281</v>
      </c>
      <c r="G1043" s="50" t="s">
        <v>3404</v>
      </c>
      <c r="H1043" s="50">
        <v>2025</v>
      </c>
      <c r="I1043" s="132">
        <v>45930</v>
      </c>
      <c r="J1043" s="50" t="s">
        <v>3128</v>
      </c>
      <c r="K1043" s="50" t="s">
        <v>267</v>
      </c>
      <c r="L1043" s="50" t="s">
        <v>2289</v>
      </c>
      <c r="M1043" s="50" t="s">
        <v>212</v>
      </c>
      <c r="N1043" s="50" t="s">
        <v>4598</v>
      </c>
      <c r="O1043" s="60">
        <v>45936</v>
      </c>
      <c r="P1043" s="60">
        <v>45938</v>
      </c>
      <c r="Q1043" s="60">
        <v>45938</v>
      </c>
      <c r="R1043" s="60">
        <v>45940</v>
      </c>
      <c r="S1043" s="50">
        <f t="shared" si="108"/>
        <v>4</v>
      </c>
      <c r="T1043" s="50">
        <f t="shared" si="106"/>
        <v>2</v>
      </c>
      <c r="U1043" s="50">
        <f t="shared" si="107"/>
        <v>1</v>
      </c>
      <c r="V1043" s="50">
        <f t="shared" si="105"/>
        <v>2</v>
      </c>
      <c r="W1043" s="50" t="s">
        <v>150</v>
      </c>
      <c r="X1043" s="50" t="s">
        <v>1078</v>
      </c>
      <c r="Y1043" s="50" t="s">
        <v>50</v>
      </c>
      <c r="Z1043" s="50" t="s">
        <v>3406</v>
      </c>
      <c r="AA1043" s="50"/>
    </row>
    <row r="1044" spans="1:27" s="110" customFormat="1" ht="25.5" customHeight="1">
      <c r="A1044" s="517" t="s">
        <v>2286</v>
      </c>
      <c r="B1044" s="51" t="s">
        <v>1176</v>
      </c>
      <c r="C1044" s="51" t="s">
        <v>143</v>
      </c>
      <c r="D1044" s="51" t="s">
        <v>4599</v>
      </c>
      <c r="E1044" s="50">
        <v>886</v>
      </c>
      <c r="F1044" s="50">
        <v>777</v>
      </c>
      <c r="G1044" s="50" t="s">
        <v>3955</v>
      </c>
      <c r="H1044" s="50"/>
      <c r="I1044" s="105"/>
      <c r="J1044" s="50"/>
      <c r="K1044" s="50" t="s">
        <v>28</v>
      </c>
      <c r="L1044" s="50" t="s">
        <v>2289</v>
      </c>
      <c r="M1044" s="50" t="s">
        <v>212</v>
      </c>
      <c r="N1044" s="50"/>
      <c r="O1044" s="50"/>
      <c r="P1044" s="50"/>
      <c r="Q1044" s="50"/>
      <c r="R1044" s="50"/>
      <c r="S1044" s="50" t="str">
        <f t="shared" si="108"/>
        <v/>
      </c>
      <c r="T1044" s="50" t="str">
        <f t="shared" si="106"/>
        <v/>
      </c>
      <c r="U1044" s="50" t="str">
        <f t="shared" si="107"/>
        <v/>
      </c>
      <c r="V1044" s="50" t="str">
        <f t="shared" si="105"/>
        <v/>
      </c>
      <c r="W1044" s="50"/>
      <c r="X1044" s="50"/>
      <c r="Y1044" s="50"/>
      <c r="Z1044" s="50"/>
      <c r="AA1044" s="50"/>
    </row>
    <row r="1045" spans="1:27" ht="25.5" customHeight="1">
      <c r="A1045" s="517" t="s">
        <v>2286</v>
      </c>
      <c r="B1045" s="51" t="s">
        <v>1176</v>
      </c>
      <c r="C1045" s="51" t="s">
        <v>143</v>
      </c>
      <c r="D1045" s="51" t="s">
        <v>4600</v>
      </c>
      <c r="E1045" s="50">
        <v>7076</v>
      </c>
      <c r="F1045" s="50">
        <v>7405</v>
      </c>
      <c r="G1045" s="50" t="s">
        <v>3404</v>
      </c>
      <c r="H1045" s="50">
        <v>2024</v>
      </c>
      <c r="I1045" s="132">
        <v>45316</v>
      </c>
      <c r="J1045" s="50"/>
      <c r="K1045" s="50" t="s">
        <v>28</v>
      </c>
      <c r="L1045" s="50" t="s">
        <v>2289</v>
      </c>
      <c r="M1045" s="50" t="s">
        <v>212</v>
      </c>
      <c r="N1045" s="50"/>
      <c r="O1045" s="50"/>
      <c r="P1045" s="50"/>
      <c r="Q1045" s="50"/>
      <c r="R1045" s="50"/>
      <c r="S1045" s="50" t="str">
        <f t="shared" si="108"/>
        <v/>
      </c>
      <c r="T1045" s="50" t="str">
        <f t="shared" si="106"/>
        <v/>
      </c>
      <c r="U1045" s="50" t="str">
        <f t="shared" si="107"/>
        <v/>
      </c>
      <c r="V1045" s="50" t="str">
        <f t="shared" si="105"/>
        <v/>
      </c>
      <c r="W1045" s="50"/>
      <c r="X1045" s="50"/>
      <c r="Y1045" s="50"/>
      <c r="Z1045" s="50" t="s">
        <v>3406</v>
      </c>
      <c r="AA1045" s="50"/>
    </row>
    <row r="1046" spans="1:27" ht="25.5" customHeight="1">
      <c r="A1046" s="517" t="s">
        <v>2286</v>
      </c>
      <c r="B1046" s="51" t="s">
        <v>1176</v>
      </c>
      <c r="C1046" s="51" t="s">
        <v>143</v>
      </c>
      <c r="D1046" s="51" t="s">
        <v>4601</v>
      </c>
      <c r="E1046" s="50">
        <v>1548</v>
      </c>
      <c r="F1046" s="50">
        <v>1516</v>
      </c>
      <c r="G1046" s="50" t="s">
        <v>3955</v>
      </c>
      <c r="H1046" s="50"/>
      <c r="I1046" s="105"/>
      <c r="J1046" s="50"/>
      <c r="K1046" s="50" t="s">
        <v>28</v>
      </c>
      <c r="L1046" s="50" t="s">
        <v>2289</v>
      </c>
      <c r="M1046" s="50" t="s">
        <v>212</v>
      </c>
      <c r="N1046" s="50"/>
      <c r="O1046" s="50"/>
      <c r="P1046" s="50"/>
      <c r="Q1046" s="50"/>
      <c r="R1046" s="50"/>
      <c r="S1046" s="50" t="str">
        <f t="shared" si="108"/>
        <v/>
      </c>
      <c r="T1046" s="50" t="str">
        <f t="shared" si="106"/>
        <v/>
      </c>
      <c r="U1046" s="50" t="str">
        <f t="shared" si="107"/>
        <v/>
      </c>
      <c r="V1046" s="50" t="str">
        <f t="shared" si="105"/>
        <v/>
      </c>
      <c r="W1046" s="50"/>
      <c r="X1046" s="50"/>
      <c r="Y1046" s="50"/>
      <c r="Z1046" s="50"/>
      <c r="AA1046" s="50"/>
    </row>
    <row r="1047" spans="1:27" ht="25.5" customHeight="1">
      <c r="A1047" s="517" t="s">
        <v>2286</v>
      </c>
      <c r="B1047" s="51" t="s">
        <v>1176</v>
      </c>
      <c r="C1047" s="51" t="s">
        <v>143</v>
      </c>
      <c r="D1047" s="51" t="s">
        <v>4602</v>
      </c>
      <c r="E1047" s="50">
        <v>4039</v>
      </c>
      <c r="F1047" s="50">
        <v>4756</v>
      </c>
      <c r="G1047" s="50" t="s">
        <v>3955</v>
      </c>
      <c r="H1047" s="50"/>
      <c r="I1047" s="105"/>
      <c r="J1047" s="50"/>
      <c r="K1047" s="50" t="s">
        <v>28</v>
      </c>
      <c r="L1047" s="50" t="s">
        <v>2289</v>
      </c>
      <c r="M1047" s="50" t="s">
        <v>212</v>
      </c>
      <c r="N1047" s="50"/>
      <c r="O1047" s="50"/>
      <c r="P1047" s="50"/>
      <c r="Q1047" s="50"/>
      <c r="R1047" s="50"/>
      <c r="S1047" s="50" t="str">
        <f t="shared" si="108"/>
        <v/>
      </c>
      <c r="T1047" s="50" t="str">
        <f t="shared" si="106"/>
        <v/>
      </c>
      <c r="U1047" s="50" t="str">
        <f t="shared" si="107"/>
        <v/>
      </c>
      <c r="V1047" s="50" t="str">
        <f t="shared" si="105"/>
        <v/>
      </c>
      <c r="W1047" s="50"/>
      <c r="X1047" s="50"/>
      <c r="Y1047" s="50"/>
      <c r="Z1047" s="50"/>
      <c r="AA1047" s="50"/>
    </row>
    <row r="1048" spans="1:27" ht="25.5" customHeight="1">
      <c r="A1048" s="517" t="s">
        <v>2286</v>
      </c>
      <c r="B1048" s="51" t="s">
        <v>1176</v>
      </c>
      <c r="C1048" s="51" t="s">
        <v>143</v>
      </c>
      <c r="D1048" s="51" t="s">
        <v>4603</v>
      </c>
      <c r="E1048" s="50">
        <v>2313</v>
      </c>
      <c r="F1048" s="50">
        <v>2662</v>
      </c>
      <c r="G1048" s="50" t="s">
        <v>3404</v>
      </c>
      <c r="H1048" s="50">
        <v>2025</v>
      </c>
      <c r="I1048" s="132">
        <v>45891</v>
      </c>
      <c r="J1048" s="50" t="s">
        <v>3127</v>
      </c>
      <c r="K1048" s="50" t="s">
        <v>267</v>
      </c>
      <c r="L1048" s="50" t="s">
        <v>2289</v>
      </c>
      <c r="M1048" s="50" t="s">
        <v>212</v>
      </c>
      <c r="N1048" s="50" t="s">
        <v>4604</v>
      </c>
      <c r="O1048" s="60">
        <v>45918</v>
      </c>
      <c r="P1048" s="60">
        <v>45918</v>
      </c>
      <c r="Q1048" s="60">
        <v>45918</v>
      </c>
      <c r="R1048" s="60">
        <v>45919</v>
      </c>
      <c r="S1048" s="50">
        <f t="shared" si="108"/>
        <v>19</v>
      </c>
      <c r="T1048" s="50">
        <f t="shared" si="106"/>
        <v>1</v>
      </c>
      <c r="U1048" s="50">
        <f t="shared" si="107"/>
        <v>1</v>
      </c>
      <c r="V1048" s="50">
        <f t="shared" si="105"/>
        <v>1</v>
      </c>
      <c r="W1048" s="50" t="s">
        <v>150</v>
      </c>
      <c r="X1048" s="50" t="s">
        <v>1078</v>
      </c>
      <c r="Y1048" s="50" t="s">
        <v>50</v>
      </c>
      <c r="Z1048" s="50" t="s">
        <v>3406</v>
      </c>
      <c r="AA1048" s="50"/>
    </row>
    <row r="1049" spans="1:27" ht="25.5" customHeight="1">
      <c r="A1049" s="517" t="s">
        <v>2286</v>
      </c>
      <c r="B1049" s="51" t="s">
        <v>1176</v>
      </c>
      <c r="C1049" s="51" t="s">
        <v>143</v>
      </c>
      <c r="D1049" s="51" t="s">
        <v>4605</v>
      </c>
      <c r="E1049" s="50">
        <v>5473</v>
      </c>
      <c r="F1049" s="50">
        <v>5904</v>
      </c>
      <c r="G1049" s="50" t="s">
        <v>3404</v>
      </c>
      <c r="H1049" s="50">
        <v>2025</v>
      </c>
      <c r="I1049" s="132">
        <v>45912</v>
      </c>
      <c r="J1049" s="50" t="s">
        <v>3127</v>
      </c>
      <c r="K1049" s="50" t="s">
        <v>267</v>
      </c>
      <c r="L1049" s="50" t="s">
        <v>2289</v>
      </c>
      <c r="M1049" s="50" t="s">
        <v>212</v>
      </c>
      <c r="N1049" s="50" t="s">
        <v>4606</v>
      </c>
      <c r="O1049" s="60">
        <v>45918</v>
      </c>
      <c r="P1049" s="60">
        <v>45918</v>
      </c>
      <c r="Q1049" s="60">
        <v>45918</v>
      </c>
      <c r="R1049" s="60">
        <v>45919</v>
      </c>
      <c r="S1049" s="50">
        <f t="shared" si="108"/>
        <v>4</v>
      </c>
      <c r="T1049" s="50">
        <f t="shared" si="106"/>
        <v>1</v>
      </c>
      <c r="U1049" s="50">
        <f t="shared" si="107"/>
        <v>1</v>
      </c>
      <c r="V1049" s="50">
        <f t="shared" ref="V1049:V1112" si="109">IF(
    OR(ISBLANK(Q1049), ISBLANK(R1049)),
    "",
    MAX(1, IF(
        NETWORKDAYS(Q1049, R1049) &lt;= 0,
        1,
        NETWORKDAYS(Q1049, R1049) - IF(Q1049 = R1049, 0, 1)
    ))
)</f>
        <v>1</v>
      </c>
      <c r="W1049" s="50" t="s">
        <v>150</v>
      </c>
      <c r="X1049" s="50" t="s">
        <v>1078</v>
      </c>
      <c r="Y1049" s="50" t="s">
        <v>50</v>
      </c>
      <c r="Z1049" s="50" t="s">
        <v>3406</v>
      </c>
      <c r="AA1049" s="50"/>
    </row>
    <row r="1050" spans="1:27" s="110" customFormat="1" ht="25.5" customHeight="1">
      <c r="A1050" s="517" t="s">
        <v>2286</v>
      </c>
      <c r="B1050" s="51" t="s">
        <v>1176</v>
      </c>
      <c r="C1050" s="51" t="s">
        <v>143</v>
      </c>
      <c r="D1050" s="51" t="s">
        <v>4607</v>
      </c>
      <c r="E1050" s="50">
        <v>4001</v>
      </c>
      <c r="F1050" s="50">
        <v>3639</v>
      </c>
      <c r="G1050" s="50" t="s">
        <v>3404</v>
      </c>
      <c r="H1050" s="50">
        <v>2024</v>
      </c>
      <c r="I1050" s="132">
        <v>45595</v>
      </c>
      <c r="J1050" s="50"/>
      <c r="K1050" s="50" t="s">
        <v>28</v>
      </c>
      <c r="L1050" s="50" t="s">
        <v>2289</v>
      </c>
      <c r="M1050" s="50" t="s">
        <v>212</v>
      </c>
      <c r="N1050" s="50"/>
      <c r="O1050" s="50"/>
      <c r="P1050" s="50"/>
      <c r="Q1050" s="50"/>
      <c r="R1050" s="50"/>
      <c r="S1050" s="50" t="str">
        <f t="shared" si="108"/>
        <v/>
      </c>
      <c r="T1050" s="50" t="str">
        <f t="shared" si="106"/>
        <v/>
      </c>
      <c r="U1050" s="50" t="str">
        <f t="shared" si="107"/>
        <v/>
      </c>
      <c r="V1050" s="50" t="str">
        <f t="shared" si="109"/>
        <v/>
      </c>
      <c r="W1050" s="50"/>
      <c r="X1050" s="50" t="s">
        <v>4</v>
      </c>
      <c r="Y1050" s="50" t="s">
        <v>50</v>
      </c>
      <c r="Z1050" s="50" t="s">
        <v>3406</v>
      </c>
      <c r="AA1050" s="50"/>
    </row>
    <row r="1051" spans="1:27" ht="25.5" customHeight="1">
      <c r="A1051" s="517" t="s">
        <v>2286</v>
      </c>
      <c r="B1051" s="51" t="s">
        <v>1176</v>
      </c>
      <c r="C1051" s="51" t="s">
        <v>143</v>
      </c>
      <c r="D1051" s="51" t="s">
        <v>4608</v>
      </c>
      <c r="E1051" s="50">
        <v>2081</v>
      </c>
      <c r="F1051" s="50">
        <v>2340</v>
      </c>
      <c r="G1051" s="50" t="s">
        <v>3955</v>
      </c>
      <c r="H1051" s="50"/>
      <c r="I1051" s="132"/>
      <c r="J1051" s="50"/>
      <c r="K1051" s="50" t="s">
        <v>28</v>
      </c>
      <c r="L1051" s="50" t="s">
        <v>2289</v>
      </c>
      <c r="M1051" s="50" t="s">
        <v>212</v>
      </c>
      <c r="N1051" s="50"/>
      <c r="O1051" s="50"/>
      <c r="P1051" s="50"/>
      <c r="Q1051" s="50"/>
      <c r="R1051" s="50"/>
      <c r="S1051" s="50" t="str">
        <f t="shared" si="108"/>
        <v/>
      </c>
      <c r="T1051" s="50" t="str">
        <f t="shared" si="106"/>
        <v/>
      </c>
      <c r="U1051" s="50" t="str">
        <f t="shared" si="107"/>
        <v/>
      </c>
      <c r="V1051" s="50" t="str">
        <f t="shared" si="109"/>
        <v/>
      </c>
      <c r="W1051" s="50"/>
      <c r="X1051" s="50"/>
      <c r="Y1051" s="50"/>
      <c r="Z1051" s="50"/>
      <c r="AA1051" s="50"/>
    </row>
    <row r="1052" spans="1:27" ht="25.5" customHeight="1">
      <c r="A1052" s="517" t="s">
        <v>2286</v>
      </c>
      <c r="B1052" s="51" t="s">
        <v>1176</v>
      </c>
      <c r="C1052" s="51" t="s">
        <v>143</v>
      </c>
      <c r="D1052" s="51" t="s">
        <v>4609</v>
      </c>
      <c r="E1052" s="50">
        <v>3344</v>
      </c>
      <c r="F1052" s="50">
        <v>3585</v>
      </c>
      <c r="G1052" s="50" t="s">
        <v>3955</v>
      </c>
      <c r="H1052" s="50"/>
      <c r="I1052" s="132"/>
      <c r="J1052" s="50"/>
      <c r="K1052" s="50" t="s">
        <v>28</v>
      </c>
      <c r="L1052" s="50" t="s">
        <v>2289</v>
      </c>
      <c r="M1052" s="50" t="s">
        <v>212</v>
      </c>
      <c r="N1052" s="50"/>
      <c r="O1052" s="50"/>
      <c r="P1052" s="50"/>
      <c r="Q1052" s="50"/>
      <c r="R1052" s="50"/>
      <c r="S1052" s="50" t="str">
        <f t="shared" si="108"/>
        <v/>
      </c>
      <c r="T1052" s="50" t="str">
        <f t="shared" si="106"/>
        <v/>
      </c>
      <c r="U1052" s="50" t="str">
        <f t="shared" si="107"/>
        <v/>
      </c>
      <c r="V1052" s="50" t="str">
        <f t="shared" si="109"/>
        <v/>
      </c>
      <c r="W1052" s="50"/>
      <c r="X1052" s="50"/>
      <c r="Y1052" s="50"/>
      <c r="Z1052" s="50"/>
      <c r="AA1052" s="50"/>
    </row>
    <row r="1053" spans="1:27" ht="25.5" customHeight="1">
      <c r="A1053" s="517" t="s">
        <v>2286</v>
      </c>
      <c r="B1053" s="51" t="s">
        <v>1176</v>
      </c>
      <c r="C1053" s="51" t="s">
        <v>143</v>
      </c>
      <c r="D1053" s="51" t="s">
        <v>4610</v>
      </c>
      <c r="E1053" s="50">
        <v>5056</v>
      </c>
      <c r="F1053" s="50">
        <v>6210</v>
      </c>
      <c r="G1053" s="50" t="s">
        <v>3955</v>
      </c>
      <c r="H1053" s="50"/>
      <c r="I1053" s="132"/>
      <c r="J1053" s="50"/>
      <c r="K1053" s="50" t="s">
        <v>28</v>
      </c>
      <c r="L1053" s="50" t="s">
        <v>2289</v>
      </c>
      <c r="M1053" s="50" t="s">
        <v>212</v>
      </c>
      <c r="N1053" s="50"/>
      <c r="O1053" s="50"/>
      <c r="P1053" s="50"/>
      <c r="Q1053" s="50"/>
      <c r="R1053" s="50"/>
      <c r="S1053" s="50" t="str">
        <f t="shared" si="108"/>
        <v/>
      </c>
      <c r="T1053" s="50" t="str">
        <f t="shared" si="106"/>
        <v/>
      </c>
      <c r="U1053" s="50" t="str">
        <f t="shared" si="107"/>
        <v/>
      </c>
      <c r="V1053" s="50" t="str">
        <f t="shared" si="109"/>
        <v/>
      </c>
      <c r="W1053" s="50"/>
      <c r="X1053" s="50"/>
      <c r="Y1053" s="50"/>
      <c r="Z1053" s="50"/>
      <c r="AA1053" s="50"/>
    </row>
    <row r="1054" spans="1:27" ht="25.5" customHeight="1">
      <c r="A1054" s="517" t="s">
        <v>2286</v>
      </c>
      <c r="B1054" s="51" t="s">
        <v>1176</v>
      </c>
      <c r="C1054" s="51" t="s">
        <v>143</v>
      </c>
      <c r="D1054" s="51" t="s">
        <v>4611</v>
      </c>
      <c r="E1054" s="50">
        <v>4425</v>
      </c>
      <c r="F1054" s="50">
        <v>4795</v>
      </c>
      <c r="G1054" s="50" t="s">
        <v>3404</v>
      </c>
      <c r="H1054" s="50">
        <v>2024</v>
      </c>
      <c r="I1054" s="132">
        <v>45504</v>
      </c>
      <c r="J1054" s="50"/>
      <c r="K1054" s="50" t="s">
        <v>28</v>
      </c>
      <c r="L1054" s="50" t="s">
        <v>2289</v>
      </c>
      <c r="M1054" s="50" t="s">
        <v>212</v>
      </c>
      <c r="N1054" s="50"/>
      <c r="O1054" s="50"/>
      <c r="P1054" s="50"/>
      <c r="Q1054" s="50"/>
      <c r="R1054" s="50"/>
      <c r="S1054" s="50" t="str">
        <f t="shared" si="108"/>
        <v/>
      </c>
      <c r="T1054" s="50" t="str">
        <f t="shared" si="106"/>
        <v/>
      </c>
      <c r="U1054" s="50" t="str">
        <f t="shared" si="107"/>
        <v/>
      </c>
      <c r="V1054" s="50" t="str">
        <f t="shared" si="109"/>
        <v/>
      </c>
      <c r="W1054" s="50"/>
      <c r="X1054" s="50" t="s">
        <v>4</v>
      </c>
      <c r="Y1054" s="50" t="s">
        <v>50</v>
      </c>
      <c r="Z1054" s="50" t="s">
        <v>3406</v>
      </c>
      <c r="AA1054" s="50"/>
    </row>
    <row r="1055" spans="1:27" ht="25.5" customHeight="1">
      <c r="A1055" s="517" t="s">
        <v>2286</v>
      </c>
      <c r="B1055" s="51" t="s">
        <v>1176</v>
      </c>
      <c r="C1055" s="51" t="s">
        <v>143</v>
      </c>
      <c r="D1055" s="51" t="s">
        <v>4612</v>
      </c>
      <c r="E1055" s="50">
        <v>2366</v>
      </c>
      <c r="F1055" s="50">
        <v>2715</v>
      </c>
      <c r="G1055" s="50" t="s">
        <v>3955</v>
      </c>
      <c r="H1055" s="50"/>
      <c r="I1055" s="132"/>
      <c r="J1055" s="50"/>
      <c r="K1055" s="50" t="s">
        <v>28</v>
      </c>
      <c r="L1055" s="50" t="s">
        <v>2289</v>
      </c>
      <c r="M1055" s="50" t="s">
        <v>212</v>
      </c>
      <c r="N1055" s="50"/>
      <c r="O1055" s="50"/>
      <c r="P1055" s="50"/>
      <c r="Q1055" s="50"/>
      <c r="R1055" s="50"/>
      <c r="S1055" s="50" t="str">
        <f t="shared" si="108"/>
        <v/>
      </c>
      <c r="T1055" s="50" t="str">
        <f t="shared" si="106"/>
        <v/>
      </c>
      <c r="U1055" s="50" t="str">
        <f t="shared" si="107"/>
        <v/>
      </c>
      <c r="V1055" s="50" t="str">
        <f t="shared" si="109"/>
        <v/>
      </c>
      <c r="W1055" s="50"/>
      <c r="X1055" s="50"/>
      <c r="Y1055" s="50"/>
      <c r="Z1055" s="50"/>
      <c r="AA1055" s="50"/>
    </row>
    <row r="1056" spans="1:27" ht="25.5" customHeight="1">
      <c r="A1056" s="517" t="s">
        <v>2286</v>
      </c>
      <c r="B1056" s="51" t="s">
        <v>1176</v>
      </c>
      <c r="C1056" s="51" t="s">
        <v>143</v>
      </c>
      <c r="D1056" s="51" t="s">
        <v>4613</v>
      </c>
      <c r="E1056" s="50">
        <v>2457</v>
      </c>
      <c r="F1056" s="50">
        <v>2478</v>
      </c>
      <c r="G1056" s="50" t="s">
        <v>3955</v>
      </c>
      <c r="H1056" s="50"/>
      <c r="I1056" s="132"/>
      <c r="J1056" s="50"/>
      <c r="K1056" s="50" t="s">
        <v>28</v>
      </c>
      <c r="L1056" s="50" t="s">
        <v>2289</v>
      </c>
      <c r="M1056" s="50" t="s">
        <v>212</v>
      </c>
      <c r="N1056" s="50"/>
      <c r="O1056" s="50"/>
      <c r="P1056" s="50"/>
      <c r="Q1056" s="50"/>
      <c r="R1056" s="50"/>
      <c r="S1056" s="50" t="str">
        <f t="shared" si="108"/>
        <v/>
      </c>
      <c r="T1056" s="50" t="str">
        <f t="shared" si="106"/>
        <v/>
      </c>
      <c r="U1056" s="50" t="str">
        <f t="shared" si="107"/>
        <v/>
      </c>
      <c r="V1056" s="50" t="str">
        <f t="shared" si="109"/>
        <v/>
      </c>
      <c r="W1056" s="50"/>
      <c r="X1056" s="50"/>
      <c r="Y1056" s="50"/>
      <c r="Z1056" s="50"/>
      <c r="AA1056" s="50"/>
    </row>
    <row r="1057" spans="1:27" ht="25.5" customHeight="1">
      <c r="A1057" s="517" t="s">
        <v>2286</v>
      </c>
      <c r="B1057" s="51" t="s">
        <v>1176</v>
      </c>
      <c r="C1057" s="51" t="s">
        <v>143</v>
      </c>
      <c r="D1057" s="51" t="s">
        <v>4614</v>
      </c>
      <c r="E1057" s="50">
        <v>4670</v>
      </c>
      <c r="F1057" s="50">
        <v>6148</v>
      </c>
      <c r="G1057" s="50" t="s">
        <v>3404</v>
      </c>
      <c r="H1057" s="50">
        <v>2024</v>
      </c>
      <c r="I1057" s="132">
        <v>45595</v>
      </c>
      <c r="J1057" s="50"/>
      <c r="K1057" s="50" t="s">
        <v>28</v>
      </c>
      <c r="L1057" s="50" t="s">
        <v>2289</v>
      </c>
      <c r="M1057" s="50" t="s">
        <v>212</v>
      </c>
      <c r="N1057" s="50"/>
      <c r="O1057" s="50"/>
      <c r="P1057" s="50"/>
      <c r="Q1057" s="50"/>
      <c r="R1057" s="50"/>
      <c r="S1057" s="50" t="str">
        <f t="shared" si="108"/>
        <v/>
      </c>
      <c r="T1057" s="50" t="str">
        <f t="shared" si="106"/>
        <v/>
      </c>
      <c r="U1057" s="50" t="str">
        <f t="shared" si="107"/>
        <v/>
      </c>
      <c r="V1057" s="50" t="str">
        <f t="shared" si="109"/>
        <v/>
      </c>
      <c r="W1057" s="50"/>
      <c r="X1057" s="50" t="s">
        <v>1078</v>
      </c>
      <c r="Y1057" s="50" t="s">
        <v>3528</v>
      </c>
      <c r="Z1057" s="50" t="s">
        <v>3406</v>
      </c>
      <c r="AA1057" s="50"/>
    </row>
    <row r="1058" spans="1:27" ht="25.5" customHeight="1">
      <c r="A1058" s="517" t="s">
        <v>2286</v>
      </c>
      <c r="B1058" s="51" t="s">
        <v>1176</v>
      </c>
      <c r="C1058" s="51" t="s">
        <v>143</v>
      </c>
      <c r="D1058" s="51" t="s">
        <v>4615</v>
      </c>
      <c r="E1058" s="50">
        <v>3314</v>
      </c>
      <c r="F1058" s="50">
        <v>3208</v>
      </c>
      <c r="G1058" s="50" t="s">
        <v>3404</v>
      </c>
      <c r="H1058" s="50">
        <v>2024</v>
      </c>
      <c r="I1058" s="132">
        <v>45421</v>
      </c>
      <c r="J1058" s="50"/>
      <c r="K1058" s="50" t="s">
        <v>28</v>
      </c>
      <c r="L1058" s="50" t="s">
        <v>2289</v>
      </c>
      <c r="M1058" s="50" t="s">
        <v>212</v>
      </c>
      <c r="N1058" s="50"/>
      <c r="O1058" s="50"/>
      <c r="P1058" s="50"/>
      <c r="Q1058" s="50"/>
      <c r="R1058" s="50"/>
      <c r="S1058" s="50" t="str">
        <f t="shared" si="108"/>
        <v/>
      </c>
      <c r="T1058" s="50" t="str">
        <f t="shared" si="106"/>
        <v/>
      </c>
      <c r="U1058" s="50" t="str">
        <f t="shared" si="107"/>
        <v/>
      </c>
      <c r="V1058" s="50" t="str">
        <f t="shared" si="109"/>
        <v/>
      </c>
      <c r="W1058" s="50"/>
      <c r="X1058" s="50"/>
      <c r="Y1058" s="50"/>
      <c r="Z1058" s="50" t="s">
        <v>3406</v>
      </c>
      <c r="AA1058" s="50"/>
    </row>
    <row r="1059" spans="1:27" ht="25.5" customHeight="1">
      <c r="A1059" s="517" t="s">
        <v>2286</v>
      </c>
      <c r="B1059" s="51" t="s">
        <v>1176</v>
      </c>
      <c r="C1059" s="51" t="s">
        <v>143</v>
      </c>
      <c r="D1059" s="51" t="s">
        <v>4616</v>
      </c>
      <c r="E1059" s="50">
        <v>4317</v>
      </c>
      <c r="F1059" s="50">
        <v>5501</v>
      </c>
      <c r="G1059" s="50" t="s">
        <v>3404</v>
      </c>
      <c r="H1059" s="50">
        <v>2024</v>
      </c>
      <c r="I1059" s="132">
        <v>45316</v>
      </c>
      <c r="J1059" s="50"/>
      <c r="K1059" s="50" t="s">
        <v>28</v>
      </c>
      <c r="L1059" s="50" t="s">
        <v>2289</v>
      </c>
      <c r="M1059" s="50" t="s">
        <v>212</v>
      </c>
      <c r="N1059" s="50"/>
      <c r="O1059" s="50"/>
      <c r="P1059" s="50"/>
      <c r="Q1059" s="50"/>
      <c r="R1059" s="50"/>
      <c r="S1059" s="50" t="str">
        <f t="shared" si="108"/>
        <v/>
      </c>
      <c r="T1059" s="50" t="str">
        <f t="shared" si="106"/>
        <v/>
      </c>
      <c r="U1059" s="50" t="str">
        <f t="shared" si="107"/>
        <v/>
      </c>
      <c r="V1059" s="50" t="str">
        <f t="shared" si="109"/>
        <v/>
      </c>
      <c r="W1059" s="50"/>
      <c r="X1059" s="50"/>
      <c r="Y1059" s="50"/>
      <c r="Z1059" s="50" t="s">
        <v>3406</v>
      </c>
      <c r="AA1059" s="50"/>
    </row>
    <row r="1060" spans="1:27" ht="25.5" customHeight="1">
      <c r="A1060" s="517" t="s">
        <v>2286</v>
      </c>
      <c r="B1060" s="51" t="s">
        <v>1176</v>
      </c>
      <c r="C1060" s="51" t="s">
        <v>143</v>
      </c>
      <c r="D1060" s="51" t="s">
        <v>4617</v>
      </c>
      <c r="E1060" s="50">
        <v>3378</v>
      </c>
      <c r="F1060" s="50">
        <v>3623</v>
      </c>
      <c r="G1060" s="50" t="s">
        <v>3955</v>
      </c>
      <c r="H1060" s="50"/>
      <c r="I1060" s="105"/>
      <c r="J1060" s="50"/>
      <c r="K1060" s="50" t="s">
        <v>28</v>
      </c>
      <c r="L1060" s="50" t="s">
        <v>2289</v>
      </c>
      <c r="M1060" s="50" t="s">
        <v>212</v>
      </c>
      <c r="N1060" s="50"/>
      <c r="O1060" s="50"/>
      <c r="P1060" s="50"/>
      <c r="Q1060" s="50"/>
      <c r="R1060" s="50"/>
      <c r="S1060" s="50" t="str">
        <f t="shared" si="108"/>
        <v/>
      </c>
      <c r="T1060" s="50" t="str">
        <f t="shared" si="106"/>
        <v/>
      </c>
      <c r="U1060" s="50" t="str">
        <f t="shared" si="107"/>
        <v/>
      </c>
      <c r="V1060" s="50" t="str">
        <f t="shared" si="109"/>
        <v/>
      </c>
      <c r="W1060" s="50"/>
      <c r="X1060" s="50"/>
      <c r="Y1060" s="50"/>
      <c r="Z1060" s="50"/>
      <c r="AA1060" s="50"/>
    </row>
    <row r="1061" spans="1:27" s="110" customFormat="1" ht="25.5" customHeight="1">
      <c r="A1061" s="517" t="s">
        <v>2286</v>
      </c>
      <c r="B1061" s="51" t="s">
        <v>1176</v>
      </c>
      <c r="C1061" s="51" t="s">
        <v>143</v>
      </c>
      <c r="D1061" s="51" t="s">
        <v>4618</v>
      </c>
      <c r="E1061" s="50">
        <v>4492</v>
      </c>
      <c r="F1061" s="50">
        <v>4242</v>
      </c>
      <c r="G1061" s="50" t="s">
        <v>3404</v>
      </c>
      <c r="H1061" s="50">
        <v>2025</v>
      </c>
      <c r="I1061" s="132">
        <v>45805</v>
      </c>
      <c r="J1061" s="50" t="s">
        <v>3689</v>
      </c>
      <c r="K1061" s="50" t="s">
        <v>267</v>
      </c>
      <c r="L1061" s="50" t="s">
        <v>28</v>
      </c>
      <c r="M1061" s="50" t="s">
        <v>212</v>
      </c>
      <c r="N1061" s="50" t="s">
        <v>4619</v>
      </c>
      <c r="O1061" s="60">
        <v>45809</v>
      </c>
      <c r="P1061" s="60">
        <v>45805</v>
      </c>
      <c r="Q1061" s="60">
        <v>45811</v>
      </c>
      <c r="R1061" s="60">
        <v>45812</v>
      </c>
      <c r="S1061" s="50">
        <f t="shared" si="108"/>
        <v>2</v>
      </c>
      <c r="T1061" s="50">
        <f t="shared" si="106"/>
        <v>1</v>
      </c>
      <c r="U1061" s="50">
        <f t="shared" si="107"/>
        <v>4</v>
      </c>
      <c r="V1061" s="50">
        <f t="shared" si="109"/>
        <v>1</v>
      </c>
      <c r="W1061" s="50" t="s">
        <v>150</v>
      </c>
      <c r="X1061" s="50" t="s">
        <v>1078</v>
      </c>
      <c r="Y1061" s="50" t="s">
        <v>50</v>
      </c>
      <c r="Z1061" s="50" t="s">
        <v>3406</v>
      </c>
      <c r="AA1061" s="50"/>
    </row>
    <row r="1062" spans="1:27" ht="25.5" customHeight="1">
      <c r="A1062" s="517" t="s">
        <v>2286</v>
      </c>
      <c r="B1062" s="51" t="s">
        <v>1176</v>
      </c>
      <c r="C1062" s="51" t="s">
        <v>143</v>
      </c>
      <c r="D1062" s="51" t="s">
        <v>4620</v>
      </c>
      <c r="E1062" s="50">
        <v>2800</v>
      </c>
      <c r="F1062" s="50">
        <v>2419</v>
      </c>
      <c r="G1062" s="50" t="s">
        <v>3404</v>
      </c>
      <c r="H1062" s="50">
        <v>2025</v>
      </c>
      <c r="I1062" s="132">
        <v>45805</v>
      </c>
      <c r="J1062" s="50" t="s">
        <v>3689</v>
      </c>
      <c r="K1062" s="50" t="s">
        <v>267</v>
      </c>
      <c r="L1062" s="50" t="s">
        <v>28</v>
      </c>
      <c r="M1062" s="50" t="s">
        <v>212</v>
      </c>
      <c r="N1062" s="50" t="s">
        <v>4621</v>
      </c>
      <c r="O1062" s="60">
        <v>45809</v>
      </c>
      <c r="P1062" s="60">
        <v>45811</v>
      </c>
      <c r="Q1062" s="60">
        <v>45812</v>
      </c>
      <c r="R1062" s="60">
        <v>45812</v>
      </c>
      <c r="S1062" s="50">
        <f t="shared" si="108"/>
        <v>2</v>
      </c>
      <c r="T1062" s="50">
        <f t="shared" si="106"/>
        <v>1</v>
      </c>
      <c r="U1062" s="50">
        <f t="shared" si="107"/>
        <v>1</v>
      </c>
      <c r="V1062" s="50">
        <f t="shared" si="109"/>
        <v>1</v>
      </c>
      <c r="W1062" s="50" t="s">
        <v>150</v>
      </c>
      <c r="X1062" s="50" t="s">
        <v>1078</v>
      </c>
      <c r="Y1062" s="50" t="s">
        <v>50</v>
      </c>
      <c r="Z1062" s="50" t="s">
        <v>3406</v>
      </c>
      <c r="AA1062" s="50"/>
    </row>
    <row r="1063" spans="1:27" ht="25.5" customHeight="1">
      <c r="A1063" s="517" t="s">
        <v>2286</v>
      </c>
      <c r="B1063" s="51" t="s">
        <v>1176</v>
      </c>
      <c r="C1063" s="51" t="s">
        <v>143</v>
      </c>
      <c r="D1063" s="51" t="s">
        <v>4622</v>
      </c>
      <c r="E1063" s="50">
        <v>930</v>
      </c>
      <c r="F1063" s="50">
        <v>969</v>
      </c>
      <c r="G1063" s="50" t="s">
        <v>3955</v>
      </c>
      <c r="H1063" s="50"/>
      <c r="I1063" s="105"/>
      <c r="J1063" s="50"/>
      <c r="K1063" s="50" t="s">
        <v>28</v>
      </c>
      <c r="L1063" s="50" t="s">
        <v>2289</v>
      </c>
      <c r="M1063" s="50" t="s">
        <v>212</v>
      </c>
      <c r="N1063" s="50"/>
      <c r="O1063" s="50"/>
      <c r="P1063" s="50"/>
      <c r="Q1063" s="50"/>
      <c r="R1063" s="50"/>
      <c r="S1063" s="50" t="str">
        <f t="shared" si="108"/>
        <v/>
      </c>
      <c r="T1063" s="50" t="str">
        <f t="shared" si="106"/>
        <v/>
      </c>
      <c r="U1063" s="50" t="str">
        <f t="shared" si="107"/>
        <v/>
      </c>
      <c r="V1063" s="50" t="str">
        <f t="shared" si="109"/>
        <v/>
      </c>
      <c r="W1063" s="50"/>
      <c r="X1063" s="50"/>
      <c r="Y1063" s="50"/>
      <c r="Z1063" s="50"/>
      <c r="AA1063" s="50"/>
    </row>
    <row r="1064" spans="1:27" ht="25.5" customHeight="1">
      <c r="A1064" s="517" t="s">
        <v>2286</v>
      </c>
      <c r="B1064" s="51" t="s">
        <v>1176</v>
      </c>
      <c r="C1064" s="51" t="s">
        <v>143</v>
      </c>
      <c r="D1064" s="51" t="s">
        <v>4623</v>
      </c>
      <c r="E1064" s="50">
        <v>1123</v>
      </c>
      <c r="F1064" s="50">
        <v>1010</v>
      </c>
      <c r="G1064" s="50" t="s">
        <v>3955</v>
      </c>
      <c r="H1064" s="50"/>
      <c r="I1064" s="105"/>
      <c r="J1064" s="50"/>
      <c r="K1064" s="50" t="s">
        <v>28</v>
      </c>
      <c r="L1064" s="50" t="s">
        <v>2289</v>
      </c>
      <c r="M1064" s="50" t="s">
        <v>212</v>
      </c>
      <c r="N1064" s="50"/>
      <c r="O1064" s="50"/>
      <c r="P1064" s="50"/>
      <c r="Q1064" s="50"/>
      <c r="R1064" s="50"/>
      <c r="S1064" s="50" t="str">
        <f t="shared" si="108"/>
        <v/>
      </c>
      <c r="T1064" s="50" t="str">
        <f t="shared" si="106"/>
        <v/>
      </c>
      <c r="U1064" s="50" t="str">
        <f t="shared" si="107"/>
        <v/>
      </c>
      <c r="V1064" s="50" t="str">
        <f t="shared" si="109"/>
        <v/>
      </c>
      <c r="W1064" s="50"/>
      <c r="X1064" s="50"/>
      <c r="Y1064" s="50"/>
      <c r="Z1064" s="50"/>
      <c r="AA1064" s="50"/>
    </row>
    <row r="1065" spans="1:27" ht="25.5" customHeight="1">
      <c r="A1065" s="517" t="s">
        <v>2286</v>
      </c>
      <c r="B1065" s="51" t="s">
        <v>1176</v>
      </c>
      <c r="C1065" s="51" t="s">
        <v>143</v>
      </c>
      <c r="D1065" s="51" t="s">
        <v>4624</v>
      </c>
      <c r="E1065" s="50">
        <v>2288</v>
      </c>
      <c r="F1065" s="50">
        <v>2750</v>
      </c>
      <c r="G1065" s="50" t="s">
        <v>3404</v>
      </c>
      <c r="H1065" s="50">
        <v>2025</v>
      </c>
      <c r="I1065" s="132">
        <v>45876</v>
      </c>
      <c r="J1065" s="50" t="s">
        <v>3126</v>
      </c>
      <c r="K1065" s="50" t="s">
        <v>267</v>
      </c>
      <c r="L1065" s="50" t="s">
        <v>28</v>
      </c>
      <c r="M1065" s="50" t="s">
        <v>212</v>
      </c>
      <c r="N1065" s="53" t="s">
        <v>4625</v>
      </c>
      <c r="O1065" s="60">
        <v>45887</v>
      </c>
      <c r="P1065" s="60">
        <v>45887</v>
      </c>
      <c r="Q1065" s="60">
        <v>45888</v>
      </c>
      <c r="R1065" s="60">
        <v>45888</v>
      </c>
      <c r="S1065" s="50">
        <f t="shared" si="108"/>
        <v>7</v>
      </c>
      <c r="T1065" s="50">
        <f t="shared" si="106"/>
        <v>1</v>
      </c>
      <c r="U1065" s="50">
        <f t="shared" si="107"/>
        <v>1</v>
      </c>
      <c r="V1065" s="50">
        <f t="shared" si="109"/>
        <v>1</v>
      </c>
      <c r="W1065" s="50" t="s">
        <v>150</v>
      </c>
      <c r="X1065" s="50" t="s">
        <v>1078</v>
      </c>
      <c r="Y1065" s="50" t="s">
        <v>50</v>
      </c>
      <c r="Z1065" s="50" t="s">
        <v>3406</v>
      </c>
      <c r="AA1065" s="50"/>
    </row>
    <row r="1066" spans="1:27" ht="25.5" customHeight="1">
      <c r="A1066" s="517" t="s">
        <v>2286</v>
      </c>
      <c r="B1066" s="51" t="s">
        <v>1176</v>
      </c>
      <c r="C1066" s="51" t="s">
        <v>143</v>
      </c>
      <c r="D1066" s="51" t="s">
        <v>4626</v>
      </c>
      <c r="E1066" s="50">
        <v>654</v>
      </c>
      <c r="F1066" s="50">
        <v>387</v>
      </c>
      <c r="G1066" s="50" t="s">
        <v>3955</v>
      </c>
      <c r="H1066" s="50"/>
      <c r="I1066" s="105"/>
      <c r="J1066" s="50"/>
      <c r="K1066" s="50" t="s">
        <v>28</v>
      </c>
      <c r="L1066" s="50" t="s">
        <v>2289</v>
      </c>
      <c r="M1066" s="50" t="s">
        <v>212</v>
      </c>
      <c r="N1066" s="50"/>
      <c r="O1066" s="50"/>
      <c r="P1066" s="50"/>
      <c r="Q1066" s="50"/>
      <c r="R1066" s="50"/>
      <c r="S1066" s="50" t="str">
        <f t="shared" si="108"/>
        <v/>
      </c>
      <c r="T1066" s="50" t="str">
        <f t="shared" si="106"/>
        <v/>
      </c>
      <c r="U1066" s="50" t="str">
        <f t="shared" si="107"/>
        <v/>
      </c>
      <c r="V1066" s="50" t="str">
        <f t="shared" si="109"/>
        <v/>
      </c>
      <c r="W1066" s="50"/>
      <c r="X1066" s="50"/>
      <c r="Y1066" s="50"/>
      <c r="Z1066" s="50"/>
      <c r="AA1066" s="50"/>
    </row>
    <row r="1067" spans="1:27" ht="25.5" customHeight="1">
      <c r="A1067" s="517" t="s">
        <v>2286</v>
      </c>
      <c r="B1067" s="51" t="s">
        <v>1176</v>
      </c>
      <c r="C1067" s="51" t="s">
        <v>143</v>
      </c>
      <c r="D1067" s="51" t="s">
        <v>4627</v>
      </c>
      <c r="E1067" s="50">
        <v>730</v>
      </c>
      <c r="F1067" s="50">
        <v>703</v>
      </c>
      <c r="G1067" s="50" t="s">
        <v>3404</v>
      </c>
      <c r="H1067" s="50">
        <v>2024</v>
      </c>
      <c r="I1067" s="132">
        <v>45609</v>
      </c>
      <c r="J1067" s="50"/>
      <c r="K1067" s="50" t="s">
        <v>28</v>
      </c>
      <c r="L1067" s="50" t="s">
        <v>2289</v>
      </c>
      <c r="M1067" s="50" t="s">
        <v>212</v>
      </c>
      <c r="N1067" s="50"/>
      <c r="O1067" s="50"/>
      <c r="P1067" s="50"/>
      <c r="Q1067" s="50"/>
      <c r="R1067" s="50"/>
      <c r="S1067" s="50" t="str">
        <f t="shared" si="108"/>
        <v/>
      </c>
      <c r="T1067" s="50" t="str">
        <f t="shared" si="106"/>
        <v/>
      </c>
      <c r="U1067" s="50" t="str">
        <f t="shared" si="107"/>
        <v/>
      </c>
      <c r="V1067" s="50" t="str">
        <f t="shared" si="109"/>
        <v/>
      </c>
      <c r="W1067" s="50"/>
      <c r="X1067" s="50" t="s">
        <v>4</v>
      </c>
      <c r="Y1067" s="50" t="s">
        <v>847</v>
      </c>
      <c r="Z1067" s="50" t="s">
        <v>3406</v>
      </c>
      <c r="AA1067" s="50"/>
    </row>
    <row r="1068" spans="1:27" ht="25.5" customHeight="1">
      <c r="A1068" s="517" t="s">
        <v>2286</v>
      </c>
      <c r="B1068" s="51" t="s">
        <v>1176</v>
      </c>
      <c r="C1068" s="51" t="s">
        <v>143</v>
      </c>
      <c r="D1068" s="51" t="s">
        <v>4628</v>
      </c>
      <c r="E1068" s="50">
        <v>4361</v>
      </c>
      <c r="F1068" s="50">
        <v>4360</v>
      </c>
      <c r="G1068" s="50" t="s">
        <v>3955</v>
      </c>
      <c r="H1068" s="50"/>
      <c r="I1068" s="105"/>
      <c r="J1068" s="50"/>
      <c r="K1068" s="50" t="s">
        <v>28</v>
      </c>
      <c r="L1068" s="50" t="s">
        <v>2289</v>
      </c>
      <c r="M1068" s="50" t="s">
        <v>212</v>
      </c>
      <c r="N1068" s="50"/>
      <c r="O1068" s="50"/>
      <c r="P1068" s="50"/>
      <c r="Q1068" s="50"/>
      <c r="R1068" s="50"/>
      <c r="S1068" s="50" t="str">
        <f t="shared" si="108"/>
        <v/>
      </c>
      <c r="T1068" s="50" t="str">
        <f t="shared" si="106"/>
        <v/>
      </c>
      <c r="U1068" s="50" t="str">
        <f t="shared" si="107"/>
        <v/>
      </c>
      <c r="V1068" s="50" t="str">
        <f t="shared" si="109"/>
        <v/>
      </c>
      <c r="W1068" s="50"/>
      <c r="X1068" s="50"/>
      <c r="Y1068" s="50"/>
      <c r="Z1068" s="50"/>
      <c r="AA1068" s="50"/>
    </row>
    <row r="1069" spans="1:27" ht="25.5" customHeight="1">
      <c r="A1069" s="517" t="s">
        <v>2286</v>
      </c>
      <c r="B1069" s="51" t="s">
        <v>1176</v>
      </c>
      <c r="C1069" s="51" t="s">
        <v>143</v>
      </c>
      <c r="D1069" s="51" t="s">
        <v>4629</v>
      </c>
      <c r="E1069" s="50">
        <v>324</v>
      </c>
      <c r="F1069" s="50">
        <v>328</v>
      </c>
      <c r="G1069" s="50" t="s">
        <v>3955</v>
      </c>
      <c r="H1069" s="50"/>
      <c r="I1069" s="105"/>
      <c r="J1069" s="50"/>
      <c r="K1069" s="50" t="s">
        <v>28</v>
      </c>
      <c r="L1069" s="50" t="s">
        <v>2289</v>
      </c>
      <c r="M1069" s="50" t="s">
        <v>212</v>
      </c>
      <c r="N1069" s="50"/>
      <c r="O1069" s="50"/>
      <c r="P1069" s="50"/>
      <c r="Q1069" s="50"/>
      <c r="R1069" s="50"/>
      <c r="S1069" s="50" t="str">
        <f t="shared" si="108"/>
        <v/>
      </c>
      <c r="T1069" s="50" t="str">
        <f t="shared" si="106"/>
        <v/>
      </c>
      <c r="U1069" s="50" t="str">
        <f t="shared" si="107"/>
        <v/>
      </c>
      <c r="V1069" s="50" t="str">
        <f t="shared" si="109"/>
        <v/>
      </c>
      <c r="W1069" s="50"/>
      <c r="X1069" s="50"/>
      <c r="Y1069" s="50"/>
      <c r="Z1069" s="50"/>
      <c r="AA1069" s="50"/>
    </row>
    <row r="1070" spans="1:27" s="110" customFormat="1" ht="25.5" customHeight="1">
      <c r="A1070" s="517" t="s">
        <v>2286</v>
      </c>
      <c r="B1070" s="51" t="s">
        <v>1176</v>
      </c>
      <c r="C1070" s="51" t="s">
        <v>143</v>
      </c>
      <c r="D1070" s="51" t="s">
        <v>4630</v>
      </c>
      <c r="E1070" s="50">
        <v>4018</v>
      </c>
      <c r="F1070" s="50">
        <v>4298</v>
      </c>
      <c r="G1070" s="50" t="s">
        <v>3404</v>
      </c>
      <c r="H1070" s="50">
        <v>2024</v>
      </c>
      <c r="I1070" s="132">
        <v>45316</v>
      </c>
      <c r="J1070" s="50"/>
      <c r="K1070" s="50" t="s">
        <v>28</v>
      </c>
      <c r="L1070" s="50" t="s">
        <v>2289</v>
      </c>
      <c r="M1070" s="50" t="s">
        <v>212</v>
      </c>
      <c r="N1070" s="50"/>
      <c r="O1070" s="50"/>
      <c r="P1070" s="50"/>
      <c r="Q1070" s="50"/>
      <c r="R1070" s="50"/>
      <c r="S1070" s="50" t="str">
        <f t="shared" si="108"/>
        <v/>
      </c>
      <c r="T1070" s="50" t="str">
        <f t="shared" si="106"/>
        <v/>
      </c>
      <c r="U1070" s="50" t="str">
        <f t="shared" si="107"/>
        <v/>
      </c>
      <c r="V1070" s="50" t="str">
        <f t="shared" si="109"/>
        <v/>
      </c>
      <c r="W1070" s="50"/>
      <c r="X1070" s="50"/>
      <c r="Y1070" s="50"/>
      <c r="Z1070" s="50" t="s">
        <v>3406</v>
      </c>
      <c r="AA1070" s="50"/>
    </row>
    <row r="1071" spans="1:27" ht="25.5" customHeight="1">
      <c r="A1071" s="517" t="s">
        <v>2286</v>
      </c>
      <c r="B1071" s="51" t="s">
        <v>1176</v>
      </c>
      <c r="C1071" s="51" t="s">
        <v>143</v>
      </c>
      <c r="D1071" s="51" t="s">
        <v>1177</v>
      </c>
      <c r="E1071" s="50">
        <v>2997</v>
      </c>
      <c r="F1071" s="50">
        <v>3261</v>
      </c>
      <c r="G1071" s="50" t="s">
        <v>3404</v>
      </c>
      <c r="H1071" s="50">
        <v>2024</v>
      </c>
      <c r="I1071" s="132">
        <v>45558</v>
      </c>
      <c r="J1071" s="50"/>
      <c r="K1071" s="50" t="s">
        <v>28</v>
      </c>
      <c r="L1071" s="50" t="s">
        <v>2289</v>
      </c>
      <c r="M1071" s="50" t="s">
        <v>212</v>
      </c>
      <c r="N1071" s="50"/>
      <c r="O1071" s="50"/>
      <c r="P1071" s="50"/>
      <c r="Q1071" s="50"/>
      <c r="R1071" s="50"/>
      <c r="S1071" s="50" t="str">
        <f t="shared" si="108"/>
        <v/>
      </c>
      <c r="T1071" s="50" t="str">
        <f t="shared" si="106"/>
        <v/>
      </c>
      <c r="U1071" s="50" t="str">
        <f t="shared" si="107"/>
        <v/>
      </c>
      <c r="V1071" s="50" t="str">
        <f t="shared" si="109"/>
        <v/>
      </c>
      <c r="W1071" s="50"/>
      <c r="X1071" s="50" t="s">
        <v>4</v>
      </c>
      <c r="Y1071" s="50" t="s">
        <v>50</v>
      </c>
      <c r="Z1071" s="50" t="s">
        <v>3406</v>
      </c>
      <c r="AA1071" s="50"/>
    </row>
    <row r="1072" spans="1:27" ht="25.5" customHeight="1">
      <c r="A1072" s="517" t="s">
        <v>2286</v>
      </c>
      <c r="B1072" s="51" t="s">
        <v>1176</v>
      </c>
      <c r="C1072" s="51" t="s">
        <v>143</v>
      </c>
      <c r="D1072" s="51" t="s">
        <v>4631</v>
      </c>
      <c r="E1072" s="50">
        <v>2221</v>
      </c>
      <c r="F1072" s="50">
        <v>2648</v>
      </c>
      <c r="G1072" s="50" t="s">
        <v>3955</v>
      </c>
      <c r="H1072" s="50"/>
      <c r="I1072" s="105"/>
      <c r="J1072" s="50"/>
      <c r="K1072" s="50" t="s">
        <v>28</v>
      </c>
      <c r="L1072" s="50" t="s">
        <v>2289</v>
      </c>
      <c r="M1072" s="50" t="s">
        <v>212</v>
      </c>
      <c r="N1072" s="50"/>
      <c r="O1072" s="50"/>
      <c r="P1072" s="50"/>
      <c r="Q1072" s="50"/>
      <c r="R1072" s="50"/>
      <c r="S1072" s="50" t="str">
        <f t="shared" si="108"/>
        <v/>
      </c>
      <c r="T1072" s="50" t="str">
        <f t="shared" si="106"/>
        <v/>
      </c>
      <c r="U1072" s="50" t="str">
        <f t="shared" si="107"/>
        <v/>
      </c>
      <c r="V1072" s="50" t="str">
        <f t="shared" si="109"/>
        <v/>
      </c>
      <c r="W1072" s="50"/>
      <c r="X1072" s="50"/>
      <c r="Y1072" s="50"/>
      <c r="Z1072" s="50"/>
      <c r="AA1072" s="50"/>
    </row>
    <row r="1073" spans="1:27" s="110" customFormat="1" ht="25.5" customHeight="1">
      <c r="A1073" s="517" t="s">
        <v>2286</v>
      </c>
      <c r="B1073" s="51" t="s">
        <v>1176</v>
      </c>
      <c r="C1073" s="51" t="s">
        <v>143</v>
      </c>
      <c r="D1073" s="51" t="s">
        <v>4632</v>
      </c>
      <c r="E1073" s="50">
        <v>3870</v>
      </c>
      <c r="F1073" s="50">
        <v>4203</v>
      </c>
      <c r="G1073" s="50" t="s">
        <v>3404</v>
      </c>
      <c r="H1073" s="50">
        <v>2025</v>
      </c>
      <c r="I1073" s="132">
        <v>45958</v>
      </c>
      <c r="J1073" s="50" t="s">
        <v>3129</v>
      </c>
      <c r="K1073" s="50" t="s">
        <v>267</v>
      </c>
      <c r="L1073" s="50" t="s">
        <v>2289</v>
      </c>
      <c r="M1073" s="50" t="s">
        <v>212</v>
      </c>
      <c r="N1073" s="50" t="s">
        <v>4633</v>
      </c>
      <c r="O1073" s="60">
        <v>45964</v>
      </c>
      <c r="P1073" s="60">
        <v>45966</v>
      </c>
      <c r="Q1073" s="60">
        <v>45966</v>
      </c>
      <c r="R1073" s="60">
        <v>45966</v>
      </c>
      <c r="S1073" s="50">
        <f t="shared" si="108"/>
        <v>4</v>
      </c>
      <c r="T1073" s="50">
        <f t="shared" si="106"/>
        <v>2</v>
      </c>
      <c r="U1073" s="50">
        <f t="shared" si="107"/>
        <v>1</v>
      </c>
      <c r="V1073" s="50">
        <f t="shared" si="109"/>
        <v>1</v>
      </c>
      <c r="W1073" s="50" t="s">
        <v>150</v>
      </c>
      <c r="X1073" s="50" t="s">
        <v>1078</v>
      </c>
      <c r="Y1073" s="50" t="s">
        <v>50</v>
      </c>
      <c r="Z1073" s="50" t="s">
        <v>3406</v>
      </c>
      <c r="AA1073" s="50"/>
    </row>
    <row r="1074" spans="1:27" ht="25.5" customHeight="1">
      <c r="A1074" s="517" t="s">
        <v>2286</v>
      </c>
      <c r="B1074" s="51" t="s">
        <v>1176</v>
      </c>
      <c r="C1074" s="51" t="s">
        <v>143</v>
      </c>
      <c r="D1074" s="51" t="s">
        <v>4634</v>
      </c>
      <c r="E1074" s="50">
        <v>2815</v>
      </c>
      <c r="F1074" s="50">
        <v>3290</v>
      </c>
      <c r="G1074" s="50" t="s">
        <v>3955</v>
      </c>
      <c r="H1074" s="50"/>
      <c r="I1074" s="105"/>
      <c r="J1074" s="50"/>
      <c r="K1074" s="50" t="s">
        <v>28</v>
      </c>
      <c r="L1074" s="50" t="s">
        <v>2289</v>
      </c>
      <c r="M1074" s="50" t="s">
        <v>212</v>
      </c>
      <c r="N1074" s="50"/>
      <c r="O1074" s="50"/>
      <c r="P1074" s="50"/>
      <c r="Q1074" s="50"/>
      <c r="R1074" s="50"/>
      <c r="S1074" s="50" t="str">
        <f t="shared" si="108"/>
        <v/>
      </c>
      <c r="T1074" s="50" t="str">
        <f t="shared" si="106"/>
        <v/>
      </c>
      <c r="U1074" s="50" t="str">
        <f t="shared" si="107"/>
        <v/>
      </c>
      <c r="V1074" s="50" t="str">
        <f t="shared" si="109"/>
        <v/>
      </c>
      <c r="W1074" s="50"/>
      <c r="X1074" s="50"/>
      <c r="Y1074" s="50"/>
      <c r="Z1074" s="50"/>
      <c r="AA1074" s="50"/>
    </row>
    <row r="1075" spans="1:27" ht="25.5" customHeight="1">
      <c r="A1075" s="517" t="s">
        <v>2286</v>
      </c>
      <c r="B1075" s="51" t="s">
        <v>1176</v>
      </c>
      <c r="C1075" s="51" t="s">
        <v>143</v>
      </c>
      <c r="D1075" s="51" t="s">
        <v>4635</v>
      </c>
      <c r="E1075" s="50">
        <v>2349</v>
      </c>
      <c r="F1075" s="50">
        <v>2417</v>
      </c>
      <c r="G1075" s="50" t="s">
        <v>3955</v>
      </c>
      <c r="H1075" s="50"/>
      <c r="I1075" s="105"/>
      <c r="J1075" s="50"/>
      <c r="K1075" s="50" t="s">
        <v>28</v>
      </c>
      <c r="L1075" s="50" t="s">
        <v>2289</v>
      </c>
      <c r="M1075" s="50" t="s">
        <v>212</v>
      </c>
      <c r="N1075" s="50"/>
      <c r="O1075" s="50"/>
      <c r="P1075" s="50"/>
      <c r="Q1075" s="50"/>
      <c r="R1075" s="50"/>
      <c r="S1075" s="50" t="str">
        <f t="shared" si="108"/>
        <v/>
      </c>
      <c r="T1075" s="50" t="str">
        <f t="shared" si="106"/>
        <v/>
      </c>
      <c r="U1075" s="50" t="str">
        <f t="shared" si="107"/>
        <v/>
      </c>
      <c r="V1075" s="50" t="str">
        <f t="shared" si="109"/>
        <v/>
      </c>
      <c r="W1075" s="50"/>
      <c r="X1075" s="50"/>
      <c r="Y1075" s="50"/>
      <c r="Z1075" s="50"/>
      <c r="AA1075" s="50"/>
    </row>
    <row r="1076" spans="1:27" ht="25.5" customHeight="1">
      <c r="A1076" s="517" t="s">
        <v>2286</v>
      </c>
      <c r="B1076" s="51" t="s">
        <v>1176</v>
      </c>
      <c r="C1076" s="51" t="s">
        <v>143</v>
      </c>
      <c r="D1076" s="51" t="s">
        <v>4636</v>
      </c>
      <c r="E1076" s="50">
        <v>2605</v>
      </c>
      <c r="F1076" s="50">
        <v>2913</v>
      </c>
      <c r="G1076" s="50" t="s">
        <v>3955</v>
      </c>
      <c r="H1076" s="50"/>
      <c r="I1076" s="105"/>
      <c r="J1076" s="50"/>
      <c r="K1076" s="50" t="s">
        <v>28</v>
      </c>
      <c r="L1076" s="50" t="s">
        <v>2289</v>
      </c>
      <c r="M1076" s="50" t="s">
        <v>212</v>
      </c>
      <c r="N1076" s="50"/>
      <c r="O1076" s="50"/>
      <c r="P1076" s="50"/>
      <c r="Q1076" s="50"/>
      <c r="R1076" s="50"/>
      <c r="S1076" s="50" t="str">
        <f t="shared" si="108"/>
        <v/>
      </c>
      <c r="T1076" s="50" t="str">
        <f t="shared" si="106"/>
        <v/>
      </c>
      <c r="U1076" s="50" t="str">
        <f t="shared" si="107"/>
        <v/>
      </c>
      <c r="V1076" s="50" t="str">
        <f t="shared" si="109"/>
        <v/>
      </c>
      <c r="W1076" s="50"/>
      <c r="X1076" s="50"/>
      <c r="Y1076" s="50"/>
      <c r="Z1076" s="50"/>
      <c r="AA1076" s="50"/>
    </row>
    <row r="1077" spans="1:27" ht="25.5" customHeight="1">
      <c r="A1077" s="517" t="s">
        <v>2286</v>
      </c>
      <c r="B1077" s="51" t="s">
        <v>1176</v>
      </c>
      <c r="C1077" s="51" t="s">
        <v>143</v>
      </c>
      <c r="D1077" s="51" t="s">
        <v>4637</v>
      </c>
      <c r="E1077" s="50">
        <v>1708</v>
      </c>
      <c r="F1077" s="50">
        <v>1306</v>
      </c>
      <c r="G1077" s="50" t="s">
        <v>3404</v>
      </c>
      <c r="H1077" s="50">
        <v>2025</v>
      </c>
      <c r="I1077" s="132">
        <v>45867</v>
      </c>
      <c r="J1077" s="50" t="s">
        <v>3126</v>
      </c>
      <c r="K1077" s="50" t="s">
        <v>267</v>
      </c>
      <c r="L1077" s="50" t="s">
        <v>28</v>
      </c>
      <c r="M1077" s="50" t="s">
        <v>212</v>
      </c>
      <c r="N1077" s="50" t="s">
        <v>4638</v>
      </c>
      <c r="O1077" s="60">
        <v>45883</v>
      </c>
      <c r="P1077" s="60">
        <v>45884</v>
      </c>
      <c r="Q1077" s="60">
        <v>45887</v>
      </c>
      <c r="R1077" s="60">
        <v>45887</v>
      </c>
      <c r="S1077" s="50">
        <f t="shared" si="108"/>
        <v>12</v>
      </c>
      <c r="T1077" s="50">
        <f t="shared" si="106"/>
        <v>1</v>
      </c>
      <c r="U1077" s="50">
        <f t="shared" si="107"/>
        <v>1</v>
      </c>
      <c r="V1077" s="50">
        <f t="shared" si="109"/>
        <v>1</v>
      </c>
      <c r="W1077" s="50" t="s">
        <v>150</v>
      </c>
      <c r="X1077" s="50" t="s">
        <v>1078</v>
      </c>
      <c r="Y1077" s="50" t="s">
        <v>50</v>
      </c>
      <c r="Z1077" s="50" t="s">
        <v>3406</v>
      </c>
      <c r="AA1077" s="50"/>
    </row>
    <row r="1078" spans="1:27" ht="25.5" customHeight="1">
      <c r="A1078" s="517" t="s">
        <v>2286</v>
      </c>
      <c r="B1078" s="51" t="s">
        <v>1176</v>
      </c>
      <c r="C1078" s="51" t="s">
        <v>143</v>
      </c>
      <c r="D1078" s="51" t="s">
        <v>4639</v>
      </c>
      <c r="E1078" s="50">
        <v>1949</v>
      </c>
      <c r="F1078" s="50">
        <v>1648</v>
      </c>
      <c r="G1078" s="50" t="s">
        <v>3955</v>
      </c>
      <c r="H1078" s="50"/>
      <c r="I1078" s="105"/>
      <c r="J1078" s="50"/>
      <c r="K1078" s="50" t="s">
        <v>28</v>
      </c>
      <c r="L1078" s="50" t="s">
        <v>2289</v>
      </c>
      <c r="M1078" s="50" t="s">
        <v>212</v>
      </c>
      <c r="N1078" s="50"/>
      <c r="O1078" s="50"/>
      <c r="P1078" s="50"/>
      <c r="Q1078" s="50"/>
      <c r="R1078" s="50"/>
      <c r="S1078" s="50" t="str">
        <f t="shared" si="108"/>
        <v/>
      </c>
      <c r="T1078" s="50" t="str">
        <f t="shared" si="106"/>
        <v/>
      </c>
      <c r="U1078" s="50" t="str">
        <f t="shared" si="107"/>
        <v/>
      </c>
      <c r="V1078" s="50" t="str">
        <f t="shared" si="109"/>
        <v/>
      </c>
      <c r="W1078" s="50"/>
      <c r="X1078" s="50"/>
      <c r="Y1078" s="50"/>
      <c r="Z1078" s="50"/>
      <c r="AA1078" s="50"/>
    </row>
    <row r="1079" spans="1:27" ht="25.5" customHeight="1">
      <c r="A1079" s="517" t="s">
        <v>2286</v>
      </c>
      <c r="B1079" s="51" t="s">
        <v>1176</v>
      </c>
      <c r="C1079" s="51" t="s">
        <v>143</v>
      </c>
      <c r="D1079" s="51" t="s">
        <v>4640</v>
      </c>
      <c r="E1079" s="50">
        <v>789</v>
      </c>
      <c r="F1079" s="50">
        <v>784</v>
      </c>
      <c r="G1079" s="50" t="s">
        <v>3404</v>
      </c>
      <c r="H1079" s="50">
        <v>2024</v>
      </c>
      <c r="I1079" s="132">
        <v>45609</v>
      </c>
      <c r="J1079" s="50"/>
      <c r="K1079" s="50" t="s">
        <v>28</v>
      </c>
      <c r="L1079" s="50" t="s">
        <v>2289</v>
      </c>
      <c r="M1079" s="50" t="s">
        <v>212</v>
      </c>
      <c r="N1079" s="50"/>
      <c r="O1079" s="50"/>
      <c r="P1079" s="50"/>
      <c r="Q1079" s="50"/>
      <c r="R1079" s="50"/>
      <c r="S1079" s="50" t="str">
        <f t="shared" si="108"/>
        <v/>
      </c>
      <c r="T1079" s="50" t="str">
        <f t="shared" si="106"/>
        <v/>
      </c>
      <c r="U1079" s="50" t="str">
        <f t="shared" si="107"/>
        <v/>
      </c>
      <c r="V1079" s="50" t="str">
        <f t="shared" si="109"/>
        <v/>
      </c>
      <c r="W1079" s="50"/>
      <c r="X1079" s="50" t="s">
        <v>4</v>
      </c>
      <c r="Y1079" s="50" t="s">
        <v>50</v>
      </c>
      <c r="Z1079" s="50" t="s">
        <v>3406</v>
      </c>
      <c r="AA1079" s="50"/>
    </row>
    <row r="1080" spans="1:27" s="110" customFormat="1" ht="25.5" customHeight="1">
      <c r="A1080" s="517" t="s">
        <v>2286</v>
      </c>
      <c r="B1080" s="51" t="s">
        <v>1176</v>
      </c>
      <c r="C1080" s="51" t="s">
        <v>143</v>
      </c>
      <c r="D1080" s="51" t="s">
        <v>4641</v>
      </c>
      <c r="E1080" s="50">
        <v>1713</v>
      </c>
      <c r="F1080" s="50">
        <v>1806</v>
      </c>
      <c r="G1080" s="50" t="s">
        <v>3404</v>
      </c>
      <c r="H1080" s="50">
        <v>2025</v>
      </c>
      <c r="I1080" s="132">
        <v>45958</v>
      </c>
      <c r="J1080" s="50" t="s">
        <v>3129</v>
      </c>
      <c r="K1080" s="50" t="s">
        <v>267</v>
      </c>
      <c r="L1080" s="50" t="s">
        <v>2289</v>
      </c>
      <c r="M1080" s="50" t="s">
        <v>212</v>
      </c>
      <c r="N1080" s="50" t="s">
        <v>4642</v>
      </c>
      <c r="O1080" s="60">
        <v>45964</v>
      </c>
      <c r="P1080" s="60">
        <v>45966</v>
      </c>
      <c r="Q1080" s="60">
        <v>45966</v>
      </c>
      <c r="R1080" s="60">
        <v>45966</v>
      </c>
      <c r="S1080" s="50">
        <f t="shared" si="108"/>
        <v>4</v>
      </c>
      <c r="T1080" s="50">
        <f t="shared" si="106"/>
        <v>2</v>
      </c>
      <c r="U1080" s="50">
        <f t="shared" si="107"/>
        <v>1</v>
      </c>
      <c r="V1080" s="50">
        <f t="shared" si="109"/>
        <v>1</v>
      </c>
      <c r="W1080" s="50" t="s">
        <v>150</v>
      </c>
      <c r="X1080" s="50" t="s">
        <v>1078</v>
      </c>
      <c r="Y1080" s="50" t="s">
        <v>50</v>
      </c>
      <c r="Z1080" s="50" t="s">
        <v>3406</v>
      </c>
      <c r="AA1080" s="50"/>
    </row>
    <row r="1081" spans="1:27" ht="25.5" customHeight="1">
      <c r="A1081" s="517" t="s">
        <v>2286</v>
      </c>
      <c r="B1081" s="51" t="s">
        <v>1176</v>
      </c>
      <c r="C1081" s="51" t="s">
        <v>143</v>
      </c>
      <c r="D1081" s="51" t="s">
        <v>1180</v>
      </c>
      <c r="E1081" s="50">
        <v>4996</v>
      </c>
      <c r="F1081" s="50">
        <v>6277</v>
      </c>
      <c r="G1081" s="50" t="s">
        <v>3955</v>
      </c>
      <c r="H1081" s="50"/>
      <c r="I1081" s="105"/>
      <c r="J1081" s="50"/>
      <c r="K1081" s="50" t="s">
        <v>28</v>
      </c>
      <c r="L1081" s="50" t="s">
        <v>2289</v>
      </c>
      <c r="M1081" s="50" t="s">
        <v>212</v>
      </c>
      <c r="N1081" s="50"/>
      <c r="O1081" s="50"/>
      <c r="P1081" s="50"/>
      <c r="Q1081" s="50"/>
      <c r="R1081" s="50"/>
      <c r="S1081" s="50" t="str">
        <f t="shared" si="108"/>
        <v/>
      </c>
      <c r="T1081" s="50" t="str">
        <f t="shared" si="106"/>
        <v/>
      </c>
      <c r="U1081" s="50" t="str">
        <f t="shared" si="107"/>
        <v/>
      </c>
      <c r="V1081" s="50" t="str">
        <f t="shared" si="109"/>
        <v/>
      </c>
      <c r="W1081" s="50"/>
      <c r="X1081" s="50"/>
      <c r="Y1081" s="50"/>
      <c r="Z1081" s="50"/>
      <c r="AA1081" s="50"/>
    </row>
    <row r="1082" spans="1:27" ht="25.5" customHeight="1">
      <c r="A1082" s="517" t="s">
        <v>2286</v>
      </c>
      <c r="B1082" s="51" t="s">
        <v>1176</v>
      </c>
      <c r="C1082" s="51" t="s">
        <v>143</v>
      </c>
      <c r="D1082" s="51" t="s">
        <v>4643</v>
      </c>
      <c r="E1082" s="50">
        <v>4442</v>
      </c>
      <c r="F1082" s="50">
        <v>4684</v>
      </c>
      <c r="G1082" s="50" t="s">
        <v>3404</v>
      </c>
      <c r="H1082" s="50">
        <v>2024</v>
      </c>
      <c r="I1082" s="132">
        <v>45561</v>
      </c>
      <c r="J1082" s="50"/>
      <c r="K1082" s="50" t="s">
        <v>28</v>
      </c>
      <c r="L1082" s="50" t="s">
        <v>2289</v>
      </c>
      <c r="M1082" s="50" t="s">
        <v>212</v>
      </c>
      <c r="N1082" s="50"/>
      <c r="O1082" s="50"/>
      <c r="P1082" s="50"/>
      <c r="Q1082" s="50"/>
      <c r="R1082" s="50"/>
      <c r="S1082" s="50" t="str">
        <f t="shared" si="108"/>
        <v/>
      </c>
      <c r="T1082" s="50" t="str">
        <f t="shared" ref="T1082:T1145" si="110">IF(
    OR(ISBLANK(O1082), ISBLANK(P1082)),
    "",
    MAX(1, IF(
        NETWORKDAYS(O1082, P1082) &lt;= 0,
        1,
        NETWORKDAYS(O1082, P1082) - IF(O1082 = P1082, 0, 1)
    ))
)</f>
        <v/>
      </c>
      <c r="U1082" s="50" t="str">
        <f t="shared" ref="U1082:U1145" si="111">IF(
    OR(ISBLANK(P1082), ISBLANK(Q1082)),
    "",
    MAX(1, IF(
        NETWORKDAYS(P1082, Q1082) &lt;= 0,
        1,
        NETWORKDAYS(P1082, Q1082) - IF(P1082 = Q1082, 0, 1)
    ))
)</f>
        <v/>
      </c>
      <c r="V1082" s="50" t="str">
        <f t="shared" si="109"/>
        <v/>
      </c>
      <c r="W1082" s="50"/>
      <c r="X1082" s="50" t="s">
        <v>4</v>
      </c>
      <c r="Y1082" s="50" t="s">
        <v>50</v>
      </c>
      <c r="Z1082" s="50" t="s">
        <v>3406</v>
      </c>
      <c r="AA1082" s="50"/>
    </row>
    <row r="1083" spans="1:27" ht="25.5" customHeight="1">
      <c r="A1083" s="517" t="s">
        <v>2286</v>
      </c>
      <c r="B1083" s="51" t="s">
        <v>1176</v>
      </c>
      <c r="C1083" s="51" t="s">
        <v>143</v>
      </c>
      <c r="D1083" s="51" t="s">
        <v>4644</v>
      </c>
      <c r="E1083" s="50">
        <v>6793</v>
      </c>
      <c r="F1083" s="50">
        <v>7785</v>
      </c>
      <c r="G1083" s="50" t="s">
        <v>3404</v>
      </c>
      <c r="H1083" s="50">
        <v>2024</v>
      </c>
      <c r="I1083" s="132">
        <v>45561</v>
      </c>
      <c r="J1083" s="50"/>
      <c r="K1083" s="50" t="s">
        <v>28</v>
      </c>
      <c r="L1083" s="50" t="s">
        <v>2289</v>
      </c>
      <c r="M1083" s="50" t="s">
        <v>212</v>
      </c>
      <c r="N1083" s="50"/>
      <c r="O1083" s="50"/>
      <c r="P1083" s="50"/>
      <c r="Q1083" s="50"/>
      <c r="R1083" s="50"/>
      <c r="S1083" s="50" t="str">
        <f t="shared" si="108"/>
        <v/>
      </c>
      <c r="T1083" s="50" t="str">
        <f t="shared" si="110"/>
        <v/>
      </c>
      <c r="U1083" s="50" t="str">
        <f t="shared" si="111"/>
        <v/>
      </c>
      <c r="V1083" s="50" t="str">
        <f t="shared" si="109"/>
        <v/>
      </c>
      <c r="W1083" s="50"/>
      <c r="X1083" s="50" t="s">
        <v>4</v>
      </c>
      <c r="Y1083" s="50" t="s">
        <v>50</v>
      </c>
      <c r="Z1083" s="50" t="s">
        <v>3406</v>
      </c>
      <c r="AA1083" s="50"/>
    </row>
    <row r="1084" spans="1:27" ht="25.5" customHeight="1">
      <c r="A1084" s="517" t="s">
        <v>2286</v>
      </c>
      <c r="B1084" s="51" t="s">
        <v>1176</v>
      </c>
      <c r="C1084" s="51" t="s">
        <v>143</v>
      </c>
      <c r="D1084" s="51" t="s">
        <v>4645</v>
      </c>
      <c r="E1084" s="50">
        <v>6687</v>
      </c>
      <c r="F1084" s="50">
        <v>8772</v>
      </c>
      <c r="G1084" s="50" t="s">
        <v>3955</v>
      </c>
      <c r="H1084" s="50"/>
      <c r="I1084" s="105"/>
      <c r="J1084" s="50"/>
      <c r="K1084" s="50" t="s">
        <v>28</v>
      </c>
      <c r="L1084" s="50" t="s">
        <v>2289</v>
      </c>
      <c r="M1084" s="50" t="s">
        <v>212</v>
      </c>
      <c r="N1084" s="50"/>
      <c r="O1084" s="50"/>
      <c r="P1084" s="50"/>
      <c r="Q1084" s="50"/>
      <c r="R1084" s="50"/>
      <c r="S1084" s="50" t="str">
        <f t="shared" si="108"/>
        <v/>
      </c>
      <c r="T1084" s="50" t="str">
        <f t="shared" si="110"/>
        <v/>
      </c>
      <c r="U1084" s="50" t="str">
        <f t="shared" si="111"/>
        <v/>
      </c>
      <c r="V1084" s="50" t="str">
        <f t="shared" si="109"/>
        <v/>
      </c>
      <c r="W1084" s="50"/>
      <c r="X1084" s="50"/>
      <c r="Y1084" s="50"/>
      <c r="Z1084" s="50"/>
      <c r="AA1084" s="50"/>
    </row>
    <row r="1085" spans="1:27" ht="25.5" customHeight="1">
      <c r="A1085" s="517" t="s">
        <v>2286</v>
      </c>
      <c r="B1085" s="51" t="s">
        <v>1176</v>
      </c>
      <c r="C1085" s="51" t="s">
        <v>143</v>
      </c>
      <c r="D1085" s="51" t="s">
        <v>4646</v>
      </c>
      <c r="E1085" s="50">
        <v>1128</v>
      </c>
      <c r="F1085" s="50">
        <v>944</v>
      </c>
      <c r="G1085" s="50" t="s">
        <v>3955</v>
      </c>
      <c r="H1085" s="50"/>
      <c r="I1085" s="105"/>
      <c r="J1085" s="50"/>
      <c r="K1085" s="50" t="s">
        <v>28</v>
      </c>
      <c r="L1085" s="50" t="s">
        <v>2289</v>
      </c>
      <c r="M1085" s="50" t="s">
        <v>212</v>
      </c>
      <c r="N1085" s="50"/>
      <c r="O1085" s="50"/>
      <c r="P1085" s="50"/>
      <c r="Q1085" s="50"/>
      <c r="R1085" s="50"/>
      <c r="S1085" s="50" t="str">
        <f t="shared" si="108"/>
        <v/>
      </c>
      <c r="T1085" s="50" t="str">
        <f t="shared" si="110"/>
        <v/>
      </c>
      <c r="U1085" s="50" t="str">
        <f t="shared" si="111"/>
        <v/>
      </c>
      <c r="V1085" s="50" t="str">
        <f t="shared" si="109"/>
        <v/>
      </c>
      <c r="W1085" s="50"/>
      <c r="X1085" s="50"/>
      <c r="Y1085" s="50"/>
      <c r="Z1085" s="50"/>
      <c r="AA1085" s="50"/>
    </row>
    <row r="1086" spans="1:27" s="110" customFormat="1" ht="25.5" customHeight="1">
      <c r="A1086" s="517" t="s">
        <v>2286</v>
      </c>
      <c r="B1086" s="51" t="s">
        <v>1176</v>
      </c>
      <c r="C1086" s="51" t="s">
        <v>143</v>
      </c>
      <c r="D1086" s="51" t="s">
        <v>4647</v>
      </c>
      <c r="E1086" s="50">
        <v>1356</v>
      </c>
      <c r="F1086" s="50">
        <v>1314</v>
      </c>
      <c r="G1086" s="50" t="s">
        <v>3955</v>
      </c>
      <c r="H1086" s="50"/>
      <c r="I1086" s="105"/>
      <c r="J1086" s="50"/>
      <c r="K1086" s="50" t="s">
        <v>28</v>
      </c>
      <c r="L1086" s="50" t="s">
        <v>2289</v>
      </c>
      <c r="M1086" s="50" t="s">
        <v>212</v>
      </c>
      <c r="N1086" s="50"/>
      <c r="O1086" s="50"/>
      <c r="P1086" s="50"/>
      <c r="Q1086" s="50"/>
      <c r="R1086" s="50"/>
      <c r="S1086" s="50" t="str">
        <f t="shared" si="108"/>
        <v/>
      </c>
      <c r="T1086" s="50" t="str">
        <f t="shared" si="110"/>
        <v/>
      </c>
      <c r="U1086" s="50" t="str">
        <f t="shared" si="111"/>
        <v/>
      </c>
      <c r="V1086" s="50" t="str">
        <f t="shared" si="109"/>
        <v/>
      </c>
      <c r="W1086" s="50"/>
      <c r="X1086" s="50"/>
      <c r="Y1086" s="50"/>
      <c r="Z1086" s="50"/>
      <c r="AA1086" s="50"/>
    </row>
    <row r="1087" spans="1:27" ht="25.5" customHeight="1">
      <c r="A1087" s="517" t="s">
        <v>2286</v>
      </c>
      <c r="B1087" s="51" t="s">
        <v>1176</v>
      </c>
      <c r="C1087" s="51" t="s">
        <v>143</v>
      </c>
      <c r="D1087" s="51" t="s">
        <v>4648</v>
      </c>
      <c r="E1087" s="50">
        <v>1331</v>
      </c>
      <c r="F1087" s="50">
        <v>1298</v>
      </c>
      <c r="G1087" s="50" t="s">
        <v>3955</v>
      </c>
      <c r="H1087" s="50"/>
      <c r="I1087" s="105"/>
      <c r="J1087" s="50"/>
      <c r="K1087" s="50" t="s">
        <v>28</v>
      </c>
      <c r="L1087" s="50" t="s">
        <v>2289</v>
      </c>
      <c r="M1087" s="50" t="s">
        <v>212</v>
      </c>
      <c r="N1087" s="50"/>
      <c r="O1087" s="50"/>
      <c r="P1087" s="50"/>
      <c r="Q1087" s="50"/>
      <c r="R1087" s="50"/>
      <c r="S1087" s="50" t="str">
        <f t="shared" si="108"/>
        <v/>
      </c>
      <c r="T1087" s="50" t="str">
        <f t="shared" si="110"/>
        <v/>
      </c>
      <c r="U1087" s="50" t="str">
        <f t="shared" si="111"/>
        <v/>
      </c>
      <c r="V1087" s="50" t="str">
        <f t="shared" si="109"/>
        <v/>
      </c>
      <c r="W1087" s="50"/>
      <c r="X1087" s="50"/>
      <c r="Y1087" s="50"/>
      <c r="Z1087" s="50"/>
      <c r="AA1087" s="50"/>
    </row>
    <row r="1088" spans="1:27" ht="25.5" customHeight="1">
      <c r="A1088" s="517" t="s">
        <v>2286</v>
      </c>
      <c r="B1088" s="51" t="s">
        <v>1176</v>
      </c>
      <c r="C1088" s="51" t="s">
        <v>143</v>
      </c>
      <c r="D1088" s="51" t="s">
        <v>4649</v>
      </c>
      <c r="E1088" s="50">
        <v>2015</v>
      </c>
      <c r="F1088" s="50">
        <v>1566</v>
      </c>
      <c r="G1088" s="50" t="s">
        <v>3955</v>
      </c>
      <c r="H1088" s="50"/>
      <c r="I1088" s="105"/>
      <c r="J1088" s="50"/>
      <c r="K1088" s="50" t="s">
        <v>28</v>
      </c>
      <c r="L1088" s="50" t="s">
        <v>2289</v>
      </c>
      <c r="M1088" s="50" t="s">
        <v>212</v>
      </c>
      <c r="N1088" s="50"/>
      <c r="O1088" s="50"/>
      <c r="P1088" s="50"/>
      <c r="Q1088" s="50"/>
      <c r="R1088" s="50"/>
      <c r="S1088" s="50" t="str">
        <f t="shared" si="108"/>
        <v/>
      </c>
      <c r="T1088" s="50" t="str">
        <f t="shared" si="110"/>
        <v/>
      </c>
      <c r="U1088" s="50" t="str">
        <f t="shared" si="111"/>
        <v/>
      </c>
      <c r="V1088" s="50" t="str">
        <f t="shared" si="109"/>
        <v/>
      </c>
      <c r="W1088" s="50"/>
      <c r="X1088" s="50"/>
      <c r="Y1088" s="50"/>
      <c r="Z1088" s="50"/>
      <c r="AA1088" s="50"/>
    </row>
    <row r="1089" spans="1:27" ht="25.5" customHeight="1">
      <c r="A1089" s="517" t="s">
        <v>2286</v>
      </c>
      <c r="B1089" s="51" t="s">
        <v>1176</v>
      </c>
      <c r="C1089" s="51" t="s">
        <v>143</v>
      </c>
      <c r="D1089" s="51" t="s">
        <v>4650</v>
      </c>
      <c r="E1089" s="50">
        <v>2050</v>
      </c>
      <c r="F1089" s="50">
        <v>1531</v>
      </c>
      <c r="G1089" s="50" t="s">
        <v>3955</v>
      </c>
      <c r="H1089" s="50"/>
      <c r="I1089" s="105"/>
      <c r="J1089" s="50"/>
      <c r="K1089" s="50" t="s">
        <v>28</v>
      </c>
      <c r="L1089" s="50" t="s">
        <v>2289</v>
      </c>
      <c r="M1089" s="50" t="s">
        <v>212</v>
      </c>
      <c r="N1089" s="50"/>
      <c r="O1089" s="50"/>
      <c r="P1089" s="50"/>
      <c r="Q1089" s="50"/>
      <c r="R1089" s="50"/>
      <c r="S1089" s="50" t="str">
        <f t="shared" si="108"/>
        <v/>
      </c>
      <c r="T1089" s="50" t="str">
        <f t="shared" si="110"/>
        <v/>
      </c>
      <c r="U1089" s="50" t="str">
        <f t="shared" si="111"/>
        <v/>
      </c>
      <c r="V1089" s="50" t="str">
        <f t="shared" si="109"/>
        <v/>
      </c>
      <c r="W1089" s="50"/>
      <c r="X1089" s="50"/>
      <c r="Y1089" s="50"/>
      <c r="Z1089" s="50"/>
      <c r="AA1089" s="50"/>
    </row>
    <row r="1090" spans="1:27" s="110" customFormat="1" ht="25.5" customHeight="1">
      <c r="A1090" s="517" t="s">
        <v>2286</v>
      </c>
      <c r="B1090" s="51" t="s">
        <v>1176</v>
      </c>
      <c r="C1090" s="51" t="s">
        <v>143</v>
      </c>
      <c r="D1090" s="51" t="s">
        <v>4651</v>
      </c>
      <c r="E1090" s="50">
        <v>4598</v>
      </c>
      <c r="F1090" s="50">
        <v>5751</v>
      </c>
      <c r="G1090" s="50" t="s">
        <v>3404</v>
      </c>
      <c r="H1090" s="50">
        <v>2024</v>
      </c>
      <c r="I1090" s="132">
        <v>45520</v>
      </c>
      <c r="J1090" s="50"/>
      <c r="K1090" s="50" t="s">
        <v>28</v>
      </c>
      <c r="L1090" s="50" t="s">
        <v>2289</v>
      </c>
      <c r="M1090" s="50" t="s">
        <v>212</v>
      </c>
      <c r="N1090" s="50"/>
      <c r="O1090" s="50"/>
      <c r="P1090" s="50"/>
      <c r="Q1090" s="50"/>
      <c r="R1090" s="50"/>
      <c r="S1090" s="50" t="str">
        <f t="shared" si="108"/>
        <v/>
      </c>
      <c r="T1090" s="50" t="str">
        <f t="shared" si="110"/>
        <v/>
      </c>
      <c r="U1090" s="50" t="str">
        <f t="shared" si="111"/>
        <v/>
      </c>
      <c r="V1090" s="50" t="str">
        <f t="shared" si="109"/>
        <v/>
      </c>
      <c r="W1090" s="50"/>
      <c r="X1090" s="50" t="s">
        <v>4</v>
      </c>
      <c r="Y1090" s="50" t="s">
        <v>50</v>
      </c>
      <c r="Z1090" s="50" t="s">
        <v>3406</v>
      </c>
      <c r="AA1090" s="50"/>
    </row>
    <row r="1091" spans="1:27" ht="25.5" customHeight="1">
      <c r="A1091" s="517" t="s">
        <v>2286</v>
      </c>
      <c r="B1091" s="51" t="s">
        <v>1176</v>
      </c>
      <c r="C1091" s="51" t="s">
        <v>143</v>
      </c>
      <c r="D1091" s="51" t="s">
        <v>3727</v>
      </c>
      <c r="E1091" s="50">
        <v>1807</v>
      </c>
      <c r="F1091" s="50">
        <v>1946</v>
      </c>
      <c r="G1091" s="50" t="s">
        <v>3955</v>
      </c>
      <c r="H1091" s="50"/>
      <c r="I1091" s="105"/>
      <c r="J1091" s="50"/>
      <c r="K1091" s="50" t="s">
        <v>28</v>
      </c>
      <c r="L1091" s="50" t="s">
        <v>2289</v>
      </c>
      <c r="M1091" s="50" t="s">
        <v>212</v>
      </c>
      <c r="N1091" s="50"/>
      <c r="O1091" s="50"/>
      <c r="P1091" s="50"/>
      <c r="Q1091" s="50"/>
      <c r="R1091" s="50"/>
      <c r="S1091" s="50" t="str">
        <f t="shared" si="108"/>
        <v/>
      </c>
      <c r="T1091" s="50" t="str">
        <f t="shared" si="110"/>
        <v/>
      </c>
      <c r="U1091" s="50" t="str">
        <f t="shared" si="111"/>
        <v/>
      </c>
      <c r="V1091" s="50" t="str">
        <f t="shared" si="109"/>
        <v/>
      </c>
      <c r="W1091" s="50"/>
      <c r="X1091" s="50"/>
      <c r="Y1091" s="50"/>
      <c r="Z1091" s="50"/>
      <c r="AA1091" s="50"/>
    </row>
    <row r="1092" spans="1:27" ht="25.5" customHeight="1">
      <c r="A1092" s="517" t="s">
        <v>2286</v>
      </c>
      <c r="B1092" s="51" t="s">
        <v>1176</v>
      </c>
      <c r="C1092" s="51" t="s">
        <v>143</v>
      </c>
      <c r="D1092" s="51" t="s">
        <v>4446</v>
      </c>
      <c r="E1092" s="50">
        <v>1382</v>
      </c>
      <c r="F1092" s="50">
        <v>1590</v>
      </c>
      <c r="G1092" s="50" t="s">
        <v>3955</v>
      </c>
      <c r="H1092" s="50"/>
      <c r="I1092" s="105"/>
      <c r="J1092" s="50"/>
      <c r="K1092" s="50" t="s">
        <v>28</v>
      </c>
      <c r="L1092" s="50" t="s">
        <v>2289</v>
      </c>
      <c r="M1092" s="50" t="s">
        <v>212</v>
      </c>
      <c r="N1092" s="50"/>
      <c r="O1092" s="50"/>
      <c r="P1092" s="50"/>
      <c r="Q1092" s="50"/>
      <c r="R1092" s="50"/>
      <c r="S1092" s="50" t="str">
        <f t="shared" si="108"/>
        <v/>
      </c>
      <c r="T1092" s="50" t="str">
        <f t="shared" si="110"/>
        <v/>
      </c>
      <c r="U1092" s="50" t="str">
        <f t="shared" si="111"/>
        <v/>
      </c>
      <c r="V1092" s="50" t="str">
        <f t="shared" si="109"/>
        <v/>
      </c>
      <c r="W1092" s="50"/>
      <c r="X1092" s="50"/>
      <c r="Y1092" s="50"/>
      <c r="Z1092" s="50"/>
      <c r="AA1092" s="50"/>
    </row>
    <row r="1093" spans="1:27" ht="25.5" customHeight="1">
      <c r="A1093" s="517" t="s">
        <v>2286</v>
      </c>
      <c r="B1093" s="51" t="s">
        <v>1176</v>
      </c>
      <c r="C1093" s="51" t="s">
        <v>143</v>
      </c>
      <c r="D1093" s="51" t="s">
        <v>4652</v>
      </c>
      <c r="E1093" s="50">
        <v>4118</v>
      </c>
      <c r="F1093" s="50">
        <v>4517</v>
      </c>
      <c r="G1093" s="50" t="s">
        <v>3955</v>
      </c>
      <c r="H1093" s="50"/>
      <c r="I1093" s="105"/>
      <c r="J1093" s="50"/>
      <c r="K1093" s="50" t="s">
        <v>28</v>
      </c>
      <c r="L1093" s="50" t="s">
        <v>2289</v>
      </c>
      <c r="M1093" s="50" t="s">
        <v>212</v>
      </c>
      <c r="N1093" s="50"/>
      <c r="O1093" s="50"/>
      <c r="P1093" s="50"/>
      <c r="Q1093" s="50"/>
      <c r="R1093" s="50"/>
      <c r="S1093" s="50" t="str">
        <f t="shared" si="108"/>
        <v/>
      </c>
      <c r="T1093" s="50" t="str">
        <f t="shared" si="110"/>
        <v/>
      </c>
      <c r="U1093" s="50" t="str">
        <f t="shared" si="111"/>
        <v/>
      </c>
      <c r="V1093" s="50" t="str">
        <f t="shared" si="109"/>
        <v/>
      </c>
      <c r="W1093" s="50"/>
      <c r="X1093" s="50"/>
      <c r="Y1093" s="50"/>
      <c r="Z1093" s="50"/>
      <c r="AA1093" s="50"/>
    </row>
    <row r="1094" spans="1:27" ht="25.5" customHeight="1">
      <c r="A1094" s="517" t="s">
        <v>2286</v>
      </c>
      <c r="B1094" s="51" t="s">
        <v>1176</v>
      </c>
      <c r="C1094" s="51" t="s">
        <v>143</v>
      </c>
      <c r="D1094" s="51" t="s">
        <v>4653</v>
      </c>
      <c r="E1094" s="50">
        <v>4698</v>
      </c>
      <c r="F1094" s="50">
        <v>4869</v>
      </c>
      <c r="G1094" s="50" t="s">
        <v>3955</v>
      </c>
      <c r="H1094" s="50"/>
      <c r="I1094" s="105"/>
      <c r="J1094" s="50"/>
      <c r="K1094" s="50" t="s">
        <v>28</v>
      </c>
      <c r="L1094" s="50" t="s">
        <v>2289</v>
      </c>
      <c r="M1094" s="50" t="s">
        <v>212</v>
      </c>
      <c r="N1094" s="50"/>
      <c r="O1094" s="50"/>
      <c r="P1094" s="50"/>
      <c r="Q1094" s="50"/>
      <c r="R1094" s="50"/>
      <c r="S1094" s="50" t="str">
        <f t="shared" si="108"/>
        <v/>
      </c>
      <c r="T1094" s="50" t="str">
        <f t="shared" si="110"/>
        <v/>
      </c>
      <c r="U1094" s="50" t="str">
        <f t="shared" si="111"/>
        <v/>
      </c>
      <c r="V1094" s="50" t="str">
        <f t="shared" si="109"/>
        <v/>
      </c>
      <c r="W1094" s="50"/>
      <c r="X1094" s="50"/>
      <c r="Y1094" s="50"/>
      <c r="Z1094" s="50"/>
      <c r="AA1094" s="50"/>
    </row>
    <row r="1095" spans="1:27" s="110" customFormat="1" ht="25.5" customHeight="1">
      <c r="A1095" s="517" t="s">
        <v>2286</v>
      </c>
      <c r="B1095" s="51" t="s">
        <v>1176</v>
      </c>
      <c r="C1095" s="51" t="s">
        <v>143</v>
      </c>
      <c r="D1095" s="51" t="s">
        <v>4654</v>
      </c>
      <c r="E1095" s="50">
        <v>4487</v>
      </c>
      <c r="F1095" s="50">
        <v>5776</v>
      </c>
      <c r="G1095" s="50" t="s">
        <v>3404</v>
      </c>
      <c r="H1095" s="50">
        <v>2024</v>
      </c>
      <c r="I1095" s="132">
        <v>45526</v>
      </c>
      <c r="J1095" s="50"/>
      <c r="K1095" s="50" t="s">
        <v>28</v>
      </c>
      <c r="L1095" s="50" t="s">
        <v>2289</v>
      </c>
      <c r="M1095" s="50" t="s">
        <v>212</v>
      </c>
      <c r="N1095" s="50"/>
      <c r="O1095" s="50"/>
      <c r="P1095" s="50"/>
      <c r="Q1095" s="50"/>
      <c r="R1095" s="50"/>
      <c r="S1095" s="50" t="str">
        <f t="shared" ref="S1095:S1158" si="112">IF(
    OR(ISBLANK(I1095), ISBLANK(O1095)),
    "",
    MAX(1, IF(
        NETWORKDAYS(I1095, O1095) &lt;= 0,
        1,
        NETWORKDAYS(I1095, O1095) - IF(I1095 = O1095, 0, 1)
    ))
)</f>
        <v/>
      </c>
      <c r="T1095" s="50" t="str">
        <f t="shared" si="110"/>
        <v/>
      </c>
      <c r="U1095" s="50" t="str">
        <f t="shared" si="111"/>
        <v/>
      </c>
      <c r="V1095" s="50" t="str">
        <f t="shared" si="109"/>
        <v/>
      </c>
      <c r="W1095" s="50"/>
      <c r="X1095" s="50" t="s">
        <v>4</v>
      </c>
      <c r="Y1095" s="50" t="s">
        <v>50</v>
      </c>
      <c r="Z1095" s="50" t="s">
        <v>3406</v>
      </c>
      <c r="AA1095" s="50"/>
    </row>
    <row r="1096" spans="1:27" ht="25.5" customHeight="1">
      <c r="A1096" s="517" t="s">
        <v>2286</v>
      </c>
      <c r="B1096" s="51" t="s">
        <v>1176</v>
      </c>
      <c r="C1096" s="51" t="s">
        <v>143</v>
      </c>
      <c r="D1096" s="51" t="s">
        <v>4655</v>
      </c>
      <c r="E1096" s="50">
        <v>1726</v>
      </c>
      <c r="F1096" s="50">
        <v>2498</v>
      </c>
      <c r="G1096" s="50" t="s">
        <v>3955</v>
      </c>
      <c r="H1096" s="50"/>
      <c r="I1096" s="105"/>
      <c r="J1096" s="50"/>
      <c r="K1096" s="50" t="s">
        <v>28</v>
      </c>
      <c r="L1096" s="50" t="s">
        <v>2289</v>
      </c>
      <c r="M1096" s="50" t="s">
        <v>212</v>
      </c>
      <c r="N1096" s="50"/>
      <c r="O1096" s="50"/>
      <c r="P1096" s="50"/>
      <c r="Q1096" s="50"/>
      <c r="R1096" s="50"/>
      <c r="S1096" s="50" t="str">
        <f t="shared" si="112"/>
        <v/>
      </c>
      <c r="T1096" s="50" t="str">
        <f t="shared" si="110"/>
        <v/>
      </c>
      <c r="U1096" s="50" t="str">
        <f t="shared" si="111"/>
        <v/>
      </c>
      <c r="V1096" s="50" t="str">
        <f t="shared" si="109"/>
        <v/>
      </c>
      <c r="W1096" s="50"/>
      <c r="X1096" s="50"/>
      <c r="Y1096" s="50"/>
      <c r="Z1096" s="50"/>
      <c r="AA1096" s="50"/>
    </row>
    <row r="1097" spans="1:27" ht="25.5" customHeight="1">
      <c r="A1097" s="517" t="s">
        <v>2286</v>
      </c>
      <c r="B1097" s="51" t="s">
        <v>1176</v>
      </c>
      <c r="C1097" s="51" t="s">
        <v>143</v>
      </c>
      <c r="D1097" s="51" t="s">
        <v>4656</v>
      </c>
      <c r="E1097" s="50">
        <v>4321</v>
      </c>
      <c r="F1097" s="50">
        <v>4216</v>
      </c>
      <c r="G1097" s="50" t="s">
        <v>3404</v>
      </c>
      <c r="H1097" s="50">
        <v>2025</v>
      </c>
      <c r="I1097" s="132">
        <v>45938</v>
      </c>
      <c r="J1097" s="50" t="s">
        <v>3128</v>
      </c>
      <c r="K1097" s="50" t="s">
        <v>267</v>
      </c>
      <c r="L1097" s="50" t="s">
        <v>2289</v>
      </c>
      <c r="M1097" s="50" t="s">
        <v>212</v>
      </c>
      <c r="N1097" s="50" t="s">
        <v>4657</v>
      </c>
      <c r="O1097" s="60">
        <v>45944</v>
      </c>
      <c r="P1097" s="60">
        <v>45945</v>
      </c>
      <c r="Q1097" s="60">
        <v>45946</v>
      </c>
      <c r="R1097" s="60">
        <v>45947</v>
      </c>
      <c r="S1097" s="50">
        <f t="shared" si="112"/>
        <v>4</v>
      </c>
      <c r="T1097" s="50">
        <f t="shared" si="110"/>
        <v>1</v>
      </c>
      <c r="U1097" s="50">
        <f t="shared" si="111"/>
        <v>1</v>
      </c>
      <c r="V1097" s="50">
        <f t="shared" si="109"/>
        <v>1</v>
      </c>
      <c r="W1097" s="50" t="s">
        <v>150</v>
      </c>
      <c r="X1097" s="50" t="s">
        <v>4</v>
      </c>
      <c r="Y1097" s="50" t="s">
        <v>50</v>
      </c>
      <c r="Z1097" s="50" t="s">
        <v>3406</v>
      </c>
      <c r="AA1097" s="50"/>
    </row>
    <row r="1098" spans="1:27" ht="25.5" customHeight="1">
      <c r="A1098" s="517" t="s">
        <v>2286</v>
      </c>
      <c r="B1098" s="51" t="s">
        <v>1176</v>
      </c>
      <c r="C1098" s="51" t="s">
        <v>143</v>
      </c>
      <c r="D1098" s="51" t="s">
        <v>2162</v>
      </c>
      <c r="E1098" s="50">
        <v>4856</v>
      </c>
      <c r="F1098" s="50">
        <v>6503</v>
      </c>
      <c r="G1098" s="50" t="s">
        <v>3955</v>
      </c>
      <c r="H1098" s="50"/>
      <c r="I1098" s="105"/>
      <c r="J1098" s="50"/>
      <c r="K1098" s="50" t="s">
        <v>28</v>
      </c>
      <c r="L1098" s="50" t="s">
        <v>2289</v>
      </c>
      <c r="M1098" s="50" t="s">
        <v>212</v>
      </c>
      <c r="N1098" s="50"/>
      <c r="O1098" s="50"/>
      <c r="P1098" s="50"/>
      <c r="Q1098" s="50"/>
      <c r="R1098" s="50"/>
      <c r="S1098" s="50" t="str">
        <f t="shared" si="112"/>
        <v/>
      </c>
      <c r="T1098" s="50" t="str">
        <f t="shared" si="110"/>
        <v/>
      </c>
      <c r="U1098" s="50" t="str">
        <f t="shared" si="111"/>
        <v/>
      </c>
      <c r="V1098" s="50" t="str">
        <f t="shared" si="109"/>
        <v/>
      </c>
      <c r="W1098" s="50"/>
      <c r="X1098" s="50"/>
      <c r="Y1098" s="50"/>
      <c r="Z1098" s="50"/>
      <c r="AA1098" s="50"/>
    </row>
    <row r="1099" spans="1:27" ht="25.5" customHeight="1">
      <c r="A1099" s="517" t="s">
        <v>2286</v>
      </c>
      <c r="B1099" s="51" t="s">
        <v>1176</v>
      </c>
      <c r="C1099" s="51" t="s">
        <v>143</v>
      </c>
      <c r="D1099" s="51" t="s">
        <v>4658</v>
      </c>
      <c r="E1099" s="50">
        <v>1376</v>
      </c>
      <c r="F1099" s="50">
        <v>1096</v>
      </c>
      <c r="G1099" s="50" t="s">
        <v>3955</v>
      </c>
      <c r="H1099" s="50"/>
      <c r="I1099" s="105"/>
      <c r="J1099" s="50"/>
      <c r="K1099" s="50" t="s">
        <v>28</v>
      </c>
      <c r="L1099" s="50" t="s">
        <v>2289</v>
      </c>
      <c r="M1099" s="50" t="s">
        <v>212</v>
      </c>
      <c r="N1099" s="50"/>
      <c r="O1099" s="50"/>
      <c r="P1099" s="50"/>
      <c r="Q1099" s="50"/>
      <c r="R1099" s="50"/>
      <c r="S1099" s="50" t="str">
        <f t="shared" si="112"/>
        <v/>
      </c>
      <c r="T1099" s="50" t="str">
        <f t="shared" si="110"/>
        <v/>
      </c>
      <c r="U1099" s="50" t="str">
        <f t="shared" si="111"/>
        <v/>
      </c>
      <c r="V1099" s="50" t="str">
        <f t="shared" si="109"/>
        <v/>
      </c>
      <c r="W1099" s="50"/>
      <c r="X1099" s="50"/>
      <c r="Y1099" s="50"/>
      <c r="Z1099" s="50"/>
      <c r="AA1099" s="50"/>
    </row>
    <row r="1100" spans="1:27" ht="25.5" customHeight="1">
      <c r="A1100" s="517" t="s">
        <v>2286</v>
      </c>
      <c r="B1100" s="51" t="s">
        <v>1176</v>
      </c>
      <c r="C1100" s="51" t="s">
        <v>143</v>
      </c>
      <c r="D1100" s="51" t="s">
        <v>4659</v>
      </c>
      <c r="E1100" s="50">
        <v>1319</v>
      </c>
      <c r="F1100" s="50">
        <v>1315</v>
      </c>
      <c r="G1100" s="50" t="s">
        <v>3955</v>
      </c>
      <c r="H1100" s="50"/>
      <c r="I1100" s="105"/>
      <c r="J1100" s="50"/>
      <c r="K1100" s="50" t="s">
        <v>28</v>
      </c>
      <c r="L1100" s="50" t="s">
        <v>2289</v>
      </c>
      <c r="M1100" s="50" t="s">
        <v>212</v>
      </c>
      <c r="N1100" s="50"/>
      <c r="O1100" s="50"/>
      <c r="P1100" s="50"/>
      <c r="Q1100" s="50"/>
      <c r="R1100" s="50"/>
      <c r="S1100" s="50" t="str">
        <f t="shared" si="112"/>
        <v/>
      </c>
      <c r="T1100" s="50" t="str">
        <f t="shared" si="110"/>
        <v/>
      </c>
      <c r="U1100" s="50" t="str">
        <f t="shared" si="111"/>
        <v/>
      </c>
      <c r="V1100" s="50" t="str">
        <f t="shared" si="109"/>
        <v/>
      </c>
      <c r="W1100" s="50"/>
      <c r="X1100" s="50"/>
      <c r="Y1100" s="50"/>
      <c r="Z1100" s="50"/>
      <c r="AA1100" s="50"/>
    </row>
    <row r="1101" spans="1:27" s="110" customFormat="1" ht="25.5" customHeight="1">
      <c r="A1101" s="517" t="s">
        <v>2286</v>
      </c>
      <c r="B1101" s="51" t="s">
        <v>1176</v>
      </c>
      <c r="C1101" s="51" t="s">
        <v>143</v>
      </c>
      <c r="D1101" s="51" t="s">
        <v>4660</v>
      </c>
      <c r="E1101" s="50">
        <v>1558</v>
      </c>
      <c r="F1101" s="50">
        <v>1495</v>
      </c>
      <c r="G1101" s="50" t="s">
        <v>3404</v>
      </c>
      <c r="H1101" s="50">
        <v>2024</v>
      </c>
      <c r="I1101" s="132">
        <v>45504</v>
      </c>
      <c r="J1101" s="50"/>
      <c r="K1101" s="50" t="s">
        <v>28</v>
      </c>
      <c r="L1101" s="50" t="s">
        <v>2289</v>
      </c>
      <c r="M1101" s="50" t="s">
        <v>212</v>
      </c>
      <c r="N1101" s="50"/>
      <c r="O1101" s="50"/>
      <c r="P1101" s="50"/>
      <c r="Q1101" s="50"/>
      <c r="R1101" s="50"/>
      <c r="S1101" s="50" t="str">
        <f t="shared" si="112"/>
        <v/>
      </c>
      <c r="T1101" s="50" t="str">
        <f t="shared" si="110"/>
        <v/>
      </c>
      <c r="U1101" s="50" t="str">
        <f t="shared" si="111"/>
        <v/>
      </c>
      <c r="V1101" s="50" t="str">
        <f t="shared" si="109"/>
        <v/>
      </c>
      <c r="W1101" s="50"/>
      <c r="X1101" s="50" t="s">
        <v>4</v>
      </c>
      <c r="Y1101" s="50" t="s">
        <v>50</v>
      </c>
      <c r="Z1101" s="50" t="s">
        <v>3406</v>
      </c>
      <c r="AA1101" s="50"/>
    </row>
    <row r="1102" spans="1:27" ht="25.5" customHeight="1">
      <c r="A1102" s="517" t="s">
        <v>2286</v>
      </c>
      <c r="B1102" s="51" t="s">
        <v>1184</v>
      </c>
      <c r="C1102" s="51" t="s">
        <v>143</v>
      </c>
      <c r="D1102" s="51" t="s">
        <v>1185</v>
      </c>
      <c r="E1102" s="50">
        <v>3768</v>
      </c>
      <c r="F1102" s="50">
        <v>4344</v>
      </c>
      <c r="G1102" s="50" t="s">
        <v>3404</v>
      </c>
      <c r="H1102" s="50">
        <v>2025</v>
      </c>
      <c r="I1102" s="132">
        <v>45910</v>
      </c>
      <c r="J1102" s="50" t="s">
        <v>3127</v>
      </c>
      <c r="K1102" s="50" t="s">
        <v>30</v>
      </c>
      <c r="L1102" s="50" t="s">
        <v>2289</v>
      </c>
      <c r="M1102" s="50" t="s">
        <v>212</v>
      </c>
      <c r="N1102" s="50" t="s">
        <v>4661</v>
      </c>
      <c r="O1102" s="60">
        <v>45918</v>
      </c>
      <c r="P1102" s="60">
        <v>45918</v>
      </c>
      <c r="Q1102" s="60">
        <v>45918</v>
      </c>
      <c r="R1102" s="60">
        <v>45918</v>
      </c>
      <c r="S1102" s="50">
        <f t="shared" si="112"/>
        <v>6</v>
      </c>
      <c r="T1102" s="50">
        <f t="shared" si="110"/>
        <v>1</v>
      </c>
      <c r="U1102" s="50">
        <f t="shared" si="111"/>
        <v>1</v>
      </c>
      <c r="V1102" s="50">
        <f t="shared" si="109"/>
        <v>1</v>
      </c>
      <c r="W1102" s="50" t="s">
        <v>150</v>
      </c>
      <c r="X1102" s="50" t="s">
        <v>1078</v>
      </c>
      <c r="Y1102" s="50" t="s">
        <v>50</v>
      </c>
      <c r="Z1102" s="50" t="s">
        <v>3406</v>
      </c>
      <c r="AA1102" s="50"/>
    </row>
    <row r="1103" spans="1:27" s="110" customFormat="1" ht="25.5" customHeight="1">
      <c r="A1103" s="517" t="s">
        <v>2286</v>
      </c>
      <c r="B1103" s="51" t="s">
        <v>1184</v>
      </c>
      <c r="C1103" s="51" t="s">
        <v>143</v>
      </c>
      <c r="D1103" s="51" t="s">
        <v>4170</v>
      </c>
      <c r="E1103" s="50">
        <v>1394</v>
      </c>
      <c r="F1103" s="50">
        <v>1538</v>
      </c>
      <c r="G1103" s="50" t="s">
        <v>3404</v>
      </c>
      <c r="H1103" s="50">
        <v>2024</v>
      </c>
      <c r="I1103" s="132">
        <v>45553</v>
      </c>
      <c r="J1103" s="50"/>
      <c r="K1103" s="50" t="s">
        <v>30</v>
      </c>
      <c r="L1103" s="50" t="s">
        <v>2289</v>
      </c>
      <c r="M1103" s="50" t="s">
        <v>212</v>
      </c>
      <c r="N1103" s="50"/>
      <c r="O1103" s="50"/>
      <c r="P1103" s="50"/>
      <c r="Q1103" s="50"/>
      <c r="R1103" s="50"/>
      <c r="S1103" s="50" t="str">
        <f t="shared" si="112"/>
        <v/>
      </c>
      <c r="T1103" s="50" t="str">
        <f t="shared" si="110"/>
        <v/>
      </c>
      <c r="U1103" s="50" t="str">
        <f t="shared" si="111"/>
        <v/>
      </c>
      <c r="V1103" s="50" t="str">
        <f t="shared" si="109"/>
        <v/>
      </c>
      <c r="W1103" s="50"/>
      <c r="X1103" s="50" t="s">
        <v>4</v>
      </c>
      <c r="Y1103" s="50" t="s">
        <v>50</v>
      </c>
      <c r="Z1103" s="50" t="s">
        <v>4662</v>
      </c>
      <c r="AA1103" s="50"/>
    </row>
    <row r="1104" spans="1:27" ht="25.5" customHeight="1">
      <c r="A1104" s="517" t="s">
        <v>2286</v>
      </c>
      <c r="B1104" s="51" t="s">
        <v>1184</v>
      </c>
      <c r="C1104" s="51" t="s">
        <v>143</v>
      </c>
      <c r="D1104" s="51" t="s">
        <v>4569</v>
      </c>
      <c r="E1104" s="50">
        <v>1534</v>
      </c>
      <c r="F1104" s="50">
        <v>1808</v>
      </c>
      <c r="G1104" s="50" t="s">
        <v>3955</v>
      </c>
      <c r="H1104" s="50"/>
      <c r="I1104" s="105"/>
      <c r="J1104" s="50"/>
      <c r="K1104" s="50" t="s">
        <v>30</v>
      </c>
      <c r="L1104" s="50" t="s">
        <v>2289</v>
      </c>
      <c r="M1104" s="50" t="s">
        <v>212</v>
      </c>
      <c r="N1104" s="50"/>
      <c r="O1104" s="50"/>
      <c r="P1104" s="50"/>
      <c r="Q1104" s="50"/>
      <c r="R1104" s="50"/>
      <c r="S1104" s="50" t="str">
        <f t="shared" si="112"/>
        <v/>
      </c>
      <c r="T1104" s="50" t="str">
        <f t="shared" si="110"/>
        <v/>
      </c>
      <c r="U1104" s="50" t="str">
        <f t="shared" si="111"/>
        <v/>
      </c>
      <c r="V1104" s="50" t="str">
        <f t="shared" si="109"/>
        <v/>
      </c>
      <c r="W1104" s="50"/>
      <c r="X1104" s="50"/>
      <c r="Y1104" s="50"/>
      <c r="Z1104" s="50"/>
      <c r="AA1104" s="50"/>
    </row>
    <row r="1105" spans="1:27" s="110" customFormat="1" ht="25.5" customHeight="1">
      <c r="A1105" s="517" t="s">
        <v>2286</v>
      </c>
      <c r="B1105" s="51" t="s">
        <v>1184</v>
      </c>
      <c r="C1105" s="51" t="s">
        <v>143</v>
      </c>
      <c r="D1105" s="51" t="s">
        <v>1332</v>
      </c>
      <c r="E1105" s="50">
        <v>4080</v>
      </c>
      <c r="F1105" s="50">
        <v>4270</v>
      </c>
      <c r="G1105" s="50" t="s">
        <v>3404</v>
      </c>
      <c r="H1105" s="50">
        <v>2024</v>
      </c>
      <c r="I1105" s="132">
        <v>45454</v>
      </c>
      <c r="J1105" s="50"/>
      <c r="K1105" s="50" t="s">
        <v>30</v>
      </c>
      <c r="L1105" s="50" t="s">
        <v>2289</v>
      </c>
      <c r="M1105" s="50" t="s">
        <v>212</v>
      </c>
      <c r="N1105" s="50"/>
      <c r="O1105" s="50"/>
      <c r="P1105" s="50"/>
      <c r="Q1105" s="50"/>
      <c r="R1105" s="50"/>
      <c r="S1105" s="50" t="str">
        <f t="shared" si="112"/>
        <v/>
      </c>
      <c r="T1105" s="50" t="str">
        <f t="shared" si="110"/>
        <v/>
      </c>
      <c r="U1105" s="50" t="str">
        <f t="shared" si="111"/>
        <v/>
      </c>
      <c r="V1105" s="50" t="str">
        <f t="shared" si="109"/>
        <v/>
      </c>
      <c r="W1105" s="50"/>
      <c r="X1105" s="50"/>
      <c r="Y1105" s="50"/>
      <c r="Z1105" s="50" t="s">
        <v>3406</v>
      </c>
      <c r="AA1105" s="50"/>
    </row>
    <row r="1106" spans="1:27" ht="25.5" customHeight="1">
      <c r="A1106" s="517" t="s">
        <v>2286</v>
      </c>
      <c r="B1106" s="51" t="s">
        <v>1184</v>
      </c>
      <c r="C1106" s="51" t="s">
        <v>143</v>
      </c>
      <c r="D1106" s="51" t="s">
        <v>3974</v>
      </c>
      <c r="E1106" s="50">
        <v>4908</v>
      </c>
      <c r="F1106" s="50">
        <v>5898</v>
      </c>
      <c r="G1106" s="50" t="s">
        <v>3404</v>
      </c>
      <c r="H1106" s="50">
        <v>2025</v>
      </c>
      <c r="I1106" s="132">
        <v>45917</v>
      </c>
      <c r="J1106" s="50" t="s">
        <v>3127</v>
      </c>
      <c r="K1106" s="50" t="s">
        <v>30</v>
      </c>
      <c r="L1106" s="50" t="s">
        <v>2289</v>
      </c>
      <c r="M1106" s="50" t="s">
        <v>212</v>
      </c>
      <c r="N1106" s="50" t="s">
        <v>4663</v>
      </c>
      <c r="O1106" s="60">
        <v>45918</v>
      </c>
      <c r="P1106" s="60">
        <v>45918</v>
      </c>
      <c r="Q1106" s="60">
        <v>45918</v>
      </c>
      <c r="R1106" s="60">
        <v>45918</v>
      </c>
      <c r="S1106" s="50">
        <f t="shared" si="112"/>
        <v>1</v>
      </c>
      <c r="T1106" s="50">
        <f t="shared" si="110"/>
        <v>1</v>
      </c>
      <c r="U1106" s="50">
        <f t="shared" si="111"/>
        <v>1</v>
      </c>
      <c r="V1106" s="50">
        <f t="shared" si="109"/>
        <v>1</v>
      </c>
      <c r="W1106" s="50" t="s">
        <v>150</v>
      </c>
      <c r="X1106" s="50" t="s">
        <v>1078</v>
      </c>
      <c r="Y1106" s="50" t="s">
        <v>50</v>
      </c>
      <c r="Z1106" s="50" t="s">
        <v>3406</v>
      </c>
      <c r="AA1106" s="50"/>
    </row>
    <row r="1107" spans="1:27" ht="25.5" customHeight="1">
      <c r="A1107" s="517" t="s">
        <v>2286</v>
      </c>
      <c r="B1107" s="51" t="s">
        <v>1184</v>
      </c>
      <c r="C1107" s="51" t="s">
        <v>143</v>
      </c>
      <c r="D1107" s="51" t="s">
        <v>4664</v>
      </c>
      <c r="E1107" s="50">
        <v>5891</v>
      </c>
      <c r="F1107" s="50">
        <v>6341</v>
      </c>
      <c r="G1107" s="50" t="s">
        <v>3404</v>
      </c>
      <c r="H1107" s="50">
        <v>2024</v>
      </c>
      <c r="I1107" s="132">
        <v>45433</v>
      </c>
      <c r="J1107" s="50"/>
      <c r="K1107" s="50" t="s">
        <v>30</v>
      </c>
      <c r="L1107" s="50" t="s">
        <v>2289</v>
      </c>
      <c r="M1107" s="50" t="s">
        <v>212</v>
      </c>
      <c r="N1107" s="50"/>
      <c r="O1107" s="50"/>
      <c r="P1107" s="50"/>
      <c r="Q1107" s="50"/>
      <c r="R1107" s="50"/>
      <c r="S1107" s="50" t="str">
        <f t="shared" si="112"/>
        <v/>
      </c>
      <c r="T1107" s="50" t="str">
        <f t="shared" si="110"/>
        <v/>
      </c>
      <c r="U1107" s="50" t="str">
        <f t="shared" si="111"/>
        <v/>
      </c>
      <c r="V1107" s="50" t="str">
        <f t="shared" si="109"/>
        <v/>
      </c>
      <c r="W1107" s="50"/>
      <c r="X1107" s="50"/>
      <c r="Y1107" s="50"/>
      <c r="Z1107" s="50" t="s">
        <v>3406</v>
      </c>
      <c r="AA1107" s="50"/>
    </row>
    <row r="1108" spans="1:27" s="110" customFormat="1" ht="25.5" customHeight="1">
      <c r="A1108" s="517" t="s">
        <v>2286</v>
      </c>
      <c r="B1108" s="51" t="s">
        <v>1184</v>
      </c>
      <c r="C1108" s="51" t="s">
        <v>143</v>
      </c>
      <c r="D1108" s="51" t="s">
        <v>1245</v>
      </c>
      <c r="E1108" s="50">
        <v>2594</v>
      </c>
      <c r="F1108" s="50">
        <v>2769</v>
      </c>
      <c r="G1108" s="50" t="s">
        <v>3955</v>
      </c>
      <c r="H1108" s="50"/>
      <c r="I1108" s="105"/>
      <c r="J1108" s="50"/>
      <c r="K1108" s="50" t="s">
        <v>30</v>
      </c>
      <c r="L1108" s="50" t="s">
        <v>2289</v>
      </c>
      <c r="M1108" s="50" t="s">
        <v>212</v>
      </c>
      <c r="N1108" s="50"/>
      <c r="O1108" s="50"/>
      <c r="P1108" s="50"/>
      <c r="Q1108" s="50"/>
      <c r="R1108" s="50"/>
      <c r="S1108" s="50" t="str">
        <f t="shared" si="112"/>
        <v/>
      </c>
      <c r="T1108" s="50" t="str">
        <f t="shared" si="110"/>
        <v/>
      </c>
      <c r="U1108" s="50" t="str">
        <f t="shared" si="111"/>
        <v/>
      </c>
      <c r="V1108" s="50" t="str">
        <f t="shared" si="109"/>
        <v/>
      </c>
      <c r="W1108" s="50"/>
      <c r="X1108" s="50"/>
      <c r="Y1108" s="50"/>
      <c r="Z1108" s="50"/>
      <c r="AA1108" s="50"/>
    </row>
    <row r="1109" spans="1:27" ht="25.5" customHeight="1">
      <c r="A1109" s="517" t="s">
        <v>2286</v>
      </c>
      <c r="B1109" s="51" t="s">
        <v>1184</v>
      </c>
      <c r="C1109" s="51" t="s">
        <v>143</v>
      </c>
      <c r="D1109" s="51" t="s">
        <v>4665</v>
      </c>
      <c r="E1109" s="50">
        <v>694</v>
      </c>
      <c r="F1109" s="50">
        <v>575</v>
      </c>
      <c r="G1109" s="50" t="s">
        <v>3404</v>
      </c>
      <c r="H1109" s="50">
        <v>2025</v>
      </c>
      <c r="I1109" s="132">
        <v>45870</v>
      </c>
      <c r="J1109" s="50" t="s">
        <v>3126</v>
      </c>
      <c r="K1109" s="50" t="s">
        <v>30</v>
      </c>
      <c r="L1109" s="50" t="s">
        <v>28</v>
      </c>
      <c r="M1109" s="50" t="s">
        <v>212</v>
      </c>
      <c r="N1109" s="50" t="s">
        <v>4666</v>
      </c>
      <c r="O1109" s="60">
        <v>45875</v>
      </c>
      <c r="P1109" s="60">
        <v>45876</v>
      </c>
      <c r="Q1109" s="60">
        <v>45876</v>
      </c>
      <c r="R1109" s="60">
        <v>45882</v>
      </c>
      <c r="S1109" s="50">
        <f t="shared" si="112"/>
        <v>3</v>
      </c>
      <c r="T1109" s="50">
        <f t="shared" si="110"/>
        <v>1</v>
      </c>
      <c r="U1109" s="50">
        <f t="shared" si="111"/>
        <v>1</v>
      </c>
      <c r="V1109" s="50">
        <f t="shared" si="109"/>
        <v>4</v>
      </c>
      <c r="W1109" s="50" t="s">
        <v>150</v>
      </c>
      <c r="X1109" s="50" t="s">
        <v>1078</v>
      </c>
      <c r="Y1109" s="50" t="s">
        <v>50</v>
      </c>
      <c r="Z1109" s="50" t="s">
        <v>3406</v>
      </c>
      <c r="AA1109" s="50"/>
    </row>
    <row r="1110" spans="1:27" ht="25.5" customHeight="1">
      <c r="A1110" s="517" t="s">
        <v>2286</v>
      </c>
      <c r="B1110" s="51" t="s">
        <v>1184</v>
      </c>
      <c r="C1110" s="51" t="s">
        <v>143</v>
      </c>
      <c r="D1110" s="51" t="s">
        <v>4667</v>
      </c>
      <c r="E1110" s="50">
        <v>1003</v>
      </c>
      <c r="F1110" s="50">
        <v>960</v>
      </c>
      <c r="G1110" s="50" t="s">
        <v>3404</v>
      </c>
      <c r="H1110" s="50">
        <v>2024</v>
      </c>
      <c r="I1110" s="132">
        <v>45377</v>
      </c>
      <c r="J1110" s="50"/>
      <c r="K1110" s="50" t="s">
        <v>30</v>
      </c>
      <c r="L1110" s="50" t="s">
        <v>2289</v>
      </c>
      <c r="M1110" s="50" t="s">
        <v>212</v>
      </c>
      <c r="N1110" s="50"/>
      <c r="O1110" s="50"/>
      <c r="P1110" s="50"/>
      <c r="Q1110" s="50"/>
      <c r="R1110" s="50"/>
      <c r="S1110" s="50" t="str">
        <f t="shared" si="112"/>
        <v/>
      </c>
      <c r="T1110" s="50" t="str">
        <f t="shared" si="110"/>
        <v/>
      </c>
      <c r="U1110" s="50" t="str">
        <f t="shared" si="111"/>
        <v/>
      </c>
      <c r="V1110" s="50" t="str">
        <f t="shared" si="109"/>
        <v/>
      </c>
      <c r="W1110" s="50"/>
      <c r="X1110" s="50"/>
      <c r="Y1110" s="50"/>
      <c r="Z1110" s="50"/>
      <c r="AA1110" s="50"/>
    </row>
    <row r="1111" spans="1:27" s="110" customFormat="1" ht="25.5" customHeight="1">
      <c r="A1111" s="517" t="s">
        <v>2286</v>
      </c>
      <c r="B1111" s="51" t="s">
        <v>1184</v>
      </c>
      <c r="C1111" s="51" t="s">
        <v>143</v>
      </c>
      <c r="D1111" s="51" t="s">
        <v>4668</v>
      </c>
      <c r="E1111" s="50">
        <v>3846</v>
      </c>
      <c r="F1111" s="50">
        <v>3578</v>
      </c>
      <c r="G1111" s="50" t="s">
        <v>3404</v>
      </c>
      <c r="H1111" s="50">
        <v>2024</v>
      </c>
      <c r="I1111" s="132">
        <v>45433</v>
      </c>
      <c r="J1111" s="50"/>
      <c r="K1111" s="50" t="s">
        <v>30</v>
      </c>
      <c r="L1111" s="50" t="s">
        <v>2289</v>
      </c>
      <c r="M1111" s="50" t="s">
        <v>212</v>
      </c>
      <c r="N1111" s="50"/>
      <c r="O1111" s="50"/>
      <c r="P1111" s="50"/>
      <c r="Q1111" s="50"/>
      <c r="R1111" s="50"/>
      <c r="S1111" s="50" t="str">
        <f t="shared" si="112"/>
        <v/>
      </c>
      <c r="T1111" s="50" t="str">
        <f t="shared" si="110"/>
        <v/>
      </c>
      <c r="U1111" s="50" t="str">
        <f t="shared" si="111"/>
        <v/>
      </c>
      <c r="V1111" s="50" t="str">
        <f t="shared" si="109"/>
        <v/>
      </c>
      <c r="W1111" s="50"/>
      <c r="X1111" s="50"/>
      <c r="Y1111" s="50"/>
      <c r="Z1111" s="50" t="s">
        <v>3406</v>
      </c>
      <c r="AA1111" s="50"/>
    </row>
    <row r="1112" spans="1:27" ht="25.5" customHeight="1">
      <c r="A1112" s="517" t="s">
        <v>2286</v>
      </c>
      <c r="B1112" s="51" t="s">
        <v>1184</v>
      </c>
      <c r="C1112" s="51" t="s">
        <v>143</v>
      </c>
      <c r="D1112" s="51" t="s">
        <v>4636</v>
      </c>
      <c r="E1112" s="50">
        <v>1395</v>
      </c>
      <c r="F1112" s="50">
        <v>1510</v>
      </c>
      <c r="G1112" s="50" t="s">
        <v>3404</v>
      </c>
      <c r="H1112" s="50">
        <v>2024</v>
      </c>
      <c r="I1112" s="132">
        <v>45377</v>
      </c>
      <c r="J1112" s="50"/>
      <c r="K1112" s="50" t="s">
        <v>30</v>
      </c>
      <c r="L1112" s="50" t="s">
        <v>2289</v>
      </c>
      <c r="M1112" s="50" t="s">
        <v>212</v>
      </c>
      <c r="N1112" s="50"/>
      <c r="O1112" s="50"/>
      <c r="P1112" s="50"/>
      <c r="Q1112" s="50"/>
      <c r="R1112" s="50"/>
      <c r="S1112" s="50" t="str">
        <f t="shared" si="112"/>
        <v/>
      </c>
      <c r="T1112" s="50" t="str">
        <f t="shared" si="110"/>
        <v/>
      </c>
      <c r="U1112" s="50" t="str">
        <f t="shared" si="111"/>
        <v/>
      </c>
      <c r="V1112" s="50" t="str">
        <f t="shared" si="109"/>
        <v/>
      </c>
      <c r="W1112" s="50"/>
      <c r="X1112" s="50"/>
      <c r="Y1112" s="50"/>
      <c r="Z1112" s="50" t="s">
        <v>3406</v>
      </c>
      <c r="AA1112" s="50"/>
    </row>
    <row r="1113" spans="1:27" ht="25.5" customHeight="1">
      <c r="A1113" s="517" t="s">
        <v>2286</v>
      </c>
      <c r="B1113" s="51" t="s">
        <v>1184</v>
      </c>
      <c r="C1113" s="51" t="s">
        <v>143</v>
      </c>
      <c r="D1113" s="51" t="s">
        <v>914</v>
      </c>
      <c r="E1113" s="50">
        <v>2225</v>
      </c>
      <c r="F1113" s="50">
        <v>2340</v>
      </c>
      <c r="G1113" s="50" t="s">
        <v>3404</v>
      </c>
      <c r="H1113" s="50">
        <v>2025</v>
      </c>
      <c r="I1113" s="132">
        <v>45933</v>
      </c>
      <c r="J1113" s="50" t="s">
        <v>3128</v>
      </c>
      <c r="K1113" s="50" t="s">
        <v>30</v>
      </c>
      <c r="L1113" s="50" t="s">
        <v>2289</v>
      </c>
      <c r="M1113" s="50" t="s">
        <v>212</v>
      </c>
      <c r="N1113" s="50" t="s">
        <v>4669</v>
      </c>
      <c r="O1113" s="60">
        <v>45933</v>
      </c>
      <c r="P1113" s="60">
        <v>45938</v>
      </c>
      <c r="Q1113" s="60">
        <v>45938</v>
      </c>
      <c r="R1113" s="60">
        <v>45940</v>
      </c>
      <c r="S1113" s="50">
        <f t="shared" si="112"/>
        <v>1</v>
      </c>
      <c r="T1113" s="50">
        <f t="shared" si="110"/>
        <v>3</v>
      </c>
      <c r="U1113" s="50">
        <f t="shared" si="111"/>
        <v>1</v>
      </c>
      <c r="V1113" s="50">
        <f t="shared" ref="V1113:V1176" si="113">IF(
    OR(ISBLANK(Q1113), ISBLANK(R1113)),
    "",
    MAX(1, IF(
        NETWORKDAYS(Q1113, R1113) &lt;= 0,
        1,
        NETWORKDAYS(Q1113, R1113) - IF(Q1113 = R1113, 0, 1)
    ))
)</f>
        <v>2</v>
      </c>
      <c r="W1113" s="50" t="s">
        <v>150</v>
      </c>
      <c r="X1113" s="50" t="s">
        <v>1078</v>
      </c>
      <c r="Y1113" s="50" t="s">
        <v>50</v>
      </c>
      <c r="Z1113" s="50" t="s">
        <v>3406</v>
      </c>
      <c r="AA1113" s="50"/>
    </row>
    <row r="1114" spans="1:27" ht="25.5" customHeight="1">
      <c r="A1114" s="517" t="s">
        <v>2286</v>
      </c>
      <c r="B1114" s="51" t="s">
        <v>1184</v>
      </c>
      <c r="C1114" s="51" t="s">
        <v>143</v>
      </c>
      <c r="D1114" s="51" t="s">
        <v>3809</v>
      </c>
      <c r="E1114" s="50">
        <v>3229</v>
      </c>
      <c r="F1114" s="50">
        <v>3820</v>
      </c>
      <c r="G1114" s="50" t="s">
        <v>3404</v>
      </c>
      <c r="H1114" s="50">
        <v>2024</v>
      </c>
      <c r="I1114" s="132">
        <v>45377</v>
      </c>
      <c r="J1114" s="50"/>
      <c r="K1114" s="50" t="s">
        <v>30</v>
      </c>
      <c r="L1114" s="50" t="s">
        <v>2289</v>
      </c>
      <c r="M1114" s="50" t="s">
        <v>212</v>
      </c>
      <c r="N1114" s="50"/>
      <c r="O1114" s="50"/>
      <c r="P1114" s="50"/>
      <c r="Q1114" s="50"/>
      <c r="R1114" s="50"/>
      <c r="S1114" s="50" t="str">
        <f t="shared" si="112"/>
        <v/>
      </c>
      <c r="T1114" s="50" t="str">
        <f t="shared" si="110"/>
        <v/>
      </c>
      <c r="U1114" s="50" t="str">
        <f t="shared" si="111"/>
        <v/>
      </c>
      <c r="V1114" s="50" t="str">
        <f t="shared" si="113"/>
        <v/>
      </c>
      <c r="W1114" s="50"/>
      <c r="X1114" s="50"/>
      <c r="Y1114" s="50"/>
      <c r="Z1114" s="50" t="s">
        <v>3406</v>
      </c>
      <c r="AA1114" s="50"/>
    </row>
    <row r="1115" spans="1:27" ht="25.5" customHeight="1">
      <c r="A1115" s="517" t="s">
        <v>2286</v>
      </c>
      <c r="B1115" s="51" t="s">
        <v>1184</v>
      </c>
      <c r="C1115" s="51" t="s">
        <v>143</v>
      </c>
      <c r="D1115" s="51" t="s">
        <v>4670</v>
      </c>
      <c r="E1115" s="50">
        <v>3661</v>
      </c>
      <c r="F1115" s="50">
        <v>3822</v>
      </c>
      <c r="G1115" s="50" t="s">
        <v>3404</v>
      </c>
      <c r="H1115" s="50">
        <v>2024</v>
      </c>
      <c r="I1115" s="132">
        <v>45328</v>
      </c>
      <c r="J1115" s="50"/>
      <c r="K1115" s="50" t="s">
        <v>30</v>
      </c>
      <c r="L1115" s="50" t="s">
        <v>2289</v>
      </c>
      <c r="M1115" s="50" t="s">
        <v>212</v>
      </c>
      <c r="N1115" s="50"/>
      <c r="O1115" s="50"/>
      <c r="P1115" s="50"/>
      <c r="Q1115" s="50"/>
      <c r="R1115" s="50"/>
      <c r="S1115" s="50" t="str">
        <f t="shared" si="112"/>
        <v/>
      </c>
      <c r="T1115" s="50" t="str">
        <f t="shared" si="110"/>
        <v/>
      </c>
      <c r="U1115" s="50" t="str">
        <f t="shared" si="111"/>
        <v/>
      </c>
      <c r="V1115" s="50" t="str">
        <f t="shared" si="113"/>
        <v/>
      </c>
      <c r="W1115" s="50"/>
      <c r="X1115" s="50"/>
      <c r="Y1115" s="50"/>
      <c r="Z1115" s="50" t="s">
        <v>3406</v>
      </c>
      <c r="AA1115" s="50"/>
    </row>
    <row r="1116" spans="1:27" ht="25.5" customHeight="1">
      <c r="A1116" s="517" t="s">
        <v>2286</v>
      </c>
      <c r="B1116" s="51" t="s">
        <v>1184</v>
      </c>
      <c r="C1116" s="51" t="s">
        <v>143</v>
      </c>
      <c r="D1116" s="51" t="s">
        <v>4671</v>
      </c>
      <c r="E1116" s="50">
        <v>11772</v>
      </c>
      <c r="F1116" s="50">
        <v>13016</v>
      </c>
      <c r="G1116" s="50" t="s">
        <v>3404</v>
      </c>
      <c r="H1116" s="50">
        <v>2024</v>
      </c>
      <c r="I1116" s="132">
        <v>45328</v>
      </c>
      <c r="J1116" s="50"/>
      <c r="K1116" s="50" t="s">
        <v>30</v>
      </c>
      <c r="L1116" s="50" t="s">
        <v>2289</v>
      </c>
      <c r="M1116" s="50" t="s">
        <v>212</v>
      </c>
      <c r="N1116" s="50"/>
      <c r="O1116" s="50"/>
      <c r="P1116" s="50"/>
      <c r="Q1116" s="50"/>
      <c r="R1116" s="50"/>
      <c r="S1116" s="50" t="str">
        <f t="shared" si="112"/>
        <v/>
      </c>
      <c r="T1116" s="50" t="str">
        <f t="shared" si="110"/>
        <v/>
      </c>
      <c r="U1116" s="50" t="str">
        <f t="shared" si="111"/>
        <v/>
      </c>
      <c r="V1116" s="50" t="str">
        <f t="shared" si="113"/>
        <v/>
      </c>
      <c r="W1116" s="50"/>
      <c r="X1116" s="50"/>
      <c r="Y1116" s="50"/>
      <c r="Z1116" s="50" t="s">
        <v>3406</v>
      </c>
      <c r="AA1116" s="50"/>
    </row>
    <row r="1117" spans="1:27" s="110" customFormat="1" ht="25.5" customHeight="1">
      <c r="A1117" s="517" t="s">
        <v>2286</v>
      </c>
      <c r="B1117" s="51" t="s">
        <v>1184</v>
      </c>
      <c r="C1117" s="51" t="s">
        <v>143</v>
      </c>
      <c r="D1117" s="51" t="s">
        <v>1300</v>
      </c>
      <c r="E1117" s="50">
        <v>1970</v>
      </c>
      <c r="F1117" s="50">
        <v>2151</v>
      </c>
      <c r="G1117" s="50" t="s">
        <v>3404</v>
      </c>
      <c r="H1117" s="50">
        <v>2024</v>
      </c>
      <c r="I1117" s="132">
        <v>45505</v>
      </c>
      <c r="J1117" s="50"/>
      <c r="K1117" s="50" t="s">
        <v>30</v>
      </c>
      <c r="L1117" s="50" t="s">
        <v>2289</v>
      </c>
      <c r="M1117" s="50" t="s">
        <v>212</v>
      </c>
      <c r="N1117" s="50"/>
      <c r="O1117" s="50"/>
      <c r="P1117" s="50"/>
      <c r="Q1117" s="50"/>
      <c r="R1117" s="50"/>
      <c r="S1117" s="50" t="str">
        <f t="shared" si="112"/>
        <v/>
      </c>
      <c r="T1117" s="50" t="str">
        <f t="shared" si="110"/>
        <v/>
      </c>
      <c r="U1117" s="50" t="str">
        <f t="shared" si="111"/>
        <v/>
      </c>
      <c r="V1117" s="50" t="str">
        <f t="shared" si="113"/>
        <v/>
      </c>
      <c r="W1117" s="50"/>
      <c r="X1117" s="50" t="s">
        <v>4</v>
      </c>
      <c r="Y1117" s="50" t="s">
        <v>50</v>
      </c>
      <c r="Z1117" s="50" t="s">
        <v>3406</v>
      </c>
      <c r="AA1117" s="50"/>
    </row>
    <row r="1118" spans="1:27" ht="25.5" customHeight="1">
      <c r="A1118" s="517" t="s">
        <v>2286</v>
      </c>
      <c r="B1118" s="51" t="s">
        <v>1184</v>
      </c>
      <c r="C1118" s="51" t="s">
        <v>143</v>
      </c>
      <c r="D1118" s="51" t="s">
        <v>4672</v>
      </c>
      <c r="E1118" s="50">
        <v>378</v>
      </c>
      <c r="F1118" s="50">
        <v>319</v>
      </c>
      <c r="G1118" s="50" t="s">
        <v>3404</v>
      </c>
      <c r="H1118" s="50">
        <v>2024</v>
      </c>
      <c r="I1118" s="132">
        <v>45505</v>
      </c>
      <c r="J1118" s="50"/>
      <c r="K1118" s="50" t="s">
        <v>30</v>
      </c>
      <c r="L1118" s="50" t="s">
        <v>2289</v>
      </c>
      <c r="M1118" s="50" t="s">
        <v>212</v>
      </c>
      <c r="N1118" s="50"/>
      <c r="O1118" s="50"/>
      <c r="P1118" s="50"/>
      <c r="Q1118" s="50"/>
      <c r="R1118" s="50"/>
      <c r="S1118" s="50" t="str">
        <f t="shared" si="112"/>
        <v/>
      </c>
      <c r="T1118" s="50" t="str">
        <f t="shared" si="110"/>
        <v/>
      </c>
      <c r="U1118" s="50" t="str">
        <f t="shared" si="111"/>
        <v/>
      </c>
      <c r="V1118" s="50" t="str">
        <f t="shared" si="113"/>
        <v/>
      </c>
      <c r="W1118" s="50"/>
      <c r="X1118" s="50" t="s">
        <v>4</v>
      </c>
      <c r="Y1118" s="50" t="s">
        <v>50</v>
      </c>
      <c r="Z1118" s="50" t="s">
        <v>3406</v>
      </c>
      <c r="AA1118" s="50"/>
    </row>
    <row r="1119" spans="1:27" ht="25.5" customHeight="1">
      <c r="A1119" s="517" t="s">
        <v>2286</v>
      </c>
      <c r="B1119" s="51" t="s">
        <v>1184</v>
      </c>
      <c r="C1119" s="51" t="s">
        <v>143</v>
      </c>
      <c r="D1119" s="51" t="s">
        <v>4673</v>
      </c>
      <c r="E1119" s="50">
        <v>902</v>
      </c>
      <c r="F1119" s="50">
        <v>498</v>
      </c>
      <c r="G1119" s="50" t="s">
        <v>3404</v>
      </c>
      <c r="H1119" s="50">
        <v>2024</v>
      </c>
      <c r="I1119" s="132">
        <v>45505</v>
      </c>
      <c r="J1119" s="50"/>
      <c r="K1119" s="50" t="s">
        <v>30</v>
      </c>
      <c r="L1119" s="50" t="s">
        <v>2289</v>
      </c>
      <c r="M1119" s="50" t="s">
        <v>212</v>
      </c>
      <c r="N1119" s="50"/>
      <c r="O1119" s="50"/>
      <c r="P1119" s="50"/>
      <c r="Q1119" s="50"/>
      <c r="R1119" s="50"/>
      <c r="S1119" s="50" t="str">
        <f t="shared" si="112"/>
        <v/>
      </c>
      <c r="T1119" s="50" t="str">
        <f t="shared" si="110"/>
        <v/>
      </c>
      <c r="U1119" s="50" t="str">
        <f t="shared" si="111"/>
        <v/>
      </c>
      <c r="V1119" s="50" t="str">
        <f t="shared" si="113"/>
        <v/>
      </c>
      <c r="W1119" s="50"/>
      <c r="X1119" s="50" t="s">
        <v>4</v>
      </c>
      <c r="Y1119" s="50" t="s">
        <v>50</v>
      </c>
      <c r="Z1119" s="50" t="s">
        <v>3406</v>
      </c>
      <c r="AA1119" s="50"/>
    </row>
    <row r="1120" spans="1:27" s="110" customFormat="1" ht="25.5" customHeight="1">
      <c r="A1120" s="517" t="s">
        <v>2286</v>
      </c>
      <c r="B1120" s="51" t="s">
        <v>1184</v>
      </c>
      <c r="C1120" s="51" t="s">
        <v>143</v>
      </c>
      <c r="D1120" s="51" t="s">
        <v>1166</v>
      </c>
      <c r="E1120" s="50">
        <v>7895</v>
      </c>
      <c r="F1120" s="50">
        <v>8872</v>
      </c>
      <c r="G1120" s="50" t="s">
        <v>3404</v>
      </c>
      <c r="H1120" s="50">
        <v>2024</v>
      </c>
      <c r="I1120" s="132">
        <v>45434</v>
      </c>
      <c r="J1120" s="50"/>
      <c r="K1120" s="50" t="s">
        <v>30</v>
      </c>
      <c r="L1120" s="50" t="s">
        <v>2289</v>
      </c>
      <c r="M1120" s="50" t="s">
        <v>212</v>
      </c>
      <c r="N1120" s="50"/>
      <c r="O1120" s="50"/>
      <c r="P1120" s="50"/>
      <c r="Q1120" s="50"/>
      <c r="R1120" s="50"/>
      <c r="S1120" s="50" t="str">
        <f t="shared" si="112"/>
        <v/>
      </c>
      <c r="T1120" s="50" t="str">
        <f t="shared" si="110"/>
        <v/>
      </c>
      <c r="U1120" s="50" t="str">
        <f t="shared" si="111"/>
        <v/>
      </c>
      <c r="V1120" s="50" t="str">
        <f t="shared" si="113"/>
        <v/>
      </c>
      <c r="W1120" s="50"/>
      <c r="X1120" s="50"/>
      <c r="Y1120" s="50"/>
      <c r="Z1120" s="50" t="s">
        <v>3406</v>
      </c>
      <c r="AA1120" s="50"/>
    </row>
    <row r="1121" spans="1:27" ht="25.5" customHeight="1">
      <c r="A1121" s="517" t="s">
        <v>2286</v>
      </c>
      <c r="B1121" s="51" t="s">
        <v>1184</v>
      </c>
      <c r="C1121" s="51" t="s">
        <v>143</v>
      </c>
      <c r="D1121" s="51" t="s">
        <v>4027</v>
      </c>
      <c r="E1121" s="50">
        <v>1987</v>
      </c>
      <c r="F1121" s="50">
        <v>2177</v>
      </c>
      <c r="G1121" s="50" t="s">
        <v>3955</v>
      </c>
      <c r="H1121" s="50"/>
      <c r="I1121" s="105"/>
      <c r="J1121" s="50"/>
      <c r="K1121" s="50" t="s">
        <v>30</v>
      </c>
      <c r="L1121" s="50" t="s">
        <v>2289</v>
      </c>
      <c r="M1121" s="50" t="s">
        <v>212</v>
      </c>
      <c r="N1121" s="50"/>
      <c r="O1121" s="50"/>
      <c r="P1121" s="50"/>
      <c r="Q1121" s="50"/>
      <c r="R1121" s="50"/>
      <c r="S1121" s="50" t="str">
        <f t="shared" si="112"/>
        <v/>
      </c>
      <c r="T1121" s="50" t="str">
        <f t="shared" si="110"/>
        <v/>
      </c>
      <c r="U1121" s="50" t="str">
        <f t="shared" si="111"/>
        <v/>
      </c>
      <c r="V1121" s="50" t="str">
        <f t="shared" si="113"/>
        <v/>
      </c>
      <c r="W1121" s="50"/>
      <c r="X1121" s="50"/>
      <c r="Y1121" s="50"/>
      <c r="Z1121" s="50"/>
      <c r="AA1121" s="50"/>
    </row>
    <row r="1122" spans="1:27" ht="25.5" customHeight="1">
      <c r="A1122" s="517" t="s">
        <v>2286</v>
      </c>
      <c r="B1122" s="51" t="s">
        <v>1184</v>
      </c>
      <c r="C1122" s="51" t="s">
        <v>143</v>
      </c>
      <c r="D1122" s="51" t="s">
        <v>3725</v>
      </c>
      <c r="E1122" s="50">
        <v>1481</v>
      </c>
      <c r="F1122" s="50">
        <v>1628</v>
      </c>
      <c r="G1122" s="50" t="s">
        <v>3955</v>
      </c>
      <c r="H1122" s="50"/>
      <c r="I1122" s="105"/>
      <c r="J1122" s="50"/>
      <c r="K1122" s="50" t="s">
        <v>30</v>
      </c>
      <c r="L1122" s="50" t="s">
        <v>2289</v>
      </c>
      <c r="M1122" s="50" t="s">
        <v>212</v>
      </c>
      <c r="N1122" s="50"/>
      <c r="O1122" s="50"/>
      <c r="P1122" s="50"/>
      <c r="Q1122" s="50"/>
      <c r="R1122" s="50"/>
      <c r="S1122" s="50" t="str">
        <f t="shared" si="112"/>
        <v/>
      </c>
      <c r="T1122" s="50" t="str">
        <f t="shared" si="110"/>
        <v/>
      </c>
      <c r="U1122" s="50" t="str">
        <f t="shared" si="111"/>
        <v/>
      </c>
      <c r="V1122" s="50" t="str">
        <f t="shared" si="113"/>
        <v/>
      </c>
      <c r="W1122" s="50"/>
      <c r="X1122" s="50"/>
      <c r="Y1122" s="50"/>
      <c r="Z1122" s="50"/>
      <c r="AA1122" s="50"/>
    </row>
    <row r="1123" spans="1:27" ht="25.5" customHeight="1">
      <c r="A1123" s="517" t="s">
        <v>2286</v>
      </c>
      <c r="B1123" s="51" t="s">
        <v>1184</v>
      </c>
      <c r="C1123" s="51" t="s">
        <v>143</v>
      </c>
      <c r="D1123" s="51" t="s">
        <v>4242</v>
      </c>
      <c r="E1123" s="50">
        <v>7997</v>
      </c>
      <c r="F1123" s="50">
        <v>8441</v>
      </c>
      <c r="G1123" s="50" t="s">
        <v>3955</v>
      </c>
      <c r="H1123" s="50"/>
      <c r="I1123" s="105"/>
      <c r="J1123" s="50"/>
      <c r="K1123" s="50" t="s">
        <v>30</v>
      </c>
      <c r="L1123" s="50" t="s">
        <v>2289</v>
      </c>
      <c r="M1123" s="50" t="s">
        <v>212</v>
      </c>
      <c r="N1123" s="50"/>
      <c r="O1123" s="50"/>
      <c r="P1123" s="50"/>
      <c r="Q1123" s="50"/>
      <c r="R1123" s="50"/>
      <c r="S1123" s="50" t="str">
        <f t="shared" si="112"/>
        <v/>
      </c>
      <c r="T1123" s="50" t="str">
        <f t="shared" si="110"/>
        <v/>
      </c>
      <c r="U1123" s="50" t="str">
        <f t="shared" si="111"/>
        <v/>
      </c>
      <c r="V1123" s="50" t="str">
        <f t="shared" si="113"/>
        <v/>
      </c>
      <c r="W1123" s="50"/>
      <c r="X1123" s="50"/>
      <c r="Y1123" s="50"/>
      <c r="Z1123" s="50"/>
      <c r="AA1123" s="50"/>
    </row>
    <row r="1124" spans="1:27" ht="25.5" customHeight="1">
      <c r="A1124" s="517" t="s">
        <v>2286</v>
      </c>
      <c r="B1124" s="51" t="s">
        <v>1184</v>
      </c>
      <c r="C1124" s="51" t="s">
        <v>143</v>
      </c>
      <c r="D1124" s="51" t="s">
        <v>4674</v>
      </c>
      <c r="E1124" s="50">
        <v>4403</v>
      </c>
      <c r="F1124" s="50">
        <v>5187</v>
      </c>
      <c r="G1124" s="50" t="s">
        <v>3955</v>
      </c>
      <c r="H1124" s="50"/>
      <c r="I1124" s="105"/>
      <c r="J1124" s="50"/>
      <c r="K1124" s="50" t="s">
        <v>30</v>
      </c>
      <c r="L1124" s="50" t="s">
        <v>2289</v>
      </c>
      <c r="M1124" s="50" t="s">
        <v>212</v>
      </c>
      <c r="N1124" s="50"/>
      <c r="O1124" s="50"/>
      <c r="P1124" s="50"/>
      <c r="Q1124" s="50"/>
      <c r="R1124" s="50"/>
      <c r="S1124" s="50" t="str">
        <f t="shared" si="112"/>
        <v/>
      </c>
      <c r="T1124" s="50" t="str">
        <f t="shared" si="110"/>
        <v/>
      </c>
      <c r="U1124" s="50" t="str">
        <f t="shared" si="111"/>
        <v/>
      </c>
      <c r="V1124" s="50" t="str">
        <f t="shared" si="113"/>
        <v/>
      </c>
      <c r="W1124" s="50"/>
      <c r="X1124" s="50"/>
      <c r="Y1124" s="50"/>
      <c r="Z1124" s="50"/>
      <c r="AA1124" s="50"/>
    </row>
    <row r="1125" spans="1:27" ht="25.5" customHeight="1">
      <c r="A1125" s="517" t="s">
        <v>2286</v>
      </c>
      <c r="B1125" s="51" t="s">
        <v>2579</v>
      </c>
      <c r="C1125" s="51" t="s">
        <v>143</v>
      </c>
      <c r="D1125" s="51" t="s">
        <v>4535</v>
      </c>
      <c r="E1125" s="50">
        <v>1273</v>
      </c>
      <c r="F1125" s="50">
        <v>928</v>
      </c>
      <c r="G1125" s="50" t="s">
        <v>3955</v>
      </c>
      <c r="H1125" s="50"/>
      <c r="I1125" s="105"/>
      <c r="J1125" s="50"/>
      <c r="K1125" s="50" t="s">
        <v>29</v>
      </c>
      <c r="L1125" s="50" t="s">
        <v>2289</v>
      </c>
      <c r="M1125" s="50" t="s">
        <v>212</v>
      </c>
      <c r="N1125" s="50"/>
      <c r="O1125" s="50"/>
      <c r="P1125" s="50"/>
      <c r="Q1125" s="50"/>
      <c r="R1125" s="50"/>
      <c r="S1125" s="50" t="str">
        <f t="shared" si="112"/>
        <v/>
      </c>
      <c r="T1125" s="50" t="str">
        <f t="shared" si="110"/>
        <v/>
      </c>
      <c r="U1125" s="50" t="str">
        <f t="shared" si="111"/>
        <v/>
      </c>
      <c r="V1125" s="50" t="str">
        <f t="shared" si="113"/>
        <v/>
      </c>
      <c r="W1125" s="50"/>
      <c r="X1125" s="50"/>
      <c r="Y1125" s="50"/>
      <c r="Z1125" s="50"/>
      <c r="AA1125" s="50"/>
    </row>
    <row r="1126" spans="1:27" ht="25.5" customHeight="1">
      <c r="A1126" s="517" t="s">
        <v>2286</v>
      </c>
      <c r="B1126" s="51" t="s">
        <v>2579</v>
      </c>
      <c r="C1126" s="51" t="s">
        <v>143</v>
      </c>
      <c r="D1126" s="51" t="s">
        <v>4675</v>
      </c>
      <c r="E1126" s="50">
        <v>3919</v>
      </c>
      <c r="F1126" s="50">
        <v>3916</v>
      </c>
      <c r="G1126" s="50" t="s">
        <v>3404</v>
      </c>
      <c r="H1126" s="50">
        <v>2025</v>
      </c>
      <c r="I1126" s="132">
        <v>45925</v>
      </c>
      <c r="J1126" s="50" t="s">
        <v>3128</v>
      </c>
      <c r="K1126" s="50" t="s">
        <v>29</v>
      </c>
      <c r="L1126" s="50" t="s">
        <v>2289</v>
      </c>
      <c r="M1126" s="50" t="s">
        <v>212</v>
      </c>
      <c r="N1126" s="50" t="s">
        <v>4676</v>
      </c>
      <c r="O1126" s="60">
        <v>45928</v>
      </c>
      <c r="P1126" s="60">
        <v>45928</v>
      </c>
      <c r="Q1126" s="60">
        <v>45928</v>
      </c>
      <c r="R1126" s="60">
        <v>45929</v>
      </c>
      <c r="S1126" s="50">
        <f t="shared" si="112"/>
        <v>1</v>
      </c>
      <c r="T1126" s="50">
        <f t="shared" si="110"/>
        <v>1</v>
      </c>
      <c r="U1126" s="50">
        <f t="shared" si="111"/>
        <v>1</v>
      </c>
      <c r="V1126" s="50">
        <f t="shared" si="113"/>
        <v>1</v>
      </c>
      <c r="W1126" s="50" t="s">
        <v>150</v>
      </c>
      <c r="X1126" s="50" t="s">
        <v>1078</v>
      </c>
      <c r="Y1126" s="50" t="s">
        <v>50</v>
      </c>
      <c r="Z1126" s="50" t="s">
        <v>3406</v>
      </c>
      <c r="AA1126" s="50"/>
    </row>
    <row r="1127" spans="1:27" ht="25.5" customHeight="1">
      <c r="A1127" s="517" t="s">
        <v>2286</v>
      </c>
      <c r="B1127" s="51" t="s">
        <v>2579</v>
      </c>
      <c r="C1127" s="51" t="s">
        <v>143</v>
      </c>
      <c r="D1127" s="51" t="s">
        <v>1490</v>
      </c>
      <c r="E1127" s="50">
        <v>3844</v>
      </c>
      <c r="F1127" s="50">
        <v>4231</v>
      </c>
      <c r="G1127" s="50" t="s">
        <v>3955</v>
      </c>
      <c r="H1127" s="50"/>
      <c r="I1127" s="105"/>
      <c r="J1127" s="50"/>
      <c r="K1127" s="50" t="s">
        <v>29</v>
      </c>
      <c r="L1127" s="50" t="s">
        <v>2289</v>
      </c>
      <c r="M1127" s="50" t="s">
        <v>212</v>
      </c>
      <c r="N1127" s="50"/>
      <c r="O1127" s="50"/>
      <c r="P1127" s="50"/>
      <c r="Q1127" s="50"/>
      <c r="R1127" s="50"/>
      <c r="S1127" s="50" t="str">
        <f t="shared" si="112"/>
        <v/>
      </c>
      <c r="T1127" s="50" t="str">
        <f t="shared" si="110"/>
        <v/>
      </c>
      <c r="U1127" s="50" t="str">
        <f t="shared" si="111"/>
        <v/>
      </c>
      <c r="V1127" s="50" t="str">
        <f t="shared" si="113"/>
        <v/>
      </c>
      <c r="W1127" s="50"/>
      <c r="X1127" s="50"/>
      <c r="Y1127" s="50"/>
      <c r="Z1127" s="50"/>
      <c r="AA1127" s="50"/>
    </row>
    <row r="1128" spans="1:27" ht="25.5" customHeight="1">
      <c r="A1128" s="517" t="s">
        <v>2286</v>
      </c>
      <c r="B1128" s="51" t="s">
        <v>2579</v>
      </c>
      <c r="C1128" s="51" t="s">
        <v>143</v>
      </c>
      <c r="D1128" s="51" t="s">
        <v>4677</v>
      </c>
      <c r="E1128" s="50">
        <v>2445</v>
      </c>
      <c r="F1128" s="50">
        <v>2395</v>
      </c>
      <c r="G1128" s="50" t="s">
        <v>3404</v>
      </c>
      <c r="H1128" s="50">
        <v>2025</v>
      </c>
      <c r="I1128" s="132">
        <v>45728</v>
      </c>
      <c r="J1128" s="50" t="s">
        <v>3416</v>
      </c>
      <c r="K1128" s="50" t="s">
        <v>29</v>
      </c>
      <c r="L1128" s="50" t="s">
        <v>2289</v>
      </c>
      <c r="M1128" s="50" t="s">
        <v>212</v>
      </c>
      <c r="N1128" s="50" t="s">
        <v>4678</v>
      </c>
      <c r="O1128" s="60">
        <v>45734</v>
      </c>
      <c r="P1128" s="60">
        <v>45734</v>
      </c>
      <c r="Q1128" s="60">
        <v>45734</v>
      </c>
      <c r="R1128" s="60">
        <v>45735</v>
      </c>
      <c r="S1128" s="50">
        <f t="shared" si="112"/>
        <v>4</v>
      </c>
      <c r="T1128" s="50">
        <f t="shared" si="110"/>
        <v>1</v>
      </c>
      <c r="U1128" s="50">
        <f t="shared" si="111"/>
        <v>1</v>
      </c>
      <c r="V1128" s="50">
        <f t="shared" si="113"/>
        <v>1</v>
      </c>
      <c r="W1128" s="50" t="s">
        <v>150</v>
      </c>
      <c r="X1128" s="50" t="s">
        <v>1078</v>
      </c>
      <c r="Y1128" s="50" t="s">
        <v>50</v>
      </c>
      <c r="Z1128" s="50" t="s">
        <v>3406</v>
      </c>
      <c r="AA1128" s="50"/>
    </row>
    <row r="1129" spans="1:27" ht="25.5" customHeight="1">
      <c r="A1129" s="517" t="s">
        <v>2286</v>
      </c>
      <c r="B1129" s="51" t="s">
        <v>2579</v>
      </c>
      <c r="C1129" s="51" t="s">
        <v>143</v>
      </c>
      <c r="D1129" s="51" t="s">
        <v>4679</v>
      </c>
      <c r="E1129" s="50">
        <v>1642</v>
      </c>
      <c r="F1129" s="50">
        <v>1709</v>
      </c>
      <c r="G1129" s="50" t="s">
        <v>3404</v>
      </c>
      <c r="H1129" s="50">
        <v>2025</v>
      </c>
      <c r="I1129" s="132">
        <v>45925</v>
      </c>
      <c r="J1129" s="119" t="s">
        <v>3128</v>
      </c>
      <c r="K1129" s="50" t="s">
        <v>29</v>
      </c>
      <c r="L1129" s="50" t="s">
        <v>2289</v>
      </c>
      <c r="M1129" s="50" t="s">
        <v>212</v>
      </c>
      <c r="N1129" s="50" t="s">
        <v>4680</v>
      </c>
      <c r="O1129" s="60">
        <v>45928</v>
      </c>
      <c r="P1129" s="60">
        <v>45928</v>
      </c>
      <c r="Q1129" s="60">
        <v>45928</v>
      </c>
      <c r="R1129" s="60">
        <v>45929</v>
      </c>
      <c r="S1129" s="50">
        <f t="shared" si="112"/>
        <v>1</v>
      </c>
      <c r="T1129" s="50">
        <f t="shared" si="110"/>
        <v>1</v>
      </c>
      <c r="U1129" s="50">
        <f t="shared" si="111"/>
        <v>1</v>
      </c>
      <c r="V1129" s="50">
        <f t="shared" si="113"/>
        <v>1</v>
      </c>
      <c r="W1129" s="50" t="s">
        <v>150</v>
      </c>
      <c r="X1129" s="50" t="s">
        <v>1078</v>
      </c>
      <c r="Y1129" s="50" t="s">
        <v>50</v>
      </c>
      <c r="Z1129" s="50" t="s">
        <v>3406</v>
      </c>
      <c r="AA1129" s="50"/>
    </row>
    <row r="1130" spans="1:27" ht="25.5" customHeight="1">
      <c r="A1130" s="517" t="s">
        <v>2286</v>
      </c>
      <c r="B1130" s="51" t="s">
        <v>2579</v>
      </c>
      <c r="C1130" s="51" t="s">
        <v>143</v>
      </c>
      <c r="D1130" s="51" t="s">
        <v>4681</v>
      </c>
      <c r="E1130" s="50">
        <v>939</v>
      </c>
      <c r="F1130" s="50">
        <v>1096</v>
      </c>
      <c r="G1130" s="50" t="s">
        <v>3955</v>
      </c>
      <c r="H1130" s="50"/>
      <c r="I1130" s="105"/>
      <c r="J1130" s="50"/>
      <c r="K1130" s="50" t="s">
        <v>29</v>
      </c>
      <c r="L1130" s="50" t="s">
        <v>2289</v>
      </c>
      <c r="M1130" s="50" t="s">
        <v>212</v>
      </c>
      <c r="N1130" s="50"/>
      <c r="O1130" s="50"/>
      <c r="P1130" s="50"/>
      <c r="Q1130" s="50"/>
      <c r="R1130" s="50"/>
      <c r="S1130" s="50" t="str">
        <f t="shared" si="112"/>
        <v/>
      </c>
      <c r="T1130" s="50" t="str">
        <f t="shared" si="110"/>
        <v/>
      </c>
      <c r="U1130" s="50" t="str">
        <f t="shared" si="111"/>
        <v/>
      </c>
      <c r="V1130" s="50" t="str">
        <f t="shared" si="113"/>
        <v/>
      </c>
      <c r="W1130" s="50"/>
      <c r="X1130" s="50"/>
      <c r="Y1130" s="50"/>
      <c r="Z1130" s="50"/>
      <c r="AA1130" s="50"/>
    </row>
    <row r="1131" spans="1:27" ht="25.5" customHeight="1">
      <c r="A1131" s="517" t="s">
        <v>2286</v>
      </c>
      <c r="B1131" s="51" t="s">
        <v>2579</v>
      </c>
      <c r="C1131" s="51" t="s">
        <v>143</v>
      </c>
      <c r="D1131" s="51" t="s">
        <v>4682</v>
      </c>
      <c r="E1131" s="50">
        <v>1421</v>
      </c>
      <c r="F1131" s="50">
        <v>1562</v>
      </c>
      <c r="G1131" s="50" t="s">
        <v>3955</v>
      </c>
      <c r="H1131" s="50"/>
      <c r="I1131" s="105"/>
      <c r="J1131" s="50"/>
      <c r="K1131" s="50" t="s">
        <v>29</v>
      </c>
      <c r="L1131" s="50" t="s">
        <v>2289</v>
      </c>
      <c r="M1131" s="50" t="s">
        <v>212</v>
      </c>
      <c r="N1131" s="50"/>
      <c r="O1131" s="50"/>
      <c r="P1131" s="50"/>
      <c r="Q1131" s="50"/>
      <c r="R1131" s="50"/>
      <c r="S1131" s="50" t="str">
        <f t="shared" si="112"/>
        <v/>
      </c>
      <c r="T1131" s="50" t="str">
        <f t="shared" si="110"/>
        <v/>
      </c>
      <c r="U1131" s="50" t="str">
        <f t="shared" si="111"/>
        <v/>
      </c>
      <c r="V1131" s="50" t="str">
        <f t="shared" si="113"/>
        <v/>
      </c>
      <c r="W1131" s="50"/>
      <c r="X1131" s="50"/>
      <c r="Y1131" s="50"/>
      <c r="Z1131" s="50"/>
      <c r="AA1131" s="50"/>
    </row>
    <row r="1132" spans="1:27" ht="25.5" customHeight="1">
      <c r="A1132" s="517" t="s">
        <v>2286</v>
      </c>
      <c r="B1132" s="51" t="s">
        <v>2579</v>
      </c>
      <c r="C1132" s="51" t="s">
        <v>143</v>
      </c>
      <c r="D1132" s="51" t="s">
        <v>4683</v>
      </c>
      <c r="E1132" s="50">
        <v>4616</v>
      </c>
      <c r="F1132" s="50">
        <v>4769</v>
      </c>
      <c r="G1132" s="50" t="s">
        <v>3955</v>
      </c>
      <c r="H1132" s="50"/>
      <c r="I1132" s="105"/>
      <c r="J1132" s="50"/>
      <c r="K1132" s="50" t="s">
        <v>29</v>
      </c>
      <c r="L1132" s="50" t="s">
        <v>2289</v>
      </c>
      <c r="M1132" s="50" t="s">
        <v>212</v>
      </c>
      <c r="N1132" s="50"/>
      <c r="O1132" s="50"/>
      <c r="P1132" s="50"/>
      <c r="Q1132" s="50"/>
      <c r="R1132" s="50"/>
      <c r="S1132" s="50" t="str">
        <f t="shared" si="112"/>
        <v/>
      </c>
      <c r="T1132" s="50" t="str">
        <f t="shared" si="110"/>
        <v/>
      </c>
      <c r="U1132" s="50" t="str">
        <f t="shared" si="111"/>
        <v/>
      </c>
      <c r="V1132" s="50" t="str">
        <f t="shared" si="113"/>
        <v/>
      </c>
      <c r="W1132" s="50"/>
      <c r="X1132" s="50"/>
      <c r="Y1132" s="50"/>
      <c r="Z1132" s="50"/>
      <c r="AA1132" s="50"/>
    </row>
    <row r="1133" spans="1:27" ht="25.5" customHeight="1">
      <c r="A1133" s="517" t="s">
        <v>2286</v>
      </c>
      <c r="B1133" s="51" t="s">
        <v>2579</v>
      </c>
      <c r="C1133" s="51" t="s">
        <v>143</v>
      </c>
      <c r="D1133" s="51" t="s">
        <v>4684</v>
      </c>
      <c r="E1133" s="50">
        <v>4018</v>
      </c>
      <c r="F1133" s="50">
        <v>5573</v>
      </c>
      <c r="G1133" s="50" t="s">
        <v>3404</v>
      </c>
      <c r="H1133" s="50">
        <v>2025</v>
      </c>
      <c r="I1133" s="132">
        <v>45750</v>
      </c>
      <c r="J1133" s="50" t="s">
        <v>3470</v>
      </c>
      <c r="K1133" s="50" t="s">
        <v>29</v>
      </c>
      <c r="L1133" s="50" t="s">
        <v>2289</v>
      </c>
      <c r="M1133" s="50" t="s">
        <v>212</v>
      </c>
      <c r="N1133" s="50" t="s">
        <v>4685</v>
      </c>
      <c r="O1133" s="60">
        <v>45755</v>
      </c>
      <c r="P1133" s="60">
        <v>45757</v>
      </c>
      <c r="Q1133" s="60">
        <v>45757</v>
      </c>
      <c r="R1133" s="60">
        <v>45757</v>
      </c>
      <c r="S1133" s="50">
        <f t="shared" si="112"/>
        <v>3</v>
      </c>
      <c r="T1133" s="50">
        <f t="shared" si="110"/>
        <v>2</v>
      </c>
      <c r="U1133" s="50">
        <f t="shared" si="111"/>
        <v>1</v>
      </c>
      <c r="V1133" s="50">
        <f t="shared" si="113"/>
        <v>1</v>
      </c>
      <c r="W1133" s="50" t="s">
        <v>150</v>
      </c>
      <c r="X1133" s="50" t="s">
        <v>1078</v>
      </c>
      <c r="Y1133" s="50" t="s">
        <v>50</v>
      </c>
      <c r="Z1133" s="50" t="s">
        <v>3406</v>
      </c>
      <c r="AA1133" s="50"/>
    </row>
    <row r="1134" spans="1:27" ht="25.5" customHeight="1">
      <c r="A1134" s="517" t="s">
        <v>2286</v>
      </c>
      <c r="B1134" s="51" t="s">
        <v>2579</v>
      </c>
      <c r="C1134" s="51" t="s">
        <v>143</v>
      </c>
      <c r="D1134" s="51" t="s">
        <v>4686</v>
      </c>
      <c r="E1134" s="50">
        <v>1475</v>
      </c>
      <c r="F1134" s="50">
        <v>1788</v>
      </c>
      <c r="G1134" s="50" t="s">
        <v>3404</v>
      </c>
      <c r="H1134" s="50">
        <v>2025</v>
      </c>
      <c r="I1134" s="132">
        <v>45723</v>
      </c>
      <c r="J1134" s="50" t="s">
        <v>3416</v>
      </c>
      <c r="K1134" s="50" t="s">
        <v>29</v>
      </c>
      <c r="L1134" s="50" t="s">
        <v>2289</v>
      </c>
      <c r="M1134" s="50" t="s">
        <v>212</v>
      </c>
      <c r="N1134" s="50" t="s">
        <v>4687</v>
      </c>
      <c r="O1134" s="60">
        <v>45726</v>
      </c>
      <c r="P1134" s="60">
        <v>45729</v>
      </c>
      <c r="Q1134" s="347">
        <v>45734</v>
      </c>
      <c r="R1134" s="347">
        <v>45735</v>
      </c>
      <c r="S1134" s="50">
        <f t="shared" si="112"/>
        <v>1</v>
      </c>
      <c r="T1134" s="50">
        <f t="shared" si="110"/>
        <v>3</v>
      </c>
      <c r="U1134" s="50">
        <f t="shared" si="111"/>
        <v>3</v>
      </c>
      <c r="V1134" s="50">
        <f t="shared" si="113"/>
        <v>1</v>
      </c>
      <c r="W1134" s="50" t="s">
        <v>150</v>
      </c>
      <c r="X1134" s="50" t="s">
        <v>1078</v>
      </c>
      <c r="Y1134" s="50" t="s">
        <v>50</v>
      </c>
      <c r="Z1134" s="50" t="s">
        <v>3406</v>
      </c>
      <c r="AA1134" s="50"/>
    </row>
    <row r="1135" spans="1:27" ht="25.5" customHeight="1">
      <c r="A1135" s="517" t="s">
        <v>2286</v>
      </c>
      <c r="B1135" s="51" t="s">
        <v>2579</v>
      </c>
      <c r="C1135" s="51" t="s">
        <v>143</v>
      </c>
      <c r="D1135" s="51" t="s">
        <v>4688</v>
      </c>
      <c r="E1135" s="50">
        <v>2234</v>
      </c>
      <c r="F1135" s="50">
        <v>838</v>
      </c>
      <c r="G1135" s="50" t="s">
        <v>3404</v>
      </c>
      <c r="H1135" s="50">
        <v>2025</v>
      </c>
      <c r="I1135" s="132">
        <v>45728</v>
      </c>
      <c r="J1135" s="50" t="s">
        <v>3416</v>
      </c>
      <c r="K1135" s="50" t="s">
        <v>29</v>
      </c>
      <c r="L1135" s="50" t="s">
        <v>2289</v>
      </c>
      <c r="M1135" s="50" t="s">
        <v>212</v>
      </c>
      <c r="N1135" s="50" t="s">
        <v>4689</v>
      </c>
      <c r="O1135" s="60">
        <v>45734</v>
      </c>
      <c r="P1135" s="60">
        <v>45734</v>
      </c>
      <c r="Q1135" s="60">
        <v>45734</v>
      </c>
      <c r="R1135" s="60">
        <v>45735</v>
      </c>
      <c r="S1135" s="50">
        <f t="shared" si="112"/>
        <v>4</v>
      </c>
      <c r="T1135" s="50">
        <f t="shared" si="110"/>
        <v>1</v>
      </c>
      <c r="U1135" s="50">
        <f t="shared" si="111"/>
        <v>1</v>
      </c>
      <c r="V1135" s="50">
        <f t="shared" si="113"/>
        <v>1</v>
      </c>
      <c r="W1135" s="50" t="s">
        <v>150</v>
      </c>
      <c r="X1135" s="50" t="s">
        <v>1078</v>
      </c>
      <c r="Y1135" s="50" t="s">
        <v>50</v>
      </c>
      <c r="Z1135" s="50" t="s">
        <v>3406</v>
      </c>
      <c r="AA1135" s="50"/>
    </row>
    <row r="1136" spans="1:27" ht="25.5" customHeight="1">
      <c r="A1136" s="517" t="s">
        <v>2286</v>
      </c>
      <c r="B1136" s="51" t="s">
        <v>2579</v>
      </c>
      <c r="C1136" s="51" t="s">
        <v>143</v>
      </c>
      <c r="D1136" s="51" t="s">
        <v>4690</v>
      </c>
      <c r="E1136" s="50">
        <v>4766</v>
      </c>
      <c r="F1136" s="50">
        <v>5001</v>
      </c>
      <c r="G1136" s="50" t="s">
        <v>3955</v>
      </c>
      <c r="H1136" s="50"/>
      <c r="I1136" s="105"/>
      <c r="J1136" s="50"/>
      <c r="K1136" s="50" t="s">
        <v>29</v>
      </c>
      <c r="L1136" s="50" t="s">
        <v>2289</v>
      </c>
      <c r="M1136" s="50" t="s">
        <v>212</v>
      </c>
      <c r="N1136" s="50"/>
      <c r="O1136" s="50"/>
      <c r="P1136" s="50"/>
      <c r="Q1136" s="50"/>
      <c r="R1136" s="50"/>
      <c r="S1136" s="50" t="str">
        <f t="shared" si="112"/>
        <v/>
      </c>
      <c r="T1136" s="50" t="str">
        <f t="shared" si="110"/>
        <v/>
      </c>
      <c r="U1136" s="50" t="str">
        <f t="shared" si="111"/>
        <v/>
      </c>
      <c r="V1136" s="50" t="str">
        <f t="shared" si="113"/>
        <v/>
      </c>
      <c r="W1136" s="50"/>
      <c r="X1136" s="50"/>
      <c r="Y1136" s="50"/>
      <c r="Z1136" s="50"/>
      <c r="AA1136" s="50"/>
    </row>
    <row r="1137" spans="1:27" ht="25.5" customHeight="1">
      <c r="A1137" s="517" t="s">
        <v>2286</v>
      </c>
      <c r="B1137" s="51" t="s">
        <v>2579</v>
      </c>
      <c r="C1137" s="51" t="s">
        <v>143</v>
      </c>
      <c r="D1137" s="51" t="s">
        <v>4691</v>
      </c>
      <c r="E1137" s="50">
        <v>1405</v>
      </c>
      <c r="F1137" s="50">
        <v>1441</v>
      </c>
      <c r="G1137" s="50" t="s">
        <v>3404</v>
      </c>
      <c r="H1137" s="50">
        <v>2025</v>
      </c>
      <c r="I1137" s="132">
        <v>45723</v>
      </c>
      <c r="J1137" s="50" t="s">
        <v>3416</v>
      </c>
      <c r="K1137" s="50" t="s">
        <v>29</v>
      </c>
      <c r="L1137" s="50" t="s">
        <v>2289</v>
      </c>
      <c r="M1137" s="50" t="s">
        <v>212</v>
      </c>
      <c r="N1137" s="50" t="s">
        <v>4692</v>
      </c>
      <c r="O1137" s="60">
        <v>45726</v>
      </c>
      <c r="P1137" s="60">
        <v>45729</v>
      </c>
      <c r="Q1137" s="60">
        <v>45735</v>
      </c>
      <c r="R1137" s="60">
        <v>45735</v>
      </c>
      <c r="S1137" s="50">
        <f t="shared" si="112"/>
        <v>1</v>
      </c>
      <c r="T1137" s="50">
        <f t="shared" si="110"/>
        <v>3</v>
      </c>
      <c r="U1137" s="50">
        <f t="shared" si="111"/>
        <v>4</v>
      </c>
      <c r="V1137" s="50">
        <f t="shared" si="113"/>
        <v>1</v>
      </c>
      <c r="W1137" s="50" t="s">
        <v>150</v>
      </c>
      <c r="X1137" s="50" t="s">
        <v>1078</v>
      </c>
      <c r="Y1137" s="50" t="s">
        <v>847</v>
      </c>
      <c r="Z1137" s="50" t="s">
        <v>3406</v>
      </c>
      <c r="AA1137" s="50"/>
    </row>
    <row r="1138" spans="1:27" ht="25.5" customHeight="1">
      <c r="A1138" s="517" t="s">
        <v>2286</v>
      </c>
      <c r="B1138" s="51" t="s">
        <v>2579</v>
      </c>
      <c r="C1138" s="51" t="s">
        <v>143</v>
      </c>
      <c r="D1138" s="51" t="s">
        <v>4693</v>
      </c>
      <c r="E1138" s="50">
        <v>2205</v>
      </c>
      <c r="F1138" s="50">
        <v>2428</v>
      </c>
      <c r="G1138" s="50" t="s">
        <v>3404</v>
      </c>
      <c r="H1138" s="50">
        <v>2025</v>
      </c>
      <c r="I1138" s="132">
        <v>45925</v>
      </c>
      <c r="J1138" s="50" t="s">
        <v>3128</v>
      </c>
      <c r="K1138" s="50" t="s">
        <v>29</v>
      </c>
      <c r="L1138" s="50" t="s">
        <v>2289</v>
      </c>
      <c r="M1138" s="50" t="s">
        <v>212</v>
      </c>
      <c r="N1138" s="50" t="s">
        <v>4694</v>
      </c>
      <c r="O1138" s="60">
        <v>45928</v>
      </c>
      <c r="P1138" s="60">
        <v>45928</v>
      </c>
      <c r="Q1138" s="60">
        <v>45928</v>
      </c>
      <c r="R1138" s="60">
        <v>45929</v>
      </c>
      <c r="S1138" s="50">
        <f t="shared" si="112"/>
        <v>1</v>
      </c>
      <c r="T1138" s="50">
        <f t="shared" si="110"/>
        <v>1</v>
      </c>
      <c r="U1138" s="50">
        <f t="shared" si="111"/>
        <v>1</v>
      </c>
      <c r="V1138" s="50">
        <f t="shared" si="113"/>
        <v>1</v>
      </c>
      <c r="W1138" s="50" t="s">
        <v>150</v>
      </c>
      <c r="X1138" s="50" t="s">
        <v>1078</v>
      </c>
      <c r="Y1138" s="50" t="s">
        <v>50</v>
      </c>
      <c r="Z1138" s="50" t="s">
        <v>3406</v>
      </c>
      <c r="AA1138" s="50"/>
    </row>
    <row r="1139" spans="1:27" ht="25.5" customHeight="1">
      <c r="A1139" s="517" t="s">
        <v>2286</v>
      </c>
      <c r="B1139" s="51" t="s">
        <v>2579</v>
      </c>
      <c r="C1139" s="51" t="s">
        <v>143</v>
      </c>
      <c r="D1139" s="51" t="s">
        <v>4695</v>
      </c>
      <c r="E1139" s="50">
        <v>1218</v>
      </c>
      <c r="F1139" s="50">
        <v>943</v>
      </c>
      <c r="G1139" s="50" t="s">
        <v>3955</v>
      </c>
      <c r="H1139" s="50"/>
      <c r="I1139" s="105"/>
      <c r="J1139" s="50"/>
      <c r="K1139" s="50" t="s">
        <v>29</v>
      </c>
      <c r="L1139" s="50" t="s">
        <v>2289</v>
      </c>
      <c r="M1139" s="50" t="s">
        <v>212</v>
      </c>
      <c r="N1139" s="50"/>
      <c r="O1139" s="50"/>
      <c r="P1139" s="50"/>
      <c r="Q1139" s="50"/>
      <c r="R1139" s="50"/>
      <c r="S1139" s="50" t="str">
        <f t="shared" si="112"/>
        <v/>
      </c>
      <c r="T1139" s="50" t="str">
        <f t="shared" si="110"/>
        <v/>
      </c>
      <c r="U1139" s="50" t="str">
        <f t="shared" si="111"/>
        <v/>
      </c>
      <c r="V1139" s="50" t="str">
        <f t="shared" si="113"/>
        <v/>
      </c>
      <c r="W1139" s="50"/>
      <c r="X1139" s="50"/>
      <c r="Y1139" s="50"/>
      <c r="Z1139" s="50"/>
      <c r="AA1139" s="50"/>
    </row>
    <row r="1140" spans="1:27" ht="25.5" customHeight="1">
      <c r="A1140" s="517" t="s">
        <v>2286</v>
      </c>
      <c r="B1140" s="51" t="s">
        <v>2579</v>
      </c>
      <c r="C1140" s="51" t="s">
        <v>143</v>
      </c>
      <c r="D1140" s="51" t="s">
        <v>4126</v>
      </c>
      <c r="E1140" s="50">
        <v>2276</v>
      </c>
      <c r="F1140" s="50">
        <v>2484</v>
      </c>
      <c r="G1140" s="50" t="s">
        <v>3955</v>
      </c>
      <c r="H1140" s="50"/>
      <c r="I1140" s="105"/>
      <c r="J1140" s="50"/>
      <c r="K1140" s="50" t="s">
        <v>29</v>
      </c>
      <c r="L1140" s="50" t="s">
        <v>2289</v>
      </c>
      <c r="M1140" s="50" t="s">
        <v>212</v>
      </c>
      <c r="N1140" s="50"/>
      <c r="O1140" s="50"/>
      <c r="P1140" s="50"/>
      <c r="Q1140" s="50"/>
      <c r="R1140" s="50"/>
      <c r="S1140" s="50" t="str">
        <f t="shared" si="112"/>
        <v/>
      </c>
      <c r="T1140" s="50" t="str">
        <f t="shared" si="110"/>
        <v/>
      </c>
      <c r="U1140" s="50" t="str">
        <f t="shared" si="111"/>
        <v/>
      </c>
      <c r="V1140" s="50" t="str">
        <f t="shared" si="113"/>
        <v/>
      </c>
      <c r="W1140" s="50"/>
      <c r="X1140" s="50"/>
      <c r="Y1140" s="50"/>
      <c r="Z1140" s="50"/>
      <c r="AA1140" s="50"/>
    </row>
    <row r="1141" spans="1:27" ht="25.5" customHeight="1">
      <c r="A1141" s="517" t="s">
        <v>2286</v>
      </c>
      <c r="B1141" s="51" t="s">
        <v>2579</v>
      </c>
      <c r="C1141" s="51" t="s">
        <v>143</v>
      </c>
      <c r="D1141" s="51" t="s">
        <v>4696</v>
      </c>
      <c r="E1141" s="50">
        <v>1435</v>
      </c>
      <c r="F1141" s="50">
        <v>1318</v>
      </c>
      <c r="G1141" s="50" t="s">
        <v>3955</v>
      </c>
      <c r="H1141" s="50"/>
      <c r="I1141" s="105"/>
      <c r="J1141" s="50"/>
      <c r="K1141" s="50" t="s">
        <v>29</v>
      </c>
      <c r="L1141" s="50" t="s">
        <v>2289</v>
      </c>
      <c r="M1141" s="50" t="s">
        <v>212</v>
      </c>
      <c r="N1141" s="50"/>
      <c r="O1141" s="50"/>
      <c r="P1141" s="50"/>
      <c r="Q1141" s="50"/>
      <c r="R1141" s="50"/>
      <c r="S1141" s="50" t="str">
        <f t="shared" si="112"/>
        <v/>
      </c>
      <c r="T1141" s="50" t="str">
        <f t="shared" si="110"/>
        <v/>
      </c>
      <c r="U1141" s="50" t="str">
        <f t="shared" si="111"/>
        <v/>
      </c>
      <c r="V1141" s="50" t="str">
        <f t="shared" si="113"/>
        <v/>
      </c>
      <c r="W1141" s="50"/>
      <c r="X1141" s="50"/>
      <c r="Y1141" s="50"/>
      <c r="Z1141" s="50"/>
      <c r="AA1141" s="50"/>
    </row>
    <row r="1142" spans="1:27" ht="25.5" customHeight="1">
      <c r="A1142" s="517" t="s">
        <v>2286</v>
      </c>
      <c r="B1142" s="51" t="s">
        <v>3130</v>
      </c>
      <c r="C1142" s="51" t="s">
        <v>143</v>
      </c>
      <c r="D1142" s="51" t="s">
        <v>1203</v>
      </c>
      <c r="E1142" s="50">
        <v>11943</v>
      </c>
      <c r="F1142" s="50">
        <v>15370</v>
      </c>
      <c r="G1142" s="50" t="s">
        <v>3404</v>
      </c>
      <c r="H1142" s="50">
        <v>2025</v>
      </c>
      <c r="I1142" s="132">
        <v>45889</v>
      </c>
      <c r="J1142" s="50" t="s">
        <v>3127</v>
      </c>
      <c r="K1142" s="50" t="s">
        <v>30</v>
      </c>
      <c r="L1142" s="50" t="s">
        <v>28</v>
      </c>
      <c r="M1142" s="50" t="s">
        <v>212</v>
      </c>
      <c r="N1142" s="50" t="s">
        <v>4697</v>
      </c>
      <c r="O1142" s="60">
        <v>45907</v>
      </c>
      <c r="P1142" s="60">
        <v>45912</v>
      </c>
      <c r="Q1142" s="60">
        <v>45915</v>
      </c>
      <c r="R1142" s="60">
        <v>45917</v>
      </c>
      <c r="S1142" s="50">
        <f t="shared" si="112"/>
        <v>12</v>
      </c>
      <c r="T1142" s="50">
        <f t="shared" si="110"/>
        <v>4</v>
      </c>
      <c r="U1142" s="50">
        <f t="shared" si="111"/>
        <v>1</v>
      </c>
      <c r="V1142" s="50">
        <f t="shared" si="113"/>
        <v>2</v>
      </c>
      <c r="W1142" s="50" t="s">
        <v>150</v>
      </c>
      <c r="X1142" s="50" t="s">
        <v>1078</v>
      </c>
      <c r="Y1142" s="50" t="s">
        <v>50</v>
      </c>
      <c r="Z1142" s="50" t="s">
        <v>3406</v>
      </c>
      <c r="AA1142" s="50"/>
    </row>
    <row r="1143" spans="1:27" ht="25.5" customHeight="1">
      <c r="A1143" s="517" t="s">
        <v>2286</v>
      </c>
      <c r="B1143" s="51" t="s">
        <v>3130</v>
      </c>
      <c r="C1143" s="51" t="s">
        <v>143</v>
      </c>
      <c r="D1143" s="51" t="s">
        <v>4698</v>
      </c>
      <c r="E1143" s="50">
        <v>1647</v>
      </c>
      <c r="F1143" s="50">
        <v>1675</v>
      </c>
      <c r="G1143" s="50" t="s">
        <v>3404</v>
      </c>
      <c r="H1143" s="50">
        <v>2024</v>
      </c>
      <c r="I1143" s="132">
        <v>45611</v>
      </c>
      <c r="J1143" s="50"/>
      <c r="K1143" s="50" t="s">
        <v>30</v>
      </c>
      <c r="L1143" s="50" t="s">
        <v>2289</v>
      </c>
      <c r="M1143" s="50" t="s">
        <v>212</v>
      </c>
      <c r="N1143" s="50"/>
      <c r="O1143" s="50"/>
      <c r="P1143" s="50"/>
      <c r="Q1143" s="50"/>
      <c r="R1143" s="50"/>
      <c r="S1143" s="50" t="str">
        <f t="shared" si="112"/>
        <v/>
      </c>
      <c r="T1143" s="50" t="str">
        <f t="shared" si="110"/>
        <v/>
      </c>
      <c r="U1143" s="50" t="str">
        <f t="shared" si="111"/>
        <v/>
      </c>
      <c r="V1143" s="50" t="str">
        <f t="shared" si="113"/>
        <v/>
      </c>
      <c r="W1143" s="50"/>
      <c r="X1143" s="50" t="s">
        <v>4</v>
      </c>
      <c r="Y1143" s="50" t="s">
        <v>50</v>
      </c>
      <c r="Z1143" s="50" t="s">
        <v>3406</v>
      </c>
      <c r="AA1143" s="50" t="s">
        <v>815</v>
      </c>
    </row>
    <row r="1144" spans="1:27" ht="25.5" customHeight="1">
      <c r="A1144" s="517" t="s">
        <v>2286</v>
      </c>
      <c r="B1144" s="51" t="s">
        <v>3130</v>
      </c>
      <c r="C1144" s="51" t="s">
        <v>143</v>
      </c>
      <c r="D1144" s="51" t="s">
        <v>3542</v>
      </c>
      <c r="E1144" s="50">
        <v>5128</v>
      </c>
      <c r="F1144" s="50">
        <v>5504</v>
      </c>
      <c r="G1144" s="50" t="s">
        <v>3404</v>
      </c>
      <c r="H1144" s="50">
        <v>2025</v>
      </c>
      <c r="I1144" s="132">
        <v>45952</v>
      </c>
      <c r="J1144" s="50" t="s">
        <v>3129</v>
      </c>
      <c r="K1144" s="50" t="s">
        <v>30</v>
      </c>
      <c r="L1144" s="50" t="s">
        <v>2289</v>
      </c>
      <c r="M1144" s="50" t="s">
        <v>212</v>
      </c>
      <c r="N1144" s="50" t="s">
        <v>4699</v>
      </c>
      <c r="O1144" s="60">
        <v>45958</v>
      </c>
      <c r="P1144" s="60">
        <v>45966</v>
      </c>
      <c r="Q1144" s="60">
        <v>45966</v>
      </c>
      <c r="R1144" s="60">
        <v>45972</v>
      </c>
      <c r="S1144" s="50">
        <f t="shared" si="112"/>
        <v>4</v>
      </c>
      <c r="T1144" s="50">
        <f t="shared" si="110"/>
        <v>6</v>
      </c>
      <c r="U1144" s="50">
        <f t="shared" si="111"/>
        <v>1</v>
      </c>
      <c r="V1144" s="50">
        <f t="shared" si="113"/>
        <v>4</v>
      </c>
      <c r="W1144" s="50" t="s">
        <v>150</v>
      </c>
      <c r="X1144" s="50" t="s">
        <v>1078</v>
      </c>
      <c r="Y1144" s="50" t="s">
        <v>50</v>
      </c>
      <c r="Z1144" s="50" t="s">
        <v>4662</v>
      </c>
      <c r="AA1144" s="50"/>
    </row>
    <row r="1145" spans="1:27" ht="25.5" customHeight="1">
      <c r="A1145" s="517" t="s">
        <v>2286</v>
      </c>
      <c r="B1145" s="51" t="s">
        <v>3130</v>
      </c>
      <c r="C1145" s="51" t="s">
        <v>143</v>
      </c>
      <c r="D1145" s="51" t="s">
        <v>4700</v>
      </c>
      <c r="E1145" s="50">
        <v>2279</v>
      </c>
      <c r="F1145" s="50">
        <v>2588</v>
      </c>
      <c r="G1145" s="50" t="s">
        <v>3404</v>
      </c>
      <c r="H1145" s="50">
        <v>2024</v>
      </c>
      <c r="I1145" s="132">
        <v>45463</v>
      </c>
      <c r="J1145" s="50"/>
      <c r="K1145" s="50" t="s">
        <v>30</v>
      </c>
      <c r="L1145" s="50" t="s">
        <v>2289</v>
      </c>
      <c r="M1145" s="50" t="s">
        <v>212</v>
      </c>
      <c r="N1145" s="50"/>
      <c r="O1145" s="50"/>
      <c r="P1145" s="50"/>
      <c r="Q1145" s="50"/>
      <c r="R1145" s="50"/>
      <c r="S1145" s="50" t="str">
        <f t="shared" si="112"/>
        <v/>
      </c>
      <c r="T1145" s="50" t="str">
        <f t="shared" si="110"/>
        <v/>
      </c>
      <c r="U1145" s="50" t="str">
        <f t="shared" si="111"/>
        <v/>
      </c>
      <c r="V1145" s="50" t="str">
        <f t="shared" si="113"/>
        <v/>
      </c>
      <c r="W1145" s="50"/>
      <c r="X1145" s="50" t="s">
        <v>4</v>
      </c>
      <c r="Y1145" s="50" t="s">
        <v>50</v>
      </c>
      <c r="Z1145" s="50" t="s">
        <v>3406</v>
      </c>
      <c r="AA1145" s="50"/>
    </row>
    <row r="1146" spans="1:27" ht="25.5" customHeight="1">
      <c r="A1146" s="517" t="s">
        <v>2286</v>
      </c>
      <c r="B1146" s="51" t="s">
        <v>3130</v>
      </c>
      <c r="C1146" s="51" t="s">
        <v>143</v>
      </c>
      <c r="D1146" s="51" t="s">
        <v>4701</v>
      </c>
      <c r="E1146" s="50">
        <v>2349</v>
      </c>
      <c r="F1146" s="50">
        <v>2633</v>
      </c>
      <c r="G1146" s="50" t="s">
        <v>3404</v>
      </c>
      <c r="H1146" s="50">
        <v>2025</v>
      </c>
      <c r="I1146" s="132">
        <v>45952</v>
      </c>
      <c r="J1146" s="50" t="s">
        <v>3129</v>
      </c>
      <c r="K1146" s="50" t="s">
        <v>30</v>
      </c>
      <c r="L1146" s="50" t="s">
        <v>2289</v>
      </c>
      <c r="M1146" s="50" t="s">
        <v>212</v>
      </c>
      <c r="N1146" s="50" t="s">
        <v>4702</v>
      </c>
      <c r="O1146" s="60">
        <v>45956</v>
      </c>
      <c r="P1146" s="60">
        <v>45966</v>
      </c>
      <c r="Q1146" s="60">
        <v>45966</v>
      </c>
      <c r="R1146" s="60">
        <v>45972</v>
      </c>
      <c r="S1146" s="50">
        <f t="shared" si="112"/>
        <v>2</v>
      </c>
      <c r="T1146" s="50">
        <f t="shared" ref="T1146:T1209" si="114">IF(
    OR(ISBLANK(O1146), ISBLANK(P1146)),
    "",
    MAX(1, IF(
        NETWORKDAYS(O1146, P1146) &lt;= 0,
        1,
        NETWORKDAYS(O1146, P1146) - IF(O1146 = P1146, 0, 1)
    ))
)</f>
        <v>7</v>
      </c>
      <c r="U1146" s="50">
        <f t="shared" ref="U1146:U1209" si="115">IF(
    OR(ISBLANK(P1146), ISBLANK(Q1146)),
    "",
    MAX(1, IF(
        NETWORKDAYS(P1146, Q1146) &lt;= 0,
        1,
        NETWORKDAYS(P1146, Q1146) - IF(P1146 = Q1146, 0, 1)
    ))
)</f>
        <v>1</v>
      </c>
      <c r="V1146" s="50">
        <f t="shared" si="113"/>
        <v>4</v>
      </c>
      <c r="W1146" s="50" t="s">
        <v>150</v>
      </c>
      <c r="X1146" s="50" t="s">
        <v>1078</v>
      </c>
      <c r="Y1146" s="50" t="s">
        <v>50</v>
      </c>
      <c r="Z1146" s="50" t="s">
        <v>3406</v>
      </c>
      <c r="AA1146" s="50"/>
    </row>
    <row r="1147" spans="1:27" ht="25.5" customHeight="1">
      <c r="A1147" s="517" t="s">
        <v>2286</v>
      </c>
      <c r="B1147" s="51" t="s">
        <v>3130</v>
      </c>
      <c r="C1147" s="51" t="s">
        <v>143</v>
      </c>
      <c r="D1147" s="51" t="s">
        <v>4703</v>
      </c>
      <c r="E1147" s="50">
        <v>5010</v>
      </c>
      <c r="F1147" s="50">
        <v>5813</v>
      </c>
      <c r="G1147" s="50" t="s">
        <v>3955</v>
      </c>
      <c r="H1147" s="50"/>
      <c r="I1147" s="105"/>
      <c r="J1147" s="50"/>
      <c r="K1147" s="50" t="s">
        <v>30</v>
      </c>
      <c r="L1147" s="50" t="s">
        <v>2289</v>
      </c>
      <c r="M1147" s="50" t="s">
        <v>212</v>
      </c>
      <c r="N1147" s="50"/>
      <c r="O1147" s="50"/>
      <c r="P1147" s="50"/>
      <c r="Q1147" s="50"/>
      <c r="R1147" s="50"/>
      <c r="S1147" s="50" t="str">
        <f t="shared" si="112"/>
        <v/>
      </c>
      <c r="T1147" s="50" t="str">
        <f t="shared" si="114"/>
        <v/>
      </c>
      <c r="U1147" s="50" t="str">
        <f t="shared" si="115"/>
        <v/>
      </c>
      <c r="V1147" s="50" t="str">
        <f t="shared" si="113"/>
        <v/>
      </c>
      <c r="W1147" s="50"/>
      <c r="X1147" s="50"/>
      <c r="Y1147" s="50"/>
      <c r="Z1147" s="50"/>
      <c r="AA1147" s="50"/>
    </row>
    <row r="1148" spans="1:27" ht="25.5" customHeight="1">
      <c r="A1148" s="517" t="s">
        <v>2286</v>
      </c>
      <c r="B1148" s="51" t="s">
        <v>3130</v>
      </c>
      <c r="C1148" s="51" t="s">
        <v>143</v>
      </c>
      <c r="D1148" s="51" t="s">
        <v>4704</v>
      </c>
      <c r="E1148" s="50">
        <v>801</v>
      </c>
      <c r="F1148" s="50">
        <v>870</v>
      </c>
      <c r="G1148" s="50" t="s">
        <v>3404</v>
      </c>
      <c r="H1148" s="50">
        <v>2024</v>
      </c>
      <c r="I1148" s="132">
        <v>45568</v>
      </c>
      <c r="J1148" s="50"/>
      <c r="K1148" s="50" t="s">
        <v>30</v>
      </c>
      <c r="L1148" s="50" t="s">
        <v>2289</v>
      </c>
      <c r="M1148" s="50" t="s">
        <v>212</v>
      </c>
      <c r="N1148" s="50"/>
      <c r="O1148" s="50"/>
      <c r="P1148" s="50"/>
      <c r="Q1148" s="50"/>
      <c r="R1148" s="50"/>
      <c r="S1148" s="50" t="str">
        <f t="shared" si="112"/>
        <v/>
      </c>
      <c r="T1148" s="50" t="str">
        <f t="shared" si="114"/>
        <v/>
      </c>
      <c r="U1148" s="50" t="str">
        <f t="shared" si="115"/>
        <v/>
      </c>
      <c r="V1148" s="50" t="str">
        <f t="shared" si="113"/>
        <v/>
      </c>
      <c r="W1148" s="50"/>
      <c r="X1148" s="50" t="s">
        <v>4</v>
      </c>
      <c r="Y1148" s="50" t="s">
        <v>50</v>
      </c>
      <c r="Z1148" s="50" t="s">
        <v>3406</v>
      </c>
      <c r="AA1148" s="50"/>
    </row>
    <row r="1149" spans="1:27" ht="25.5" customHeight="1">
      <c r="A1149" s="517" t="s">
        <v>2286</v>
      </c>
      <c r="B1149" s="51" t="s">
        <v>3130</v>
      </c>
      <c r="C1149" s="51" t="s">
        <v>143</v>
      </c>
      <c r="D1149" s="51" t="s">
        <v>4705</v>
      </c>
      <c r="E1149" s="50">
        <v>3096</v>
      </c>
      <c r="F1149" s="50">
        <v>3514</v>
      </c>
      <c r="G1149" s="50" t="s">
        <v>3404</v>
      </c>
      <c r="H1149" s="50">
        <v>2024</v>
      </c>
      <c r="I1149" s="132">
        <v>45568</v>
      </c>
      <c r="J1149" s="50"/>
      <c r="K1149" s="50" t="s">
        <v>30</v>
      </c>
      <c r="L1149" s="50" t="s">
        <v>2289</v>
      </c>
      <c r="M1149" s="50" t="s">
        <v>212</v>
      </c>
      <c r="N1149" s="50"/>
      <c r="O1149" s="50"/>
      <c r="P1149" s="50"/>
      <c r="Q1149" s="50"/>
      <c r="R1149" s="50"/>
      <c r="S1149" s="50" t="str">
        <f t="shared" si="112"/>
        <v/>
      </c>
      <c r="T1149" s="50" t="str">
        <f t="shared" si="114"/>
        <v/>
      </c>
      <c r="U1149" s="50" t="str">
        <f t="shared" si="115"/>
        <v/>
      </c>
      <c r="V1149" s="50" t="str">
        <f t="shared" si="113"/>
        <v/>
      </c>
      <c r="W1149" s="50"/>
      <c r="X1149" s="50" t="s">
        <v>4</v>
      </c>
      <c r="Y1149" s="50" t="s">
        <v>50</v>
      </c>
      <c r="Z1149" s="50" t="s">
        <v>3406</v>
      </c>
      <c r="AA1149" s="50"/>
    </row>
    <row r="1150" spans="1:27" ht="25.5" customHeight="1">
      <c r="A1150" s="517" t="s">
        <v>2286</v>
      </c>
      <c r="B1150" s="51" t="s">
        <v>3130</v>
      </c>
      <c r="C1150" s="51" t="s">
        <v>143</v>
      </c>
      <c r="D1150" s="51" t="s">
        <v>4706</v>
      </c>
      <c r="E1150" s="50">
        <v>2293</v>
      </c>
      <c r="F1150" s="50">
        <v>2524</v>
      </c>
      <c r="G1150" s="50" t="s">
        <v>3404</v>
      </c>
      <c r="H1150" s="50">
        <v>2024</v>
      </c>
      <c r="I1150" s="132">
        <v>45463</v>
      </c>
      <c r="J1150" s="50"/>
      <c r="K1150" s="50" t="s">
        <v>30</v>
      </c>
      <c r="L1150" s="50" t="s">
        <v>2289</v>
      </c>
      <c r="M1150" s="50" t="s">
        <v>212</v>
      </c>
      <c r="N1150" s="50"/>
      <c r="O1150" s="50"/>
      <c r="P1150" s="50"/>
      <c r="Q1150" s="50"/>
      <c r="R1150" s="50"/>
      <c r="S1150" s="50" t="str">
        <f t="shared" si="112"/>
        <v/>
      </c>
      <c r="T1150" s="50" t="str">
        <f t="shared" si="114"/>
        <v/>
      </c>
      <c r="U1150" s="50" t="str">
        <f t="shared" si="115"/>
        <v/>
      </c>
      <c r="V1150" s="50" t="str">
        <f t="shared" si="113"/>
        <v/>
      </c>
      <c r="W1150" s="50"/>
      <c r="X1150" s="50" t="s">
        <v>4</v>
      </c>
      <c r="Y1150" s="50" t="s">
        <v>50</v>
      </c>
      <c r="Z1150" s="50" t="s">
        <v>3406</v>
      </c>
      <c r="AA1150" s="50"/>
    </row>
    <row r="1151" spans="1:27" ht="25.5" customHeight="1">
      <c r="A1151" s="517" t="s">
        <v>2286</v>
      </c>
      <c r="B1151" s="51" t="s">
        <v>3130</v>
      </c>
      <c r="C1151" s="51" t="s">
        <v>143</v>
      </c>
      <c r="D1151" s="51" t="s">
        <v>4707</v>
      </c>
      <c r="E1151" s="50">
        <v>2480</v>
      </c>
      <c r="F1151" s="50">
        <v>2845</v>
      </c>
      <c r="G1151" s="50" t="s">
        <v>3404</v>
      </c>
      <c r="H1151" s="50">
        <v>2025</v>
      </c>
      <c r="I1151" s="132">
        <v>45695</v>
      </c>
      <c r="J1151" s="50" t="s">
        <v>3458</v>
      </c>
      <c r="K1151" s="50" t="s">
        <v>30</v>
      </c>
      <c r="L1151" s="50" t="s">
        <v>2289</v>
      </c>
      <c r="M1151" s="50" t="s">
        <v>212</v>
      </c>
      <c r="N1151" s="50" t="s">
        <v>4708</v>
      </c>
      <c r="O1151" s="60">
        <v>45698</v>
      </c>
      <c r="P1151" s="60">
        <v>45699</v>
      </c>
      <c r="Q1151" s="60">
        <v>45699</v>
      </c>
      <c r="R1151" s="60">
        <v>45701</v>
      </c>
      <c r="S1151" s="50">
        <f t="shared" si="112"/>
        <v>1</v>
      </c>
      <c r="T1151" s="50">
        <f t="shared" si="114"/>
        <v>1</v>
      </c>
      <c r="U1151" s="50">
        <f t="shared" si="115"/>
        <v>1</v>
      </c>
      <c r="V1151" s="50">
        <f t="shared" si="113"/>
        <v>2</v>
      </c>
      <c r="W1151" s="50" t="s">
        <v>150</v>
      </c>
      <c r="X1151" s="50" t="s">
        <v>1078</v>
      </c>
      <c r="Y1151" s="50" t="s">
        <v>50</v>
      </c>
      <c r="Z1151" s="50" t="s">
        <v>3406</v>
      </c>
      <c r="AA1151" s="50" t="s">
        <v>815</v>
      </c>
    </row>
    <row r="1152" spans="1:27" ht="25.5" customHeight="1">
      <c r="A1152" s="517" t="s">
        <v>2286</v>
      </c>
      <c r="B1152" s="51" t="s">
        <v>3130</v>
      </c>
      <c r="C1152" s="51" t="s">
        <v>143</v>
      </c>
      <c r="D1152" s="51" t="s">
        <v>4709</v>
      </c>
      <c r="E1152" s="50">
        <v>2914</v>
      </c>
      <c r="F1152" s="50">
        <v>3711</v>
      </c>
      <c r="G1152" s="50" t="s">
        <v>3404</v>
      </c>
      <c r="H1152" s="50">
        <v>2024</v>
      </c>
      <c r="I1152" s="132">
        <v>45463</v>
      </c>
      <c r="J1152" s="50"/>
      <c r="K1152" s="50" t="s">
        <v>30</v>
      </c>
      <c r="L1152" s="50" t="s">
        <v>2289</v>
      </c>
      <c r="M1152" s="50" t="s">
        <v>212</v>
      </c>
      <c r="N1152" s="50"/>
      <c r="O1152" s="50"/>
      <c r="P1152" s="50"/>
      <c r="Q1152" s="50"/>
      <c r="R1152" s="50"/>
      <c r="S1152" s="50" t="str">
        <f t="shared" si="112"/>
        <v/>
      </c>
      <c r="T1152" s="50" t="str">
        <f t="shared" si="114"/>
        <v/>
      </c>
      <c r="U1152" s="50" t="str">
        <f t="shared" si="115"/>
        <v/>
      </c>
      <c r="V1152" s="50" t="str">
        <f t="shared" si="113"/>
        <v/>
      </c>
      <c r="W1152" s="50"/>
      <c r="X1152" s="50" t="s">
        <v>4</v>
      </c>
      <c r="Y1152" s="50" t="s">
        <v>50</v>
      </c>
      <c r="Z1152" s="50" t="s">
        <v>3406</v>
      </c>
      <c r="AA1152" s="50"/>
    </row>
    <row r="1153" spans="1:27" ht="25.5" customHeight="1">
      <c r="A1153" s="517" t="s">
        <v>2286</v>
      </c>
      <c r="B1153" s="51" t="s">
        <v>3130</v>
      </c>
      <c r="C1153" s="51" t="s">
        <v>143</v>
      </c>
      <c r="D1153" s="51" t="s">
        <v>4710</v>
      </c>
      <c r="E1153" s="50">
        <v>10694</v>
      </c>
      <c r="F1153" s="50">
        <v>12922</v>
      </c>
      <c r="G1153" s="50" t="s">
        <v>3404</v>
      </c>
      <c r="H1153" s="50">
        <v>2024</v>
      </c>
      <c r="I1153" s="132">
        <v>45611</v>
      </c>
      <c r="J1153" s="50"/>
      <c r="K1153" s="50" t="s">
        <v>30</v>
      </c>
      <c r="L1153" s="50" t="s">
        <v>2289</v>
      </c>
      <c r="M1153" s="50" t="s">
        <v>212</v>
      </c>
      <c r="N1153" s="50"/>
      <c r="O1153" s="50"/>
      <c r="P1153" s="50"/>
      <c r="Q1153" s="50"/>
      <c r="R1153" s="50"/>
      <c r="S1153" s="50" t="str">
        <f t="shared" si="112"/>
        <v/>
      </c>
      <c r="T1153" s="50" t="str">
        <f t="shared" si="114"/>
        <v/>
      </c>
      <c r="U1153" s="50" t="str">
        <f t="shared" si="115"/>
        <v/>
      </c>
      <c r="V1153" s="50" t="str">
        <f t="shared" si="113"/>
        <v/>
      </c>
      <c r="W1153" s="50"/>
      <c r="X1153" s="50" t="s">
        <v>4</v>
      </c>
      <c r="Y1153" s="50" t="s">
        <v>50</v>
      </c>
      <c r="Z1153" s="50" t="s">
        <v>3406</v>
      </c>
      <c r="AA1153" s="50"/>
    </row>
    <row r="1154" spans="1:27" ht="25.5" customHeight="1">
      <c r="A1154" s="517" t="s">
        <v>2286</v>
      </c>
      <c r="B1154" s="51" t="s">
        <v>3130</v>
      </c>
      <c r="C1154" s="51" t="s">
        <v>143</v>
      </c>
      <c r="D1154" s="51" t="s">
        <v>4711</v>
      </c>
      <c r="E1154" s="50">
        <v>1926</v>
      </c>
      <c r="F1154" s="50">
        <v>2004</v>
      </c>
      <c r="G1154" s="50" t="s">
        <v>3404</v>
      </c>
      <c r="H1154" s="50">
        <v>2024</v>
      </c>
      <c r="I1154" s="132">
        <v>45610</v>
      </c>
      <c r="J1154" s="50"/>
      <c r="K1154" s="50" t="s">
        <v>30</v>
      </c>
      <c r="L1154" s="50" t="s">
        <v>2289</v>
      </c>
      <c r="M1154" s="50" t="s">
        <v>212</v>
      </c>
      <c r="N1154" s="50"/>
      <c r="O1154" s="50"/>
      <c r="P1154" s="50"/>
      <c r="Q1154" s="50"/>
      <c r="R1154" s="50"/>
      <c r="S1154" s="50" t="str">
        <f t="shared" si="112"/>
        <v/>
      </c>
      <c r="T1154" s="50" t="str">
        <f t="shared" si="114"/>
        <v/>
      </c>
      <c r="U1154" s="50" t="str">
        <f t="shared" si="115"/>
        <v/>
      </c>
      <c r="V1154" s="50" t="str">
        <f t="shared" si="113"/>
        <v/>
      </c>
      <c r="W1154" s="50"/>
      <c r="X1154" s="50" t="s">
        <v>4</v>
      </c>
      <c r="Y1154" s="50" t="s">
        <v>50</v>
      </c>
      <c r="Z1154" s="50" t="s">
        <v>3406</v>
      </c>
      <c r="AA1154" s="50"/>
    </row>
    <row r="1155" spans="1:27" ht="25.5" customHeight="1">
      <c r="A1155" s="517" t="s">
        <v>2286</v>
      </c>
      <c r="B1155" s="51" t="s">
        <v>3130</v>
      </c>
      <c r="C1155" s="51" t="s">
        <v>143</v>
      </c>
      <c r="D1155" s="51" t="s">
        <v>4712</v>
      </c>
      <c r="E1155" s="50">
        <v>1394</v>
      </c>
      <c r="F1155" s="50">
        <v>1820</v>
      </c>
      <c r="G1155" s="50" t="s">
        <v>3404</v>
      </c>
      <c r="H1155" s="50">
        <v>2025</v>
      </c>
      <c r="I1155" s="132">
        <v>45889</v>
      </c>
      <c r="J1155" s="50" t="s">
        <v>3127</v>
      </c>
      <c r="K1155" s="50" t="s">
        <v>30</v>
      </c>
      <c r="L1155" s="50" t="s">
        <v>28</v>
      </c>
      <c r="M1155" s="50" t="s">
        <v>212</v>
      </c>
      <c r="N1155" s="50" t="s">
        <v>4713</v>
      </c>
      <c r="O1155" s="60">
        <v>45907</v>
      </c>
      <c r="P1155" s="60">
        <v>45912</v>
      </c>
      <c r="Q1155" s="60">
        <v>45915</v>
      </c>
      <c r="R1155" s="60">
        <v>45917</v>
      </c>
      <c r="S1155" s="50">
        <f t="shared" si="112"/>
        <v>12</v>
      </c>
      <c r="T1155" s="50">
        <f t="shared" si="114"/>
        <v>4</v>
      </c>
      <c r="U1155" s="50">
        <f t="shared" si="115"/>
        <v>1</v>
      </c>
      <c r="V1155" s="50">
        <f t="shared" si="113"/>
        <v>2</v>
      </c>
      <c r="W1155" s="50" t="s">
        <v>150</v>
      </c>
      <c r="X1155" s="50" t="s">
        <v>1078</v>
      </c>
      <c r="Y1155" s="50" t="s">
        <v>50</v>
      </c>
      <c r="Z1155" s="50" t="s">
        <v>3406</v>
      </c>
      <c r="AA1155" s="50" t="s">
        <v>815</v>
      </c>
    </row>
    <row r="1156" spans="1:27" ht="25.5" customHeight="1">
      <c r="A1156" s="517" t="s">
        <v>2286</v>
      </c>
      <c r="B1156" s="51" t="s">
        <v>3130</v>
      </c>
      <c r="C1156" s="51" t="s">
        <v>143</v>
      </c>
      <c r="D1156" s="51" t="s">
        <v>3974</v>
      </c>
      <c r="E1156" s="50">
        <v>8699</v>
      </c>
      <c r="F1156" s="50">
        <v>9525</v>
      </c>
      <c r="G1156" s="50" t="s">
        <v>3404</v>
      </c>
      <c r="H1156" s="50">
        <v>2025</v>
      </c>
      <c r="I1156" s="132">
        <v>45889</v>
      </c>
      <c r="J1156" s="50" t="s">
        <v>3127</v>
      </c>
      <c r="K1156" s="50" t="s">
        <v>30</v>
      </c>
      <c r="L1156" s="50" t="s">
        <v>28</v>
      </c>
      <c r="M1156" s="50" t="s">
        <v>212</v>
      </c>
      <c r="N1156" s="50" t="s">
        <v>4714</v>
      </c>
      <c r="O1156" s="60">
        <v>45907</v>
      </c>
      <c r="P1156" s="60">
        <v>45912</v>
      </c>
      <c r="Q1156" s="60">
        <v>45915</v>
      </c>
      <c r="R1156" s="60">
        <v>45917</v>
      </c>
      <c r="S1156" s="50">
        <f t="shared" si="112"/>
        <v>12</v>
      </c>
      <c r="T1156" s="50">
        <f t="shared" si="114"/>
        <v>4</v>
      </c>
      <c r="U1156" s="50">
        <f t="shared" si="115"/>
        <v>1</v>
      </c>
      <c r="V1156" s="50">
        <f t="shared" si="113"/>
        <v>2</v>
      </c>
      <c r="W1156" s="50" t="s">
        <v>150</v>
      </c>
      <c r="X1156" s="50" t="s">
        <v>1078</v>
      </c>
      <c r="Y1156" s="50" t="s">
        <v>50</v>
      </c>
      <c r="Z1156" s="50" t="s">
        <v>3406</v>
      </c>
      <c r="AA1156" s="50"/>
    </row>
    <row r="1157" spans="1:27" ht="25.5" customHeight="1">
      <c r="A1157" s="517" t="s">
        <v>2286</v>
      </c>
      <c r="B1157" s="51" t="s">
        <v>3130</v>
      </c>
      <c r="C1157" s="51" t="s">
        <v>143</v>
      </c>
      <c r="D1157" s="51" t="s">
        <v>4715</v>
      </c>
      <c r="E1157" s="50">
        <v>2375</v>
      </c>
      <c r="F1157" s="50">
        <v>2139</v>
      </c>
      <c r="G1157" s="50" t="s">
        <v>3404</v>
      </c>
      <c r="H1157" s="50">
        <v>2025</v>
      </c>
      <c r="I1157" s="132">
        <v>45772</v>
      </c>
      <c r="J1157" s="50" t="s">
        <v>3532</v>
      </c>
      <c r="K1157" s="50" t="s">
        <v>30</v>
      </c>
      <c r="L1157" s="50" t="s">
        <v>28</v>
      </c>
      <c r="M1157" s="50" t="s">
        <v>212</v>
      </c>
      <c r="N1157" s="50" t="s">
        <v>4716</v>
      </c>
      <c r="O1157" s="60">
        <v>45777</v>
      </c>
      <c r="P1157" s="60">
        <v>45777</v>
      </c>
      <c r="Q1157" s="60">
        <v>45777</v>
      </c>
      <c r="R1157" s="60">
        <v>45779</v>
      </c>
      <c r="S1157" s="50">
        <f t="shared" si="112"/>
        <v>3</v>
      </c>
      <c r="T1157" s="50">
        <f t="shared" si="114"/>
        <v>1</v>
      </c>
      <c r="U1157" s="50">
        <f t="shared" si="115"/>
        <v>1</v>
      </c>
      <c r="V1157" s="50">
        <f t="shared" si="113"/>
        <v>2</v>
      </c>
      <c r="W1157" s="50" t="s">
        <v>150</v>
      </c>
      <c r="X1157" s="50" t="s">
        <v>1078</v>
      </c>
      <c r="Y1157" s="50" t="s">
        <v>50</v>
      </c>
      <c r="Z1157" s="50" t="s">
        <v>3406</v>
      </c>
      <c r="AA1157" s="50"/>
    </row>
    <row r="1158" spans="1:27" ht="25.5" customHeight="1">
      <c r="A1158" s="517" t="s">
        <v>2286</v>
      </c>
      <c r="B1158" s="51" t="s">
        <v>3130</v>
      </c>
      <c r="C1158" s="51" t="s">
        <v>143</v>
      </c>
      <c r="D1158" s="51" t="s">
        <v>4717</v>
      </c>
      <c r="E1158" s="50">
        <v>5633</v>
      </c>
      <c r="F1158" s="50">
        <v>5933</v>
      </c>
      <c r="G1158" s="50" t="s">
        <v>3404</v>
      </c>
      <c r="H1158" s="50">
        <v>2024</v>
      </c>
      <c r="I1158" s="132">
        <v>45317</v>
      </c>
      <c r="J1158" s="50"/>
      <c r="K1158" s="50" t="s">
        <v>30</v>
      </c>
      <c r="L1158" s="50" t="s">
        <v>2289</v>
      </c>
      <c r="M1158" s="50" t="s">
        <v>212</v>
      </c>
      <c r="N1158" s="50"/>
      <c r="O1158" s="50"/>
      <c r="P1158" s="50"/>
      <c r="Q1158" s="50"/>
      <c r="R1158" s="50"/>
      <c r="S1158" s="50" t="str">
        <f t="shared" si="112"/>
        <v/>
      </c>
      <c r="T1158" s="50" t="str">
        <f t="shared" si="114"/>
        <v/>
      </c>
      <c r="U1158" s="50" t="str">
        <f t="shared" si="115"/>
        <v/>
      </c>
      <c r="V1158" s="50" t="str">
        <f t="shared" si="113"/>
        <v/>
      </c>
      <c r="W1158" s="50"/>
      <c r="X1158" s="50"/>
      <c r="Y1158" s="50"/>
      <c r="Z1158" s="50" t="s">
        <v>3406</v>
      </c>
      <c r="AA1158" s="50"/>
    </row>
    <row r="1159" spans="1:27" ht="25.5" customHeight="1">
      <c r="A1159" s="517" t="s">
        <v>2286</v>
      </c>
      <c r="B1159" s="51" t="s">
        <v>3130</v>
      </c>
      <c r="C1159" s="51" t="s">
        <v>143</v>
      </c>
      <c r="D1159" s="51" t="s">
        <v>1439</v>
      </c>
      <c r="E1159" s="50">
        <v>12771</v>
      </c>
      <c r="F1159" s="50">
        <v>13142</v>
      </c>
      <c r="G1159" s="50" t="s">
        <v>3404</v>
      </c>
      <c r="H1159" s="50">
        <v>2025</v>
      </c>
      <c r="I1159" s="132">
        <v>45678</v>
      </c>
      <c r="J1159" s="50" t="s">
        <v>3424</v>
      </c>
      <c r="K1159" s="50" t="s">
        <v>30</v>
      </c>
      <c r="L1159" s="50" t="s">
        <v>2289</v>
      </c>
      <c r="M1159" s="50" t="s">
        <v>212</v>
      </c>
      <c r="N1159" s="50" t="s">
        <v>4718</v>
      </c>
      <c r="O1159" s="60">
        <v>45678</v>
      </c>
      <c r="P1159" s="60">
        <v>45681</v>
      </c>
      <c r="Q1159" s="60">
        <v>45681</v>
      </c>
      <c r="R1159" s="60">
        <v>45681</v>
      </c>
      <c r="S1159" s="50">
        <f t="shared" ref="S1159:S1222" si="116">IF(
    OR(ISBLANK(I1159), ISBLANK(O1159)),
    "",
    MAX(1, IF(
        NETWORKDAYS(I1159, O1159) &lt;= 0,
        1,
        NETWORKDAYS(I1159, O1159) - IF(I1159 = O1159, 0, 1)
    ))
)</f>
        <v>1</v>
      </c>
      <c r="T1159" s="50">
        <f t="shared" si="114"/>
        <v>3</v>
      </c>
      <c r="U1159" s="50">
        <f t="shared" si="115"/>
        <v>1</v>
      </c>
      <c r="V1159" s="50">
        <f t="shared" si="113"/>
        <v>1</v>
      </c>
      <c r="W1159" s="50" t="s">
        <v>150</v>
      </c>
      <c r="X1159" s="50" t="s">
        <v>1078</v>
      </c>
      <c r="Y1159" s="50" t="s">
        <v>50</v>
      </c>
      <c r="Z1159" s="50" t="s">
        <v>3406</v>
      </c>
      <c r="AA1159" s="50" t="s">
        <v>815</v>
      </c>
    </row>
    <row r="1160" spans="1:27" ht="25.5" customHeight="1">
      <c r="A1160" s="517" t="s">
        <v>2286</v>
      </c>
      <c r="B1160" s="51" t="s">
        <v>3130</v>
      </c>
      <c r="C1160" s="51" t="s">
        <v>143</v>
      </c>
      <c r="D1160" s="51" t="s">
        <v>3878</v>
      </c>
      <c r="E1160" s="50">
        <v>8601</v>
      </c>
      <c r="F1160" s="50">
        <v>9092</v>
      </c>
      <c r="G1160" s="50" t="s">
        <v>3404</v>
      </c>
      <c r="H1160" s="50">
        <v>2025</v>
      </c>
      <c r="I1160" s="132">
        <v>45889</v>
      </c>
      <c r="J1160" s="50" t="s">
        <v>3127</v>
      </c>
      <c r="K1160" s="50" t="s">
        <v>30</v>
      </c>
      <c r="L1160" s="50" t="s">
        <v>28</v>
      </c>
      <c r="M1160" s="50" t="s">
        <v>212</v>
      </c>
      <c r="N1160" s="50" t="s">
        <v>4719</v>
      </c>
      <c r="O1160" s="60">
        <v>45907</v>
      </c>
      <c r="P1160" s="60">
        <v>45912</v>
      </c>
      <c r="Q1160" s="60">
        <v>45915</v>
      </c>
      <c r="R1160" s="60">
        <v>45917</v>
      </c>
      <c r="S1160" s="50">
        <f t="shared" si="116"/>
        <v>12</v>
      </c>
      <c r="T1160" s="50">
        <f t="shared" si="114"/>
        <v>4</v>
      </c>
      <c r="U1160" s="50">
        <f t="shared" si="115"/>
        <v>1</v>
      </c>
      <c r="V1160" s="50">
        <f t="shared" si="113"/>
        <v>2</v>
      </c>
      <c r="W1160" s="50" t="s">
        <v>150</v>
      </c>
      <c r="X1160" s="50" t="s">
        <v>1078</v>
      </c>
      <c r="Y1160" s="50" t="s">
        <v>50</v>
      </c>
      <c r="Z1160" s="50" t="s">
        <v>3406</v>
      </c>
      <c r="AA1160" s="50"/>
    </row>
    <row r="1161" spans="1:27" ht="25.5" customHeight="1">
      <c r="A1161" s="517" t="s">
        <v>2286</v>
      </c>
      <c r="B1161" s="51" t="s">
        <v>3130</v>
      </c>
      <c r="C1161" s="51" t="s">
        <v>143</v>
      </c>
      <c r="D1161" s="51" t="s">
        <v>1899</v>
      </c>
      <c r="E1161" s="50">
        <v>3797</v>
      </c>
      <c r="F1161" s="50">
        <v>3680</v>
      </c>
      <c r="G1161" s="50" t="s">
        <v>3404</v>
      </c>
      <c r="H1161" s="50">
        <v>2024</v>
      </c>
      <c r="I1161" s="132">
        <v>45611</v>
      </c>
      <c r="J1161" s="50"/>
      <c r="K1161" s="50" t="s">
        <v>30</v>
      </c>
      <c r="L1161" s="50" t="s">
        <v>2289</v>
      </c>
      <c r="M1161" s="50" t="s">
        <v>212</v>
      </c>
      <c r="N1161" s="50"/>
      <c r="O1161" s="50"/>
      <c r="P1161" s="50"/>
      <c r="Q1161" s="50"/>
      <c r="R1161" s="50"/>
      <c r="S1161" s="50" t="str">
        <f t="shared" si="116"/>
        <v/>
      </c>
      <c r="T1161" s="50" t="str">
        <f t="shared" si="114"/>
        <v/>
      </c>
      <c r="U1161" s="50" t="str">
        <f t="shared" si="115"/>
        <v/>
      </c>
      <c r="V1161" s="50" t="str">
        <f t="shared" si="113"/>
        <v/>
      </c>
      <c r="W1161" s="50"/>
      <c r="X1161" s="50" t="s">
        <v>4</v>
      </c>
      <c r="Y1161" s="50" t="s">
        <v>50</v>
      </c>
      <c r="Z1161" s="50" t="s">
        <v>3406</v>
      </c>
      <c r="AA1161" s="50"/>
    </row>
    <row r="1162" spans="1:27" ht="25.5" customHeight="1">
      <c r="A1162" s="517" t="s">
        <v>2286</v>
      </c>
      <c r="B1162" s="51" t="s">
        <v>3130</v>
      </c>
      <c r="C1162" s="51" t="s">
        <v>143</v>
      </c>
      <c r="D1162" s="51" t="s">
        <v>4720</v>
      </c>
      <c r="E1162" s="50">
        <v>4600</v>
      </c>
      <c r="F1162" s="50">
        <v>6162</v>
      </c>
      <c r="G1162" s="50" t="s">
        <v>3404</v>
      </c>
      <c r="H1162" s="50">
        <v>2025</v>
      </c>
      <c r="I1162" s="132">
        <v>45806</v>
      </c>
      <c r="J1162" s="50" t="s">
        <v>3689</v>
      </c>
      <c r="K1162" s="50" t="s">
        <v>30</v>
      </c>
      <c r="L1162" s="50" t="s">
        <v>28</v>
      </c>
      <c r="M1162" s="50" t="s">
        <v>212</v>
      </c>
      <c r="N1162" s="50" t="s">
        <v>4721</v>
      </c>
      <c r="O1162" s="60">
        <v>45813</v>
      </c>
      <c r="P1162" s="60">
        <v>45813</v>
      </c>
      <c r="Q1162" s="60">
        <v>45813</v>
      </c>
      <c r="R1162" s="60">
        <v>45824</v>
      </c>
      <c r="S1162" s="50">
        <f t="shared" si="116"/>
        <v>5</v>
      </c>
      <c r="T1162" s="50">
        <f t="shared" si="114"/>
        <v>1</v>
      </c>
      <c r="U1162" s="50">
        <f t="shared" si="115"/>
        <v>1</v>
      </c>
      <c r="V1162" s="50">
        <f t="shared" si="113"/>
        <v>7</v>
      </c>
      <c r="W1162" s="50" t="s">
        <v>150</v>
      </c>
      <c r="X1162" s="50" t="s">
        <v>1078</v>
      </c>
      <c r="Y1162" s="50" t="s">
        <v>50</v>
      </c>
      <c r="Z1162" s="50" t="s">
        <v>3406</v>
      </c>
      <c r="AA1162" s="50"/>
    </row>
    <row r="1163" spans="1:27" ht="25.5" customHeight="1">
      <c r="A1163" s="517" t="s">
        <v>2286</v>
      </c>
      <c r="B1163" s="51" t="s">
        <v>3130</v>
      </c>
      <c r="C1163" s="51" t="s">
        <v>143</v>
      </c>
      <c r="D1163" s="51" t="s">
        <v>4722</v>
      </c>
      <c r="E1163" s="50">
        <v>4349</v>
      </c>
      <c r="F1163" s="50">
        <v>4483</v>
      </c>
      <c r="G1163" s="50" t="s">
        <v>3404</v>
      </c>
      <c r="H1163" s="50">
        <v>2025</v>
      </c>
      <c r="I1163" s="132">
        <v>45806</v>
      </c>
      <c r="J1163" s="50" t="s">
        <v>3689</v>
      </c>
      <c r="K1163" s="50" t="s">
        <v>30</v>
      </c>
      <c r="L1163" s="50" t="s">
        <v>28</v>
      </c>
      <c r="M1163" s="50" t="s">
        <v>212</v>
      </c>
      <c r="N1163" s="50" t="s">
        <v>4723</v>
      </c>
      <c r="O1163" s="60">
        <v>45813</v>
      </c>
      <c r="P1163" s="60">
        <v>45813</v>
      </c>
      <c r="Q1163" s="60">
        <v>45813</v>
      </c>
      <c r="R1163" s="60">
        <v>45824</v>
      </c>
      <c r="S1163" s="50">
        <f t="shared" si="116"/>
        <v>5</v>
      </c>
      <c r="T1163" s="50">
        <f t="shared" si="114"/>
        <v>1</v>
      </c>
      <c r="U1163" s="50">
        <f t="shared" si="115"/>
        <v>1</v>
      </c>
      <c r="V1163" s="50">
        <f t="shared" si="113"/>
        <v>7</v>
      </c>
      <c r="W1163" s="50" t="s">
        <v>150</v>
      </c>
      <c r="X1163" s="50" t="s">
        <v>1078</v>
      </c>
      <c r="Y1163" s="50" t="s">
        <v>50</v>
      </c>
      <c r="Z1163" s="50" t="s">
        <v>3406</v>
      </c>
      <c r="AA1163" s="50"/>
    </row>
    <row r="1164" spans="1:27" ht="25.5" customHeight="1">
      <c r="A1164" s="517" t="s">
        <v>2286</v>
      </c>
      <c r="B1164" s="51" t="s">
        <v>3130</v>
      </c>
      <c r="C1164" s="51" t="s">
        <v>143</v>
      </c>
      <c r="D1164" s="51" t="s">
        <v>3727</v>
      </c>
      <c r="E1164" s="50">
        <v>5524</v>
      </c>
      <c r="F1164" s="50">
        <v>5019</v>
      </c>
      <c r="G1164" s="50" t="s">
        <v>3404</v>
      </c>
      <c r="H1164" s="50">
        <v>2025</v>
      </c>
      <c r="I1164" s="132">
        <v>45679</v>
      </c>
      <c r="J1164" s="50" t="s">
        <v>3424</v>
      </c>
      <c r="K1164" s="50" t="s">
        <v>30</v>
      </c>
      <c r="L1164" s="50" t="s">
        <v>2289</v>
      </c>
      <c r="M1164" s="50" t="s">
        <v>212</v>
      </c>
      <c r="N1164" s="50" t="s">
        <v>4724</v>
      </c>
      <c r="O1164" s="60">
        <v>45679</v>
      </c>
      <c r="P1164" s="60">
        <v>45681</v>
      </c>
      <c r="Q1164" s="60">
        <v>45681</v>
      </c>
      <c r="R1164" s="60">
        <v>45681</v>
      </c>
      <c r="S1164" s="50">
        <f t="shared" si="116"/>
        <v>1</v>
      </c>
      <c r="T1164" s="50">
        <f t="shared" si="114"/>
        <v>2</v>
      </c>
      <c r="U1164" s="50">
        <f t="shared" si="115"/>
        <v>1</v>
      </c>
      <c r="V1164" s="50">
        <f t="shared" si="113"/>
        <v>1</v>
      </c>
      <c r="W1164" s="50" t="s">
        <v>150</v>
      </c>
      <c r="X1164" s="50" t="s">
        <v>1078</v>
      </c>
      <c r="Y1164" s="50" t="s">
        <v>50</v>
      </c>
      <c r="Z1164" s="50" t="s">
        <v>3406</v>
      </c>
      <c r="AA1164" s="50" t="s">
        <v>815</v>
      </c>
    </row>
    <row r="1165" spans="1:27" ht="25.5" customHeight="1">
      <c r="A1165" s="517" t="s">
        <v>2286</v>
      </c>
      <c r="B1165" s="51" t="s">
        <v>3131</v>
      </c>
      <c r="C1165" s="51" t="s">
        <v>143</v>
      </c>
      <c r="D1165" s="51" t="s">
        <v>2190</v>
      </c>
      <c r="E1165" s="50">
        <v>3210</v>
      </c>
      <c r="F1165" s="50">
        <v>3942</v>
      </c>
      <c r="G1165" s="50" t="s">
        <v>3404</v>
      </c>
      <c r="H1165" s="50">
        <v>2024</v>
      </c>
      <c r="I1165" s="132">
        <v>45546</v>
      </c>
      <c r="J1165" s="50"/>
      <c r="K1165" s="50" t="s">
        <v>26</v>
      </c>
      <c r="L1165" s="50" t="s">
        <v>2289</v>
      </c>
      <c r="M1165" s="50" t="s">
        <v>212</v>
      </c>
      <c r="N1165" s="50"/>
      <c r="O1165" s="50"/>
      <c r="P1165" s="50"/>
      <c r="Q1165" s="50"/>
      <c r="R1165" s="50"/>
      <c r="S1165" s="50" t="str">
        <f t="shared" si="116"/>
        <v/>
      </c>
      <c r="T1165" s="50" t="str">
        <f t="shared" si="114"/>
        <v/>
      </c>
      <c r="U1165" s="50" t="str">
        <f t="shared" si="115"/>
        <v/>
      </c>
      <c r="V1165" s="50" t="str">
        <f t="shared" si="113"/>
        <v/>
      </c>
      <c r="W1165" s="50"/>
      <c r="X1165" s="50" t="s">
        <v>4</v>
      </c>
      <c r="Y1165" s="50" t="s">
        <v>50</v>
      </c>
      <c r="Z1165" s="50" t="s">
        <v>3406</v>
      </c>
      <c r="AA1165" s="50"/>
    </row>
    <row r="1166" spans="1:27" ht="25.5" customHeight="1">
      <c r="A1166" s="517" t="s">
        <v>2286</v>
      </c>
      <c r="B1166" s="51" t="s">
        <v>3131</v>
      </c>
      <c r="C1166" s="51" t="s">
        <v>143</v>
      </c>
      <c r="D1166" s="51" t="s">
        <v>4725</v>
      </c>
      <c r="E1166" s="50">
        <v>1190</v>
      </c>
      <c r="F1166" s="50">
        <v>1289</v>
      </c>
      <c r="G1166" s="50" t="s">
        <v>3404</v>
      </c>
      <c r="H1166" s="50">
        <v>2025</v>
      </c>
      <c r="I1166" s="132">
        <v>45882</v>
      </c>
      <c r="J1166" s="50" t="s">
        <v>3126</v>
      </c>
      <c r="K1166" s="50" t="s">
        <v>26</v>
      </c>
      <c r="L1166" s="50" t="s">
        <v>2289</v>
      </c>
      <c r="M1166" s="50" t="s">
        <v>212</v>
      </c>
      <c r="N1166" s="50" t="s">
        <v>4726</v>
      </c>
      <c r="O1166" s="60">
        <v>45885</v>
      </c>
      <c r="P1166" s="60">
        <v>45887</v>
      </c>
      <c r="Q1166" s="60">
        <v>45888</v>
      </c>
      <c r="R1166" s="60">
        <v>45889</v>
      </c>
      <c r="S1166" s="50">
        <f t="shared" si="116"/>
        <v>2</v>
      </c>
      <c r="T1166" s="50">
        <f t="shared" si="114"/>
        <v>1</v>
      </c>
      <c r="U1166" s="50">
        <f t="shared" si="115"/>
        <v>1</v>
      </c>
      <c r="V1166" s="50">
        <f t="shared" si="113"/>
        <v>1</v>
      </c>
      <c r="W1166" s="50" t="s">
        <v>150</v>
      </c>
      <c r="X1166" s="50" t="s">
        <v>4</v>
      </c>
      <c r="Y1166" s="50" t="s">
        <v>50</v>
      </c>
      <c r="Z1166" s="50" t="s">
        <v>3406</v>
      </c>
      <c r="AA1166" s="50"/>
    </row>
    <row r="1167" spans="1:27" ht="25.5" customHeight="1">
      <c r="A1167" s="517" t="s">
        <v>2286</v>
      </c>
      <c r="B1167" s="51" t="s">
        <v>3131</v>
      </c>
      <c r="C1167" s="51" t="s">
        <v>143</v>
      </c>
      <c r="D1167" s="51" t="s">
        <v>4170</v>
      </c>
      <c r="E1167" s="50">
        <v>963</v>
      </c>
      <c r="F1167" s="50">
        <v>697</v>
      </c>
      <c r="G1167" s="50" t="s">
        <v>3955</v>
      </c>
      <c r="H1167" s="50"/>
      <c r="I1167" s="105"/>
      <c r="J1167" s="50"/>
      <c r="K1167" s="50" t="s">
        <v>26</v>
      </c>
      <c r="L1167" s="50" t="s">
        <v>2289</v>
      </c>
      <c r="M1167" s="50" t="s">
        <v>212</v>
      </c>
      <c r="N1167" s="50"/>
      <c r="O1167" s="50"/>
      <c r="P1167" s="50"/>
      <c r="Q1167" s="50"/>
      <c r="R1167" s="50"/>
      <c r="S1167" s="50" t="str">
        <f t="shared" si="116"/>
        <v/>
      </c>
      <c r="T1167" s="50" t="str">
        <f t="shared" si="114"/>
        <v/>
      </c>
      <c r="U1167" s="50" t="str">
        <f t="shared" si="115"/>
        <v/>
      </c>
      <c r="V1167" s="50" t="str">
        <f t="shared" si="113"/>
        <v/>
      </c>
      <c r="W1167" s="50"/>
      <c r="X1167" s="50"/>
      <c r="Y1167" s="50"/>
      <c r="Z1167" s="50"/>
      <c r="AA1167" s="50"/>
    </row>
    <row r="1168" spans="1:27" ht="25.5" customHeight="1">
      <c r="A1168" s="517" t="s">
        <v>2286</v>
      </c>
      <c r="B1168" s="51" t="s">
        <v>3131</v>
      </c>
      <c r="C1168" s="51" t="s">
        <v>143</v>
      </c>
      <c r="D1168" s="51" t="s">
        <v>4727</v>
      </c>
      <c r="E1168" s="50">
        <v>5859</v>
      </c>
      <c r="F1168" s="50">
        <v>6876</v>
      </c>
      <c r="G1168" s="50" t="s">
        <v>3955</v>
      </c>
      <c r="H1168" s="50"/>
      <c r="I1168" s="105"/>
      <c r="J1168" s="50"/>
      <c r="K1168" s="50" t="s">
        <v>26</v>
      </c>
      <c r="L1168" s="50" t="s">
        <v>2289</v>
      </c>
      <c r="M1168" s="50" t="s">
        <v>212</v>
      </c>
      <c r="N1168" s="50"/>
      <c r="O1168" s="50"/>
      <c r="P1168" s="50"/>
      <c r="Q1168" s="50"/>
      <c r="R1168" s="50"/>
      <c r="S1168" s="50" t="str">
        <f t="shared" si="116"/>
        <v/>
      </c>
      <c r="T1168" s="50" t="str">
        <f t="shared" si="114"/>
        <v/>
      </c>
      <c r="U1168" s="50" t="str">
        <f t="shared" si="115"/>
        <v/>
      </c>
      <c r="V1168" s="50" t="str">
        <f t="shared" si="113"/>
        <v/>
      </c>
      <c r="W1168" s="50"/>
      <c r="X1168" s="50"/>
      <c r="Y1168" s="50"/>
      <c r="Z1168" s="50"/>
      <c r="AA1168" s="50"/>
    </row>
    <row r="1169" spans="1:27" ht="25.5" customHeight="1">
      <c r="A1169" s="517" t="s">
        <v>2286</v>
      </c>
      <c r="B1169" s="51" t="s">
        <v>3131</v>
      </c>
      <c r="C1169" s="51" t="s">
        <v>143</v>
      </c>
      <c r="D1169" s="51" t="s">
        <v>4728</v>
      </c>
      <c r="E1169" s="50">
        <v>2981</v>
      </c>
      <c r="F1169" s="50">
        <v>3614</v>
      </c>
      <c r="G1169" s="50" t="s">
        <v>3404</v>
      </c>
      <c r="H1169" s="50">
        <v>2024</v>
      </c>
      <c r="I1169" s="132">
        <v>45546</v>
      </c>
      <c r="J1169" s="50"/>
      <c r="K1169" s="50" t="s">
        <v>26</v>
      </c>
      <c r="L1169" s="50" t="s">
        <v>2289</v>
      </c>
      <c r="M1169" s="50" t="s">
        <v>212</v>
      </c>
      <c r="N1169" s="50"/>
      <c r="O1169" s="50"/>
      <c r="P1169" s="50"/>
      <c r="Q1169" s="50"/>
      <c r="R1169" s="50"/>
      <c r="S1169" s="50" t="str">
        <f t="shared" si="116"/>
        <v/>
      </c>
      <c r="T1169" s="50" t="str">
        <f t="shared" si="114"/>
        <v/>
      </c>
      <c r="U1169" s="50" t="str">
        <f t="shared" si="115"/>
        <v/>
      </c>
      <c r="V1169" s="50" t="str">
        <f t="shared" si="113"/>
        <v/>
      </c>
      <c r="W1169" s="50"/>
      <c r="X1169" s="50" t="s">
        <v>4</v>
      </c>
      <c r="Y1169" s="50" t="s">
        <v>50</v>
      </c>
      <c r="Z1169" s="50" t="s">
        <v>3406</v>
      </c>
      <c r="AA1169" s="50"/>
    </row>
    <row r="1170" spans="1:27" ht="25.5" customHeight="1">
      <c r="A1170" s="517" t="s">
        <v>2286</v>
      </c>
      <c r="B1170" s="51" t="s">
        <v>3131</v>
      </c>
      <c r="C1170" s="51" t="s">
        <v>143</v>
      </c>
      <c r="D1170" s="51" t="s">
        <v>4729</v>
      </c>
      <c r="E1170" s="50">
        <v>2359</v>
      </c>
      <c r="F1170" s="50">
        <v>2553</v>
      </c>
      <c r="G1170" s="50" t="s">
        <v>3404</v>
      </c>
      <c r="H1170" s="50">
        <v>2024</v>
      </c>
      <c r="I1170" s="132">
        <v>45608</v>
      </c>
      <c r="J1170" s="50"/>
      <c r="K1170" s="50" t="s">
        <v>26</v>
      </c>
      <c r="L1170" s="50" t="s">
        <v>2289</v>
      </c>
      <c r="M1170" s="50" t="s">
        <v>212</v>
      </c>
      <c r="N1170" s="50"/>
      <c r="O1170" s="50"/>
      <c r="P1170" s="50"/>
      <c r="Q1170" s="50"/>
      <c r="R1170" s="50"/>
      <c r="S1170" s="50" t="str">
        <f t="shared" si="116"/>
        <v/>
      </c>
      <c r="T1170" s="50" t="str">
        <f t="shared" si="114"/>
        <v/>
      </c>
      <c r="U1170" s="50" t="str">
        <f t="shared" si="115"/>
        <v/>
      </c>
      <c r="V1170" s="50" t="str">
        <f t="shared" si="113"/>
        <v/>
      </c>
      <c r="W1170" s="50"/>
      <c r="X1170" s="50" t="s">
        <v>4</v>
      </c>
      <c r="Y1170" s="50" t="s">
        <v>50</v>
      </c>
      <c r="Z1170" s="50" t="s">
        <v>3406</v>
      </c>
      <c r="AA1170" s="50"/>
    </row>
    <row r="1171" spans="1:27" ht="25.5" customHeight="1">
      <c r="A1171" s="517" t="s">
        <v>2286</v>
      </c>
      <c r="B1171" s="51" t="s">
        <v>3131</v>
      </c>
      <c r="C1171" s="51" t="s">
        <v>143</v>
      </c>
      <c r="D1171" s="51" t="s">
        <v>4730</v>
      </c>
      <c r="E1171" s="50">
        <v>2229</v>
      </c>
      <c r="F1171" s="50">
        <v>2024</v>
      </c>
      <c r="G1171" s="50" t="s">
        <v>3955</v>
      </c>
      <c r="H1171" s="50"/>
      <c r="I1171" s="105"/>
      <c r="J1171" s="50"/>
      <c r="K1171" s="50" t="s">
        <v>26</v>
      </c>
      <c r="L1171" s="50" t="s">
        <v>2289</v>
      </c>
      <c r="M1171" s="50" t="s">
        <v>212</v>
      </c>
      <c r="N1171" s="50"/>
      <c r="O1171" s="50"/>
      <c r="P1171" s="50"/>
      <c r="Q1171" s="50"/>
      <c r="R1171" s="50"/>
      <c r="S1171" s="50" t="str">
        <f t="shared" si="116"/>
        <v/>
      </c>
      <c r="T1171" s="50" t="str">
        <f t="shared" si="114"/>
        <v/>
      </c>
      <c r="U1171" s="50" t="str">
        <f t="shared" si="115"/>
        <v/>
      </c>
      <c r="V1171" s="50" t="str">
        <f t="shared" si="113"/>
        <v/>
      </c>
      <c r="W1171" s="50"/>
      <c r="X1171" s="50"/>
      <c r="Y1171" s="50"/>
      <c r="Z1171" s="50"/>
      <c r="AA1171" s="50"/>
    </row>
    <row r="1172" spans="1:27" ht="25.5" customHeight="1">
      <c r="A1172" s="517" t="s">
        <v>2286</v>
      </c>
      <c r="B1172" s="51" t="s">
        <v>3131</v>
      </c>
      <c r="C1172" s="51" t="s">
        <v>143</v>
      </c>
      <c r="D1172" s="51" t="s">
        <v>4731</v>
      </c>
      <c r="E1172" s="50">
        <v>1323</v>
      </c>
      <c r="F1172" s="50">
        <v>1354</v>
      </c>
      <c r="G1172" s="50" t="s">
        <v>3404</v>
      </c>
      <c r="H1172" s="50">
        <v>2024</v>
      </c>
      <c r="I1172" s="132">
        <v>45608</v>
      </c>
      <c r="J1172" s="119"/>
      <c r="K1172" s="50" t="s">
        <v>26</v>
      </c>
      <c r="L1172" s="50" t="s">
        <v>2289</v>
      </c>
      <c r="M1172" s="50" t="s">
        <v>212</v>
      </c>
      <c r="N1172" s="119"/>
      <c r="O1172" s="119"/>
      <c r="P1172" s="119"/>
      <c r="Q1172" s="119"/>
      <c r="R1172" s="119"/>
      <c r="S1172" s="50" t="str">
        <f t="shared" si="116"/>
        <v/>
      </c>
      <c r="T1172" s="50" t="str">
        <f t="shared" si="114"/>
        <v/>
      </c>
      <c r="U1172" s="50" t="str">
        <f t="shared" si="115"/>
        <v/>
      </c>
      <c r="V1172" s="50" t="str">
        <f t="shared" si="113"/>
        <v/>
      </c>
      <c r="W1172" s="50"/>
      <c r="X1172" s="50" t="s">
        <v>4</v>
      </c>
      <c r="Y1172" s="50" t="s">
        <v>50</v>
      </c>
      <c r="Z1172" s="50" t="s">
        <v>3406</v>
      </c>
      <c r="AA1172" s="50"/>
    </row>
    <row r="1173" spans="1:27" ht="25.5" customHeight="1">
      <c r="A1173" s="517" t="s">
        <v>2286</v>
      </c>
      <c r="B1173" s="51" t="s">
        <v>3131</v>
      </c>
      <c r="C1173" s="51" t="s">
        <v>143</v>
      </c>
      <c r="D1173" s="51" t="s">
        <v>4732</v>
      </c>
      <c r="E1173" s="50">
        <v>2356</v>
      </c>
      <c r="F1173" s="50">
        <v>2596</v>
      </c>
      <c r="G1173" s="50" t="s">
        <v>3404</v>
      </c>
      <c r="H1173" s="50">
        <v>2025</v>
      </c>
      <c r="I1173" s="132">
        <v>45882</v>
      </c>
      <c r="J1173" s="50" t="s">
        <v>3126</v>
      </c>
      <c r="K1173" s="50" t="s">
        <v>26</v>
      </c>
      <c r="L1173" s="50" t="s">
        <v>2289</v>
      </c>
      <c r="M1173" s="50" t="s">
        <v>212</v>
      </c>
      <c r="N1173" s="50" t="s">
        <v>4733</v>
      </c>
      <c r="O1173" s="60">
        <v>45885</v>
      </c>
      <c r="P1173" s="60">
        <v>45887</v>
      </c>
      <c r="Q1173" s="60">
        <v>45888</v>
      </c>
      <c r="R1173" s="60">
        <v>45888</v>
      </c>
      <c r="S1173" s="50">
        <f t="shared" si="116"/>
        <v>2</v>
      </c>
      <c r="T1173" s="50">
        <f t="shared" si="114"/>
        <v>1</v>
      </c>
      <c r="U1173" s="50">
        <f t="shared" si="115"/>
        <v>1</v>
      </c>
      <c r="V1173" s="50">
        <f t="shared" si="113"/>
        <v>1</v>
      </c>
      <c r="W1173" s="50" t="s">
        <v>150</v>
      </c>
      <c r="X1173" s="50" t="s">
        <v>4</v>
      </c>
      <c r="Y1173" s="50" t="s">
        <v>62</v>
      </c>
      <c r="Z1173" s="50" t="s">
        <v>3406</v>
      </c>
      <c r="AA1173" s="50"/>
    </row>
    <row r="1174" spans="1:27" ht="25.5" customHeight="1">
      <c r="A1174" s="517" t="s">
        <v>2286</v>
      </c>
      <c r="B1174" s="51" t="s">
        <v>3131</v>
      </c>
      <c r="C1174" s="51" t="s">
        <v>143</v>
      </c>
      <c r="D1174" s="51" t="s">
        <v>4152</v>
      </c>
      <c r="E1174" s="50">
        <v>1302</v>
      </c>
      <c r="F1174" s="50">
        <v>1349</v>
      </c>
      <c r="G1174" s="50" t="s">
        <v>3955</v>
      </c>
      <c r="H1174" s="50"/>
      <c r="I1174" s="105"/>
      <c r="J1174" s="50"/>
      <c r="K1174" s="50" t="s">
        <v>26</v>
      </c>
      <c r="L1174" s="50" t="s">
        <v>2289</v>
      </c>
      <c r="M1174" s="50" t="s">
        <v>212</v>
      </c>
      <c r="N1174" s="50"/>
      <c r="O1174" s="50"/>
      <c r="P1174" s="50"/>
      <c r="Q1174" s="50"/>
      <c r="R1174" s="50"/>
      <c r="S1174" s="50" t="str">
        <f t="shared" si="116"/>
        <v/>
      </c>
      <c r="T1174" s="50" t="str">
        <f t="shared" si="114"/>
        <v/>
      </c>
      <c r="U1174" s="50" t="str">
        <f t="shared" si="115"/>
        <v/>
      </c>
      <c r="V1174" s="50" t="str">
        <f t="shared" si="113"/>
        <v/>
      </c>
      <c r="W1174" s="50"/>
      <c r="X1174" s="50"/>
      <c r="Y1174" s="50"/>
      <c r="Z1174" s="50"/>
      <c r="AA1174" s="50"/>
    </row>
    <row r="1175" spans="1:27" ht="25.5" customHeight="1">
      <c r="A1175" s="517" t="s">
        <v>2286</v>
      </c>
      <c r="B1175" s="51" t="s">
        <v>3131</v>
      </c>
      <c r="C1175" s="51" t="s">
        <v>143</v>
      </c>
      <c r="D1175" s="51" t="s">
        <v>4734</v>
      </c>
      <c r="E1175" s="50">
        <v>1893</v>
      </c>
      <c r="F1175" s="50">
        <v>2131</v>
      </c>
      <c r="G1175" s="50" t="s">
        <v>3404</v>
      </c>
      <c r="H1175" s="50">
        <v>2024</v>
      </c>
      <c r="I1175" s="132">
        <v>45608</v>
      </c>
      <c r="J1175" s="119"/>
      <c r="K1175" s="50" t="s">
        <v>26</v>
      </c>
      <c r="L1175" s="50" t="s">
        <v>2289</v>
      </c>
      <c r="M1175" s="50" t="s">
        <v>212</v>
      </c>
      <c r="N1175" s="119"/>
      <c r="O1175" s="119"/>
      <c r="P1175" s="119"/>
      <c r="Q1175" s="119"/>
      <c r="R1175" s="119"/>
      <c r="S1175" s="50" t="str">
        <f t="shared" si="116"/>
        <v/>
      </c>
      <c r="T1175" s="50" t="str">
        <f t="shared" si="114"/>
        <v/>
      </c>
      <c r="U1175" s="50" t="str">
        <f t="shared" si="115"/>
        <v/>
      </c>
      <c r="V1175" s="50" t="str">
        <f t="shared" si="113"/>
        <v/>
      </c>
      <c r="W1175" s="50"/>
      <c r="X1175" s="50" t="s">
        <v>4</v>
      </c>
      <c r="Y1175" s="50" t="s">
        <v>50</v>
      </c>
      <c r="Z1175" s="50" t="s">
        <v>3406</v>
      </c>
      <c r="AA1175" s="50"/>
    </row>
    <row r="1176" spans="1:27" ht="25.5" customHeight="1">
      <c r="A1176" s="517" t="s">
        <v>2286</v>
      </c>
      <c r="B1176" s="51" t="s">
        <v>3131</v>
      </c>
      <c r="C1176" s="51" t="s">
        <v>143</v>
      </c>
      <c r="D1176" s="51" t="s">
        <v>1245</v>
      </c>
      <c r="E1176" s="50">
        <v>1406</v>
      </c>
      <c r="F1176" s="50">
        <v>1050</v>
      </c>
      <c r="G1176" s="50" t="s">
        <v>3955</v>
      </c>
      <c r="H1176" s="50"/>
      <c r="I1176" s="105"/>
      <c r="J1176" s="50"/>
      <c r="K1176" s="50" t="s">
        <v>26</v>
      </c>
      <c r="L1176" s="50" t="s">
        <v>2289</v>
      </c>
      <c r="M1176" s="50" t="s">
        <v>212</v>
      </c>
      <c r="N1176" s="50"/>
      <c r="O1176" s="50"/>
      <c r="P1176" s="50"/>
      <c r="Q1176" s="50"/>
      <c r="R1176" s="50"/>
      <c r="S1176" s="50" t="str">
        <f t="shared" si="116"/>
        <v/>
      </c>
      <c r="T1176" s="50" t="str">
        <f t="shared" si="114"/>
        <v/>
      </c>
      <c r="U1176" s="50" t="str">
        <f t="shared" si="115"/>
        <v/>
      </c>
      <c r="V1176" s="50" t="str">
        <f t="shared" si="113"/>
        <v/>
      </c>
      <c r="W1176" s="50"/>
      <c r="X1176" s="50"/>
      <c r="Y1176" s="50"/>
      <c r="Z1176" s="50"/>
      <c r="AA1176" s="50"/>
    </row>
    <row r="1177" spans="1:27" ht="25.5" customHeight="1">
      <c r="A1177" s="517" t="s">
        <v>2286</v>
      </c>
      <c r="B1177" s="51" t="s">
        <v>3131</v>
      </c>
      <c r="C1177" s="51" t="s">
        <v>143</v>
      </c>
      <c r="D1177" s="51" t="s">
        <v>4735</v>
      </c>
      <c r="E1177" s="50">
        <v>1929</v>
      </c>
      <c r="F1177" s="50">
        <v>2189</v>
      </c>
      <c r="G1177" s="50" t="s">
        <v>3404</v>
      </c>
      <c r="H1177" s="50">
        <v>2025</v>
      </c>
      <c r="I1177" s="132">
        <v>45933</v>
      </c>
      <c r="J1177" s="50" t="s">
        <v>3128</v>
      </c>
      <c r="K1177" s="50" t="s">
        <v>26</v>
      </c>
      <c r="L1177" s="50" t="s">
        <v>2289</v>
      </c>
      <c r="M1177" s="50" t="s">
        <v>212</v>
      </c>
      <c r="N1177" s="50" t="s">
        <v>4736</v>
      </c>
      <c r="O1177" s="60">
        <v>45938</v>
      </c>
      <c r="P1177" s="60">
        <v>45938</v>
      </c>
      <c r="Q1177" s="60">
        <v>45938</v>
      </c>
      <c r="R1177" s="60">
        <v>45940</v>
      </c>
      <c r="S1177" s="50">
        <f t="shared" si="116"/>
        <v>3</v>
      </c>
      <c r="T1177" s="50">
        <f t="shared" si="114"/>
        <v>1</v>
      </c>
      <c r="U1177" s="50">
        <f t="shared" si="115"/>
        <v>1</v>
      </c>
      <c r="V1177" s="50">
        <f t="shared" ref="V1177:V1240" si="117">IF(
    OR(ISBLANK(Q1177), ISBLANK(R1177)),
    "",
    MAX(1, IF(
        NETWORKDAYS(Q1177, R1177) &lt;= 0,
        1,
        NETWORKDAYS(Q1177, R1177) - IF(Q1177 = R1177, 0, 1)
    ))
)</f>
        <v>2</v>
      </c>
      <c r="W1177" s="50" t="s">
        <v>150</v>
      </c>
      <c r="X1177" s="50" t="s">
        <v>4</v>
      </c>
      <c r="Y1177" s="50" t="s">
        <v>50</v>
      </c>
      <c r="Z1177" s="50" t="s">
        <v>3406</v>
      </c>
      <c r="AA1177" s="50"/>
    </row>
    <row r="1178" spans="1:27" ht="25.5" customHeight="1">
      <c r="A1178" s="517" t="s">
        <v>2286</v>
      </c>
      <c r="B1178" s="51" t="s">
        <v>3131</v>
      </c>
      <c r="C1178" s="51" t="s">
        <v>143</v>
      </c>
      <c r="D1178" s="51" t="s">
        <v>4737</v>
      </c>
      <c r="E1178" s="50">
        <v>681</v>
      </c>
      <c r="F1178" s="50">
        <v>711</v>
      </c>
      <c r="G1178" s="50" t="s">
        <v>3955</v>
      </c>
      <c r="H1178" s="50"/>
      <c r="I1178" s="105"/>
      <c r="J1178" s="50"/>
      <c r="K1178" s="50" t="s">
        <v>26</v>
      </c>
      <c r="L1178" s="50" t="s">
        <v>2289</v>
      </c>
      <c r="M1178" s="50" t="s">
        <v>212</v>
      </c>
      <c r="N1178" s="50"/>
      <c r="O1178" s="50"/>
      <c r="P1178" s="50"/>
      <c r="Q1178" s="50"/>
      <c r="R1178" s="50"/>
      <c r="S1178" s="50" t="str">
        <f t="shared" si="116"/>
        <v/>
      </c>
      <c r="T1178" s="50" t="str">
        <f t="shared" si="114"/>
        <v/>
      </c>
      <c r="U1178" s="50" t="str">
        <f t="shared" si="115"/>
        <v/>
      </c>
      <c r="V1178" s="50" t="str">
        <f t="shared" si="117"/>
        <v/>
      </c>
      <c r="W1178" s="50"/>
      <c r="X1178" s="50"/>
      <c r="Y1178" s="50"/>
      <c r="Z1178" s="50"/>
      <c r="AA1178" s="50"/>
    </row>
    <row r="1179" spans="1:27" ht="25.5" customHeight="1">
      <c r="A1179" s="517" t="s">
        <v>2286</v>
      </c>
      <c r="B1179" s="51" t="s">
        <v>3131</v>
      </c>
      <c r="C1179" s="51" t="s">
        <v>143</v>
      </c>
      <c r="D1179" s="51" t="s">
        <v>4738</v>
      </c>
      <c r="E1179" s="50">
        <v>2393</v>
      </c>
      <c r="F1179" s="50">
        <v>2742</v>
      </c>
      <c r="G1179" s="50" t="s">
        <v>3404</v>
      </c>
      <c r="H1179" s="50">
        <v>2025</v>
      </c>
      <c r="I1179" s="132">
        <v>45882</v>
      </c>
      <c r="J1179" s="50" t="s">
        <v>3126</v>
      </c>
      <c r="K1179" s="50" t="s">
        <v>26</v>
      </c>
      <c r="L1179" s="50" t="s">
        <v>2289</v>
      </c>
      <c r="M1179" s="50" t="s">
        <v>212</v>
      </c>
      <c r="N1179" s="50" t="s">
        <v>4739</v>
      </c>
      <c r="O1179" s="60">
        <v>45885</v>
      </c>
      <c r="P1179" s="60">
        <v>45887</v>
      </c>
      <c r="Q1179" s="60">
        <v>45888</v>
      </c>
      <c r="R1179" s="60">
        <v>45889</v>
      </c>
      <c r="S1179" s="50">
        <f t="shared" si="116"/>
        <v>2</v>
      </c>
      <c r="T1179" s="50">
        <f t="shared" si="114"/>
        <v>1</v>
      </c>
      <c r="U1179" s="50">
        <f t="shared" si="115"/>
        <v>1</v>
      </c>
      <c r="V1179" s="50">
        <f t="shared" si="117"/>
        <v>1</v>
      </c>
      <c r="W1179" s="50" t="s">
        <v>150</v>
      </c>
      <c r="X1179" s="50" t="s">
        <v>4</v>
      </c>
      <c r="Y1179" s="50" t="s">
        <v>50</v>
      </c>
      <c r="Z1179" s="50" t="s">
        <v>3406</v>
      </c>
      <c r="AA1179" s="50"/>
    </row>
    <row r="1180" spans="1:27" ht="25.5" customHeight="1">
      <c r="A1180" s="517" t="s">
        <v>2286</v>
      </c>
      <c r="B1180" s="51" t="s">
        <v>3131</v>
      </c>
      <c r="C1180" s="51" t="s">
        <v>143</v>
      </c>
      <c r="D1180" s="51" t="s">
        <v>4740</v>
      </c>
      <c r="E1180" s="50">
        <v>997</v>
      </c>
      <c r="F1180" s="50">
        <v>1206</v>
      </c>
      <c r="G1180" s="50" t="s">
        <v>3404</v>
      </c>
      <c r="H1180" s="50">
        <v>2025</v>
      </c>
      <c r="I1180" s="132">
        <v>45933</v>
      </c>
      <c r="J1180" s="50" t="s">
        <v>3128</v>
      </c>
      <c r="K1180" s="50" t="s">
        <v>26</v>
      </c>
      <c r="L1180" s="50" t="s">
        <v>2289</v>
      </c>
      <c r="M1180" s="50" t="s">
        <v>212</v>
      </c>
      <c r="N1180" s="50" t="s">
        <v>4741</v>
      </c>
      <c r="O1180" s="60">
        <v>45938</v>
      </c>
      <c r="P1180" s="60">
        <v>45938</v>
      </c>
      <c r="Q1180" s="60">
        <v>45938</v>
      </c>
      <c r="R1180" s="60">
        <v>45940</v>
      </c>
      <c r="S1180" s="50">
        <f t="shared" si="116"/>
        <v>3</v>
      </c>
      <c r="T1180" s="50">
        <f t="shared" si="114"/>
        <v>1</v>
      </c>
      <c r="U1180" s="50">
        <f t="shared" si="115"/>
        <v>1</v>
      </c>
      <c r="V1180" s="50">
        <f t="shared" si="117"/>
        <v>2</v>
      </c>
      <c r="W1180" s="50" t="s">
        <v>150</v>
      </c>
      <c r="X1180" s="50" t="s">
        <v>4</v>
      </c>
      <c r="Y1180" s="50" t="s">
        <v>50</v>
      </c>
      <c r="Z1180" s="50" t="s">
        <v>3406</v>
      </c>
      <c r="AA1180" s="50"/>
    </row>
    <row r="1181" spans="1:27" ht="25.5" customHeight="1">
      <c r="A1181" s="517" t="s">
        <v>2286</v>
      </c>
      <c r="B1181" s="51" t="s">
        <v>3131</v>
      </c>
      <c r="C1181" s="51" t="s">
        <v>143</v>
      </c>
      <c r="D1181" s="51" t="s">
        <v>4742</v>
      </c>
      <c r="E1181" s="50">
        <v>1985</v>
      </c>
      <c r="F1181" s="50">
        <v>1996</v>
      </c>
      <c r="G1181" s="50" t="s">
        <v>3404</v>
      </c>
      <c r="H1181" s="50">
        <v>2025</v>
      </c>
      <c r="I1181" s="132">
        <v>45933</v>
      </c>
      <c r="J1181" s="50" t="s">
        <v>3128</v>
      </c>
      <c r="K1181" s="50" t="s">
        <v>26</v>
      </c>
      <c r="L1181" s="50" t="s">
        <v>2289</v>
      </c>
      <c r="M1181" s="50" t="s">
        <v>212</v>
      </c>
      <c r="N1181" s="50" t="s">
        <v>4743</v>
      </c>
      <c r="O1181" s="60">
        <v>45938</v>
      </c>
      <c r="P1181" s="60">
        <v>45938</v>
      </c>
      <c r="Q1181" s="60">
        <v>45938</v>
      </c>
      <c r="R1181" s="60">
        <v>45940</v>
      </c>
      <c r="S1181" s="50">
        <f t="shared" si="116"/>
        <v>3</v>
      </c>
      <c r="T1181" s="50">
        <f t="shared" si="114"/>
        <v>1</v>
      </c>
      <c r="U1181" s="50">
        <f t="shared" si="115"/>
        <v>1</v>
      </c>
      <c r="V1181" s="50">
        <f t="shared" si="117"/>
        <v>2</v>
      </c>
      <c r="W1181" s="50" t="s">
        <v>150</v>
      </c>
      <c r="X1181" s="50" t="s">
        <v>4</v>
      </c>
      <c r="Y1181" s="50" t="s">
        <v>50</v>
      </c>
      <c r="Z1181" s="50" t="s">
        <v>3406</v>
      </c>
      <c r="AA1181" s="50"/>
    </row>
    <row r="1182" spans="1:27" ht="25.5" customHeight="1">
      <c r="A1182" s="517" t="s">
        <v>2286</v>
      </c>
      <c r="B1182" s="51" t="s">
        <v>3131</v>
      </c>
      <c r="C1182" s="51" t="s">
        <v>143</v>
      </c>
      <c r="D1182" s="51" t="s">
        <v>4744</v>
      </c>
      <c r="E1182" s="50">
        <v>3892</v>
      </c>
      <c r="F1182" s="50">
        <v>4496</v>
      </c>
      <c r="G1182" s="50" t="s">
        <v>3404</v>
      </c>
      <c r="H1182" s="50">
        <v>2025</v>
      </c>
      <c r="I1182" s="132">
        <v>45882</v>
      </c>
      <c r="J1182" s="50" t="s">
        <v>3126</v>
      </c>
      <c r="K1182" s="50" t="s">
        <v>26</v>
      </c>
      <c r="L1182" s="50" t="s">
        <v>2289</v>
      </c>
      <c r="M1182" s="50" t="s">
        <v>212</v>
      </c>
      <c r="N1182" s="50" t="s">
        <v>4745</v>
      </c>
      <c r="O1182" s="60">
        <v>45885</v>
      </c>
      <c r="P1182" s="60">
        <v>45887</v>
      </c>
      <c r="Q1182" s="60">
        <v>45888</v>
      </c>
      <c r="R1182" s="60">
        <v>45889</v>
      </c>
      <c r="S1182" s="50">
        <f t="shared" si="116"/>
        <v>2</v>
      </c>
      <c r="T1182" s="50">
        <f t="shared" si="114"/>
        <v>1</v>
      </c>
      <c r="U1182" s="50">
        <f t="shared" si="115"/>
        <v>1</v>
      </c>
      <c r="V1182" s="50">
        <f t="shared" si="117"/>
        <v>1</v>
      </c>
      <c r="W1182" s="50" t="s">
        <v>150</v>
      </c>
      <c r="X1182" s="50" t="s">
        <v>4</v>
      </c>
      <c r="Y1182" s="50" t="s">
        <v>62</v>
      </c>
      <c r="Z1182" s="50" t="s">
        <v>3406</v>
      </c>
      <c r="AA1182" s="50"/>
    </row>
    <row r="1183" spans="1:27" ht="25.5" customHeight="1">
      <c r="A1183" s="517" t="s">
        <v>2286</v>
      </c>
      <c r="B1183" s="51" t="s">
        <v>3131</v>
      </c>
      <c r="C1183" s="51" t="s">
        <v>143</v>
      </c>
      <c r="D1183" s="51" t="s">
        <v>1283</v>
      </c>
      <c r="E1183" s="50">
        <v>2093</v>
      </c>
      <c r="F1183" s="50">
        <v>2568</v>
      </c>
      <c r="G1183" s="50" t="s">
        <v>3404</v>
      </c>
      <c r="H1183" s="50">
        <v>2025</v>
      </c>
      <c r="I1183" s="132">
        <v>45882</v>
      </c>
      <c r="J1183" s="50" t="s">
        <v>3126</v>
      </c>
      <c r="K1183" s="50" t="s">
        <v>26</v>
      </c>
      <c r="L1183" s="50" t="s">
        <v>2289</v>
      </c>
      <c r="M1183" s="50" t="s">
        <v>212</v>
      </c>
      <c r="N1183" s="50" t="s">
        <v>4746</v>
      </c>
      <c r="O1183" s="60">
        <v>45885</v>
      </c>
      <c r="P1183" s="60">
        <v>45887</v>
      </c>
      <c r="Q1183" s="60">
        <v>45888</v>
      </c>
      <c r="R1183" s="60">
        <v>45889</v>
      </c>
      <c r="S1183" s="50">
        <f t="shared" si="116"/>
        <v>2</v>
      </c>
      <c r="T1183" s="50">
        <f t="shared" si="114"/>
        <v>1</v>
      </c>
      <c r="U1183" s="50">
        <f t="shared" si="115"/>
        <v>1</v>
      </c>
      <c r="V1183" s="50">
        <f t="shared" si="117"/>
        <v>1</v>
      </c>
      <c r="W1183" s="50" t="s">
        <v>150</v>
      </c>
      <c r="X1183" s="50" t="s">
        <v>4</v>
      </c>
      <c r="Y1183" s="50" t="s">
        <v>50</v>
      </c>
      <c r="Z1183" s="50" t="s">
        <v>3406</v>
      </c>
      <c r="AA1183" s="50"/>
    </row>
    <row r="1184" spans="1:27" ht="25.5" customHeight="1">
      <c r="A1184" s="517" t="s">
        <v>2286</v>
      </c>
      <c r="B1184" s="51" t="s">
        <v>1096</v>
      </c>
      <c r="C1184" s="51" t="s">
        <v>159</v>
      </c>
      <c r="D1184" s="51" t="s">
        <v>4747</v>
      </c>
      <c r="E1184" s="50">
        <v>2544</v>
      </c>
      <c r="F1184" s="50">
        <v>2630</v>
      </c>
      <c r="G1184" s="50" t="s">
        <v>3955</v>
      </c>
      <c r="H1184" s="50"/>
      <c r="I1184" s="105"/>
      <c r="J1184" s="50"/>
      <c r="K1184" s="50" t="s">
        <v>29</v>
      </c>
      <c r="L1184" s="50" t="s">
        <v>2289</v>
      </c>
      <c r="M1184" s="50" t="s">
        <v>212</v>
      </c>
      <c r="N1184" s="50"/>
      <c r="O1184" s="50"/>
      <c r="P1184" s="50"/>
      <c r="Q1184" s="50"/>
      <c r="R1184" s="50"/>
      <c r="S1184" s="50" t="str">
        <f t="shared" si="116"/>
        <v/>
      </c>
      <c r="T1184" s="50" t="str">
        <f t="shared" si="114"/>
        <v/>
      </c>
      <c r="U1184" s="50" t="str">
        <f t="shared" si="115"/>
        <v/>
      </c>
      <c r="V1184" s="50" t="str">
        <f t="shared" si="117"/>
        <v/>
      </c>
      <c r="W1184" s="50"/>
      <c r="X1184" s="50"/>
      <c r="Y1184" s="50"/>
      <c r="Z1184" s="50"/>
      <c r="AA1184" s="50"/>
    </row>
    <row r="1185" spans="1:27" ht="25.5" customHeight="1">
      <c r="A1185" s="517" t="s">
        <v>2286</v>
      </c>
      <c r="B1185" s="51" t="s">
        <v>1096</v>
      </c>
      <c r="C1185" s="51" t="s">
        <v>159</v>
      </c>
      <c r="D1185" s="51" t="s">
        <v>4748</v>
      </c>
      <c r="E1185" s="50">
        <v>2030</v>
      </c>
      <c r="F1185" s="50">
        <v>2162</v>
      </c>
      <c r="G1185" s="50" t="s">
        <v>3955</v>
      </c>
      <c r="H1185" s="50"/>
      <c r="I1185" s="105"/>
      <c r="J1185" s="50"/>
      <c r="K1185" s="50" t="s">
        <v>29</v>
      </c>
      <c r="L1185" s="50" t="s">
        <v>2289</v>
      </c>
      <c r="M1185" s="50" t="s">
        <v>212</v>
      </c>
      <c r="N1185" s="50"/>
      <c r="O1185" s="50"/>
      <c r="P1185" s="50"/>
      <c r="Q1185" s="50"/>
      <c r="R1185" s="50"/>
      <c r="S1185" s="50" t="str">
        <f t="shared" si="116"/>
        <v/>
      </c>
      <c r="T1185" s="50" t="str">
        <f t="shared" si="114"/>
        <v/>
      </c>
      <c r="U1185" s="50" t="str">
        <f t="shared" si="115"/>
        <v/>
      </c>
      <c r="V1185" s="50" t="str">
        <f t="shared" si="117"/>
        <v/>
      </c>
      <c r="W1185" s="50"/>
      <c r="X1185" s="50"/>
      <c r="Y1185" s="50"/>
      <c r="Z1185" s="50"/>
      <c r="AA1185" s="50"/>
    </row>
    <row r="1186" spans="1:27" ht="25.5" customHeight="1">
      <c r="A1186" s="517" t="s">
        <v>2286</v>
      </c>
      <c r="B1186" s="51" t="s">
        <v>1096</v>
      </c>
      <c r="C1186" s="51" t="s">
        <v>159</v>
      </c>
      <c r="D1186" s="51" t="s">
        <v>4535</v>
      </c>
      <c r="E1186" s="50">
        <v>531</v>
      </c>
      <c r="F1186" s="50">
        <v>596</v>
      </c>
      <c r="G1186" s="50" t="s">
        <v>3955</v>
      </c>
      <c r="H1186" s="50"/>
      <c r="I1186" s="105"/>
      <c r="J1186" s="50"/>
      <c r="K1186" s="50" t="s">
        <v>29</v>
      </c>
      <c r="L1186" s="50" t="s">
        <v>2289</v>
      </c>
      <c r="M1186" s="50" t="s">
        <v>212</v>
      </c>
      <c r="N1186" s="50"/>
      <c r="O1186" s="50"/>
      <c r="P1186" s="50"/>
      <c r="Q1186" s="50"/>
      <c r="R1186" s="50"/>
      <c r="S1186" s="50" t="str">
        <f t="shared" si="116"/>
        <v/>
      </c>
      <c r="T1186" s="50" t="str">
        <f t="shared" si="114"/>
        <v/>
      </c>
      <c r="U1186" s="50" t="str">
        <f t="shared" si="115"/>
        <v/>
      </c>
      <c r="V1186" s="50" t="str">
        <f t="shared" si="117"/>
        <v/>
      </c>
      <c r="W1186" s="50"/>
      <c r="X1186" s="50"/>
      <c r="Y1186" s="50"/>
      <c r="Z1186" s="50"/>
      <c r="AA1186" s="50"/>
    </row>
    <row r="1187" spans="1:27" ht="25.5" customHeight="1">
      <c r="A1187" s="517" t="s">
        <v>2286</v>
      </c>
      <c r="B1187" s="51" t="s">
        <v>1096</v>
      </c>
      <c r="C1187" s="51" t="s">
        <v>159</v>
      </c>
      <c r="D1187" s="51" t="s">
        <v>4749</v>
      </c>
      <c r="E1187" s="50">
        <v>1358</v>
      </c>
      <c r="F1187" s="50">
        <v>1523</v>
      </c>
      <c r="G1187" s="50" t="s">
        <v>3955</v>
      </c>
      <c r="H1187" s="50"/>
      <c r="I1187" s="105"/>
      <c r="J1187" s="50"/>
      <c r="K1187" s="50" t="s">
        <v>29</v>
      </c>
      <c r="L1187" s="50" t="s">
        <v>2289</v>
      </c>
      <c r="M1187" s="50" t="s">
        <v>212</v>
      </c>
      <c r="N1187" s="50"/>
      <c r="O1187" s="50"/>
      <c r="P1187" s="50"/>
      <c r="Q1187" s="50"/>
      <c r="R1187" s="50"/>
      <c r="S1187" s="50" t="str">
        <f t="shared" si="116"/>
        <v/>
      </c>
      <c r="T1187" s="50" t="str">
        <f t="shared" si="114"/>
        <v/>
      </c>
      <c r="U1187" s="50" t="str">
        <f t="shared" si="115"/>
        <v/>
      </c>
      <c r="V1187" s="50" t="str">
        <f t="shared" si="117"/>
        <v/>
      </c>
      <c r="W1187" s="50"/>
      <c r="X1187" s="50"/>
      <c r="Y1187" s="50"/>
      <c r="Z1187" s="50"/>
      <c r="AA1187" s="50"/>
    </row>
    <row r="1188" spans="1:27" ht="25.5" customHeight="1">
      <c r="A1188" s="517" t="s">
        <v>2286</v>
      </c>
      <c r="B1188" s="51" t="s">
        <v>1096</v>
      </c>
      <c r="C1188" s="51" t="s">
        <v>159</v>
      </c>
      <c r="D1188" s="51" t="s">
        <v>4506</v>
      </c>
      <c r="E1188" s="50">
        <v>1198</v>
      </c>
      <c r="F1188" s="50">
        <v>1407</v>
      </c>
      <c r="G1188" s="50" t="s">
        <v>3955</v>
      </c>
      <c r="H1188" s="50"/>
      <c r="I1188" s="105"/>
      <c r="J1188" s="50"/>
      <c r="K1188" s="50" t="s">
        <v>29</v>
      </c>
      <c r="L1188" s="50" t="s">
        <v>2289</v>
      </c>
      <c r="M1188" s="50" t="s">
        <v>212</v>
      </c>
      <c r="N1188" s="50"/>
      <c r="O1188" s="50"/>
      <c r="P1188" s="50"/>
      <c r="Q1188" s="50"/>
      <c r="R1188" s="50"/>
      <c r="S1188" s="50" t="str">
        <f t="shared" si="116"/>
        <v/>
      </c>
      <c r="T1188" s="50" t="str">
        <f t="shared" si="114"/>
        <v/>
      </c>
      <c r="U1188" s="50" t="str">
        <f t="shared" si="115"/>
        <v/>
      </c>
      <c r="V1188" s="50" t="str">
        <f t="shared" si="117"/>
        <v/>
      </c>
      <c r="W1188" s="50"/>
      <c r="X1188" s="50"/>
      <c r="Y1188" s="50"/>
      <c r="Z1188" s="50"/>
      <c r="AA1188" s="50"/>
    </row>
    <row r="1189" spans="1:27" ht="25.5" customHeight="1">
      <c r="A1189" s="517" t="s">
        <v>2286</v>
      </c>
      <c r="B1189" s="51" t="s">
        <v>1096</v>
      </c>
      <c r="C1189" s="51" t="s">
        <v>159</v>
      </c>
      <c r="D1189" s="51" t="s">
        <v>4750</v>
      </c>
      <c r="E1189" s="50">
        <v>1515</v>
      </c>
      <c r="F1189" s="50">
        <v>1575</v>
      </c>
      <c r="G1189" s="50" t="s">
        <v>3955</v>
      </c>
      <c r="H1189" s="50"/>
      <c r="I1189" s="105"/>
      <c r="J1189" s="50"/>
      <c r="K1189" s="50" t="s">
        <v>29</v>
      </c>
      <c r="L1189" s="50" t="s">
        <v>2289</v>
      </c>
      <c r="M1189" s="50" t="s">
        <v>212</v>
      </c>
      <c r="N1189" s="50"/>
      <c r="O1189" s="50"/>
      <c r="P1189" s="50"/>
      <c r="Q1189" s="50"/>
      <c r="R1189" s="50"/>
      <c r="S1189" s="50" t="str">
        <f t="shared" si="116"/>
        <v/>
      </c>
      <c r="T1189" s="50" t="str">
        <f t="shared" si="114"/>
        <v/>
      </c>
      <c r="U1189" s="50" t="str">
        <f t="shared" si="115"/>
        <v/>
      </c>
      <c r="V1189" s="50" t="str">
        <f t="shared" si="117"/>
        <v/>
      </c>
      <c r="W1189" s="50"/>
      <c r="X1189" s="50"/>
      <c r="Y1189" s="50"/>
      <c r="Z1189" s="50"/>
      <c r="AA1189" s="50"/>
    </row>
    <row r="1190" spans="1:27" ht="25.5" customHeight="1">
      <c r="A1190" s="517" t="s">
        <v>2286</v>
      </c>
      <c r="B1190" s="51" t="s">
        <v>1096</v>
      </c>
      <c r="C1190" s="51" t="s">
        <v>159</v>
      </c>
      <c r="D1190" s="51" t="s">
        <v>4751</v>
      </c>
      <c r="E1190" s="50">
        <v>508</v>
      </c>
      <c r="F1190" s="50">
        <v>568</v>
      </c>
      <c r="G1190" s="50" t="s">
        <v>3955</v>
      </c>
      <c r="H1190" s="50"/>
      <c r="I1190" s="105"/>
      <c r="J1190" s="50"/>
      <c r="K1190" s="50" t="s">
        <v>29</v>
      </c>
      <c r="L1190" s="50" t="s">
        <v>2289</v>
      </c>
      <c r="M1190" s="50" t="s">
        <v>212</v>
      </c>
      <c r="N1190" s="50"/>
      <c r="O1190" s="50"/>
      <c r="P1190" s="50"/>
      <c r="Q1190" s="50"/>
      <c r="R1190" s="50"/>
      <c r="S1190" s="50" t="str">
        <f t="shared" si="116"/>
        <v/>
      </c>
      <c r="T1190" s="50" t="str">
        <f t="shared" si="114"/>
        <v/>
      </c>
      <c r="U1190" s="50" t="str">
        <f t="shared" si="115"/>
        <v/>
      </c>
      <c r="V1190" s="50" t="str">
        <f t="shared" si="117"/>
        <v/>
      </c>
      <c r="W1190" s="50"/>
      <c r="X1190" s="50"/>
      <c r="Y1190" s="50"/>
      <c r="Z1190" s="50"/>
      <c r="AA1190" s="50"/>
    </row>
    <row r="1191" spans="1:27" ht="25.5" customHeight="1">
      <c r="A1191" s="517" t="s">
        <v>2286</v>
      </c>
      <c r="B1191" s="51" t="s">
        <v>1096</v>
      </c>
      <c r="C1191" s="51" t="s">
        <v>159</v>
      </c>
      <c r="D1191" s="51" t="s">
        <v>4752</v>
      </c>
      <c r="E1191" s="50">
        <v>1164</v>
      </c>
      <c r="F1191" s="50">
        <v>1361</v>
      </c>
      <c r="G1191" s="50" t="s">
        <v>3955</v>
      </c>
      <c r="H1191" s="50"/>
      <c r="I1191" s="105"/>
      <c r="J1191" s="50"/>
      <c r="K1191" s="50" t="s">
        <v>29</v>
      </c>
      <c r="L1191" s="50" t="s">
        <v>2289</v>
      </c>
      <c r="M1191" s="50" t="s">
        <v>212</v>
      </c>
      <c r="N1191" s="50"/>
      <c r="O1191" s="50"/>
      <c r="P1191" s="50"/>
      <c r="Q1191" s="50"/>
      <c r="R1191" s="50"/>
      <c r="S1191" s="50" t="str">
        <f t="shared" si="116"/>
        <v/>
      </c>
      <c r="T1191" s="50" t="str">
        <f t="shared" si="114"/>
        <v/>
      </c>
      <c r="U1191" s="50" t="str">
        <f t="shared" si="115"/>
        <v/>
      </c>
      <c r="V1191" s="50" t="str">
        <f t="shared" si="117"/>
        <v/>
      </c>
      <c r="W1191" s="50"/>
      <c r="X1191" s="50"/>
      <c r="Y1191" s="50"/>
      <c r="Z1191" s="50"/>
      <c r="AA1191" s="50"/>
    </row>
    <row r="1192" spans="1:27" ht="25.5" customHeight="1">
      <c r="A1192" s="517" t="s">
        <v>2286</v>
      </c>
      <c r="B1192" s="51" t="s">
        <v>1096</v>
      </c>
      <c r="C1192" s="51" t="s">
        <v>159</v>
      </c>
      <c r="D1192" s="51" t="s">
        <v>1490</v>
      </c>
      <c r="E1192" s="50">
        <v>1565</v>
      </c>
      <c r="F1192" s="50">
        <v>1468</v>
      </c>
      <c r="G1192" s="50" t="s">
        <v>3955</v>
      </c>
      <c r="H1192" s="50"/>
      <c r="I1192" s="105"/>
      <c r="J1192" s="50"/>
      <c r="K1192" s="50" t="s">
        <v>29</v>
      </c>
      <c r="L1192" s="50" t="s">
        <v>2289</v>
      </c>
      <c r="M1192" s="50" t="s">
        <v>212</v>
      </c>
      <c r="N1192" s="50"/>
      <c r="O1192" s="50"/>
      <c r="P1192" s="50"/>
      <c r="Q1192" s="50"/>
      <c r="R1192" s="50"/>
      <c r="S1192" s="50" t="str">
        <f t="shared" si="116"/>
        <v/>
      </c>
      <c r="T1192" s="50" t="str">
        <f t="shared" si="114"/>
        <v/>
      </c>
      <c r="U1192" s="50" t="str">
        <f t="shared" si="115"/>
        <v/>
      </c>
      <c r="V1192" s="50" t="str">
        <f t="shared" si="117"/>
        <v/>
      </c>
      <c r="W1192" s="50"/>
      <c r="X1192" s="50"/>
      <c r="Y1192" s="50"/>
      <c r="Z1192" s="50"/>
      <c r="AA1192" s="50"/>
    </row>
    <row r="1193" spans="1:27" ht="25.5" customHeight="1">
      <c r="A1193" s="517" t="s">
        <v>2286</v>
      </c>
      <c r="B1193" s="51" t="s">
        <v>1096</v>
      </c>
      <c r="C1193" s="51" t="s">
        <v>159</v>
      </c>
      <c r="D1193" s="51" t="s">
        <v>4753</v>
      </c>
      <c r="E1193" s="50">
        <v>710</v>
      </c>
      <c r="F1193" s="50">
        <v>782</v>
      </c>
      <c r="G1193" s="50" t="s">
        <v>3955</v>
      </c>
      <c r="H1193" s="50"/>
      <c r="I1193" s="105"/>
      <c r="J1193" s="50"/>
      <c r="K1193" s="50" t="s">
        <v>29</v>
      </c>
      <c r="L1193" s="50" t="s">
        <v>2289</v>
      </c>
      <c r="M1193" s="50" t="s">
        <v>212</v>
      </c>
      <c r="N1193" s="50"/>
      <c r="O1193" s="50"/>
      <c r="P1193" s="50"/>
      <c r="Q1193" s="50"/>
      <c r="R1193" s="50"/>
      <c r="S1193" s="50" t="str">
        <f t="shared" si="116"/>
        <v/>
      </c>
      <c r="T1193" s="50" t="str">
        <f t="shared" si="114"/>
        <v/>
      </c>
      <c r="U1193" s="50" t="str">
        <f t="shared" si="115"/>
        <v/>
      </c>
      <c r="V1193" s="50" t="str">
        <f t="shared" si="117"/>
        <v/>
      </c>
      <c r="W1193" s="50"/>
      <c r="X1193" s="50"/>
      <c r="Y1193" s="50"/>
      <c r="Z1193" s="50"/>
      <c r="AA1193" s="50"/>
    </row>
    <row r="1194" spans="1:27" ht="25.5" customHeight="1">
      <c r="A1194" s="517" t="s">
        <v>2286</v>
      </c>
      <c r="B1194" s="51" t="s">
        <v>1096</v>
      </c>
      <c r="C1194" s="51" t="s">
        <v>159</v>
      </c>
      <c r="D1194" s="51" t="s">
        <v>4754</v>
      </c>
      <c r="E1194" s="50">
        <v>1202</v>
      </c>
      <c r="F1194" s="50">
        <v>1066</v>
      </c>
      <c r="G1194" s="50" t="s">
        <v>3955</v>
      </c>
      <c r="H1194" s="50"/>
      <c r="I1194" s="105"/>
      <c r="J1194" s="50"/>
      <c r="K1194" s="50" t="s">
        <v>29</v>
      </c>
      <c r="L1194" s="50" t="s">
        <v>2289</v>
      </c>
      <c r="M1194" s="50" t="s">
        <v>212</v>
      </c>
      <c r="N1194" s="50"/>
      <c r="O1194" s="50"/>
      <c r="P1194" s="50"/>
      <c r="Q1194" s="50"/>
      <c r="R1194" s="50"/>
      <c r="S1194" s="50" t="str">
        <f t="shared" si="116"/>
        <v/>
      </c>
      <c r="T1194" s="50" t="str">
        <f t="shared" si="114"/>
        <v/>
      </c>
      <c r="U1194" s="50" t="str">
        <f t="shared" si="115"/>
        <v/>
      </c>
      <c r="V1194" s="50" t="str">
        <f t="shared" si="117"/>
        <v/>
      </c>
      <c r="W1194" s="50"/>
      <c r="X1194" s="50"/>
      <c r="Y1194" s="50"/>
      <c r="Z1194" s="50"/>
      <c r="AA1194" s="50"/>
    </row>
    <row r="1195" spans="1:27" ht="25.5" customHeight="1">
      <c r="A1195" s="517" t="s">
        <v>2286</v>
      </c>
      <c r="B1195" s="51" t="s">
        <v>1096</v>
      </c>
      <c r="C1195" s="51" t="s">
        <v>159</v>
      </c>
      <c r="D1195" s="51" t="s">
        <v>4755</v>
      </c>
      <c r="E1195" s="50">
        <v>689</v>
      </c>
      <c r="F1195" s="50">
        <v>763</v>
      </c>
      <c r="G1195" s="50" t="s">
        <v>3955</v>
      </c>
      <c r="H1195" s="50"/>
      <c r="I1195" s="105"/>
      <c r="J1195" s="50"/>
      <c r="K1195" s="50" t="s">
        <v>29</v>
      </c>
      <c r="L1195" s="50" t="s">
        <v>2289</v>
      </c>
      <c r="M1195" s="50" t="s">
        <v>212</v>
      </c>
      <c r="N1195" s="50"/>
      <c r="O1195" s="50"/>
      <c r="P1195" s="50"/>
      <c r="Q1195" s="50"/>
      <c r="R1195" s="50"/>
      <c r="S1195" s="50" t="str">
        <f t="shared" si="116"/>
        <v/>
      </c>
      <c r="T1195" s="50" t="str">
        <f t="shared" si="114"/>
        <v/>
      </c>
      <c r="U1195" s="50" t="str">
        <f t="shared" si="115"/>
        <v/>
      </c>
      <c r="V1195" s="50" t="str">
        <f t="shared" si="117"/>
        <v/>
      </c>
      <c r="W1195" s="50"/>
      <c r="X1195" s="50"/>
      <c r="Y1195" s="50"/>
      <c r="Z1195" s="50"/>
      <c r="AA1195" s="50"/>
    </row>
    <row r="1196" spans="1:27" ht="25.5" customHeight="1">
      <c r="A1196" s="517" t="s">
        <v>2286</v>
      </c>
      <c r="B1196" s="51" t="s">
        <v>1096</v>
      </c>
      <c r="C1196" s="51" t="s">
        <v>159</v>
      </c>
      <c r="D1196" s="51" t="s">
        <v>4756</v>
      </c>
      <c r="E1196" s="50">
        <v>958</v>
      </c>
      <c r="F1196" s="50">
        <v>1084</v>
      </c>
      <c r="G1196" s="50" t="s">
        <v>3955</v>
      </c>
      <c r="H1196" s="50"/>
      <c r="I1196" s="105"/>
      <c r="J1196" s="50"/>
      <c r="K1196" s="50" t="s">
        <v>29</v>
      </c>
      <c r="L1196" s="50" t="s">
        <v>2289</v>
      </c>
      <c r="M1196" s="50" t="s">
        <v>212</v>
      </c>
      <c r="N1196" s="50"/>
      <c r="O1196" s="50"/>
      <c r="P1196" s="50"/>
      <c r="Q1196" s="50"/>
      <c r="R1196" s="50"/>
      <c r="S1196" s="50" t="str">
        <f t="shared" si="116"/>
        <v/>
      </c>
      <c r="T1196" s="50" t="str">
        <f t="shared" si="114"/>
        <v/>
      </c>
      <c r="U1196" s="50" t="str">
        <f t="shared" si="115"/>
        <v/>
      </c>
      <c r="V1196" s="50" t="str">
        <f t="shared" si="117"/>
        <v/>
      </c>
      <c r="W1196" s="50"/>
      <c r="X1196" s="50"/>
      <c r="Y1196" s="50"/>
      <c r="Z1196" s="50"/>
      <c r="AA1196" s="50"/>
    </row>
    <row r="1197" spans="1:27" ht="25.5" customHeight="1">
      <c r="A1197" s="517" t="s">
        <v>2286</v>
      </c>
      <c r="B1197" s="51" t="s">
        <v>1096</v>
      </c>
      <c r="C1197" s="51" t="s">
        <v>159</v>
      </c>
      <c r="D1197" s="51" t="s">
        <v>4757</v>
      </c>
      <c r="E1197" s="50">
        <v>1636</v>
      </c>
      <c r="F1197" s="50">
        <v>1724</v>
      </c>
      <c r="G1197" s="50" t="s">
        <v>3955</v>
      </c>
      <c r="H1197" s="50"/>
      <c r="I1197" s="105"/>
      <c r="J1197" s="50"/>
      <c r="K1197" s="50" t="s">
        <v>29</v>
      </c>
      <c r="L1197" s="50" t="s">
        <v>2289</v>
      </c>
      <c r="M1197" s="50" t="s">
        <v>212</v>
      </c>
      <c r="N1197" s="50"/>
      <c r="O1197" s="50"/>
      <c r="P1197" s="50"/>
      <c r="Q1197" s="50"/>
      <c r="R1197" s="50"/>
      <c r="S1197" s="50" t="str">
        <f t="shared" si="116"/>
        <v/>
      </c>
      <c r="T1197" s="50" t="str">
        <f t="shared" si="114"/>
        <v/>
      </c>
      <c r="U1197" s="50" t="str">
        <f t="shared" si="115"/>
        <v/>
      </c>
      <c r="V1197" s="50" t="str">
        <f t="shared" si="117"/>
        <v/>
      </c>
      <c r="W1197" s="50"/>
      <c r="X1197" s="50"/>
      <c r="Y1197" s="50"/>
      <c r="Z1197" s="50"/>
      <c r="AA1197" s="50"/>
    </row>
    <row r="1198" spans="1:27" ht="25.5" customHeight="1">
      <c r="A1198" s="517" t="s">
        <v>2286</v>
      </c>
      <c r="B1198" s="51" t="s">
        <v>1096</v>
      </c>
      <c r="C1198" s="51" t="s">
        <v>159</v>
      </c>
      <c r="D1198" s="51" t="s">
        <v>4758</v>
      </c>
      <c r="E1198" s="50">
        <v>678</v>
      </c>
      <c r="F1198" s="50">
        <v>727</v>
      </c>
      <c r="G1198" s="50" t="s">
        <v>3955</v>
      </c>
      <c r="H1198" s="50"/>
      <c r="I1198" s="105"/>
      <c r="J1198" s="50"/>
      <c r="K1198" s="50" t="s">
        <v>29</v>
      </c>
      <c r="L1198" s="50" t="s">
        <v>2289</v>
      </c>
      <c r="M1198" s="50" t="s">
        <v>212</v>
      </c>
      <c r="N1198" s="50"/>
      <c r="O1198" s="50"/>
      <c r="P1198" s="50"/>
      <c r="Q1198" s="50"/>
      <c r="R1198" s="50"/>
      <c r="S1198" s="50" t="str">
        <f t="shared" si="116"/>
        <v/>
      </c>
      <c r="T1198" s="50" t="str">
        <f t="shared" si="114"/>
        <v/>
      </c>
      <c r="U1198" s="50" t="str">
        <f t="shared" si="115"/>
        <v/>
      </c>
      <c r="V1198" s="50" t="str">
        <f t="shared" si="117"/>
        <v/>
      </c>
      <c r="W1198" s="50"/>
      <c r="X1198" s="50"/>
      <c r="Y1198" s="50"/>
      <c r="Z1198" s="50"/>
      <c r="AA1198" s="50"/>
    </row>
    <row r="1199" spans="1:27" ht="25.5" customHeight="1">
      <c r="A1199" s="517" t="s">
        <v>2286</v>
      </c>
      <c r="B1199" s="51" t="s">
        <v>1096</v>
      </c>
      <c r="C1199" s="51" t="s">
        <v>159</v>
      </c>
      <c r="D1199" s="51" t="s">
        <v>4759</v>
      </c>
      <c r="E1199" s="50">
        <v>641</v>
      </c>
      <c r="F1199" s="50">
        <v>816</v>
      </c>
      <c r="G1199" s="50" t="s">
        <v>3404</v>
      </c>
      <c r="H1199" s="50">
        <v>2025</v>
      </c>
      <c r="I1199" s="132">
        <v>45924</v>
      </c>
      <c r="J1199" s="50" t="s">
        <v>3128</v>
      </c>
      <c r="K1199" s="50" t="s">
        <v>29</v>
      </c>
      <c r="L1199" s="50" t="s">
        <v>2289</v>
      </c>
      <c r="M1199" s="50" t="s">
        <v>212</v>
      </c>
      <c r="N1199" s="50" t="s">
        <v>4760</v>
      </c>
      <c r="O1199" s="60">
        <v>45927</v>
      </c>
      <c r="P1199" s="60">
        <v>45928</v>
      </c>
      <c r="Q1199" s="60">
        <v>45928</v>
      </c>
      <c r="R1199" s="60">
        <v>45929</v>
      </c>
      <c r="S1199" s="50">
        <f t="shared" si="116"/>
        <v>2</v>
      </c>
      <c r="T1199" s="50">
        <f t="shared" si="114"/>
        <v>1</v>
      </c>
      <c r="U1199" s="50">
        <f t="shared" si="115"/>
        <v>1</v>
      </c>
      <c r="V1199" s="50">
        <f t="shared" si="117"/>
        <v>1</v>
      </c>
      <c r="W1199" s="50" t="s">
        <v>150</v>
      </c>
      <c r="X1199" s="50" t="s">
        <v>1078</v>
      </c>
      <c r="Y1199" s="50" t="s">
        <v>57</v>
      </c>
      <c r="Z1199" s="50" t="s">
        <v>3406</v>
      </c>
      <c r="AA1199" s="50"/>
    </row>
    <row r="1200" spans="1:27" ht="25.5" customHeight="1">
      <c r="A1200" s="517" t="s">
        <v>2286</v>
      </c>
      <c r="B1200" s="51" t="s">
        <v>1096</v>
      </c>
      <c r="C1200" s="51" t="s">
        <v>159</v>
      </c>
      <c r="D1200" s="51" t="s">
        <v>4531</v>
      </c>
      <c r="E1200" s="50">
        <v>867</v>
      </c>
      <c r="F1200" s="50">
        <v>981</v>
      </c>
      <c r="G1200" s="50" t="s">
        <v>3955</v>
      </c>
      <c r="H1200" s="50"/>
      <c r="I1200" s="105"/>
      <c r="J1200" s="50"/>
      <c r="K1200" s="50" t="s">
        <v>29</v>
      </c>
      <c r="L1200" s="50" t="s">
        <v>2289</v>
      </c>
      <c r="M1200" s="50" t="s">
        <v>212</v>
      </c>
      <c r="N1200" s="50"/>
      <c r="O1200" s="50"/>
      <c r="P1200" s="50"/>
      <c r="Q1200" s="50"/>
      <c r="R1200" s="50"/>
      <c r="S1200" s="50" t="str">
        <f t="shared" si="116"/>
        <v/>
      </c>
      <c r="T1200" s="50" t="str">
        <f t="shared" si="114"/>
        <v/>
      </c>
      <c r="U1200" s="50" t="str">
        <f t="shared" si="115"/>
        <v/>
      </c>
      <c r="V1200" s="50" t="str">
        <f t="shared" si="117"/>
        <v/>
      </c>
      <c r="W1200" s="50"/>
      <c r="X1200" s="50"/>
      <c r="Y1200" s="50"/>
      <c r="Z1200" s="50"/>
      <c r="AA1200" s="50"/>
    </row>
    <row r="1201" spans="1:27" ht="25.5" customHeight="1">
      <c r="A1201" s="517" t="s">
        <v>2286</v>
      </c>
      <c r="B1201" s="51" t="s">
        <v>1096</v>
      </c>
      <c r="C1201" s="51" t="s">
        <v>159</v>
      </c>
      <c r="D1201" s="51" t="s">
        <v>4761</v>
      </c>
      <c r="E1201" s="50">
        <v>1061</v>
      </c>
      <c r="F1201" s="50">
        <v>1015</v>
      </c>
      <c r="G1201" s="50" t="s">
        <v>3404</v>
      </c>
      <c r="H1201" s="50">
        <v>2025</v>
      </c>
      <c r="I1201" s="132">
        <v>45772</v>
      </c>
      <c r="J1201" s="50" t="s">
        <v>3532</v>
      </c>
      <c r="K1201" s="50" t="s">
        <v>29</v>
      </c>
      <c r="L1201" s="50" t="s">
        <v>2289</v>
      </c>
      <c r="M1201" s="50" t="s">
        <v>212</v>
      </c>
      <c r="N1201" s="50" t="s">
        <v>4762</v>
      </c>
      <c r="O1201" s="60">
        <v>45774</v>
      </c>
      <c r="P1201" s="60">
        <v>45779</v>
      </c>
      <c r="Q1201" s="60">
        <v>45782</v>
      </c>
      <c r="R1201" s="60">
        <v>45791</v>
      </c>
      <c r="S1201" s="50">
        <f t="shared" si="116"/>
        <v>1</v>
      </c>
      <c r="T1201" s="50">
        <f t="shared" si="114"/>
        <v>4</v>
      </c>
      <c r="U1201" s="50">
        <f t="shared" si="115"/>
        <v>1</v>
      </c>
      <c r="V1201" s="50">
        <f t="shared" si="117"/>
        <v>7</v>
      </c>
      <c r="W1201" s="50" t="s">
        <v>150</v>
      </c>
      <c r="X1201" s="50" t="s">
        <v>1078</v>
      </c>
      <c r="Y1201" s="50" t="s">
        <v>50</v>
      </c>
      <c r="Z1201" s="50" t="s">
        <v>3406</v>
      </c>
      <c r="AA1201" s="50"/>
    </row>
    <row r="1202" spans="1:27" ht="25.5" customHeight="1">
      <c r="A1202" s="517" t="s">
        <v>2286</v>
      </c>
      <c r="B1202" s="51" t="s">
        <v>1096</v>
      </c>
      <c r="C1202" s="51" t="s">
        <v>159</v>
      </c>
      <c r="D1202" s="51" t="s">
        <v>4763</v>
      </c>
      <c r="E1202" s="50">
        <v>1522</v>
      </c>
      <c r="F1202" s="50">
        <v>1472</v>
      </c>
      <c r="G1202" s="50" t="s">
        <v>3404</v>
      </c>
      <c r="H1202" s="50">
        <v>2025</v>
      </c>
      <c r="I1202" s="132">
        <v>45784</v>
      </c>
      <c r="J1202" s="50" t="s">
        <v>3532</v>
      </c>
      <c r="K1202" s="50" t="s">
        <v>29</v>
      </c>
      <c r="L1202" s="50" t="s">
        <v>2289</v>
      </c>
      <c r="M1202" s="50" t="s">
        <v>212</v>
      </c>
      <c r="N1202" s="50" t="s">
        <v>4764</v>
      </c>
      <c r="O1202" s="60">
        <v>45792</v>
      </c>
      <c r="P1202" s="60">
        <v>45793</v>
      </c>
      <c r="Q1202" s="60">
        <v>45793</v>
      </c>
      <c r="R1202" s="60">
        <v>45796</v>
      </c>
      <c r="S1202" s="50">
        <f t="shared" si="116"/>
        <v>6</v>
      </c>
      <c r="T1202" s="50">
        <f t="shared" si="114"/>
        <v>1</v>
      </c>
      <c r="U1202" s="50">
        <f t="shared" si="115"/>
        <v>1</v>
      </c>
      <c r="V1202" s="50">
        <f t="shared" si="117"/>
        <v>1</v>
      </c>
      <c r="W1202" s="50" t="s">
        <v>150</v>
      </c>
      <c r="X1202" s="50" t="s">
        <v>1078</v>
      </c>
      <c r="Y1202" s="50" t="s">
        <v>50</v>
      </c>
      <c r="Z1202" s="50" t="s">
        <v>3406</v>
      </c>
      <c r="AA1202" s="50"/>
    </row>
    <row r="1203" spans="1:27" ht="25.5" customHeight="1">
      <c r="A1203" s="517" t="s">
        <v>2286</v>
      </c>
      <c r="B1203" s="51" t="s">
        <v>1096</v>
      </c>
      <c r="C1203" s="51" t="s">
        <v>159</v>
      </c>
      <c r="D1203" s="51" t="s">
        <v>4765</v>
      </c>
      <c r="E1203" s="50">
        <v>1340</v>
      </c>
      <c r="F1203" s="50">
        <v>1372</v>
      </c>
      <c r="G1203" s="50" t="s">
        <v>3955</v>
      </c>
      <c r="H1203" s="50"/>
      <c r="I1203" s="105"/>
      <c r="J1203" s="50"/>
      <c r="K1203" s="50" t="s">
        <v>29</v>
      </c>
      <c r="L1203" s="50" t="s">
        <v>2289</v>
      </c>
      <c r="M1203" s="50" t="s">
        <v>212</v>
      </c>
      <c r="N1203" s="50"/>
      <c r="O1203" s="50"/>
      <c r="P1203" s="50"/>
      <c r="Q1203" s="50"/>
      <c r="R1203" s="50"/>
      <c r="S1203" s="50" t="str">
        <f t="shared" si="116"/>
        <v/>
      </c>
      <c r="T1203" s="50" t="str">
        <f t="shared" si="114"/>
        <v/>
      </c>
      <c r="U1203" s="50" t="str">
        <f t="shared" si="115"/>
        <v/>
      </c>
      <c r="V1203" s="50" t="str">
        <f t="shared" si="117"/>
        <v/>
      </c>
      <c r="W1203" s="50"/>
      <c r="X1203" s="50"/>
      <c r="Y1203" s="50"/>
      <c r="Z1203" s="50"/>
      <c r="AA1203" s="50"/>
    </row>
    <row r="1204" spans="1:27" ht="25.5" customHeight="1">
      <c r="A1204" s="517" t="s">
        <v>2286</v>
      </c>
      <c r="B1204" s="51" t="s">
        <v>1096</v>
      </c>
      <c r="C1204" s="51" t="s">
        <v>159</v>
      </c>
      <c r="D1204" s="51" t="s">
        <v>4766</v>
      </c>
      <c r="E1204" s="50">
        <v>975</v>
      </c>
      <c r="F1204" s="50">
        <v>887</v>
      </c>
      <c r="G1204" s="50" t="s">
        <v>3955</v>
      </c>
      <c r="H1204" s="50"/>
      <c r="I1204" s="105"/>
      <c r="J1204" s="50"/>
      <c r="K1204" s="50" t="s">
        <v>29</v>
      </c>
      <c r="L1204" s="50" t="s">
        <v>2289</v>
      </c>
      <c r="M1204" s="50" t="s">
        <v>212</v>
      </c>
      <c r="N1204" s="50"/>
      <c r="O1204" s="50"/>
      <c r="P1204" s="50"/>
      <c r="Q1204" s="50"/>
      <c r="R1204" s="50"/>
      <c r="S1204" s="50" t="str">
        <f t="shared" si="116"/>
        <v/>
      </c>
      <c r="T1204" s="50" t="str">
        <f t="shared" si="114"/>
        <v/>
      </c>
      <c r="U1204" s="50" t="str">
        <f t="shared" si="115"/>
        <v/>
      </c>
      <c r="V1204" s="50" t="str">
        <f t="shared" si="117"/>
        <v/>
      </c>
      <c r="W1204" s="50"/>
      <c r="X1204" s="50"/>
      <c r="Y1204" s="50"/>
      <c r="Z1204" s="50"/>
      <c r="AA1204" s="50"/>
    </row>
    <row r="1205" spans="1:27" ht="25.5" customHeight="1">
      <c r="A1205" s="517" t="s">
        <v>2286</v>
      </c>
      <c r="B1205" s="51" t="s">
        <v>1096</v>
      </c>
      <c r="C1205" s="51" t="s">
        <v>159</v>
      </c>
      <c r="D1205" s="51" t="s">
        <v>4767</v>
      </c>
      <c r="E1205" s="50">
        <v>1762</v>
      </c>
      <c r="F1205" s="50">
        <v>1776</v>
      </c>
      <c r="G1205" s="50" t="s">
        <v>3955</v>
      </c>
      <c r="H1205" s="50"/>
      <c r="I1205" s="105"/>
      <c r="J1205" s="50"/>
      <c r="K1205" s="50" t="s">
        <v>29</v>
      </c>
      <c r="L1205" s="50" t="s">
        <v>2289</v>
      </c>
      <c r="M1205" s="50" t="s">
        <v>212</v>
      </c>
      <c r="N1205" s="50"/>
      <c r="O1205" s="50"/>
      <c r="P1205" s="50"/>
      <c r="Q1205" s="50"/>
      <c r="R1205" s="50"/>
      <c r="S1205" s="50" t="str">
        <f t="shared" si="116"/>
        <v/>
      </c>
      <c r="T1205" s="50" t="str">
        <f t="shared" si="114"/>
        <v/>
      </c>
      <c r="U1205" s="50" t="str">
        <f t="shared" si="115"/>
        <v/>
      </c>
      <c r="V1205" s="50" t="str">
        <f t="shared" si="117"/>
        <v/>
      </c>
      <c r="W1205" s="50"/>
      <c r="X1205" s="50"/>
      <c r="Y1205" s="50"/>
      <c r="Z1205" s="50"/>
      <c r="AA1205" s="50"/>
    </row>
    <row r="1206" spans="1:27" ht="25.5" customHeight="1">
      <c r="A1206" s="517" t="s">
        <v>2286</v>
      </c>
      <c r="B1206" s="51" t="s">
        <v>1096</v>
      </c>
      <c r="C1206" s="51" t="s">
        <v>159</v>
      </c>
      <c r="D1206" s="51" t="s">
        <v>4768</v>
      </c>
      <c r="E1206" s="50">
        <v>719</v>
      </c>
      <c r="F1206" s="50">
        <v>740</v>
      </c>
      <c r="G1206" s="50" t="s">
        <v>3955</v>
      </c>
      <c r="H1206" s="50"/>
      <c r="I1206" s="105"/>
      <c r="J1206" s="50"/>
      <c r="K1206" s="50" t="s">
        <v>29</v>
      </c>
      <c r="L1206" s="50" t="s">
        <v>2289</v>
      </c>
      <c r="M1206" s="50" t="s">
        <v>212</v>
      </c>
      <c r="N1206" s="50"/>
      <c r="O1206" s="50"/>
      <c r="P1206" s="50"/>
      <c r="Q1206" s="50"/>
      <c r="R1206" s="50"/>
      <c r="S1206" s="50" t="str">
        <f t="shared" si="116"/>
        <v/>
      </c>
      <c r="T1206" s="50" t="str">
        <f t="shared" si="114"/>
        <v/>
      </c>
      <c r="U1206" s="50" t="str">
        <f t="shared" si="115"/>
        <v/>
      </c>
      <c r="V1206" s="50" t="str">
        <f t="shared" si="117"/>
        <v/>
      </c>
      <c r="W1206" s="50"/>
      <c r="X1206" s="50"/>
      <c r="Y1206" s="50"/>
      <c r="Z1206" s="50"/>
      <c r="AA1206" s="50"/>
    </row>
    <row r="1207" spans="1:27" ht="25.5" customHeight="1">
      <c r="A1207" s="517" t="s">
        <v>2286</v>
      </c>
      <c r="B1207" s="51" t="s">
        <v>1096</v>
      </c>
      <c r="C1207" s="51" t="s">
        <v>159</v>
      </c>
      <c r="D1207" s="51" t="s">
        <v>4769</v>
      </c>
      <c r="E1207" s="50">
        <v>1255</v>
      </c>
      <c r="F1207" s="50">
        <v>1269</v>
      </c>
      <c r="G1207" s="50" t="s">
        <v>3404</v>
      </c>
      <c r="H1207" s="50">
        <v>2025</v>
      </c>
      <c r="I1207" s="132">
        <v>45772</v>
      </c>
      <c r="J1207" s="50" t="s">
        <v>3532</v>
      </c>
      <c r="K1207" s="50" t="s">
        <v>29</v>
      </c>
      <c r="L1207" s="50" t="s">
        <v>2289</v>
      </c>
      <c r="M1207" s="50" t="s">
        <v>212</v>
      </c>
      <c r="N1207" s="50" t="s">
        <v>4770</v>
      </c>
      <c r="O1207" s="60">
        <v>45774</v>
      </c>
      <c r="P1207" s="60">
        <v>45779</v>
      </c>
      <c r="Q1207" s="60">
        <v>45782</v>
      </c>
      <c r="R1207" s="60">
        <v>45791</v>
      </c>
      <c r="S1207" s="50">
        <f t="shared" si="116"/>
        <v>1</v>
      </c>
      <c r="T1207" s="50">
        <f t="shared" si="114"/>
        <v>4</v>
      </c>
      <c r="U1207" s="50">
        <f t="shared" si="115"/>
        <v>1</v>
      </c>
      <c r="V1207" s="50">
        <f t="shared" si="117"/>
        <v>7</v>
      </c>
      <c r="W1207" s="50" t="s">
        <v>150</v>
      </c>
      <c r="X1207" s="50" t="s">
        <v>1078</v>
      </c>
      <c r="Y1207" s="50" t="s">
        <v>50</v>
      </c>
      <c r="Z1207" s="50" t="s">
        <v>3406</v>
      </c>
      <c r="AA1207" s="50"/>
    </row>
    <row r="1208" spans="1:27" ht="25.5" customHeight="1">
      <c r="A1208" s="517" t="s">
        <v>2286</v>
      </c>
      <c r="B1208" s="51" t="s">
        <v>1096</v>
      </c>
      <c r="C1208" s="51" t="s">
        <v>159</v>
      </c>
      <c r="D1208" s="51" t="s">
        <v>4771</v>
      </c>
      <c r="E1208" s="50">
        <v>824</v>
      </c>
      <c r="F1208" s="50">
        <v>828</v>
      </c>
      <c r="G1208" s="50" t="s">
        <v>3955</v>
      </c>
      <c r="H1208" s="50"/>
      <c r="I1208" s="105"/>
      <c r="J1208" s="50"/>
      <c r="K1208" s="50" t="s">
        <v>29</v>
      </c>
      <c r="L1208" s="50" t="s">
        <v>2289</v>
      </c>
      <c r="M1208" s="50" t="s">
        <v>212</v>
      </c>
      <c r="N1208" s="50"/>
      <c r="O1208" s="50"/>
      <c r="P1208" s="50"/>
      <c r="Q1208" s="50"/>
      <c r="R1208" s="50"/>
      <c r="S1208" s="50" t="str">
        <f t="shared" si="116"/>
        <v/>
      </c>
      <c r="T1208" s="50" t="str">
        <f t="shared" si="114"/>
        <v/>
      </c>
      <c r="U1208" s="50" t="str">
        <f t="shared" si="115"/>
        <v/>
      </c>
      <c r="V1208" s="50" t="str">
        <f t="shared" si="117"/>
        <v/>
      </c>
      <c r="W1208" s="50"/>
      <c r="X1208" s="50"/>
      <c r="Y1208" s="50"/>
      <c r="Z1208" s="50"/>
      <c r="AA1208" s="50"/>
    </row>
    <row r="1209" spans="1:27" s="110" customFormat="1" ht="25.5" customHeight="1">
      <c r="A1209" s="517" t="s">
        <v>2286</v>
      </c>
      <c r="B1209" s="51" t="s">
        <v>1096</v>
      </c>
      <c r="C1209" s="51" t="s">
        <v>159</v>
      </c>
      <c r="D1209" s="51" t="s">
        <v>4772</v>
      </c>
      <c r="E1209" s="50">
        <v>2169</v>
      </c>
      <c r="F1209" s="50">
        <v>2204</v>
      </c>
      <c r="G1209" s="50" t="s">
        <v>3955</v>
      </c>
      <c r="H1209" s="50"/>
      <c r="I1209" s="105"/>
      <c r="J1209" s="50"/>
      <c r="K1209" s="50" t="s">
        <v>29</v>
      </c>
      <c r="L1209" s="50" t="s">
        <v>2289</v>
      </c>
      <c r="M1209" s="50" t="s">
        <v>212</v>
      </c>
      <c r="N1209" s="50"/>
      <c r="O1209" s="50"/>
      <c r="P1209" s="50"/>
      <c r="Q1209" s="50"/>
      <c r="R1209" s="50"/>
      <c r="S1209" s="50" t="str">
        <f t="shared" si="116"/>
        <v/>
      </c>
      <c r="T1209" s="50" t="str">
        <f t="shared" si="114"/>
        <v/>
      </c>
      <c r="U1209" s="50" t="str">
        <f t="shared" si="115"/>
        <v/>
      </c>
      <c r="V1209" s="50" t="str">
        <f t="shared" si="117"/>
        <v/>
      </c>
      <c r="W1209" s="50"/>
      <c r="X1209" s="50"/>
      <c r="Y1209" s="50"/>
      <c r="Z1209" s="50"/>
      <c r="AA1209" s="50"/>
    </row>
    <row r="1210" spans="1:27" ht="25.5" customHeight="1">
      <c r="A1210" s="517" t="s">
        <v>2286</v>
      </c>
      <c r="B1210" s="51" t="s">
        <v>1096</v>
      </c>
      <c r="C1210" s="51" t="s">
        <v>159</v>
      </c>
      <c r="D1210" s="51" t="s">
        <v>4773</v>
      </c>
      <c r="E1210" s="50">
        <v>1186</v>
      </c>
      <c r="F1210" s="50">
        <v>1146</v>
      </c>
      <c r="G1210" s="50" t="s">
        <v>3955</v>
      </c>
      <c r="H1210" s="50"/>
      <c r="I1210" s="105"/>
      <c r="J1210" s="50"/>
      <c r="K1210" s="50" t="s">
        <v>29</v>
      </c>
      <c r="L1210" s="50" t="s">
        <v>2289</v>
      </c>
      <c r="M1210" s="50" t="s">
        <v>212</v>
      </c>
      <c r="N1210" s="50"/>
      <c r="O1210" s="50"/>
      <c r="P1210" s="50"/>
      <c r="Q1210" s="50"/>
      <c r="R1210" s="50"/>
      <c r="S1210" s="50" t="str">
        <f t="shared" si="116"/>
        <v/>
      </c>
      <c r="T1210" s="50" t="str">
        <f t="shared" ref="T1210:T1273" si="118">IF(
    OR(ISBLANK(O1210), ISBLANK(P1210)),
    "",
    MAX(1, IF(
        NETWORKDAYS(O1210, P1210) &lt;= 0,
        1,
        NETWORKDAYS(O1210, P1210) - IF(O1210 = P1210, 0, 1)
    ))
)</f>
        <v/>
      </c>
      <c r="U1210" s="50" t="str">
        <f t="shared" ref="U1210:U1273" si="119">IF(
    OR(ISBLANK(P1210), ISBLANK(Q1210)),
    "",
    MAX(1, IF(
        NETWORKDAYS(P1210, Q1210) &lt;= 0,
        1,
        NETWORKDAYS(P1210, Q1210) - IF(P1210 = Q1210, 0, 1)
    ))
)</f>
        <v/>
      </c>
      <c r="V1210" s="50" t="str">
        <f t="shared" si="117"/>
        <v/>
      </c>
      <c r="W1210" s="50"/>
      <c r="X1210" s="50"/>
      <c r="Y1210" s="50"/>
      <c r="Z1210" s="50"/>
      <c r="AA1210" s="50"/>
    </row>
    <row r="1211" spans="1:27" s="110" customFormat="1" ht="25.5" customHeight="1">
      <c r="A1211" s="517" t="s">
        <v>2286</v>
      </c>
      <c r="B1211" s="51" t="s">
        <v>1096</v>
      </c>
      <c r="C1211" s="51" t="s">
        <v>159</v>
      </c>
      <c r="D1211" s="51" t="s">
        <v>4774</v>
      </c>
      <c r="E1211" s="50">
        <v>1287</v>
      </c>
      <c r="F1211" s="50">
        <v>1305</v>
      </c>
      <c r="G1211" s="50" t="s">
        <v>3955</v>
      </c>
      <c r="H1211" s="50"/>
      <c r="I1211" s="105"/>
      <c r="J1211" s="50"/>
      <c r="K1211" s="50" t="s">
        <v>29</v>
      </c>
      <c r="L1211" s="50" t="s">
        <v>2289</v>
      </c>
      <c r="M1211" s="50" t="s">
        <v>212</v>
      </c>
      <c r="N1211" s="50"/>
      <c r="O1211" s="50"/>
      <c r="P1211" s="50"/>
      <c r="Q1211" s="50"/>
      <c r="R1211" s="50"/>
      <c r="S1211" s="50" t="str">
        <f t="shared" si="116"/>
        <v/>
      </c>
      <c r="T1211" s="50" t="str">
        <f t="shared" si="118"/>
        <v/>
      </c>
      <c r="U1211" s="50" t="str">
        <f t="shared" si="119"/>
        <v/>
      </c>
      <c r="V1211" s="50" t="str">
        <f t="shared" si="117"/>
        <v/>
      </c>
      <c r="W1211" s="50"/>
      <c r="X1211" s="50"/>
      <c r="Y1211" s="50"/>
      <c r="Z1211" s="50"/>
      <c r="AA1211" s="50"/>
    </row>
    <row r="1212" spans="1:27" ht="25.5" customHeight="1">
      <c r="A1212" s="517" t="s">
        <v>2286</v>
      </c>
      <c r="B1212" s="51" t="s">
        <v>1096</v>
      </c>
      <c r="C1212" s="51" t="s">
        <v>159</v>
      </c>
      <c r="D1212" s="51" t="s">
        <v>4775</v>
      </c>
      <c r="E1212" s="50">
        <v>681</v>
      </c>
      <c r="F1212" s="50">
        <v>693</v>
      </c>
      <c r="G1212" s="50" t="s">
        <v>3955</v>
      </c>
      <c r="H1212" s="50"/>
      <c r="I1212" s="105"/>
      <c r="J1212" s="50"/>
      <c r="K1212" s="50" t="s">
        <v>29</v>
      </c>
      <c r="L1212" s="50" t="s">
        <v>2289</v>
      </c>
      <c r="M1212" s="50" t="s">
        <v>212</v>
      </c>
      <c r="N1212" s="50"/>
      <c r="O1212" s="50"/>
      <c r="P1212" s="50"/>
      <c r="Q1212" s="50"/>
      <c r="R1212" s="50"/>
      <c r="S1212" s="50" t="str">
        <f t="shared" si="116"/>
        <v/>
      </c>
      <c r="T1212" s="50" t="str">
        <f t="shared" si="118"/>
        <v/>
      </c>
      <c r="U1212" s="50" t="str">
        <f t="shared" si="119"/>
        <v/>
      </c>
      <c r="V1212" s="50" t="str">
        <f t="shared" si="117"/>
        <v/>
      </c>
      <c r="W1212" s="50"/>
      <c r="X1212" s="50"/>
      <c r="Y1212" s="50"/>
      <c r="Z1212" s="50"/>
      <c r="AA1212" s="50"/>
    </row>
    <row r="1213" spans="1:27" ht="25.5" customHeight="1">
      <c r="A1213" s="517" t="s">
        <v>2286</v>
      </c>
      <c r="B1213" s="51" t="s">
        <v>1096</v>
      </c>
      <c r="C1213" s="51" t="s">
        <v>159</v>
      </c>
      <c r="D1213" s="51" t="s">
        <v>4776</v>
      </c>
      <c r="E1213" s="50">
        <v>1616</v>
      </c>
      <c r="F1213" s="50">
        <v>1918</v>
      </c>
      <c r="G1213" s="50" t="s">
        <v>3404</v>
      </c>
      <c r="H1213" s="50">
        <v>2025</v>
      </c>
      <c r="I1213" s="132">
        <v>45924</v>
      </c>
      <c r="J1213" s="50" t="s">
        <v>3128</v>
      </c>
      <c r="K1213" s="50" t="s">
        <v>29</v>
      </c>
      <c r="L1213" s="50" t="s">
        <v>2289</v>
      </c>
      <c r="M1213" s="50" t="s">
        <v>212</v>
      </c>
      <c r="N1213" s="50" t="s">
        <v>4777</v>
      </c>
      <c r="O1213" s="60">
        <v>45927</v>
      </c>
      <c r="P1213" s="60">
        <v>45928</v>
      </c>
      <c r="Q1213" s="60">
        <v>45928</v>
      </c>
      <c r="R1213" s="60">
        <v>45929</v>
      </c>
      <c r="S1213" s="50">
        <f t="shared" si="116"/>
        <v>2</v>
      </c>
      <c r="T1213" s="50">
        <f t="shared" si="118"/>
        <v>1</v>
      </c>
      <c r="U1213" s="50">
        <f t="shared" si="119"/>
        <v>1</v>
      </c>
      <c r="V1213" s="50">
        <f t="shared" si="117"/>
        <v>1</v>
      </c>
      <c r="W1213" s="50" t="s">
        <v>150</v>
      </c>
      <c r="X1213" s="50" t="s">
        <v>1078</v>
      </c>
      <c r="Y1213" s="50" t="s">
        <v>57</v>
      </c>
      <c r="Z1213" s="50" t="s">
        <v>3406</v>
      </c>
      <c r="AA1213" s="50"/>
    </row>
    <row r="1214" spans="1:27" ht="25.5" customHeight="1">
      <c r="A1214" s="517" t="s">
        <v>2286</v>
      </c>
      <c r="B1214" s="51" t="s">
        <v>1096</v>
      </c>
      <c r="C1214" s="51" t="s">
        <v>159</v>
      </c>
      <c r="D1214" s="51" t="s">
        <v>1499</v>
      </c>
      <c r="E1214" s="50">
        <v>648</v>
      </c>
      <c r="F1214" s="50">
        <v>645</v>
      </c>
      <c r="G1214" s="50" t="s">
        <v>3955</v>
      </c>
      <c r="H1214" s="50"/>
      <c r="I1214" s="105"/>
      <c r="J1214" s="50"/>
      <c r="K1214" s="50" t="s">
        <v>29</v>
      </c>
      <c r="L1214" s="50" t="s">
        <v>2289</v>
      </c>
      <c r="M1214" s="50" t="s">
        <v>212</v>
      </c>
      <c r="N1214" s="50"/>
      <c r="O1214" s="50"/>
      <c r="P1214" s="50"/>
      <c r="Q1214" s="50"/>
      <c r="R1214" s="50"/>
      <c r="S1214" s="50" t="str">
        <f t="shared" si="116"/>
        <v/>
      </c>
      <c r="T1214" s="50" t="str">
        <f t="shared" si="118"/>
        <v/>
      </c>
      <c r="U1214" s="50" t="str">
        <f t="shared" si="119"/>
        <v/>
      </c>
      <c r="V1214" s="50" t="str">
        <f t="shared" si="117"/>
        <v/>
      </c>
      <c r="W1214" s="50"/>
      <c r="X1214" s="50"/>
      <c r="Y1214" s="50"/>
      <c r="Z1214" s="50"/>
      <c r="AA1214" s="50"/>
    </row>
    <row r="1215" spans="1:27" ht="25.5" customHeight="1">
      <c r="A1215" s="517" t="s">
        <v>2286</v>
      </c>
      <c r="B1215" s="51" t="s">
        <v>1096</v>
      </c>
      <c r="C1215" s="51" t="s">
        <v>159</v>
      </c>
      <c r="D1215" s="51" t="s">
        <v>4778</v>
      </c>
      <c r="E1215" s="50">
        <v>1553</v>
      </c>
      <c r="F1215" s="50">
        <v>1686</v>
      </c>
      <c r="G1215" s="50" t="s">
        <v>3955</v>
      </c>
      <c r="H1215" s="50"/>
      <c r="I1215" s="105"/>
      <c r="J1215" s="50"/>
      <c r="K1215" s="50" t="s">
        <v>29</v>
      </c>
      <c r="L1215" s="50" t="s">
        <v>2289</v>
      </c>
      <c r="M1215" s="50" t="s">
        <v>212</v>
      </c>
      <c r="N1215" s="50"/>
      <c r="O1215" s="50"/>
      <c r="P1215" s="50"/>
      <c r="Q1215" s="50"/>
      <c r="R1215" s="50"/>
      <c r="S1215" s="50" t="str">
        <f t="shared" si="116"/>
        <v/>
      </c>
      <c r="T1215" s="50" t="str">
        <f t="shared" si="118"/>
        <v/>
      </c>
      <c r="U1215" s="50" t="str">
        <f t="shared" si="119"/>
        <v/>
      </c>
      <c r="V1215" s="50" t="str">
        <f t="shared" si="117"/>
        <v/>
      </c>
      <c r="W1215" s="50"/>
      <c r="X1215" s="50"/>
      <c r="Y1215" s="50"/>
      <c r="Z1215" s="50"/>
      <c r="AA1215" s="50"/>
    </row>
    <row r="1216" spans="1:27" ht="25.5" customHeight="1">
      <c r="A1216" s="517" t="s">
        <v>2286</v>
      </c>
      <c r="B1216" s="51" t="s">
        <v>1096</v>
      </c>
      <c r="C1216" s="51" t="s">
        <v>159</v>
      </c>
      <c r="D1216" s="51" t="s">
        <v>4779</v>
      </c>
      <c r="E1216" s="50">
        <v>1387</v>
      </c>
      <c r="F1216" s="50">
        <v>1552</v>
      </c>
      <c r="G1216" s="50" t="s">
        <v>3955</v>
      </c>
      <c r="H1216" s="50"/>
      <c r="I1216" s="105"/>
      <c r="J1216" s="50"/>
      <c r="K1216" s="50" t="s">
        <v>29</v>
      </c>
      <c r="L1216" s="50" t="s">
        <v>2289</v>
      </c>
      <c r="M1216" s="50" t="s">
        <v>212</v>
      </c>
      <c r="N1216" s="50"/>
      <c r="O1216" s="50"/>
      <c r="P1216" s="50"/>
      <c r="Q1216" s="50"/>
      <c r="R1216" s="50"/>
      <c r="S1216" s="50" t="str">
        <f t="shared" si="116"/>
        <v/>
      </c>
      <c r="T1216" s="50" t="str">
        <f t="shared" si="118"/>
        <v/>
      </c>
      <c r="U1216" s="50" t="str">
        <f t="shared" si="119"/>
        <v/>
      </c>
      <c r="V1216" s="50" t="str">
        <f t="shared" si="117"/>
        <v/>
      </c>
      <c r="W1216" s="50"/>
      <c r="X1216" s="50"/>
      <c r="Y1216" s="50"/>
      <c r="Z1216" s="50"/>
      <c r="AA1216" s="50"/>
    </row>
    <row r="1217" spans="1:27" s="110" customFormat="1" ht="25.5" customHeight="1">
      <c r="A1217" s="517" t="s">
        <v>2286</v>
      </c>
      <c r="B1217" s="51" t="s">
        <v>1096</v>
      </c>
      <c r="C1217" s="51" t="s">
        <v>159</v>
      </c>
      <c r="D1217" s="51" t="s">
        <v>4780</v>
      </c>
      <c r="E1217" s="50">
        <v>1555</v>
      </c>
      <c r="F1217" s="50">
        <v>1720</v>
      </c>
      <c r="G1217" s="50" t="s">
        <v>3955</v>
      </c>
      <c r="H1217" s="50"/>
      <c r="I1217" s="105"/>
      <c r="J1217" s="50"/>
      <c r="K1217" s="50" t="s">
        <v>29</v>
      </c>
      <c r="L1217" s="50" t="s">
        <v>2289</v>
      </c>
      <c r="M1217" s="50" t="s">
        <v>212</v>
      </c>
      <c r="N1217" s="50"/>
      <c r="O1217" s="50"/>
      <c r="P1217" s="50"/>
      <c r="Q1217" s="50"/>
      <c r="R1217" s="50"/>
      <c r="S1217" s="50" t="str">
        <f t="shared" si="116"/>
        <v/>
      </c>
      <c r="T1217" s="50" t="str">
        <f t="shared" si="118"/>
        <v/>
      </c>
      <c r="U1217" s="50" t="str">
        <f t="shared" si="119"/>
        <v/>
      </c>
      <c r="V1217" s="50" t="str">
        <f t="shared" si="117"/>
        <v/>
      </c>
      <c r="W1217" s="50"/>
      <c r="X1217" s="50"/>
      <c r="Y1217" s="50"/>
      <c r="Z1217" s="50"/>
      <c r="AA1217" s="50"/>
    </row>
    <row r="1218" spans="1:27" ht="25.5" customHeight="1">
      <c r="A1218" s="517" t="s">
        <v>2286</v>
      </c>
      <c r="B1218" s="51" t="s">
        <v>1096</v>
      </c>
      <c r="C1218" s="51" t="s">
        <v>159</v>
      </c>
      <c r="D1218" s="51" t="s">
        <v>4781</v>
      </c>
      <c r="E1218" s="50">
        <v>1850</v>
      </c>
      <c r="F1218" s="50">
        <v>1886</v>
      </c>
      <c r="G1218" s="50" t="s">
        <v>3955</v>
      </c>
      <c r="H1218" s="50"/>
      <c r="I1218" s="105"/>
      <c r="J1218" s="50"/>
      <c r="K1218" s="50" t="s">
        <v>29</v>
      </c>
      <c r="L1218" s="50" t="s">
        <v>2289</v>
      </c>
      <c r="M1218" s="50" t="s">
        <v>212</v>
      </c>
      <c r="N1218" s="50"/>
      <c r="O1218" s="50"/>
      <c r="P1218" s="50"/>
      <c r="Q1218" s="50"/>
      <c r="R1218" s="50"/>
      <c r="S1218" s="50" t="str">
        <f t="shared" si="116"/>
        <v/>
      </c>
      <c r="T1218" s="50" t="str">
        <f t="shared" si="118"/>
        <v/>
      </c>
      <c r="U1218" s="50" t="str">
        <f t="shared" si="119"/>
        <v/>
      </c>
      <c r="V1218" s="50" t="str">
        <f t="shared" si="117"/>
        <v/>
      </c>
      <c r="W1218" s="50"/>
      <c r="X1218" s="50"/>
      <c r="Y1218" s="50"/>
      <c r="Z1218" s="50"/>
      <c r="AA1218" s="50"/>
    </row>
    <row r="1219" spans="1:27" ht="25.5" customHeight="1">
      <c r="A1219" s="517" t="s">
        <v>2286</v>
      </c>
      <c r="B1219" s="51" t="s">
        <v>1096</v>
      </c>
      <c r="C1219" s="51" t="s">
        <v>159</v>
      </c>
      <c r="D1219" s="51" t="s">
        <v>4782</v>
      </c>
      <c r="E1219" s="50">
        <v>998</v>
      </c>
      <c r="F1219" s="50">
        <v>1012</v>
      </c>
      <c r="G1219" s="50" t="s">
        <v>3955</v>
      </c>
      <c r="H1219" s="50"/>
      <c r="I1219" s="105"/>
      <c r="J1219" s="50"/>
      <c r="K1219" s="50" t="s">
        <v>29</v>
      </c>
      <c r="L1219" s="50" t="s">
        <v>2289</v>
      </c>
      <c r="M1219" s="50" t="s">
        <v>212</v>
      </c>
      <c r="N1219" s="50"/>
      <c r="O1219" s="50"/>
      <c r="P1219" s="50"/>
      <c r="Q1219" s="50"/>
      <c r="R1219" s="50"/>
      <c r="S1219" s="50" t="str">
        <f t="shared" si="116"/>
        <v/>
      </c>
      <c r="T1219" s="50" t="str">
        <f t="shared" si="118"/>
        <v/>
      </c>
      <c r="U1219" s="50" t="str">
        <f t="shared" si="119"/>
        <v/>
      </c>
      <c r="V1219" s="50" t="str">
        <f t="shared" si="117"/>
        <v/>
      </c>
      <c r="W1219" s="50"/>
      <c r="X1219" s="50"/>
      <c r="Y1219" s="50"/>
      <c r="Z1219" s="50"/>
      <c r="AA1219" s="50"/>
    </row>
    <row r="1220" spans="1:27" ht="25.5" customHeight="1">
      <c r="A1220" s="517" t="s">
        <v>2286</v>
      </c>
      <c r="B1220" s="51" t="s">
        <v>1096</v>
      </c>
      <c r="C1220" s="51" t="s">
        <v>159</v>
      </c>
      <c r="D1220" s="51" t="s">
        <v>4783</v>
      </c>
      <c r="E1220" s="50">
        <v>1215</v>
      </c>
      <c r="F1220" s="50">
        <v>1260</v>
      </c>
      <c r="G1220" s="50" t="s">
        <v>3955</v>
      </c>
      <c r="H1220" s="50"/>
      <c r="I1220" s="105"/>
      <c r="J1220" s="50"/>
      <c r="K1220" s="50" t="s">
        <v>29</v>
      </c>
      <c r="L1220" s="50" t="s">
        <v>2289</v>
      </c>
      <c r="M1220" s="50" t="s">
        <v>212</v>
      </c>
      <c r="N1220" s="50"/>
      <c r="O1220" s="50"/>
      <c r="P1220" s="50"/>
      <c r="Q1220" s="50"/>
      <c r="R1220" s="50"/>
      <c r="S1220" s="50" t="str">
        <f t="shared" si="116"/>
        <v/>
      </c>
      <c r="T1220" s="50" t="str">
        <f t="shared" si="118"/>
        <v/>
      </c>
      <c r="U1220" s="50" t="str">
        <f t="shared" si="119"/>
        <v/>
      </c>
      <c r="V1220" s="50" t="str">
        <f t="shared" si="117"/>
        <v/>
      </c>
      <c r="W1220" s="50"/>
      <c r="X1220" s="50"/>
      <c r="Y1220" s="50"/>
      <c r="Z1220" s="50"/>
      <c r="AA1220" s="50"/>
    </row>
    <row r="1221" spans="1:27" s="110" customFormat="1" ht="25.5" customHeight="1">
      <c r="A1221" s="517" t="s">
        <v>2286</v>
      </c>
      <c r="B1221" s="51" t="s">
        <v>1096</v>
      </c>
      <c r="C1221" s="51" t="s">
        <v>159</v>
      </c>
      <c r="D1221" s="51" t="s">
        <v>4784</v>
      </c>
      <c r="E1221" s="50">
        <v>665</v>
      </c>
      <c r="F1221" s="50">
        <v>660</v>
      </c>
      <c r="G1221" s="50" t="s">
        <v>3955</v>
      </c>
      <c r="H1221" s="50"/>
      <c r="I1221" s="105"/>
      <c r="J1221" s="50"/>
      <c r="K1221" s="50" t="s">
        <v>29</v>
      </c>
      <c r="L1221" s="50" t="s">
        <v>2289</v>
      </c>
      <c r="M1221" s="50" t="s">
        <v>212</v>
      </c>
      <c r="N1221" s="50"/>
      <c r="O1221" s="50"/>
      <c r="P1221" s="50"/>
      <c r="Q1221" s="50"/>
      <c r="R1221" s="50"/>
      <c r="S1221" s="50" t="str">
        <f t="shared" si="116"/>
        <v/>
      </c>
      <c r="T1221" s="50" t="str">
        <f t="shared" si="118"/>
        <v/>
      </c>
      <c r="U1221" s="50" t="str">
        <f t="shared" si="119"/>
        <v/>
      </c>
      <c r="V1221" s="50" t="str">
        <f t="shared" si="117"/>
        <v/>
      </c>
      <c r="W1221" s="50"/>
      <c r="X1221" s="50"/>
      <c r="Y1221" s="50"/>
      <c r="Z1221" s="50"/>
      <c r="AA1221" s="50"/>
    </row>
    <row r="1222" spans="1:27" ht="25.5" customHeight="1">
      <c r="A1222" s="517" t="s">
        <v>2286</v>
      </c>
      <c r="B1222" s="51" t="s">
        <v>1096</v>
      </c>
      <c r="C1222" s="51" t="s">
        <v>159</v>
      </c>
      <c r="D1222" s="51" t="s">
        <v>1299</v>
      </c>
      <c r="E1222" s="50">
        <v>856</v>
      </c>
      <c r="F1222" s="50">
        <v>913</v>
      </c>
      <c r="G1222" s="50" t="s">
        <v>3955</v>
      </c>
      <c r="H1222" s="50"/>
      <c r="I1222" s="105"/>
      <c r="J1222" s="50"/>
      <c r="K1222" s="50" t="s">
        <v>29</v>
      </c>
      <c r="L1222" s="50" t="s">
        <v>2289</v>
      </c>
      <c r="M1222" s="50" t="s">
        <v>212</v>
      </c>
      <c r="N1222" s="50"/>
      <c r="O1222" s="50"/>
      <c r="P1222" s="50"/>
      <c r="Q1222" s="50"/>
      <c r="R1222" s="50"/>
      <c r="S1222" s="50" t="str">
        <f t="shared" si="116"/>
        <v/>
      </c>
      <c r="T1222" s="50" t="str">
        <f t="shared" si="118"/>
        <v/>
      </c>
      <c r="U1222" s="50" t="str">
        <f t="shared" si="119"/>
        <v/>
      </c>
      <c r="V1222" s="50" t="str">
        <f t="shared" si="117"/>
        <v/>
      </c>
      <c r="W1222" s="50"/>
      <c r="X1222" s="50"/>
      <c r="Y1222" s="50"/>
      <c r="Z1222" s="50"/>
      <c r="AA1222" s="50"/>
    </row>
    <row r="1223" spans="1:27" ht="25.5" customHeight="1">
      <c r="A1223" s="517" t="s">
        <v>2286</v>
      </c>
      <c r="B1223" s="51" t="s">
        <v>1096</v>
      </c>
      <c r="C1223" s="51" t="s">
        <v>159</v>
      </c>
      <c r="D1223" s="51" t="s">
        <v>1097</v>
      </c>
      <c r="E1223" s="50">
        <v>1633</v>
      </c>
      <c r="F1223" s="50">
        <v>1510</v>
      </c>
      <c r="G1223" s="50" t="s">
        <v>3955</v>
      </c>
      <c r="H1223" s="50"/>
      <c r="I1223" s="105"/>
      <c r="J1223" s="50"/>
      <c r="K1223" s="50" t="s">
        <v>29</v>
      </c>
      <c r="L1223" s="50" t="s">
        <v>2289</v>
      </c>
      <c r="M1223" s="50" t="s">
        <v>212</v>
      </c>
      <c r="N1223" s="50"/>
      <c r="O1223" s="50"/>
      <c r="P1223" s="50"/>
      <c r="Q1223" s="50"/>
      <c r="R1223" s="50"/>
      <c r="S1223" s="50" t="str">
        <f t="shared" ref="S1223:S1286" si="120">IF(
    OR(ISBLANK(I1223), ISBLANK(O1223)),
    "",
    MAX(1, IF(
        NETWORKDAYS(I1223, O1223) &lt;= 0,
        1,
        NETWORKDAYS(I1223, O1223) - IF(I1223 = O1223, 0, 1)
    ))
)</f>
        <v/>
      </c>
      <c r="T1223" s="50" t="str">
        <f t="shared" si="118"/>
        <v/>
      </c>
      <c r="U1223" s="50" t="str">
        <f t="shared" si="119"/>
        <v/>
      </c>
      <c r="V1223" s="50" t="str">
        <f t="shared" si="117"/>
        <v/>
      </c>
      <c r="W1223" s="50"/>
      <c r="X1223" s="50"/>
      <c r="Y1223" s="50"/>
      <c r="Z1223" s="50"/>
      <c r="AA1223" s="50"/>
    </row>
    <row r="1224" spans="1:27" ht="25.5" customHeight="1">
      <c r="A1224" s="517" t="s">
        <v>2286</v>
      </c>
      <c r="B1224" s="51" t="s">
        <v>1096</v>
      </c>
      <c r="C1224" s="51" t="s">
        <v>159</v>
      </c>
      <c r="D1224" s="51" t="s">
        <v>4785</v>
      </c>
      <c r="E1224" s="50">
        <v>1388</v>
      </c>
      <c r="F1224" s="50">
        <v>1390</v>
      </c>
      <c r="G1224" s="50" t="s">
        <v>3404</v>
      </c>
      <c r="H1224" s="50">
        <v>2025</v>
      </c>
      <c r="I1224" s="132">
        <v>45924</v>
      </c>
      <c r="J1224" s="50" t="s">
        <v>3128</v>
      </c>
      <c r="K1224" s="50" t="s">
        <v>29</v>
      </c>
      <c r="L1224" s="50" t="s">
        <v>2289</v>
      </c>
      <c r="M1224" s="50" t="s">
        <v>212</v>
      </c>
      <c r="N1224" s="50" t="s">
        <v>4786</v>
      </c>
      <c r="O1224" s="60">
        <v>45927</v>
      </c>
      <c r="P1224" s="60">
        <v>45928</v>
      </c>
      <c r="Q1224" s="60">
        <v>45928</v>
      </c>
      <c r="R1224" s="60">
        <v>45929</v>
      </c>
      <c r="S1224" s="50">
        <f t="shared" si="120"/>
        <v>2</v>
      </c>
      <c r="T1224" s="50">
        <f t="shared" si="118"/>
        <v>1</v>
      </c>
      <c r="U1224" s="50">
        <f t="shared" si="119"/>
        <v>1</v>
      </c>
      <c r="V1224" s="50">
        <f t="shared" si="117"/>
        <v>1</v>
      </c>
      <c r="W1224" s="50" t="s">
        <v>150</v>
      </c>
      <c r="X1224" s="50" t="s">
        <v>1078</v>
      </c>
      <c r="Y1224" s="50" t="s">
        <v>57</v>
      </c>
      <c r="Z1224" s="50" t="s">
        <v>3406</v>
      </c>
      <c r="AA1224" s="50"/>
    </row>
    <row r="1225" spans="1:27" ht="25.5" customHeight="1">
      <c r="A1225" s="517" t="s">
        <v>2286</v>
      </c>
      <c r="B1225" s="51" t="s">
        <v>1096</v>
      </c>
      <c r="C1225" s="51" t="s">
        <v>159</v>
      </c>
      <c r="D1225" s="51" t="s">
        <v>914</v>
      </c>
      <c r="E1225" s="50">
        <v>4118</v>
      </c>
      <c r="F1225" s="50">
        <v>4341</v>
      </c>
      <c r="G1225" s="50" t="s">
        <v>3955</v>
      </c>
      <c r="H1225" s="50"/>
      <c r="I1225" s="105"/>
      <c r="J1225" s="50"/>
      <c r="K1225" s="50" t="s">
        <v>29</v>
      </c>
      <c r="L1225" s="50" t="s">
        <v>2289</v>
      </c>
      <c r="M1225" s="50" t="s">
        <v>212</v>
      </c>
      <c r="N1225" s="50"/>
      <c r="O1225" s="50"/>
      <c r="P1225" s="50"/>
      <c r="Q1225" s="50"/>
      <c r="R1225" s="50"/>
      <c r="S1225" s="50" t="str">
        <f t="shared" si="120"/>
        <v/>
      </c>
      <c r="T1225" s="50" t="str">
        <f t="shared" si="118"/>
        <v/>
      </c>
      <c r="U1225" s="50" t="str">
        <f t="shared" si="119"/>
        <v/>
      </c>
      <c r="V1225" s="50" t="str">
        <f t="shared" si="117"/>
        <v/>
      </c>
      <c r="W1225" s="50"/>
      <c r="X1225" s="50"/>
      <c r="Y1225" s="50"/>
      <c r="Z1225" s="50"/>
      <c r="AA1225" s="50"/>
    </row>
    <row r="1226" spans="1:27" s="110" customFormat="1" ht="25.5" customHeight="1">
      <c r="A1226" s="517" t="s">
        <v>2286</v>
      </c>
      <c r="B1226" s="51" t="s">
        <v>1096</v>
      </c>
      <c r="C1226" s="51" t="s">
        <v>159</v>
      </c>
      <c r="D1226" s="51" t="s">
        <v>858</v>
      </c>
      <c r="E1226" s="50">
        <v>1266</v>
      </c>
      <c r="F1226" s="50">
        <v>1318</v>
      </c>
      <c r="G1226" s="50" t="s">
        <v>3955</v>
      </c>
      <c r="H1226" s="50"/>
      <c r="I1226" s="105"/>
      <c r="J1226" s="50"/>
      <c r="K1226" s="50" t="s">
        <v>29</v>
      </c>
      <c r="L1226" s="50" t="s">
        <v>2289</v>
      </c>
      <c r="M1226" s="50" t="s">
        <v>212</v>
      </c>
      <c r="N1226" s="50"/>
      <c r="O1226" s="50"/>
      <c r="P1226" s="50"/>
      <c r="Q1226" s="50"/>
      <c r="R1226" s="50"/>
      <c r="S1226" s="50" t="str">
        <f t="shared" si="120"/>
        <v/>
      </c>
      <c r="T1226" s="50" t="str">
        <f t="shared" si="118"/>
        <v/>
      </c>
      <c r="U1226" s="50" t="str">
        <f t="shared" si="119"/>
        <v/>
      </c>
      <c r="V1226" s="50" t="str">
        <f t="shared" si="117"/>
        <v/>
      </c>
      <c r="W1226" s="50"/>
      <c r="X1226" s="50"/>
      <c r="Y1226" s="50"/>
      <c r="Z1226" s="50"/>
      <c r="AA1226" s="50"/>
    </row>
    <row r="1227" spans="1:27" ht="25.5" customHeight="1">
      <c r="A1227" s="517" t="s">
        <v>2286</v>
      </c>
      <c r="B1227" s="51" t="s">
        <v>1096</v>
      </c>
      <c r="C1227" s="51" t="s">
        <v>159</v>
      </c>
      <c r="D1227" s="51" t="s">
        <v>918</v>
      </c>
      <c r="E1227" s="50">
        <v>597</v>
      </c>
      <c r="F1227" s="50">
        <v>625</v>
      </c>
      <c r="G1227" s="50" t="s">
        <v>3955</v>
      </c>
      <c r="H1227" s="50"/>
      <c r="I1227" s="105"/>
      <c r="J1227" s="50"/>
      <c r="K1227" s="50" t="s">
        <v>29</v>
      </c>
      <c r="L1227" s="50" t="s">
        <v>2289</v>
      </c>
      <c r="M1227" s="50" t="s">
        <v>212</v>
      </c>
      <c r="N1227" s="50"/>
      <c r="O1227" s="50"/>
      <c r="P1227" s="50"/>
      <c r="Q1227" s="50"/>
      <c r="R1227" s="50"/>
      <c r="S1227" s="50" t="str">
        <f t="shared" si="120"/>
        <v/>
      </c>
      <c r="T1227" s="50" t="str">
        <f t="shared" si="118"/>
        <v/>
      </c>
      <c r="U1227" s="50" t="str">
        <f t="shared" si="119"/>
        <v/>
      </c>
      <c r="V1227" s="50" t="str">
        <f t="shared" si="117"/>
        <v/>
      </c>
      <c r="W1227" s="50"/>
      <c r="X1227" s="50"/>
      <c r="Y1227" s="50"/>
      <c r="Z1227" s="50"/>
      <c r="AA1227" s="50"/>
    </row>
    <row r="1228" spans="1:27" s="110" customFormat="1" ht="25.5" customHeight="1">
      <c r="A1228" s="517" t="s">
        <v>2286</v>
      </c>
      <c r="B1228" s="51" t="s">
        <v>1096</v>
      </c>
      <c r="C1228" s="51" t="s">
        <v>159</v>
      </c>
      <c r="D1228" s="51" t="s">
        <v>4499</v>
      </c>
      <c r="E1228" s="50">
        <v>1678</v>
      </c>
      <c r="F1228" s="50">
        <v>1740</v>
      </c>
      <c r="G1228" s="50" t="s">
        <v>3955</v>
      </c>
      <c r="H1228" s="50"/>
      <c r="I1228" s="105"/>
      <c r="J1228" s="50"/>
      <c r="K1228" s="50" t="s">
        <v>29</v>
      </c>
      <c r="L1228" s="50" t="s">
        <v>2289</v>
      </c>
      <c r="M1228" s="50" t="s">
        <v>212</v>
      </c>
      <c r="N1228" s="50"/>
      <c r="O1228" s="50"/>
      <c r="P1228" s="50"/>
      <c r="Q1228" s="50"/>
      <c r="R1228" s="50"/>
      <c r="S1228" s="50" t="str">
        <f t="shared" si="120"/>
        <v/>
      </c>
      <c r="T1228" s="50" t="str">
        <f t="shared" si="118"/>
        <v/>
      </c>
      <c r="U1228" s="50" t="str">
        <f t="shared" si="119"/>
        <v/>
      </c>
      <c r="V1228" s="50" t="str">
        <f t="shared" si="117"/>
        <v/>
      </c>
      <c r="W1228" s="50"/>
      <c r="X1228" s="50"/>
      <c r="Y1228" s="50"/>
      <c r="Z1228" s="50"/>
      <c r="AA1228" s="50"/>
    </row>
    <row r="1229" spans="1:27" ht="25.5" customHeight="1">
      <c r="A1229" s="517" t="s">
        <v>2286</v>
      </c>
      <c r="B1229" s="51" t="s">
        <v>1096</v>
      </c>
      <c r="C1229" s="51" t="s">
        <v>159</v>
      </c>
      <c r="D1229" s="51" t="s">
        <v>1899</v>
      </c>
      <c r="E1229" s="50">
        <v>1128</v>
      </c>
      <c r="F1229" s="50">
        <v>1189</v>
      </c>
      <c r="G1229" s="50" t="s">
        <v>3955</v>
      </c>
      <c r="H1229" s="50"/>
      <c r="I1229" s="105"/>
      <c r="J1229" s="50"/>
      <c r="K1229" s="50" t="s">
        <v>29</v>
      </c>
      <c r="L1229" s="50" t="s">
        <v>2289</v>
      </c>
      <c r="M1229" s="50" t="s">
        <v>212</v>
      </c>
      <c r="N1229" s="50"/>
      <c r="O1229" s="50"/>
      <c r="P1229" s="50"/>
      <c r="Q1229" s="50"/>
      <c r="R1229" s="50"/>
      <c r="S1229" s="50" t="str">
        <f t="shared" si="120"/>
        <v/>
      </c>
      <c r="T1229" s="50" t="str">
        <f t="shared" si="118"/>
        <v/>
      </c>
      <c r="U1229" s="50" t="str">
        <f t="shared" si="119"/>
        <v/>
      </c>
      <c r="V1229" s="50" t="str">
        <f t="shared" si="117"/>
        <v/>
      </c>
      <c r="W1229" s="50"/>
      <c r="X1229" s="50"/>
      <c r="Y1229" s="50"/>
      <c r="Z1229" s="50"/>
      <c r="AA1229" s="50"/>
    </row>
    <row r="1230" spans="1:27" ht="25.5" customHeight="1">
      <c r="A1230" s="517" t="s">
        <v>2286</v>
      </c>
      <c r="B1230" s="51" t="s">
        <v>1096</v>
      </c>
      <c r="C1230" s="51" t="s">
        <v>159</v>
      </c>
      <c r="D1230" s="51" t="s">
        <v>4787</v>
      </c>
      <c r="E1230" s="50">
        <v>1151</v>
      </c>
      <c r="F1230" s="50">
        <v>1235</v>
      </c>
      <c r="G1230" s="50" t="s">
        <v>3955</v>
      </c>
      <c r="H1230" s="50"/>
      <c r="I1230" s="105"/>
      <c r="J1230" s="50"/>
      <c r="K1230" s="50" t="s">
        <v>29</v>
      </c>
      <c r="L1230" s="50" t="s">
        <v>2289</v>
      </c>
      <c r="M1230" s="50" t="s">
        <v>212</v>
      </c>
      <c r="N1230" s="50"/>
      <c r="O1230" s="50"/>
      <c r="P1230" s="50"/>
      <c r="Q1230" s="50"/>
      <c r="R1230" s="50"/>
      <c r="S1230" s="50" t="str">
        <f t="shared" si="120"/>
        <v/>
      </c>
      <c r="T1230" s="50" t="str">
        <f t="shared" si="118"/>
        <v/>
      </c>
      <c r="U1230" s="50" t="str">
        <f t="shared" si="119"/>
        <v/>
      </c>
      <c r="V1230" s="50" t="str">
        <f t="shared" si="117"/>
        <v/>
      </c>
      <c r="W1230" s="50"/>
      <c r="X1230" s="50"/>
      <c r="Y1230" s="50"/>
      <c r="Z1230" s="50"/>
      <c r="AA1230" s="50"/>
    </row>
    <row r="1231" spans="1:27" ht="25.5" customHeight="1">
      <c r="A1231" s="517" t="s">
        <v>2286</v>
      </c>
      <c r="B1231" s="51" t="s">
        <v>1096</v>
      </c>
      <c r="C1231" s="51" t="s">
        <v>159</v>
      </c>
      <c r="D1231" s="51" t="s">
        <v>4788</v>
      </c>
      <c r="E1231" s="50">
        <v>1027</v>
      </c>
      <c r="F1231" s="50">
        <v>1042</v>
      </c>
      <c r="G1231" s="50" t="s">
        <v>3955</v>
      </c>
      <c r="H1231" s="50"/>
      <c r="I1231" s="105"/>
      <c r="J1231" s="50"/>
      <c r="K1231" s="50" t="s">
        <v>29</v>
      </c>
      <c r="L1231" s="50" t="s">
        <v>2289</v>
      </c>
      <c r="M1231" s="50" t="s">
        <v>212</v>
      </c>
      <c r="N1231" s="50"/>
      <c r="O1231" s="50"/>
      <c r="P1231" s="50"/>
      <c r="Q1231" s="50"/>
      <c r="R1231" s="50"/>
      <c r="S1231" s="50" t="str">
        <f t="shared" si="120"/>
        <v/>
      </c>
      <c r="T1231" s="50" t="str">
        <f t="shared" si="118"/>
        <v/>
      </c>
      <c r="U1231" s="50" t="str">
        <f t="shared" si="119"/>
        <v/>
      </c>
      <c r="V1231" s="50" t="str">
        <f t="shared" si="117"/>
        <v/>
      </c>
      <c r="W1231" s="50"/>
      <c r="X1231" s="50"/>
      <c r="Y1231" s="50"/>
      <c r="Z1231" s="50"/>
      <c r="AA1231" s="50"/>
    </row>
    <row r="1232" spans="1:27" ht="25.5" customHeight="1">
      <c r="A1232" s="517" t="s">
        <v>2286</v>
      </c>
      <c r="B1232" s="51" t="s">
        <v>1096</v>
      </c>
      <c r="C1232" s="51" t="s">
        <v>159</v>
      </c>
      <c r="D1232" s="51" t="s">
        <v>4789</v>
      </c>
      <c r="E1232" s="50">
        <v>958</v>
      </c>
      <c r="F1232" s="50">
        <v>1055</v>
      </c>
      <c r="G1232" s="50" t="s">
        <v>3955</v>
      </c>
      <c r="H1232" s="50"/>
      <c r="I1232" s="105"/>
      <c r="J1232" s="50"/>
      <c r="K1232" s="50" t="s">
        <v>29</v>
      </c>
      <c r="L1232" s="50" t="s">
        <v>2289</v>
      </c>
      <c r="M1232" s="50" t="s">
        <v>212</v>
      </c>
      <c r="N1232" s="50"/>
      <c r="O1232" s="50"/>
      <c r="P1232" s="50"/>
      <c r="Q1232" s="50"/>
      <c r="R1232" s="50"/>
      <c r="S1232" s="50" t="str">
        <f t="shared" si="120"/>
        <v/>
      </c>
      <c r="T1232" s="50" t="str">
        <f t="shared" si="118"/>
        <v/>
      </c>
      <c r="U1232" s="50" t="str">
        <f t="shared" si="119"/>
        <v/>
      </c>
      <c r="V1232" s="50" t="str">
        <f t="shared" si="117"/>
        <v/>
      </c>
      <c r="W1232" s="50"/>
      <c r="X1232" s="50"/>
      <c r="Y1232" s="50"/>
      <c r="Z1232" s="50"/>
      <c r="AA1232" s="50"/>
    </row>
    <row r="1233" spans="1:27" s="110" customFormat="1" ht="25.5" customHeight="1">
      <c r="A1233" s="517" t="s">
        <v>2286</v>
      </c>
      <c r="B1233" s="51" t="s">
        <v>1096</v>
      </c>
      <c r="C1233" s="51" t="s">
        <v>159</v>
      </c>
      <c r="D1233" s="51" t="s">
        <v>4790</v>
      </c>
      <c r="E1233" s="50">
        <v>1895</v>
      </c>
      <c r="F1233" s="50">
        <v>2057</v>
      </c>
      <c r="G1233" s="50" t="s">
        <v>3955</v>
      </c>
      <c r="H1233" s="50"/>
      <c r="I1233" s="105"/>
      <c r="J1233" s="50"/>
      <c r="K1233" s="50" t="s">
        <v>29</v>
      </c>
      <c r="L1233" s="50" t="s">
        <v>2289</v>
      </c>
      <c r="M1233" s="50" t="s">
        <v>212</v>
      </c>
      <c r="N1233" s="50"/>
      <c r="O1233" s="50"/>
      <c r="P1233" s="50"/>
      <c r="Q1233" s="50"/>
      <c r="R1233" s="50"/>
      <c r="S1233" s="50" t="str">
        <f t="shared" si="120"/>
        <v/>
      </c>
      <c r="T1233" s="50" t="str">
        <f t="shared" si="118"/>
        <v/>
      </c>
      <c r="U1233" s="50" t="str">
        <f t="shared" si="119"/>
        <v/>
      </c>
      <c r="V1233" s="50" t="str">
        <f t="shared" si="117"/>
        <v/>
      </c>
      <c r="W1233" s="50"/>
      <c r="X1233" s="50"/>
      <c r="Y1233" s="50"/>
      <c r="Z1233" s="50"/>
      <c r="AA1233" s="50"/>
    </row>
    <row r="1234" spans="1:27" ht="25.5" customHeight="1">
      <c r="A1234" s="517" t="s">
        <v>2286</v>
      </c>
      <c r="B1234" s="51" t="s">
        <v>1096</v>
      </c>
      <c r="C1234" s="51" t="s">
        <v>159</v>
      </c>
      <c r="D1234" s="51" t="s">
        <v>4791</v>
      </c>
      <c r="E1234" s="50">
        <v>1282</v>
      </c>
      <c r="F1234" s="50">
        <v>1372</v>
      </c>
      <c r="G1234" s="50" t="s">
        <v>3955</v>
      </c>
      <c r="H1234" s="50"/>
      <c r="I1234" s="105"/>
      <c r="J1234" s="50"/>
      <c r="K1234" s="50" t="s">
        <v>29</v>
      </c>
      <c r="L1234" s="50" t="s">
        <v>2289</v>
      </c>
      <c r="M1234" s="50" t="s">
        <v>212</v>
      </c>
      <c r="N1234" s="50"/>
      <c r="O1234" s="50"/>
      <c r="P1234" s="50"/>
      <c r="Q1234" s="50"/>
      <c r="R1234" s="50"/>
      <c r="S1234" s="50" t="str">
        <f t="shared" si="120"/>
        <v/>
      </c>
      <c r="T1234" s="50" t="str">
        <f t="shared" si="118"/>
        <v/>
      </c>
      <c r="U1234" s="50" t="str">
        <f t="shared" si="119"/>
        <v/>
      </c>
      <c r="V1234" s="50" t="str">
        <f t="shared" si="117"/>
        <v/>
      </c>
      <c r="W1234" s="50"/>
      <c r="X1234" s="50"/>
      <c r="Y1234" s="50"/>
      <c r="Z1234" s="50"/>
      <c r="AA1234" s="50"/>
    </row>
    <row r="1235" spans="1:27" ht="25.5" customHeight="1">
      <c r="A1235" s="517" t="s">
        <v>2286</v>
      </c>
      <c r="B1235" s="51" t="s">
        <v>1193</v>
      </c>
      <c r="C1235" s="51" t="s">
        <v>143</v>
      </c>
      <c r="D1235" s="51" t="s">
        <v>4569</v>
      </c>
      <c r="E1235" s="50">
        <v>2725</v>
      </c>
      <c r="F1235" s="50">
        <v>2939</v>
      </c>
      <c r="G1235" s="50" t="s">
        <v>3955</v>
      </c>
      <c r="H1235" s="50"/>
      <c r="I1235" s="105"/>
      <c r="J1235" s="50"/>
      <c r="K1235" s="50" t="s">
        <v>28</v>
      </c>
      <c r="L1235" s="50" t="s">
        <v>2289</v>
      </c>
      <c r="M1235" s="50" t="s">
        <v>212</v>
      </c>
      <c r="N1235" s="50"/>
      <c r="O1235" s="50"/>
      <c r="P1235" s="50"/>
      <c r="Q1235" s="50"/>
      <c r="R1235" s="50"/>
      <c r="S1235" s="50" t="str">
        <f t="shared" si="120"/>
        <v/>
      </c>
      <c r="T1235" s="50" t="str">
        <f t="shared" si="118"/>
        <v/>
      </c>
      <c r="U1235" s="50" t="str">
        <f t="shared" si="119"/>
        <v/>
      </c>
      <c r="V1235" s="50" t="str">
        <f t="shared" si="117"/>
        <v/>
      </c>
      <c r="W1235" s="50"/>
      <c r="X1235" s="50"/>
      <c r="Y1235" s="50"/>
      <c r="Z1235" s="50"/>
      <c r="AA1235" s="50"/>
    </row>
    <row r="1236" spans="1:27" ht="25.5" customHeight="1">
      <c r="A1236" s="517" t="s">
        <v>2286</v>
      </c>
      <c r="B1236" s="51" t="s">
        <v>1193</v>
      </c>
      <c r="C1236" s="51" t="s">
        <v>143</v>
      </c>
      <c r="D1236" s="51" t="s">
        <v>4792</v>
      </c>
      <c r="E1236" s="50">
        <v>3138</v>
      </c>
      <c r="F1236" s="50">
        <v>3525</v>
      </c>
      <c r="G1236" s="50" t="s">
        <v>3955</v>
      </c>
      <c r="H1236" s="50"/>
      <c r="I1236" s="105"/>
      <c r="J1236" s="50"/>
      <c r="K1236" s="50" t="s">
        <v>28</v>
      </c>
      <c r="L1236" s="50" t="s">
        <v>2289</v>
      </c>
      <c r="M1236" s="50" t="s">
        <v>212</v>
      </c>
      <c r="N1236" s="50"/>
      <c r="O1236" s="50"/>
      <c r="P1236" s="50"/>
      <c r="Q1236" s="50"/>
      <c r="R1236" s="50"/>
      <c r="S1236" s="50" t="str">
        <f t="shared" si="120"/>
        <v/>
      </c>
      <c r="T1236" s="50" t="str">
        <f t="shared" si="118"/>
        <v/>
      </c>
      <c r="U1236" s="50" t="str">
        <f t="shared" si="119"/>
        <v/>
      </c>
      <c r="V1236" s="50" t="str">
        <f t="shared" si="117"/>
        <v/>
      </c>
      <c r="W1236" s="50"/>
      <c r="X1236" s="50"/>
      <c r="Y1236" s="50"/>
      <c r="Z1236" s="50"/>
      <c r="AA1236" s="50"/>
    </row>
    <row r="1237" spans="1:27" ht="25.5" customHeight="1">
      <c r="A1237" s="517" t="s">
        <v>2286</v>
      </c>
      <c r="B1237" s="51" t="s">
        <v>1193</v>
      </c>
      <c r="C1237" s="51" t="s">
        <v>143</v>
      </c>
      <c r="D1237" s="51" t="s">
        <v>4535</v>
      </c>
      <c r="E1237" s="50">
        <v>1099</v>
      </c>
      <c r="F1237" s="50">
        <v>1299</v>
      </c>
      <c r="G1237" s="50" t="s">
        <v>3955</v>
      </c>
      <c r="H1237" s="50"/>
      <c r="I1237" s="105"/>
      <c r="J1237" s="50"/>
      <c r="K1237" s="50" t="s">
        <v>28</v>
      </c>
      <c r="L1237" s="50" t="s">
        <v>2289</v>
      </c>
      <c r="M1237" s="50" t="s">
        <v>212</v>
      </c>
      <c r="N1237" s="50"/>
      <c r="O1237" s="50"/>
      <c r="P1237" s="50"/>
      <c r="Q1237" s="50"/>
      <c r="R1237" s="50"/>
      <c r="S1237" s="50" t="str">
        <f t="shared" si="120"/>
        <v/>
      </c>
      <c r="T1237" s="50" t="str">
        <f t="shared" si="118"/>
        <v/>
      </c>
      <c r="U1237" s="50" t="str">
        <f t="shared" si="119"/>
        <v/>
      </c>
      <c r="V1237" s="50" t="str">
        <f t="shared" si="117"/>
        <v/>
      </c>
      <c r="W1237" s="50"/>
      <c r="X1237" s="50"/>
      <c r="Y1237" s="50"/>
      <c r="Z1237" s="50"/>
      <c r="AA1237" s="50"/>
    </row>
    <row r="1238" spans="1:27" ht="25.5" customHeight="1">
      <c r="A1238" s="517" t="s">
        <v>2286</v>
      </c>
      <c r="B1238" s="51" t="s">
        <v>1193</v>
      </c>
      <c r="C1238" s="51" t="s">
        <v>143</v>
      </c>
      <c r="D1238" s="51" t="s">
        <v>4793</v>
      </c>
      <c r="E1238" s="50">
        <v>2734</v>
      </c>
      <c r="F1238" s="50">
        <v>2918</v>
      </c>
      <c r="G1238" s="50" t="s">
        <v>3955</v>
      </c>
      <c r="H1238" s="50"/>
      <c r="I1238" s="105"/>
      <c r="J1238" s="50"/>
      <c r="K1238" s="50" t="s">
        <v>28</v>
      </c>
      <c r="L1238" s="50" t="s">
        <v>2289</v>
      </c>
      <c r="M1238" s="50" t="s">
        <v>212</v>
      </c>
      <c r="N1238" s="50"/>
      <c r="O1238" s="50"/>
      <c r="P1238" s="50"/>
      <c r="Q1238" s="50"/>
      <c r="R1238" s="50"/>
      <c r="S1238" s="50" t="str">
        <f t="shared" si="120"/>
        <v/>
      </c>
      <c r="T1238" s="50" t="str">
        <f t="shared" si="118"/>
        <v/>
      </c>
      <c r="U1238" s="50" t="str">
        <f t="shared" si="119"/>
        <v/>
      </c>
      <c r="V1238" s="50" t="str">
        <f t="shared" si="117"/>
        <v/>
      </c>
      <c r="W1238" s="50"/>
      <c r="X1238" s="50"/>
      <c r="Y1238" s="50"/>
      <c r="Z1238" s="50"/>
      <c r="AA1238" s="50"/>
    </row>
    <row r="1239" spans="1:27" ht="25.5" customHeight="1">
      <c r="A1239" s="517" t="s">
        <v>2286</v>
      </c>
      <c r="B1239" s="51" t="s">
        <v>1193</v>
      </c>
      <c r="C1239" s="51" t="s">
        <v>143</v>
      </c>
      <c r="D1239" s="51" t="s">
        <v>4794</v>
      </c>
      <c r="E1239" s="50">
        <v>2528</v>
      </c>
      <c r="F1239" s="50">
        <v>3050</v>
      </c>
      <c r="G1239" s="50" t="s">
        <v>3955</v>
      </c>
      <c r="H1239" s="50"/>
      <c r="I1239" s="105"/>
      <c r="J1239" s="50"/>
      <c r="K1239" s="50" t="s">
        <v>28</v>
      </c>
      <c r="L1239" s="50" t="s">
        <v>2289</v>
      </c>
      <c r="M1239" s="50" t="s">
        <v>212</v>
      </c>
      <c r="N1239" s="50"/>
      <c r="O1239" s="50"/>
      <c r="P1239" s="50"/>
      <c r="Q1239" s="50"/>
      <c r="R1239" s="50"/>
      <c r="S1239" s="50" t="str">
        <f t="shared" si="120"/>
        <v/>
      </c>
      <c r="T1239" s="50" t="str">
        <f t="shared" si="118"/>
        <v/>
      </c>
      <c r="U1239" s="50" t="str">
        <f t="shared" si="119"/>
        <v/>
      </c>
      <c r="V1239" s="50" t="str">
        <f t="shared" si="117"/>
        <v/>
      </c>
      <c r="W1239" s="50"/>
      <c r="X1239" s="50"/>
      <c r="Y1239" s="50"/>
      <c r="Z1239" s="50"/>
      <c r="AA1239" s="50"/>
    </row>
    <row r="1240" spans="1:27" ht="25.5" customHeight="1">
      <c r="A1240" s="517" t="s">
        <v>2286</v>
      </c>
      <c r="B1240" s="51" t="s">
        <v>1193</v>
      </c>
      <c r="C1240" s="51" t="s">
        <v>143</v>
      </c>
      <c r="D1240" s="51" t="s">
        <v>4795</v>
      </c>
      <c r="E1240" s="50">
        <v>1100</v>
      </c>
      <c r="F1240" s="50">
        <v>1110</v>
      </c>
      <c r="G1240" s="50" t="s">
        <v>3955</v>
      </c>
      <c r="H1240" s="50"/>
      <c r="I1240" s="105"/>
      <c r="J1240" s="50"/>
      <c r="K1240" s="50" t="s">
        <v>28</v>
      </c>
      <c r="L1240" s="50" t="s">
        <v>2289</v>
      </c>
      <c r="M1240" s="50" t="s">
        <v>212</v>
      </c>
      <c r="N1240" s="50"/>
      <c r="O1240" s="50"/>
      <c r="P1240" s="50"/>
      <c r="Q1240" s="50"/>
      <c r="R1240" s="50"/>
      <c r="S1240" s="50" t="str">
        <f t="shared" si="120"/>
        <v/>
      </c>
      <c r="T1240" s="50" t="str">
        <f t="shared" si="118"/>
        <v/>
      </c>
      <c r="U1240" s="50" t="str">
        <f t="shared" si="119"/>
        <v/>
      </c>
      <c r="V1240" s="50" t="str">
        <f t="shared" si="117"/>
        <v/>
      </c>
      <c r="W1240" s="50"/>
      <c r="X1240" s="50"/>
      <c r="Y1240" s="50"/>
      <c r="Z1240" s="50"/>
      <c r="AA1240" s="50"/>
    </row>
    <row r="1241" spans="1:27" s="110" customFormat="1" ht="25.5" customHeight="1">
      <c r="A1241" s="517" t="s">
        <v>2286</v>
      </c>
      <c r="B1241" s="51" t="s">
        <v>1193</v>
      </c>
      <c r="C1241" s="51" t="s">
        <v>143</v>
      </c>
      <c r="D1241" s="51" t="s">
        <v>1051</v>
      </c>
      <c r="E1241" s="50">
        <v>510</v>
      </c>
      <c r="F1241" s="50">
        <v>573</v>
      </c>
      <c r="G1241" s="50" t="s">
        <v>3955</v>
      </c>
      <c r="H1241" s="50"/>
      <c r="I1241" s="105"/>
      <c r="J1241" s="50"/>
      <c r="K1241" s="50" t="s">
        <v>28</v>
      </c>
      <c r="L1241" s="50" t="s">
        <v>2289</v>
      </c>
      <c r="M1241" s="50" t="s">
        <v>212</v>
      </c>
      <c r="N1241" s="50"/>
      <c r="O1241" s="50"/>
      <c r="P1241" s="50"/>
      <c r="Q1241" s="50"/>
      <c r="R1241" s="50"/>
      <c r="S1241" s="50" t="str">
        <f t="shared" si="120"/>
        <v/>
      </c>
      <c r="T1241" s="50" t="str">
        <f t="shared" si="118"/>
        <v/>
      </c>
      <c r="U1241" s="50" t="str">
        <f t="shared" si="119"/>
        <v/>
      </c>
      <c r="V1241" s="50" t="str">
        <f t="shared" ref="V1241:V1304" si="121">IF(
    OR(ISBLANK(Q1241), ISBLANK(R1241)),
    "",
    MAX(1, IF(
        NETWORKDAYS(Q1241, R1241) &lt;= 0,
        1,
        NETWORKDAYS(Q1241, R1241) - IF(Q1241 = R1241, 0, 1)
    ))
)</f>
        <v/>
      </c>
      <c r="W1241" s="50"/>
      <c r="X1241" s="50"/>
      <c r="Y1241" s="50"/>
      <c r="Z1241" s="50"/>
      <c r="AA1241" s="50"/>
    </row>
    <row r="1242" spans="1:27" ht="25.5" customHeight="1">
      <c r="A1242" s="517" t="s">
        <v>2286</v>
      </c>
      <c r="B1242" s="51" t="s">
        <v>1193</v>
      </c>
      <c r="C1242" s="51" t="s">
        <v>143</v>
      </c>
      <c r="D1242" s="51" t="s">
        <v>4796</v>
      </c>
      <c r="E1242" s="50">
        <v>2063</v>
      </c>
      <c r="F1242" s="50">
        <v>1892</v>
      </c>
      <c r="G1242" s="50" t="s">
        <v>3955</v>
      </c>
      <c r="H1242" s="50"/>
      <c r="I1242" s="105"/>
      <c r="J1242" s="50"/>
      <c r="K1242" s="50" t="s">
        <v>28</v>
      </c>
      <c r="L1242" s="50" t="s">
        <v>2289</v>
      </c>
      <c r="M1242" s="50" t="s">
        <v>212</v>
      </c>
      <c r="N1242" s="50"/>
      <c r="O1242" s="50"/>
      <c r="P1242" s="50"/>
      <c r="Q1242" s="50"/>
      <c r="R1242" s="50"/>
      <c r="S1242" s="50" t="str">
        <f t="shared" si="120"/>
        <v/>
      </c>
      <c r="T1242" s="50" t="str">
        <f t="shared" si="118"/>
        <v/>
      </c>
      <c r="U1242" s="50" t="str">
        <f t="shared" si="119"/>
        <v/>
      </c>
      <c r="V1242" s="50" t="str">
        <f t="shared" si="121"/>
        <v/>
      </c>
      <c r="W1242" s="50"/>
      <c r="X1242" s="50"/>
      <c r="Y1242" s="50"/>
      <c r="Z1242" s="50"/>
      <c r="AA1242" s="50"/>
    </row>
    <row r="1243" spans="1:27" ht="25.5" customHeight="1">
      <c r="A1243" s="517" t="s">
        <v>2286</v>
      </c>
      <c r="B1243" s="51" t="s">
        <v>1193</v>
      </c>
      <c r="C1243" s="51" t="s">
        <v>143</v>
      </c>
      <c r="D1243" s="51" t="s">
        <v>4797</v>
      </c>
      <c r="E1243" s="50">
        <v>5788</v>
      </c>
      <c r="F1243" s="50">
        <v>6167</v>
      </c>
      <c r="G1243" s="50" t="s">
        <v>3955</v>
      </c>
      <c r="H1243" s="50"/>
      <c r="I1243" s="105"/>
      <c r="J1243" s="50"/>
      <c r="K1243" s="50" t="s">
        <v>28</v>
      </c>
      <c r="L1243" s="50" t="s">
        <v>2289</v>
      </c>
      <c r="M1243" s="50" t="s">
        <v>212</v>
      </c>
      <c r="N1243" s="50"/>
      <c r="O1243" s="50"/>
      <c r="P1243" s="50"/>
      <c r="Q1243" s="50"/>
      <c r="R1243" s="50"/>
      <c r="S1243" s="50" t="str">
        <f t="shared" si="120"/>
        <v/>
      </c>
      <c r="T1243" s="50" t="str">
        <f t="shared" si="118"/>
        <v/>
      </c>
      <c r="U1243" s="50" t="str">
        <f t="shared" si="119"/>
        <v/>
      </c>
      <c r="V1243" s="50" t="str">
        <f t="shared" si="121"/>
        <v/>
      </c>
      <c r="W1243" s="50"/>
      <c r="X1243" s="50"/>
      <c r="Y1243" s="50"/>
      <c r="Z1243" s="50"/>
      <c r="AA1243" s="50"/>
    </row>
    <row r="1244" spans="1:27" ht="25.5" customHeight="1">
      <c r="A1244" s="517" t="s">
        <v>2286</v>
      </c>
      <c r="B1244" s="51" t="s">
        <v>1193</v>
      </c>
      <c r="C1244" s="51" t="s">
        <v>143</v>
      </c>
      <c r="D1244" s="51" t="s">
        <v>4798</v>
      </c>
      <c r="E1244" s="50">
        <v>1345</v>
      </c>
      <c r="F1244" s="50">
        <v>1552</v>
      </c>
      <c r="G1244" s="50" t="s">
        <v>3955</v>
      </c>
      <c r="H1244" s="50"/>
      <c r="I1244" s="105"/>
      <c r="J1244" s="50"/>
      <c r="K1244" s="50" t="s">
        <v>28</v>
      </c>
      <c r="L1244" s="50" t="s">
        <v>2289</v>
      </c>
      <c r="M1244" s="50" t="s">
        <v>212</v>
      </c>
      <c r="N1244" s="50"/>
      <c r="O1244" s="50"/>
      <c r="P1244" s="50"/>
      <c r="Q1244" s="50"/>
      <c r="R1244" s="50"/>
      <c r="S1244" s="50" t="str">
        <f t="shared" si="120"/>
        <v/>
      </c>
      <c r="T1244" s="50" t="str">
        <f t="shared" si="118"/>
        <v/>
      </c>
      <c r="U1244" s="50" t="str">
        <f t="shared" si="119"/>
        <v/>
      </c>
      <c r="V1244" s="50" t="str">
        <f t="shared" si="121"/>
        <v/>
      </c>
      <c r="W1244" s="50"/>
      <c r="X1244" s="50"/>
      <c r="Y1244" s="50"/>
      <c r="Z1244" s="50"/>
      <c r="AA1244" s="50"/>
    </row>
    <row r="1245" spans="1:27" s="110" customFormat="1" ht="25.5" customHeight="1">
      <c r="A1245" s="517" t="s">
        <v>2286</v>
      </c>
      <c r="B1245" s="51" t="s">
        <v>1193</v>
      </c>
      <c r="C1245" s="51" t="s">
        <v>143</v>
      </c>
      <c r="D1245" s="51" t="s">
        <v>4799</v>
      </c>
      <c r="E1245" s="50">
        <v>1896</v>
      </c>
      <c r="F1245" s="50">
        <v>2531</v>
      </c>
      <c r="G1245" s="50" t="s">
        <v>3955</v>
      </c>
      <c r="H1245" s="50"/>
      <c r="I1245" s="105"/>
      <c r="J1245" s="50"/>
      <c r="K1245" s="50" t="s">
        <v>28</v>
      </c>
      <c r="L1245" s="50" t="s">
        <v>2289</v>
      </c>
      <c r="M1245" s="50" t="s">
        <v>212</v>
      </c>
      <c r="N1245" s="50"/>
      <c r="O1245" s="50"/>
      <c r="P1245" s="50"/>
      <c r="Q1245" s="50"/>
      <c r="R1245" s="50"/>
      <c r="S1245" s="50" t="str">
        <f t="shared" si="120"/>
        <v/>
      </c>
      <c r="T1245" s="50" t="str">
        <f t="shared" si="118"/>
        <v/>
      </c>
      <c r="U1245" s="50" t="str">
        <f t="shared" si="119"/>
        <v/>
      </c>
      <c r="V1245" s="50" t="str">
        <f t="shared" si="121"/>
        <v/>
      </c>
      <c r="W1245" s="50"/>
      <c r="X1245" s="50"/>
      <c r="Y1245" s="50"/>
      <c r="Z1245" s="50"/>
      <c r="AA1245" s="50"/>
    </row>
    <row r="1246" spans="1:27" ht="25.5" customHeight="1">
      <c r="A1246" s="517" t="s">
        <v>2286</v>
      </c>
      <c r="B1246" s="51" t="s">
        <v>1193</v>
      </c>
      <c r="C1246" s="51" t="s">
        <v>143</v>
      </c>
      <c r="D1246" s="51" t="s">
        <v>1197</v>
      </c>
      <c r="E1246" s="50">
        <v>1614</v>
      </c>
      <c r="F1246" s="50">
        <v>1837</v>
      </c>
      <c r="G1246" s="50" t="s">
        <v>3955</v>
      </c>
      <c r="H1246" s="50"/>
      <c r="I1246" s="105"/>
      <c r="J1246" s="50"/>
      <c r="K1246" s="50" t="s">
        <v>28</v>
      </c>
      <c r="L1246" s="50" t="s">
        <v>2289</v>
      </c>
      <c r="M1246" s="50" t="s">
        <v>212</v>
      </c>
      <c r="N1246" s="50"/>
      <c r="O1246" s="50"/>
      <c r="P1246" s="50"/>
      <c r="Q1246" s="50"/>
      <c r="R1246" s="50"/>
      <c r="S1246" s="50" t="str">
        <f t="shared" si="120"/>
        <v/>
      </c>
      <c r="T1246" s="50" t="str">
        <f t="shared" si="118"/>
        <v/>
      </c>
      <c r="U1246" s="50" t="str">
        <f t="shared" si="119"/>
        <v/>
      </c>
      <c r="V1246" s="50" t="str">
        <f t="shared" si="121"/>
        <v/>
      </c>
      <c r="W1246" s="50"/>
      <c r="X1246" s="50"/>
      <c r="Y1246" s="50"/>
      <c r="Z1246" s="50"/>
      <c r="AA1246" s="50"/>
    </row>
    <row r="1247" spans="1:27" s="110" customFormat="1" ht="25.5" customHeight="1">
      <c r="A1247" s="517" t="s">
        <v>2286</v>
      </c>
      <c r="B1247" s="51" t="s">
        <v>1193</v>
      </c>
      <c r="C1247" s="51" t="s">
        <v>143</v>
      </c>
      <c r="D1247" s="51" t="s">
        <v>4800</v>
      </c>
      <c r="E1247" s="50">
        <v>649</v>
      </c>
      <c r="F1247" s="50">
        <v>730</v>
      </c>
      <c r="G1247" s="50" t="s">
        <v>3955</v>
      </c>
      <c r="H1247" s="50"/>
      <c r="I1247" s="105"/>
      <c r="J1247" s="50"/>
      <c r="K1247" s="50" t="s">
        <v>28</v>
      </c>
      <c r="L1247" s="50" t="s">
        <v>2289</v>
      </c>
      <c r="M1247" s="50" t="s">
        <v>212</v>
      </c>
      <c r="N1247" s="50"/>
      <c r="O1247" s="50"/>
      <c r="P1247" s="50"/>
      <c r="Q1247" s="50"/>
      <c r="R1247" s="50"/>
      <c r="S1247" s="50" t="str">
        <f t="shared" si="120"/>
        <v/>
      </c>
      <c r="T1247" s="50" t="str">
        <f t="shared" si="118"/>
        <v/>
      </c>
      <c r="U1247" s="50" t="str">
        <f t="shared" si="119"/>
        <v/>
      </c>
      <c r="V1247" s="50" t="str">
        <f t="shared" si="121"/>
        <v/>
      </c>
      <c r="W1247" s="50"/>
      <c r="X1247" s="50"/>
      <c r="Y1247" s="50"/>
      <c r="Z1247" s="50"/>
      <c r="AA1247" s="50"/>
    </row>
    <row r="1248" spans="1:27" ht="25.5" customHeight="1">
      <c r="A1248" s="517" t="s">
        <v>2286</v>
      </c>
      <c r="B1248" s="51" t="s">
        <v>1193</v>
      </c>
      <c r="C1248" s="51" t="s">
        <v>143</v>
      </c>
      <c r="D1248" s="51" t="s">
        <v>4801</v>
      </c>
      <c r="E1248" s="50">
        <v>1476</v>
      </c>
      <c r="F1248" s="50">
        <v>1578</v>
      </c>
      <c r="G1248" s="50" t="s">
        <v>3955</v>
      </c>
      <c r="H1248" s="50"/>
      <c r="I1248" s="105"/>
      <c r="J1248" s="50"/>
      <c r="K1248" s="50" t="s">
        <v>28</v>
      </c>
      <c r="L1248" s="50" t="s">
        <v>2289</v>
      </c>
      <c r="M1248" s="50" t="s">
        <v>212</v>
      </c>
      <c r="N1248" s="50"/>
      <c r="O1248" s="50"/>
      <c r="P1248" s="50"/>
      <c r="Q1248" s="50"/>
      <c r="R1248" s="50"/>
      <c r="S1248" s="50" t="str">
        <f t="shared" si="120"/>
        <v/>
      </c>
      <c r="T1248" s="50" t="str">
        <f t="shared" si="118"/>
        <v/>
      </c>
      <c r="U1248" s="50" t="str">
        <f t="shared" si="119"/>
        <v/>
      </c>
      <c r="V1248" s="50" t="str">
        <f t="shared" si="121"/>
        <v/>
      </c>
      <c r="W1248" s="50"/>
      <c r="X1248" s="50"/>
      <c r="Y1248" s="50"/>
      <c r="Z1248" s="50"/>
      <c r="AA1248" s="50"/>
    </row>
    <row r="1249" spans="1:27" s="110" customFormat="1" ht="25.5" customHeight="1">
      <c r="A1249" s="517" t="s">
        <v>2286</v>
      </c>
      <c r="B1249" s="51" t="s">
        <v>1193</v>
      </c>
      <c r="C1249" s="51" t="s">
        <v>143</v>
      </c>
      <c r="D1249" s="51" t="s">
        <v>954</v>
      </c>
      <c r="E1249" s="50">
        <v>4327</v>
      </c>
      <c r="F1249" s="50">
        <v>4687</v>
      </c>
      <c r="G1249" s="50" t="s">
        <v>3955</v>
      </c>
      <c r="H1249" s="50"/>
      <c r="I1249" s="105"/>
      <c r="J1249" s="50"/>
      <c r="K1249" s="50" t="s">
        <v>28</v>
      </c>
      <c r="L1249" s="50" t="s">
        <v>2289</v>
      </c>
      <c r="M1249" s="50" t="s">
        <v>212</v>
      </c>
      <c r="N1249" s="50"/>
      <c r="O1249" s="50"/>
      <c r="P1249" s="50"/>
      <c r="Q1249" s="50"/>
      <c r="R1249" s="50"/>
      <c r="S1249" s="50" t="str">
        <f t="shared" si="120"/>
        <v/>
      </c>
      <c r="T1249" s="50" t="str">
        <f t="shared" si="118"/>
        <v/>
      </c>
      <c r="U1249" s="50" t="str">
        <f t="shared" si="119"/>
        <v/>
      </c>
      <c r="V1249" s="50" t="str">
        <f t="shared" si="121"/>
        <v/>
      </c>
      <c r="W1249" s="50"/>
      <c r="X1249" s="50"/>
      <c r="Y1249" s="50"/>
      <c r="Z1249" s="50"/>
      <c r="AA1249" s="50"/>
    </row>
    <row r="1250" spans="1:27" ht="25.5" customHeight="1">
      <c r="A1250" s="517" t="s">
        <v>2286</v>
      </c>
      <c r="B1250" s="51" t="s">
        <v>1193</v>
      </c>
      <c r="C1250" s="51" t="s">
        <v>143</v>
      </c>
      <c r="D1250" s="51" t="s">
        <v>1315</v>
      </c>
      <c r="E1250" s="50">
        <v>2391</v>
      </c>
      <c r="F1250" s="50">
        <v>2570</v>
      </c>
      <c r="G1250" s="50" t="s">
        <v>3955</v>
      </c>
      <c r="H1250" s="50"/>
      <c r="I1250" s="105"/>
      <c r="J1250" s="50"/>
      <c r="K1250" s="50" t="s">
        <v>28</v>
      </c>
      <c r="L1250" s="50" t="s">
        <v>2289</v>
      </c>
      <c r="M1250" s="50" t="s">
        <v>212</v>
      </c>
      <c r="N1250" s="50"/>
      <c r="O1250" s="50"/>
      <c r="P1250" s="50"/>
      <c r="Q1250" s="50"/>
      <c r="R1250" s="50"/>
      <c r="S1250" s="50" t="str">
        <f t="shared" si="120"/>
        <v/>
      </c>
      <c r="T1250" s="50" t="str">
        <f t="shared" si="118"/>
        <v/>
      </c>
      <c r="U1250" s="50" t="str">
        <f t="shared" si="119"/>
        <v/>
      </c>
      <c r="V1250" s="50" t="str">
        <f t="shared" si="121"/>
        <v/>
      </c>
      <c r="W1250" s="50"/>
      <c r="X1250" s="50"/>
      <c r="Y1250" s="50"/>
      <c r="Z1250" s="50"/>
      <c r="AA1250" s="50"/>
    </row>
    <row r="1251" spans="1:27" ht="25.5" customHeight="1">
      <c r="A1251" s="517" t="s">
        <v>2286</v>
      </c>
      <c r="B1251" s="51" t="s">
        <v>4802</v>
      </c>
      <c r="C1251" s="51" t="s">
        <v>143</v>
      </c>
      <c r="D1251" s="51" t="s">
        <v>4803</v>
      </c>
      <c r="E1251" s="50">
        <v>1552</v>
      </c>
      <c r="F1251" s="50">
        <v>1656</v>
      </c>
      <c r="G1251" s="50" t="s">
        <v>3404</v>
      </c>
      <c r="H1251" s="50">
        <v>2025</v>
      </c>
      <c r="I1251" s="132">
        <v>45692</v>
      </c>
      <c r="J1251" s="50" t="s">
        <v>3458</v>
      </c>
      <c r="K1251" s="50" t="s">
        <v>26</v>
      </c>
      <c r="L1251" s="50" t="s">
        <v>2289</v>
      </c>
      <c r="M1251" s="50" t="s">
        <v>212</v>
      </c>
      <c r="N1251" s="50" t="s">
        <v>4804</v>
      </c>
      <c r="O1251" s="60">
        <v>45698</v>
      </c>
      <c r="P1251" s="60">
        <v>45699</v>
      </c>
      <c r="Q1251" s="60">
        <v>45699</v>
      </c>
      <c r="R1251" s="60">
        <v>45701</v>
      </c>
      <c r="S1251" s="50">
        <f t="shared" si="120"/>
        <v>4</v>
      </c>
      <c r="T1251" s="50">
        <f t="shared" si="118"/>
        <v>1</v>
      </c>
      <c r="U1251" s="50">
        <f t="shared" si="119"/>
        <v>1</v>
      </c>
      <c r="V1251" s="50">
        <f t="shared" si="121"/>
        <v>2</v>
      </c>
      <c r="W1251" s="50" t="s">
        <v>150</v>
      </c>
      <c r="X1251" s="50" t="s">
        <v>1078</v>
      </c>
      <c r="Y1251" s="50" t="s">
        <v>50</v>
      </c>
      <c r="Z1251" s="50" t="s">
        <v>3406</v>
      </c>
      <c r="AA1251" s="50"/>
    </row>
    <row r="1252" spans="1:27" ht="25.5" customHeight="1">
      <c r="A1252" s="517" t="s">
        <v>2286</v>
      </c>
      <c r="B1252" s="51" t="s">
        <v>4802</v>
      </c>
      <c r="C1252" s="51" t="s">
        <v>143</v>
      </c>
      <c r="D1252" s="51" t="s">
        <v>4805</v>
      </c>
      <c r="E1252" s="50">
        <v>1524</v>
      </c>
      <c r="F1252" s="50">
        <v>1510</v>
      </c>
      <c r="G1252" s="50" t="s">
        <v>3404</v>
      </c>
      <c r="H1252" s="50">
        <v>2025</v>
      </c>
      <c r="I1252" s="132">
        <v>45694</v>
      </c>
      <c r="J1252" s="50" t="s">
        <v>3458</v>
      </c>
      <c r="K1252" s="50" t="s">
        <v>26</v>
      </c>
      <c r="L1252" s="50" t="s">
        <v>2289</v>
      </c>
      <c r="M1252" s="50" t="s">
        <v>212</v>
      </c>
      <c r="N1252" s="50" t="s">
        <v>4806</v>
      </c>
      <c r="O1252" s="60">
        <v>45698</v>
      </c>
      <c r="P1252" s="60">
        <v>45699</v>
      </c>
      <c r="Q1252" s="60">
        <v>45699</v>
      </c>
      <c r="R1252" s="60">
        <v>45701</v>
      </c>
      <c r="S1252" s="50">
        <f t="shared" si="120"/>
        <v>2</v>
      </c>
      <c r="T1252" s="50">
        <f t="shared" si="118"/>
        <v>1</v>
      </c>
      <c r="U1252" s="50">
        <f t="shared" si="119"/>
        <v>1</v>
      </c>
      <c r="V1252" s="50">
        <f t="shared" si="121"/>
        <v>2</v>
      </c>
      <c r="W1252" s="50" t="s">
        <v>150</v>
      </c>
      <c r="X1252" s="50" t="s">
        <v>1078</v>
      </c>
      <c r="Y1252" s="50" t="s">
        <v>50</v>
      </c>
      <c r="Z1252" s="50" t="s">
        <v>3406</v>
      </c>
      <c r="AA1252" s="50"/>
    </row>
    <row r="1253" spans="1:27" ht="25.5" customHeight="1">
      <c r="A1253" s="517" t="s">
        <v>2286</v>
      </c>
      <c r="B1253" s="51" t="s">
        <v>4802</v>
      </c>
      <c r="C1253" s="51" t="s">
        <v>143</v>
      </c>
      <c r="D1253" s="51" t="s">
        <v>1207</v>
      </c>
      <c r="E1253" s="50">
        <v>2000</v>
      </c>
      <c r="F1253" s="50">
        <v>2002</v>
      </c>
      <c r="G1253" s="50" t="s">
        <v>3404</v>
      </c>
      <c r="H1253" s="50">
        <v>2024</v>
      </c>
      <c r="I1253" s="132">
        <v>45316</v>
      </c>
      <c r="J1253" s="50"/>
      <c r="K1253" s="50" t="s">
        <v>26</v>
      </c>
      <c r="L1253" s="50" t="s">
        <v>2289</v>
      </c>
      <c r="M1253" s="50" t="s">
        <v>212</v>
      </c>
      <c r="N1253" s="50"/>
      <c r="O1253" s="50"/>
      <c r="P1253" s="50"/>
      <c r="Q1253" s="50"/>
      <c r="R1253" s="50"/>
      <c r="S1253" s="50" t="str">
        <f t="shared" si="120"/>
        <v/>
      </c>
      <c r="T1253" s="50" t="str">
        <f t="shared" si="118"/>
        <v/>
      </c>
      <c r="U1253" s="50" t="str">
        <f t="shared" si="119"/>
        <v/>
      </c>
      <c r="V1253" s="50" t="str">
        <f t="shared" si="121"/>
        <v/>
      </c>
      <c r="W1253" s="50"/>
      <c r="X1253" s="50"/>
      <c r="Y1253" s="50"/>
      <c r="Z1253" s="50" t="s">
        <v>3406</v>
      </c>
      <c r="AA1253" s="50"/>
    </row>
    <row r="1254" spans="1:27" ht="25.5" customHeight="1">
      <c r="A1254" s="517" t="s">
        <v>2286</v>
      </c>
      <c r="B1254" s="51" t="s">
        <v>4802</v>
      </c>
      <c r="C1254" s="51" t="s">
        <v>143</v>
      </c>
      <c r="D1254" s="51" t="s">
        <v>4807</v>
      </c>
      <c r="E1254" s="50">
        <v>2216</v>
      </c>
      <c r="F1254" s="50">
        <v>2341</v>
      </c>
      <c r="G1254" s="50" t="s">
        <v>3955</v>
      </c>
      <c r="H1254" s="50"/>
      <c r="I1254" s="105"/>
      <c r="J1254" s="50"/>
      <c r="K1254" s="50" t="s">
        <v>26</v>
      </c>
      <c r="L1254" s="50" t="s">
        <v>2289</v>
      </c>
      <c r="M1254" s="50" t="s">
        <v>212</v>
      </c>
      <c r="N1254" s="50"/>
      <c r="O1254" s="50"/>
      <c r="P1254" s="50"/>
      <c r="Q1254" s="50"/>
      <c r="R1254" s="50"/>
      <c r="S1254" s="50" t="str">
        <f t="shared" si="120"/>
        <v/>
      </c>
      <c r="T1254" s="50" t="str">
        <f t="shared" si="118"/>
        <v/>
      </c>
      <c r="U1254" s="50" t="str">
        <f t="shared" si="119"/>
        <v/>
      </c>
      <c r="V1254" s="50" t="str">
        <f t="shared" si="121"/>
        <v/>
      </c>
      <c r="W1254" s="50"/>
      <c r="X1254" s="50"/>
      <c r="Y1254" s="50"/>
      <c r="Z1254" s="50"/>
      <c r="AA1254" s="50"/>
    </row>
    <row r="1255" spans="1:27" ht="25.5" customHeight="1">
      <c r="A1255" s="517" t="s">
        <v>2286</v>
      </c>
      <c r="B1255" s="51" t="s">
        <v>4802</v>
      </c>
      <c r="C1255" s="51" t="s">
        <v>143</v>
      </c>
      <c r="D1255" s="51" t="s">
        <v>4808</v>
      </c>
      <c r="E1255" s="50">
        <v>1040</v>
      </c>
      <c r="F1255" s="50">
        <v>1192</v>
      </c>
      <c r="G1255" s="50" t="s">
        <v>3955</v>
      </c>
      <c r="H1255" s="50"/>
      <c r="I1255" s="105"/>
      <c r="J1255" s="50"/>
      <c r="K1255" s="50" t="s">
        <v>26</v>
      </c>
      <c r="L1255" s="50" t="s">
        <v>2289</v>
      </c>
      <c r="M1255" s="50" t="s">
        <v>212</v>
      </c>
      <c r="N1255" s="50"/>
      <c r="O1255" s="50"/>
      <c r="P1255" s="50"/>
      <c r="Q1255" s="50"/>
      <c r="R1255" s="50"/>
      <c r="S1255" s="50" t="str">
        <f t="shared" si="120"/>
        <v/>
      </c>
      <c r="T1255" s="50" t="str">
        <f t="shared" si="118"/>
        <v/>
      </c>
      <c r="U1255" s="50" t="str">
        <f t="shared" si="119"/>
        <v/>
      </c>
      <c r="V1255" s="50" t="str">
        <f t="shared" si="121"/>
        <v/>
      </c>
      <c r="W1255" s="50"/>
      <c r="X1255" s="50"/>
      <c r="Y1255" s="50"/>
      <c r="Z1255" s="50"/>
      <c r="AA1255" s="50"/>
    </row>
    <row r="1256" spans="1:27" ht="25.5" customHeight="1">
      <c r="A1256" s="517" t="s">
        <v>2286</v>
      </c>
      <c r="B1256" s="51" t="s">
        <v>4802</v>
      </c>
      <c r="C1256" s="51" t="s">
        <v>143</v>
      </c>
      <c r="D1256" s="51" t="s">
        <v>4809</v>
      </c>
      <c r="E1256" s="50">
        <v>1722</v>
      </c>
      <c r="F1256" s="50">
        <v>1891</v>
      </c>
      <c r="G1256" s="50" t="s">
        <v>3955</v>
      </c>
      <c r="H1256" s="50"/>
      <c r="I1256" s="105"/>
      <c r="J1256" s="50"/>
      <c r="K1256" s="50" t="s">
        <v>26</v>
      </c>
      <c r="L1256" s="50" t="s">
        <v>2289</v>
      </c>
      <c r="M1256" s="50" t="s">
        <v>212</v>
      </c>
      <c r="N1256" s="50"/>
      <c r="O1256" s="50"/>
      <c r="P1256" s="50"/>
      <c r="Q1256" s="50"/>
      <c r="R1256" s="50"/>
      <c r="S1256" s="50" t="str">
        <f t="shared" si="120"/>
        <v/>
      </c>
      <c r="T1256" s="50" t="str">
        <f t="shared" si="118"/>
        <v/>
      </c>
      <c r="U1256" s="50" t="str">
        <f t="shared" si="119"/>
        <v/>
      </c>
      <c r="V1256" s="50" t="str">
        <f t="shared" si="121"/>
        <v/>
      </c>
      <c r="W1256" s="50"/>
      <c r="X1256" s="50"/>
      <c r="Y1256" s="50"/>
      <c r="Z1256" s="50"/>
      <c r="AA1256" s="50"/>
    </row>
    <row r="1257" spans="1:27" ht="25.5" customHeight="1">
      <c r="A1257" s="517" t="s">
        <v>2286</v>
      </c>
      <c r="B1257" s="51" t="s">
        <v>4802</v>
      </c>
      <c r="C1257" s="51" t="s">
        <v>143</v>
      </c>
      <c r="D1257" s="51" t="s">
        <v>4810</v>
      </c>
      <c r="E1257" s="50">
        <v>2148</v>
      </c>
      <c r="F1257" s="50">
        <v>2465</v>
      </c>
      <c r="G1257" s="50" t="s">
        <v>3955</v>
      </c>
      <c r="H1257" s="50"/>
      <c r="I1257" s="105"/>
      <c r="J1257" s="50"/>
      <c r="K1257" s="50" t="s">
        <v>26</v>
      </c>
      <c r="L1257" s="50" t="s">
        <v>2289</v>
      </c>
      <c r="M1257" s="50" t="s">
        <v>212</v>
      </c>
      <c r="N1257" s="50"/>
      <c r="O1257" s="50"/>
      <c r="P1257" s="50"/>
      <c r="Q1257" s="50"/>
      <c r="R1257" s="50"/>
      <c r="S1257" s="50" t="str">
        <f t="shared" si="120"/>
        <v/>
      </c>
      <c r="T1257" s="50" t="str">
        <f t="shared" si="118"/>
        <v/>
      </c>
      <c r="U1257" s="50" t="str">
        <f t="shared" si="119"/>
        <v/>
      </c>
      <c r="V1257" s="50" t="str">
        <f t="shared" si="121"/>
        <v/>
      </c>
      <c r="W1257" s="50"/>
      <c r="X1257" s="50"/>
      <c r="Y1257" s="50"/>
      <c r="Z1257" s="50"/>
      <c r="AA1257" s="50"/>
    </row>
    <row r="1258" spans="1:27" ht="25.5" customHeight="1">
      <c r="A1258" s="517" t="s">
        <v>2286</v>
      </c>
      <c r="B1258" s="51" t="s">
        <v>4802</v>
      </c>
      <c r="C1258" s="51" t="s">
        <v>143</v>
      </c>
      <c r="D1258" s="51" t="s">
        <v>4811</v>
      </c>
      <c r="E1258" s="50">
        <v>1184</v>
      </c>
      <c r="F1258" s="50">
        <v>1243</v>
      </c>
      <c r="G1258" s="50" t="s">
        <v>3955</v>
      </c>
      <c r="H1258" s="50"/>
      <c r="I1258" s="105"/>
      <c r="J1258" s="50"/>
      <c r="K1258" s="50" t="s">
        <v>26</v>
      </c>
      <c r="L1258" s="50" t="s">
        <v>2289</v>
      </c>
      <c r="M1258" s="50" t="s">
        <v>212</v>
      </c>
      <c r="N1258" s="50"/>
      <c r="O1258" s="50"/>
      <c r="P1258" s="50"/>
      <c r="Q1258" s="50"/>
      <c r="R1258" s="50"/>
      <c r="S1258" s="50" t="str">
        <f t="shared" si="120"/>
        <v/>
      </c>
      <c r="T1258" s="50" t="str">
        <f t="shared" si="118"/>
        <v/>
      </c>
      <c r="U1258" s="50" t="str">
        <f t="shared" si="119"/>
        <v/>
      </c>
      <c r="V1258" s="50" t="str">
        <f t="shared" si="121"/>
        <v/>
      </c>
      <c r="W1258" s="50"/>
      <c r="X1258" s="50"/>
      <c r="Y1258" s="50"/>
      <c r="Z1258" s="50"/>
      <c r="AA1258" s="50"/>
    </row>
    <row r="1259" spans="1:27" ht="25.5" customHeight="1">
      <c r="A1259" s="517" t="s">
        <v>2286</v>
      </c>
      <c r="B1259" s="51" t="s">
        <v>4802</v>
      </c>
      <c r="C1259" s="51" t="s">
        <v>143</v>
      </c>
      <c r="D1259" s="51" t="s">
        <v>4812</v>
      </c>
      <c r="E1259" s="50">
        <v>1262</v>
      </c>
      <c r="F1259" s="50">
        <v>1302</v>
      </c>
      <c r="G1259" s="50" t="s">
        <v>3955</v>
      </c>
      <c r="H1259" s="50"/>
      <c r="I1259" s="105"/>
      <c r="J1259" s="50"/>
      <c r="K1259" s="50" t="s">
        <v>26</v>
      </c>
      <c r="L1259" s="50" t="s">
        <v>2289</v>
      </c>
      <c r="M1259" s="50" t="s">
        <v>212</v>
      </c>
      <c r="N1259" s="50"/>
      <c r="O1259" s="50"/>
      <c r="P1259" s="50"/>
      <c r="Q1259" s="50"/>
      <c r="R1259" s="50"/>
      <c r="S1259" s="50" t="str">
        <f t="shared" si="120"/>
        <v/>
      </c>
      <c r="T1259" s="50" t="str">
        <f t="shared" si="118"/>
        <v/>
      </c>
      <c r="U1259" s="50" t="str">
        <f t="shared" si="119"/>
        <v/>
      </c>
      <c r="V1259" s="50" t="str">
        <f t="shared" si="121"/>
        <v/>
      </c>
      <c r="W1259" s="50"/>
      <c r="X1259" s="50"/>
      <c r="Y1259" s="50"/>
      <c r="Z1259" s="50"/>
      <c r="AA1259" s="50"/>
    </row>
    <row r="1260" spans="1:27" ht="25.5" customHeight="1">
      <c r="A1260" s="517" t="s">
        <v>2286</v>
      </c>
      <c r="B1260" s="51" t="s">
        <v>4802</v>
      </c>
      <c r="C1260" s="51" t="s">
        <v>143</v>
      </c>
      <c r="D1260" s="51" t="s">
        <v>4813</v>
      </c>
      <c r="E1260" s="50">
        <v>5050</v>
      </c>
      <c r="F1260" s="50">
        <v>5582</v>
      </c>
      <c r="G1260" s="50" t="s">
        <v>3404</v>
      </c>
      <c r="H1260" s="50">
        <v>2025</v>
      </c>
      <c r="I1260" s="132">
        <v>45692</v>
      </c>
      <c r="J1260" s="50" t="s">
        <v>3458</v>
      </c>
      <c r="K1260" s="50" t="s">
        <v>26</v>
      </c>
      <c r="L1260" s="50" t="s">
        <v>2289</v>
      </c>
      <c r="M1260" s="50" t="s">
        <v>212</v>
      </c>
      <c r="N1260" s="50" t="s">
        <v>4814</v>
      </c>
      <c r="O1260" s="60">
        <v>45698</v>
      </c>
      <c r="P1260" s="60">
        <v>45699</v>
      </c>
      <c r="Q1260" s="60">
        <v>45699</v>
      </c>
      <c r="R1260" s="60">
        <v>45701</v>
      </c>
      <c r="S1260" s="50">
        <f t="shared" si="120"/>
        <v>4</v>
      </c>
      <c r="T1260" s="50">
        <f t="shared" si="118"/>
        <v>1</v>
      </c>
      <c r="U1260" s="50">
        <f t="shared" si="119"/>
        <v>1</v>
      </c>
      <c r="V1260" s="50">
        <f t="shared" si="121"/>
        <v>2</v>
      </c>
      <c r="W1260" s="50" t="s">
        <v>150</v>
      </c>
      <c r="X1260" s="50" t="s">
        <v>1078</v>
      </c>
      <c r="Y1260" s="50" t="s">
        <v>50</v>
      </c>
      <c r="Z1260" s="50" t="s">
        <v>3406</v>
      </c>
      <c r="AA1260" s="50"/>
    </row>
    <row r="1261" spans="1:27" ht="25.5" customHeight="1">
      <c r="A1261" s="517" t="s">
        <v>2286</v>
      </c>
      <c r="B1261" s="51" t="s">
        <v>4802</v>
      </c>
      <c r="C1261" s="51" t="s">
        <v>143</v>
      </c>
      <c r="D1261" s="51" t="s">
        <v>4815</v>
      </c>
      <c r="E1261" s="50">
        <v>1166</v>
      </c>
      <c r="F1261" s="50">
        <v>1237</v>
      </c>
      <c r="G1261" s="50" t="s">
        <v>3404</v>
      </c>
      <c r="H1261" s="50">
        <v>2024</v>
      </c>
      <c r="I1261" s="132">
        <v>45316</v>
      </c>
      <c r="J1261" s="50"/>
      <c r="K1261" s="50" t="s">
        <v>26</v>
      </c>
      <c r="L1261" s="50" t="s">
        <v>2289</v>
      </c>
      <c r="M1261" s="50" t="s">
        <v>212</v>
      </c>
      <c r="N1261" s="50"/>
      <c r="O1261" s="50"/>
      <c r="P1261" s="50"/>
      <c r="Q1261" s="50"/>
      <c r="R1261" s="50"/>
      <c r="S1261" s="50" t="str">
        <f t="shared" si="120"/>
        <v/>
      </c>
      <c r="T1261" s="50" t="str">
        <f t="shared" si="118"/>
        <v/>
      </c>
      <c r="U1261" s="50" t="str">
        <f t="shared" si="119"/>
        <v/>
      </c>
      <c r="V1261" s="50" t="str">
        <f t="shared" si="121"/>
        <v/>
      </c>
      <c r="W1261" s="50"/>
      <c r="X1261" s="50"/>
      <c r="Y1261" s="50"/>
      <c r="Z1261" s="50" t="s">
        <v>3406</v>
      </c>
      <c r="AA1261" s="50"/>
    </row>
    <row r="1262" spans="1:27" ht="25.5" customHeight="1">
      <c r="A1262" s="517" t="s">
        <v>2286</v>
      </c>
      <c r="B1262" s="51" t="s">
        <v>4802</v>
      </c>
      <c r="C1262" s="51" t="s">
        <v>143</v>
      </c>
      <c r="D1262" s="51" t="s">
        <v>4816</v>
      </c>
      <c r="E1262" s="50">
        <v>1128</v>
      </c>
      <c r="F1262" s="50">
        <v>1160</v>
      </c>
      <c r="G1262" s="50" t="s">
        <v>3404</v>
      </c>
      <c r="H1262" s="50">
        <v>2024</v>
      </c>
      <c r="I1262" s="132">
        <v>45316</v>
      </c>
      <c r="J1262" s="50"/>
      <c r="K1262" s="50" t="s">
        <v>26</v>
      </c>
      <c r="L1262" s="50" t="s">
        <v>2289</v>
      </c>
      <c r="M1262" s="50" t="s">
        <v>212</v>
      </c>
      <c r="N1262" s="50"/>
      <c r="O1262" s="50"/>
      <c r="P1262" s="50"/>
      <c r="Q1262" s="50"/>
      <c r="R1262" s="50"/>
      <c r="S1262" s="50" t="str">
        <f t="shared" si="120"/>
        <v/>
      </c>
      <c r="T1262" s="50" t="str">
        <f t="shared" si="118"/>
        <v/>
      </c>
      <c r="U1262" s="50" t="str">
        <f t="shared" si="119"/>
        <v/>
      </c>
      <c r="V1262" s="50" t="str">
        <f t="shared" si="121"/>
        <v/>
      </c>
      <c r="W1262" s="50"/>
      <c r="X1262" s="50"/>
      <c r="Y1262" s="50"/>
      <c r="Z1262" s="50" t="s">
        <v>3406</v>
      </c>
      <c r="AA1262" s="50"/>
    </row>
    <row r="1263" spans="1:27" ht="25.5" customHeight="1">
      <c r="A1263" s="517" t="s">
        <v>2286</v>
      </c>
      <c r="B1263" s="51" t="s">
        <v>4802</v>
      </c>
      <c r="C1263" s="51" t="s">
        <v>143</v>
      </c>
      <c r="D1263" s="51" t="s">
        <v>4817</v>
      </c>
      <c r="E1263" s="50">
        <v>3546</v>
      </c>
      <c r="F1263" s="50">
        <v>3537</v>
      </c>
      <c r="G1263" s="50" t="s">
        <v>3404</v>
      </c>
      <c r="H1263" s="50">
        <v>2024</v>
      </c>
      <c r="I1263" s="132">
        <v>45408</v>
      </c>
      <c r="J1263" s="50"/>
      <c r="K1263" s="50" t="s">
        <v>26</v>
      </c>
      <c r="L1263" s="50" t="s">
        <v>2289</v>
      </c>
      <c r="M1263" s="50" t="s">
        <v>212</v>
      </c>
      <c r="N1263" s="50"/>
      <c r="O1263" s="50"/>
      <c r="P1263" s="50"/>
      <c r="Q1263" s="50"/>
      <c r="R1263" s="50"/>
      <c r="S1263" s="50" t="str">
        <f t="shared" si="120"/>
        <v/>
      </c>
      <c r="T1263" s="50" t="str">
        <f t="shared" si="118"/>
        <v/>
      </c>
      <c r="U1263" s="50" t="str">
        <f t="shared" si="119"/>
        <v/>
      </c>
      <c r="V1263" s="50" t="str">
        <f t="shared" si="121"/>
        <v/>
      </c>
      <c r="W1263" s="50"/>
      <c r="X1263" s="50"/>
      <c r="Y1263" s="50"/>
      <c r="Z1263" s="50" t="s">
        <v>3406</v>
      </c>
      <c r="AA1263" s="50"/>
    </row>
    <row r="1264" spans="1:27" ht="25.5" customHeight="1">
      <c r="A1264" s="517" t="s">
        <v>2286</v>
      </c>
      <c r="B1264" s="51" t="s">
        <v>4802</v>
      </c>
      <c r="C1264" s="51" t="s">
        <v>143</v>
      </c>
      <c r="D1264" s="51" t="s">
        <v>4818</v>
      </c>
      <c r="E1264" s="50">
        <v>3367</v>
      </c>
      <c r="F1264" s="50">
        <v>3787</v>
      </c>
      <c r="G1264" s="50" t="s">
        <v>3955</v>
      </c>
      <c r="H1264" s="50"/>
      <c r="I1264" s="105"/>
      <c r="J1264" s="50"/>
      <c r="K1264" s="50" t="s">
        <v>26</v>
      </c>
      <c r="L1264" s="50" t="s">
        <v>2289</v>
      </c>
      <c r="M1264" s="50" t="s">
        <v>212</v>
      </c>
      <c r="N1264" s="50"/>
      <c r="O1264" s="50"/>
      <c r="P1264" s="50"/>
      <c r="Q1264" s="50"/>
      <c r="R1264" s="50"/>
      <c r="S1264" s="50" t="str">
        <f t="shared" si="120"/>
        <v/>
      </c>
      <c r="T1264" s="50" t="str">
        <f t="shared" si="118"/>
        <v/>
      </c>
      <c r="U1264" s="50" t="str">
        <f t="shared" si="119"/>
        <v/>
      </c>
      <c r="V1264" s="50" t="str">
        <f t="shared" si="121"/>
        <v/>
      </c>
      <c r="W1264" s="50"/>
      <c r="X1264" s="50"/>
      <c r="Y1264" s="50"/>
      <c r="Z1264" s="50"/>
      <c r="AA1264" s="50"/>
    </row>
    <row r="1265" spans="1:27" s="110" customFormat="1" ht="25.5" customHeight="1">
      <c r="A1265" s="517" t="s">
        <v>2286</v>
      </c>
      <c r="B1265" s="51" t="s">
        <v>4802</v>
      </c>
      <c r="C1265" s="51" t="s">
        <v>143</v>
      </c>
      <c r="D1265" s="51" t="s">
        <v>1056</v>
      </c>
      <c r="E1265" s="50">
        <v>3670</v>
      </c>
      <c r="F1265" s="50">
        <v>3866</v>
      </c>
      <c r="G1265" s="50" t="s">
        <v>3404</v>
      </c>
      <c r="H1265" s="50">
        <v>2024</v>
      </c>
      <c r="I1265" s="132">
        <v>45408</v>
      </c>
      <c r="J1265" s="50"/>
      <c r="K1265" s="50" t="s">
        <v>26</v>
      </c>
      <c r="L1265" s="50" t="s">
        <v>2289</v>
      </c>
      <c r="M1265" s="50" t="s">
        <v>212</v>
      </c>
      <c r="N1265" s="50"/>
      <c r="O1265" s="50"/>
      <c r="P1265" s="50"/>
      <c r="Q1265" s="50"/>
      <c r="R1265" s="50"/>
      <c r="S1265" s="50" t="str">
        <f t="shared" si="120"/>
        <v/>
      </c>
      <c r="T1265" s="50" t="str">
        <f t="shared" si="118"/>
        <v/>
      </c>
      <c r="U1265" s="50" t="str">
        <f t="shared" si="119"/>
        <v/>
      </c>
      <c r="V1265" s="50" t="str">
        <f t="shared" si="121"/>
        <v/>
      </c>
      <c r="W1265" s="50"/>
      <c r="X1265" s="50"/>
      <c r="Y1265" s="50"/>
      <c r="Z1265" s="50" t="s">
        <v>3406</v>
      </c>
      <c r="AA1265" s="50"/>
    </row>
    <row r="1266" spans="1:27" ht="25.5" customHeight="1">
      <c r="A1266" s="517" t="s">
        <v>2286</v>
      </c>
      <c r="B1266" s="51" t="s">
        <v>4802</v>
      </c>
      <c r="C1266" s="51" t="s">
        <v>143</v>
      </c>
      <c r="D1266" s="51" t="s">
        <v>4637</v>
      </c>
      <c r="E1266" s="50">
        <v>674</v>
      </c>
      <c r="F1266" s="50">
        <v>731</v>
      </c>
      <c r="G1266" s="50" t="s">
        <v>3955</v>
      </c>
      <c r="H1266" s="50"/>
      <c r="I1266" s="105"/>
      <c r="J1266" s="50"/>
      <c r="K1266" s="50" t="s">
        <v>26</v>
      </c>
      <c r="L1266" s="50" t="s">
        <v>2289</v>
      </c>
      <c r="M1266" s="50" t="s">
        <v>212</v>
      </c>
      <c r="N1266" s="50"/>
      <c r="O1266" s="50"/>
      <c r="P1266" s="50"/>
      <c r="Q1266" s="50"/>
      <c r="R1266" s="50"/>
      <c r="S1266" s="50" t="str">
        <f t="shared" si="120"/>
        <v/>
      </c>
      <c r="T1266" s="50" t="str">
        <f t="shared" si="118"/>
        <v/>
      </c>
      <c r="U1266" s="50" t="str">
        <f t="shared" si="119"/>
        <v/>
      </c>
      <c r="V1266" s="50" t="str">
        <f t="shared" si="121"/>
        <v/>
      </c>
      <c r="W1266" s="50"/>
      <c r="X1266" s="50"/>
      <c r="Y1266" s="50"/>
      <c r="Z1266" s="50"/>
      <c r="AA1266" s="50"/>
    </row>
    <row r="1267" spans="1:27" ht="25.5" customHeight="1">
      <c r="A1267" s="517" t="s">
        <v>2286</v>
      </c>
      <c r="B1267" s="51" t="s">
        <v>4802</v>
      </c>
      <c r="C1267" s="51" t="s">
        <v>143</v>
      </c>
      <c r="D1267" s="51" t="s">
        <v>4819</v>
      </c>
      <c r="E1267" s="50">
        <v>618</v>
      </c>
      <c r="F1267" s="50">
        <v>624</v>
      </c>
      <c r="G1267" s="50" t="s">
        <v>3404</v>
      </c>
      <c r="H1267" s="50">
        <v>2024</v>
      </c>
      <c r="I1267" s="132">
        <v>45408</v>
      </c>
      <c r="J1267" s="50"/>
      <c r="K1267" s="50" t="s">
        <v>26</v>
      </c>
      <c r="L1267" s="50" t="s">
        <v>2289</v>
      </c>
      <c r="M1267" s="50" t="s">
        <v>212</v>
      </c>
      <c r="N1267" s="50"/>
      <c r="O1267" s="50"/>
      <c r="P1267" s="50"/>
      <c r="Q1267" s="50"/>
      <c r="R1267" s="50"/>
      <c r="S1267" s="50" t="str">
        <f t="shared" si="120"/>
        <v/>
      </c>
      <c r="T1267" s="50" t="str">
        <f t="shared" si="118"/>
        <v/>
      </c>
      <c r="U1267" s="50" t="str">
        <f t="shared" si="119"/>
        <v/>
      </c>
      <c r="V1267" s="50" t="str">
        <f t="shared" si="121"/>
        <v/>
      </c>
      <c r="W1267" s="50"/>
      <c r="X1267" s="50"/>
      <c r="Y1267" s="50"/>
      <c r="Z1267" s="50" t="s">
        <v>3406</v>
      </c>
      <c r="AA1267" s="50"/>
    </row>
    <row r="1268" spans="1:27" ht="25.5" customHeight="1">
      <c r="A1268" s="517" t="s">
        <v>2286</v>
      </c>
      <c r="B1268" s="51" t="s">
        <v>4802</v>
      </c>
      <c r="C1268" s="51" t="s">
        <v>143</v>
      </c>
      <c r="D1268" s="51" t="s">
        <v>4820</v>
      </c>
      <c r="E1268" s="50">
        <v>1476</v>
      </c>
      <c r="F1268" s="50">
        <v>1538</v>
      </c>
      <c r="G1268" s="50" t="s">
        <v>3955</v>
      </c>
      <c r="H1268" s="50"/>
      <c r="I1268" s="105"/>
      <c r="J1268" s="50"/>
      <c r="K1268" s="50" t="s">
        <v>26</v>
      </c>
      <c r="L1268" s="50" t="s">
        <v>2289</v>
      </c>
      <c r="M1268" s="50" t="s">
        <v>212</v>
      </c>
      <c r="N1268" s="50"/>
      <c r="O1268" s="50"/>
      <c r="P1268" s="50"/>
      <c r="Q1268" s="50"/>
      <c r="R1268" s="50"/>
      <c r="S1268" s="50" t="str">
        <f t="shared" si="120"/>
        <v/>
      </c>
      <c r="T1268" s="50" t="str">
        <f t="shared" si="118"/>
        <v/>
      </c>
      <c r="U1268" s="50" t="str">
        <f t="shared" si="119"/>
        <v/>
      </c>
      <c r="V1268" s="50" t="str">
        <f t="shared" si="121"/>
        <v/>
      </c>
      <c r="W1268" s="50"/>
      <c r="X1268" s="50"/>
      <c r="Y1268" s="50"/>
      <c r="Z1268" s="50"/>
      <c r="AA1268" s="50"/>
    </row>
    <row r="1269" spans="1:27" ht="25.5" customHeight="1">
      <c r="A1269" s="517" t="s">
        <v>2286</v>
      </c>
      <c r="B1269" s="51" t="s">
        <v>4802</v>
      </c>
      <c r="C1269" s="51" t="s">
        <v>143</v>
      </c>
      <c r="D1269" s="51" t="s">
        <v>4821</v>
      </c>
      <c r="E1269" s="50">
        <v>3872</v>
      </c>
      <c r="F1269" s="50">
        <v>4054</v>
      </c>
      <c r="G1269" s="50" t="s">
        <v>3404</v>
      </c>
      <c r="H1269" s="50">
        <v>2024</v>
      </c>
      <c r="I1269" s="132">
        <v>45408</v>
      </c>
      <c r="J1269" s="50"/>
      <c r="K1269" s="50" t="s">
        <v>26</v>
      </c>
      <c r="L1269" s="50" t="s">
        <v>2289</v>
      </c>
      <c r="M1269" s="50" t="s">
        <v>212</v>
      </c>
      <c r="N1269" s="50"/>
      <c r="O1269" s="50"/>
      <c r="P1269" s="50"/>
      <c r="Q1269" s="50"/>
      <c r="R1269" s="50"/>
      <c r="S1269" s="50" t="str">
        <f t="shared" si="120"/>
        <v/>
      </c>
      <c r="T1269" s="50" t="str">
        <f t="shared" si="118"/>
        <v/>
      </c>
      <c r="U1269" s="50" t="str">
        <f t="shared" si="119"/>
        <v/>
      </c>
      <c r="V1269" s="50" t="str">
        <f t="shared" si="121"/>
        <v/>
      </c>
      <c r="W1269" s="50"/>
      <c r="X1269" s="50"/>
      <c r="Y1269" s="50"/>
      <c r="Z1269" s="50" t="s">
        <v>3406</v>
      </c>
      <c r="AA1269" s="50"/>
    </row>
    <row r="1270" spans="1:27" ht="25.5" customHeight="1">
      <c r="A1270" s="517" t="s">
        <v>2286</v>
      </c>
      <c r="B1270" s="51" t="s">
        <v>4802</v>
      </c>
      <c r="C1270" s="51" t="s">
        <v>143</v>
      </c>
      <c r="D1270" s="51" t="s">
        <v>4822</v>
      </c>
      <c r="E1270" s="50">
        <v>2441</v>
      </c>
      <c r="F1270" s="50">
        <v>2593</v>
      </c>
      <c r="G1270" s="50" t="s">
        <v>3404</v>
      </c>
      <c r="H1270" s="50">
        <v>2025</v>
      </c>
      <c r="I1270" s="132">
        <v>45694</v>
      </c>
      <c r="J1270" s="50" t="s">
        <v>3458</v>
      </c>
      <c r="K1270" s="50" t="s">
        <v>26</v>
      </c>
      <c r="L1270" s="50" t="s">
        <v>2289</v>
      </c>
      <c r="M1270" s="50" t="s">
        <v>212</v>
      </c>
      <c r="N1270" s="50" t="s">
        <v>4823</v>
      </c>
      <c r="O1270" s="60">
        <v>45698</v>
      </c>
      <c r="P1270" s="60">
        <v>45699</v>
      </c>
      <c r="Q1270" s="60">
        <v>45699</v>
      </c>
      <c r="R1270" s="60">
        <v>45701</v>
      </c>
      <c r="S1270" s="50">
        <f t="shared" si="120"/>
        <v>2</v>
      </c>
      <c r="T1270" s="50">
        <f t="shared" si="118"/>
        <v>1</v>
      </c>
      <c r="U1270" s="50">
        <f t="shared" si="119"/>
        <v>1</v>
      </c>
      <c r="V1270" s="50">
        <f t="shared" si="121"/>
        <v>2</v>
      </c>
      <c r="W1270" s="50" t="s">
        <v>150</v>
      </c>
      <c r="X1270" s="50" t="s">
        <v>1078</v>
      </c>
      <c r="Y1270" s="50" t="s">
        <v>50</v>
      </c>
      <c r="Z1270" s="50" t="s">
        <v>3406</v>
      </c>
      <c r="AA1270" s="50"/>
    </row>
    <row r="1271" spans="1:27" ht="25.5" customHeight="1">
      <c r="A1271" s="517" t="s">
        <v>2286</v>
      </c>
      <c r="B1271" s="51" t="s">
        <v>1653</v>
      </c>
      <c r="C1271" s="51" t="s">
        <v>143</v>
      </c>
      <c r="D1271" s="51" t="s">
        <v>4824</v>
      </c>
      <c r="E1271" s="50">
        <v>3495</v>
      </c>
      <c r="F1271" s="50">
        <v>4046</v>
      </c>
      <c r="G1271" s="50" t="s">
        <v>3955</v>
      </c>
      <c r="H1271" s="50"/>
      <c r="I1271" s="105"/>
      <c r="J1271" s="50"/>
      <c r="K1271" s="50" t="s">
        <v>28</v>
      </c>
      <c r="L1271" s="50" t="s">
        <v>2289</v>
      </c>
      <c r="M1271" s="50" t="s">
        <v>212</v>
      </c>
      <c r="N1271" s="50"/>
      <c r="O1271" s="50"/>
      <c r="P1271" s="50"/>
      <c r="Q1271" s="50"/>
      <c r="R1271" s="50"/>
      <c r="S1271" s="50" t="str">
        <f t="shared" si="120"/>
        <v/>
      </c>
      <c r="T1271" s="50" t="str">
        <f t="shared" si="118"/>
        <v/>
      </c>
      <c r="U1271" s="50" t="str">
        <f t="shared" si="119"/>
        <v/>
      </c>
      <c r="V1271" s="50" t="str">
        <f t="shared" si="121"/>
        <v/>
      </c>
      <c r="W1271" s="50"/>
      <c r="X1271" s="50"/>
      <c r="Y1271" s="50"/>
      <c r="Z1271" s="50"/>
      <c r="AA1271" s="50"/>
    </row>
    <row r="1272" spans="1:27" s="110" customFormat="1" ht="25.5" customHeight="1">
      <c r="A1272" s="517" t="s">
        <v>2286</v>
      </c>
      <c r="B1272" s="51" t="s">
        <v>1653</v>
      </c>
      <c r="C1272" s="51" t="s">
        <v>143</v>
      </c>
      <c r="D1272" s="51" t="s">
        <v>1185</v>
      </c>
      <c r="E1272" s="50">
        <v>6695</v>
      </c>
      <c r="F1272" s="50">
        <v>6887</v>
      </c>
      <c r="G1272" s="50" t="s">
        <v>3955</v>
      </c>
      <c r="H1272" s="50"/>
      <c r="I1272" s="105"/>
      <c r="J1272" s="50"/>
      <c r="K1272" s="50" t="s">
        <v>28</v>
      </c>
      <c r="L1272" s="50" t="s">
        <v>2289</v>
      </c>
      <c r="M1272" s="50" t="s">
        <v>212</v>
      </c>
      <c r="N1272" s="50"/>
      <c r="O1272" s="50"/>
      <c r="P1272" s="50"/>
      <c r="Q1272" s="50"/>
      <c r="R1272" s="50"/>
      <c r="S1272" s="50" t="str">
        <f t="shared" si="120"/>
        <v/>
      </c>
      <c r="T1272" s="50" t="str">
        <f t="shared" si="118"/>
        <v/>
      </c>
      <c r="U1272" s="50" t="str">
        <f t="shared" si="119"/>
        <v/>
      </c>
      <c r="V1272" s="50" t="str">
        <f t="shared" si="121"/>
        <v/>
      </c>
      <c r="W1272" s="50"/>
      <c r="X1272" s="50"/>
      <c r="Y1272" s="50"/>
      <c r="Z1272" s="50"/>
      <c r="AA1272" s="50"/>
    </row>
    <row r="1273" spans="1:27" ht="25.5" customHeight="1">
      <c r="A1273" s="517" t="s">
        <v>2286</v>
      </c>
      <c r="B1273" s="51" t="s">
        <v>1653</v>
      </c>
      <c r="C1273" s="51" t="s">
        <v>143</v>
      </c>
      <c r="D1273" s="51" t="s">
        <v>4825</v>
      </c>
      <c r="E1273" s="50">
        <v>3599</v>
      </c>
      <c r="F1273" s="50">
        <v>5376</v>
      </c>
      <c r="G1273" s="50" t="s">
        <v>3955</v>
      </c>
      <c r="H1273" s="50"/>
      <c r="I1273" s="105"/>
      <c r="J1273" s="50"/>
      <c r="K1273" s="50" t="s">
        <v>28</v>
      </c>
      <c r="L1273" s="50" t="s">
        <v>2289</v>
      </c>
      <c r="M1273" s="50" t="s">
        <v>212</v>
      </c>
      <c r="N1273" s="50"/>
      <c r="O1273" s="50"/>
      <c r="P1273" s="50"/>
      <c r="Q1273" s="50"/>
      <c r="R1273" s="50"/>
      <c r="S1273" s="50" t="str">
        <f t="shared" si="120"/>
        <v/>
      </c>
      <c r="T1273" s="50" t="str">
        <f t="shared" si="118"/>
        <v/>
      </c>
      <c r="U1273" s="50" t="str">
        <f t="shared" si="119"/>
        <v/>
      </c>
      <c r="V1273" s="50" t="str">
        <f t="shared" si="121"/>
        <v/>
      </c>
      <c r="W1273" s="50"/>
      <c r="X1273" s="50"/>
      <c r="Y1273" s="50"/>
      <c r="Z1273" s="50"/>
      <c r="AA1273" s="50"/>
    </row>
    <row r="1274" spans="1:27" ht="25.5" customHeight="1">
      <c r="A1274" s="517" t="s">
        <v>2286</v>
      </c>
      <c r="B1274" s="51" t="s">
        <v>1653</v>
      </c>
      <c r="C1274" s="51" t="s">
        <v>143</v>
      </c>
      <c r="D1274" s="51" t="s">
        <v>4826</v>
      </c>
      <c r="E1274" s="50">
        <v>4567</v>
      </c>
      <c r="F1274" s="50">
        <v>5249</v>
      </c>
      <c r="G1274" s="50" t="s">
        <v>3955</v>
      </c>
      <c r="H1274" s="50"/>
      <c r="I1274" s="105"/>
      <c r="J1274" s="50"/>
      <c r="K1274" s="50" t="s">
        <v>28</v>
      </c>
      <c r="L1274" s="50" t="s">
        <v>2289</v>
      </c>
      <c r="M1274" s="50" t="s">
        <v>212</v>
      </c>
      <c r="N1274" s="50"/>
      <c r="O1274" s="50"/>
      <c r="P1274" s="50"/>
      <c r="Q1274" s="50"/>
      <c r="R1274" s="50"/>
      <c r="S1274" s="50" t="str">
        <f t="shared" si="120"/>
        <v/>
      </c>
      <c r="T1274" s="50" t="str">
        <f t="shared" ref="T1274:T1337" si="122">IF(
    OR(ISBLANK(O1274), ISBLANK(P1274)),
    "",
    MAX(1, IF(
        NETWORKDAYS(O1274, P1274) &lt;= 0,
        1,
        NETWORKDAYS(O1274, P1274) - IF(O1274 = P1274, 0, 1)
    ))
)</f>
        <v/>
      </c>
      <c r="U1274" s="50" t="str">
        <f t="shared" ref="U1274:U1337" si="123">IF(
    OR(ISBLANK(P1274), ISBLANK(Q1274)),
    "",
    MAX(1, IF(
        NETWORKDAYS(P1274, Q1274) &lt;= 0,
        1,
        NETWORKDAYS(P1274, Q1274) - IF(P1274 = Q1274, 0, 1)
    ))
)</f>
        <v/>
      </c>
      <c r="V1274" s="50" t="str">
        <f t="shared" si="121"/>
        <v/>
      </c>
      <c r="W1274" s="50"/>
      <c r="X1274" s="50"/>
      <c r="Y1274" s="50"/>
      <c r="Z1274" s="50"/>
      <c r="AA1274" s="50"/>
    </row>
    <row r="1275" spans="1:27" ht="25.5" customHeight="1">
      <c r="A1275" s="517" t="s">
        <v>2286</v>
      </c>
      <c r="B1275" s="51" t="s">
        <v>1653</v>
      </c>
      <c r="C1275" s="51" t="s">
        <v>143</v>
      </c>
      <c r="D1275" s="51" t="s">
        <v>4827</v>
      </c>
      <c r="E1275" s="50">
        <v>1387</v>
      </c>
      <c r="F1275" s="50">
        <v>1513</v>
      </c>
      <c r="G1275" s="50" t="s">
        <v>3955</v>
      </c>
      <c r="H1275" s="50"/>
      <c r="I1275" s="105"/>
      <c r="J1275" s="50"/>
      <c r="K1275" s="50" t="s">
        <v>28</v>
      </c>
      <c r="L1275" s="50" t="s">
        <v>2289</v>
      </c>
      <c r="M1275" s="50" t="s">
        <v>212</v>
      </c>
      <c r="N1275" s="50"/>
      <c r="O1275" s="50"/>
      <c r="P1275" s="50"/>
      <c r="Q1275" s="50"/>
      <c r="R1275" s="50"/>
      <c r="S1275" s="50" t="str">
        <f t="shared" si="120"/>
        <v/>
      </c>
      <c r="T1275" s="50" t="str">
        <f t="shared" si="122"/>
        <v/>
      </c>
      <c r="U1275" s="50" t="str">
        <f t="shared" si="123"/>
        <v/>
      </c>
      <c r="V1275" s="50" t="str">
        <f t="shared" si="121"/>
        <v/>
      </c>
      <c r="W1275" s="50"/>
      <c r="X1275" s="50"/>
      <c r="Y1275" s="50"/>
      <c r="Z1275" s="50"/>
      <c r="AA1275" s="50"/>
    </row>
    <row r="1276" spans="1:27" ht="25.5" customHeight="1">
      <c r="A1276" s="517" t="s">
        <v>2286</v>
      </c>
      <c r="B1276" s="51" t="s">
        <v>1653</v>
      </c>
      <c r="C1276" s="51" t="s">
        <v>143</v>
      </c>
      <c r="D1276" s="51" t="s">
        <v>4828</v>
      </c>
      <c r="E1276" s="50">
        <v>6232</v>
      </c>
      <c r="F1276" s="50">
        <v>7578</v>
      </c>
      <c r="G1276" s="50" t="s">
        <v>3955</v>
      </c>
      <c r="H1276" s="50"/>
      <c r="I1276" s="105"/>
      <c r="J1276" s="50"/>
      <c r="K1276" s="50" t="s">
        <v>28</v>
      </c>
      <c r="L1276" s="50" t="s">
        <v>2289</v>
      </c>
      <c r="M1276" s="50" t="s">
        <v>212</v>
      </c>
      <c r="N1276" s="50"/>
      <c r="O1276" s="50"/>
      <c r="P1276" s="50"/>
      <c r="Q1276" s="50"/>
      <c r="R1276" s="50"/>
      <c r="S1276" s="50" t="str">
        <f t="shared" si="120"/>
        <v/>
      </c>
      <c r="T1276" s="50" t="str">
        <f t="shared" si="122"/>
        <v/>
      </c>
      <c r="U1276" s="50" t="str">
        <f t="shared" si="123"/>
        <v/>
      </c>
      <c r="V1276" s="50" t="str">
        <f t="shared" si="121"/>
        <v/>
      </c>
      <c r="W1276" s="50"/>
      <c r="X1276" s="50"/>
      <c r="Y1276" s="50"/>
      <c r="Z1276" s="50"/>
      <c r="AA1276" s="50"/>
    </row>
    <row r="1277" spans="1:27" ht="25.5" customHeight="1">
      <c r="A1277" s="517" t="s">
        <v>2286</v>
      </c>
      <c r="B1277" s="51" t="s">
        <v>1653</v>
      </c>
      <c r="C1277" s="51" t="s">
        <v>143</v>
      </c>
      <c r="D1277" s="51" t="s">
        <v>4829</v>
      </c>
      <c r="E1277" s="50">
        <v>1611</v>
      </c>
      <c r="F1277" s="50">
        <v>1778</v>
      </c>
      <c r="G1277" s="50" t="s">
        <v>3955</v>
      </c>
      <c r="H1277" s="50"/>
      <c r="I1277" s="105"/>
      <c r="J1277" s="50"/>
      <c r="K1277" s="50" t="s">
        <v>28</v>
      </c>
      <c r="L1277" s="50" t="s">
        <v>2289</v>
      </c>
      <c r="M1277" s="50" t="s">
        <v>212</v>
      </c>
      <c r="N1277" s="50"/>
      <c r="O1277" s="50"/>
      <c r="P1277" s="50"/>
      <c r="Q1277" s="50"/>
      <c r="R1277" s="50"/>
      <c r="S1277" s="50" t="str">
        <f t="shared" si="120"/>
        <v/>
      </c>
      <c r="T1277" s="50" t="str">
        <f t="shared" si="122"/>
        <v/>
      </c>
      <c r="U1277" s="50" t="str">
        <f t="shared" si="123"/>
        <v/>
      </c>
      <c r="V1277" s="50" t="str">
        <f t="shared" si="121"/>
        <v/>
      </c>
      <c r="W1277" s="50"/>
      <c r="X1277" s="50"/>
      <c r="Y1277" s="50"/>
      <c r="Z1277" s="50"/>
      <c r="AA1277" s="50"/>
    </row>
    <row r="1278" spans="1:27" ht="25.5" customHeight="1">
      <c r="A1278" s="517" t="s">
        <v>2286</v>
      </c>
      <c r="B1278" s="51" t="s">
        <v>1653</v>
      </c>
      <c r="C1278" s="51" t="s">
        <v>143</v>
      </c>
      <c r="D1278" s="51" t="s">
        <v>1286</v>
      </c>
      <c r="E1278" s="50">
        <v>1506</v>
      </c>
      <c r="F1278" s="50">
        <v>1543</v>
      </c>
      <c r="G1278" s="50" t="s">
        <v>3955</v>
      </c>
      <c r="H1278" s="50"/>
      <c r="I1278" s="105"/>
      <c r="J1278" s="50"/>
      <c r="K1278" s="50" t="s">
        <v>28</v>
      </c>
      <c r="L1278" s="50" t="s">
        <v>2289</v>
      </c>
      <c r="M1278" s="50" t="s">
        <v>212</v>
      </c>
      <c r="N1278" s="50"/>
      <c r="O1278" s="50"/>
      <c r="P1278" s="50"/>
      <c r="Q1278" s="50"/>
      <c r="R1278" s="50"/>
      <c r="S1278" s="50" t="str">
        <f t="shared" si="120"/>
        <v/>
      </c>
      <c r="T1278" s="50" t="str">
        <f t="shared" si="122"/>
        <v/>
      </c>
      <c r="U1278" s="50" t="str">
        <f t="shared" si="123"/>
        <v/>
      </c>
      <c r="V1278" s="50" t="str">
        <f t="shared" si="121"/>
        <v/>
      </c>
      <c r="W1278" s="50"/>
      <c r="X1278" s="50"/>
      <c r="Y1278" s="50"/>
      <c r="Z1278" s="50"/>
      <c r="AA1278" s="50"/>
    </row>
    <row r="1279" spans="1:27" ht="25.5" customHeight="1">
      <c r="A1279" s="517" t="s">
        <v>2286</v>
      </c>
      <c r="B1279" s="51" t="s">
        <v>1653</v>
      </c>
      <c r="C1279" s="51" t="s">
        <v>143</v>
      </c>
      <c r="D1279" s="51" t="s">
        <v>4830</v>
      </c>
      <c r="E1279" s="50">
        <v>1751</v>
      </c>
      <c r="F1279" s="50">
        <v>2012</v>
      </c>
      <c r="G1279" s="50" t="s">
        <v>3955</v>
      </c>
      <c r="H1279" s="50"/>
      <c r="I1279" s="105"/>
      <c r="J1279" s="50"/>
      <c r="K1279" s="50" t="s">
        <v>28</v>
      </c>
      <c r="L1279" s="50" t="s">
        <v>2289</v>
      </c>
      <c r="M1279" s="50" t="s">
        <v>212</v>
      </c>
      <c r="N1279" s="50"/>
      <c r="O1279" s="50"/>
      <c r="P1279" s="50"/>
      <c r="Q1279" s="50"/>
      <c r="R1279" s="50"/>
      <c r="S1279" s="50" t="str">
        <f t="shared" si="120"/>
        <v/>
      </c>
      <c r="T1279" s="50" t="str">
        <f t="shared" si="122"/>
        <v/>
      </c>
      <c r="U1279" s="50" t="str">
        <f t="shared" si="123"/>
        <v/>
      </c>
      <c r="V1279" s="50" t="str">
        <f t="shared" si="121"/>
        <v/>
      </c>
      <c r="W1279" s="50"/>
      <c r="X1279" s="50"/>
      <c r="Y1279" s="50"/>
      <c r="Z1279" s="50"/>
      <c r="AA1279" s="50"/>
    </row>
    <row r="1280" spans="1:27" ht="25.5" customHeight="1">
      <c r="A1280" s="517" t="s">
        <v>2286</v>
      </c>
      <c r="B1280" s="51" t="s">
        <v>1653</v>
      </c>
      <c r="C1280" s="51" t="s">
        <v>143</v>
      </c>
      <c r="D1280" s="51" t="s">
        <v>4831</v>
      </c>
      <c r="E1280" s="50">
        <v>1611</v>
      </c>
      <c r="F1280" s="50">
        <v>1788</v>
      </c>
      <c r="G1280" s="50" t="s">
        <v>3955</v>
      </c>
      <c r="H1280" s="50"/>
      <c r="I1280" s="105"/>
      <c r="J1280" s="50"/>
      <c r="K1280" s="50" t="s">
        <v>28</v>
      </c>
      <c r="L1280" s="50" t="s">
        <v>2289</v>
      </c>
      <c r="M1280" s="50" t="s">
        <v>212</v>
      </c>
      <c r="N1280" s="50"/>
      <c r="O1280" s="50"/>
      <c r="P1280" s="50"/>
      <c r="Q1280" s="50"/>
      <c r="R1280" s="50"/>
      <c r="S1280" s="50" t="str">
        <f t="shared" si="120"/>
        <v/>
      </c>
      <c r="T1280" s="50" t="str">
        <f t="shared" si="122"/>
        <v/>
      </c>
      <c r="U1280" s="50" t="str">
        <f t="shared" si="123"/>
        <v/>
      </c>
      <c r="V1280" s="50" t="str">
        <f t="shared" si="121"/>
        <v/>
      </c>
      <c r="W1280" s="50"/>
      <c r="X1280" s="50"/>
      <c r="Y1280" s="50"/>
      <c r="Z1280" s="50"/>
      <c r="AA1280" s="50"/>
    </row>
    <row r="1281" spans="1:27" ht="25.5" customHeight="1">
      <c r="A1281" s="517" t="s">
        <v>2286</v>
      </c>
      <c r="B1281" s="51" t="s">
        <v>1653</v>
      </c>
      <c r="C1281" s="51" t="s">
        <v>143</v>
      </c>
      <c r="D1281" s="51" t="s">
        <v>4832</v>
      </c>
      <c r="E1281" s="50">
        <v>9608</v>
      </c>
      <c r="F1281" s="50">
        <v>11240</v>
      </c>
      <c r="G1281" s="50" t="s">
        <v>3955</v>
      </c>
      <c r="H1281" s="50"/>
      <c r="I1281" s="105"/>
      <c r="J1281" s="50"/>
      <c r="K1281" s="50" t="s">
        <v>28</v>
      </c>
      <c r="L1281" s="50" t="s">
        <v>2289</v>
      </c>
      <c r="M1281" s="50" t="s">
        <v>212</v>
      </c>
      <c r="N1281" s="50"/>
      <c r="O1281" s="50"/>
      <c r="P1281" s="50"/>
      <c r="Q1281" s="50"/>
      <c r="R1281" s="50"/>
      <c r="S1281" s="50" t="str">
        <f t="shared" si="120"/>
        <v/>
      </c>
      <c r="T1281" s="50" t="str">
        <f t="shared" si="122"/>
        <v/>
      </c>
      <c r="U1281" s="50" t="str">
        <f t="shared" si="123"/>
        <v/>
      </c>
      <c r="V1281" s="50" t="str">
        <f t="shared" si="121"/>
        <v/>
      </c>
      <c r="W1281" s="50"/>
      <c r="X1281" s="50"/>
      <c r="Y1281" s="50"/>
      <c r="Z1281" s="50"/>
      <c r="AA1281" s="50"/>
    </row>
    <row r="1282" spans="1:27" s="110" customFormat="1" ht="25.5" customHeight="1">
      <c r="A1282" s="517" t="s">
        <v>2286</v>
      </c>
      <c r="B1282" s="51" t="s">
        <v>1653</v>
      </c>
      <c r="C1282" s="51" t="s">
        <v>143</v>
      </c>
      <c r="D1282" s="51" t="s">
        <v>4833</v>
      </c>
      <c r="E1282" s="50">
        <v>1788</v>
      </c>
      <c r="F1282" s="50">
        <v>1834</v>
      </c>
      <c r="G1282" s="50" t="s">
        <v>3955</v>
      </c>
      <c r="H1282" s="50"/>
      <c r="I1282" s="105"/>
      <c r="J1282" s="50"/>
      <c r="K1282" s="50" t="s">
        <v>28</v>
      </c>
      <c r="L1282" s="50" t="s">
        <v>2289</v>
      </c>
      <c r="M1282" s="50" t="s">
        <v>212</v>
      </c>
      <c r="N1282" s="50"/>
      <c r="O1282" s="50"/>
      <c r="P1282" s="50"/>
      <c r="Q1282" s="50"/>
      <c r="R1282" s="50"/>
      <c r="S1282" s="50" t="str">
        <f t="shared" si="120"/>
        <v/>
      </c>
      <c r="T1282" s="50" t="str">
        <f t="shared" si="122"/>
        <v/>
      </c>
      <c r="U1282" s="50" t="str">
        <f t="shared" si="123"/>
        <v/>
      </c>
      <c r="V1282" s="50" t="str">
        <f t="shared" si="121"/>
        <v/>
      </c>
      <c r="W1282" s="50"/>
      <c r="X1282" s="50"/>
      <c r="Y1282" s="50"/>
      <c r="Z1282" s="50"/>
      <c r="AA1282" s="50"/>
    </row>
    <row r="1283" spans="1:27" ht="25.5" customHeight="1">
      <c r="A1283" s="517" t="s">
        <v>2286</v>
      </c>
      <c r="B1283" s="51" t="s">
        <v>1653</v>
      </c>
      <c r="C1283" s="51" t="s">
        <v>143</v>
      </c>
      <c r="D1283" s="51" t="s">
        <v>3767</v>
      </c>
      <c r="E1283" s="50">
        <v>4015</v>
      </c>
      <c r="F1283" s="50">
        <v>5081</v>
      </c>
      <c r="G1283" s="50" t="s">
        <v>3955</v>
      </c>
      <c r="H1283" s="50"/>
      <c r="I1283" s="105"/>
      <c r="J1283" s="50"/>
      <c r="K1283" s="50" t="s">
        <v>28</v>
      </c>
      <c r="L1283" s="50" t="s">
        <v>2289</v>
      </c>
      <c r="M1283" s="50" t="s">
        <v>212</v>
      </c>
      <c r="N1283" s="50"/>
      <c r="O1283" s="50"/>
      <c r="P1283" s="50"/>
      <c r="Q1283" s="50"/>
      <c r="R1283" s="50"/>
      <c r="S1283" s="50" t="str">
        <f t="shared" si="120"/>
        <v/>
      </c>
      <c r="T1283" s="50" t="str">
        <f t="shared" si="122"/>
        <v/>
      </c>
      <c r="U1283" s="50" t="str">
        <f t="shared" si="123"/>
        <v/>
      </c>
      <c r="V1283" s="50" t="str">
        <f t="shared" si="121"/>
        <v/>
      </c>
      <c r="W1283" s="50"/>
      <c r="X1283" s="50"/>
      <c r="Y1283" s="50"/>
      <c r="Z1283" s="50"/>
      <c r="AA1283" s="50"/>
    </row>
    <row r="1284" spans="1:27" ht="25.5" customHeight="1">
      <c r="A1284" s="517" t="s">
        <v>2286</v>
      </c>
      <c r="B1284" s="51" t="s">
        <v>1255</v>
      </c>
      <c r="C1284" s="51" t="s">
        <v>143</v>
      </c>
      <c r="D1284" s="51" t="s">
        <v>4834</v>
      </c>
      <c r="E1284" s="50">
        <v>1842</v>
      </c>
      <c r="F1284" s="50">
        <v>1929</v>
      </c>
      <c r="G1284" s="50" t="s">
        <v>3404</v>
      </c>
      <c r="H1284" s="50">
        <v>2025</v>
      </c>
      <c r="I1284" s="132">
        <v>45909</v>
      </c>
      <c r="J1284" s="50" t="s">
        <v>3127</v>
      </c>
      <c r="K1284" s="50" t="s">
        <v>29</v>
      </c>
      <c r="L1284" s="50" t="s">
        <v>2289</v>
      </c>
      <c r="M1284" s="50" t="s">
        <v>212</v>
      </c>
      <c r="N1284" s="50" t="s">
        <v>4835</v>
      </c>
      <c r="O1284" s="60">
        <v>45918</v>
      </c>
      <c r="P1284" s="60">
        <v>45919</v>
      </c>
      <c r="Q1284" s="60">
        <v>45919</v>
      </c>
      <c r="R1284" s="60">
        <v>45919</v>
      </c>
      <c r="S1284" s="50">
        <f t="shared" si="120"/>
        <v>7</v>
      </c>
      <c r="T1284" s="50">
        <f t="shared" si="122"/>
        <v>1</v>
      </c>
      <c r="U1284" s="50">
        <f t="shared" si="123"/>
        <v>1</v>
      </c>
      <c r="V1284" s="50">
        <f t="shared" si="121"/>
        <v>1</v>
      </c>
      <c r="W1284" s="50" t="s">
        <v>150</v>
      </c>
      <c r="X1284" s="50" t="s">
        <v>1078</v>
      </c>
      <c r="Y1284" s="50" t="s">
        <v>50</v>
      </c>
      <c r="Z1284" s="50" t="s">
        <v>3406</v>
      </c>
      <c r="AA1284" s="50"/>
    </row>
    <row r="1285" spans="1:27" ht="25.5" customHeight="1">
      <c r="A1285" s="517" t="s">
        <v>2286</v>
      </c>
      <c r="B1285" s="51" t="s">
        <v>1255</v>
      </c>
      <c r="C1285" s="51" t="s">
        <v>143</v>
      </c>
      <c r="D1285" s="51" t="s">
        <v>4836</v>
      </c>
      <c r="E1285" s="50">
        <v>292</v>
      </c>
      <c r="F1285" s="50">
        <v>352</v>
      </c>
      <c r="G1285" s="50" t="s">
        <v>3955</v>
      </c>
      <c r="H1285" s="50"/>
      <c r="I1285" s="105"/>
      <c r="J1285" s="50"/>
      <c r="K1285" s="50" t="s">
        <v>29</v>
      </c>
      <c r="L1285" s="50" t="s">
        <v>2289</v>
      </c>
      <c r="M1285" s="50" t="s">
        <v>212</v>
      </c>
      <c r="N1285" s="50"/>
      <c r="O1285" s="50"/>
      <c r="P1285" s="50"/>
      <c r="Q1285" s="50"/>
      <c r="R1285" s="50"/>
      <c r="S1285" s="50" t="str">
        <f t="shared" si="120"/>
        <v/>
      </c>
      <c r="T1285" s="50" t="str">
        <f t="shared" si="122"/>
        <v/>
      </c>
      <c r="U1285" s="50" t="str">
        <f t="shared" si="123"/>
        <v/>
      </c>
      <c r="V1285" s="50" t="str">
        <f t="shared" si="121"/>
        <v/>
      </c>
      <c r="W1285" s="50"/>
      <c r="X1285" s="50"/>
      <c r="Y1285" s="50"/>
      <c r="Z1285" s="50"/>
      <c r="AA1285" s="50"/>
    </row>
    <row r="1286" spans="1:27" ht="25.5" customHeight="1">
      <c r="A1286" s="517" t="s">
        <v>2286</v>
      </c>
      <c r="B1286" s="51" t="s">
        <v>1255</v>
      </c>
      <c r="C1286" s="51" t="s">
        <v>143</v>
      </c>
      <c r="D1286" s="51" t="s">
        <v>4837</v>
      </c>
      <c r="E1286" s="50">
        <v>643</v>
      </c>
      <c r="F1286" s="50">
        <v>663</v>
      </c>
      <c r="G1286" s="50" t="s">
        <v>3404</v>
      </c>
      <c r="H1286" s="50">
        <v>2024</v>
      </c>
      <c r="I1286" s="132">
        <v>45561</v>
      </c>
      <c r="J1286" s="50"/>
      <c r="K1286" s="50" t="s">
        <v>29</v>
      </c>
      <c r="L1286" s="50" t="s">
        <v>2289</v>
      </c>
      <c r="M1286" s="50" t="s">
        <v>212</v>
      </c>
      <c r="N1286" s="50"/>
      <c r="O1286" s="50"/>
      <c r="P1286" s="50"/>
      <c r="Q1286" s="50"/>
      <c r="R1286" s="50"/>
      <c r="S1286" s="50" t="str">
        <f t="shared" si="120"/>
        <v/>
      </c>
      <c r="T1286" s="50" t="str">
        <f t="shared" si="122"/>
        <v/>
      </c>
      <c r="U1286" s="50" t="str">
        <f t="shared" si="123"/>
        <v/>
      </c>
      <c r="V1286" s="50" t="str">
        <f t="shared" si="121"/>
        <v/>
      </c>
      <c r="W1286" s="50"/>
      <c r="X1286" s="50" t="s">
        <v>4</v>
      </c>
      <c r="Y1286" s="50" t="s">
        <v>50</v>
      </c>
      <c r="Z1286" s="50" t="s">
        <v>3406</v>
      </c>
      <c r="AA1286" s="50"/>
    </row>
    <row r="1287" spans="1:27" ht="25.5" customHeight="1">
      <c r="A1287" s="517" t="s">
        <v>2286</v>
      </c>
      <c r="B1287" s="51" t="s">
        <v>1255</v>
      </c>
      <c r="C1287" s="51" t="s">
        <v>143</v>
      </c>
      <c r="D1287" s="51" t="s">
        <v>4838</v>
      </c>
      <c r="E1287" s="50">
        <v>2757</v>
      </c>
      <c r="F1287" s="50">
        <v>2773</v>
      </c>
      <c r="G1287" s="50" t="s">
        <v>3955</v>
      </c>
      <c r="H1287" s="50"/>
      <c r="I1287" s="105"/>
      <c r="J1287" s="50"/>
      <c r="K1287" s="50" t="s">
        <v>29</v>
      </c>
      <c r="L1287" s="50" t="s">
        <v>2289</v>
      </c>
      <c r="M1287" s="50" t="s">
        <v>212</v>
      </c>
      <c r="N1287" s="50"/>
      <c r="O1287" s="50"/>
      <c r="P1287" s="50"/>
      <c r="Q1287" s="50"/>
      <c r="R1287" s="50"/>
      <c r="S1287" s="50" t="str">
        <f t="shared" ref="S1287:S1350" si="124">IF(
    OR(ISBLANK(I1287), ISBLANK(O1287)),
    "",
    MAX(1, IF(
        NETWORKDAYS(I1287, O1287) &lt;= 0,
        1,
        NETWORKDAYS(I1287, O1287) - IF(I1287 = O1287, 0, 1)
    ))
)</f>
        <v/>
      </c>
      <c r="T1287" s="50" t="str">
        <f t="shared" si="122"/>
        <v/>
      </c>
      <c r="U1287" s="50" t="str">
        <f t="shared" si="123"/>
        <v/>
      </c>
      <c r="V1287" s="50" t="str">
        <f t="shared" si="121"/>
        <v/>
      </c>
      <c r="W1287" s="50"/>
      <c r="X1287" s="50"/>
      <c r="Y1287" s="50"/>
      <c r="Z1287" s="50"/>
      <c r="AA1287" s="50"/>
    </row>
    <row r="1288" spans="1:27" ht="25.5" customHeight="1">
      <c r="A1288" s="517" t="s">
        <v>2286</v>
      </c>
      <c r="B1288" s="51" t="s">
        <v>1255</v>
      </c>
      <c r="C1288" s="51" t="s">
        <v>143</v>
      </c>
      <c r="D1288" s="51" t="s">
        <v>4303</v>
      </c>
      <c r="E1288" s="50">
        <v>1157</v>
      </c>
      <c r="F1288" s="50">
        <v>1239</v>
      </c>
      <c r="G1288" s="50" t="s">
        <v>3404</v>
      </c>
      <c r="H1288" s="50">
        <v>2025</v>
      </c>
      <c r="I1288" s="132">
        <v>45876</v>
      </c>
      <c r="J1288" s="50" t="s">
        <v>3126</v>
      </c>
      <c r="K1288" s="50" t="s">
        <v>29</v>
      </c>
      <c r="L1288" s="50" t="s">
        <v>28</v>
      </c>
      <c r="M1288" s="50" t="s">
        <v>212</v>
      </c>
      <c r="N1288" s="50" t="s">
        <v>4839</v>
      </c>
      <c r="O1288" s="60">
        <v>45887</v>
      </c>
      <c r="P1288" s="60">
        <v>45887</v>
      </c>
      <c r="Q1288" s="60">
        <v>45888</v>
      </c>
      <c r="R1288" s="60">
        <v>45888</v>
      </c>
      <c r="S1288" s="50">
        <f t="shared" si="124"/>
        <v>7</v>
      </c>
      <c r="T1288" s="50">
        <f t="shared" si="122"/>
        <v>1</v>
      </c>
      <c r="U1288" s="50">
        <f t="shared" si="123"/>
        <v>1</v>
      </c>
      <c r="V1288" s="50">
        <f t="shared" si="121"/>
        <v>1</v>
      </c>
      <c r="W1288" s="50" t="s">
        <v>150</v>
      </c>
      <c r="X1288" s="50" t="s">
        <v>1078</v>
      </c>
      <c r="Y1288" s="50" t="s">
        <v>50</v>
      </c>
      <c r="Z1288" s="50" t="s">
        <v>3406</v>
      </c>
      <c r="AA1288" s="50"/>
    </row>
    <row r="1289" spans="1:27" s="110" customFormat="1" ht="25.5" customHeight="1">
      <c r="A1289" s="517" t="s">
        <v>2286</v>
      </c>
      <c r="B1289" s="51" t="s">
        <v>1255</v>
      </c>
      <c r="C1289" s="51" t="s">
        <v>143</v>
      </c>
      <c r="D1289" s="51" t="s">
        <v>4840</v>
      </c>
      <c r="E1289" s="50">
        <v>606</v>
      </c>
      <c r="F1289" s="50">
        <v>575</v>
      </c>
      <c r="G1289" s="50" t="s">
        <v>3404</v>
      </c>
      <c r="H1289" s="50">
        <v>2025</v>
      </c>
      <c r="I1289" s="132">
        <v>45729</v>
      </c>
      <c r="J1289" s="50" t="s">
        <v>3416</v>
      </c>
      <c r="K1289" s="50" t="s">
        <v>29</v>
      </c>
      <c r="L1289" s="50" t="s">
        <v>2289</v>
      </c>
      <c r="M1289" s="50" t="s">
        <v>212</v>
      </c>
      <c r="N1289" s="50" t="s">
        <v>4841</v>
      </c>
      <c r="O1289" s="60">
        <v>45734</v>
      </c>
      <c r="P1289" s="60">
        <v>45734</v>
      </c>
      <c r="Q1289" s="60">
        <v>45734</v>
      </c>
      <c r="R1289" s="60">
        <v>45735</v>
      </c>
      <c r="S1289" s="50">
        <f t="shared" si="124"/>
        <v>3</v>
      </c>
      <c r="T1289" s="50">
        <f t="shared" si="122"/>
        <v>1</v>
      </c>
      <c r="U1289" s="50">
        <f t="shared" si="123"/>
        <v>1</v>
      </c>
      <c r="V1289" s="50">
        <f t="shared" si="121"/>
        <v>1</v>
      </c>
      <c r="W1289" s="50" t="s">
        <v>150</v>
      </c>
      <c r="X1289" s="50" t="s">
        <v>1078</v>
      </c>
      <c r="Y1289" s="50" t="s">
        <v>50</v>
      </c>
      <c r="Z1289" s="50" t="s">
        <v>3406</v>
      </c>
      <c r="AA1289" s="50"/>
    </row>
    <row r="1290" spans="1:27" ht="25.5" customHeight="1">
      <c r="A1290" s="517" t="s">
        <v>2286</v>
      </c>
      <c r="B1290" s="51" t="s">
        <v>1255</v>
      </c>
      <c r="C1290" s="51" t="s">
        <v>143</v>
      </c>
      <c r="D1290" s="51" t="s">
        <v>4842</v>
      </c>
      <c r="E1290" s="50">
        <v>1779</v>
      </c>
      <c r="F1290" s="50">
        <v>1945</v>
      </c>
      <c r="G1290" s="50" t="s">
        <v>3955</v>
      </c>
      <c r="H1290" s="50"/>
      <c r="I1290" s="105"/>
      <c r="J1290" s="50"/>
      <c r="K1290" s="50" t="s">
        <v>29</v>
      </c>
      <c r="L1290" s="50" t="s">
        <v>2289</v>
      </c>
      <c r="M1290" s="50" t="s">
        <v>212</v>
      </c>
      <c r="N1290" s="50"/>
      <c r="O1290" s="50"/>
      <c r="P1290" s="50"/>
      <c r="Q1290" s="50"/>
      <c r="R1290" s="50"/>
      <c r="S1290" s="50" t="str">
        <f t="shared" si="124"/>
        <v/>
      </c>
      <c r="T1290" s="50" t="str">
        <f t="shared" si="122"/>
        <v/>
      </c>
      <c r="U1290" s="50" t="str">
        <f t="shared" si="123"/>
        <v/>
      </c>
      <c r="V1290" s="50" t="str">
        <f t="shared" si="121"/>
        <v/>
      </c>
      <c r="W1290" s="50"/>
      <c r="X1290" s="50"/>
      <c r="Y1290" s="50"/>
      <c r="Z1290" s="50"/>
      <c r="AA1290" s="50"/>
    </row>
    <row r="1291" spans="1:27" ht="25.5" customHeight="1">
      <c r="A1291" s="517" t="s">
        <v>2286</v>
      </c>
      <c r="B1291" s="51" t="s">
        <v>1255</v>
      </c>
      <c r="C1291" s="51" t="s">
        <v>143</v>
      </c>
      <c r="D1291" s="51" t="s">
        <v>4843</v>
      </c>
      <c r="E1291" s="50">
        <v>677</v>
      </c>
      <c r="F1291" s="50">
        <v>709</v>
      </c>
      <c r="G1291" s="50" t="s">
        <v>3955</v>
      </c>
      <c r="H1291" s="50"/>
      <c r="I1291" s="105"/>
      <c r="J1291" s="50"/>
      <c r="K1291" s="50" t="s">
        <v>29</v>
      </c>
      <c r="L1291" s="50" t="s">
        <v>2289</v>
      </c>
      <c r="M1291" s="50" t="s">
        <v>212</v>
      </c>
      <c r="N1291" s="50"/>
      <c r="O1291" s="50"/>
      <c r="P1291" s="50"/>
      <c r="Q1291" s="50"/>
      <c r="R1291" s="50"/>
      <c r="S1291" s="50" t="str">
        <f t="shared" si="124"/>
        <v/>
      </c>
      <c r="T1291" s="50" t="str">
        <f t="shared" si="122"/>
        <v/>
      </c>
      <c r="U1291" s="50" t="str">
        <f t="shared" si="123"/>
        <v/>
      </c>
      <c r="V1291" s="50" t="str">
        <f t="shared" si="121"/>
        <v/>
      </c>
      <c r="W1291" s="50"/>
      <c r="X1291" s="50"/>
      <c r="Y1291" s="50"/>
      <c r="Z1291" s="50"/>
      <c r="AA1291" s="50"/>
    </row>
    <row r="1292" spans="1:27" ht="25.5" customHeight="1">
      <c r="A1292" s="517" t="s">
        <v>2286</v>
      </c>
      <c r="B1292" s="51" t="s">
        <v>1255</v>
      </c>
      <c r="C1292" s="51" t="s">
        <v>143</v>
      </c>
      <c r="D1292" s="51" t="s">
        <v>4844</v>
      </c>
      <c r="E1292" s="50">
        <v>1498</v>
      </c>
      <c r="F1292" s="50">
        <v>1407</v>
      </c>
      <c r="G1292" s="50" t="s">
        <v>3404</v>
      </c>
      <c r="H1292" s="50">
        <v>2025</v>
      </c>
      <c r="I1292" s="132">
        <v>45762</v>
      </c>
      <c r="J1292" s="50" t="s">
        <v>3470</v>
      </c>
      <c r="K1292" s="50" t="s">
        <v>29</v>
      </c>
      <c r="L1292" s="50" t="s">
        <v>28</v>
      </c>
      <c r="M1292" s="50" t="s">
        <v>212</v>
      </c>
      <c r="N1292" s="50" t="s">
        <v>4845</v>
      </c>
      <c r="O1292" s="60">
        <v>45768</v>
      </c>
      <c r="P1292" s="60">
        <v>45769</v>
      </c>
      <c r="Q1292" s="60">
        <v>45769</v>
      </c>
      <c r="R1292" s="60">
        <v>45769</v>
      </c>
      <c r="S1292" s="50">
        <f t="shared" si="124"/>
        <v>4</v>
      </c>
      <c r="T1292" s="50">
        <f t="shared" si="122"/>
        <v>1</v>
      </c>
      <c r="U1292" s="50">
        <f t="shared" si="123"/>
        <v>1</v>
      </c>
      <c r="V1292" s="50">
        <f t="shared" si="121"/>
        <v>1</v>
      </c>
      <c r="W1292" s="50" t="s">
        <v>150</v>
      </c>
      <c r="X1292" s="50" t="s">
        <v>1078</v>
      </c>
      <c r="Y1292" s="50" t="s">
        <v>50</v>
      </c>
      <c r="Z1292" s="50" t="s">
        <v>3406</v>
      </c>
      <c r="AA1292" s="50"/>
    </row>
    <row r="1293" spans="1:27" ht="25.5" customHeight="1">
      <c r="A1293" s="517" t="s">
        <v>2286</v>
      </c>
      <c r="B1293" s="51" t="s">
        <v>1255</v>
      </c>
      <c r="C1293" s="51" t="s">
        <v>143</v>
      </c>
      <c r="D1293" s="51" t="s">
        <v>4535</v>
      </c>
      <c r="E1293" s="50">
        <v>3361</v>
      </c>
      <c r="F1293" s="50">
        <v>4396</v>
      </c>
      <c r="G1293" s="50" t="s">
        <v>3404</v>
      </c>
      <c r="H1293" s="50">
        <v>2024</v>
      </c>
      <c r="I1293" s="132">
        <v>45393</v>
      </c>
      <c r="J1293" s="50"/>
      <c r="K1293" s="50" t="s">
        <v>29</v>
      </c>
      <c r="L1293" s="50" t="s">
        <v>2289</v>
      </c>
      <c r="M1293" s="50" t="s">
        <v>212</v>
      </c>
      <c r="N1293" s="50"/>
      <c r="O1293" s="50"/>
      <c r="P1293" s="50"/>
      <c r="Q1293" s="50"/>
      <c r="R1293" s="50"/>
      <c r="S1293" s="50" t="str">
        <f t="shared" si="124"/>
        <v/>
      </c>
      <c r="T1293" s="50" t="str">
        <f t="shared" si="122"/>
        <v/>
      </c>
      <c r="U1293" s="50" t="str">
        <f t="shared" si="123"/>
        <v/>
      </c>
      <c r="V1293" s="50" t="str">
        <f t="shared" si="121"/>
        <v/>
      </c>
      <c r="W1293" s="50"/>
      <c r="X1293" s="50"/>
      <c r="Y1293" s="50"/>
      <c r="Z1293" s="50" t="s">
        <v>3406</v>
      </c>
      <c r="AA1293" s="50"/>
    </row>
    <row r="1294" spans="1:27" ht="25.5" customHeight="1">
      <c r="A1294" s="517" t="s">
        <v>2286</v>
      </c>
      <c r="B1294" s="51" t="s">
        <v>1255</v>
      </c>
      <c r="C1294" s="51" t="s">
        <v>143</v>
      </c>
      <c r="D1294" s="51" t="s">
        <v>4846</v>
      </c>
      <c r="E1294" s="50">
        <v>496</v>
      </c>
      <c r="F1294" s="50">
        <v>557</v>
      </c>
      <c r="G1294" s="50" t="s">
        <v>3955</v>
      </c>
      <c r="H1294" s="50"/>
      <c r="I1294" s="105"/>
      <c r="J1294" s="50"/>
      <c r="K1294" s="50" t="s">
        <v>29</v>
      </c>
      <c r="L1294" s="50" t="s">
        <v>2289</v>
      </c>
      <c r="M1294" s="50" t="s">
        <v>212</v>
      </c>
      <c r="N1294" s="50"/>
      <c r="O1294" s="50"/>
      <c r="P1294" s="50"/>
      <c r="Q1294" s="50"/>
      <c r="R1294" s="50"/>
      <c r="S1294" s="50" t="str">
        <f t="shared" si="124"/>
        <v/>
      </c>
      <c r="T1294" s="50" t="str">
        <f t="shared" si="122"/>
        <v/>
      </c>
      <c r="U1294" s="50" t="str">
        <f t="shared" si="123"/>
        <v/>
      </c>
      <c r="V1294" s="50" t="str">
        <f t="shared" si="121"/>
        <v/>
      </c>
      <c r="W1294" s="50"/>
      <c r="X1294" s="50"/>
      <c r="Y1294" s="50"/>
      <c r="Z1294" s="50"/>
      <c r="AA1294" s="50"/>
    </row>
    <row r="1295" spans="1:27" ht="25.5" customHeight="1">
      <c r="A1295" s="517" t="s">
        <v>2286</v>
      </c>
      <c r="B1295" s="51" t="s">
        <v>1255</v>
      </c>
      <c r="C1295" s="51" t="s">
        <v>143</v>
      </c>
      <c r="D1295" s="51" t="s">
        <v>4847</v>
      </c>
      <c r="E1295" s="50">
        <v>3364</v>
      </c>
      <c r="F1295" s="50">
        <v>3612</v>
      </c>
      <c r="G1295" s="50" t="s">
        <v>3404</v>
      </c>
      <c r="H1295" s="50">
        <v>2025</v>
      </c>
      <c r="I1295" s="132">
        <v>45770</v>
      </c>
      <c r="J1295" s="50" t="s">
        <v>3532</v>
      </c>
      <c r="K1295" s="50" t="s">
        <v>29</v>
      </c>
      <c r="L1295" s="50" t="s">
        <v>2289</v>
      </c>
      <c r="M1295" s="50" t="s">
        <v>212</v>
      </c>
      <c r="N1295" s="50" t="s">
        <v>4848</v>
      </c>
      <c r="O1295" s="60">
        <v>45770</v>
      </c>
      <c r="P1295" s="60">
        <v>45779</v>
      </c>
      <c r="Q1295" s="60">
        <v>45782</v>
      </c>
      <c r="R1295" s="60">
        <v>45761</v>
      </c>
      <c r="S1295" s="50">
        <f t="shared" si="124"/>
        <v>1</v>
      </c>
      <c r="T1295" s="50">
        <f t="shared" si="122"/>
        <v>7</v>
      </c>
      <c r="U1295" s="50">
        <f t="shared" si="123"/>
        <v>1</v>
      </c>
      <c r="V1295" s="50">
        <f t="shared" si="121"/>
        <v>1</v>
      </c>
      <c r="W1295" s="50" t="s">
        <v>150</v>
      </c>
      <c r="X1295" s="50" t="s">
        <v>1078</v>
      </c>
      <c r="Y1295" s="50" t="s">
        <v>50</v>
      </c>
      <c r="Z1295" s="50" t="s">
        <v>3406</v>
      </c>
      <c r="AA1295" s="50"/>
    </row>
    <row r="1296" spans="1:27" ht="25.5" customHeight="1">
      <c r="A1296" s="517" t="s">
        <v>2286</v>
      </c>
      <c r="B1296" s="51" t="s">
        <v>1255</v>
      </c>
      <c r="C1296" s="51" t="s">
        <v>143</v>
      </c>
      <c r="D1296" s="51" t="s">
        <v>4728</v>
      </c>
      <c r="E1296" s="50">
        <v>1905</v>
      </c>
      <c r="F1296" s="50">
        <v>2234</v>
      </c>
      <c r="G1296" s="50" t="s">
        <v>3955</v>
      </c>
      <c r="H1296" s="50"/>
      <c r="I1296" s="105"/>
      <c r="J1296" s="50"/>
      <c r="K1296" s="50" t="s">
        <v>29</v>
      </c>
      <c r="L1296" s="50" t="s">
        <v>2289</v>
      </c>
      <c r="M1296" s="50" t="s">
        <v>212</v>
      </c>
      <c r="N1296" s="50"/>
      <c r="O1296" s="50"/>
      <c r="P1296" s="50"/>
      <c r="Q1296" s="50"/>
      <c r="R1296" s="50"/>
      <c r="S1296" s="50" t="str">
        <f t="shared" si="124"/>
        <v/>
      </c>
      <c r="T1296" s="50" t="str">
        <f t="shared" si="122"/>
        <v/>
      </c>
      <c r="U1296" s="50" t="str">
        <f t="shared" si="123"/>
        <v/>
      </c>
      <c r="V1296" s="50" t="str">
        <f t="shared" si="121"/>
        <v/>
      </c>
      <c r="W1296" s="50"/>
      <c r="X1296" s="50"/>
      <c r="Y1296" s="50"/>
      <c r="Z1296" s="50"/>
      <c r="AA1296" s="50"/>
    </row>
    <row r="1297" spans="1:27" ht="25.5" customHeight="1">
      <c r="A1297" s="517" t="s">
        <v>2286</v>
      </c>
      <c r="B1297" s="51" t="s">
        <v>1255</v>
      </c>
      <c r="C1297" s="51" t="s">
        <v>143</v>
      </c>
      <c r="D1297" s="51" t="s">
        <v>4849</v>
      </c>
      <c r="E1297" s="50">
        <v>1650</v>
      </c>
      <c r="F1297" s="50">
        <v>1830</v>
      </c>
      <c r="G1297" s="50" t="s">
        <v>3404</v>
      </c>
      <c r="H1297" s="50">
        <v>2025</v>
      </c>
      <c r="I1297" s="132">
        <v>45708</v>
      </c>
      <c r="J1297" s="50" t="s">
        <v>3416</v>
      </c>
      <c r="K1297" s="50" t="s">
        <v>29</v>
      </c>
      <c r="L1297" s="50" t="s">
        <v>2289</v>
      </c>
      <c r="M1297" s="50" t="s">
        <v>212</v>
      </c>
      <c r="N1297" s="50" t="s">
        <v>4850</v>
      </c>
      <c r="O1297" s="60">
        <v>45713</v>
      </c>
      <c r="P1297" s="60">
        <v>45713</v>
      </c>
      <c r="Q1297" s="60">
        <v>45714</v>
      </c>
      <c r="R1297" s="60">
        <v>45719</v>
      </c>
      <c r="S1297" s="50">
        <f t="shared" si="124"/>
        <v>3</v>
      </c>
      <c r="T1297" s="50">
        <f t="shared" si="122"/>
        <v>1</v>
      </c>
      <c r="U1297" s="50">
        <f t="shared" si="123"/>
        <v>1</v>
      </c>
      <c r="V1297" s="50">
        <f t="shared" si="121"/>
        <v>3</v>
      </c>
      <c r="W1297" s="50" t="s">
        <v>150</v>
      </c>
      <c r="X1297" s="50" t="s">
        <v>1078</v>
      </c>
      <c r="Y1297" s="50" t="s">
        <v>50</v>
      </c>
      <c r="Z1297" s="50" t="s">
        <v>3406</v>
      </c>
      <c r="AA1297" s="50"/>
    </row>
    <row r="1298" spans="1:27" ht="25.5" customHeight="1">
      <c r="A1298" s="517" t="s">
        <v>2286</v>
      </c>
      <c r="B1298" s="51" t="s">
        <v>1255</v>
      </c>
      <c r="C1298" s="51" t="s">
        <v>143</v>
      </c>
      <c r="D1298" s="51" t="s">
        <v>4851</v>
      </c>
      <c r="E1298" s="50">
        <v>1186</v>
      </c>
      <c r="F1298" s="50">
        <v>871</v>
      </c>
      <c r="G1298" s="50" t="s">
        <v>3955</v>
      </c>
      <c r="H1298" s="50"/>
      <c r="I1298" s="105"/>
      <c r="J1298" s="50"/>
      <c r="K1298" s="50" t="s">
        <v>29</v>
      </c>
      <c r="L1298" s="50" t="s">
        <v>2289</v>
      </c>
      <c r="M1298" s="50" t="s">
        <v>212</v>
      </c>
      <c r="N1298" s="50"/>
      <c r="O1298" s="50"/>
      <c r="P1298" s="50"/>
      <c r="Q1298" s="50"/>
      <c r="R1298" s="60"/>
      <c r="S1298" s="50" t="str">
        <f t="shared" si="124"/>
        <v/>
      </c>
      <c r="T1298" s="50" t="str">
        <f t="shared" si="122"/>
        <v/>
      </c>
      <c r="U1298" s="50" t="str">
        <f t="shared" si="123"/>
        <v/>
      </c>
      <c r="V1298" s="50" t="str">
        <f t="shared" si="121"/>
        <v/>
      </c>
      <c r="W1298" s="50"/>
      <c r="X1298" s="50"/>
      <c r="Y1298" s="50"/>
      <c r="Z1298" s="50"/>
      <c r="AA1298" s="50"/>
    </row>
    <row r="1299" spans="1:27" ht="25.5" customHeight="1">
      <c r="A1299" s="517" t="s">
        <v>2286</v>
      </c>
      <c r="B1299" s="51" t="s">
        <v>1255</v>
      </c>
      <c r="C1299" s="51" t="s">
        <v>143</v>
      </c>
      <c r="D1299" s="51" t="s">
        <v>4852</v>
      </c>
      <c r="E1299" s="50">
        <v>831</v>
      </c>
      <c r="F1299" s="50">
        <v>849</v>
      </c>
      <c r="G1299" s="50" t="s">
        <v>3955</v>
      </c>
      <c r="H1299" s="50"/>
      <c r="I1299" s="105"/>
      <c r="J1299" s="50"/>
      <c r="K1299" s="50" t="s">
        <v>29</v>
      </c>
      <c r="L1299" s="50" t="s">
        <v>2289</v>
      </c>
      <c r="M1299" s="50" t="s">
        <v>212</v>
      </c>
      <c r="N1299" s="50"/>
      <c r="O1299" s="50"/>
      <c r="P1299" s="50"/>
      <c r="Q1299" s="50"/>
      <c r="R1299" s="50"/>
      <c r="S1299" s="50" t="str">
        <f t="shared" si="124"/>
        <v/>
      </c>
      <c r="T1299" s="50" t="str">
        <f t="shared" si="122"/>
        <v/>
      </c>
      <c r="U1299" s="50" t="str">
        <f t="shared" si="123"/>
        <v/>
      </c>
      <c r="V1299" s="50" t="str">
        <f t="shared" si="121"/>
        <v/>
      </c>
      <c r="W1299" s="50"/>
      <c r="X1299" s="50"/>
      <c r="Y1299" s="50"/>
      <c r="Z1299" s="50"/>
      <c r="AA1299" s="50"/>
    </row>
    <row r="1300" spans="1:27" ht="25.5" customHeight="1">
      <c r="A1300" s="517" t="s">
        <v>2286</v>
      </c>
      <c r="B1300" s="51" t="s">
        <v>1255</v>
      </c>
      <c r="C1300" s="51" t="s">
        <v>143</v>
      </c>
      <c r="D1300" s="51" t="s">
        <v>1469</v>
      </c>
      <c r="E1300" s="50">
        <v>1912</v>
      </c>
      <c r="F1300" s="50">
        <v>1983</v>
      </c>
      <c r="G1300" s="50" t="s">
        <v>3955</v>
      </c>
      <c r="H1300" s="50"/>
      <c r="I1300" s="105"/>
      <c r="J1300" s="50"/>
      <c r="K1300" s="50" t="s">
        <v>29</v>
      </c>
      <c r="L1300" s="50" t="s">
        <v>2289</v>
      </c>
      <c r="M1300" s="50" t="s">
        <v>212</v>
      </c>
      <c r="N1300" s="50"/>
      <c r="O1300" s="50"/>
      <c r="P1300" s="50"/>
      <c r="Q1300" s="50"/>
      <c r="R1300" s="50"/>
      <c r="S1300" s="50" t="str">
        <f t="shared" si="124"/>
        <v/>
      </c>
      <c r="T1300" s="50" t="str">
        <f t="shared" si="122"/>
        <v/>
      </c>
      <c r="U1300" s="50" t="str">
        <f t="shared" si="123"/>
        <v/>
      </c>
      <c r="V1300" s="50" t="str">
        <f t="shared" si="121"/>
        <v/>
      </c>
      <c r="W1300" s="50"/>
      <c r="X1300" s="50"/>
      <c r="Y1300" s="50"/>
      <c r="Z1300" s="50"/>
      <c r="AA1300" s="50"/>
    </row>
    <row r="1301" spans="1:27" ht="25.5" customHeight="1">
      <c r="A1301" s="517" t="s">
        <v>2286</v>
      </c>
      <c r="B1301" s="51" t="s">
        <v>1255</v>
      </c>
      <c r="C1301" s="51" t="s">
        <v>143</v>
      </c>
      <c r="D1301" s="51" t="s">
        <v>4853</v>
      </c>
      <c r="E1301" s="50">
        <v>557</v>
      </c>
      <c r="F1301" s="50">
        <v>573</v>
      </c>
      <c r="G1301" s="50" t="s">
        <v>3955</v>
      </c>
      <c r="H1301" s="50"/>
      <c r="I1301" s="105"/>
      <c r="J1301" s="50"/>
      <c r="K1301" s="50" t="s">
        <v>29</v>
      </c>
      <c r="L1301" s="50" t="s">
        <v>2289</v>
      </c>
      <c r="M1301" s="50" t="s">
        <v>212</v>
      </c>
      <c r="N1301" s="50"/>
      <c r="O1301" s="50"/>
      <c r="P1301" s="50"/>
      <c r="Q1301" s="50"/>
      <c r="R1301" s="50"/>
      <c r="S1301" s="50" t="str">
        <f t="shared" si="124"/>
        <v/>
      </c>
      <c r="T1301" s="50" t="str">
        <f t="shared" si="122"/>
        <v/>
      </c>
      <c r="U1301" s="50" t="str">
        <f t="shared" si="123"/>
        <v/>
      </c>
      <c r="V1301" s="50" t="str">
        <f t="shared" si="121"/>
        <v/>
      </c>
      <c r="W1301" s="50"/>
      <c r="X1301" s="50"/>
      <c r="Y1301" s="50"/>
      <c r="Z1301" s="50"/>
      <c r="AA1301" s="50"/>
    </row>
    <row r="1302" spans="1:27" ht="25.5" customHeight="1">
      <c r="A1302" s="517" t="s">
        <v>2286</v>
      </c>
      <c r="B1302" s="51" t="s">
        <v>1255</v>
      </c>
      <c r="C1302" s="51" t="s">
        <v>143</v>
      </c>
      <c r="D1302" s="51" t="s">
        <v>4854</v>
      </c>
      <c r="E1302" s="50">
        <v>1583</v>
      </c>
      <c r="F1302" s="50">
        <v>1657</v>
      </c>
      <c r="G1302" s="50" t="s">
        <v>3404</v>
      </c>
      <c r="H1302" s="50">
        <v>2025</v>
      </c>
      <c r="I1302" s="132">
        <v>45751</v>
      </c>
      <c r="J1302" s="50" t="s">
        <v>3470</v>
      </c>
      <c r="K1302" s="50" t="s">
        <v>29</v>
      </c>
      <c r="L1302" s="50" t="s">
        <v>2289</v>
      </c>
      <c r="M1302" s="50" t="s">
        <v>212</v>
      </c>
      <c r="N1302" s="50" t="s">
        <v>4855</v>
      </c>
      <c r="O1302" s="60">
        <v>45755</v>
      </c>
      <c r="P1302" s="60">
        <v>45757</v>
      </c>
      <c r="Q1302" s="60">
        <v>45757</v>
      </c>
      <c r="R1302" s="60">
        <v>45757</v>
      </c>
      <c r="S1302" s="50">
        <f t="shared" si="124"/>
        <v>2</v>
      </c>
      <c r="T1302" s="50">
        <f t="shared" si="122"/>
        <v>2</v>
      </c>
      <c r="U1302" s="50">
        <f t="shared" si="123"/>
        <v>1</v>
      </c>
      <c r="V1302" s="50">
        <f t="shared" si="121"/>
        <v>1</v>
      </c>
      <c r="W1302" s="50" t="s">
        <v>150</v>
      </c>
      <c r="X1302" s="50" t="s">
        <v>1078</v>
      </c>
      <c r="Y1302" s="50" t="s">
        <v>50</v>
      </c>
      <c r="Z1302" s="50" t="s">
        <v>3406</v>
      </c>
      <c r="AA1302" s="50"/>
    </row>
    <row r="1303" spans="1:27" ht="25.5" customHeight="1">
      <c r="A1303" s="517" t="s">
        <v>2286</v>
      </c>
      <c r="B1303" s="51" t="s">
        <v>1255</v>
      </c>
      <c r="C1303" s="51" t="s">
        <v>143</v>
      </c>
      <c r="D1303" s="51" t="s">
        <v>4856</v>
      </c>
      <c r="E1303" s="50">
        <v>1316</v>
      </c>
      <c r="F1303" s="50">
        <v>1442</v>
      </c>
      <c r="G1303" s="50" t="s">
        <v>3955</v>
      </c>
      <c r="H1303" s="50"/>
      <c r="I1303" s="105"/>
      <c r="J1303" s="50"/>
      <c r="K1303" s="50" t="s">
        <v>29</v>
      </c>
      <c r="L1303" s="50" t="s">
        <v>2289</v>
      </c>
      <c r="M1303" s="50" t="s">
        <v>212</v>
      </c>
      <c r="N1303" s="50"/>
      <c r="O1303" s="50"/>
      <c r="P1303" s="50"/>
      <c r="Q1303" s="50"/>
      <c r="R1303" s="50"/>
      <c r="S1303" s="50" t="str">
        <f t="shared" si="124"/>
        <v/>
      </c>
      <c r="T1303" s="50" t="str">
        <f t="shared" si="122"/>
        <v/>
      </c>
      <c r="U1303" s="50" t="str">
        <f t="shared" si="123"/>
        <v/>
      </c>
      <c r="V1303" s="50" t="str">
        <f t="shared" si="121"/>
        <v/>
      </c>
      <c r="W1303" s="50"/>
      <c r="X1303" s="50"/>
      <c r="Y1303" s="50"/>
      <c r="Z1303" s="50"/>
      <c r="AA1303" s="50"/>
    </row>
    <row r="1304" spans="1:27" ht="25.5" customHeight="1">
      <c r="A1304" s="517" t="s">
        <v>2286</v>
      </c>
      <c r="B1304" s="51" t="s">
        <v>1255</v>
      </c>
      <c r="C1304" s="51" t="s">
        <v>143</v>
      </c>
      <c r="D1304" s="51" t="s">
        <v>4857</v>
      </c>
      <c r="E1304" s="50">
        <v>3469</v>
      </c>
      <c r="F1304" s="50">
        <v>4069</v>
      </c>
      <c r="G1304" s="50" t="s">
        <v>3404</v>
      </c>
      <c r="H1304" s="50">
        <v>2024</v>
      </c>
      <c r="I1304" s="132">
        <v>45561</v>
      </c>
      <c r="J1304" s="50"/>
      <c r="K1304" s="50" t="s">
        <v>29</v>
      </c>
      <c r="L1304" s="50" t="s">
        <v>2289</v>
      </c>
      <c r="M1304" s="50" t="s">
        <v>212</v>
      </c>
      <c r="N1304" s="50"/>
      <c r="O1304" s="50"/>
      <c r="P1304" s="50"/>
      <c r="Q1304" s="50"/>
      <c r="R1304" s="50"/>
      <c r="S1304" s="50" t="str">
        <f t="shared" si="124"/>
        <v/>
      </c>
      <c r="T1304" s="50" t="str">
        <f t="shared" si="122"/>
        <v/>
      </c>
      <c r="U1304" s="50" t="str">
        <f t="shared" si="123"/>
        <v/>
      </c>
      <c r="V1304" s="50" t="str">
        <f t="shared" si="121"/>
        <v/>
      </c>
      <c r="W1304" s="50"/>
      <c r="X1304" s="50" t="s">
        <v>4</v>
      </c>
      <c r="Y1304" s="50" t="s">
        <v>50</v>
      </c>
      <c r="Z1304" s="50" t="s">
        <v>3406</v>
      </c>
      <c r="AA1304" s="50"/>
    </row>
    <row r="1305" spans="1:27" ht="25.5" customHeight="1">
      <c r="A1305" s="517" t="s">
        <v>2286</v>
      </c>
      <c r="B1305" s="51" t="s">
        <v>1255</v>
      </c>
      <c r="C1305" s="51" t="s">
        <v>143</v>
      </c>
      <c r="D1305" s="51" t="s">
        <v>4858</v>
      </c>
      <c r="E1305" s="50">
        <v>4028</v>
      </c>
      <c r="F1305" s="50">
        <v>4593</v>
      </c>
      <c r="G1305" s="50" t="s">
        <v>3955</v>
      </c>
      <c r="H1305" s="50"/>
      <c r="I1305" s="105"/>
      <c r="J1305" s="50"/>
      <c r="K1305" s="50" t="s">
        <v>29</v>
      </c>
      <c r="L1305" s="50" t="s">
        <v>2289</v>
      </c>
      <c r="M1305" s="50" t="s">
        <v>212</v>
      </c>
      <c r="N1305" s="50"/>
      <c r="O1305" s="50"/>
      <c r="P1305" s="50"/>
      <c r="Q1305" s="50"/>
      <c r="R1305" s="50"/>
      <c r="S1305" s="50" t="str">
        <f t="shared" si="124"/>
        <v/>
      </c>
      <c r="T1305" s="50" t="str">
        <f t="shared" si="122"/>
        <v/>
      </c>
      <c r="U1305" s="50" t="str">
        <f t="shared" si="123"/>
        <v/>
      </c>
      <c r="V1305" s="50" t="str">
        <f t="shared" ref="V1305:V1368" si="125">IF(
    OR(ISBLANK(Q1305), ISBLANK(R1305)),
    "",
    MAX(1, IF(
        NETWORKDAYS(Q1305, R1305) &lt;= 0,
        1,
        NETWORKDAYS(Q1305, R1305) - IF(Q1305 = R1305, 0, 1)
    ))
)</f>
        <v/>
      </c>
      <c r="W1305" s="50"/>
      <c r="X1305" s="50"/>
      <c r="Y1305" s="50"/>
      <c r="Z1305" s="50"/>
      <c r="AA1305" s="50"/>
    </row>
    <row r="1306" spans="1:27" ht="25.5" customHeight="1">
      <c r="A1306" s="517" t="s">
        <v>2286</v>
      </c>
      <c r="B1306" s="51" t="s">
        <v>1255</v>
      </c>
      <c r="C1306" s="51" t="s">
        <v>143</v>
      </c>
      <c r="D1306" s="51" t="s">
        <v>4859</v>
      </c>
      <c r="E1306" s="50">
        <v>829</v>
      </c>
      <c r="F1306" s="50">
        <v>846</v>
      </c>
      <c r="G1306" s="50" t="s">
        <v>3404</v>
      </c>
      <c r="H1306" s="50">
        <v>2025</v>
      </c>
      <c r="I1306" s="132">
        <v>45797</v>
      </c>
      <c r="J1306" s="50" t="s">
        <v>3689</v>
      </c>
      <c r="K1306" s="50" t="s">
        <v>29</v>
      </c>
      <c r="L1306" s="50" t="s">
        <v>2289</v>
      </c>
      <c r="M1306" s="50" t="s">
        <v>212</v>
      </c>
      <c r="N1306" s="50" t="s">
        <v>4860</v>
      </c>
      <c r="O1306" s="60">
        <v>45802</v>
      </c>
      <c r="P1306" s="60">
        <v>45803</v>
      </c>
      <c r="Q1306" s="60">
        <v>45804</v>
      </c>
      <c r="R1306" s="60">
        <v>45805</v>
      </c>
      <c r="S1306" s="50">
        <f t="shared" si="124"/>
        <v>3</v>
      </c>
      <c r="T1306" s="50">
        <f t="shared" si="122"/>
        <v>1</v>
      </c>
      <c r="U1306" s="50">
        <f t="shared" si="123"/>
        <v>1</v>
      </c>
      <c r="V1306" s="50">
        <f t="shared" si="125"/>
        <v>1</v>
      </c>
      <c r="W1306" s="50" t="s">
        <v>150</v>
      </c>
      <c r="X1306" s="50" t="s">
        <v>1078</v>
      </c>
      <c r="Y1306" s="50" t="s">
        <v>50</v>
      </c>
      <c r="Z1306" s="50" t="s">
        <v>3406</v>
      </c>
      <c r="AA1306" s="50"/>
    </row>
    <row r="1307" spans="1:27" ht="25.5" customHeight="1">
      <c r="A1307" s="517" t="s">
        <v>2286</v>
      </c>
      <c r="B1307" s="51" t="s">
        <v>1255</v>
      </c>
      <c r="C1307" s="51" t="s">
        <v>143</v>
      </c>
      <c r="D1307" s="51" t="s">
        <v>2187</v>
      </c>
      <c r="E1307" s="50">
        <v>2268</v>
      </c>
      <c r="F1307" s="50">
        <v>2444</v>
      </c>
      <c r="G1307" s="50" t="s">
        <v>3955</v>
      </c>
      <c r="H1307" s="50"/>
      <c r="I1307" s="105"/>
      <c r="J1307" s="50"/>
      <c r="K1307" s="50" t="s">
        <v>29</v>
      </c>
      <c r="L1307" s="50" t="s">
        <v>2289</v>
      </c>
      <c r="M1307" s="50" t="s">
        <v>212</v>
      </c>
      <c r="N1307" s="50"/>
      <c r="O1307" s="50"/>
      <c r="P1307" s="50"/>
      <c r="Q1307" s="50"/>
      <c r="R1307" s="50"/>
      <c r="S1307" s="50" t="str">
        <f t="shared" si="124"/>
        <v/>
      </c>
      <c r="T1307" s="50" t="str">
        <f t="shared" si="122"/>
        <v/>
      </c>
      <c r="U1307" s="50" t="str">
        <f t="shared" si="123"/>
        <v/>
      </c>
      <c r="V1307" s="50" t="str">
        <f t="shared" si="125"/>
        <v/>
      </c>
      <c r="W1307" s="50"/>
      <c r="X1307" s="50"/>
      <c r="Y1307" s="50"/>
      <c r="Z1307" s="50"/>
      <c r="AA1307" s="50"/>
    </row>
    <row r="1308" spans="1:27" ht="25.5" customHeight="1">
      <c r="A1308" s="517" t="s">
        <v>2286</v>
      </c>
      <c r="B1308" s="51" t="s">
        <v>1255</v>
      </c>
      <c r="C1308" s="51" t="s">
        <v>143</v>
      </c>
      <c r="D1308" s="51" t="s">
        <v>4861</v>
      </c>
      <c r="E1308" s="50">
        <v>378</v>
      </c>
      <c r="F1308" s="50">
        <v>446</v>
      </c>
      <c r="G1308" s="50" t="s">
        <v>3955</v>
      </c>
      <c r="H1308" s="50"/>
      <c r="I1308" s="105"/>
      <c r="J1308" s="50"/>
      <c r="K1308" s="50" t="s">
        <v>29</v>
      </c>
      <c r="L1308" s="50" t="s">
        <v>2289</v>
      </c>
      <c r="M1308" s="50" t="s">
        <v>212</v>
      </c>
      <c r="N1308" s="50"/>
      <c r="O1308" s="50"/>
      <c r="P1308" s="50"/>
      <c r="Q1308" s="50"/>
      <c r="R1308" s="50"/>
      <c r="S1308" s="50" t="str">
        <f t="shared" si="124"/>
        <v/>
      </c>
      <c r="T1308" s="50" t="str">
        <f t="shared" si="122"/>
        <v/>
      </c>
      <c r="U1308" s="50" t="str">
        <f t="shared" si="123"/>
        <v/>
      </c>
      <c r="V1308" s="50" t="str">
        <f t="shared" si="125"/>
        <v/>
      </c>
      <c r="W1308" s="50"/>
      <c r="X1308" s="50"/>
      <c r="Y1308" s="50"/>
      <c r="Z1308" s="50"/>
      <c r="AA1308" s="50"/>
    </row>
    <row r="1309" spans="1:27" s="110" customFormat="1" ht="25.5" customHeight="1">
      <c r="A1309" s="517" t="s">
        <v>2286</v>
      </c>
      <c r="B1309" s="51" t="s">
        <v>1255</v>
      </c>
      <c r="C1309" s="51" t="s">
        <v>143</v>
      </c>
      <c r="D1309" s="51" t="s">
        <v>4862</v>
      </c>
      <c r="E1309" s="50">
        <v>1092</v>
      </c>
      <c r="F1309" s="50">
        <v>1246</v>
      </c>
      <c r="G1309" s="50" t="s">
        <v>3955</v>
      </c>
      <c r="H1309" s="50"/>
      <c r="I1309" s="105"/>
      <c r="J1309" s="50"/>
      <c r="K1309" s="50" t="s">
        <v>29</v>
      </c>
      <c r="L1309" s="50" t="s">
        <v>2289</v>
      </c>
      <c r="M1309" s="50" t="s">
        <v>212</v>
      </c>
      <c r="N1309" s="50"/>
      <c r="O1309" s="50"/>
      <c r="P1309" s="50"/>
      <c r="Q1309" s="50"/>
      <c r="R1309" s="50"/>
      <c r="S1309" s="50" t="str">
        <f t="shared" si="124"/>
        <v/>
      </c>
      <c r="T1309" s="50" t="str">
        <f t="shared" si="122"/>
        <v/>
      </c>
      <c r="U1309" s="50" t="str">
        <f t="shared" si="123"/>
        <v/>
      </c>
      <c r="V1309" s="50" t="str">
        <f t="shared" si="125"/>
        <v/>
      </c>
      <c r="W1309" s="50"/>
      <c r="X1309" s="50"/>
      <c r="Y1309" s="50"/>
      <c r="Z1309" s="50"/>
      <c r="AA1309" s="50"/>
    </row>
    <row r="1310" spans="1:27" ht="25.5" customHeight="1">
      <c r="A1310" s="517" t="s">
        <v>2286</v>
      </c>
      <c r="B1310" s="51" t="s">
        <v>1255</v>
      </c>
      <c r="C1310" s="51" t="s">
        <v>143</v>
      </c>
      <c r="D1310" s="51" t="s">
        <v>4863</v>
      </c>
      <c r="E1310" s="50">
        <v>1493</v>
      </c>
      <c r="F1310" s="50">
        <v>1806</v>
      </c>
      <c r="G1310" s="50" t="s">
        <v>3955</v>
      </c>
      <c r="H1310" s="50"/>
      <c r="I1310" s="105"/>
      <c r="J1310" s="50"/>
      <c r="K1310" s="50" t="s">
        <v>29</v>
      </c>
      <c r="L1310" s="50" t="s">
        <v>2289</v>
      </c>
      <c r="M1310" s="50" t="s">
        <v>212</v>
      </c>
      <c r="N1310" s="50"/>
      <c r="O1310" s="50"/>
      <c r="P1310" s="50"/>
      <c r="Q1310" s="50"/>
      <c r="R1310" s="50"/>
      <c r="S1310" s="50" t="str">
        <f t="shared" si="124"/>
        <v/>
      </c>
      <c r="T1310" s="50" t="str">
        <f t="shared" si="122"/>
        <v/>
      </c>
      <c r="U1310" s="50" t="str">
        <f t="shared" si="123"/>
        <v/>
      </c>
      <c r="V1310" s="50" t="str">
        <f t="shared" si="125"/>
        <v/>
      </c>
      <c r="W1310" s="50"/>
      <c r="X1310" s="50"/>
      <c r="Y1310" s="50"/>
      <c r="Z1310" s="50"/>
      <c r="AA1310" s="50"/>
    </row>
    <row r="1311" spans="1:27" ht="25.5" customHeight="1">
      <c r="A1311" s="517" t="s">
        <v>2286</v>
      </c>
      <c r="B1311" s="51" t="s">
        <v>1255</v>
      </c>
      <c r="C1311" s="51" t="s">
        <v>143</v>
      </c>
      <c r="D1311" s="51" t="s">
        <v>4864</v>
      </c>
      <c r="E1311" s="50">
        <v>1470</v>
      </c>
      <c r="F1311" s="50">
        <v>1616</v>
      </c>
      <c r="G1311" s="50" t="s">
        <v>3404</v>
      </c>
      <c r="H1311" s="50">
        <v>2024</v>
      </c>
      <c r="I1311" s="132">
        <v>45561</v>
      </c>
      <c r="J1311" s="50"/>
      <c r="K1311" s="50" t="s">
        <v>29</v>
      </c>
      <c r="L1311" s="50" t="s">
        <v>2289</v>
      </c>
      <c r="M1311" s="50" t="s">
        <v>212</v>
      </c>
      <c r="N1311" s="50"/>
      <c r="O1311" s="50"/>
      <c r="P1311" s="50"/>
      <c r="Q1311" s="50"/>
      <c r="R1311" s="50"/>
      <c r="S1311" s="50" t="str">
        <f t="shared" si="124"/>
        <v/>
      </c>
      <c r="T1311" s="50" t="str">
        <f t="shared" si="122"/>
        <v/>
      </c>
      <c r="U1311" s="50" t="str">
        <f t="shared" si="123"/>
        <v/>
      </c>
      <c r="V1311" s="50" t="str">
        <f t="shared" si="125"/>
        <v/>
      </c>
      <c r="W1311" s="50"/>
      <c r="X1311" s="50" t="s">
        <v>4</v>
      </c>
      <c r="Y1311" s="50" t="s">
        <v>50</v>
      </c>
      <c r="Z1311" s="50" t="s">
        <v>3406</v>
      </c>
      <c r="AA1311" s="50"/>
    </row>
    <row r="1312" spans="1:27" ht="25.5" customHeight="1">
      <c r="A1312" s="517" t="s">
        <v>2286</v>
      </c>
      <c r="B1312" s="51" t="s">
        <v>1255</v>
      </c>
      <c r="C1312" s="51" t="s">
        <v>143</v>
      </c>
      <c r="D1312" s="51" t="s">
        <v>4865</v>
      </c>
      <c r="E1312" s="50">
        <v>1408</v>
      </c>
      <c r="F1312" s="50">
        <v>1333</v>
      </c>
      <c r="G1312" s="50" t="s">
        <v>3955</v>
      </c>
      <c r="H1312" s="50"/>
      <c r="I1312" s="105"/>
      <c r="J1312" s="50"/>
      <c r="K1312" s="50" t="s">
        <v>29</v>
      </c>
      <c r="L1312" s="50" t="s">
        <v>2289</v>
      </c>
      <c r="M1312" s="50" t="s">
        <v>212</v>
      </c>
      <c r="N1312" s="50"/>
      <c r="O1312" s="50"/>
      <c r="P1312" s="50"/>
      <c r="Q1312" s="50"/>
      <c r="R1312" s="50"/>
      <c r="S1312" s="50" t="str">
        <f t="shared" si="124"/>
        <v/>
      </c>
      <c r="T1312" s="50" t="str">
        <f t="shared" si="122"/>
        <v/>
      </c>
      <c r="U1312" s="50" t="str">
        <f t="shared" si="123"/>
        <v/>
      </c>
      <c r="V1312" s="50" t="str">
        <f t="shared" si="125"/>
        <v/>
      </c>
      <c r="W1312" s="50"/>
      <c r="X1312" s="50"/>
      <c r="Y1312" s="50"/>
      <c r="Z1312" s="50"/>
      <c r="AA1312" s="50"/>
    </row>
    <row r="1313" spans="1:27" ht="25.5" customHeight="1">
      <c r="A1313" s="517" t="s">
        <v>2286</v>
      </c>
      <c r="B1313" s="51" t="s">
        <v>1255</v>
      </c>
      <c r="C1313" s="51" t="s">
        <v>143</v>
      </c>
      <c r="D1313" s="51" t="s">
        <v>1256</v>
      </c>
      <c r="E1313" s="50">
        <v>4072</v>
      </c>
      <c r="F1313" s="50">
        <v>4296</v>
      </c>
      <c r="G1313" s="50" t="s">
        <v>3955</v>
      </c>
      <c r="H1313" s="50"/>
      <c r="I1313" s="105"/>
      <c r="J1313" s="50"/>
      <c r="K1313" s="50" t="s">
        <v>29</v>
      </c>
      <c r="L1313" s="50" t="s">
        <v>2289</v>
      </c>
      <c r="M1313" s="50" t="s">
        <v>212</v>
      </c>
      <c r="N1313" s="50"/>
      <c r="O1313" s="50"/>
      <c r="P1313" s="50"/>
      <c r="Q1313" s="50"/>
      <c r="R1313" s="50"/>
      <c r="S1313" s="50" t="str">
        <f t="shared" si="124"/>
        <v/>
      </c>
      <c r="T1313" s="50" t="str">
        <f t="shared" si="122"/>
        <v/>
      </c>
      <c r="U1313" s="50" t="str">
        <f t="shared" si="123"/>
        <v/>
      </c>
      <c r="V1313" s="50" t="str">
        <f t="shared" si="125"/>
        <v/>
      </c>
      <c r="W1313" s="50"/>
      <c r="X1313" s="50"/>
      <c r="Y1313" s="50"/>
      <c r="Z1313" s="50"/>
      <c r="AA1313" s="50"/>
    </row>
    <row r="1314" spans="1:27" s="110" customFormat="1" ht="25.5" customHeight="1">
      <c r="A1314" s="517" t="s">
        <v>2286</v>
      </c>
      <c r="B1314" s="51" t="s">
        <v>1255</v>
      </c>
      <c r="C1314" s="51" t="s">
        <v>143</v>
      </c>
      <c r="D1314" s="51" t="s">
        <v>4866</v>
      </c>
      <c r="E1314" s="50">
        <v>873</v>
      </c>
      <c r="F1314" s="50">
        <v>830</v>
      </c>
      <c r="G1314" s="50" t="s">
        <v>3955</v>
      </c>
      <c r="H1314" s="50"/>
      <c r="I1314" s="105"/>
      <c r="J1314" s="50"/>
      <c r="K1314" s="50" t="s">
        <v>29</v>
      </c>
      <c r="L1314" s="50" t="s">
        <v>2289</v>
      </c>
      <c r="M1314" s="50" t="s">
        <v>212</v>
      </c>
      <c r="N1314" s="50"/>
      <c r="O1314" s="50"/>
      <c r="P1314" s="50"/>
      <c r="Q1314" s="50"/>
      <c r="R1314" s="50"/>
      <c r="S1314" s="50" t="str">
        <f t="shared" si="124"/>
        <v/>
      </c>
      <c r="T1314" s="50" t="str">
        <f t="shared" si="122"/>
        <v/>
      </c>
      <c r="U1314" s="50" t="str">
        <f t="shared" si="123"/>
        <v/>
      </c>
      <c r="V1314" s="50" t="str">
        <f t="shared" si="125"/>
        <v/>
      </c>
      <c r="W1314" s="50"/>
      <c r="X1314" s="50"/>
      <c r="Y1314" s="50"/>
      <c r="Z1314" s="50"/>
      <c r="AA1314" s="50"/>
    </row>
    <row r="1315" spans="1:27" ht="25.5" customHeight="1">
      <c r="A1315" s="517" t="s">
        <v>2286</v>
      </c>
      <c r="B1315" s="51" t="s">
        <v>1255</v>
      </c>
      <c r="C1315" s="51" t="s">
        <v>143</v>
      </c>
      <c r="D1315" s="51" t="s">
        <v>4867</v>
      </c>
      <c r="E1315" s="50">
        <v>648</v>
      </c>
      <c r="F1315" s="50">
        <v>678</v>
      </c>
      <c r="G1315" s="50" t="s">
        <v>3955</v>
      </c>
      <c r="H1315" s="50"/>
      <c r="I1315" s="105"/>
      <c r="J1315" s="50"/>
      <c r="K1315" s="50" t="s">
        <v>29</v>
      </c>
      <c r="L1315" s="50" t="s">
        <v>2289</v>
      </c>
      <c r="M1315" s="50" t="s">
        <v>212</v>
      </c>
      <c r="N1315" s="50"/>
      <c r="O1315" s="50"/>
      <c r="P1315" s="50"/>
      <c r="Q1315" s="50"/>
      <c r="R1315" s="50"/>
      <c r="S1315" s="50" t="str">
        <f t="shared" si="124"/>
        <v/>
      </c>
      <c r="T1315" s="50" t="str">
        <f t="shared" si="122"/>
        <v/>
      </c>
      <c r="U1315" s="50" t="str">
        <f t="shared" si="123"/>
        <v/>
      </c>
      <c r="V1315" s="50" t="str">
        <f t="shared" si="125"/>
        <v/>
      </c>
      <c r="W1315" s="50"/>
      <c r="X1315" s="50"/>
      <c r="Y1315" s="50"/>
      <c r="Z1315" s="50"/>
      <c r="AA1315" s="50"/>
    </row>
    <row r="1316" spans="1:27" ht="25.5" customHeight="1">
      <c r="A1316" s="517" t="s">
        <v>2286</v>
      </c>
      <c r="B1316" s="51" t="s">
        <v>1255</v>
      </c>
      <c r="C1316" s="51" t="s">
        <v>143</v>
      </c>
      <c r="D1316" s="51" t="s">
        <v>4868</v>
      </c>
      <c r="E1316" s="50">
        <v>2309</v>
      </c>
      <c r="F1316" s="50">
        <v>2529</v>
      </c>
      <c r="G1316" s="50" t="s">
        <v>3955</v>
      </c>
      <c r="H1316" s="50"/>
      <c r="I1316" s="105"/>
      <c r="J1316" s="50"/>
      <c r="K1316" s="50" t="s">
        <v>29</v>
      </c>
      <c r="L1316" s="50" t="s">
        <v>2289</v>
      </c>
      <c r="M1316" s="50" t="s">
        <v>212</v>
      </c>
      <c r="N1316" s="50"/>
      <c r="O1316" s="50"/>
      <c r="P1316" s="50"/>
      <c r="Q1316" s="50"/>
      <c r="R1316" s="50"/>
      <c r="S1316" s="50" t="str">
        <f t="shared" si="124"/>
        <v/>
      </c>
      <c r="T1316" s="50" t="str">
        <f t="shared" si="122"/>
        <v/>
      </c>
      <c r="U1316" s="50" t="str">
        <f t="shared" si="123"/>
        <v/>
      </c>
      <c r="V1316" s="50" t="str">
        <f t="shared" si="125"/>
        <v/>
      </c>
      <c r="W1316" s="50"/>
      <c r="X1316" s="50"/>
      <c r="Y1316" s="50"/>
      <c r="Z1316" s="50"/>
      <c r="AA1316" s="50"/>
    </row>
    <row r="1317" spans="1:27" ht="25.5" customHeight="1">
      <c r="A1317" s="517" t="s">
        <v>2286</v>
      </c>
      <c r="B1317" s="51" t="s">
        <v>1255</v>
      </c>
      <c r="C1317" s="51" t="s">
        <v>143</v>
      </c>
      <c r="D1317" s="51" t="s">
        <v>4869</v>
      </c>
      <c r="E1317" s="50">
        <v>2940</v>
      </c>
      <c r="F1317" s="50">
        <v>3002</v>
      </c>
      <c r="G1317" s="50" t="s">
        <v>3955</v>
      </c>
      <c r="H1317" s="50"/>
      <c r="I1317" s="105"/>
      <c r="J1317" s="50"/>
      <c r="K1317" s="50" t="s">
        <v>29</v>
      </c>
      <c r="L1317" s="50" t="s">
        <v>2289</v>
      </c>
      <c r="M1317" s="50" t="s">
        <v>212</v>
      </c>
      <c r="N1317" s="50"/>
      <c r="O1317" s="50"/>
      <c r="P1317" s="50"/>
      <c r="Q1317" s="50"/>
      <c r="R1317" s="50"/>
      <c r="S1317" s="50" t="str">
        <f t="shared" si="124"/>
        <v/>
      </c>
      <c r="T1317" s="50" t="str">
        <f t="shared" si="122"/>
        <v/>
      </c>
      <c r="U1317" s="50" t="str">
        <f t="shared" si="123"/>
        <v/>
      </c>
      <c r="V1317" s="50" t="str">
        <f t="shared" si="125"/>
        <v/>
      </c>
      <c r="W1317" s="50"/>
      <c r="X1317" s="50"/>
      <c r="Y1317" s="50"/>
      <c r="Z1317" s="50"/>
      <c r="AA1317" s="50"/>
    </row>
    <row r="1318" spans="1:27" ht="25.5" customHeight="1">
      <c r="A1318" s="517" t="s">
        <v>2286</v>
      </c>
      <c r="B1318" s="51" t="s">
        <v>1255</v>
      </c>
      <c r="C1318" s="51" t="s">
        <v>143</v>
      </c>
      <c r="D1318" s="51" t="s">
        <v>4870</v>
      </c>
      <c r="E1318" s="50">
        <v>2564</v>
      </c>
      <c r="F1318" s="50">
        <v>2934</v>
      </c>
      <c r="G1318" s="50" t="s">
        <v>3955</v>
      </c>
      <c r="H1318" s="50"/>
      <c r="I1318" s="105"/>
      <c r="J1318" s="50"/>
      <c r="K1318" s="50" t="s">
        <v>29</v>
      </c>
      <c r="L1318" s="50" t="s">
        <v>2289</v>
      </c>
      <c r="M1318" s="50" t="s">
        <v>212</v>
      </c>
      <c r="N1318" s="50"/>
      <c r="O1318" s="50"/>
      <c r="P1318" s="50"/>
      <c r="Q1318" s="50"/>
      <c r="R1318" s="50"/>
      <c r="S1318" s="50" t="str">
        <f t="shared" si="124"/>
        <v/>
      </c>
      <c r="T1318" s="50" t="str">
        <f t="shared" si="122"/>
        <v/>
      </c>
      <c r="U1318" s="50" t="str">
        <f t="shared" si="123"/>
        <v/>
      </c>
      <c r="V1318" s="50" t="str">
        <f t="shared" si="125"/>
        <v/>
      </c>
      <c r="W1318" s="50"/>
      <c r="X1318" s="50"/>
      <c r="Y1318" s="50"/>
      <c r="Z1318" s="50"/>
      <c r="AA1318" s="50"/>
    </row>
    <row r="1319" spans="1:27" ht="25.5" customHeight="1">
      <c r="A1319" s="517" t="s">
        <v>2286</v>
      </c>
      <c r="B1319" s="51" t="s">
        <v>1255</v>
      </c>
      <c r="C1319" s="51" t="s">
        <v>143</v>
      </c>
      <c r="D1319" s="51" t="s">
        <v>4871</v>
      </c>
      <c r="E1319" s="50">
        <v>5878</v>
      </c>
      <c r="F1319" s="50">
        <v>6198</v>
      </c>
      <c r="G1319" s="50" t="s">
        <v>3404</v>
      </c>
      <c r="H1319" s="50">
        <v>2025</v>
      </c>
      <c r="I1319" s="132">
        <v>45708</v>
      </c>
      <c r="J1319" s="50" t="s">
        <v>3416</v>
      </c>
      <c r="K1319" s="50" t="s">
        <v>29</v>
      </c>
      <c r="L1319" s="50" t="s">
        <v>2289</v>
      </c>
      <c r="M1319" s="50" t="s">
        <v>212</v>
      </c>
      <c r="N1319" s="50" t="s">
        <v>4872</v>
      </c>
      <c r="O1319" s="60">
        <v>45713</v>
      </c>
      <c r="P1319" s="60">
        <v>45713</v>
      </c>
      <c r="Q1319" s="60">
        <v>45714</v>
      </c>
      <c r="R1319" s="60">
        <v>45719</v>
      </c>
      <c r="S1319" s="50">
        <f t="shared" si="124"/>
        <v>3</v>
      </c>
      <c r="T1319" s="50">
        <f t="shared" si="122"/>
        <v>1</v>
      </c>
      <c r="U1319" s="50">
        <f t="shared" si="123"/>
        <v>1</v>
      </c>
      <c r="V1319" s="50">
        <f t="shared" si="125"/>
        <v>3</v>
      </c>
      <c r="W1319" s="50" t="s">
        <v>150</v>
      </c>
      <c r="X1319" s="50" t="s">
        <v>1078</v>
      </c>
      <c r="Y1319" s="50" t="s">
        <v>50</v>
      </c>
      <c r="Z1319" s="50" t="s">
        <v>3406</v>
      </c>
      <c r="AA1319" s="50"/>
    </row>
    <row r="1320" spans="1:27" s="110" customFormat="1" ht="25.5" customHeight="1">
      <c r="A1320" s="517" t="s">
        <v>2286</v>
      </c>
      <c r="B1320" s="51" t="s">
        <v>1255</v>
      </c>
      <c r="C1320" s="51" t="s">
        <v>143</v>
      </c>
      <c r="D1320" s="51" t="s">
        <v>4873</v>
      </c>
      <c r="E1320" s="50">
        <v>2973</v>
      </c>
      <c r="F1320" s="50">
        <v>3227</v>
      </c>
      <c r="G1320" s="50" t="s">
        <v>3955</v>
      </c>
      <c r="H1320" s="50"/>
      <c r="I1320" s="105"/>
      <c r="J1320" s="50"/>
      <c r="K1320" s="50" t="s">
        <v>29</v>
      </c>
      <c r="L1320" s="50" t="s">
        <v>2289</v>
      </c>
      <c r="M1320" s="50" t="s">
        <v>212</v>
      </c>
      <c r="N1320" s="50"/>
      <c r="O1320" s="50"/>
      <c r="P1320" s="50"/>
      <c r="Q1320" s="50"/>
      <c r="R1320" s="50"/>
      <c r="S1320" s="50" t="str">
        <f t="shared" si="124"/>
        <v/>
      </c>
      <c r="T1320" s="50" t="str">
        <f t="shared" si="122"/>
        <v/>
      </c>
      <c r="U1320" s="50" t="str">
        <f t="shared" si="123"/>
        <v/>
      </c>
      <c r="V1320" s="50" t="str">
        <f t="shared" si="125"/>
        <v/>
      </c>
      <c r="W1320" s="50"/>
      <c r="X1320" s="50"/>
      <c r="Y1320" s="50"/>
      <c r="Z1320" s="50"/>
      <c r="AA1320" s="50"/>
    </row>
    <row r="1321" spans="1:27" ht="25.5" customHeight="1">
      <c r="A1321" s="517" t="s">
        <v>2286</v>
      </c>
      <c r="B1321" s="51" t="s">
        <v>1255</v>
      </c>
      <c r="C1321" s="51" t="s">
        <v>143</v>
      </c>
      <c r="D1321" s="51" t="s">
        <v>4874</v>
      </c>
      <c r="E1321" s="50">
        <v>607</v>
      </c>
      <c r="F1321" s="50">
        <v>637</v>
      </c>
      <c r="G1321" s="50" t="s">
        <v>3955</v>
      </c>
      <c r="H1321" s="50"/>
      <c r="I1321" s="105"/>
      <c r="J1321" s="50"/>
      <c r="K1321" s="50" t="s">
        <v>29</v>
      </c>
      <c r="L1321" s="50" t="s">
        <v>2289</v>
      </c>
      <c r="M1321" s="50" t="s">
        <v>212</v>
      </c>
      <c r="N1321" s="50"/>
      <c r="O1321" s="50"/>
      <c r="P1321" s="50"/>
      <c r="Q1321" s="50"/>
      <c r="R1321" s="50"/>
      <c r="S1321" s="50" t="str">
        <f t="shared" si="124"/>
        <v/>
      </c>
      <c r="T1321" s="50" t="str">
        <f t="shared" si="122"/>
        <v/>
      </c>
      <c r="U1321" s="50" t="str">
        <f t="shared" si="123"/>
        <v/>
      </c>
      <c r="V1321" s="50" t="str">
        <f t="shared" si="125"/>
        <v/>
      </c>
      <c r="W1321" s="50"/>
      <c r="X1321" s="50"/>
      <c r="Y1321" s="50"/>
      <c r="Z1321" s="50"/>
      <c r="AA1321" s="50"/>
    </row>
    <row r="1322" spans="1:27" ht="25.5" customHeight="1">
      <c r="A1322" s="517" t="s">
        <v>2286</v>
      </c>
      <c r="B1322" s="51" t="s">
        <v>1255</v>
      </c>
      <c r="C1322" s="51" t="s">
        <v>143</v>
      </c>
      <c r="D1322" s="51" t="s">
        <v>4875</v>
      </c>
      <c r="E1322" s="50">
        <v>3172</v>
      </c>
      <c r="F1322" s="50">
        <v>3418</v>
      </c>
      <c r="G1322" s="50" t="s">
        <v>3955</v>
      </c>
      <c r="H1322" s="50"/>
      <c r="I1322" s="105"/>
      <c r="J1322" s="50"/>
      <c r="K1322" s="50" t="s">
        <v>29</v>
      </c>
      <c r="L1322" s="50" t="s">
        <v>2289</v>
      </c>
      <c r="M1322" s="50" t="s">
        <v>212</v>
      </c>
      <c r="N1322" s="50"/>
      <c r="O1322" s="50"/>
      <c r="P1322" s="50"/>
      <c r="Q1322" s="50"/>
      <c r="R1322" s="50"/>
      <c r="S1322" s="50" t="str">
        <f t="shared" si="124"/>
        <v/>
      </c>
      <c r="T1322" s="50" t="str">
        <f t="shared" si="122"/>
        <v/>
      </c>
      <c r="U1322" s="50" t="str">
        <f t="shared" si="123"/>
        <v/>
      </c>
      <c r="V1322" s="50" t="str">
        <f t="shared" si="125"/>
        <v/>
      </c>
      <c r="W1322" s="50"/>
      <c r="X1322" s="50"/>
      <c r="Y1322" s="50"/>
      <c r="Z1322" s="50"/>
      <c r="AA1322" s="50"/>
    </row>
    <row r="1323" spans="1:27" ht="25.5" customHeight="1">
      <c r="A1323" s="517" t="s">
        <v>2286</v>
      </c>
      <c r="B1323" s="51" t="s">
        <v>1255</v>
      </c>
      <c r="C1323" s="51" t="s">
        <v>143</v>
      </c>
      <c r="D1323" s="51" t="s">
        <v>4876</v>
      </c>
      <c r="E1323" s="50">
        <v>954</v>
      </c>
      <c r="F1323" s="50">
        <v>1045</v>
      </c>
      <c r="G1323" s="50" t="s">
        <v>3955</v>
      </c>
      <c r="H1323" s="50"/>
      <c r="I1323" s="105"/>
      <c r="J1323" s="50"/>
      <c r="K1323" s="50" t="s">
        <v>29</v>
      </c>
      <c r="L1323" s="50" t="s">
        <v>2289</v>
      </c>
      <c r="M1323" s="50" t="s">
        <v>212</v>
      </c>
      <c r="N1323" s="50"/>
      <c r="O1323" s="50"/>
      <c r="P1323" s="50"/>
      <c r="Q1323" s="50"/>
      <c r="R1323" s="50"/>
      <c r="S1323" s="50" t="str">
        <f t="shared" si="124"/>
        <v/>
      </c>
      <c r="T1323" s="50" t="str">
        <f t="shared" si="122"/>
        <v/>
      </c>
      <c r="U1323" s="50" t="str">
        <f t="shared" si="123"/>
        <v/>
      </c>
      <c r="V1323" s="50" t="str">
        <f t="shared" si="125"/>
        <v/>
      </c>
      <c r="W1323" s="50"/>
      <c r="X1323" s="50"/>
      <c r="Y1323" s="50"/>
      <c r="Z1323" s="50"/>
      <c r="AA1323" s="50"/>
    </row>
    <row r="1324" spans="1:27" ht="25.5" customHeight="1">
      <c r="A1324" s="517" t="s">
        <v>2286</v>
      </c>
      <c r="B1324" s="51" t="s">
        <v>1255</v>
      </c>
      <c r="C1324" s="51" t="s">
        <v>143</v>
      </c>
      <c r="D1324" s="51" t="s">
        <v>4877</v>
      </c>
      <c r="E1324" s="50">
        <v>2575</v>
      </c>
      <c r="F1324" s="50">
        <v>2623</v>
      </c>
      <c r="G1324" s="50" t="s">
        <v>3955</v>
      </c>
      <c r="H1324" s="50"/>
      <c r="I1324" s="105"/>
      <c r="J1324" s="50"/>
      <c r="K1324" s="50" t="s">
        <v>29</v>
      </c>
      <c r="L1324" s="50" t="s">
        <v>2289</v>
      </c>
      <c r="M1324" s="50" t="s">
        <v>212</v>
      </c>
      <c r="N1324" s="50"/>
      <c r="O1324" s="50"/>
      <c r="P1324" s="50"/>
      <c r="Q1324" s="50"/>
      <c r="R1324" s="50"/>
      <c r="S1324" s="50" t="str">
        <f t="shared" si="124"/>
        <v/>
      </c>
      <c r="T1324" s="50" t="str">
        <f t="shared" si="122"/>
        <v/>
      </c>
      <c r="U1324" s="50" t="str">
        <f t="shared" si="123"/>
        <v/>
      </c>
      <c r="V1324" s="50" t="str">
        <f t="shared" si="125"/>
        <v/>
      </c>
      <c r="W1324" s="50"/>
      <c r="X1324" s="50"/>
      <c r="Y1324" s="50"/>
      <c r="Z1324" s="50"/>
      <c r="AA1324" s="50"/>
    </row>
    <row r="1325" spans="1:27" ht="25.5" customHeight="1">
      <c r="A1325" s="517" t="s">
        <v>2286</v>
      </c>
      <c r="B1325" s="51" t="s">
        <v>1255</v>
      </c>
      <c r="C1325" s="51" t="s">
        <v>143</v>
      </c>
      <c r="D1325" s="51" t="s">
        <v>4878</v>
      </c>
      <c r="E1325" s="50">
        <v>1505</v>
      </c>
      <c r="F1325" s="50">
        <v>1647</v>
      </c>
      <c r="G1325" s="50" t="s">
        <v>3955</v>
      </c>
      <c r="H1325" s="50"/>
      <c r="I1325" s="105"/>
      <c r="J1325" s="50"/>
      <c r="K1325" s="50" t="s">
        <v>29</v>
      </c>
      <c r="L1325" s="50" t="s">
        <v>2289</v>
      </c>
      <c r="M1325" s="50" t="s">
        <v>212</v>
      </c>
      <c r="N1325" s="50"/>
      <c r="O1325" s="50"/>
      <c r="P1325" s="50"/>
      <c r="Q1325" s="50"/>
      <c r="R1325" s="50"/>
      <c r="S1325" s="50" t="str">
        <f t="shared" si="124"/>
        <v/>
      </c>
      <c r="T1325" s="50" t="str">
        <f t="shared" si="122"/>
        <v/>
      </c>
      <c r="U1325" s="50" t="str">
        <f t="shared" si="123"/>
        <v/>
      </c>
      <c r="V1325" s="50" t="str">
        <f t="shared" si="125"/>
        <v/>
      </c>
      <c r="W1325" s="50"/>
      <c r="X1325" s="50"/>
      <c r="Y1325" s="50"/>
      <c r="Z1325" s="50"/>
      <c r="AA1325" s="50"/>
    </row>
    <row r="1326" spans="1:27" ht="25.5" customHeight="1">
      <c r="A1326" s="517" t="s">
        <v>2286</v>
      </c>
      <c r="B1326" s="51" t="s">
        <v>1255</v>
      </c>
      <c r="C1326" s="51" t="s">
        <v>143</v>
      </c>
      <c r="D1326" s="51" t="s">
        <v>4879</v>
      </c>
      <c r="E1326" s="50">
        <v>696</v>
      </c>
      <c r="F1326" s="50">
        <v>795</v>
      </c>
      <c r="G1326" s="50" t="s">
        <v>3955</v>
      </c>
      <c r="H1326" s="50"/>
      <c r="I1326" s="105"/>
      <c r="J1326" s="50"/>
      <c r="K1326" s="50" t="s">
        <v>29</v>
      </c>
      <c r="L1326" s="50" t="s">
        <v>2289</v>
      </c>
      <c r="M1326" s="50" t="s">
        <v>212</v>
      </c>
      <c r="N1326" s="50"/>
      <c r="O1326" s="50"/>
      <c r="P1326" s="50"/>
      <c r="Q1326" s="50"/>
      <c r="R1326" s="50"/>
      <c r="S1326" s="50" t="str">
        <f t="shared" si="124"/>
        <v/>
      </c>
      <c r="T1326" s="50" t="str">
        <f t="shared" si="122"/>
        <v/>
      </c>
      <c r="U1326" s="50" t="str">
        <f t="shared" si="123"/>
        <v/>
      </c>
      <c r="V1326" s="50" t="str">
        <f t="shared" si="125"/>
        <v/>
      </c>
      <c r="W1326" s="50"/>
      <c r="X1326" s="50"/>
      <c r="Y1326" s="50"/>
      <c r="Z1326" s="50"/>
      <c r="AA1326" s="50"/>
    </row>
    <row r="1327" spans="1:27" ht="25.5" customHeight="1">
      <c r="A1327" s="517" t="s">
        <v>2286</v>
      </c>
      <c r="B1327" s="51" t="s">
        <v>1255</v>
      </c>
      <c r="C1327" s="51" t="s">
        <v>143</v>
      </c>
      <c r="D1327" s="51" t="s">
        <v>4880</v>
      </c>
      <c r="E1327" s="50">
        <v>2152</v>
      </c>
      <c r="F1327" s="50">
        <v>2252</v>
      </c>
      <c r="G1327" s="50" t="s">
        <v>3955</v>
      </c>
      <c r="H1327" s="50"/>
      <c r="I1327" s="105"/>
      <c r="J1327" s="50"/>
      <c r="K1327" s="50" t="s">
        <v>29</v>
      </c>
      <c r="L1327" s="50" t="s">
        <v>2289</v>
      </c>
      <c r="M1327" s="50" t="s">
        <v>212</v>
      </c>
      <c r="N1327" s="50"/>
      <c r="O1327" s="50"/>
      <c r="P1327" s="50"/>
      <c r="Q1327" s="50"/>
      <c r="R1327" s="50"/>
      <c r="S1327" s="50" t="str">
        <f t="shared" si="124"/>
        <v/>
      </c>
      <c r="T1327" s="50" t="str">
        <f t="shared" si="122"/>
        <v/>
      </c>
      <c r="U1327" s="50" t="str">
        <f t="shared" si="123"/>
        <v/>
      </c>
      <c r="V1327" s="50" t="str">
        <f t="shared" si="125"/>
        <v/>
      </c>
      <c r="W1327" s="50"/>
      <c r="X1327" s="50"/>
      <c r="Y1327" s="50"/>
      <c r="Z1327" s="50"/>
      <c r="AA1327" s="50"/>
    </row>
    <row r="1328" spans="1:27" ht="25.5" customHeight="1">
      <c r="A1328" s="517" t="s">
        <v>2286</v>
      </c>
      <c r="B1328" s="51" t="s">
        <v>1255</v>
      </c>
      <c r="C1328" s="51" t="s">
        <v>143</v>
      </c>
      <c r="D1328" s="51" t="s">
        <v>4881</v>
      </c>
      <c r="E1328" s="50">
        <v>1660</v>
      </c>
      <c r="F1328" s="50">
        <v>1777</v>
      </c>
      <c r="G1328" s="50" t="s">
        <v>3955</v>
      </c>
      <c r="H1328" s="50"/>
      <c r="I1328" s="105"/>
      <c r="J1328" s="50"/>
      <c r="K1328" s="50" t="s">
        <v>29</v>
      </c>
      <c r="L1328" s="50" t="s">
        <v>2289</v>
      </c>
      <c r="M1328" s="50" t="s">
        <v>212</v>
      </c>
      <c r="N1328" s="50"/>
      <c r="O1328" s="50"/>
      <c r="P1328" s="50"/>
      <c r="Q1328" s="50"/>
      <c r="R1328" s="50"/>
      <c r="S1328" s="50" t="str">
        <f t="shared" si="124"/>
        <v/>
      </c>
      <c r="T1328" s="50" t="str">
        <f t="shared" si="122"/>
        <v/>
      </c>
      <c r="U1328" s="50" t="str">
        <f t="shared" si="123"/>
        <v/>
      </c>
      <c r="V1328" s="50" t="str">
        <f t="shared" si="125"/>
        <v/>
      </c>
      <c r="W1328" s="50"/>
      <c r="X1328" s="50"/>
      <c r="Y1328" s="50"/>
      <c r="Z1328" s="50"/>
      <c r="AA1328" s="50"/>
    </row>
    <row r="1329" spans="1:27" s="110" customFormat="1" ht="25.5" customHeight="1">
      <c r="A1329" s="517" t="s">
        <v>2286</v>
      </c>
      <c r="B1329" s="51" t="s">
        <v>1255</v>
      </c>
      <c r="C1329" s="51" t="s">
        <v>143</v>
      </c>
      <c r="D1329" s="51" t="s">
        <v>4126</v>
      </c>
      <c r="E1329" s="50">
        <v>931</v>
      </c>
      <c r="F1329" s="50">
        <v>1010</v>
      </c>
      <c r="G1329" s="50" t="s">
        <v>3955</v>
      </c>
      <c r="H1329" s="50"/>
      <c r="I1329" s="105"/>
      <c r="J1329" s="50"/>
      <c r="K1329" s="50" t="s">
        <v>29</v>
      </c>
      <c r="L1329" s="50" t="s">
        <v>2289</v>
      </c>
      <c r="M1329" s="50" t="s">
        <v>212</v>
      </c>
      <c r="N1329" s="50"/>
      <c r="O1329" s="50"/>
      <c r="P1329" s="50"/>
      <c r="Q1329" s="50"/>
      <c r="R1329" s="50"/>
      <c r="S1329" s="50" t="str">
        <f t="shared" si="124"/>
        <v/>
      </c>
      <c r="T1329" s="50" t="str">
        <f t="shared" si="122"/>
        <v/>
      </c>
      <c r="U1329" s="50" t="str">
        <f t="shared" si="123"/>
        <v/>
      </c>
      <c r="V1329" s="50" t="str">
        <f t="shared" si="125"/>
        <v/>
      </c>
      <c r="W1329" s="50"/>
      <c r="X1329" s="50"/>
      <c r="Y1329" s="50"/>
      <c r="Z1329" s="50"/>
      <c r="AA1329" s="50"/>
    </row>
    <row r="1330" spans="1:27" ht="25.5" customHeight="1">
      <c r="A1330" s="517" t="s">
        <v>2286</v>
      </c>
      <c r="B1330" s="51" t="s">
        <v>1255</v>
      </c>
      <c r="C1330" s="51" t="s">
        <v>143</v>
      </c>
      <c r="D1330" s="51" t="s">
        <v>4882</v>
      </c>
      <c r="E1330" s="50">
        <v>1365</v>
      </c>
      <c r="F1330" s="50">
        <v>1635</v>
      </c>
      <c r="G1330" s="50" t="s">
        <v>3404</v>
      </c>
      <c r="H1330" s="50">
        <v>2024</v>
      </c>
      <c r="I1330" s="132">
        <v>45561</v>
      </c>
      <c r="J1330" s="50"/>
      <c r="K1330" s="50" t="s">
        <v>29</v>
      </c>
      <c r="L1330" s="50" t="s">
        <v>2289</v>
      </c>
      <c r="M1330" s="50" t="s">
        <v>212</v>
      </c>
      <c r="N1330" s="50"/>
      <c r="O1330" s="50"/>
      <c r="P1330" s="50"/>
      <c r="Q1330" s="50"/>
      <c r="R1330" s="50"/>
      <c r="S1330" s="50" t="str">
        <f t="shared" si="124"/>
        <v/>
      </c>
      <c r="T1330" s="50" t="str">
        <f t="shared" si="122"/>
        <v/>
      </c>
      <c r="U1330" s="50" t="str">
        <f t="shared" si="123"/>
        <v/>
      </c>
      <c r="V1330" s="50" t="str">
        <f t="shared" si="125"/>
        <v/>
      </c>
      <c r="W1330" s="50"/>
      <c r="X1330" s="50" t="s">
        <v>4</v>
      </c>
      <c r="Y1330" s="50" t="s">
        <v>50</v>
      </c>
      <c r="Z1330" s="50" t="s">
        <v>3406</v>
      </c>
      <c r="AA1330" s="50"/>
    </row>
    <row r="1331" spans="1:27" s="110" customFormat="1" ht="25.5" customHeight="1">
      <c r="A1331" s="517" t="s">
        <v>2286</v>
      </c>
      <c r="B1331" s="51" t="s">
        <v>1255</v>
      </c>
      <c r="C1331" s="51" t="s">
        <v>143</v>
      </c>
      <c r="D1331" s="51" t="s">
        <v>4883</v>
      </c>
      <c r="E1331" s="50">
        <v>1354</v>
      </c>
      <c r="F1331" s="50">
        <v>1437</v>
      </c>
      <c r="G1331" s="50" t="s">
        <v>3955</v>
      </c>
      <c r="H1331" s="50"/>
      <c r="I1331" s="105"/>
      <c r="J1331" s="50"/>
      <c r="K1331" s="50" t="s">
        <v>29</v>
      </c>
      <c r="L1331" s="50" t="s">
        <v>2289</v>
      </c>
      <c r="M1331" s="50" t="s">
        <v>212</v>
      </c>
      <c r="N1331" s="50"/>
      <c r="O1331" s="50"/>
      <c r="P1331" s="50"/>
      <c r="Q1331" s="50"/>
      <c r="R1331" s="50"/>
      <c r="S1331" s="50" t="str">
        <f t="shared" si="124"/>
        <v/>
      </c>
      <c r="T1331" s="50" t="str">
        <f t="shared" si="122"/>
        <v/>
      </c>
      <c r="U1331" s="50" t="str">
        <f t="shared" si="123"/>
        <v/>
      </c>
      <c r="V1331" s="50" t="str">
        <f t="shared" si="125"/>
        <v/>
      </c>
      <c r="W1331" s="50"/>
      <c r="X1331" s="50"/>
      <c r="Y1331" s="50"/>
      <c r="Z1331" s="50"/>
      <c r="AA1331" s="50"/>
    </row>
    <row r="1332" spans="1:27" ht="25.5" customHeight="1">
      <c r="A1332" s="517" t="s">
        <v>2286</v>
      </c>
      <c r="B1332" s="51" t="s">
        <v>1255</v>
      </c>
      <c r="C1332" s="51" t="s">
        <v>143</v>
      </c>
      <c r="D1332" s="51" t="s">
        <v>1556</v>
      </c>
      <c r="E1332" s="50">
        <v>529</v>
      </c>
      <c r="F1332" s="50">
        <v>586</v>
      </c>
      <c r="G1332" s="50" t="s">
        <v>3404</v>
      </c>
      <c r="H1332" s="50">
        <v>2025</v>
      </c>
      <c r="I1332" s="132">
        <v>45882</v>
      </c>
      <c r="J1332" s="50" t="s">
        <v>3126</v>
      </c>
      <c r="K1332" s="50" t="s">
        <v>29</v>
      </c>
      <c r="L1332" s="50" t="s">
        <v>28</v>
      </c>
      <c r="M1332" s="50" t="s">
        <v>212</v>
      </c>
      <c r="N1332" s="50" t="s">
        <v>4884</v>
      </c>
      <c r="O1332" s="60">
        <v>45887</v>
      </c>
      <c r="P1332" s="60">
        <v>45887</v>
      </c>
      <c r="Q1332" s="60">
        <v>45888</v>
      </c>
      <c r="R1332" s="60">
        <v>45888</v>
      </c>
      <c r="S1332" s="50">
        <f t="shared" si="124"/>
        <v>3</v>
      </c>
      <c r="T1332" s="50">
        <f t="shared" si="122"/>
        <v>1</v>
      </c>
      <c r="U1332" s="50">
        <f t="shared" si="123"/>
        <v>1</v>
      </c>
      <c r="V1332" s="50">
        <f t="shared" si="125"/>
        <v>1</v>
      </c>
      <c r="W1332" s="50" t="s">
        <v>150</v>
      </c>
      <c r="X1332" s="50" t="s">
        <v>1078</v>
      </c>
      <c r="Y1332" s="50" t="s">
        <v>50</v>
      </c>
      <c r="Z1332" s="50" t="s">
        <v>3406</v>
      </c>
      <c r="AA1332" s="50"/>
    </row>
    <row r="1333" spans="1:27" ht="25.5" customHeight="1">
      <c r="A1333" s="517" t="s">
        <v>2286</v>
      </c>
      <c r="B1333" s="51" t="s">
        <v>1255</v>
      </c>
      <c r="C1333" s="51" t="s">
        <v>143</v>
      </c>
      <c r="D1333" s="51" t="s">
        <v>1151</v>
      </c>
      <c r="E1333" s="50">
        <v>2303</v>
      </c>
      <c r="F1333" s="50">
        <v>2632</v>
      </c>
      <c r="G1333" s="50" t="s">
        <v>3404</v>
      </c>
      <c r="H1333" s="50">
        <v>2025</v>
      </c>
      <c r="I1333" s="132">
        <v>45882</v>
      </c>
      <c r="J1333" s="50" t="s">
        <v>3126</v>
      </c>
      <c r="K1333" s="50" t="s">
        <v>29</v>
      </c>
      <c r="L1333" s="50" t="s">
        <v>28</v>
      </c>
      <c r="M1333" s="50" t="s">
        <v>212</v>
      </c>
      <c r="N1333" s="50" t="s">
        <v>4885</v>
      </c>
      <c r="O1333" s="60">
        <v>45887</v>
      </c>
      <c r="P1333" s="60">
        <v>45887</v>
      </c>
      <c r="Q1333" s="60">
        <v>45888</v>
      </c>
      <c r="R1333" s="60">
        <v>45888</v>
      </c>
      <c r="S1333" s="50">
        <f t="shared" si="124"/>
        <v>3</v>
      </c>
      <c r="T1333" s="50">
        <f t="shared" si="122"/>
        <v>1</v>
      </c>
      <c r="U1333" s="50">
        <f t="shared" si="123"/>
        <v>1</v>
      </c>
      <c r="V1333" s="50">
        <f t="shared" si="125"/>
        <v>1</v>
      </c>
      <c r="W1333" s="50" t="s">
        <v>150</v>
      </c>
      <c r="X1333" s="50" t="s">
        <v>1078</v>
      </c>
      <c r="Y1333" s="50" t="s">
        <v>50</v>
      </c>
      <c r="Z1333" s="50" t="s">
        <v>3406</v>
      </c>
      <c r="AA1333" s="50"/>
    </row>
    <row r="1334" spans="1:27" s="110" customFormat="1" ht="25.5" customHeight="1">
      <c r="A1334" s="517" t="s">
        <v>2286</v>
      </c>
      <c r="B1334" s="51" t="s">
        <v>1255</v>
      </c>
      <c r="C1334" s="51" t="s">
        <v>143</v>
      </c>
      <c r="D1334" s="51" t="s">
        <v>1155</v>
      </c>
      <c r="E1334" s="50">
        <v>1597</v>
      </c>
      <c r="F1334" s="50">
        <v>1623</v>
      </c>
      <c r="G1334" s="50" t="s">
        <v>3404</v>
      </c>
      <c r="H1334" s="50">
        <v>2025</v>
      </c>
      <c r="I1334" s="132">
        <v>45882</v>
      </c>
      <c r="J1334" s="50" t="s">
        <v>3126</v>
      </c>
      <c r="K1334" s="50" t="s">
        <v>29</v>
      </c>
      <c r="L1334" s="50" t="s">
        <v>28</v>
      </c>
      <c r="M1334" s="50" t="s">
        <v>212</v>
      </c>
      <c r="N1334" s="50" t="s">
        <v>4886</v>
      </c>
      <c r="O1334" s="60">
        <v>45887</v>
      </c>
      <c r="P1334" s="60">
        <v>45887</v>
      </c>
      <c r="Q1334" s="60">
        <v>45888</v>
      </c>
      <c r="R1334" s="60">
        <v>45888</v>
      </c>
      <c r="S1334" s="50">
        <f t="shared" si="124"/>
        <v>3</v>
      </c>
      <c r="T1334" s="50">
        <f t="shared" si="122"/>
        <v>1</v>
      </c>
      <c r="U1334" s="50">
        <f t="shared" si="123"/>
        <v>1</v>
      </c>
      <c r="V1334" s="50">
        <f t="shared" si="125"/>
        <v>1</v>
      </c>
      <c r="W1334" s="50" t="s">
        <v>150</v>
      </c>
      <c r="X1334" s="50" t="s">
        <v>1078</v>
      </c>
      <c r="Y1334" s="50" t="s">
        <v>50</v>
      </c>
      <c r="Z1334" s="50" t="s">
        <v>3406</v>
      </c>
      <c r="AA1334" s="50"/>
    </row>
    <row r="1335" spans="1:27" ht="25.5" customHeight="1">
      <c r="A1335" s="517" t="s">
        <v>2286</v>
      </c>
      <c r="B1335" s="51" t="s">
        <v>1255</v>
      </c>
      <c r="C1335" s="51" t="s">
        <v>143</v>
      </c>
      <c r="D1335" s="51" t="s">
        <v>3974</v>
      </c>
      <c r="E1335" s="50">
        <v>5704</v>
      </c>
      <c r="F1335" s="50">
        <v>6307</v>
      </c>
      <c r="G1335" s="50" t="s">
        <v>3404</v>
      </c>
      <c r="H1335" s="50">
        <v>2024</v>
      </c>
      <c r="I1335" s="132">
        <v>45561</v>
      </c>
      <c r="J1335" s="50"/>
      <c r="K1335" s="50" t="s">
        <v>29</v>
      </c>
      <c r="L1335" s="50" t="s">
        <v>2289</v>
      </c>
      <c r="M1335" s="50" t="s">
        <v>212</v>
      </c>
      <c r="N1335" s="50"/>
      <c r="O1335" s="50"/>
      <c r="P1335" s="50"/>
      <c r="Q1335" s="50"/>
      <c r="R1335" s="50"/>
      <c r="S1335" s="50" t="str">
        <f t="shared" si="124"/>
        <v/>
      </c>
      <c r="T1335" s="50" t="str">
        <f t="shared" si="122"/>
        <v/>
      </c>
      <c r="U1335" s="50" t="str">
        <f t="shared" si="123"/>
        <v/>
      </c>
      <c r="V1335" s="50" t="str">
        <f t="shared" si="125"/>
        <v/>
      </c>
      <c r="W1335" s="50"/>
      <c r="X1335" s="50" t="s">
        <v>4</v>
      </c>
      <c r="Y1335" s="50" t="s">
        <v>50</v>
      </c>
      <c r="Z1335" s="50" t="s">
        <v>3406</v>
      </c>
      <c r="AA1335" s="50"/>
    </row>
    <row r="1336" spans="1:27" ht="25.5" customHeight="1">
      <c r="A1336" s="517" t="s">
        <v>2286</v>
      </c>
      <c r="B1336" s="51" t="s">
        <v>1255</v>
      </c>
      <c r="C1336" s="51" t="s">
        <v>143</v>
      </c>
      <c r="D1336" s="51" t="s">
        <v>4026</v>
      </c>
      <c r="E1336" s="50">
        <v>1106</v>
      </c>
      <c r="F1336" s="50">
        <v>1164</v>
      </c>
      <c r="G1336" s="50" t="s">
        <v>3955</v>
      </c>
      <c r="H1336" s="50"/>
      <c r="I1336" s="105"/>
      <c r="J1336" s="50"/>
      <c r="K1336" s="50" t="s">
        <v>29</v>
      </c>
      <c r="L1336" s="50" t="s">
        <v>2289</v>
      </c>
      <c r="M1336" s="50" t="s">
        <v>212</v>
      </c>
      <c r="N1336" s="50"/>
      <c r="O1336" s="50"/>
      <c r="P1336" s="50"/>
      <c r="Q1336" s="50"/>
      <c r="R1336" s="50"/>
      <c r="S1336" s="50" t="str">
        <f t="shared" si="124"/>
        <v/>
      </c>
      <c r="T1336" s="50" t="str">
        <f t="shared" si="122"/>
        <v/>
      </c>
      <c r="U1336" s="50" t="str">
        <f t="shared" si="123"/>
        <v/>
      </c>
      <c r="V1336" s="50" t="str">
        <f t="shared" si="125"/>
        <v/>
      </c>
      <c r="W1336" s="50"/>
      <c r="X1336" s="50"/>
      <c r="Y1336" s="50"/>
      <c r="Z1336" s="50"/>
      <c r="AA1336" s="50"/>
    </row>
    <row r="1337" spans="1:27" s="110" customFormat="1" ht="25.5" customHeight="1">
      <c r="A1337" s="517" t="s">
        <v>2286</v>
      </c>
      <c r="B1337" s="51" t="s">
        <v>1255</v>
      </c>
      <c r="C1337" s="51" t="s">
        <v>143</v>
      </c>
      <c r="D1337" s="51" t="s">
        <v>1899</v>
      </c>
      <c r="E1337" s="50">
        <v>1412</v>
      </c>
      <c r="F1337" s="50">
        <v>1495</v>
      </c>
      <c r="G1337" s="50" t="s">
        <v>3955</v>
      </c>
      <c r="H1337" s="50"/>
      <c r="I1337" s="105"/>
      <c r="J1337" s="50"/>
      <c r="K1337" s="50" t="s">
        <v>29</v>
      </c>
      <c r="L1337" s="50" t="s">
        <v>2289</v>
      </c>
      <c r="M1337" s="50" t="s">
        <v>212</v>
      </c>
      <c r="N1337" s="50"/>
      <c r="O1337" s="50"/>
      <c r="P1337" s="50"/>
      <c r="Q1337" s="50"/>
      <c r="R1337" s="50"/>
      <c r="S1337" s="50" t="str">
        <f t="shared" si="124"/>
        <v/>
      </c>
      <c r="T1337" s="50" t="str">
        <f t="shared" si="122"/>
        <v/>
      </c>
      <c r="U1337" s="50" t="str">
        <f t="shared" si="123"/>
        <v/>
      </c>
      <c r="V1337" s="50" t="str">
        <f t="shared" si="125"/>
        <v/>
      </c>
      <c r="W1337" s="50"/>
      <c r="X1337" s="50"/>
      <c r="Y1337" s="50"/>
      <c r="Z1337" s="50"/>
      <c r="AA1337" s="50"/>
    </row>
    <row r="1338" spans="1:27" ht="25.5" customHeight="1">
      <c r="A1338" s="517" t="s">
        <v>2286</v>
      </c>
      <c r="B1338" s="51" t="s">
        <v>1255</v>
      </c>
      <c r="C1338" s="51" t="s">
        <v>143</v>
      </c>
      <c r="D1338" s="51" t="s">
        <v>3565</v>
      </c>
      <c r="E1338" s="50">
        <v>2206</v>
      </c>
      <c r="F1338" s="50">
        <v>2207</v>
      </c>
      <c r="G1338" s="50" t="s">
        <v>3955</v>
      </c>
      <c r="H1338" s="50"/>
      <c r="I1338" s="105"/>
      <c r="J1338" s="50"/>
      <c r="K1338" s="50" t="s">
        <v>29</v>
      </c>
      <c r="L1338" s="50" t="s">
        <v>2289</v>
      </c>
      <c r="M1338" s="50" t="s">
        <v>212</v>
      </c>
      <c r="N1338" s="50"/>
      <c r="O1338" s="50"/>
      <c r="P1338" s="50"/>
      <c r="Q1338" s="50"/>
      <c r="R1338" s="50"/>
      <c r="S1338" s="50" t="str">
        <f t="shared" si="124"/>
        <v/>
      </c>
      <c r="T1338" s="50" t="str">
        <f t="shared" ref="T1338:T1401" si="126">IF(
    OR(ISBLANK(O1338), ISBLANK(P1338)),
    "",
    MAX(1, IF(
        NETWORKDAYS(O1338, P1338) &lt;= 0,
        1,
        NETWORKDAYS(O1338, P1338) - IF(O1338 = P1338, 0, 1)
    ))
)</f>
        <v/>
      </c>
      <c r="U1338" s="50" t="str">
        <f t="shared" ref="U1338:U1401" si="127">IF(
    OR(ISBLANK(P1338), ISBLANK(Q1338)),
    "",
    MAX(1, IF(
        NETWORKDAYS(P1338, Q1338) &lt;= 0,
        1,
        NETWORKDAYS(P1338, Q1338) - IF(P1338 = Q1338, 0, 1)
    ))
)</f>
        <v/>
      </c>
      <c r="V1338" s="50" t="str">
        <f t="shared" si="125"/>
        <v/>
      </c>
      <c r="W1338" s="50"/>
      <c r="X1338" s="50"/>
      <c r="Y1338" s="50"/>
      <c r="Z1338" s="50"/>
      <c r="AA1338" s="50"/>
    </row>
    <row r="1339" spans="1:27" s="110" customFormat="1" ht="25.5" customHeight="1">
      <c r="A1339" s="517" t="s">
        <v>2286</v>
      </c>
      <c r="B1339" s="51" t="s">
        <v>1255</v>
      </c>
      <c r="C1339" s="51" t="s">
        <v>143</v>
      </c>
      <c r="D1339" s="51" t="s">
        <v>4887</v>
      </c>
      <c r="E1339" s="50">
        <v>4476</v>
      </c>
      <c r="F1339" s="50">
        <v>3873</v>
      </c>
      <c r="G1339" s="50" t="s">
        <v>3404</v>
      </c>
      <c r="H1339" s="50">
        <v>2025</v>
      </c>
      <c r="I1339" s="132">
        <v>45777</v>
      </c>
      <c r="J1339" s="50" t="s">
        <v>3532</v>
      </c>
      <c r="K1339" s="50" t="s">
        <v>29</v>
      </c>
      <c r="L1339" s="50" t="s">
        <v>2289</v>
      </c>
      <c r="M1339" s="50" t="s">
        <v>212</v>
      </c>
      <c r="N1339" s="50" t="s">
        <v>4888</v>
      </c>
      <c r="O1339" s="60">
        <v>45782</v>
      </c>
      <c r="P1339" s="60">
        <v>45791</v>
      </c>
      <c r="Q1339" s="60">
        <v>45791</v>
      </c>
      <c r="R1339" s="60">
        <v>45792</v>
      </c>
      <c r="S1339" s="50">
        <f t="shared" si="124"/>
        <v>3</v>
      </c>
      <c r="T1339" s="50">
        <f t="shared" si="126"/>
        <v>7</v>
      </c>
      <c r="U1339" s="50">
        <f t="shared" si="127"/>
        <v>1</v>
      </c>
      <c r="V1339" s="50">
        <f t="shared" si="125"/>
        <v>1</v>
      </c>
      <c r="W1339" s="50" t="s">
        <v>150</v>
      </c>
      <c r="X1339" s="50" t="s">
        <v>1078</v>
      </c>
      <c r="Y1339" s="50" t="s">
        <v>57</v>
      </c>
      <c r="Z1339" s="50" t="s">
        <v>3406</v>
      </c>
      <c r="AA1339" s="50"/>
    </row>
    <row r="1340" spans="1:27" ht="25.5" customHeight="1">
      <c r="A1340" s="517" t="s">
        <v>2286</v>
      </c>
      <c r="B1340" s="51" t="s">
        <v>1255</v>
      </c>
      <c r="C1340" s="51" t="s">
        <v>143</v>
      </c>
      <c r="D1340" s="51" t="s">
        <v>4889</v>
      </c>
      <c r="E1340" s="50">
        <v>3231</v>
      </c>
      <c r="F1340" s="50">
        <v>3799</v>
      </c>
      <c r="G1340" s="50" t="s">
        <v>3955</v>
      </c>
      <c r="H1340" s="50"/>
      <c r="I1340" s="105"/>
      <c r="J1340" s="50"/>
      <c r="K1340" s="50" t="s">
        <v>29</v>
      </c>
      <c r="L1340" s="50" t="s">
        <v>2289</v>
      </c>
      <c r="M1340" s="50" t="s">
        <v>212</v>
      </c>
      <c r="N1340" s="50"/>
      <c r="O1340" s="50"/>
      <c r="P1340" s="50"/>
      <c r="Q1340" s="50"/>
      <c r="R1340" s="50"/>
      <c r="S1340" s="50" t="str">
        <f t="shared" si="124"/>
        <v/>
      </c>
      <c r="T1340" s="50" t="str">
        <f t="shared" si="126"/>
        <v/>
      </c>
      <c r="U1340" s="50" t="str">
        <f t="shared" si="127"/>
        <v/>
      </c>
      <c r="V1340" s="50" t="str">
        <f t="shared" si="125"/>
        <v/>
      </c>
      <c r="W1340" s="50"/>
      <c r="X1340" s="50"/>
      <c r="Y1340" s="50"/>
      <c r="Z1340" s="50"/>
      <c r="AA1340" s="50"/>
    </row>
    <row r="1341" spans="1:27" ht="25.5" customHeight="1">
      <c r="A1341" s="517" t="s">
        <v>2286</v>
      </c>
      <c r="B1341" s="51" t="s">
        <v>1255</v>
      </c>
      <c r="C1341" s="51" t="s">
        <v>143</v>
      </c>
      <c r="D1341" s="51" t="s">
        <v>4890</v>
      </c>
      <c r="E1341" s="50">
        <v>2280</v>
      </c>
      <c r="F1341" s="50">
        <v>2591</v>
      </c>
      <c r="G1341" s="50" t="s">
        <v>3404</v>
      </c>
      <c r="H1341" s="50">
        <v>2024</v>
      </c>
      <c r="I1341" s="132">
        <v>45561</v>
      </c>
      <c r="J1341" s="50"/>
      <c r="K1341" s="50" t="s">
        <v>29</v>
      </c>
      <c r="L1341" s="50" t="s">
        <v>2289</v>
      </c>
      <c r="M1341" s="50" t="s">
        <v>212</v>
      </c>
      <c r="N1341" s="50"/>
      <c r="O1341" s="50"/>
      <c r="P1341" s="50"/>
      <c r="Q1341" s="50"/>
      <c r="R1341" s="50"/>
      <c r="S1341" s="50" t="str">
        <f t="shared" si="124"/>
        <v/>
      </c>
      <c r="T1341" s="50" t="str">
        <f t="shared" si="126"/>
        <v/>
      </c>
      <c r="U1341" s="50" t="str">
        <f t="shared" si="127"/>
        <v/>
      </c>
      <c r="V1341" s="50" t="str">
        <f t="shared" si="125"/>
        <v/>
      </c>
      <c r="W1341" s="50"/>
      <c r="X1341" s="50" t="s">
        <v>4</v>
      </c>
      <c r="Y1341" s="50" t="s">
        <v>50</v>
      </c>
      <c r="Z1341" s="50" t="s">
        <v>3406</v>
      </c>
      <c r="AA1341" s="50"/>
    </row>
    <row r="1342" spans="1:27" ht="25.5" customHeight="1">
      <c r="A1342" s="517" t="s">
        <v>2286</v>
      </c>
      <c r="B1342" s="51" t="s">
        <v>1255</v>
      </c>
      <c r="C1342" s="51" t="s">
        <v>143</v>
      </c>
      <c r="D1342" s="51" t="s">
        <v>4891</v>
      </c>
      <c r="E1342" s="50">
        <v>1249</v>
      </c>
      <c r="F1342" s="50">
        <v>1332</v>
      </c>
      <c r="G1342" s="50" t="s">
        <v>3955</v>
      </c>
      <c r="H1342" s="50"/>
      <c r="I1342" s="105"/>
      <c r="J1342" s="50"/>
      <c r="K1342" s="50" t="s">
        <v>29</v>
      </c>
      <c r="L1342" s="50" t="s">
        <v>2289</v>
      </c>
      <c r="M1342" s="50" t="s">
        <v>212</v>
      </c>
      <c r="N1342" s="50"/>
      <c r="O1342" s="50"/>
      <c r="P1342" s="50"/>
      <c r="Q1342" s="50"/>
      <c r="R1342" s="50"/>
      <c r="S1342" s="50" t="str">
        <f t="shared" si="124"/>
        <v/>
      </c>
      <c r="T1342" s="50" t="str">
        <f t="shared" si="126"/>
        <v/>
      </c>
      <c r="U1342" s="50" t="str">
        <f t="shared" si="127"/>
        <v/>
      </c>
      <c r="V1342" s="50" t="str">
        <f t="shared" si="125"/>
        <v/>
      </c>
      <c r="W1342" s="50"/>
      <c r="X1342" s="50"/>
      <c r="Y1342" s="50"/>
      <c r="Z1342" s="50"/>
      <c r="AA1342" s="50"/>
    </row>
    <row r="1343" spans="1:27" ht="25.5" customHeight="1">
      <c r="A1343" s="517" t="s">
        <v>2286</v>
      </c>
      <c r="B1343" s="51" t="s">
        <v>1255</v>
      </c>
      <c r="C1343" s="51" t="s">
        <v>143</v>
      </c>
      <c r="D1343" s="51" t="s">
        <v>4892</v>
      </c>
      <c r="E1343" s="50">
        <v>1646</v>
      </c>
      <c r="F1343" s="50">
        <v>1939</v>
      </c>
      <c r="G1343" s="50" t="s">
        <v>3955</v>
      </c>
      <c r="H1343" s="50"/>
      <c r="I1343" s="105"/>
      <c r="J1343" s="50"/>
      <c r="K1343" s="50" t="s">
        <v>29</v>
      </c>
      <c r="L1343" s="50" t="s">
        <v>2289</v>
      </c>
      <c r="M1343" s="50" t="s">
        <v>212</v>
      </c>
      <c r="N1343" s="50"/>
      <c r="O1343" s="50"/>
      <c r="P1343" s="50"/>
      <c r="Q1343" s="50"/>
      <c r="R1343" s="50"/>
      <c r="S1343" s="50" t="str">
        <f t="shared" si="124"/>
        <v/>
      </c>
      <c r="T1343" s="50" t="str">
        <f t="shared" si="126"/>
        <v/>
      </c>
      <c r="U1343" s="50" t="str">
        <f t="shared" si="127"/>
        <v/>
      </c>
      <c r="V1343" s="50" t="str">
        <f t="shared" si="125"/>
        <v/>
      </c>
      <c r="W1343" s="50"/>
      <c r="X1343" s="50"/>
      <c r="Y1343" s="50"/>
      <c r="Z1343" s="50"/>
      <c r="AA1343" s="50"/>
    </row>
    <row r="1344" spans="1:27" ht="25.5" customHeight="1">
      <c r="A1344" s="517" t="s">
        <v>2286</v>
      </c>
      <c r="B1344" s="51" t="s">
        <v>1255</v>
      </c>
      <c r="C1344" s="51" t="s">
        <v>143</v>
      </c>
      <c r="D1344" s="51" t="s">
        <v>4893</v>
      </c>
      <c r="E1344" s="50">
        <v>1047</v>
      </c>
      <c r="F1344" s="50">
        <v>1062</v>
      </c>
      <c r="G1344" s="50" t="s">
        <v>3955</v>
      </c>
      <c r="H1344" s="50"/>
      <c r="I1344" s="105"/>
      <c r="J1344" s="50"/>
      <c r="K1344" s="50" t="s">
        <v>29</v>
      </c>
      <c r="L1344" s="50" t="s">
        <v>2289</v>
      </c>
      <c r="M1344" s="50" t="s">
        <v>212</v>
      </c>
      <c r="N1344" s="50"/>
      <c r="O1344" s="50"/>
      <c r="P1344" s="50"/>
      <c r="Q1344" s="50"/>
      <c r="R1344" s="50"/>
      <c r="S1344" s="50" t="str">
        <f t="shared" si="124"/>
        <v/>
      </c>
      <c r="T1344" s="50" t="str">
        <f t="shared" si="126"/>
        <v/>
      </c>
      <c r="U1344" s="50" t="str">
        <f t="shared" si="127"/>
        <v/>
      </c>
      <c r="V1344" s="50" t="str">
        <f t="shared" si="125"/>
        <v/>
      </c>
      <c r="W1344" s="50"/>
      <c r="X1344" s="50"/>
      <c r="Y1344" s="50"/>
      <c r="Z1344" s="50"/>
      <c r="AA1344" s="50"/>
    </row>
    <row r="1345" spans="1:27" s="110" customFormat="1" ht="25.5" customHeight="1">
      <c r="A1345" s="517" t="s">
        <v>2286</v>
      </c>
      <c r="B1345" s="51" t="s">
        <v>1255</v>
      </c>
      <c r="C1345" s="51" t="s">
        <v>143</v>
      </c>
      <c r="D1345" s="51" t="s">
        <v>4894</v>
      </c>
      <c r="E1345" s="50">
        <v>1218</v>
      </c>
      <c r="F1345" s="50">
        <v>1378</v>
      </c>
      <c r="G1345" s="50" t="s">
        <v>3955</v>
      </c>
      <c r="H1345" s="50"/>
      <c r="I1345" s="105"/>
      <c r="J1345" s="50"/>
      <c r="K1345" s="50" t="s">
        <v>29</v>
      </c>
      <c r="L1345" s="50" t="s">
        <v>2289</v>
      </c>
      <c r="M1345" s="50" t="s">
        <v>212</v>
      </c>
      <c r="N1345" s="50"/>
      <c r="O1345" s="50"/>
      <c r="P1345" s="50"/>
      <c r="Q1345" s="50"/>
      <c r="R1345" s="50"/>
      <c r="S1345" s="50" t="str">
        <f t="shared" si="124"/>
        <v/>
      </c>
      <c r="T1345" s="50" t="str">
        <f t="shared" si="126"/>
        <v/>
      </c>
      <c r="U1345" s="50" t="str">
        <f t="shared" si="127"/>
        <v/>
      </c>
      <c r="V1345" s="50" t="str">
        <f t="shared" si="125"/>
        <v/>
      </c>
      <c r="W1345" s="50"/>
      <c r="X1345" s="50"/>
      <c r="Y1345" s="50"/>
      <c r="Z1345" s="50"/>
      <c r="AA1345" s="50"/>
    </row>
    <row r="1346" spans="1:27" ht="25.5" customHeight="1">
      <c r="A1346" s="517" t="s">
        <v>2286</v>
      </c>
      <c r="B1346" s="51" t="s">
        <v>1255</v>
      </c>
      <c r="C1346" s="51" t="s">
        <v>143</v>
      </c>
      <c r="D1346" s="51" t="s">
        <v>4895</v>
      </c>
      <c r="E1346" s="50">
        <v>2680</v>
      </c>
      <c r="F1346" s="50">
        <v>2713</v>
      </c>
      <c r="G1346" s="50" t="s">
        <v>3404</v>
      </c>
      <c r="H1346" s="50">
        <v>2025</v>
      </c>
      <c r="I1346" s="132">
        <v>45729</v>
      </c>
      <c r="J1346" s="50" t="s">
        <v>3416</v>
      </c>
      <c r="K1346" s="50" t="s">
        <v>29</v>
      </c>
      <c r="L1346" s="50" t="s">
        <v>2289</v>
      </c>
      <c r="M1346" s="50" t="s">
        <v>212</v>
      </c>
      <c r="N1346" s="50" t="s">
        <v>4896</v>
      </c>
      <c r="O1346" s="60">
        <v>45734</v>
      </c>
      <c r="P1346" s="60">
        <v>45734</v>
      </c>
      <c r="Q1346" s="60">
        <v>45734</v>
      </c>
      <c r="R1346" s="60">
        <v>45735</v>
      </c>
      <c r="S1346" s="50">
        <f t="shared" si="124"/>
        <v>3</v>
      </c>
      <c r="T1346" s="50">
        <f t="shared" si="126"/>
        <v>1</v>
      </c>
      <c r="U1346" s="50">
        <f t="shared" si="127"/>
        <v>1</v>
      </c>
      <c r="V1346" s="50">
        <f t="shared" si="125"/>
        <v>1</v>
      </c>
      <c r="W1346" s="50" t="s">
        <v>150</v>
      </c>
      <c r="X1346" s="50" t="s">
        <v>1078</v>
      </c>
      <c r="Y1346" s="50" t="s">
        <v>50</v>
      </c>
      <c r="Z1346" s="50" t="s">
        <v>3406</v>
      </c>
      <c r="AA1346" s="50"/>
    </row>
    <row r="1347" spans="1:27" s="110" customFormat="1" ht="25.5" customHeight="1">
      <c r="A1347" s="517" t="s">
        <v>2286</v>
      </c>
      <c r="B1347" s="51" t="s">
        <v>1255</v>
      </c>
      <c r="C1347" s="51" t="s">
        <v>143</v>
      </c>
      <c r="D1347" s="51" t="s">
        <v>4897</v>
      </c>
      <c r="E1347" s="50">
        <v>896</v>
      </c>
      <c r="F1347" s="50">
        <v>987</v>
      </c>
      <c r="G1347" s="50" t="s">
        <v>3955</v>
      </c>
      <c r="H1347" s="50"/>
      <c r="I1347" s="105"/>
      <c r="J1347" s="50"/>
      <c r="K1347" s="50" t="s">
        <v>29</v>
      </c>
      <c r="L1347" s="50" t="s">
        <v>2289</v>
      </c>
      <c r="M1347" s="50" t="s">
        <v>212</v>
      </c>
      <c r="N1347" s="50"/>
      <c r="O1347" s="50"/>
      <c r="P1347" s="50"/>
      <c r="Q1347" s="50"/>
      <c r="R1347" s="50"/>
      <c r="S1347" s="50" t="str">
        <f t="shared" si="124"/>
        <v/>
      </c>
      <c r="T1347" s="50" t="str">
        <f t="shared" si="126"/>
        <v/>
      </c>
      <c r="U1347" s="50" t="str">
        <f t="shared" si="127"/>
        <v/>
      </c>
      <c r="V1347" s="50" t="str">
        <f t="shared" si="125"/>
        <v/>
      </c>
      <c r="W1347" s="50"/>
      <c r="X1347" s="50"/>
      <c r="Y1347" s="50"/>
      <c r="Z1347" s="50"/>
      <c r="AA1347" s="50"/>
    </row>
    <row r="1348" spans="1:27" ht="25.5" customHeight="1">
      <c r="A1348" s="517" t="s">
        <v>2286</v>
      </c>
      <c r="B1348" s="51" t="s">
        <v>1262</v>
      </c>
      <c r="C1348" s="51" t="s">
        <v>143</v>
      </c>
      <c r="D1348" s="51" t="s">
        <v>1166</v>
      </c>
      <c r="E1348" s="50">
        <v>1712</v>
      </c>
      <c r="F1348" s="50">
        <v>1126</v>
      </c>
      <c r="G1348" s="50" t="s">
        <v>3404</v>
      </c>
      <c r="H1348" s="50">
        <v>2025</v>
      </c>
      <c r="I1348" s="132">
        <v>45891</v>
      </c>
      <c r="J1348" s="50" t="s">
        <v>3127</v>
      </c>
      <c r="K1348" s="50" t="s">
        <v>30</v>
      </c>
      <c r="L1348" s="50" t="s">
        <v>2289</v>
      </c>
      <c r="M1348" s="50" t="s">
        <v>212</v>
      </c>
      <c r="N1348" s="50" t="s">
        <v>4898</v>
      </c>
      <c r="O1348" s="60">
        <v>45918</v>
      </c>
      <c r="P1348" s="60">
        <v>45918</v>
      </c>
      <c r="Q1348" s="60">
        <v>45918</v>
      </c>
      <c r="R1348" s="60">
        <v>45918</v>
      </c>
      <c r="S1348" s="50">
        <f t="shared" si="124"/>
        <v>19</v>
      </c>
      <c r="T1348" s="50">
        <f t="shared" si="126"/>
        <v>1</v>
      </c>
      <c r="U1348" s="50">
        <f t="shared" si="127"/>
        <v>1</v>
      </c>
      <c r="V1348" s="50">
        <f t="shared" si="125"/>
        <v>1</v>
      </c>
      <c r="W1348" s="50" t="s">
        <v>150</v>
      </c>
      <c r="X1348" s="50" t="s">
        <v>1078</v>
      </c>
      <c r="Y1348" s="50" t="s">
        <v>50</v>
      </c>
      <c r="Z1348" s="50" t="s">
        <v>3406</v>
      </c>
      <c r="AA1348" s="50"/>
    </row>
    <row r="1349" spans="1:27" ht="25.5" customHeight="1">
      <c r="A1349" s="517" t="s">
        <v>2286</v>
      </c>
      <c r="B1349" s="51" t="s">
        <v>1262</v>
      </c>
      <c r="C1349" s="51" t="s">
        <v>143</v>
      </c>
      <c r="D1349" s="51" t="s">
        <v>4795</v>
      </c>
      <c r="E1349" s="50">
        <v>1289</v>
      </c>
      <c r="F1349" s="50">
        <v>1500</v>
      </c>
      <c r="G1349" s="50" t="s">
        <v>3404</v>
      </c>
      <c r="H1349" s="50">
        <v>2025</v>
      </c>
      <c r="I1349" s="132">
        <v>45741</v>
      </c>
      <c r="J1349" s="50" t="s">
        <v>3470</v>
      </c>
      <c r="K1349" s="50" t="s">
        <v>30</v>
      </c>
      <c r="L1349" s="50" t="s">
        <v>2289</v>
      </c>
      <c r="M1349" s="50" t="s">
        <v>212</v>
      </c>
      <c r="N1349" s="50" t="s">
        <v>4899</v>
      </c>
      <c r="O1349" s="60">
        <v>45743</v>
      </c>
      <c r="P1349" s="60">
        <v>45754</v>
      </c>
      <c r="Q1349" s="60">
        <v>45754</v>
      </c>
      <c r="R1349" s="60">
        <v>45757</v>
      </c>
      <c r="S1349" s="50">
        <f t="shared" si="124"/>
        <v>2</v>
      </c>
      <c r="T1349" s="50">
        <f t="shared" si="126"/>
        <v>7</v>
      </c>
      <c r="U1349" s="50">
        <f t="shared" si="127"/>
        <v>1</v>
      </c>
      <c r="V1349" s="50">
        <f t="shared" si="125"/>
        <v>3</v>
      </c>
      <c r="W1349" s="50" t="s">
        <v>150</v>
      </c>
      <c r="X1349" s="50" t="s">
        <v>1078</v>
      </c>
      <c r="Y1349" s="50" t="s">
        <v>50</v>
      </c>
      <c r="Z1349" s="50" t="s">
        <v>3406</v>
      </c>
      <c r="AA1349" s="50"/>
    </row>
    <row r="1350" spans="1:27" ht="25.5" customHeight="1">
      <c r="A1350" s="517" t="s">
        <v>2286</v>
      </c>
      <c r="B1350" s="51" t="s">
        <v>1262</v>
      </c>
      <c r="C1350" s="51" t="s">
        <v>143</v>
      </c>
      <c r="D1350" s="51" t="s">
        <v>4900</v>
      </c>
      <c r="E1350" s="50">
        <v>4912</v>
      </c>
      <c r="F1350" s="50">
        <v>4946</v>
      </c>
      <c r="G1350" s="50" t="s">
        <v>3404</v>
      </c>
      <c r="H1350" s="50">
        <v>2024</v>
      </c>
      <c r="I1350" s="132">
        <v>45408</v>
      </c>
      <c r="J1350" s="50"/>
      <c r="K1350" s="50" t="s">
        <v>30</v>
      </c>
      <c r="L1350" s="50" t="s">
        <v>2289</v>
      </c>
      <c r="M1350" s="50" t="s">
        <v>212</v>
      </c>
      <c r="N1350" s="50"/>
      <c r="O1350" s="50"/>
      <c r="P1350" s="50"/>
      <c r="Q1350" s="50"/>
      <c r="R1350" s="50"/>
      <c r="S1350" s="50" t="str">
        <f t="shared" si="124"/>
        <v/>
      </c>
      <c r="T1350" s="50" t="str">
        <f t="shared" si="126"/>
        <v/>
      </c>
      <c r="U1350" s="50" t="str">
        <f t="shared" si="127"/>
        <v/>
      </c>
      <c r="V1350" s="50" t="str">
        <f t="shared" si="125"/>
        <v/>
      </c>
      <c r="W1350" s="50"/>
      <c r="X1350" s="50"/>
      <c r="Y1350" s="50"/>
      <c r="Z1350" s="50" t="s">
        <v>3406</v>
      </c>
      <c r="AA1350" s="50"/>
    </row>
    <row r="1351" spans="1:27" s="110" customFormat="1" ht="25.5" customHeight="1">
      <c r="A1351" s="517" t="s">
        <v>2286</v>
      </c>
      <c r="B1351" s="51" t="s">
        <v>1262</v>
      </c>
      <c r="C1351" s="51" t="s">
        <v>143</v>
      </c>
      <c r="D1351" s="51" t="s">
        <v>4901</v>
      </c>
      <c r="E1351" s="50">
        <v>1396</v>
      </c>
      <c r="F1351" s="50">
        <v>1433</v>
      </c>
      <c r="G1351" s="50" t="s">
        <v>3404</v>
      </c>
      <c r="H1351" s="50">
        <v>2025</v>
      </c>
      <c r="I1351" s="132">
        <v>45828</v>
      </c>
      <c r="J1351" s="50" t="s">
        <v>3125</v>
      </c>
      <c r="K1351" s="50" t="s">
        <v>30</v>
      </c>
      <c r="L1351" s="50" t="s">
        <v>28</v>
      </c>
      <c r="M1351" s="50" t="s">
        <v>212</v>
      </c>
      <c r="N1351" s="50" t="s">
        <v>4902</v>
      </c>
      <c r="O1351" s="60">
        <v>45834</v>
      </c>
      <c r="P1351" s="60">
        <v>45835</v>
      </c>
      <c r="Q1351" s="60">
        <v>45838</v>
      </c>
      <c r="R1351" s="60">
        <v>45847</v>
      </c>
      <c r="S1351" s="50">
        <f t="shared" ref="S1351:S1414" si="128">IF(
    OR(ISBLANK(I1351), ISBLANK(O1351)),
    "",
    MAX(1, IF(
        NETWORKDAYS(I1351, O1351) &lt;= 0,
        1,
        NETWORKDAYS(I1351, O1351) - IF(I1351 = O1351, 0, 1)
    ))
)</f>
        <v>4</v>
      </c>
      <c r="T1351" s="50">
        <f t="shared" si="126"/>
        <v>1</v>
      </c>
      <c r="U1351" s="50">
        <f t="shared" si="127"/>
        <v>1</v>
      </c>
      <c r="V1351" s="50">
        <f t="shared" si="125"/>
        <v>7</v>
      </c>
      <c r="W1351" s="50" t="s">
        <v>150</v>
      </c>
      <c r="X1351" s="50" t="s">
        <v>1078</v>
      </c>
      <c r="Y1351" s="50" t="s">
        <v>50</v>
      </c>
      <c r="Z1351" s="50" t="s">
        <v>3406</v>
      </c>
      <c r="AA1351" s="50"/>
    </row>
    <row r="1352" spans="1:27" ht="25.5" customHeight="1">
      <c r="A1352" s="517" t="s">
        <v>2286</v>
      </c>
      <c r="B1352" s="51" t="s">
        <v>1262</v>
      </c>
      <c r="C1352" s="51" t="s">
        <v>143</v>
      </c>
      <c r="D1352" s="51" t="s">
        <v>4903</v>
      </c>
      <c r="E1352" s="50">
        <v>1843</v>
      </c>
      <c r="F1352" s="50">
        <v>1961</v>
      </c>
      <c r="G1352" s="50" t="s">
        <v>3404</v>
      </c>
      <c r="H1352" s="50">
        <v>2025</v>
      </c>
      <c r="I1352" s="132">
        <v>45741</v>
      </c>
      <c r="J1352" s="50" t="s">
        <v>3470</v>
      </c>
      <c r="K1352" s="50" t="s">
        <v>30</v>
      </c>
      <c r="L1352" s="50" t="s">
        <v>2289</v>
      </c>
      <c r="M1352" s="50" t="s">
        <v>212</v>
      </c>
      <c r="N1352" s="50" t="s">
        <v>4904</v>
      </c>
      <c r="O1352" s="60">
        <v>45743</v>
      </c>
      <c r="P1352" s="60">
        <v>45754</v>
      </c>
      <c r="Q1352" s="60">
        <v>45754</v>
      </c>
      <c r="R1352" s="60">
        <v>45757</v>
      </c>
      <c r="S1352" s="50">
        <f t="shared" si="128"/>
        <v>2</v>
      </c>
      <c r="T1352" s="50">
        <f t="shared" si="126"/>
        <v>7</v>
      </c>
      <c r="U1352" s="50">
        <f t="shared" si="127"/>
        <v>1</v>
      </c>
      <c r="V1352" s="50">
        <f t="shared" si="125"/>
        <v>3</v>
      </c>
      <c r="W1352" s="50" t="s">
        <v>150</v>
      </c>
      <c r="X1352" s="50" t="s">
        <v>1078</v>
      </c>
      <c r="Y1352" s="50" t="s">
        <v>50</v>
      </c>
      <c r="Z1352" s="50" t="s">
        <v>3406</v>
      </c>
      <c r="AA1352" s="50"/>
    </row>
    <row r="1353" spans="1:27" ht="25.5" customHeight="1">
      <c r="A1353" s="517" t="s">
        <v>2286</v>
      </c>
      <c r="B1353" s="51" t="s">
        <v>1262</v>
      </c>
      <c r="C1353" s="51" t="s">
        <v>143</v>
      </c>
      <c r="D1353" s="51" t="s">
        <v>4905</v>
      </c>
      <c r="E1353" s="50">
        <v>2387</v>
      </c>
      <c r="F1353" s="50">
        <v>2645</v>
      </c>
      <c r="G1353" s="50" t="s">
        <v>3404</v>
      </c>
      <c r="H1353" s="50">
        <v>2024</v>
      </c>
      <c r="I1353" s="132">
        <v>45604</v>
      </c>
      <c r="J1353" s="50"/>
      <c r="K1353" s="50" t="s">
        <v>30</v>
      </c>
      <c r="L1353" s="50" t="s">
        <v>2289</v>
      </c>
      <c r="M1353" s="50" t="s">
        <v>212</v>
      </c>
      <c r="N1353" s="50"/>
      <c r="O1353" s="50"/>
      <c r="P1353" s="50"/>
      <c r="Q1353" s="50"/>
      <c r="R1353" s="50"/>
      <c r="S1353" s="50" t="str">
        <f t="shared" si="128"/>
        <v/>
      </c>
      <c r="T1353" s="50" t="str">
        <f t="shared" si="126"/>
        <v/>
      </c>
      <c r="U1353" s="50" t="str">
        <f t="shared" si="127"/>
        <v/>
      </c>
      <c r="V1353" s="50" t="str">
        <f t="shared" si="125"/>
        <v/>
      </c>
      <c r="W1353" s="50"/>
      <c r="X1353" s="50" t="s">
        <v>4</v>
      </c>
      <c r="Y1353" s="50" t="s">
        <v>50</v>
      </c>
      <c r="Z1353" s="50" t="s">
        <v>3406</v>
      </c>
      <c r="AA1353" s="50"/>
    </row>
    <row r="1354" spans="1:27" s="110" customFormat="1" ht="25.5" customHeight="1">
      <c r="A1354" s="517" t="s">
        <v>2286</v>
      </c>
      <c r="B1354" s="51" t="s">
        <v>1262</v>
      </c>
      <c r="C1354" s="51" t="s">
        <v>143</v>
      </c>
      <c r="D1354" s="51" t="s">
        <v>4906</v>
      </c>
      <c r="E1354" s="50">
        <v>891</v>
      </c>
      <c r="F1354" s="50">
        <v>1141</v>
      </c>
      <c r="G1354" s="50" t="s">
        <v>3404</v>
      </c>
      <c r="H1354" s="50">
        <v>2025</v>
      </c>
      <c r="I1354" s="132">
        <v>45925</v>
      </c>
      <c r="J1354" s="50" t="s">
        <v>3128</v>
      </c>
      <c r="K1354" s="50" t="s">
        <v>30</v>
      </c>
      <c r="L1354" s="50" t="s">
        <v>2289</v>
      </c>
      <c r="M1354" s="50" t="s">
        <v>212</v>
      </c>
      <c r="N1354" s="50" t="s">
        <v>4907</v>
      </c>
      <c r="O1354" s="60">
        <v>45926</v>
      </c>
      <c r="P1354" s="60">
        <v>45939</v>
      </c>
      <c r="Q1354" s="60">
        <v>45939</v>
      </c>
      <c r="R1354" s="60">
        <v>45940</v>
      </c>
      <c r="S1354" s="50">
        <f t="shared" si="128"/>
        <v>1</v>
      </c>
      <c r="T1354" s="50">
        <f t="shared" si="126"/>
        <v>9</v>
      </c>
      <c r="U1354" s="50">
        <f t="shared" si="127"/>
        <v>1</v>
      </c>
      <c r="V1354" s="50">
        <f t="shared" si="125"/>
        <v>1</v>
      </c>
      <c r="W1354" s="50" t="s">
        <v>150</v>
      </c>
      <c r="X1354" s="50" t="s">
        <v>1078</v>
      </c>
      <c r="Y1354" s="50" t="s">
        <v>50</v>
      </c>
      <c r="Z1354" s="50" t="s">
        <v>3406</v>
      </c>
      <c r="AA1354" s="50"/>
    </row>
    <row r="1355" spans="1:27" ht="25.5" customHeight="1">
      <c r="A1355" s="517" t="s">
        <v>2286</v>
      </c>
      <c r="B1355" s="51" t="s">
        <v>1262</v>
      </c>
      <c r="C1355" s="51" t="s">
        <v>143</v>
      </c>
      <c r="D1355" s="51" t="s">
        <v>1072</v>
      </c>
      <c r="E1355" s="50">
        <v>3665</v>
      </c>
      <c r="F1355" s="50">
        <v>4019</v>
      </c>
      <c r="G1355" s="50" t="s">
        <v>3404</v>
      </c>
      <c r="H1355" s="50">
        <v>2025</v>
      </c>
      <c r="I1355" s="132">
        <v>45807</v>
      </c>
      <c r="J1355" s="50" t="s">
        <v>3689</v>
      </c>
      <c r="K1355" s="50" t="s">
        <v>30</v>
      </c>
      <c r="L1355" s="50" t="s">
        <v>28</v>
      </c>
      <c r="M1355" s="50" t="s">
        <v>212</v>
      </c>
      <c r="N1355" s="50" t="s">
        <v>4908</v>
      </c>
      <c r="O1355" s="60">
        <v>45815</v>
      </c>
      <c r="P1355" s="60">
        <v>45817</v>
      </c>
      <c r="Q1355" s="60">
        <v>45817</v>
      </c>
      <c r="R1355" s="60">
        <v>45824</v>
      </c>
      <c r="S1355" s="50">
        <f t="shared" si="128"/>
        <v>5</v>
      </c>
      <c r="T1355" s="50">
        <f t="shared" si="126"/>
        <v>1</v>
      </c>
      <c r="U1355" s="50">
        <f t="shared" si="127"/>
        <v>1</v>
      </c>
      <c r="V1355" s="50">
        <f t="shared" si="125"/>
        <v>5</v>
      </c>
      <c r="W1355" s="50" t="s">
        <v>150</v>
      </c>
      <c r="X1355" s="50" t="s">
        <v>1078</v>
      </c>
      <c r="Y1355" s="50" t="s">
        <v>50</v>
      </c>
      <c r="Z1355" s="50" t="s">
        <v>3406</v>
      </c>
      <c r="AA1355" s="50"/>
    </row>
    <row r="1356" spans="1:27" ht="25.5" customHeight="1">
      <c r="A1356" s="517" t="s">
        <v>2286</v>
      </c>
      <c r="B1356" s="51" t="s">
        <v>1262</v>
      </c>
      <c r="C1356" s="51" t="s">
        <v>143</v>
      </c>
      <c r="D1356" s="51" t="s">
        <v>4909</v>
      </c>
      <c r="E1356" s="50">
        <v>3198</v>
      </c>
      <c r="F1356" s="50">
        <v>3290</v>
      </c>
      <c r="G1356" s="50" t="s">
        <v>3404</v>
      </c>
      <c r="H1356" s="50">
        <v>2024</v>
      </c>
      <c r="I1356" s="132">
        <v>45414</v>
      </c>
      <c r="J1356" s="50"/>
      <c r="K1356" s="50" t="s">
        <v>30</v>
      </c>
      <c r="L1356" s="50" t="s">
        <v>2289</v>
      </c>
      <c r="M1356" s="50" t="s">
        <v>212</v>
      </c>
      <c r="N1356" s="50"/>
      <c r="O1356" s="50"/>
      <c r="P1356" s="50"/>
      <c r="Q1356" s="50"/>
      <c r="R1356" s="50"/>
      <c r="S1356" s="50" t="str">
        <f t="shared" si="128"/>
        <v/>
      </c>
      <c r="T1356" s="50" t="str">
        <f t="shared" si="126"/>
        <v/>
      </c>
      <c r="U1356" s="50" t="str">
        <f t="shared" si="127"/>
        <v/>
      </c>
      <c r="V1356" s="50" t="str">
        <f t="shared" si="125"/>
        <v/>
      </c>
      <c r="W1356" s="50"/>
      <c r="X1356" s="50"/>
      <c r="Y1356" s="50"/>
      <c r="Z1356" s="50" t="s">
        <v>3406</v>
      </c>
      <c r="AA1356" s="50"/>
    </row>
    <row r="1357" spans="1:27" ht="25.5" customHeight="1">
      <c r="A1357" s="517" t="s">
        <v>2286</v>
      </c>
      <c r="B1357" s="51" t="s">
        <v>1262</v>
      </c>
      <c r="C1357" s="51" t="s">
        <v>143</v>
      </c>
      <c r="D1357" s="51" t="s">
        <v>4910</v>
      </c>
      <c r="E1357" s="50">
        <v>3336</v>
      </c>
      <c r="F1357" s="50">
        <v>3691</v>
      </c>
      <c r="G1357" s="50" t="s">
        <v>3404</v>
      </c>
      <c r="H1357" s="50">
        <v>2025</v>
      </c>
      <c r="I1357" s="132">
        <v>45769</v>
      </c>
      <c r="J1357" s="50" t="s">
        <v>3532</v>
      </c>
      <c r="K1357" s="50" t="s">
        <v>30</v>
      </c>
      <c r="L1357" s="50" t="s">
        <v>28</v>
      </c>
      <c r="M1357" s="50" t="s">
        <v>212</v>
      </c>
      <c r="N1357" s="50" t="s">
        <v>4911</v>
      </c>
      <c r="O1357" s="60">
        <v>45776</v>
      </c>
      <c r="P1357" s="60">
        <v>45777</v>
      </c>
      <c r="Q1357" s="60">
        <v>45777</v>
      </c>
      <c r="R1357" s="60">
        <v>45779</v>
      </c>
      <c r="S1357" s="50">
        <f t="shared" si="128"/>
        <v>5</v>
      </c>
      <c r="T1357" s="50">
        <f t="shared" si="126"/>
        <v>1</v>
      </c>
      <c r="U1357" s="50">
        <f t="shared" si="127"/>
        <v>1</v>
      </c>
      <c r="V1357" s="50">
        <f t="shared" si="125"/>
        <v>2</v>
      </c>
      <c r="W1357" s="50" t="s">
        <v>150</v>
      </c>
      <c r="X1357" s="50" t="s">
        <v>1078</v>
      </c>
      <c r="Y1357" s="50" t="s">
        <v>50</v>
      </c>
      <c r="Z1357" s="50" t="s">
        <v>3406</v>
      </c>
      <c r="AA1357" s="50" t="s">
        <v>69</v>
      </c>
    </row>
    <row r="1358" spans="1:27" ht="25.5" customHeight="1">
      <c r="A1358" s="517" t="s">
        <v>2286</v>
      </c>
      <c r="B1358" s="51" t="s">
        <v>1262</v>
      </c>
      <c r="C1358" s="51" t="s">
        <v>143</v>
      </c>
      <c r="D1358" s="51" t="s">
        <v>4912</v>
      </c>
      <c r="E1358" s="50">
        <v>1441</v>
      </c>
      <c r="F1358" s="50">
        <v>1546</v>
      </c>
      <c r="G1358" s="50" t="s">
        <v>3404</v>
      </c>
      <c r="H1358" s="50">
        <v>2025</v>
      </c>
      <c r="I1358" s="132">
        <v>45939</v>
      </c>
      <c r="J1358" s="50" t="s">
        <v>3128</v>
      </c>
      <c r="K1358" s="50" t="s">
        <v>30</v>
      </c>
      <c r="L1358" s="50" t="s">
        <v>2289</v>
      </c>
      <c r="M1358" s="50" t="s">
        <v>212</v>
      </c>
      <c r="N1358" s="50" t="s">
        <v>4913</v>
      </c>
      <c r="O1358" s="60">
        <v>45941</v>
      </c>
      <c r="P1358" s="60">
        <v>45943</v>
      </c>
      <c r="Q1358" s="60">
        <v>45946</v>
      </c>
      <c r="R1358" s="60">
        <v>45947</v>
      </c>
      <c r="S1358" s="50">
        <f t="shared" si="128"/>
        <v>1</v>
      </c>
      <c r="T1358" s="50">
        <f t="shared" si="126"/>
        <v>1</v>
      </c>
      <c r="U1358" s="50">
        <f t="shared" si="127"/>
        <v>3</v>
      </c>
      <c r="V1358" s="50">
        <f t="shared" si="125"/>
        <v>1</v>
      </c>
      <c r="W1358" s="50" t="s">
        <v>150</v>
      </c>
      <c r="X1358" s="50" t="s">
        <v>1078</v>
      </c>
      <c r="Y1358" s="50" t="s">
        <v>50</v>
      </c>
      <c r="Z1358" s="50" t="s">
        <v>3406</v>
      </c>
      <c r="AA1358" s="50"/>
    </row>
    <row r="1359" spans="1:27" ht="25.5" customHeight="1">
      <c r="A1359" s="517" t="s">
        <v>2286</v>
      </c>
      <c r="B1359" s="51" t="s">
        <v>1262</v>
      </c>
      <c r="C1359" s="51" t="s">
        <v>143</v>
      </c>
      <c r="D1359" s="51" t="s">
        <v>4914</v>
      </c>
      <c r="E1359" s="50">
        <v>4541</v>
      </c>
      <c r="F1359" s="50">
        <v>4655</v>
      </c>
      <c r="G1359" s="50" t="s">
        <v>3404</v>
      </c>
      <c r="H1359" s="50">
        <v>2024</v>
      </c>
      <c r="I1359" s="132">
        <v>45324</v>
      </c>
      <c r="J1359" s="50"/>
      <c r="K1359" s="50" t="s">
        <v>30</v>
      </c>
      <c r="L1359" s="50" t="s">
        <v>2289</v>
      </c>
      <c r="M1359" s="50" t="s">
        <v>212</v>
      </c>
      <c r="N1359" s="50"/>
      <c r="O1359" s="50"/>
      <c r="P1359" s="50"/>
      <c r="Q1359" s="50"/>
      <c r="R1359" s="50"/>
      <c r="S1359" s="50" t="str">
        <f t="shared" si="128"/>
        <v/>
      </c>
      <c r="T1359" s="50" t="str">
        <f t="shared" si="126"/>
        <v/>
      </c>
      <c r="U1359" s="50" t="str">
        <f t="shared" si="127"/>
        <v/>
      </c>
      <c r="V1359" s="50" t="str">
        <f t="shared" si="125"/>
        <v/>
      </c>
      <c r="W1359" s="50"/>
      <c r="X1359" s="50"/>
      <c r="Y1359" s="50"/>
      <c r="Z1359" s="50" t="s">
        <v>3406</v>
      </c>
      <c r="AA1359" s="50"/>
    </row>
    <row r="1360" spans="1:27" ht="25.5" customHeight="1">
      <c r="A1360" s="517" t="s">
        <v>2286</v>
      </c>
      <c r="B1360" s="51" t="s">
        <v>1262</v>
      </c>
      <c r="C1360" s="51" t="s">
        <v>143</v>
      </c>
      <c r="D1360" s="51" t="s">
        <v>1263</v>
      </c>
      <c r="E1360" s="50">
        <v>6319</v>
      </c>
      <c r="F1360" s="50">
        <v>7377</v>
      </c>
      <c r="G1360" s="50" t="s">
        <v>3404</v>
      </c>
      <c r="H1360" s="50">
        <v>2025</v>
      </c>
      <c r="I1360" s="132">
        <v>45925</v>
      </c>
      <c r="J1360" s="50" t="s">
        <v>3128</v>
      </c>
      <c r="K1360" s="50" t="s">
        <v>30</v>
      </c>
      <c r="L1360" s="50" t="s">
        <v>2289</v>
      </c>
      <c r="M1360" s="50" t="s">
        <v>212</v>
      </c>
      <c r="N1360" s="50" t="s">
        <v>4915</v>
      </c>
      <c r="O1360" s="60">
        <v>45926</v>
      </c>
      <c r="P1360" s="60">
        <v>45939</v>
      </c>
      <c r="Q1360" s="60">
        <v>45939</v>
      </c>
      <c r="R1360" s="60">
        <v>45940</v>
      </c>
      <c r="S1360" s="50">
        <f t="shared" si="128"/>
        <v>1</v>
      </c>
      <c r="T1360" s="50">
        <f t="shared" si="126"/>
        <v>9</v>
      </c>
      <c r="U1360" s="50">
        <f t="shared" si="127"/>
        <v>1</v>
      </c>
      <c r="V1360" s="50">
        <f t="shared" si="125"/>
        <v>1</v>
      </c>
      <c r="W1360" s="50" t="s">
        <v>150</v>
      </c>
      <c r="X1360" s="50" t="s">
        <v>1078</v>
      </c>
      <c r="Y1360" s="50" t="s">
        <v>50</v>
      </c>
      <c r="Z1360" s="50" t="s">
        <v>3406</v>
      </c>
      <c r="AA1360" s="50"/>
    </row>
    <row r="1361" spans="1:27" ht="25.5" customHeight="1">
      <c r="A1361" s="517" t="s">
        <v>2286</v>
      </c>
      <c r="B1361" s="51" t="s">
        <v>1262</v>
      </c>
      <c r="C1361" s="51" t="s">
        <v>143</v>
      </c>
      <c r="D1361" s="51" t="s">
        <v>4916</v>
      </c>
      <c r="E1361" s="50">
        <v>699</v>
      </c>
      <c r="F1361" s="50">
        <v>727</v>
      </c>
      <c r="G1361" s="50" t="s">
        <v>3404</v>
      </c>
      <c r="H1361" s="50">
        <v>2025</v>
      </c>
      <c r="I1361" s="132">
        <v>45680</v>
      </c>
      <c r="J1361" s="50" t="s">
        <v>3424</v>
      </c>
      <c r="K1361" s="50" t="s">
        <v>30</v>
      </c>
      <c r="L1361" s="50" t="s">
        <v>2289</v>
      </c>
      <c r="M1361" s="50" t="s">
        <v>212</v>
      </c>
      <c r="N1361" s="50" t="s">
        <v>4917</v>
      </c>
      <c r="O1361" s="60">
        <v>45680</v>
      </c>
      <c r="P1361" s="60">
        <v>45681</v>
      </c>
      <c r="Q1361" s="60">
        <v>45681</v>
      </c>
      <c r="R1361" s="60">
        <v>45682</v>
      </c>
      <c r="S1361" s="50">
        <f t="shared" si="128"/>
        <v>1</v>
      </c>
      <c r="T1361" s="50">
        <f t="shared" si="126"/>
        <v>1</v>
      </c>
      <c r="U1361" s="50">
        <f t="shared" si="127"/>
        <v>1</v>
      </c>
      <c r="V1361" s="50">
        <f t="shared" si="125"/>
        <v>1</v>
      </c>
      <c r="W1361" s="50" t="s">
        <v>150</v>
      </c>
      <c r="X1361" s="50" t="s">
        <v>4</v>
      </c>
      <c r="Y1361" s="50" t="s">
        <v>50</v>
      </c>
      <c r="Z1361" s="50" t="s">
        <v>3406</v>
      </c>
      <c r="AA1361" s="50" t="s">
        <v>815</v>
      </c>
    </row>
    <row r="1362" spans="1:27" ht="25.5" customHeight="1">
      <c r="A1362" s="517" t="s">
        <v>2286</v>
      </c>
      <c r="B1362" s="51" t="s">
        <v>1262</v>
      </c>
      <c r="C1362" s="51" t="s">
        <v>143</v>
      </c>
      <c r="D1362" s="51" t="s">
        <v>4918</v>
      </c>
      <c r="E1362" s="50">
        <v>1471</v>
      </c>
      <c r="F1362" s="50">
        <v>1751</v>
      </c>
      <c r="G1362" s="50" t="s">
        <v>3404</v>
      </c>
      <c r="H1362" s="50">
        <v>2025</v>
      </c>
      <c r="I1362" s="132">
        <v>45741</v>
      </c>
      <c r="J1362" s="50" t="s">
        <v>3470</v>
      </c>
      <c r="K1362" s="50" t="s">
        <v>30</v>
      </c>
      <c r="L1362" s="50" t="s">
        <v>2289</v>
      </c>
      <c r="M1362" s="50" t="s">
        <v>212</v>
      </c>
      <c r="N1362" s="50" t="s">
        <v>4919</v>
      </c>
      <c r="O1362" s="60">
        <v>45743</v>
      </c>
      <c r="P1362" s="60">
        <v>45754</v>
      </c>
      <c r="Q1362" s="60">
        <v>45754</v>
      </c>
      <c r="R1362" s="60">
        <v>45757</v>
      </c>
      <c r="S1362" s="50">
        <f t="shared" si="128"/>
        <v>2</v>
      </c>
      <c r="T1362" s="50">
        <f t="shared" si="126"/>
        <v>7</v>
      </c>
      <c r="U1362" s="50">
        <f t="shared" si="127"/>
        <v>1</v>
      </c>
      <c r="V1362" s="50">
        <f t="shared" si="125"/>
        <v>3</v>
      </c>
      <c r="W1362" s="50" t="s">
        <v>150</v>
      </c>
      <c r="X1362" s="50" t="s">
        <v>1078</v>
      </c>
      <c r="Y1362" s="50" t="s">
        <v>50</v>
      </c>
      <c r="Z1362" s="50" t="s">
        <v>3406</v>
      </c>
      <c r="AA1362" s="50"/>
    </row>
    <row r="1363" spans="1:27" ht="25.5" customHeight="1">
      <c r="A1363" s="517" t="s">
        <v>2286</v>
      </c>
      <c r="B1363" s="51" t="s">
        <v>1262</v>
      </c>
      <c r="C1363" s="51" t="s">
        <v>143</v>
      </c>
      <c r="D1363" s="51" t="s">
        <v>4920</v>
      </c>
      <c r="E1363" s="50">
        <v>2146</v>
      </c>
      <c r="F1363" s="50">
        <v>2358</v>
      </c>
      <c r="G1363" s="50" t="s">
        <v>3404</v>
      </c>
      <c r="H1363" s="50">
        <v>2025</v>
      </c>
      <c r="I1363" s="132">
        <v>45742</v>
      </c>
      <c r="J1363" s="50" t="s">
        <v>3470</v>
      </c>
      <c r="K1363" s="50" t="s">
        <v>30</v>
      </c>
      <c r="L1363" s="50" t="s">
        <v>2289</v>
      </c>
      <c r="M1363" s="50" t="s">
        <v>212</v>
      </c>
      <c r="N1363" s="50" t="s">
        <v>4921</v>
      </c>
      <c r="O1363" s="60">
        <v>45743</v>
      </c>
      <c r="P1363" s="60">
        <v>45754</v>
      </c>
      <c r="Q1363" s="60">
        <v>45754</v>
      </c>
      <c r="R1363" s="60">
        <v>45757</v>
      </c>
      <c r="S1363" s="50">
        <f t="shared" si="128"/>
        <v>1</v>
      </c>
      <c r="T1363" s="50">
        <f t="shared" si="126"/>
        <v>7</v>
      </c>
      <c r="U1363" s="50">
        <f t="shared" si="127"/>
        <v>1</v>
      </c>
      <c r="V1363" s="50">
        <f t="shared" si="125"/>
        <v>3</v>
      </c>
      <c r="W1363" s="50" t="s">
        <v>150</v>
      </c>
      <c r="X1363" s="50" t="s">
        <v>1078</v>
      </c>
      <c r="Y1363" s="50" t="s">
        <v>50</v>
      </c>
      <c r="Z1363" s="50" t="s">
        <v>3406</v>
      </c>
      <c r="AA1363" s="50"/>
    </row>
    <row r="1364" spans="1:27" s="110" customFormat="1" ht="25.5" customHeight="1">
      <c r="A1364" s="517" t="s">
        <v>2286</v>
      </c>
      <c r="B1364" s="51" t="s">
        <v>1262</v>
      </c>
      <c r="C1364" s="51" t="s">
        <v>143</v>
      </c>
      <c r="D1364" s="51" t="s">
        <v>4922</v>
      </c>
      <c r="E1364" s="50">
        <v>3415</v>
      </c>
      <c r="F1364" s="50">
        <v>3677</v>
      </c>
      <c r="G1364" s="50" t="s">
        <v>3404</v>
      </c>
      <c r="H1364" s="50">
        <v>2025</v>
      </c>
      <c r="I1364" s="132">
        <v>45769</v>
      </c>
      <c r="J1364" s="50" t="s">
        <v>3532</v>
      </c>
      <c r="K1364" s="50" t="s">
        <v>30</v>
      </c>
      <c r="L1364" s="50" t="s">
        <v>2289</v>
      </c>
      <c r="M1364" s="50" t="s">
        <v>212</v>
      </c>
      <c r="N1364" s="50" t="s">
        <v>4923</v>
      </c>
      <c r="O1364" s="60">
        <v>45776</v>
      </c>
      <c r="P1364" s="60">
        <v>45777</v>
      </c>
      <c r="Q1364" s="60">
        <v>45777</v>
      </c>
      <c r="R1364" s="60">
        <v>45779</v>
      </c>
      <c r="S1364" s="50">
        <f t="shared" si="128"/>
        <v>5</v>
      </c>
      <c r="T1364" s="50">
        <f t="shared" si="126"/>
        <v>1</v>
      </c>
      <c r="U1364" s="50">
        <f t="shared" si="127"/>
        <v>1</v>
      </c>
      <c r="V1364" s="50">
        <f t="shared" si="125"/>
        <v>2</v>
      </c>
      <c r="W1364" s="50" t="s">
        <v>150</v>
      </c>
      <c r="X1364" s="50" t="s">
        <v>1078</v>
      </c>
      <c r="Y1364" s="50" t="s">
        <v>50</v>
      </c>
      <c r="Z1364" s="50" t="s">
        <v>3406</v>
      </c>
      <c r="AA1364" s="50"/>
    </row>
    <row r="1365" spans="1:27" ht="25.5" customHeight="1">
      <c r="A1365" s="517" t="s">
        <v>2286</v>
      </c>
      <c r="B1365" s="51" t="s">
        <v>1262</v>
      </c>
      <c r="C1365" s="51" t="s">
        <v>143</v>
      </c>
      <c r="D1365" s="51" t="s">
        <v>4924</v>
      </c>
      <c r="E1365" s="50">
        <v>3503</v>
      </c>
      <c r="F1365" s="50">
        <v>3952</v>
      </c>
      <c r="G1365" s="50" t="s">
        <v>3404</v>
      </c>
      <c r="H1365" s="50">
        <v>2024</v>
      </c>
      <c r="I1365" s="132">
        <v>45408</v>
      </c>
      <c r="J1365" s="50"/>
      <c r="K1365" s="50" t="s">
        <v>30</v>
      </c>
      <c r="L1365" s="50" t="s">
        <v>2289</v>
      </c>
      <c r="M1365" s="50" t="s">
        <v>212</v>
      </c>
      <c r="N1365" s="50"/>
      <c r="O1365" s="50"/>
      <c r="P1365" s="50"/>
      <c r="Q1365" s="50"/>
      <c r="R1365" s="50"/>
      <c r="S1365" s="50" t="str">
        <f t="shared" si="128"/>
        <v/>
      </c>
      <c r="T1365" s="50" t="str">
        <f t="shared" si="126"/>
        <v/>
      </c>
      <c r="U1365" s="50" t="str">
        <f t="shared" si="127"/>
        <v/>
      </c>
      <c r="V1365" s="50" t="str">
        <f t="shared" si="125"/>
        <v/>
      </c>
      <c r="W1365" s="50"/>
      <c r="X1365" s="50"/>
      <c r="Y1365" s="50"/>
      <c r="Z1365" s="50" t="s">
        <v>3406</v>
      </c>
      <c r="AA1365" s="50"/>
    </row>
    <row r="1366" spans="1:27" ht="25.5" customHeight="1">
      <c r="A1366" s="517" t="s">
        <v>2286</v>
      </c>
      <c r="B1366" s="51" t="s">
        <v>1262</v>
      </c>
      <c r="C1366" s="51" t="s">
        <v>143</v>
      </c>
      <c r="D1366" s="51" t="s">
        <v>858</v>
      </c>
      <c r="E1366" s="50">
        <v>3312</v>
      </c>
      <c r="F1366" s="50">
        <v>3604</v>
      </c>
      <c r="G1366" s="50" t="s">
        <v>3404</v>
      </c>
      <c r="H1366" s="50">
        <v>2024</v>
      </c>
      <c r="I1366" s="132">
        <v>45408</v>
      </c>
      <c r="J1366" s="50"/>
      <c r="K1366" s="50" t="s">
        <v>30</v>
      </c>
      <c r="L1366" s="50" t="s">
        <v>2289</v>
      </c>
      <c r="M1366" s="50" t="s">
        <v>212</v>
      </c>
      <c r="N1366" s="50"/>
      <c r="O1366" s="50"/>
      <c r="P1366" s="50"/>
      <c r="Q1366" s="50"/>
      <c r="R1366" s="50"/>
      <c r="S1366" s="50" t="str">
        <f t="shared" si="128"/>
        <v/>
      </c>
      <c r="T1366" s="50" t="str">
        <f t="shared" si="126"/>
        <v/>
      </c>
      <c r="U1366" s="50" t="str">
        <f t="shared" si="127"/>
        <v/>
      </c>
      <c r="V1366" s="50" t="str">
        <f t="shared" si="125"/>
        <v/>
      </c>
      <c r="W1366" s="50"/>
      <c r="X1366" s="50"/>
      <c r="Y1366" s="50"/>
      <c r="Z1366" s="50" t="s">
        <v>3406</v>
      </c>
      <c r="AA1366" s="50"/>
    </row>
    <row r="1367" spans="1:27" ht="25.5" customHeight="1">
      <c r="A1367" s="517" t="s">
        <v>2286</v>
      </c>
      <c r="B1367" s="51" t="s">
        <v>1262</v>
      </c>
      <c r="C1367" s="51" t="s">
        <v>143</v>
      </c>
      <c r="D1367" s="51" t="s">
        <v>4925</v>
      </c>
      <c r="E1367" s="50">
        <v>2623</v>
      </c>
      <c r="F1367" s="50">
        <v>2920</v>
      </c>
      <c r="G1367" s="50" t="s">
        <v>3404</v>
      </c>
      <c r="H1367" s="50">
        <v>2024</v>
      </c>
      <c r="I1367" s="132">
        <v>45414</v>
      </c>
      <c r="J1367" s="50"/>
      <c r="K1367" s="50" t="s">
        <v>30</v>
      </c>
      <c r="L1367" s="50" t="s">
        <v>2289</v>
      </c>
      <c r="M1367" s="50" t="s">
        <v>212</v>
      </c>
      <c r="N1367" s="50"/>
      <c r="O1367" s="50"/>
      <c r="P1367" s="50"/>
      <c r="Q1367" s="50"/>
      <c r="R1367" s="50"/>
      <c r="S1367" s="50" t="str">
        <f t="shared" si="128"/>
        <v/>
      </c>
      <c r="T1367" s="50" t="str">
        <f t="shared" si="126"/>
        <v/>
      </c>
      <c r="U1367" s="50" t="str">
        <f t="shared" si="127"/>
        <v/>
      </c>
      <c r="V1367" s="50" t="str">
        <f t="shared" si="125"/>
        <v/>
      </c>
      <c r="W1367" s="50"/>
      <c r="X1367" s="50"/>
      <c r="Y1367" s="50"/>
      <c r="Z1367" s="50" t="s">
        <v>3406</v>
      </c>
      <c r="AA1367" s="50"/>
    </row>
    <row r="1368" spans="1:27" ht="25.5" customHeight="1">
      <c r="A1368" s="517" t="s">
        <v>2286</v>
      </c>
      <c r="B1368" s="51" t="s">
        <v>1262</v>
      </c>
      <c r="C1368" s="51" t="s">
        <v>143</v>
      </c>
      <c r="D1368" s="51" t="s">
        <v>3723</v>
      </c>
      <c r="E1368" s="50">
        <v>2033</v>
      </c>
      <c r="F1368" s="50">
        <v>2198</v>
      </c>
      <c r="G1368" s="50" t="s">
        <v>3404</v>
      </c>
      <c r="H1368" s="50">
        <v>2025</v>
      </c>
      <c r="I1368" s="132">
        <v>45769</v>
      </c>
      <c r="J1368" s="50" t="s">
        <v>3532</v>
      </c>
      <c r="K1368" s="50" t="s">
        <v>30</v>
      </c>
      <c r="L1368" s="50" t="s">
        <v>28</v>
      </c>
      <c r="M1368" s="50" t="s">
        <v>212</v>
      </c>
      <c r="N1368" s="50" t="s">
        <v>4926</v>
      </c>
      <c r="O1368" s="60">
        <v>45776</v>
      </c>
      <c r="P1368" s="60">
        <v>45777</v>
      </c>
      <c r="Q1368" s="60">
        <v>45777</v>
      </c>
      <c r="R1368" s="60">
        <v>45779</v>
      </c>
      <c r="S1368" s="50">
        <f t="shared" si="128"/>
        <v>5</v>
      </c>
      <c r="T1368" s="50">
        <f t="shared" si="126"/>
        <v>1</v>
      </c>
      <c r="U1368" s="50">
        <f t="shared" si="127"/>
        <v>1</v>
      </c>
      <c r="V1368" s="50">
        <f t="shared" si="125"/>
        <v>2</v>
      </c>
      <c r="W1368" s="50" t="s">
        <v>150</v>
      </c>
      <c r="X1368" s="50" t="s">
        <v>1078</v>
      </c>
      <c r="Y1368" s="50" t="s">
        <v>50</v>
      </c>
      <c r="Z1368" s="50" t="s">
        <v>3406</v>
      </c>
      <c r="AA1368" s="50"/>
    </row>
    <row r="1369" spans="1:27" s="110" customFormat="1" ht="25.5" customHeight="1">
      <c r="A1369" s="517" t="s">
        <v>2286</v>
      </c>
      <c r="B1369" s="51" t="s">
        <v>1262</v>
      </c>
      <c r="C1369" s="51" t="s">
        <v>143</v>
      </c>
      <c r="D1369" s="51" t="s">
        <v>3974</v>
      </c>
      <c r="E1369" s="50">
        <v>1934</v>
      </c>
      <c r="F1369" s="50">
        <v>2210</v>
      </c>
      <c r="G1369" s="50" t="s">
        <v>3404</v>
      </c>
      <c r="H1369" s="50">
        <v>2025</v>
      </c>
      <c r="I1369" s="132">
        <v>45925</v>
      </c>
      <c r="J1369" s="50" t="s">
        <v>3128</v>
      </c>
      <c r="K1369" s="50" t="s">
        <v>30</v>
      </c>
      <c r="L1369" s="50" t="s">
        <v>2289</v>
      </c>
      <c r="M1369" s="50" t="s">
        <v>212</v>
      </c>
      <c r="N1369" s="50" t="s">
        <v>4927</v>
      </c>
      <c r="O1369" s="60">
        <v>45926</v>
      </c>
      <c r="P1369" s="60">
        <v>45939</v>
      </c>
      <c r="Q1369" s="60">
        <v>45939</v>
      </c>
      <c r="R1369" s="60">
        <v>45940</v>
      </c>
      <c r="S1369" s="50">
        <f t="shared" si="128"/>
        <v>1</v>
      </c>
      <c r="T1369" s="50">
        <f t="shared" si="126"/>
        <v>9</v>
      </c>
      <c r="U1369" s="50">
        <f t="shared" si="127"/>
        <v>1</v>
      </c>
      <c r="V1369" s="50">
        <f t="shared" ref="V1369:V1432" si="129">IF(
    OR(ISBLANK(Q1369), ISBLANK(R1369)),
    "",
    MAX(1, IF(
        NETWORKDAYS(Q1369, R1369) &lt;= 0,
        1,
        NETWORKDAYS(Q1369, R1369) - IF(Q1369 = R1369, 0, 1)
    ))
)</f>
        <v>1</v>
      </c>
      <c r="W1369" s="50" t="s">
        <v>150</v>
      </c>
      <c r="X1369" s="50" t="s">
        <v>1078</v>
      </c>
      <c r="Y1369" s="50" t="s">
        <v>50</v>
      </c>
      <c r="Z1369" s="50" t="s">
        <v>3406</v>
      </c>
      <c r="AA1369" s="50"/>
    </row>
    <row r="1370" spans="1:27" ht="25.5" customHeight="1">
      <c r="A1370" s="517" t="s">
        <v>2286</v>
      </c>
      <c r="B1370" s="51" t="s">
        <v>1262</v>
      </c>
      <c r="C1370" s="51" t="s">
        <v>143</v>
      </c>
      <c r="D1370" s="51" t="s">
        <v>4242</v>
      </c>
      <c r="E1370" s="50">
        <v>1326</v>
      </c>
      <c r="F1370" s="50">
        <v>1483</v>
      </c>
      <c r="G1370" s="50" t="s">
        <v>3404</v>
      </c>
      <c r="H1370" s="50">
        <v>2024</v>
      </c>
      <c r="I1370" s="132">
        <v>45324</v>
      </c>
      <c r="J1370" s="50"/>
      <c r="K1370" s="50" t="s">
        <v>30</v>
      </c>
      <c r="L1370" s="50" t="s">
        <v>2289</v>
      </c>
      <c r="M1370" s="50" t="s">
        <v>212</v>
      </c>
      <c r="N1370" s="50"/>
      <c r="O1370" s="50"/>
      <c r="P1370" s="50"/>
      <c r="Q1370" s="50"/>
      <c r="R1370" s="50"/>
      <c r="S1370" s="50" t="str">
        <f t="shared" si="128"/>
        <v/>
      </c>
      <c r="T1370" s="50" t="str">
        <f t="shared" si="126"/>
        <v/>
      </c>
      <c r="U1370" s="50" t="str">
        <f t="shared" si="127"/>
        <v/>
      </c>
      <c r="V1370" s="50" t="str">
        <f t="shared" si="129"/>
        <v/>
      </c>
      <c r="W1370" s="50"/>
      <c r="X1370" s="50"/>
      <c r="Y1370" s="50"/>
      <c r="Z1370" s="50" t="s">
        <v>3406</v>
      </c>
      <c r="AA1370" s="50"/>
    </row>
    <row r="1371" spans="1:27" ht="25.5" customHeight="1">
      <c r="A1371" s="517" t="s">
        <v>2286</v>
      </c>
      <c r="B1371" s="51" t="s">
        <v>1262</v>
      </c>
      <c r="C1371" s="51" t="s">
        <v>143</v>
      </c>
      <c r="D1371" s="51" t="s">
        <v>4928</v>
      </c>
      <c r="E1371" s="50">
        <v>3323</v>
      </c>
      <c r="F1371" s="50">
        <v>3464</v>
      </c>
      <c r="G1371" s="50" t="s">
        <v>3404</v>
      </c>
      <c r="H1371" s="50">
        <v>2025</v>
      </c>
      <c r="I1371" s="132">
        <v>45856</v>
      </c>
      <c r="J1371" s="50" t="s">
        <v>3126</v>
      </c>
      <c r="K1371" s="50" t="s">
        <v>30</v>
      </c>
      <c r="L1371" s="50" t="s">
        <v>2289</v>
      </c>
      <c r="M1371" s="50" t="s">
        <v>212</v>
      </c>
      <c r="N1371" s="50" t="s">
        <v>4929</v>
      </c>
      <c r="O1371" s="60">
        <v>45869</v>
      </c>
      <c r="P1371" s="60">
        <v>45874</v>
      </c>
      <c r="Q1371" s="60">
        <v>45882</v>
      </c>
      <c r="R1371" s="60">
        <v>45884</v>
      </c>
      <c r="S1371" s="50">
        <f t="shared" si="128"/>
        <v>9</v>
      </c>
      <c r="T1371" s="50">
        <f t="shared" si="126"/>
        <v>3</v>
      </c>
      <c r="U1371" s="50">
        <f t="shared" si="127"/>
        <v>6</v>
      </c>
      <c r="V1371" s="50">
        <f t="shared" si="129"/>
        <v>2</v>
      </c>
      <c r="W1371" s="50" t="s">
        <v>150</v>
      </c>
      <c r="X1371" s="50" t="s">
        <v>1078</v>
      </c>
      <c r="Y1371" s="50" t="s">
        <v>50</v>
      </c>
      <c r="Z1371" s="50" t="s">
        <v>3406</v>
      </c>
      <c r="AA1371" s="50"/>
    </row>
    <row r="1372" spans="1:27" ht="25.5" customHeight="1">
      <c r="A1372" s="517" t="s">
        <v>2286</v>
      </c>
      <c r="B1372" s="51" t="s">
        <v>1262</v>
      </c>
      <c r="C1372" s="51" t="s">
        <v>143</v>
      </c>
      <c r="D1372" s="51" t="s">
        <v>4930</v>
      </c>
      <c r="E1372" s="50">
        <v>4675</v>
      </c>
      <c r="F1372" s="50">
        <v>4940</v>
      </c>
      <c r="G1372" s="50" t="s">
        <v>3404</v>
      </c>
      <c r="H1372" s="50">
        <v>2025</v>
      </c>
      <c r="I1372" s="132">
        <v>45856</v>
      </c>
      <c r="J1372" s="50" t="s">
        <v>3126</v>
      </c>
      <c r="K1372" s="50" t="s">
        <v>30</v>
      </c>
      <c r="L1372" s="50" t="s">
        <v>28</v>
      </c>
      <c r="M1372" s="50" t="s">
        <v>212</v>
      </c>
      <c r="N1372" s="50" t="s">
        <v>4931</v>
      </c>
      <c r="O1372" s="60">
        <v>45869</v>
      </c>
      <c r="P1372" s="60">
        <v>45874</v>
      </c>
      <c r="Q1372" s="60">
        <v>45882</v>
      </c>
      <c r="R1372" s="60">
        <v>45884</v>
      </c>
      <c r="S1372" s="50">
        <f t="shared" si="128"/>
        <v>9</v>
      </c>
      <c r="T1372" s="50">
        <f t="shared" si="126"/>
        <v>3</v>
      </c>
      <c r="U1372" s="50">
        <f t="shared" si="127"/>
        <v>6</v>
      </c>
      <c r="V1372" s="50">
        <f t="shared" si="129"/>
        <v>2</v>
      </c>
      <c r="W1372" s="50" t="s">
        <v>150</v>
      </c>
      <c r="X1372" s="50" t="s">
        <v>1078</v>
      </c>
      <c r="Y1372" s="50" t="s">
        <v>50</v>
      </c>
      <c r="Z1372" s="50" t="s">
        <v>3406</v>
      </c>
      <c r="AA1372" s="50"/>
    </row>
    <row r="1373" spans="1:27" ht="25.5" customHeight="1">
      <c r="A1373" s="517" t="s">
        <v>2286</v>
      </c>
      <c r="B1373" s="51" t="s">
        <v>1262</v>
      </c>
      <c r="C1373" s="51" t="s">
        <v>143</v>
      </c>
      <c r="D1373" s="51" t="s">
        <v>4446</v>
      </c>
      <c r="E1373" s="50">
        <v>3513</v>
      </c>
      <c r="F1373" s="50">
        <v>4109</v>
      </c>
      <c r="G1373" s="50" t="s">
        <v>3404</v>
      </c>
      <c r="H1373" s="50">
        <v>2024</v>
      </c>
      <c r="I1373" s="132">
        <v>45462</v>
      </c>
      <c r="J1373" s="50"/>
      <c r="K1373" s="50" t="s">
        <v>30</v>
      </c>
      <c r="L1373" s="50" t="s">
        <v>2289</v>
      </c>
      <c r="M1373" s="50" t="s">
        <v>212</v>
      </c>
      <c r="N1373" s="50"/>
      <c r="O1373" s="50"/>
      <c r="P1373" s="50"/>
      <c r="Q1373" s="50"/>
      <c r="R1373" s="50"/>
      <c r="S1373" s="50" t="str">
        <f t="shared" si="128"/>
        <v/>
      </c>
      <c r="T1373" s="50" t="str">
        <f t="shared" si="126"/>
        <v/>
      </c>
      <c r="U1373" s="50" t="str">
        <f t="shared" si="127"/>
        <v/>
      </c>
      <c r="V1373" s="50" t="str">
        <f t="shared" si="129"/>
        <v/>
      </c>
      <c r="W1373" s="50"/>
      <c r="X1373" s="50" t="s">
        <v>4</v>
      </c>
      <c r="Y1373" s="50" t="s">
        <v>50</v>
      </c>
      <c r="Z1373" s="50" t="s">
        <v>3406</v>
      </c>
      <c r="AA1373" s="50"/>
    </row>
    <row r="1374" spans="1:27" ht="25.5" customHeight="1">
      <c r="A1374" s="517" t="s">
        <v>2286</v>
      </c>
      <c r="B1374" s="51" t="s">
        <v>1262</v>
      </c>
      <c r="C1374" s="51" t="s">
        <v>143</v>
      </c>
      <c r="D1374" s="51" t="s">
        <v>4932</v>
      </c>
      <c r="E1374" s="50">
        <v>2281</v>
      </c>
      <c r="F1374" s="50">
        <v>2466</v>
      </c>
      <c r="G1374" s="50" t="s">
        <v>3404</v>
      </c>
      <c r="H1374" s="50">
        <v>2025</v>
      </c>
      <c r="I1374" s="132">
        <v>45769</v>
      </c>
      <c r="J1374" s="50" t="s">
        <v>4933</v>
      </c>
      <c r="K1374" s="50" t="s">
        <v>30</v>
      </c>
      <c r="L1374" s="50" t="s">
        <v>28</v>
      </c>
      <c r="M1374" s="50" t="s">
        <v>212</v>
      </c>
      <c r="N1374" s="50" t="s">
        <v>4934</v>
      </c>
      <c r="O1374" s="60">
        <v>45777</v>
      </c>
      <c r="P1374" s="60">
        <v>45777</v>
      </c>
      <c r="Q1374" s="60">
        <v>45777</v>
      </c>
      <c r="R1374" s="60">
        <v>45779</v>
      </c>
      <c r="S1374" s="50">
        <f t="shared" si="128"/>
        <v>6</v>
      </c>
      <c r="T1374" s="50">
        <f t="shared" si="126"/>
        <v>1</v>
      </c>
      <c r="U1374" s="50">
        <f t="shared" si="127"/>
        <v>1</v>
      </c>
      <c r="V1374" s="50">
        <f t="shared" si="129"/>
        <v>2</v>
      </c>
      <c r="W1374" s="50" t="s">
        <v>150</v>
      </c>
      <c r="X1374" s="50" t="s">
        <v>1078</v>
      </c>
      <c r="Y1374" s="50" t="s">
        <v>847</v>
      </c>
      <c r="Z1374" s="50" t="s">
        <v>3406</v>
      </c>
      <c r="AA1374" s="50"/>
    </row>
    <row r="1375" spans="1:27" ht="25.5" customHeight="1">
      <c r="A1375" s="517" t="s">
        <v>2286</v>
      </c>
      <c r="B1375" s="51" t="s">
        <v>1266</v>
      </c>
      <c r="C1375" s="51" t="s">
        <v>143</v>
      </c>
      <c r="D1375" s="51" t="s">
        <v>3407</v>
      </c>
      <c r="E1375" s="50">
        <v>1524</v>
      </c>
      <c r="F1375" s="50">
        <v>1557</v>
      </c>
      <c r="G1375" s="50" t="s">
        <v>3404</v>
      </c>
      <c r="H1375" s="50">
        <v>2025</v>
      </c>
      <c r="I1375" s="132">
        <v>45891</v>
      </c>
      <c r="J1375" s="50" t="s">
        <v>3127</v>
      </c>
      <c r="K1375" s="50" t="s">
        <v>267</v>
      </c>
      <c r="L1375" s="50" t="s">
        <v>2289</v>
      </c>
      <c r="M1375" s="50" t="s">
        <v>212</v>
      </c>
      <c r="N1375" s="50" t="s">
        <v>4935</v>
      </c>
      <c r="O1375" s="60">
        <v>45918</v>
      </c>
      <c r="P1375" s="60">
        <v>45918</v>
      </c>
      <c r="Q1375" s="60">
        <v>45918</v>
      </c>
      <c r="R1375" s="60">
        <v>45919</v>
      </c>
      <c r="S1375" s="50">
        <f t="shared" si="128"/>
        <v>19</v>
      </c>
      <c r="T1375" s="50">
        <f t="shared" si="126"/>
        <v>1</v>
      </c>
      <c r="U1375" s="50">
        <f t="shared" si="127"/>
        <v>1</v>
      </c>
      <c r="V1375" s="50">
        <f t="shared" si="129"/>
        <v>1</v>
      </c>
      <c r="W1375" s="50" t="s">
        <v>150</v>
      </c>
      <c r="X1375" s="50" t="s">
        <v>4</v>
      </c>
      <c r="Y1375" s="50" t="s">
        <v>50</v>
      </c>
      <c r="Z1375" s="50" t="s">
        <v>3406</v>
      </c>
      <c r="AA1375" s="50"/>
    </row>
    <row r="1376" spans="1:27" ht="25.5" customHeight="1">
      <c r="A1376" s="517" t="s">
        <v>2286</v>
      </c>
      <c r="B1376" s="51" t="s">
        <v>1266</v>
      </c>
      <c r="C1376" s="51" t="s">
        <v>143</v>
      </c>
      <c r="D1376" s="51" t="s">
        <v>3403</v>
      </c>
      <c r="E1376" s="50">
        <v>2715</v>
      </c>
      <c r="F1376" s="50">
        <v>2715</v>
      </c>
      <c r="G1376" s="50" t="s">
        <v>3955</v>
      </c>
      <c r="H1376" s="50"/>
      <c r="I1376" s="105"/>
      <c r="J1376" s="50"/>
      <c r="K1376" s="50" t="s">
        <v>28</v>
      </c>
      <c r="L1376" s="50" t="s">
        <v>2289</v>
      </c>
      <c r="M1376" s="50" t="s">
        <v>212</v>
      </c>
      <c r="N1376" s="50"/>
      <c r="O1376" s="50"/>
      <c r="P1376" s="50"/>
      <c r="Q1376" s="50"/>
      <c r="R1376" s="50"/>
      <c r="S1376" s="50" t="str">
        <f t="shared" si="128"/>
        <v/>
      </c>
      <c r="T1376" s="50" t="str">
        <f t="shared" si="126"/>
        <v/>
      </c>
      <c r="U1376" s="50" t="str">
        <f t="shared" si="127"/>
        <v/>
      </c>
      <c r="V1376" s="50" t="str">
        <f t="shared" si="129"/>
        <v/>
      </c>
      <c r="W1376" s="50"/>
      <c r="X1376" s="50"/>
      <c r="Y1376" s="50"/>
      <c r="Z1376" s="50"/>
      <c r="AA1376" s="50"/>
    </row>
    <row r="1377" spans="1:27" ht="25.5" customHeight="1">
      <c r="A1377" s="517" t="s">
        <v>2286</v>
      </c>
      <c r="B1377" s="51" t="s">
        <v>1266</v>
      </c>
      <c r="C1377" s="51" t="s">
        <v>143</v>
      </c>
      <c r="D1377" s="51" t="s">
        <v>3409</v>
      </c>
      <c r="E1377" s="50">
        <v>1399</v>
      </c>
      <c r="F1377" s="50">
        <v>1278</v>
      </c>
      <c r="G1377" s="50" t="s">
        <v>3955</v>
      </c>
      <c r="H1377" s="50"/>
      <c r="I1377" s="105"/>
      <c r="J1377" s="50"/>
      <c r="K1377" s="50" t="s">
        <v>28</v>
      </c>
      <c r="L1377" s="50" t="s">
        <v>2289</v>
      </c>
      <c r="M1377" s="50" t="s">
        <v>212</v>
      </c>
      <c r="N1377" s="50"/>
      <c r="O1377" s="50"/>
      <c r="P1377" s="50"/>
      <c r="Q1377" s="50"/>
      <c r="R1377" s="50"/>
      <c r="S1377" s="50" t="str">
        <f t="shared" si="128"/>
        <v/>
      </c>
      <c r="T1377" s="50" t="str">
        <f t="shared" si="126"/>
        <v/>
      </c>
      <c r="U1377" s="50" t="str">
        <f t="shared" si="127"/>
        <v/>
      </c>
      <c r="V1377" s="50" t="str">
        <f t="shared" si="129"/>
        <v/>
      </c>
      <c r="W1377" s="50"/>
      <c r="X1377" s="50"/>
      <c r="Y1377" s="50"/>
      <c r="Z1377" s="50"/>
      <c r="AA1377" s="50"/>
    </row>
    <row r="1378" spans="1:27" ht="25.5" customHeight="1">
      <c r="A1378" s="517" t="s">
        <v>2286</v>
      </c>
      <c r="B1378" s="51" t="s">
        <v>1266</v>
      </c>
      <c r="C1378" s="51" t="s">
        <v>143</v>
      </c>
      <c r="D1378" s="51" t="s">
        <v>3410</v>
      </c>
      <c r="E1378" s="50">
        <v>3054</v>
      </c>
      <c r="F1378" s="50">
        <v>3196</v>
      </c>
      <c r="G1378" s="50" t="s">
        <v>3955</v>
      </c>
      <c r="H1378" s="50"/>
      <c r="I1378" s="105"/>
      <c r="J1378" s="50"/>
      <c r="K1378" s="50" t="s">
        <v>28</v>
      </c>
      <c r="L1378" s="50" t="s">
        <v>2289</v>
      </c>
      <c r="M1378" s="50" t="s">
        <v>212</v>
      </c>
      <c r="N1378" s="50"/>
      <c r="O1378" s="50"/>
      <c r="P1378" s="50"/>
      <c r="Q1378" s="50"/>
      <c r="R1378" s="50"/>
      <c r="S1378" s="50" t="str">
        <f t="shared" si="128"/>
        <v/>
      </c>
      <c r="T1378" s="50" t="str">
        <f t="shared" si="126"/>
        <v/>
      </c>
      <c r="U1378" s="50" t="str">
        <f t="shared" si="127"/>
        <v/>
      </c>
      <c r="V1378" s="50" t="str">
        <f t="shared" si="129"/>
        <v/>
      </c>
      <c r="W1378" s="50"/>
      <c r="X1378" s="50"/>
      <c r="Y1378" s="50"/>
      <c r="Z1378" s="50"/>
      <c r="AA1378" s="50"/>
    </row>
    <row r="1379" spans="1:27" ht="25.5" customHeight="1">
      <c r="A1379" s="517" t="s">
        <v>2286</v>
      </c>
      <c r="B1379" s="51" t="s">
        <v>1266</v>
      </c>
      <c r="C1379" s="51" t="s">
        <v>143</v>
      </c>
      <c r="D1379" s="51" t="s">
        <v>4936</v>
      </c>
      <c r="E1379" s="50">
        <v>586</v>
      </c>
      <c r="F1379" s="50">
        <v>625</v>
      </c>
      <c r="G1379" s="50" t="s">
        <v>3955</v>
      </c>
      <c r="H1379" s="50"/>
      <c r="I1379" s="105"/>
      <c r="J1379" s="50"/>
      <c r="K1379" s="50" t="s">
        <v>28</v>
      </c>
      <c r="L1379" s="50" t="s">
        <v>2289</v>
      </c>
      <c r="M1379" s="50" t="s">
        <v>212</v>
      </c>
      <c r="N1379" s="50"/>
      <c r="O1379" s="50"/>
      <c r="P1379" s="50"/>
      <c r="Q1379" s="50"/>
      <c r="R1379" s="50"/>
      <c r="S1379" s="50" t="str">
        <f t="shared" si="128"/>
        <v/>
      </c>
      <c r="T1379" s="50" t="str">
        <f t="shared" si="126"/>
        <v/>
      </c>
      <c r="U1379" s="50" t="str">
        <f t="shared" si="127"/>
        <v/>
      </c>
      <c r="V1379" s="50" t="str">
        <f t="shared" si="129"/>
        <v/>
      </c>
      <c r="W1379" s="50"/>
      <c r="X1379" s="50"/>
      <c r="Y1379" s="50"/>
      <c r="Z1379" s="50"/>
      <c r="AA1379" s="50"/>
    </row>
    <row r="1380" spans="1:27" ht="25.5" customHeight="1">
      <c r="A1380" s="517" t="s">
        <v>2286</v>
      </c>
      <c r="B1380" s="51" t="s">
        <v>1266</v>
      </c>
      <c r="C1380" s="51" t="s">
        <v>143</v>
      </c>
      <c r="D1380" s="51" t="s">
        <v>4937</v>
      </c>
      <c r="E1380" s="50">
        <v>2471</v>
      </c>
      <c r="F1380" s="50">
        <v>2911</v>
      </c>
      <c r="G1380" s="50" t="s">
        <v>3955</v>
      </c>
      <c r="H1380" s="50"/>
      <c r="I1380" s="105"/>
      <c r="J1380" s="50"/>
      <c r="K1380" s="50" t="s">
        <v>28</v>
      </c>
      <c r="L1380" s="50" t="s">
        <v>2289</v>
      </c>
      <c r="M1380" s="50" t="s">
        <v>212</v>
      </c>
      <c r="N1380" s="50"/>
      <c r="O1380" s="50"/>
      <c r="P1380" s="50"/>
      <c r="Q1380" s="50"/>
      <c r="R1380" s="50"/>
      <c r="S1380" s="50" t="str">
        <f t="shared" si="128"/>
        <v/>
      </c>
      <c r="T1380" s="50" t="str">
        <f t="shared" si="126"/>
        <v/>
      </c>
      <c r="U1380" s="50" t="str">
        <f t="shared" si="127"/>
        <v/>
      </c>
      <c r="V1380" s="50" t="str">
        <f t="shared" si="129"/>
        <v/>
      </c>
      <c r="W1380" s="50"/>
      <c r="X1380" s="50"/>
      <c r="Y1380" s="50"/>
      <c r="Z1380" s="50"/>
      <c r="AA1380" s="50"/>
    </row>
    <row r="1381" spans="1:27" ht="25.5" customHeight="1">
      <c r="A1381" s="517" t="s">
        <v>2286</v>
      </c>
      <c r="B1381" s="51" t="s">
        <v>1266</v>
      </c>
      <c r="C1381" s="51" t="s">
        <v>143</v>
      </c>
      <c r="D1381" s="51" t="s">
        <v>4938</v>
      </c>
      <c r="E1381" s="50">
        <v>857</v>
      </c>
      <c r="F1381" s="50">
        <v>930</v>
      </c>
      <c r="G1381" s="50" t="s">
        <v>3955</v>
      </c>
      <c r="H1381" s="50"/>
      <c r="I1381" s="105"/>
      <c r="J1381" s="50"/>
      <c r="K1381" s="50" t="s">
        <v>28</v>
      </c>
      <c r="L1381" s="50" t="s">
        <v>2289</v>
      </c>
      <c r="M1381" s="50" t="s">
        <v>212</v>
      </c>
      <c r="N1381" s="50"/>
      <c r="O1381" s="50"/>
      <c r="P1381" s="50"/>
      <c r="Q1381" s="50"/>
      <c r="R1381" s="50"/>
      <c r="S1381" s="50" t="str">
        <f t="shared" si="128"/>
        <v/>
      </c>
      <c r="T1381" s="50" t="str">
        <f t="shared" si="126"/>
        <v/>
      </c>
      <c r="U1381" s="50" t="str">
        <f t="shared" si="127"/>
        <v/>
      </c>
      <c r="V1381" s="50" t="str">
        <f t="shared" si="129"/>
        <v/>
      </c>
      <c r="W1381" s="50"/>
      <c r="X1381" s="50"/>
      <c r="Y1381" s="50"/>
      <c r="Z1381" s="50"/>
      <c r="AA1381" s="50"/>
    </row>
    <row r="1382" spans="1:27" ht="25.5" customHeight="1">
      <c r="A1382" s="517" t="s">
        <v>2286</v>
      </c>
      <c r="B1382" s="51" t="s">
        <v>1266</v>
      </c>
      <c r="C1382" s="51" t="s">
        <v>143</v>
      </c>
      <c r="D1382" s="51" t="s">
        <v>4939</v>
      </c>
      <c r="E1382" s="50">
        <v>420</v>
      </c>
      <c r="F1382" s="50">
        <v>459</v>
      </c>
      <c r="G1382" s="50" t="s">
        <v>3955</v>
      </c>
      <c r="H1382" s="50"/>
      <c r="I1382" s="105"/>
      <c r="J1382" s="50"/>
      <c r="K1382" s="50" t="s">
        <v>28</v>
      </c>
      <c r="L1382" s="50" t="s">
        <v>2289</v>
      </c>
      <c r="M1382" s="50" t="s">
        <v>212</v>
      </c>
      <c r="N1382" s="50"/>
      <c r="O1382" s="50"/>
      <c r="P1382" s="50"/>
      <c r="Q1382" s="50"/>
      <c r="R1382" s="50"/>
      <c r="S1382" s="50" t="str">
        <f t="shared" si="128"/>
        <v/>
      </c>
      <c r="T1382" s="50" t="str">
        <f t="shared" si="126"/>
        <v/>
      </c>
      <c r="U1382" s="50" t="str">
        <f t="shared" si="127"/>
        <v/>
      </c>
      <c r="V1382" s="50" t="str">
        <f t="shared" si="129"/>
        <v/>
      </c>
      <c r="W1382" s="50"/>
      <c r="X1382" s="50"/>
      <c r="Y1382" s="50"/>
      <c r="Z1382" s="50"/>
      <c r="AA1382" s="50"/>
    </row>
    <row r="1383" spans="1:27" ht="25.5" customHeight="1">
      <c r="A1383" s="517" t="s">
        <v>2286</v>
      </c>
      <c r="B1383" s="51" t="s">
        <v>1266</v>
      </c>
      <c r="C1383" s="51" t="s">
        <v>143</v>
      </c>
      <c r="D1383" s="51" t="s">
        <v>4940</v>
      </c>
      <c r="E1383" s="50">
        <v>1901</v>
      </c>
      <c r="F1383" s="50">
        <v>1927</v>
      </c>
      <c r="G1383" s="50" t="s">
        <v>3955</v>
      </c>
      <c r="H1383" s="50"/>
      <c r="I1383" s="105"/>
      <c r="J1383" s="50"/>
      <c r="K1383" s="50" t="s">
        <v>28</v>
      </c>
      <c r="L1383" s="50" t="s">
        <v>2289</v>
      </c>
      <c r="M1383" s="50" t="s">
        <v>212</v>
      </c>
      <c r="N1383" s="50"/>
      <c r="O1383" s="50"/>
      <c r="P1383" s="50"/>
      <c r="Q1383" s="50"/>
      <c r="R1383" s="50"/>
      <c r="S1383" s="50" t="str">
        <f t="shared" si="128"/>
        <v/>
      </c>
      <c r="T1383" s="50" t="str">
        <f t="shared" si="126"/>
        <v/>
      </c>
      <c r="U1383" s="50" t="str">
        <f t="shared" si="127"/>
        <v/>
      </c>
      <c r="V1383" s="50" t="str">
        <f t="shared" si="129"/>
        <v/>
      </c>
      <c r="W1383" s="50"/>
      <c r="X1383" s="50"/>
      <c r="Y1383" s="50"/>
      <c r="Z1383" s="50"/>
      <c r="AA1383" s="50"/>
    </row>
    <row r="1384" spans="1:27" s="110" customFormat="1" ht="25.5" customHeight="1">
      <c r="A1384" s="517" t="s">
        <v>2286</v>
      </c>
      <c r="B1384" s="51" t="s">
        <v>1266</v>
      </c>
      <c r="C1384" s="51" t="s">
        <v>143</v>
      </c>
      <c r="D1384" s="51" t="s">
        <v>1267</v>
      </c>
      <c r="E1384" s="50">
        <v>2916</v>
      </c>
      <c r="F1384" s="50">
        <v>3173</v>
      </c>
      <c r="G1384" s="50" t="s">
        <v>3404</v>
      </c>
      <c r="H1384" s="50">
        <v>2024</v>
      </c>
      <c r="I1384" s="132">
        <v>45377</v>
      </c>
      <c r="J1384" s="50"/>
      <c r="K1384" s="50" t="s">
        <v>28</v>
      </c>
      <c r="L1384" s="50" t="s">
        <v>2289</v>
      </c>
      <c r="M1384" s="50" t="s">
        <v>212</v>
      </c>
      <c r="N1384" s="50"/>
      <c r="O1384" s="50"/>
      <c r="P1384" s="50"/>
      <c r="Q1384" s="50"/>
      <c r="R1384" s="50"/>
      <c r="S1384" s="50" t="str">
        <f t="shared" si="128"/>
        <v/>
      </c>
      <c r="T1384" s="50" t="str">
        <f t="shared" si="126"/>
        <v/>
      </c>
      <c r="U1384" s="50" t="str">
        <f t="shared" si="127"/>
        <v/>
      </c>
      <c r="V1384" s="50" t="str">
        <f t="shared" si="129"/>
        <v/>
      </c>
      <c r="W1384" s="50"/>
      <c r="X1384" s="50"/>
      <c r="Y1384" s="50"/>
      <c r="Z1384" s="50"/>
      <c r="AA1384" s="50"/>
    </row>
    <row r="1385" spans="1:27" ht="25.5" customHeight="1">
      <c r="A1385" s="517" t="s">
        <v>2286</v>
      </c>
      <c r="B1385" s="51" t="s">
        <v>1266</v>
      </c>
      <c r="C1385" s="51" t="s">
        <v>143</v>
      </c>
      <c r="D1385" s="51" t="s">
        <v>1225</v>
      </c>
      <c r="E1385" s="50">
        <v>1976</v>
      </c>
      <c r="F1385" s="50">
        <v>2297</v>
      </c>
      <c r="G1385" s="50" t="s">
        <v>3955</v>
      </c>
      <c r="H1385" s="50"/>
      <c r="I1385" s="105"/>
      <c r="J1385" s="50"/>
      <c r="K1385" s="50" t="s">
        <v>28</v>
      </c>
      <c r="L1385" s="50" t="s">
        <v>2289</v>
      </c>
      <c r="M1385" s="50" t="s">
        <v>212</v>
      </c>
      <c r="N1385" s="50"/>
      <c r="O1385" s="50"/>
      <c r="P1385" s="50"/>
      <c r="Q1385" s="50"/>
      <c r="R1385" s="50"/>
      <c r="S1385" s="50" t="str">
        <f t="shared" si="128"/>
        <v/>
      </c>
      <c r="T1385" s="50" t="str">
        <f t="shared" si="126"/>
        <v/>
      </c>
      <c r="U1385" s="50" t="str">
        <f t="shared" si="127"/>
        <v/>
      </c>
      <c r="V1385" s="50" t="str">
        <f t="shared" si="129"/>
        <v/>
      </c>
      <c r="W1385" s="50"/>
      <c r="X1385" s="50"/>
      <c r="Y1385" s="50"/>
      <c r="Z1385" s="50" t="s">
        <v>3406</v>
      </c>
      <c r="AA1385" s="50"/>
    </row>
    <row r="1386" spans="1:27" ht="25.5" customHeight="1">
      <c r="A1386" s="517" t="s">
        <v>2286</v>
      </c>
      <c r="B1386" s="51" t="s">
        <v>1266</v>
      </c>
      <c r="C1386" s="51" t="s">
        <v>143</v>
      </c>
      <c r="D1386" s="51" t="s">
        <v>1953</v>
      </c>
      <c r="E1386" s="50">
        <v>3052</v>
      </c>
      <c r="F1386" s="50">
        <v>3183</v>
      </c>
      <c r="G1386" s="50" t="s">
        <v>3955</v>
      </c>
      <c r="H1386" s="50"/>
      <c r="I1386" s="105"/>
      <c r="J1386" s="50"/>
      <c r="K1386" s="50" t="s">
        <v>28</v>
      </c>
      <c r="L1386" s="50" t="s">
        <v>2289</v>
      </c>
      <c r="M1386" s="50" t="s">
        <v>212</v>
      </c>
      <c r="N1386" s="50"/>
      <c r="O1386" s="50"/>
      <c r="P1386" s="50"/>
      <c r="Q1386" s="50"/>
      <c r="R1386" s="50"/>
      <c r="S1386" s="50" t="str">
        <f t="shared" si="128"/>
        <v/>
      </c>
      <c r="T1386" s="50" t="str">
        <f t="shared" si="126"/>
        <v/>
      </c>
      <c r="U1386" s="50" t="str">
        <f t="shared" si="127"/>
        <v/>
      </c>
      <c r="V1386" s="50" t="str">
        <f t="shared" si="129"/>
        <v/>
      </c>
      <c r="W1386" s="50"/>
      <c r="X1386" s="50"/>
      <c r="Y1386" s="50"/>
      <c r="Z1386" s="50"/>
      <c r="AA1386" s="50"/>
    </row>
    <row r="1387" spans="1:27" ht="25.5" customHeight="1">
      <c r="A1387" s="517" t="s">
        <v>2286</v>
      </c>
      <c r="B1387" s="51" t="s">
        <v>1266</v>
      </c>
      <c r="C1387" s="51" t="s">
        <v>143</v>
      </c>
      <c r="D1387" s="51" t="s">
        <v>1180</v>
      </c>
      <c r="E1387" s="50">
        <v>3457</v>
      </c>
      <c r="F1387" s="50">
        <v>4136</v>
      </c>
      <c r="G1387" s="50" t="s">
        <v>3955</v>
      </c>
      <c r="H1387" s="50"/>
      <c r="I1387" s="105"/>
      <c r="J1387" s="50"/>
      <c r="K1387" s="50" t="s">
        <v>28</v>
      </c>
      <c r="L1387" s="50" t="s">
        <v>2289</v>
      </c>
      <c r="M1387" s="50" t="s">
        <v>212</v>
      </c>
      <c r="N1387" s="50"/>
      <c r="O1387" s="50"/>
      <c r="P1387" s="50"/>
      <c r="Q1387" s="50"/>
      <c r="R1387" s="50"/>
      <c r="S1387" s="50" t="str">
        <f t="shared" si="128"/>
        <v/>
      </c>
      <c r="T1387" s="50" t="str">
        <f t="shared" si="126"/>
        <v/>
      </c>
      <c r="U1387" s="50" t="str">
        <f t="shared" si="127"/>
        <v/>
      </c>
      <c r="V1387" s="50" t="str">
        <f t="shared" si="129"/>
        <v/>
      </c>
      <c r="W1387" s="50"/>
      <c r="X1387" s="50"/>
      <c r="Y1387" s="50"/>
      <c r="Z1387" s="50"/>
      <c r="AA1387" s="50"/>
    </row>
    <row r="1388" spans="1:27" s="110" customFormat="1" ht="25.5" customHeight="1">
      <c r="A1388" s="517" t="s">
        <v>2286</v>
      </c>
      <c r="B1388" s="51" t="s">
        <v>1266</v>
      </c>
      <c r="C1388" s="51" t="s">
        <v>143</v>
      </c>
      <c r="D1388" s="51" t="s">
        <v>4925</v>
      </c>
      <c r="E1388" s="50">
        <v>1736</v>
      </c>
      <c r="F1388" s="50">
        <v>1984</v>
      </c>
      <c r="G1388" s="50" t="s">
        <v>3404</v>
      </c>
      <c r="H1388" s="50">
        <v>2025</v>
      </c>
      <c r="I1388" s="132">
        <v>45939</v>
      </c>
      <c r="J1388" s="50" t="s">
        <v>3970</v>
      </c>
      <c r="K1388" s="50" t="s">
        <v>267</v>
      </c>
      <c r="L1388" s="50" t="s">
        <v>2289</v>
      </c>
      <c r="M1388" s="50" t="s">
        <v>212</v>
      </c>
      <c r="N1388" s="50" t="s">
        <v>4941</v>
      </c>
      <c r="O1388" s="60">
        <v>45945</v>
      </c>
      <c r="P1388" s="60">
        <v>45945</v>
      </c>
      <c r="Q1388" s="60">
        <v>45946</v>
      </c>
      <c r="R1388" s="60">
        <v>45947</v>
      </c>
      <c r="S1388" s="50">
        <f t="shared" si="128"/>
        <v>4</v>
      </c>
      <c r="T1388" s="50">
        <f t="shared" si="126"/>
        <v>1</v>
      </c>
      <c r="U1388" s="50">
        <f t="shared" si="127"/>
        <v>1</v>
      </c>
      <c r="V1388" s="50">
        <f t="shared" si="129"/>
        <v>1</v>
      </c>
      <c r="W1388" s="50" t="s">
        <v>150</v>
      </c>
      <c r="X1388" s="50" t="s">
        <v>1078</v>
      </c>
      <c r="Y1388" s="50" t="s">
        <v>50</v>
      </c>
      <c r="Z1388" s="50" t="s">
        <v>3406</v>
      </c>
      <c r="AA1388" s="50"/>
    </row>
    <row r="1389" spans="1:27" ht="25.5" customHeight="1">
      <c r="A1389" s="517" t="s">
        <v>2286</v>
      </c>
      <c r="B1389" s="51" t="s">
        <v>1266</v>
      </c>
      <c r="C1389" s="51" t="s">
        <v>143</v>
      </c>
      <c r="D1389" s="51" t="s">
        <v>918</v>
      </c>
      <c r="E1389" s="50">
        <v>2115</v>
      </c>
      <c r="F1389" s="50">
        <v>2435</v>
      </c>
      <c r="G1389" s="50" t="s">
        <v>3955</v>
      </c>
      <c r="H1389" s="50"/>
      <c r="I1389" s="105"/>
      <c r="J1389" s="50"/>
      <c r="K1389" s="50" t="s">
        <v>267</v>
      </c>
      <c r="L1389" s="50" t="s">
        <v>2289</v>
      </c>
      <c r="M1389" s="50" t="s">
        <v>212</v>
      </c>
      <c r="N1389" s="50"/>
      <c r="O1389" s="50"/>
      <c r="P1389" s="50"/>
      <c r="Q1389" s="50"/>
      <c r="R1389" s="50"/>
      <c r="S1389" s="50" t="str">
        <f t="shared" si="128"/>
        <v/>
      </c>
      <c r="T1389" s="50" t="str">
        <f t="shared" si="126"/>
        <v/>
      </c>
      <c r="U1389" s="50" t="str">
        <f t="shared" si="127"/>
        <v/>
      </c>
      <c r="V1389" s="50" t="str">
        <f t="shared" si="129"/>
        <v/>
      </c>
      <c r="W1389" s="50"/>
      <c r="X1389" s="50"/>
      <c r="Y1389" s="50"/>
      <c r="Z1389" s="50"/>
      <c r="AA1389" s="50"/>
    </row>
    <row r="1390" spans="1:27" ht="25.5" customHeight="1">
      <c r="A1390" s="517" t="s">
        <v>2286</v>
      </c>
      <c r="B1390" s="51" t="s">
        <v>1266</v>
      </c>
      <c r="C1390" s="51" t="s">
        <v>143</v>
      </c>
      <c r="D1390" s="51" t="s">
        <v>1166</v>
      </c>
      <c r="E1390" s="50">
        <v>2315</v>
      </c>
      <c r="F1390" s="50">
        <v>2058</v>
      </c>
      <c r="G1390" s="50" t="s">
        <v>3404</v>
      </c>
      <c r="H1390" s="50">
        <v>2024</v>
      </c>
      <c r="I1390" s="132">
        <v>45351</v>
      </c>
      <c r="J1390" s="50"/>
      <c r="K1390" s="50" t="s">
        <v>28</v>
      </c>
      <c r="L1390" s="50" t="s">
        <v>2289</v>
      </c>
      <c r="M1390" s="50" t="s">
        <v>212</v>
      </c>
      <c r="N1390" s="50"/>
      <c r="O1390" s="50"/>
      <c r="P1390" s="50"/>
      <c r="Q1390" s="50"/>
      <c r="R1390" s="50"/>
      <c r="S1390" s="50" t="str">
        <f t="shared" si="128"/>
        <v/>
      </c>
      <c r="T1390" s="50" t="str">
        <f t="shared" si="126"/>
        <v/>
      </c>
      <c r="U1390" s="50" t="str">
        <f t="shared" si="127"/>
        <v/>
      </c>
      <c r="V1390" s="50" t="str">
        <f t="shared" si="129"/>
        <v/>
      </c>
      <c r="W1390" s="50"/>
      <c r="X1390" s="50"/>
      <c r="Y1390" s="50"/>
      <c r="Z1390" s="50"/>
      <c r="AA1390" s="50"/>
    </row>
    <row r="1391" spans="1:27" ht="25.5" customHeight="1">
      <c r="A1391" s="517" t="s">
        <v>2286</v>
      </c>
      <c r="B1391" s="51" t="s">
        <v>1266</v>
      </c>
      <c r="C1391" s="51" t="s">
        <v>143</v>
      </c>
      <c r="D1391" s="51" t="s">
        <v>4942</v>
      </c>
      <c r="E1391" s="50">
        <v>3162</v>
      </c>
      <c r="F1391" s="50">
        <v>3399</v>
      </c>
      <c r="G1391" s="50" t="s">
        <v>3955</v>
      </c>
      <c r="H1391" s="50"/>
      <c r="I1391" s="105"/>
      <c r="J1391" s="50"/>
      <c r="K1391" s="50" t="s">
        <v>28</v>
      </c>
      <c r="L1391" s="50" t="s">
        <v>2289</v>
      </c>
      <c r="M1391" s="50" t="s">
        <v>212</v>
      </c>
      <c r="N1391" s="50"/>
      <c r="O1391" s="50"/>
      <c r="P1391" s="50"/>
      <c r="Q1391" s="50"/>
      <c r="R1391" s="50"/>
      <c r="S1391" s="50" t="str">
        <f t="shared" si="128"/>
        <v/>
      </c>
      <c r="T1391" s="50" t="str">
        <f t="shared" si="126"/>
        <v/>
      </c>
      <c r="U1391" s="50" t="str">
        <f t="shared" si="127"/>
        <v/>
      </c>
      <c r="V1391" s="50" t="str">
        <f t="shared" si="129"/>
        <v/>
      </c>
      <c r="W1391" s="50"/>
      <c r="X1391" s="50"/>
      <c r="Y1391" s="50"/>
      <c r="Z1391" s="50"/>
      <c r="AA1391" s="50"/>
    </row>
    <row r="1392" spans="1:27" ht="25.5" customHeight="1">
      <c r="A1392" s="517" t="s">
        <v>2286</v>
      </c>
      <c r="B1392" s="51" t="s">
        <v>1269</v>
      </c>
      <c r="C1392" s="51" t="s">
        <v>143</v>
      </c>
      <c r="D1392" s="51" t="s">
        <v>3667</v>
      </c>
      <c r="E1392" s="50">
        <v>2476</v>
      </c>
      <c r="F1392" s="50">
        <v>2735</v>
      </c>
      <c r="G1392" s="50" t="s">
        <v>3955</v>
      </c>
      <c r="H1392" s="50"/>
      <c r="I1392" s="105"/>
      <c r="J1392" s="50"/>
      <c r="K1392" s="50" t="s">
        <v>224</v>
      </c>
      <c r="L1392" s="50" t="s">
        <v>2289</v>
      </c>
      <c r="M1392" s="50" t="s">
        <v>212</v>
      </c>
      <c r="N1392" s="50"/>
      <c r="O1392" s="50"/>
      <c r="P1392" s="50"/>
      <c r="Q1392" s="50"/>
      <c r="R1392" s="50"/>
      <c r="S1392" s="50" t="str">
        <f t="shared" si="128"/>
        <v/>
      </c>
      <c r="T1392" s="50" t="str">
        <f t="shared" si="126"/>
        <v/>
      </c>
      <c r="U1392" s="50" t="str">
        <f t="shared" si="127"/>
        <v/>
      </c>
      <c r="V1392" s="50" t="str">
        <f t="shared" si="129"/>
        <v/>
      </c>
      <c r="W1392" s="50"/>
      <c r="X1392" s="50"/>
      <c r="Y1392" s="50"/>
      <c r="Z1392" s="50"/>
      <c r="AA1392" s="50"/>
    </row>
    <row r="1393" spans="1:27" ht="25.5" customHeight="1">
      <c r="A1393" s="517" t="s">
        <v>2286</v>
      </c>
      <c r="B1393" s="51" t="s">
        <v>1269</v>
      </c>
      <c r="C1393" s="51" t="s">
        <v>143</v>
      </c>
      <c r="D1393" s="51" t="s">
        <v>4943</v>
      </c>
      <c r="E1393" s="50">
        <v>1388</v>
      </c>
      <c r="F1393" s="50">
        <v>1498</v>
      </c>
      <c r="G1393" s="50" t="s">
        <v>3404</v>
      </c>
      <c r="H1393" s="50">
        <v>2025</v>
      </c>
      <c r="I1393" s="132">
        <v>45729</v>
      </c>
      <c r="J1393" s="50" t="s">
        <v>3416</v>
      </c>
      <c r="K1393" s="50" t="s">
        <v>224</v>
      </c>
      <c r="L1393" s="50" t="s">
        <v>2289</v>
      </c>
      <c r="M1393" s="50" t="s">
        <v>212</v>
      </c>
      <c r="N1393" s="50" t="s">
        <v>4944</v>
      </c>
      <c r="O1393" s="60">
        <v>45732</v>
      </c>
      <c r="P1393" s="60">
        <v>45734</v>
      </c>
      <c r="Q1393" s="60">
        <v>45734</v>
      </c>
      <c r="R1393" s="60">
        <v>45735</v>
      </c>
      <c r="S1393" s="50">
        <f t="shared" si="128"/>
        <v>1</v>
      </c>
      <c r="T1393" s="50">
        <f t="shared" si="126"/>
        <v>1</v>
      </c>
      <c r="U1393" s="50">
        <f t="shared" si="127"/>
        <v>1</v>
      </c>
      <c r="V1393" s="50">
        <f t="shared" si="129"/>
        <v>1</v>
      </c>
      <c r="W1393" s="50" t="s">
        <v>150</v>
      </c>
      <c r="X1393" s="50" t="s">
        <v>1078</v>
      </c>
      <c r="Y1393" s="50" t="s">
        <v>50</v>
      </c>
      <c r="Z1393" s="50" t="s">
        <v>3406</v>
      </c>
      <c r="AA1393" s="50"/>
    </row>
    <row r="1394" spans="1:27" s="110" customFormat="1" ht="25.5" customHeight="1">
      <c r="A1394" s="517" t="s">
        <v>2286</v>
      </c>
      <c r="B1394" s="51" t="s">
        <v>1269</v>
      </c>
      <c r="C1394" s="51" t="s">
        <v>143</v>
      </c>
      <c r="D1394" s="51" t="s">
        <v>1486</v>
      </c>
      <c r="E1394" s="50">
        <v>1393</v>
      </c>
      <c r="F1394" s="50">
        <v>1356</v>
      </c>
      <c r="G1394" s="50" t="s">
        <v>3404</v>
      </c>
      <c r="H1394" s="50">
        <v>2025</v>
      </c>
      <c r="I1394" s="132">
        <v>45700</v>
      </c>
      <c r="J1394" s="50" t="s">
        <v>3458</v>
      </c>
      <c r="K1394" s="50" t="s">
        <v>224</v>
      </c>
      <c r="L1394" s="50" t="s">
        <v>2289</v>
      </c>
      <c r="M1394" s="50" t="s">
        <v>212</v>
      </c>
      <c r="N1394" s="50" t="s">
        <v>4945</v>
      </c>
      <c r="O1394" s="60">
        <v>45700</v>
      </c>
      <c r="P1394" s="60">
        <v>45702</v>
      </c>
      <c r="Q1394" s="60">
        <v>45702</v>
      </c>
      <c r="R1394" s="60">
        <v>45705</v>
      </c>
      <c r="S1394" s="50">
        <f t="shared" si="128"/>
        <v>1</v>
      </c>
      <c r="T1394" s="50">
        <f t="shared" si="126"/>
        <v>2</v>
      </c>
      <c r="U1394" s="50">
        <f t="shared" si="127"/>
        <v>1</v>
      </c>
      <c r="V1394" s="50">
        <f t="shared" si="129"/>
        <v>1</v>
      </c>
      <c r="W1394" s="50" t="s">
        <v>150</v>
      </c>
      <c r="X1394" s="50" t="s">
        <v>1078</v>
      </c>
      <c r="Y1394" s="50" t="s">
        <v>50</v>
      </c>
      <c r="Z1394" s="50" t="s">
        <v>3406</v>
      </c>
      <c r="AA1394" s="50"/>
    </row>
    <row r="1395" spans="1:27" ht="25.5" customHeight="1">
      <c r="A1395" s="517" t="s">
        <v>2286</v>
      </c>
      <c r="B1395" s="51" t="s">
        <v>1269</v>
      </c>
      <c r="C1395" s="51" t="s">
        <v>143</v>
      </c>
      <c r="D1395" s="51" t="s">
        <v>4946</v>
      </c>
      <c r="E1395" s="50">
        <v>2565</v>
      </c>
      <c r="F1395" s="50">
        <v>2561</v>
      </c>
      <c r="G1395" s="50" t="s">
        <v>3955</v>
      </c>
      <c r="H1395" s="50"/>
      <c r="I1395" s="105"/>
      <c r="J1395" s="50"/>
      <c r="K1395" s="50" t="s">
        <v>224</v>
      </c>
      <c r="L1395" s="50" t="s">
        <v>2289</v>
      </c>
      <c r="M1395" s="50" t="s">
        <v>212</v>
      </c>
      <c r="N1395" s="50"/>
      <c r="O1395" s="50"/>
      <c r="P1395" s="50"/>
      <c r="Q1395" s="50"/>
      <c r="R1395" s="50"/>
      <c r="S1395" s="50" t="str">
        <f t="shared" si="128"/>
        <v/>
      </c>
      <c r="T1395" s="50" t="str">
        <f t="shared" si="126"/>
        <v/>
      </c>
      <c r="U1395" s="50" t="str">
        <f t="shared" si="127"/>
        <v/>
      </c>
      <c r="V1395" s="50" t="str">
        <f t="shared" si="129"/>
        <v/>
      </c>
      <c r="W1395" s="50"/>
      <c r="X1395" s="50"/>
      <c r="Y1395" s="50"/>
      <c r="Z1395" s="50"/>
      <c r="AA1395" s="50"/>
    </row>
    <row r="1396" spans="1:27" ht="25.5" customHeight="1">
      <c r="A1396" s="517" t="s">
        <v>2286</v>
      </c>
      <c r="B1396" s="51" t="s">
        <v>1269</v>
      </c>
      <c r="C1396" s="51" t="s">
        <v>143</v>
      </c>
      <c r="D1396" s="51" t="s">
        <v>4947</v>
      </c>
      <c r="E1396" s="50">
        <v>3268</v>
      </c>
      <c r="F1396" s="50">
        <v>3211</v>
      </c>
      <c r="G1396" s="50" t="s">
        <v>3955</v>
      </c>
      <c r="H1396" s="50"/>
      <c r="I1396" s="105"/>
      <c r="J1396" s="50"/>
      <c r="K1396" s="50" t="s">
        <v>224</v>
      </c>
      <c r="L1396" s="50" t="s">
        <v>2289</v>
      </c>
      <c r="M1396" s="50" t="s">
        <v>212</v>
      </c>
      <c r="N1396" s="50"/>
      <c r="O1396" s="50"/>
      <c r="P1396" s="50"/>
      <c r="Q1396" s="50"/>
      <c r="R1396" s="50"/>
      <c r="S1396" s="50" t="str">
        <f t="shared" si="128"/>
        <v/>
      </c>
      <c r="T1396" s="50" t="str">
        <f t="shared" si="126"/>
        <v/>
      </c>
      <c r="U1396" s="50" t="str">
        <f t="shared" si="127"/>
        <v/>
      </c>
      <c r="V1396" s="50" t="str">
        <f t="shared" si="129"/>
        <v/>
      </c>
      <c r="W1396" s="50"/>
      <c r="X1396" s="50"/>
      <c r="Y1396" s="50"/>
      <c r="Z1396" s="50"/>
      <c r="AA1396" s="50"/>
    </row>
    <row r="1397" spans="1:27" ht="25.5" customHeight="1">
      <c r="A1397" s="517" t="s">
        <v>2286</v>
      </c>
      <c r="B1397" s="51" t="s">
        <v>1269</v>
      </c>
      <c r="C1397" s="51" t="s">
        <v>143</v>
      </c>
      <c r="D1397" s="51" t="s">
        <v>4948</v>
      </c>
      <c r="E1397" s="50">
        <v>3721</v>
      </c>
      <c r="F1397" s="50">
        <v>3863</v>
      </c>
      <c r="G1397" s="50" t="s">
        <v>3955</v>
      </c>
      <c r="H1397" s="50"/>
      <c r="I1397" s="105"/>
      <c r="J1397" s="50"/>
      <c r="K1397" s="50" t="s">
        <v>224</v>
      </c>
      <c r="L1397" s="50" t="s">
        <v>2289</v>
      </c>
      <c r="M1397" s="50" t="s">
        <v>212</v>
      </c>
      <c r="N1397" s="50"/>
      <c r="O1397" s="50"/>
      <c r="P1397" s="50"/>
      <c r="Q1397" s="50"/>
      <c r="R1397" s="50"/>
      <c r="S1397" s="50" t="str">
        <f t="shared" si="128"/>
        <v/>
      </c>
      <c r="T1397" s="50" t="str">
        <f t="shared" si="126"/>
        <v/>
      </c>
      <c r="U1397" s="50" t="str">
        <f t="shared" si="127"/>
        <v/>
      </c>
      <c r="V1397" s="50" t="str">
        <f t="shared" si="129"/>
        <v/>
      </c>
      <c r="W1397" s="50"/>
      <c r="X1397" s="50"/>
      <c r="Y1397" s="50"/>
      <c r="Z1397" s="50"/>
      <c r="AA1397" s="50"/>
    </row>
    <row r="1398" spans="1:27" ht="25.5" customHeight="1">
      <c r="A1398" s="517" t="s">
        <v>2286</v>
      </c>
      <c r="B1398" s="51" t="s">
        <v>1269</v>
      </c>
      <c r="C1398" s="51" t="s">
        <v>143</v>
      </c>
      <c r="D1398" s="51" t="s">
        <v>858</v>
      </c>
      <c r="E1398" s="50">
        <v>1449</v>
      </c>
      <c r="F1398" s="50">
        <v>1624</v>
      </c>
      <c r="G1398" s="50" t="s">
        <v>3955</v>
      </c>
      <c r="H1398" s="50"/>
      <c r="I1398" s="105"/>
      <c r="J1398" s="50"/>
      <c r="K1398" s="50" t="s">
        <v>224</v>
      </c>
      <c r="L1398" s="50" t="s">
        <v>2289</v>
      </c>
      <c r="M1398" s="50" t="s">
        <v>212</v>
      </c>
      <c r="N1398" s="50"/>
      <c r="O1398" s="50"/>
      <c r="P1398" s="50"/>
      <c r="Q1398" s="50"/>
      <c r="R1398" s="50"/>
      <c r="S1398" s="50" t="str">
        <f t="shared" si="128"/>
        <v/>
      </c>
      <c r="T1398" s="50" t="str">
        <f t="shared" si="126"/>
        <v/>
      </c>
      <c r="U1398" s="50" t="str">
        <f t="shared" si="127"/>
        <v/>
      </c>
      <c r="V1398" s="50" t="str">
        <f t="shared" si="129"/>
        <v/>
      </c>
      <c r="W1398" s="50"/>
      <c r="X1398" s="50"/>
      <c r="Y1398" s="50"/>
      <c r="Z1398" s="50"/>
      <c r="AA1398" s="50"/>
    </row>
    <row r="1399" spans="1:27" s="110" customFormat="1" ht="25.5" customHeight="1">
      <c r="A1399" s="517" t="s">
        <v>2286</v>
      </c>
      <c r="B1399" s="51" t="s">
        <v>1269</v>
      </c>
      <c r="C1399" s="51" t="s">
        <v>143</v>
      </c>
      <c r="D1399" s="51" t="s">
        <v>918</v>
      </c>
      <c r="E1399" s="50">
        <v>3641</v>
      </c>
      <c r="F1399" s="50">
        <v>3758</v>
      </c>
      <c r="G1399" s="50" t="s">
        <v>3404</v>
      </c>
      <c r="H1399" s="50">
        <v>2025</v>
      </c>
      <c r="I1399" s="132">
        <v>45876</v>
      </c>
      <c r="J1399" s="50" t="s">
        <v>3126</v>
      </c>
      <c r="K1399" s="50" t="s">
        <v>224</v>
      </c>
      <c r="L1399" s="50" t="s">
        <v>2289</v>
      </c>
      <c r="M1399" s="50" t="s">
        <v>212</v>
      </c>
      <c r="N1399" s="50" t="s">
        <v>4949</v>
      </c>
      <c r="O1399" s="60">
        <v>45880</v>
      </c>
      <c r="P1399" s="60">
        <v>45881</v>
      </c>
      <c r="Q1399" s="60">
        <v>45882</v>
      </c>
      <c r="R1399" s="60">
        <v>45884</v>
      </c>
      <c r="S1399" s="50">
        <f t="shared" si="128"/>
        <v>2</v>
      </c>
      <c r="T1399" s="50">
        <f t="shared" si="126"/>
        <v>1</v>
      </c>
      <c r="U1399" s="50">
        <f t="shared" si="127"/>
        <v>1</v>
      </c>
      <c r="V1399" s="50">
        <f t="shared" si="129"/>
        <v>2</v>
      </c>
      <c r="W1399" s="50" t="s">
        <v>150</v>
      </c>
      <c r="X1399" s="50" t="s">
        <v>1078</v>
      </c>
      <c r="Y1399" s="50" t="s">
        <v>50</v>
      </c>
      <c r="Z1399" s="50" t="s">
        <v>3406</v>
      </c>
      <c r="AA1399" s="50"/>
    </row>
    <row r="1400" spans="1:27" ht="25.5" customHeight="1">
      <c r="A1400" s="517" t="s">
        <v>2286</v>
      </c>
      <c r="B1400" s="51" t="s">
        <v>1269</v>
      </c>
      <c r="C1400" s="51" t="s">
        <v>143</v>
      </c>
      <c r="D1400" s="51" t="s">
        <v>4950</v>
      </c>
      <c r="E1400" s="50">
        <v>4249</v>
      </c>
      <c r="F1400" s="50">
        <v>4347</v>
      </c>
      <c r="G1400" s="50" t="s">
        <v>3955</v>
      </c>
      <c r="H1400" s="50"/>
      <c r="I1400" s="105"/>
      <c r="J1400" s="50"/>
      <c r="K1400" s="50" t="s">
        <v>224</v>
      </c>
      <c r="L1400" s="50" t="s">
        <v>2289</v>
      </c>
      <c r="M1400" s="50" t="s">
        <v>212</v>
      </c>
      <c r="N1400" s="50"/>
      <c r="O1400" s="50"/>
      <c r="P1400" s="50"/>
      <c r="Q1400" s="50"/>
      <c r="R1400" s="50"/>
      <c r="S1400" s="50" t="str">
        <f t="shared" si="128"/>
        <v/>
      </c>
      <c r="T1400" s="50" t="str">
        <f t="shared" si="126"/>
        <v/>
      </c>
      <c r="U1400" s="50" t="str">
        <f t="shared" si="127"/>
        <v/>
      </c>
      <c r="V1400" s="50" t="str">
        <f t="shared" si="129"/>
        <v/>
      </c>
      <c r="W1400" s="50"/>
      <c r="X1400" s="50"/>
      <c r="Y1400" s="50"/>
      <c r="Z1400" s="50"/>
      <c r="AA1400" s="50"/>
    </row>
    <row r="1401" spans="1:27" ht="25.5" customHeight="1">
      <c r="A1401" s="517" t="s">
        <v>2286</v>
      </c>
      <c r="B1401" s="51" t="s">
        <v>1269</v>
      </c>
      <c r="C1401" s="51" t="s">
        <v>143</v>
      </c>
      <c r="D1401" s="51" t="s">
        <v>3918</v>
      </c>
      <c r="E1401" s="50">
        <v>1031</v>
      </c>
      <c r="F1401" s="50">
        <v>1080</v>
      </c>
      <c r="G1401" s="50" t="s">
        <v>3404</v>
      </c>
      <c r="H1401" s="50">
        <v>2025</v>
      </c>
      <c r="I1401" s="132">
        <v>45700</v>
      </c>
      <c r="J1401" s="50" t="s">
        <v>3458</v>
      </c>
      <c r="K1401" s="50" t="s">
        <v>224</v>
      </c>
      <c r="L1401" s="50" t="s">
        <v>2289</v>
      </c>
      <c r="M1401" s="50" t="s">
        <v>212</v>
      </c>
      <c r="N1401" s="50" t="s">
        <v>4951</v>
      </c>
      <c r="O1401" s="60">
        <v>45700</v>
      </c>
      <c r="P1401" s="60">
        <v>45702</v>
      </c>
      <c r="Q1401" s="60">
        <v>45702</v>
      </c>
      <c r="R1401" s="60">
        <v>45705</v>
      </c>
      <c r="S1401" s="50">
        <f t="shared" si="128"/>
        <v>1</v>
      </c>
      <c r="T1401" s="50">
        <f t="shared" si="126"/>
        <v>2</v>
      </c>
      <c r="U1401" s="50">
        <f t="shared" si="127"/>
        <v>1</v>
      </c>
      <c r="V1401" s="50">
        <f t="shared" si="129"/>
        <v>1</v>
      </c>
      <c r="W1401" s="50" t="s">
        <v>150</v>
      </c>
      <c r="X1401" s="50" t="s">
        <v>1078</v>
      </c>
      <c r="Y1401" s="50" t="s">
        <v>50</v>
      </c>
      <c r="Z1401" s="50" t="s">
        <v>3406</v>
      </c>
      <c r="AA1401" s="50"/>
    </row>
    <row r="1402" spans="1:27" s="110" customFormat="1" ht="25.5" customHeight="1">
      <c r="A1402" s="517" t="s">
        <v>2286</v>
      </c>
      <c r="B1402" s="51" t="s">
        <v>1269</v>
      </c>
      <c r="C1402" s="51" t="s">
        <v>143</v>
      </c>
      <c r="D1402" s="51" t="s">
        <v>4952</v>
      </c>
      <c r="E1402" s="50">
        <v>3073</v>
      </c>
      <c r="F1402" s="50">
        <v>3236</v>
      </c>
      <c r="G1402" s="50" t="s">
        <v>3404</v>
      </c>
      <c r="H1402" s="50">
        <v>2025</v>
      </c>
      <c r="I1402" s="132">
        <v>45792</v>
      </c>
      <c r="J1402" s="50" t="s">
        <v>3532</v>
      </c>
      <c r="K1402" s="50" t="s">
        <v>224</v>
      </c>
      <c r="L1402" s="50" t="s">
        <v>2289</v>
      </c>
      <c r="M1402" s="50" t="s">
        <v>212</v>
      </c>
      <c r="N1402" s="50" t="s">
        <v>4953</v>
      </c>
      <c r="O1402" s="60">
        <v>45793</v>
      </c>
      <c r="P1402" s="60">
        <v>45796</v>
      </c>
      <c r="Q1402" s="60">
        <v>45796</v>
      </c>
      <c r="R1402" s="60">
        <v>45796</v>
      </c>
      <c r="S1402" s="50">
        <f t="shared" si="128"/>
        <v>1</v>
      </c>
      <c r="T1402" s="50">
        <f t="shared" ref="T1402:T1429" si="130">IF(
    OR(ISBLANK(O1402), ISBLANK(P1402)),
    "",
    MAX(1, IF(
        NETWORKDAYS(O1402, P1402) &lt;= 0,
        1,
        NETWORKDAYS(O1402, P1402) - IF(O1402 = P1402, 0, 1)
    ))
)</f>
        <v>1</v>
      </c>
      <c r="U1402" s="50">
        <f t="shared" ref="U1402:U1429" si="131">IF(
    OR(ISBLANK(P1402), ISBLANK(Q1402)),
    "",
    MAX(1, IF(
        NETWORKDAYS(P1402, Q1402) &lt;= 0,
        1,
        NETWORKDAYS(P1402, Q1402) - IF(P1402 = Q1402, 0, 1)
    ))
)</f>
        <v>1</v>
      </c>
      <c r="V1402" s="50">
        <f t="shared" si="129"/>
        <v>1</v>
      </c>
      <c r="W1402" s="50" t="s">
        <v>150</v>
      </c>
      <c r="X1402" s="50" t="s">
        <v>1078</v>
      </c>
      <c r="Y1402" s="50" t="s">
        <v>50</v>
      </c>
      <c r="Z1402" s="50" t="s">
        <v>3406</v>
      </c>
      <c r="AA1402" s="50"/>
    </row>
    <row r="1403" spans="1:27" ht="25.5" customHeight="1">
      <c r="A1403" s="517" t="s">
        <v>2286</v>
      </c>
      <c r="B1403" s="51" t="s">
        <v>1274</v>
      </c>
      <c r="C1403" s="51" t="s">
        <v>143</v>
      </c>
      <c r="D1403" s="51" t="s">
        <v>4954</v>
      </c>
      <c r="E1403" s="50">
        <v>2175</v>
      </c>
      <c r="F1403" s="50">
        <v>2431</v>
      </c>
      <c r="G1403" s="50" t="s">
        <v>3404</v>
      </c>
      <c r="H1403" s="50">
        <v>2025</v>
      </c>
      <c r="I1403" s="132">
        <v>45876</v>
      </c>
      <c r="J1403" s="50" t="s">
        <v>3127</v>
      </c>
      <c r="K1403" s="50" t="s">
        <v>26</v>
      </c>
      <c r="L1403" s="50" t="s">
        <v>2289</v>
      </c>
      <c r="M1403" s="50" t="s">
        <v>212</v>
      </c>
      <c r="N1403" s="50" t="s">
        <v>4955</v>
      </c>
      <c r="O1403" s="60">
        <v>45884</v>
      </c>
      <c r="P1403" s="60">
        <v>45887</v>
      </c>
      <c r="Q1403" s="60">
        <v>45889</v>
      </c>
      <c r="R1403" s="60">
        <v>45889</v>
      </c>
      <c r="S1403" s="50">
        <f t="shared" si="128"/>
        <v>6</v>
      </c>
      <c r="T1403" s="50">
        <f t="shared" si="130"/>
        <v>1</v>
      </c>
      <c r="U1403" s="50">
        <f t="shared" si="131"/>
        <v>2</v>
      </c>
      <c r="V1403" s="50">
        <f t="shared" si="129"/>
        <v>1</v>
      </c>
      <c r="W1403" s="50" t="s">
        <v>150</v>
      </c>
      <c r="X1403" s="50" t="s">
        <v>4</v>
      </c>
      <c r="Y1403" s="50" t="s">
        <v>50</v>
      </c>
      <c r="Z1403" s="50" t="s">
        <v>3406</v>
      </c>
      <c r="AA1403" s="50"/>
    </row>
    <row r="1404" spans="1:27" s="110" customFormat="1" ht="25.5" customHeight="1">
      <c r="A1404" s="517" t="s">
        <v>2286</v>
      </c>
      <c r="B1404" s="51" t="s">
        <v>1274</v>
      </c>
      <c r="C1404" s="51" t="s">
        <v>143</v>
      </c>
      <c r="D1404" s="51" t="s">
        <v>4956</v>
      </c>
      <c r="E1404" s="50">
        <v>2494</v>
      </c>
      <c r="F1404" s="50">
        <v>2538</v>
      </c>
      <c r="G1404" s="50" t="s">
        <v>3955</v>
      </c>
      <c r="H1404" s="50"/>
      <c r="I1404" s="105"/>
      <c r="J1404" s="50"/>
      <c r="K1404" s="50" t="s">
        <v>26</v>
      </c>
      <c r="L1404" s="50" t="s">
        <v>2289</v>
      </c>
      <c r="M1404" s="50" t="s">
        <v>212</v>
      </c>
      <c r="N1404" s="50"/>
      <c r="O1404" s="50"/>
      <c r="P1404" s="50"/>
      <c r="Q1404" s="50"/>
      <c r="R1404" s="50"/>
      <c r="S1404" s="50" t="str">
        <f t="shared" si="128"/>
        <v/>
      </c>
      <c r="T1404" s="50" t="str">
        <f t="shared" si="130"/>
        <v/>
      </c>
      <c r="U1404" s="50" t="str">
        <f t="shared" si="131"/>
        <v/>
      </c>
      <c r="V1404" s="50" t="str">
        <f t="shared" si="129"/>
        <v/>
      </c>
      <c r="W1404" s="50"/>
      <c r="X1404" s="50"/>
      <c r="Y1404" s="50"/>
      <c r="Z1404" s="50"/>
      <c r="AA1404" s="50"/>
    </row>
    <row r="1405" spans="1:27" ht="25.5" customHeight="1">
      <c r="A1405" s="517" t="s">
        <v>2286</v>
      </c>
      <c r="B1405" s="51" t="s">
        <v>1274</v>
      </c>
      <c r="C1405" s="51" t="s">
        <v>143</v>
      </c>
      <c r="D1405" s="51" t="s">
        <v>3608</v>
      </c>
      <c r="E1405" s="50">
        <v>3400</v>
      </c>
      <c r="F1405" s="50">
        <v>3551</v>
      </c>
      <c r="G1405" s="50" t="s">
        <v>3404</v>
      </c>
      <c r="H1405" s="50">
        <v>2024</v>
      </c>
      <c r="I1405" s="132">
        <v>45504</v>
      </c>
      <c r="J1405" s="50"/>
      <c r="K1405" s="50" t="s">
        <v>26</v>
      </c>
      <c r="L1405" s="50" t="s">
        <v>2289</v>
      </c>
      <c r="M1405" s="50" t="s">
        <v>212</v>
      </c>
      <c r="N1405" s="50"/>
      <c r="O1405" s="50"/>
      <c r="P1405" s="50"/>
      <c r="Q1405" s="50"/>
      <c r="R1405" s="50"/>
      <c r="S1405" s="50" t="str">
        <f t="shared" si="128"/>
        <v/>
      </c>
      <c r="T1405" s="50" t="str">
        <f t="shared" si="130"/>
        <v/>
      </c>
      <c r="U1405" s="50" t="str">
        <f t="shared" si="131"/>
        <v/>
      </c>
      <c r="V1405" s="50" t="str">
        <f t="shared" si="129"/>
        <v/>
      </c>
      <c r="W1405" s="50"/>
      <c r="X1405" s="50" t="s">
        <v>4</v>
      </c>
      <c r="Y1405" s="50" t="s">
        <v>50</v>
      </c>
      <c r="Z1405" s="50" t="s">
        <v>3406</v>
      </c>
      <c r="AA1405" s="50"/>
    </row>
    <row r="1406" spans="1:27" s="110" customFormat="1" ht="25.5" customHeight="1">
      <c r="A1406" s="517" t="s">
        <v>2286</v>
      </c>
      <c r="B1406" s="51" t="s">
        <v>1274</v>
      </c>
      <c r="C1406" s="51" t="s">
        <v>143</v>
      </c>
      <c r="D1406" s="51" t="s">
        <v>4957</v>
      </c>
      <c r="E1406" s="50">
        <v>1013</v>
      </c>
      <c r="F1406" s="50">
        <v>918</v>
      </c>
      <c r="G1406" s="50" t="s">
        <v>3404</v>
      </c>
      <c r="H1406" s="50">
        <v>2024</v>
      </c>
      <c r="I1406" s="132">
        <v>45419</v>
      </c>
      <c r="J1406" s="50"/>
      <c r="K1406" s="50" t="s">
        <v>26</v>
      </c>
      <c r="L1406" s="50" t="s">
        <v>2289</v>
      </c>
      <c r="M1406" s="50" t="s">
        <v>212</v>
      </c>
      <c r="N1406" s="50"/>
      <c r="O1406" s="50"/>
      <c r="P1406" s="50"/>
      <c r="Q1406" s="50"/>
      <c r="R1406" s="50"/>
      <c r="S1406" s="50" t="str">
        <f t="shared" si="128"/>
        <v/>
      </c>
      <c r="T1406" s="50" t="str">
        <f t="shared" si="130"/>
        <v/>
      </c>
      <c r="U1406" s="50" t="str">
        <f t="shared" si="131"/>
        <v/>
      </c>
      <c r="V1406" s="50" t="str">
        <f t="shared" si="129"/>
        <v/>
      </c>
      <c r="W1406" s="50"/>
      <c r="X1406" s="50"/>
      <c r="Y1406" s="50"/>
      <c r="Z1406" s="50" t="s">
        <v>3406</v>
      </c>
      <c r="AA1406" s="50"/>
    </row>
    <row r="1407" spans="1:27" ht="25.5" customHeight="1">
      <c r="A1407" s="517" t="s">
        <v>2286</v>
      </c>
      <c r="B1407" s="51" t="s">
        <v>1274</v>
      </c>
      <c r="C1407" s="51" t="s">
        <v>143</v>
      </c>
      <c r="D1407" s="51" t="s">
        <v>4958</v>
      </c>
      <c r="E1407" s="50">
        <v>1236</v>
      </c>
      <c r="F1407" s="50">
        <v>1259</v>
      </c>
      <c r="G1407" s="50" t="s">
        <v>3404</v>
      </c>
      <c r="H1407" s="50">
        <v>2024</v>
      </c>
      <c r="I1407" s="132">
        <v>45397</v>
      </c>
      <c r="J1407" s="50"/>
      <c r="K1407" s="50" t="s">
        <v>26</v>
      </c>
      <c r="L1407" s="50" t="s">
        <v>2289</v>
      </c>
      <c r="M1407" s="50" t="s">
        <v>212</v>
      </c>
      <c r="N1407" s="50"/>
      <c r="O1407" s="50"/>
      <c r="P1407" s="50"/>
      <c r="Q1407" s="50"/>
      <c r="R1407" s="50"/>
      <c r="S1407" s="50" t="str">
        <f t="shared" si="128"/>
        <v/>
      </c>
      <c r="T1407" s="50" t="str">
        <f t="shared" si="130"/>
        <v/>
      </c>
      <c r="U1407" s="50" t="str">
        <f t="shared" si="131"/>
        <v/>
      </c>
      <c r="V1407" s="50" t="str">
        <f t="shared" si="129"/>
        <v/>
      </c>
      <c r="W1407" s="50"/>
      <c r="X1407" s="50"/>
      <c r="Y1407" s="50"/>
      <c r="Z1407" s="50" t="s">
        <v>3406</v>
      </c>
      <c r="AA1407" s="50"/>
    </row>
    <row r="1408" spans="1:27" ht="25.5" customHeight="1">
      <c r="A1408" s="517" t="s">
        <v>2286</v>
      </c>
      <c r="B1408" s="51" t="s">
        <v>1274</v>
      </c>
      <c r="C1408" s="51" t="s">
        <v>143</v>
      </c>
      <c r="D1408" s="51" t="s">
        <v>4959</v>
      </c>
      <c r="E1408" s="50">
        <v>1432</v>
      </c>
      <c r="F1408" s="50">
        <v>1572</v>
      </c>
      <c r="G1408" s="50" t="s">
        <v>3404</v>
      </c>
      <c r="H1408" s="50">
        <v>2024</v>
      </c>
      <c r="I1408" s="525">
        <v>45397</v>
      </c>
      <c r="J1408" s="50"/>
      <c r="K1408" s="50" t="s">
        <v>26</v>
      </c>
      <c r="L1408" s="50" t="s">
        <v>2289</v>
      </c>
      <c r="M1408" s="50" t="s">
        <v>212</v>
      </c>
      <c r="N1408" s="50"/>
      <c r="O1408" s="50"/>
      <c r="P1408" s="50"/>
      <c r="Q1408" s="50"/>
      <c r="R1408" s="50"/>
      <c r="S1408" s="50" t="str">
        <f t="shared" si="128"/>
        <v/>
      </c>
      <c r="T1408" s="50" t="str">
        <f t="shared" si="130"/>
        <v/>
      </c>
      <c r="U1408" s="50" t="str">
        <f t="shared" si="131"/>
        <v/>
      </c>
      <c r="V1408" s="50" t="str">
        <f t="shared" si="129"/>
        <v/>
      </c>
      <c r="W1408" s="50"/>
      <c r="X1408" s="50" t="s">
        <v>4</v>
      </c>
      <c r="Y1408" s="50" t="s">
        <v>50</v>
      </c>
      <c r="Z1408" s="50" t="s">
        <v>3406</v>
      </c>
      <c r="AA1408" s="50"/>
    </row>
    <row r="1409" spans="1:27" s="110" customFormat="1" ht="25.5" customHeight="1">
      <c r="A1409" s="517" t="s">
        <v>2286</v>
      </c>
      <c r="B1409" s="51" t="s">
        <v>1274</v>
      </c>
      <c r="C1409" s="51" t="s">
        <v>143</v>
      </c>
      <c r="D1409" s="51" t="s">
        <v>4960</v>
      </c>
      <c r="E1409" s="50">
        <v>2174</v>
      </c>
      <c r="F1409" s="50">
        <v>2268</v>
      </c>
      <c r="G1409" s="50" t="s">
        <v>3404</v>
      </c>
      <c r="H1409" s="50">
        <v>2025</v>
      </c>
      <c r="I1409" s="132">
        <v>45876</v>
      </c>
      <c r="J1409" s="50" t="s">
        <v>3126</v>
      </c>
      <c r="K1409" s="50" t="s">
        <v>26</v>
      </c>
      <c r="L1409" s="50" t="s">
        <v>2289</v>
      </c>
      <c r="M1409" s="50" t="s">
        <v>212</v>
      </c>
      <c r="N1409" s="50" t="s">
        <v>4961</v>
      </c>
      <c r="O1409" s="60">
        <v>45884</v>
      </c>
      <c r="P1409" s="60">
        <v>45887</v>
      </c>
      <c r="Q1409" s="60">
        <v>45888</v>
      </c>
      <c r="R1409" s="60">
        <v>45889</v>
      </c>
      <c r="S1409" s="50">
        <f t="shared" si="128"/>
        <v>6</v>
      </c>
      <c r="T1409" s="50">
        <f t="shared" si="130"/>
        <v>1</v>
      </c>
      <c r="U1409" s="50">
        <f t="shared" si="131"/>
        <v>1</v>
      </c>
      <c r="V1409" s="50">
        <f t="shared" si="129"/>
        <v>1</v>
      </c>
      <c r="W1409" s="50" t="s">
        <v>150</v>
      </c>
      <c r="X1409" s="50" t="s">
        <v>4</v>
      </c>
      <c r="Y1409" s="50" t="s">
        <v>50</v>
      </c>
      <c r="Z1409" s="50" t="s">
        <v>3406</v>
      </c>
      <c r="AA1409" s="50"/>
    </row>
    <row r="1410" spans="1:27" ht="25.5" customHeight="1">
      <c r="A1410" s="517" t="s">
        <v>2286</v>
      </c>
      <c r="B1410" s="51" t="s">
        <v>1274</v>
      </c>
      <c r="C1410" s="51" t="s">
        <v>143</v>
      </c>
      <c r="D1410" s="51" t="s">
        <v>4962</v>
      </c>
      <c r="E1410" s="50">
        <v>889</v>
      </c>
      <c r="F1410" s="50">
        <v>933</v>
      </c>
      <c r="G1410" s="50" t="s">
        <v>3404</v>
      </c>
      <c r="H1410" s="50">
        <v>2025</v>
      </c>
      <c r="I1410" s="132">
        <v>45940</v>
      </c>
      <c r="J1410" s="50" t="s">
        <v>3970</v>
      </c>
      <c r="K1410" s="50" t="s">
        <v>26</v>
      </c>
      <c r="L1410" s="50" t="s">
        <v>2289</v>
      </c>
      <c r="M1410" s="50" t="s">
        <v>212</v>
      </c>
      <c r="N1410" s="50" t="s">
        <v>4963</v>
      </c>
      <c r="O1410" s="60">
        <v>45944</v>
      </c>
      <c r="P1410" s="60">
        <v>45944</v>
      </c>
      <c r="Q1410" s="60">
        <v>45946</v>
      </c>
      <c r="R1410" s="60">
        <v>45947</v>
      </c>
      <c r="S1410" s="50">
        <f t="shared" si="128"/>
        <v>2</v>
      </c>
      <c r="T1410" s="50">
        <f t="shared" si="130"/>
        <v>1</v>
      </c>
      <c r="U1410" s="50">
        <f t="shared" si="131"/>
        <v>2</v>
      </c>
      <c r="V1410" s="50">
        <f t="shared" si="129"/>
        <v>1</v>
      </c>
      <c r="W1410" s="50" t="s">
        <v>150</v>
      </c>
      <c r="X1410" s="50" t="s">
        <v>4</v>
      </c>
      <c r="Y1410" s="50" t="s">
        <v>57</v>
      </c>
      <c r="Z1410" s="50" t="s">
        <v>3406</v>
      </c>
      <c r="AA1410" s="50"/>
    </row>
    <row r="1411" spans="1:27" ht="25.5" customHeight="1">
      <c r="A1411" s="517" t="s">
        <v>2286</v>
      </c>
      <c r="B1411" s="51" t="s">
        <v>1274</v>
      </c>
      <c r="C1411" s="51" t="s">
        <v>143</v>
      </c>
      <c r="D1411" s="51" t="s">
        <v>4683</v>
      </c>
      <c r="E1411" s="50">
        <v>2763</v>
      </c>
      <c r="F1411" s="50">
        <v>3030</v>
      </c>
      <c r="G1411" s="50" t="s">
        <v>3404</v>
      </c>
      <c r="H1411" s="50">
        <v>2024</v>
      </c>
      <c r="I1411" s="132">
        <v>45419</v>
      </c>
      <c r="J1411" s="50"/>
      <c r="K1411" s="50" t="s">
        <v>26</v>
      </c>
      <c r="L1411" s="50" t="s">
        <v>2289</v>
      </c>
      <c r="M1411" s="50" t="s">
        <v>212</v>
      </c>
      <c r="N1411" s="50"/>
      <c r="O1411" s="50"/>
      <c r="P1411" s="50"/>
      <c r="Q1411" s="50"/>
      <c r="R1411" s="50"/>
      <c r="S1411" s="50" t="str">
        <f t="shared" si="128"/>
        <v/>
      </c>
      <c r="T1411" s="50" t="str">
        <f t="shared" si="130"/>
        <v/>
      </c>
      <c r="U1411" s="50" t="str">
        <f t="shared" si="131"/>
        <v/>
      </c>
      <c r="V1411" s="50" t="str">
        <f t="shared" si="129"/>
        <v/>
      </c>
      <c r="W1411" s="50"/>
      <c r="X1411" s="50"/>
      <c r="Y1411" s="50"/>
      <c r="Z1411" s="50" t="s">
        <v>3406</v>
      </c>
      <c r="AA1411" s="50"/>
    </row>
    <row r="1412" spans="1:27" s="110" customFormat="1" ht="25.5" customHeight="1">
      <c r="A1412" s="517" t="s">
        <v>2286</v>
      </c>
      <c r="B1412" s="51" t="s">
        <v>1274</v>
      </c>
      <c r="C1412" s="51" t="s">
        <v>143</v>
      </c>
      <c r="D1412" s="51" t="s">
        <v>4964</v>
      </c>
      <c r="E1412" s="50">
        <v>2384</v>
      </c>
      <c r="F1412" s="50">
        <v>2500</v>
      </c>
      <c r="G1412" s="50" t="s">
        <v>3404</v>
      </c>
      <c r="H1412" s="50">
        <v>2025</v>
      </c>
      <c r="I1412" s="132">
        <v>45805</v>
      </c>
      <c r="J1412" s="50" t="s">
        <v>3689</v>
      </c>
      <c r="K1412" s="50" t="s">
        <v>26</v>
      </c>
      <c r="L1412" s="50" t="s">
        <v>2289</v>
      </c>
      <c r="M1412" s="50" t="s">
        <v>212</v>
      </c>
      <c r="N1412" s="50" t="s">
        <v>4965</v>
      </c>
      <c r="O1412" s="60">
        <v>45810</v>
      </c>
      <c r="P1412" s="60">
        <v>45811</v>
      </c>
      <c r="Q1412" s="60">
        <v>45812</v>
      </c>
      <c r="R1412" s="60">
        <v>45813</v>
      </c>
      <c r="S1412" s="50">
        <f t="shared" si="128"/>
        <v>3</v>
      </c>
      <c r="T1412" s="50">
        <f t="shared" si="130"/>
        <v>1</v>
      </c>
      <c r="U1412" s="50">
        <f t="shared" si="131"/>
        <v>1</v>
      </c>
      <c r="V1412" s="50">
        <f t="shared" si="129"/>
        <v>1</v>
      </c>
      <c r="W1412" s="50" t="s">
        <v>150</v>
      </c>
      <c r="X1412" s="50" t="s">
        <v>4</v>
      </c>
      <c r="Y1412" s="50" t="s">
        <v>62</v>
      </c>
      <c r="Z1412" s="50" t="s">
        <v>3406</v>
      </c>
      <c r="AA1412" s="50"/>
    </row>
    <row r="1413" spans="1:27" ht="25.5" customHeight="1">
      <c r="A1413" s="517" t="s">
        <v>2286</v>
      </c>
      <c r="B1413" s="51" t="s">
        <v>1274</v>
      </c>
      <c r="C1413" s="51" t="s">
        <v>143</v>
      </c>
      <c r="D1413" s="51" t="s">
        <v>4966</v>
      </c>
      <c r="E1413" s="50">
        <v>1040</v>
      </c>
      <c r="F1413" s="50">
        <v>1222</v>
      </c>
      <c r="G1413" s="50" t="s">
        <v>3955</v>
      </c>
      <c r="H1413" s="50"/>
      <c r="I1413" s="105"/>
      <c r="J1413" s="50"/>
      <c r="K1413" s="50" t="s">
        <v>26</v>
      </c>
      <c r="L1413" s="50" t="s">
        <v>2289</v>
      </c>
      <c r="M1413" s="50" t="s">
        <v>212</v>
      </c>
      <c r="N1413" s="50"/>
      <c r="O1413" s="50"/>
      <c r="P1413" s="50"/>
      <c r="Q1413" s="50"/>
      <c r="R1413" s="50"/>
      <c r="S1413" s="50" t="str">
        <f t="shared" si="128"/>
        <v/>
      </c>
      <c r="T1413" s="50" t="str">
        <f t="shared" si="130"/>
        <v/>
      </c>
      <c r="U1413" s="50" t="str">
        <f t="shared" si="131"/>
        <v/>
      </c>
      <c r="V1413" s="50" t="str">
        <f t="shared" si="129"/>
        <v/>
      </c>
      <c r="W1413" s="50"/>
      <c r="X1413" s="50"/>
      <c r="Y1413" s="50"/>
      <c r="Z1413" s="50"/>
      <c r="AA1413" s="50"/>
    </row>
    <row r="1414" spans="1:27" ht="25.5" customHeight="1">
      <c r="A1414" s="517" t="s">
        <v>2286</v>
      </c>
      <c r="B1414" s="51" t="s">
        <v>1274</v>
      </c>
      <c r="C1414" s="51" t="s">
        <v>143</v>
      </c>
      <c r="D1414" s="51" t="s">
        <v>4967</v>
      </c>
      <c r="E1414" s="50">
        <v>1339</v>
      </c>
      <c r="F1414" s="50">
        <v>1481</v>
      </c>
      <c r="G1414" s="50" t="s">
        <v>3955</v>
      </c>
      <c r="H1414" s="50"/>
      <c r="I1414" s="105"/>
      <c r="J1414" s="50"/>
      <c r="K1414" s="50" t="s">
        <v>26</v>
      </c>
      <c r="L1414" s="50" t="s">
        <v>2289</v>
      </c>
      <c r="M1414" s="50" t="s">
        <v>212</v>
      </c>
      <c r="N1414" s="50"/>
      <c r="O1414" s="50"/>
      <c r="P1414" s="50"/>
      <c r="Q1414" s="50"/>
      <c r="R1414" s="50"/>
      <c r="S1414" s="50" t="str">
        <f t="shared" si="128"/>
        <v/>
      </c>
      <c r="T1414" s="50" t="str">
        <f t="shared" si="130"/>
        <v/>
      </c>
      <c r="U1414" s="50" t="str">
        <f t="shared" si="131"/>
        <v/>
      </c>
      <c r="V1414" s="50" t="str">
        <f t="shared" si="129"/>
        <v/>
      </c>
      <c r="W1414" s="50"/>
      <c r="X1414" s="50"/>
      <c r="Y1414" s="50"/>
      <c r="Z1414" s="50"/>
      <c r="AA1414" s="50"/>
    </row>
    <row r="1415" spans="1:27" ht="25.5" customHeight="1">
      <c r="A1415" s="517" t="s">
        <v>2286</v>
      </c>
      <c r="B1415" s="51" t="s">
        <v>1274</v>
      </c>
      <c r="C1415" s="51" t="s">
        <v>143</v>
      </c>
      <c r="D1415" s="51" t="s">
        <v>4797</v>
      </c>
      <c r="E1415" s="50">
        <v>690</v>
      </c>
      <c r="F1415" s="50">
        <v>739</v>
      </c>
      <c r="G1415" s="50" t="s">
        <v>3404</v>
      </c>
      <c r="H1415" s="50">
        <v>2025</v>
      </c>
      <c r="I1415" s="132">
        <v>45937</v>
      </c>
      <c r="J1415" s="50" t="s">
        <v>3128</v>
      </c>
      <c r="K1415" s="50" t="s">
        <v>26</v>
      </c>
      <c r="L1415" s="50" t="s">
        <v>2289</v>
      </c>
      <c r="M1415" s="50" t="s">
        <v>212</v>
      </c>
      <c r="N1415" s="50" t="s">
        <v>4968</v>
      </c>
      <c r="O1415" s="60">
        <v>45944</v>
      </c>
      <c r="P1415" s="60">
        <v>45944</v>
      </c>
      <c r="Q1415" s="60">
        <v>45946</v>
      </c>
      <c r="R1415" s="60">
        <v>45947</v>
      </c>
      <c r="S1415" s="50">
        <f t="shared" ref="S1415:S1478" si="132">IF(
    OR(ISBLANK(I1415), ISBLANK(O1415)),
    "",
    MAX(1, IF(
        NETWORKDAYS(I1415, O1415) &lt;= 0,
        1,
        NETWORKDAYS(I1415, O1415) - IF(I1415 = O1415, 0, 1)
    ))
)</f>
        <v>5</v>
      </c>
      <c r="T1415" s="50">
        <f t="shared" si="130"/>
        <v>1</v>
      </c>
      <c r="U1415" s="50">
        <f t="shared" si="131"/>
        <v>2</v>
      </c>
      <c r="V1415" s="50">
        <f t="shared" si="129"/>
        <v>1</v>
      </c>
      <c r="W1415" s="50" t="s">
        <v>150</v>
      </c>
      <c r="X1415" s="50" t="s">
        <v>4</v>
      </c>
      <c r="Y1415" s="50" t="s">
        <v>50</v>
      </c>
      <c r="Z1415" s="50" t="s">
        <v>3406</v>
      </c>
      <c r="AA1415" s="50"/>
    </row>
    <row r="1416" spans="1:27" ht="25.5" customHeight="1">
      <c r="A1416" s="517" t="s">
        <v>2286</v>
      </c>
      <c r="B1416" s="51" t="s">
        <v>1274</v>
      </c>
      <c r="C1416" s="51" t="s">
        <v>143</v>
      </c>
      <c r="D1416" s="51" t="s">
        <v>4969</v>
      </c>
      <c r="E1416" s="50">
        <v>1487</v>
      </c>
      <c r="F1416" s="50">
        <v>1629</v>
      </c>
      <c r="G1416" s="50" t="s">
        <v>3955</v>
      </c>
      <c r="H1416" s="50"/>
      <c r="I1416" s="105"/>
      <c r="J1416" s="50"/>
      <c r="K1416" s="50" t="s">
        <v>26</v>
      </c>
      <c r="L1416" s="50" t="s">
        <v>2289</v>
      </c>
      <c r="M1416" s="50" t="s">
        <v>212</v>
      </c>
      <c r="N1416" s="50"/>
      <c r="O1416" s="50"/>
      <c r="P1416" s="50"/>
      <c r="Q1416" s="50"/>
      <c r="R1416" s="50"/>
      <c r="S1416" s="50" t="str">
        <f t="shared" si="132"/>
        <v/>
      </c>
      <c r="T1416" s="50" t="str">
        <f t="shared" si="130"/>
        <v/>
      </c>
      <c r="U1416" s="50" t="str">
        <f t="shared" si="131"/>
        <v/>
      </c>
      <c r="V1416" s="50" t="str">
        <f t="shared" si="129"/>
        <v/>
      </c>
      <c r="W1416" s="50"/>
      <c r="X1416" s="50"/>
      <c r="Y1416" s="50"/>
      <c r="Z1416" s="50"/>
      <c r="AA1416" s="50"/>
    </row>
    <row r="1417" spans="1:27" ht="25.5" customHeight="1">
      <c r="A1417" s="517" t="s">
        <v>2286</v>
      </c>
      <c r="B1417" s="51" t="s">
        <v>1274</v>
      </c>
      <c r="C1417" s="51" t="s">
        <v>143</v>
      </c>
      <c r="D1417" s="51" t="s">
        <v>1135</v>
      </c>
      <c r="E1417" s="50">
        <v>3492</v>
      </c>
      <c r="F1417" s="50">
        <v>3711</v>
      </c>
      <c r="G1417" s="50" t="s">
        <v>3404</v>
      </c>
      <c r="H1417" s="50">
        <v>2024</v>
      </c>
      <c r="I1417" s="132">
        <v>45504</v>
      </c>
      <c r="J1417" s="50"/>
      <c r="K1417" s="50" t="s">
        <v>26</v>
      </c>
      <c r="L1417" s="50" t="s">
        <v>2289</v>
      </c>
      <c r="M1417" s="50" t="s">
        <v>212</v>
      </c>
      <c r="N1417" s="50"/>
      <c r="O1417" s="50"/>
      <c r="P1417" s="50"/>
      <c r="Q1417" s="50"/>
      <c r="R1417" s="50"/>
      <c r="S1417" s="50" t="str">
        <f t="shared" si="132"/>
        <v/>
      </c>
      <c r="T1417" s="50" t="str">
        <f t="shared" si="130"/>
        <v/>
      </c>
      <c r="U1417" s="50" t="str">
        <f t="shared" si="131"/>
        <v/>
      </c>
      <c r="V1417" s="50" t="str">
        <f t="shared" si="129"/>
        <v/>
      </c>
      <c r="W1417" s="50"/>
      <c r="X1417" s="50" t="s">
        <v>4</v>
      </c>
      <c r="Y1417" s="50" t="s">
        <v>50</v>
      </c>
      <c r="Z1417" s="50" t="s">
        <v>3406</v>
      </c>
      <c r="AA1417" s="50"/>
    </row>
    <row r="1418" spans="1:27" ht="25.5" customHeight="1">
      <c r="A1418" s="517" t="s">
        <v>2286</v>
      </c>
      <c r="B1418" s="51" t="s">
        <v>1274</v>
      </c>
      <c r="C1418" s="51" t="s">
        <v>143</v>
      </c>
      <c r="D1418" s="51" t="s">
        <v>1225</v>
      </c>
      <c r="E1418" s="50">
        <v>1914</v>
      </c>
      <c r="F1418" s="50">
        <v>1984</v>
      </c>
      <c r="G1418" s="50" t="s">
        <v>3404</v>
      </c>
      <c r="H1418" s="50">
        <v>2024</v>
      </c>
      <c r="I1418" s="132">
        <v>45419</v>
      </c>
      <c r="J1418" s="50"/>
      <c r="K1418" s="50" t="s">
        <v>26</v>
      </c>
      <c r="L1418" s="50" t="s">
        <v>2289</v>
      </c>
      <c r="M1418" s="50" t="s">
        <v>212</v>
      </c>
      <c r="N1418" s="50"/>
      <c r="O1418" s="50"/>
      <c r="P1418" s="50"/>
      <c r="Q1418" s="50"/>
      <c r="R1418" s="50"/>
      <c r="S1418" s="50" t="str">
        <f t="shared" si="132"/>
        <v/>
      </c>
      <c r="T1418" s="50" t="str">
        <f t="shared" si="130"/>
        <v/>
      </c>
      <c r="U1418" s="50" t="str">
        <f t="shared" si="131"/>
        <v/>
      </c>
      <c r="V1418" s="50" t="str">
        <f t="shared" si="129"/>
        <v/>
      </c>
      <c r="W1418" s="50"/>
      <c r="X1418" s="50"/>
      <c r="Y1418" s="50"/>
      <c r="Z1418" s="50" t="s">
        <v>3406</v>
      </c>
      <c r="AA1418" s="50"/>
    </row>
    <row r="1419" spans="1:27" ht="25.5" customHeight="1">
      <c r="A1419" s="517" t="s">
        <v>2286</v>
      </c>
      <c r="B1419" s="51" t="s">
        <v>1274</v>
      </c>
      <c r="C1419" s="51" t="s">
        <v>143</v>
      </c>
      <c r="D1419" s="51" t="s">
        <v>4024</v>
      </c>
      <c r="E1419" s="50">
        <v>2177</v>
      </c>
      <c r="F1419" s="50">
        <v>2229</v>
      </c>
      <c r="G1419" s="50" t="s">
        <v>3955</v>
      </c>
      <c r="H1419" s="50"/>
      <c r="I1419" s="105"/>
      <c r="J1419" s="50"/>
      <c r="K1419" s="50" t="s">
        <v>26</v>
      </c>
      <c r="L1419" s="50" t="s">
        <v>2289</v>
      </c>
      <c r="M1419" s="50" t="s">
        <v>212</v>
      </c>
      <c r="N1419" s="50"/>
      <c r="O1419" s="50"/>
      <c r="P1419" s="50"/>
      <c r="Q1419" s="50"/>
      <c r="R1419" s="50"/>
      <c r="S1419" s="50" t="str">
        <f t="shared" si="132"/>
        <v/>
      </c>
      <c r="T1419" s="50" t="str">
        <f t="shared" si="130"/>
        <v/>
      </c>
      <c r="U1419" s="50" t="str">
        <f t="shared" si="131"/>
        <v/>
      </c>
      <c r="V1419" s="50" t="str">
        <f t="shared" si="129"/>
        <v/>
      </c>
      <c r="W1419" s="50"/>
      <c r="X1419" s="50"/>
      <c r="Y1419" s="50"/>
      <c r="Z1419" s="50"/>
      <c r="AA1419" s="50"/>
    </row>
    <row r="1420" spans="1:27" ht="25.5" customHeight="1">
      <c r="A1420" s="517" t="s">
        <v>2286</v>
      </c>
      <c r="B1420" s="51" t="s">
        <v>1274</v>
      </c>
      <c r="C1420" s="51" t="s">
        <v>143</v>
      </c>
      <c r="D1420" s="51" t="s">
        <v>1439</v>
      </c>
      <c r="E1420" s="50">
        <v>455</v>
      </c>
      <c r="F1420" s="50">
        <v>577</v>
      </c>
      <c r="G1420" s="50" t="s">
        <v>3404</v>
      </c>
      <c r="H1420" s="50">
        <v>2024</v>
      </c>
      <c r="I1420" s="132">
        <v>45611</v>
      </c>
      <c r="J1420" s="50"/>
      <c r="K1420" s="50" t="s">
        <v>26</v>
      </c>
      <c r="L1420" s="50" t="s">
        <v>2289</v>
      </c>
      <c r="M1420" s="50" t="s">
        <v>212</v>
      </c>
      <c r="N1420" s="50"/>
      <c r="O1420" s="50"/>
      <c r="P1420" s="50"/>
      <c r="Q1420" s="50"/>
      <c r="R1420" s="50"/>
      <c r="S1420" s="50" t="str">
        <f t="shared" si="132"/>
        <v/>
      </c>
      <c r="T1420" s="50" t="str">
        <f t="shared" si="130"/>
        <v/>
      </c>
      <c r="U1420" s="50" t="str">
        <f t="shared" si="131"/>
        <v/>
      </c>
      <c r="V1420" s="50" t="str">
        <f t="shared" si="129"/>
        <v/>
      </c>
      <c r="W1420" s="50"/>
      <c r="X1420" s="50" t="s">
        <v>4</v>
      </c>
      <c r="Y1420" s="50" t="s">
        <v>50</v>
      </c>
      <c r="Z1420" s="50" t="s">
        <v>3406</v>
      </c>
      <c r="AA1420" s="50"/>
    </row>
    <row r="1421" spans="1:27" ht="25.5" customHeight="1">
      <c r="A1421" s="517" t="s">
        <v>2286</v>
      </c>
      <c r="B1421" s="51" t="s">
        <v>1274</v>
      </c>
      <c r="C1421" s="51" t="s">
        <v>143</v>
      </c>
      <c r="D1421" s="51" t="s">
        <v>1166</v>
      </c>
      <c r="E1421" s="50">
        <v>1356</v>
      </c>
      <c r="F1421" s="50">
        <v>1427</v>
      </c>
      <c r="G1421" s="50" t="s">
        <v>3955</v>
      </c>
      <c r="H1421" s="50"/>
      <c r="I1421" s="105"/>
      <c r="J1421" s="50"/>
      <c r="K1421" s="50" t="s">
        <v>26</v>
      </c>
      <c r="L1421" s="50" t="s">
        <v>2289</v>
      </c>
      <c r="M1421" s="50" t="s">
        <v>212</v>
      </c>
      <c r="N1421" s="50"/>
      <c r="O1421" s="50"/>
      <c r="P1421" s="50"/>
      <c r="Q1421" s="50"/>
      <c r="R1421" s="50"/>
      <c r="S1421" s="50" t="str">
        <f t="shared" si="132"/>
        <v/>
      </c>
      <c r="T1421" s="50" t="str">
        <f t="shared" si="130"/>
        <v/>
      </c>
      <c r="U1421" s="50" t="str">
        <f t="shared" si="131"/>
        <v/>
      </c>
      <c r="V1421" s="50" t="str">
        <f t="shared" si="129"/>
        <v/>
      </c>
      <c r="W1421" s="50"/>
      <c r="X1421" s="50"/>
      <c r="Y1421" s="50"/>
      <c r="Z1421" s="50"/>
      <c r="AA1421" s="50"/>
    </row>
    <row r="1422" spans="1:27" ht="25.5" customHeight="1">
      <c r="A1422" s="517" t="s">
        <v>2286</v>
      </c>
      <c r="B1422" s="51" t="s">
        <v>1274</v>
      </c>
      <c r="C1422" s="51" t="s">
        <v>143</v>
      </c>
      <c r="D1422" s="51" t="s">
        <v>3975</v>
      </c>
      <c r="E1422" s="50">
        <v>1635</v>
      </c>
      <c r="F1422" s="50">
        <v>1910</v>
      </c>
      <c r="G1422" s="50" t="s">
        <v>3404</v>
      </c>
      <c r="H1422" s="50">
        <v>2025</v>
      </c>
      <c r="I1422" s="132">
        <v>45940</v>
      </c>
      <c r="J1422" s="50" t="s">
        <v>3128</v>
      </c>
      <c r="K1422" s="50" t="s">
        <v>26</v>
      </c>
      <c r="L1422" s="50" t="s">
        <v>2289</v>
      </c>
      <c r="M1422" s="50" t="s">
        <v>212</v>
      </c>
      <c r="N1422" s="50" t="s">
        <v>4970</v>
      </c>
      <c r="O1422" s="60">
        <v>45944</v>
      </c>
      <c r="P1422" s="60">
        <v>45944</v>
      </c>
      <c r="Q1422" s="60">
        <v>45946</v>
      </c>
      <c r="R1422" s="60">
        <v>45947</v>
      </c>
      <c r="S1422" s="50">
        <f t="shared" si="132"/>
        <v>2</v>
      </c>
      <c r="T1422" s="50">
        <f t="shared" si="130"/>
        <v>1</v>
      </c>
      <c r="U1422" s="50">
        <f t="shared" si="131"/>
        <v>2</v>
      </c>
      <c r="V1422" s="50">
        <f t="shared" si="129"/>
        <v>1</v>
      </c>
      <c r="W1422" s="50" t="s">
        <v>150</v>
      </c>
      <c r="X1422" s="50" t="s">
        <v>4</v>
      </c>
      <c r="Y1422" s="50" t="s">
        <v>50</v>
      </c>
      <c r="Z1422" s="50" t="s">
        <v>3406</v>
      </c>
      <c r="AA1422" s="50"/>
    </row>
    <row r="1423" spans="1:27" s="110" customFormat="1" ht="25.5" customHeight="1">
      <c r="A1423" s="517" t="s">
        <v>2286</v>
      </c>
      <c r="B1423" s="51" t="s">
        <v>1274</v>
      </c>
      <c r="C1423" s="51" t="s">
        <v>143</v>
      </c>
      <c r="D1423" s="51" t="s">
        <v>1474</v>
      </c>
      <c r="E1423" s="50">
        <v>3003</v>
      </c>
      <c r="F1423" s="50">
        <v>3185</v>
      </c>
      <c r="G1423" s="50" t="s">
        <v>3404</v>
      </c>
      <c r="H1423" s="50">
        <v>2024</v>
      </c>
      <c r="I1423" s="132">
        <v>45387</v>
      </c>
      <c r="J1423" s="50"/>
      <c r="K1423" s="50" t="s">
        <v>26</v>
      </c>
      <c r="L1423" s="50" t="s">
        <v>2289</v>
      </c>
      <c r="M1423" s="50" t="s">
        <v>212</v>
      </c>
      <c r="N1423" s="50"/>
      <c r="O1423" s="50"/>
      <c r="P1423" s="50"/>
      <c r="Q1423" s="50"/>
      <c r="R1423" s="50"/>
      <c r="S1423" s="50" t="str">
        <f t="shared" si="132"/>
        <v/>
      </c>
      <c r="T1423" s="50" t="str">
        <f t="shared" si="130"/>
        <v/>
      </c>
      <c r="U1423" s="50" t="str">
        <f t="shared" si="131"/>
        <v/>
      </c>
      <c r="V1423" s="50" t="str">
        <f t="shared" si="129"/>
        <v/>
      </c>
      <c r="W1423" s="50"/>
      <c r="X1423" s="50"/>
      <c r="Y1423" s="50"/>
      <c r="Z1423" s="50" t="s">
        <v>3406</v>
      </c>
      <c r="AA1423" s="50"/>
    </row>
    <row r="1424" spans="1:27" ht="25.5" customHeight="1">
      <c r="A1424" s="517" t="s">
        <v>2286</v>
      </c>
      <c r="B1424" s="51" t="s">
        <v>1274</v>
      </c>
      <c r="C1424" s="51" t="s">
        <v>143</v>
      </c>
      <c r="D1424" s="51" t="s">
        <v>4971</v>
      </c>
      <c r="E1424" s="50">
        <v>1153</v>
      </c>
      <c r="F1424" s="50">
        <v>1187</v>
      </c>
      <c r="G1424" s="50" t="s">
        <v>3404</v>
      </c>
      <c r="H1424" s="50">
        <v>2025</v>
      </c>
      <c r="I1424" s="132">
        <v>45940</v>
      </c>
      <c r="J1424" s="50" t="s">
        <v>3128</v>
      </c>
      <c r="K1424" s="50" t="s">
        <v>26</v>
      </c>
      <c r="L1424" s="50" t="s">
        <v>2289</v>
      </c>
      <c r="M1424" s="50" t="s">
        <v>212</v>
      </c>
      <c r="N1424" s="50" t="s">
        <v>4972</v>
      </c>
      <c r="O1424" s="60">
        <v>45944</v>
      </c>
      <c r="P1424" s="60">
        <v>45944</v>
      </c>
      <c r="Q1424" s="60">
        <v>45946</v>
      </c>
      <c r="R1424" s="60">
        <v>45947</v>
      </c>
      <c r="S1424" s="50">
        <f t="shared" si="132"/>
        <v>2</v>
      </c>
      <c r="T1424" s="50">
        <f t="shared" si="130"/>
        <v>1</v>
      </c>
      <c r="U1424" s="50">
        <f t="shared" si="131"/>
        <v>2</v>
      </c>
      <c r="V1424" s="50">
        <f t="shared" si="129"/>
        <v>1</v>
      </c>
      <c r="W1424" s="50" t="s">
        <v>150</v>
      </c>
      <c r="X1424" s="50" t="s">
        <v>4</v>
      </c>
      <c r="Y1424" s="50" t="s">
        <v>50</v>
      </c>
      <c r="Z1424" s="50" t="s">
        <v>3406</v>
      </c>
      <c r="AA1424" s="50"/>
    </row>
    <row r="1425" spans="1:27" ht="25.5" customHeight="1">
      <c r="A1425" s="517" t="s">
        <v>2286</v>
      </c>
      <c r="B1425" s="51" t="s">
        <v>1278</v>
      </c>
      <c r="C1425" s="51" t="s">
        <v>143</v>
      </c>
      <c r="D1425" s="51" t="s">
        <v>1279</v>
      </c>
      <c r="E1425" s="50">
        <v>1743</v>
      </c>
      <c r="F1425" s="50">
        <v>2058</v>
      </c>
      <c r="G1425" s="50" t="s">
        <v>3404</v>
      </c>
      <c r="H1425" s="50">
        <v>2025</v>
      </c>
      <c r="I1425" s="132">
        <v>45918</v>
      </c>
      <c r="J1425" s="50" t="s">
        <v>3127</v>
      </c>
      <c r="K1425" s="50" t="s">
        <v>29</v>
      </c>
      <c r="L1425" s="50" t="s">
        <v>2289</v>
      </c>
      <c r="M1425" s="50" t="s">
        <v>212</v>
      </c>
      <c r="N1425" s="50" t="s">
        <v>4973</v>
      </c>
      <c r="O1425" s="60">
        <v>45919</v>
      </c>
      <c r="P1425" s="60">
        <v>45919</v>
      </c>
      <c r="Q1425" s="60">
        <v>45919</v>
      </c>
      <c r="R1425" s="60">
        <v>45919</v>
      </c>
      <c r="S1425" s="50">
        <f t="shared" si="132"/>
        <v>1</v>
      </c>
      <c r="T1425" s="50">
        <f t="shared" si="130"/>
        <v>1</v>
      </c>
      <c r="U1425" s="50">
        <f t="shared" si="131"/>
        <v>1</v>
      </c>
      <c r="V1425" s="50">
        <f t="shared" si="129"/>
        <v>1</v>
      </c>
      <c r="W1425" s="50" t="s">
        <v>150</v>
      </c>
      <c r="X1425" s="50" t="s">
        <v>1078</v>
      </c>
      <c r="Y1425" s="50" t="s">
        <v>50</v>
      </c>
      <c r="Z1425" s="50" t="s">
        <v>3406</v>
      </c>
      <c r="AA1425" s="50"/>
    </row>
    <row r="1426" spans="1:27" ht="25.5" customHeight="1">
      <c r="A1426" s="517" t="s">
        <v>2286</v>
      </c>
      <c r="B1426" s="51" t="s">
        <v>1278</v>
      </c>
      <c r="C1426" s="51" t="s">
        <v>143</v>
      </c>
      <c r="D1426" s="51" t="s">
        <v>4974</v>
      </c>
      <c r="E1426" s="50">
        <v>1358</v>
      </c>
      <c r="F1426" s="50">
        <v>1485</v>
      </c>
      <c r="G1426" s="50" t="s">
        <v>3404</v>
      </c>
      <c r="H1426" s="50">
        <v>2025</v>
      </c>
      <c r="I1426" s="132">
        <v>45847</v>
      </c>
      <c r="J1426" s="50" t="s">
        <v>3125</v>
      </c>
      <c r="K1426" s="50" t="s">
        <v>29</v>
      </c>
      <c r="L1426" s="50" t="s">
        <v>2289</v>
      </c>
      <c r="M1426" s="50" t="s">
        <v>212</v>
      </c>
      <c r="N1426" s="50" t="s">
        <v>4975</v>
      </c>
      <c r="O1426" s="60">
        <v>45855</v>
      </c>
      <c r="P1426" s="60">
        <v>45855</v>
      </c>
      <c r="Q1426" s="60">
        <v>45855</v>
      </c>
      <c r="R1426" s="60">
        <v>45856</v>
      </c>
      <c r="S1426" s="50">
        <f t="shared" si="132"/>
        <v>6</v>
      </c>
      <c r="T1426" s="50">
        <f t="shared" si="130"/>
        <v>1</v>
      </c>
      <c r="U1426" s="50">
        <f t="shared" si="131"/>
        <v>1</v>
      </c>
      <c r="V1426" s="50">
        <f t="shared" si="129"/>
        <v>1</v>
      </c>
      <c r="W1426" s="50" t="s">
        <v>150</v>
      </c>
      <c r="X1426" s="50" t="s">
        <v>1078</v>
      </c>
      <c r="Y1426" s="50" t="s">
        <v>50</v>
      </c>
      <c r="Z1426" s="50" t="s">
        <v>3406</v>
      </c>
      <c r="AA1426" s="50"/>
    </row>
    <row r="1427" spans="1:27" ht="25.5" customHeight="1">
      <c r="A1427" s="517" t="s">
        <v>2286</v>
      </c>
      <c r="B1427" s="51" t="s">
        <v>1278</v>
      </c>
      <c r="C1427" s="51" t="s">
        <v>143</v>
      </c>
      <c r="D1427" s="51" t="s">
        <v>4976</v>
      </c>
      <c r="E1427" s="50">
        <v>1675</v>
      </c>
      <c r="F1427" s="50">
        <v>1788</v>
      </c>
      <c r="G1427" s="50" t="s">
        <v>3404</v>
      </c>
      <c r="H1427" s="50">
        <v>2024</v>
      </c>
      <c r="I1427" s="132">
        <v>45517</v>
      </c>
      <c r="J1427" s="50"/>
      <c r="K1427" s="50" t="s">
        <v>29</v>
      </c>
      <c r="L1427" s="50" t="s">
        <v>2289</v>
      </c>
      <c r="M1427" s="50" t="s">
        <v>212</v>
      </c>
      <c r="N1427" s="50"/>
      <c r="O1427" s="50"/>
      <c r="P1427" s="50"/>
      <c r="Q1427" s="50"/>
      <c r="R1427" s="50"/>
      <c r="S1427" s="50" t="str">
        <f t="shared" si="132"/>
        <v/>
      </c>
      <c r="T1427" s="50" t="str">
        <f t="shared" si="130"/>
        <v/>
      </c>
      <c r="U1427" s="50" t="str">
        <f t="shared" si="131"/>
        <v/>
      </c>
      <c r="V1427" s="50" t="str">
        <f t="shared" si="129"/>
        <v/>
      </c>
      <c r="W1427" s="50"/>
      <c r="X1427" s="50" t="s">
        <v>4</v>
      </c>
      <c r="Y1427" s="50" t="s">
        <v>50</v>
      </c>
      <c r="Z1427" s="50" t="s">
        <v>3406</v>
      </c>
      <c r="AA1427" s="50"/>
    </row>
    <row r="1428" spans="1:27" ht="25.5" customHeight="1">
      <c r="A1428" s="517" t="s">
        <v>2286</v>
      </c>
      <c r="B1428" s="51" t="s">
        <v>1278</v>
      </c>
      <c r="C1428" s="51" t="s">
        <v>143</v>
      </c>
      <c r="D1428" s="51" t="s">
        <v>4977</v>
      </c>
      <c r="E1428" s="50">
        <v>945</v>
      </c>
      <c r="F1428" s="50">
        <v>922</v>
      </c>
      <c r="G1428" s="50" t="s">
        <v>3404</v>
      </c>
      <c r="H1428" s="50">
        <v>2025</v>
      </c>
      <c r="I1428" s="132">
        <v>45695</v>
      </c>
      <c r="J1428" s="50" t="s">
        <v>3458</v>
      </c>
      <c r="K1428" s="50" t="s">
        <v>29</v>
      </c>
      <c r="L1428" s="50" t="s">
        <v>2289</v>
      </c>
      <c r="M1428" s="50" t="s">
        <v>212</v>
      </c>
      <c r="N1428" s="50" t="s">
        <v>4978</v>
      </c>
      <c r="O1428" s="60">
        <v>45698</v>
      </c>
      <c r="P1428" s="60">
        <v>45699</v>
      </c>
      <c r="Q1428" s="60">
        <v>45699</v>
      </c>
      <c r="R1428" s="60">
        <v>45701</v>
      </c>
      <c r="S1428" s="50">
        <f t="shared" si="132"/>
        <v>1</v>
      </c>
      <c r="T1428" s="50">
        <f t="shared" si="130"/>
        <v>1</v>
      </c>
      <c r="U1428" s="50">
        <f t="shared" si="131"/>
        <v>1</v>
      </c>
      <c r="V1428" s="50">
        <f t="shared" si="129"/>
        <v>2</v>
      </c>
      <c r="W1428" s="50" t="s">
        <v>150</v>
      </c>
      <c r="X1428" s="50" t="s">
        <v>1078</v>
      </c>
      <c r="Y1428" s="50" t="s">
        <v>50</v>
      </c>
      <c r="Z1428" s="50" t="s">
        <v>3406</v>
      </c>
      <c r="AA1428" s="50"/>
    </row>
    <row r="1429" spans="1:27" ht="25.5" customHeight="1">
      <c r="A1429" s="517" t="s">
        <v>2286</v>
      </c>
      <c r="B1429" s="51" t="s">
        <v>1278</v>
      </c>
      <c r="C1429" s="51" t="s">
        <v>143</v>
      </c>
      <c r="D1429" s="51" t="s">
        <v>4979</v>
      </c>
      <c r="E1429" s="50">
        <v>1840</v>
      </c>
      <c r="F1429" s="50">
        <v>1777</v>
      </c>
      <c r="G1429" s="50" t="s">
        <v>3955</v>
      </c>
      <c r="H1429" s="50"/>
      <c r="I1429" s="105"/>
      <c r="J1429" s="50"/>
      <c r="K1429" s="50" t="s">
        <v>29</v>
      </c>
      <c r="L1429" s="50" t="s">
        <v>2289</v>
      </c>
      <c r="M1429" s="50" t="s">
        <v>212</v>
      </c>
      <c r="N1429" s="50"/>
      <c r="O1429" s="50"/>
      <c r="P1429" s="50"/>
      <c r="Q1429" s="50"/>
      <c r="R1429" s="50"/>
      <c r="S1429" s="50" t="str">
        <f t="shared" si="132"/>
        <v/>
      </c>
      <c r="T1429" s="50" t="str">
        <f t="shared" si="130"/>
        <v/>
      </c>
      <c r="U1429" s="50" t="str">
        <f t="shared" si="131"/>
        <v/>
      </c>
      <c r="V1429" s="50" t="str">
        <f t="shared" si="129"/>
        <v/>
      </c>
      <c r="W1429" s="50"/>
      <c r="X1429" s="50"/>
      <c r="Y1429" s="50"/>
      <c r="Z1429" s="50"/>
      <c r="AA1429" s="50"/>
    </row>
    <row r="1430" spans="1:27" s="351" customFormat="1" ht="25.5" customHeight="1">
      <c r="A1430" s="517" t="s">
        <v>2286</v>
      </c>
      <c r="B1430" s="141" t="s">
        <v>1278</v>
      </c>
      <c r="C1430" s="141" t="s">
        <v>143</v>
      </c>
      <c r="D1430" s="141" t="s">
        <v>4980</v>
      </c>
      <c r="E1430" s="141">
        <v>3816</v>
      </c>
      <c r="F1430" s="141">
        <v>3971</v>
      </c>
      <c r="G1430" s="141" t="s">
        <v>3404</v>
      </c>
      <c r="H1430" s="141">
        <v>2025</v>
      </c>
      <c r="I1430" s="470">
        <v>45727</v>
      </c>
      <c r="J1430" s="141" t="s">
        <v>3416</v>
      </c>
      <c r="K1430" s="141" t="s">
        <v>29</v>
      </c>
      <c r="L1430" s="141" t="s">
        <v>2289</v>
      </c>
      <c r="M1430" s="141" t="s">
        <v>212</v>
      </c>
      <c r="N1430" s="141" t="s">
        <v>4981</v>
      </c>
      <c r="O1430" s="141"/>
      <c r="P1430" s="141"/>
      <c r="Q1430" s="141"/>
      <c r="R1430" s="141"/>
      <c r="S1430" s="50" t="str">
        <f t="shared" si="132"/>
        <v/>
      </c>
      <c r="T1430" s="50" t="str">
        <f>IF(
    OR(ISBLANK(P1430), ISBLANK(Q1430)),
    "",
    MAX(1, IF(
        NETWORKDAYS(P1430, Q1430) &lt;= 0,
        1,
        NETWORKDAYS(P1430, Q1430) - IF(P1430 = Q1430, 0, 1)
    ))
)</f>
        <v/>
      </c>
      <c r="U1430" s="50" t="str">
        <f>IF(
    OR(ISBLANK(Q1430), ISBLANK(R1430)),
    "",
    MAX(1, IF(
        NETWORKDAYS(Q1430, R1430) &lt;= 0,
        1,
        NETWORKDAYS(Q1430, R1430) - IF(Q1430 = R1430, 0, 1)
    ))
)</f>
        <v/>
      </c>
      <c r="V1430" s="50" t="str">
        <f t="shared" si="129"/>
        <v/>
      </c>
      <c r="W1430" s="141" t="s">
        <v>150</v>
      </c>
      <c r="X1430" s="50" t="s">
        <v>1078</v>
      </c>
      <c r="Y1430" s="141" t="s">
        <v>50</v>
      </c>
      <c r="Z1430" s="141" t="s">
        <v>3406</v>
      </c>
      <c r="AA1430" s="141"/>
    </row>
    <row r="1431" spans="1:27" ht="25.5" customHeight="1">
      <c r="A1431" s="517" t="s">
        <v>2286</v>
      </c>
      <c r="B1431" s="51" t="s">
        <v>1278</v>
      </c>
      <c r="C1431" s="51" t="s">
        <v>143</v>
      </c>
      <c r="D1431" s="51" t="s">
        <v>4982</v>
      </c>
      <c r="E1431" s="50">
        <v>2677</v>
      </c>
      <c r="F1431" s="50">
        <v>2454</v>
      </c>
      <c r="G1431" s="50" t="s">
        <v>3955</v>
      </c>
      <c r="H1431" s="50"/>
      <c r="I1431" s="105"/>
      <c r="J1431" s="50"/>
      <c r="K1431" s="50" t="s">
        <v>29</v>
      </c>
      <c r="L1431" s="50" t="s">
        <v>2289</v>
      </c>
      <c r="M1431" s="50" t="s">
        <v>212</v>
      </c>
      <c r="N1431" s="50"/>
      <c r="O1431" s="50"/>
      <c r="P1431" s="50"/>
      <c r="Q1431" s="50"/>
      <c r="R1431" s="50"/>
      <c r="S1431" s="50" t="str">
        <f t="shared" si="132"/>
        <v/>
      </c>
      <c r="T1431" s="50" t="str">
        <f t="shared" ref="T1431:T1462" si="133">IF(
    OR(ISBLANK(O1431), ISBLANK(P1431)),
    "",
    MAX(1, IF(
        NETWORKDAYS(O1431, P1431) &lt;= 0,
        1,
        NETWORKDAYS(O1431, P1431) - IF(O1431 = P1431, 0, 1)
    ))
)</f>
        <v/>
      </c>
      <c r="U1431" s="50" t="str">
        <f t="shared" ref="U1431:U1462" si="134">IF(
    OR(ISBLANK(P1431), ISBLANK(Q1431)),
    "",
    MAX(1, IF(
        NETWORKDAYS(P1431, Q1431) &lt;= 0,
        1,
        NETWORKDAYS(P1431, Q1431) - IF(P1431 = Q1431, 0, 1)
    ))
)</f>
        <v/>
      </c>
      <c r="V1431" s="50" t="str">
        <f t="shared" si="129"/>
        <v/>
      </c>
      <c r="W1431" s="50"/>
      <c r="X1431" s="50"/>
      <c r="Y1431" s="50"/>
      <c r="Z1431" s="50"/>
      <c r="AA1431" s="50"/>
    </row>
    <row r="1432" spans="1:27" s="110" customFormat="1" ht="25.5" customHeight="1">
      <c r="A1432" s="517" t="s">
        <v>2286</v>
      </c>
      <c r="B1432" s="51" t="s">
        <v>1278</v>
      </c>
      <c r="C1432" s="51" t="s">
        <v>143</v>
      </c>
      <c r="D1432" s="51" t="s">
        <v>1490</v>
      </c>
      <c r="E1432" s="50">
        <v>1502</v>
      </c>
      <c r="F1432" s="50">
        <v>1570</v>
      </c>
      <c r="G1432" s="50" t="s">
        <v>3404</v>
      </c>
      <c r="H1432" s="50">
        <v>2024</v>
      </c>
      <c r="I1432" s="132">
        <v>45518</v>
      </c>
      <c r="J1432" s="50"/>
      <c r="K1432" s="50" t="s">
        <v>29</v>
      </c>
      <c r="L1432" s="50" t="s">
        <v>2289</v>
      </c>
      <c r="M1432" s="50" t="s">
        <v>212</v>
      </c>
      <c r="N1432" s="50"/>
      <c r="O1432" s="50"/>
      <c r="P1432" s="50"/>
      <c r="Q1432" s="50"/>
      <c r="R1432" s="50"/>
      <c r="S1432" s="50" t="str">
        <f t="shared" si="132"/>
        <v/>
      </c>
      <c r="T1432" s="50" t="str">
        <f t="shared" si="133"/>
        <v/>
      </c>
      <c r="U1432" s="50" t="str">
        <f t="shared" si="134"/>
        <v/>
      </c>
      <c r="V1432" s="50" t="str">
        <f t="shared" si="129"/>
        <v/>
      </c>
      <c r="W1432" s="50"/>
      <c r="X1432" s="50" t="s">
        <v>4</v>
      </c>
      <c r="Y1432" s="50" t="s">
        <v>50</v>
      </c>
      <c r="Z1432" s="50" t="s">
        <v>3406</v>
      </c>
      <c r="AA1432" s="50"/>
    </row>
    <row r="1433" spans="1:27" ht="25.5" customHeight="1">
      <c r="A1433" s="517" t="s">
        <v>2286</v>
      </c>
      <c r="B1433" s="51" t="s">
        <v>1278</v>
      </c>
      <c r="C1433" s="51" t="s">
        <v>143</v>
      </c>
      <c r="D1433" s="51" t="s">
        <v>4983</v>
      </c>
      <c r="E1433" s="50">
        <v>1017</v>
      </c>
      <c r="F1433" s="50">
        <v>1075</v>
      </c>
      <c r="G1433" s="50" t="s">
        <v>3404</v>
      </c>
      <c r="H1433" s="50">
        <v>2024</v>
      </c>
      <c r="I1433" s="132">
        <v>45541</v>
      </c>
      <c r="J1433" s="50"/>
      <c r="K1433" s="50" t="s">
        <v>29</v>
      </c>
      <c r="L1433" s="50" t="s">
        <v>2289</v>
      </c>
      <c r="M1433" s="50" t="s">
        <v>212</v>
      </c>
      <c r="N1433" s="50"/>
      <c r="O1433" s="50"/>
      <c r="P1433" s="50"/>
      <c r="Q1433" s="50"/>
      <c r="R1433" s="50"/>
      <c r="S1433" s="50" t="str">
        <f t="shared" si="132"/>
        <v/>
      </c>
      <c r="T1433" s="50" t="str">
        <f t="shared" si="133"/>
        <v/>
      </c>
      <c r="U1433" s="50" t="str">
        <f t="shared" si="134"/>
        <v/>
      </c>
      <c r="V1433" s="50" t="str">
        <f t="shared" ref="V1433:V1496" si="135">IF(
    OR(ISBLANK(Q1433), ISBLANK(R1433)),
    "",
    MAX(1, IF(
        NETWORKDAYS(Q1433, R1433) &lt;= 0,
        1,
        NETWORKDAYS(Q1433, R1433) - IF(Q1433 = R1433, 0, 1)
    ))
)</f>
        <v/>
      </c>
      <c r="W1433" s="50"/>
      <c r="X1433" s="50" t="s">
        <v>4</v>
      </c>
      <c r="Y1433" s="50" t="s">
        <v>50</v>
      </c>
      <c r="Z1433" s="50" t="s">
        <v>3406</v>
      </c>
      <c r="AA1433" s="50"/>
    </row>
    <row r="1434" spans="1:27" ht="25.5" customHeight="1">
      <c r="A1434" s="517" t="s">
        <v>2286</v>
      </c>
      <c r="B1434" s="51" t="s">
        <v>1278</v>
      </c>
      <c r="C1434" s="51" t="s">
        <v>143</v>
      </c>
      <c r="D1434" s="51" t="s">
        <v>4984</v>
      </c>
      <c r="E1434" s="50">
        <v>1640</v>
      </c>
      <c r="F1434" s="50">
        <v>1817</v>
      </c>
      <c r="G1434" s="50" t="s">
        <v>3404</v>
      </c>
      <c r="H1434" s="50">
        <v>2024</v>
      </c>
      <c r="I1434" s="132">
        <v>45541</v>
      </c>
      <c r="J1434" s="50"/>
      <c r="K1434" s="50" t="s">
        <v>29</v>
      </c>
      <c r="L1434" s="50" t="s">
        <v>2289</v>
      </c>
      <c r="M1434" s="50" t="s">
        <v>212</v>
      </c>
      <c r="N1434" s="50"/>
      <c r="O1434" s="50"/>
      <c r="P1434" s="50"/>
      <c r="Q1434" s="50"/>
      <c r="R1434" s="50"/>
      <c r="S1434" s="50" t="str">
        <f t="shared" si="132"/>
        <v/>
      </c>
      <c r="T1434" s="50" t="str">
        <f t="shared" si="133"/>
        <v/>
      </c>
      <c r="U1434" s="50" t="str">
        <f t="shared" si="134"/>
        <v/>
      </c>
      <c r="V1434" s="50" t="str">
        <f t="shared" si="135"/>
        <v/>
      </c>
      <c r="W1434" s="50"/>
      <c r="X1434" s="50" t="s">
        <v>4</v>
      </c>
      <c r="Y1434" s="50" t="s">
        <v>50</v>
      </c>
      <c r="Z1434" s="50" t="s">
        <v>3406</v>
      </c>
      <c r="AA1434" s="50"/>
    </row>
    <row r="1435" spans="1:27" ht="25.5" customHeight="1">
      <c r="A1435" s="517" t="s">
        <v>2286</v>
      </c>
      <c r="B1435" s="51" t="s">
        <v>1278</v>
      </c>
      <c r="C1435" s="51" t="s">
        <v>143</v>
      </c>
      <c r="D1435" s="51" t="s">
        <v>4985</v>
      </c>
      <c r="E1435" s="50">
        <v>782</v>
      </c>
      <c r="F1435" s="50">
        <v>692</v>
      </c>
      <c r="G1435" s="50" t="s">
        <v>3404</v>
      </c>
      <c r="H1435" s="50">
        <v>2025</v>
      </c>
      <c r="I1435" s="132">
        <v>45695</v>
      </c>
      <c r="J1435" s="50" t="s">
        <v>3458</v>
      </c>
      <c r="K1435" s="50" t="s">
        <v>29</v>
      </c>
      <c r="L1435" s="50" t="s">
        <v>2289</v>
      </c>
      <c r="M1435" s="50" t="s">
        <v>212</v>
      </c>
      <c r="N1435" s="50" t="s">
        <v>4986</v>
      </c>
      <c r="O1435" s="60">
        <v>45698</v>
      </c>
      <c r="P1435" s="60">
        <v>45699</v>
      </c>
      <c r="Q1435" s="60">
        <v>45699</v>
      </c>
      <c r="R1435" s="60">
        <v>45701</v>
      </c>
      <c r="S1435" s="50">
        <f t="shared" si="132"/>
        <v>1</v>
      </c>
      <c r="T1435" s="50">
        <f t="shared" si="133"/>
        <v>1</v>
      </c>
      <c r="U1435" s="50">
        <f t="shared" si="134"/>
        <v>1</v>
      </c>
      <c r="V1435" s="50">
        <f t="shared" si="135"/>
        <v>2</v>
      </c>
      <c r="W1435" s="50" t="s">
        <v>150</v>
      </c>
      <c r="X1435" s="50" t="s">
        <v>1078</v>
      </c>
      <c r="Y1435" s="50" t="s">
        <v>50</v>
      </c>
      <c r="Z1435" s="50" t="s">
        <v>3406</v>
      </c>
      <c r="AA1435" s="50"/>
    </row>
    <row r="1436" spans="1:27" ht="25.5" customHeight="1">
      <c r="A1436" s="517" t="s">
        <v>2286</v>
      </c>
      <c r="B1436" s="51" t="s">
        <v>1278</v>
      </c>
      <c r="C1436" s="51" t="s">
        <v>143</v>
      </c>
      <c r="D1436" s="51" t="s">
        <v>4987</v>
      </c>
      <c r="E1436" s="50">
        <v>1664</v>
      </c>
      <c r="F1436" s="50">
        <v>1823</v>
      </c>
      <c r="G1436" s="50" t="s">
        <v>3404</v>
      </c>
      <c r="H1436" s="50">
        <v>2025</v>
      </c>
      <c r="I1436" s="132">
        <v>45918</v>
      </c>
      <c r="J1436" s="50" t="s">
        <v>3127</v>
      </c>
      <c r="K1436" s="50" t="s">
        <v>29</v>
      </c>
      <c r="L1436" s="50" t="s">
        <v>2289</v>
      </c>
      <c r="M1436" s="50" t="s">
        <v>212</v>
      </c>
      <c r="N1436" s="50" t="s">
        <v>4988</v>
      </c>
      <c r="O1436" s="60">
        <v>45918</v>
      </c>
      <c r="P1436" s="60">
        <v>45918</v>
      </c>
      <c r="Q1436" s="60">
        <v>45918</v>
      </c>
      <c r="R1436" s="60">
        <v>45919</v>
      </c>
      <c r="S1436" s="50">
        <f t="shared" si="132"/>
        <v>1</v>
      </c>
      <c r="T1436" s="50">
        <f t="shared" si="133"/>
        <v>1</v>
      </c>
      <c r="U1436" s="50">
        <f t="shared" si="134"/>
        <v>1</v>
      </c>
      <c r="V1436" s="50">
        <f t="shared" si="135"/>
        <v>1</v>
      </c>
      <c r="W1436" s="50" t="s">
        <v>150</v>
      </c>
      <c r="X1436" s="50" t="s">
        <v>1078</v>
      </c>
      <c r="Y1436" s="50" t="s">
        <v>50</v>
      </c>
      <c r="Z1436" s="50" t="s">
        <v>3406</v>
      </c>
      <c r="AA1436" s="50"/>
    </row>
    <row r="1437" spans="1:27" ht="25.5" customHeight="1">
      <c r="A1437" s="517" t="s">
        <v>2286</v>
      </c>
      <c r="B1437" s="51" t="s">
        <v>1278</v>
      </c>
      <c r="C1437" s="51" t="s">
        <v>143</v>
      </c>
      <c r="D1437" s="51" t="s">
        <v>4989</v>
      </c>
      <c r="E1437" s="50">
        <v>3998</v>
      </c>
      <c r="F1437" s="50">
        <v>4451</v>
      </c>
      <c r="G1437" s="50" t="s">
        <v>3404</v>
      </c>
      <c r="H1437" s="50">
        <v>2025</v>
      </c>
      <c r="I1437" s="132">
        <v>45700</v>
      </c>
      <c r="J1437" s="50" t="s">
        <v>3458</v>
      </c>
      <c r="K1437" s="50" t="s">
        <v>29</v>
      </c>
      <c r="L1437" s="50" t="s">
        <v>2289</v>
      </c>
      <c r="M1437" s="50" t="s">
        <v>212</v>
      </c>
      <c r="N1437" s="50" t="s">
        <v>4990</v>
      </c>
      <c r="O1437" s="60">
        <v>45705</v>
      </c>
      <c r="P1437" s="60">
        <v>45705</v>
      </c>
      <c r="Q1437" s="60">
        <v>45705</v>
      </c>
      <c r="R1437" s="60">
        <v>45706</v>
      </c>
      <c r="S1437" s="50">
        <f t="shared" si="132"/>
        <v>3</v>
      </c>
      <c r="T1437" s="50">
        <f t="shared" si="133"/>
        <v>1</v>
      </c>
      <c r="U1437" s="50">
        <f t="shared" si="134"/>
        <v>1</v>
      </c>
      <c r="V1437" s="50">
        <f t="shared" si="135"/>
        <v>1</v>
      </c>
      <c r="W1437" s="50" t="s">
        <v>150</v>
      </c>
      <c r="X1437" s="50" t="s">
        <v>1078</v>
      </c>
      <c r="Y1437" s="50" t="s">
        <v>50</v>
      </c>
      <c r="Z1437" s="50" t="s">
        <v>3406</v>
      </c>
      <c r="AA1437" s="50"/>
    </row>
    <row r="1438" spans="1:27" s="110" customFormat="1" ht="25.5" customHeight="1">
      <c r="A1438" s="517" t="s">
        <v>2286</v>
      </c>
      <c r="B1438" s="51" t="s">
        <v>1278</v>
      </c>
      <c r="C1438" s="51" t="s">
        <v>143</v>
      </c>
      <c r="D1438" s="51" t="s">
        <v>1286</v>
      </c>
      <c r="E1438" s="50">
        <v>884</v>
      </c>
      <c r="F1438" s="50">
        <v>765</v>
      </c>
      <c r="G1438" s="50" t="s">
        <v>3955</v>
      </c>
      <c r="H1438" s="50"/>
      <c r="I1438" s="105"/>
      <c r="J1438" s="50"/>
      <c r="K1438" s="50" t="s">
        <v>29</v>
      </c>
      <c r="L1438" s="50" t="s">
        <v>2289</v>
      </c>
      <c r="M1438" s="50" t="s">
        <v>212</v>
      </c>
      <c r="N1438" s="50"/>
      <c r="O1438" s="50"/>
      <c r="P1438" s="50"/>
      <c r="Q1438" s="50"/>
      <c r="R1438" s="50"/>
      <c r="S1438" s="50" t="str">
        <f t="shared" si="132"/>
        <v/>
      </c>
      <c r="T1438" s="50" t="str">
        <f t="shared" si="133"/>
        <v/>
      </c>
      <c r="U1438" s="50" t="str">
        <f t="shared" si="134"/>
        <v/>
      </c>
      <c r="V1438" s="50" t="str">
        <f t="shared" si="135"/>
        <v/>
      </c>
      <c r="W1438" s="50"/>
      <c r="X1438" s="50"/>
      <c r="Y1438" s="50"/>
      <c r="Z1438" s="50"/>
      <c r="AA1438" s="50"/>
    </row>
    <row r="1439" spans="1:27" ht="25.5" customHeight="1">
      <c r="A1439" s="517" t="s">
        <v>2286</v>
      </c>
      <c r="B1439" s="51" t="s">
        <v>1278</v>
      </c>
      <c r="C1439" s="51" t="s">
        <v>143</v>
      </c>
      <c r="D1439" s="51" t="s">
        <v>4991</v>
      </c>
      <c r="E1439" s="50">
        <v>659</v>
      </c>
      <c r="F1439" s="50">
        <v>566</v>
      </c>
      <c r="G1439" s="50" t="s">
        <v>3955</v>
      </c>
      <c r="H1439" s="50"/>
      <c r="I1439" s="105"/>
      <c r="J1439" s="50"/>
      <c r="K1439" s="50" t="s">
        <v>29</v>
      </c>
      <c r="L1439" s="50" t="s">
        <v>2289</v>
      </c>
      <c r="M1439" s="50" t="s">
        <v>212</v>
      </c>
      <c r="N1439" s="50"/>
      <c r="O1439" s="50"/>
      <c r="P1439" s="50"/>
      <c r="Q1439" s="50"/>
      <c r="R1439" s="50"/>
      <c r="S1439" s="50" t="str">
        <f t="shared" si="132"/>
        <v/>
      </c>
      <c r="T1439" s="50" t="str">
        <f t="shared" si="133"/>
        <v/>
      </c>
      <c r="U1439" s="50" t="str">
        <f t="shared" si="134"/>
        <v/>
      </c>
      <c r="V1439" s="50" t="str">
        <f t="shared" si="135"/>
        <v/>
      </c>
      <c r="W1439" s="50"/>
      <c r="X1439" s="50"/>
      <c r="Y1439" s="50"/>
      <c r="Z1439" s="50"/>
      <c r="AA1439" s="50"/>
    </row>
    <row r="1440" spans="1:27" ht="25.5" customHeight="1">
      <c r="A1440" s="517" t="s">
        <v>2286</v>
      </c>
      <c r="B1440" s="51" t="s">
        <v>1278</v>
      </c>
      <c r="C1440" s="51" t="s">
        <v>143</v>
      </c>
      <c r="D1440" s="51" t="s">
        <v>2068</v>
      </c>
      <c r="E1440" s="50">
        <v>1392</v>
      </c>
      <c r="F1440" s="50">
        <v>1700</v>
      </c>
      <c r="G1440" s="50" t="s">
        <v>3404</v>
      </c>
      <c r="H1440" s="50">
        <v>2025</v>
      </c>
      <c r="I1440" s="132">
        <v>45757</v>
      </c>
      <c r="J1440" s="50" t="s">
        <v>3470</v>
      </c>
      <c r="K1440" s="50" t="s">
        <v>29</v>
      </c>
      <c r="L1440" s="50" t="s">
        <v>2289</v>
      </c>
      <c r="M1440" s="50" t="s">
        <v>212</v>
      </c>
      <c r="N1440" s="50" t="s">
        <v>4992</v>
      </c>
      <c r="O1440" s="60">
        <v>45761</v>
      </c>
      <c r="P1440" s="60">
        <v>45762</v>
      </c>
      <c r="Q1440" s="60">
        <v>45762</v>
      </c>
      <c r="R1440" s="60">
        <v>45762</v>
      </c>
      <c r="S1440" s="50">
        <f t="shared" si="132"/>
        <v>2</v>
      </c>
      <c r="T1440" s="50">
        <f t="shared" si="133"/>
        <v>1</v>
      </c>
      <c r="U1440" s="50">
        <f t="shared" si="134"/>
        <v>1</v>
      </c>
      <c r="V1440" s="50">
        <f t="shared" si="135"/>
        <v>1</v>
      </c>
      <c r="W1440" s="50" t="s">
        <v>150</v>
      </c>
      <c r="X1440" s="50" t="s">
        <v>1078</v>
      </c>
      <c r="Y1440" s="50" t="s">
        <v>50</v>
      </c>
      <c r="Z1440" s="50" t="s">
        <v>3406</v>
      </c>
      <c r="AA1440" s="50"/>
    </row>
    <row r="1441" spans="1:27" ht="25.5" customHeight="1">
      <c r="A1441" s="517" t="s">
        <v>2286</v>
      </c>
      <c r="B1441" s="51" t="s">
        <v>1278</v>
      </c>
      <c r="C1441" s="51" t="s">
        <v>143</v>
      </c>
      <c r="D1441" s="51" t="s">
        <v>4830</v>
      </c>
      <c r="E1441" s="50">
        <v>1307</v>
      </c>
      <c r="F1441" s="50">
        <v>1387</v>
      </c>
      <c r="G1441" s="50" t="s">
        <v>3955</v>
      </c>
      <c r="H1441" s="50"/>
      <c r="I1441" s="105"/>
      <c r="J1441" s="50"/>
      <c r="K1441" s="50" t="s">
        <v>29</v>
      </c>
      <c r="L1441" s="50" t="s">
        <v>2289</v>
      </c>
      <c r="M1441" s="50" t="s">
        <v>212</v>
      </c>
      <c r="N1441" s="50"/>
      <c r="O1441" s="50"/>
      <c r="P1441" s="50"/>
      <c r="Q1441" s="50"/>
      <c r="R1441" s="50"/>
      <c r="S1441" s="50" t="str">
        <f t="shared" si="132"/>
        <v/>
      </c>
      <c r="T1441" s="50" t="str">
        <f t="shared" si="133"/>
        <v/>
      </c>
      <c r="U1441" s="50" t="str">
        <f t="shared" si="134"/>
        <v/>
      </c>
      <c r="V1441" s="50" t="str">
        <f t="shared" si="135"/>
        <v/>
      </c>
      <c r="W1441" s="50"/>
      <c r="X1441" s="50"/>
      <c r="Y1441" s="50"/>
      <c r="Z1441" s="50"/>
      <c r="AA1441" s="50"/>
    </row>
    <row r="1442" spans="1:27" s="110" customFormat="1" ht="25.5" customHeight="1">
      <c r="A1442" s="517" t="s">
        <v>2286</v>
      </c>
      <c r="B1442" s="51" t="s">
        <v>1278</v>
      </c>
      <c r="C1442" s="51" t="s">
        <v>143</v>
      </c>
      <c r="D1442" s="51" t="s">
        <v>4993</v>
      </c>
      <c r="E1442" s="50">
        <v>1818</v>
      </c>
      <c r="F1442" s="50">
        <v>2092</v>
      </c>
      <c r="G1442" s="50" t="s">
        <v>3404</v>
      </c>
      <c r="H1442" s="50">
        <v>2025</v>
      </c>
      <c r="I1442" s="132">
        <v>45744</v>
      </c>
      <c r="J1442" s="50" t="s">
        <v>3470</v>
      </c>
      <c r="K1442" s="50" t="s">
        <v>29</v>
      </c>
      <c r="L1442" s="50" t="s">
        <v>2289</v>
      </c>
      <c r="M1442" s="50" t="s">
        <v>212</v>
      </c>
      <c r="N1442" s="50" t="s">
        <v>4994</v>
      </c>
      <c r="O1442" s="60">
        <v>45755</v>
      </c>
      <c r="P1442" s="60">
        <v>45757</v>
      </c>
      <c r="Q1442" s="60">
        <v>45757</v>
      </c>
      <c r="R1442" s="60">
        <v>45757</v>
      </c>
      <c r="S1442" s="50">
        <f t="shared" si="132"/>
        <v>7</v>
      </c>
      <c r="T1442" s="50">
        <f t="shared" si="133"/>
        <v>2</v>
      </c>
      <c r="U1442" s="50">
        <f t="shared" si="134"/>
        <v>1</v>
      </c>
      <c r="V1442" s="50">
        <f t="shared" si="135"/>
        <v>1</v>
      </c>
      <c r="W1442" s="50" t="s">
        <v>150</v>
      </c>
      <c r="X1442" s="50" t="s">
        <v>1078</v>
      </c>
      <c r="Y1442" s="50" t="s">
        <v>50</v>
      </c>
      <c r="Z1442" s="50" t="s">
        <v>3406</v>
      </c>
      <c r="AA1442" s="50"/>
    </row>
    <row r="1443" spans="1:27" ht="25.5" customHeight="1">
      <c r="A1443" s="517" t="s">
        <v>2286</v>
      </c>
      <c r="B1443" s="51" t="s">
        <v>1278</v>
      </c>
      <c r="C1443" s="51" t="s">
        <v>143</v>
      </c>
      <c r="D1443" s="51" t="s">
        <v>4995</v>
      </c>
      <c r="E1443" s="50">
        <v>1776</v>
      </c>
      <c r="F1443" s="50">
        <v>1798</v>
      </c>
      <c r="G1443" s="50" t="s">
        <v>3404</v>
      </c>
      <c r="H1443" s="50">
        <v>2025</v>
      </c>
      <c r="I1443" s="132">
        <v>45744</v>
      </c>
      <c r="J1443" s="50" t="s">
        <v>3470</v>
      </c>
      <c r="K1443" s="50" t="s">
        <v>29</v>
      </c>
      <c r="L1443" s="50" t="s">
        <v>2289</v>
      </c>
      <c r="M1443" s="50" t="s">
        <v>212</v>
      </c>
      <c r="N1443" s="50" t="s">
        <v>4996</v>
      </c>
      <c r="O1443" s="60">
        <v>45755</v>
      </c>
      <c r="P1443" s="60">
        <v>45757</v>
      </c>
      <c r="Q1443" s="60">
        <v>45757</v>
      </c>
      <c r="R1443" s="60">
        <v>45757</v>
      </c>
      <c r="S1443" s="50">
        <f t="shared" si="132"/>
        <v>7</v>
      </c>
      <c r="T1443" s="50">
        <f t="shared" si="133"/>
        <v>2</v>
      </c>
      <c r="U1443" s="50">
        <f t="shared" si="134"/>
        <v>1</v>
      </c>
      <c r="V1443" s="50">
        <f t="shared" si="135"/>
        <v>1</v>
      </c>
      <c r="W1443" s="50" t="s">
        <v>150</v>
      </c>
      <c r="X1443" s="50" t="s">
        <v>1078</v>
      </c>
      <c r="Y1443" s="50" t="s">
        <v>50</v>
      </c>
      <c r="Z1443" s="50" t="s">
        <v>3406</v>
      </c>
      <c r="AA1443" s="50"/>
    </row>
    <row r="1444" spans="1:27" ht="25.5" customHeight="1">
      <c r="A1444" s="517" t="s">
        <v>2286</v>
      </c>
      <c r="B1444" s="51" t="s">
        <v>1278</v>
      </c>
      <c r="C1444" s="51" t="s">
        <v>143</v>
      </c>
      <c r="D1444" s="51" t="s">
        <v>1884</v>
      </c>
      <c r="E1444" s="50">
        <v>2119</v>
      </c>
      <c r="F1444" s="50">
        <v>2189</v>
      </c>
      <c r="G1444" s="50" t="s">
        <v>3404</v>
      </c>
      <c r="H1444" s="50">
        <v>2024</v>
      </c>
      <c r="I1444" s="132">
        <v>45385</v>
      </c>
      <c r="J1444" s="50"/>
      <c r="K1444" s="50" t="s">
        <v>29</v>
      </c>
      <c r="L1444" s="50" t="s">
        <v>2289</v>
      </c>
      <c r="M1444" s="50" t="s">
        <v>212</v>
      </c>
      <c r="N1444" s="50"/>
      <c r="O1444" s="50"/>
      <c r="P1444" s="50"/>
      <c r="Q1444" s="50"/>
      <c r="R1444" s="50"/>
      <c r="S1444" s="50" t="str">
        <f t="shared" si="132"/>
        <v/>
      </c>
      <c r="T1444" s="50" t="str">
        <f t="shared" si="133"/>
        <v/>
      </c>
      <c r="U1444" s="50" t="str">
        <f t="shared" si="134"/>
        <v/>
      </c>
      <c r="V1444" s="50" t="str">
        <f t="shared" si="135"/>
        <v/>
      </c>
      <c r="W1444" s="50"/>
      <c r="X1444" s="50"/>
      <c r="Y1444" s="50"/>
      <c r="Z1444" s="50" t="s">
        <v>3406</v>
      </c>
      <c r="AA1444" s="50"/>
    </row>
    <row r="1445" spans="1:27" ht="25.5" customHeight="1">
      <c r="A1445" s="517" t="s">
        <v>2286</v>
      </c>
      <c r="B1445" s="51" t="s">
        <v>1278</v>
      </c>
      <c r="C1445" s="51" t="s">
        <v>143</v>
      </c>
      <c r="D1445" s="51" t="s">
        <v>1180</v>
      </c>
      <c r="E1445" s="50">
        <v>4967</v>
      </c>
      <c r="F1445" s="50">
        <v>5239</v>
      </c>
      <c r="G1445" s="50" t="s">
        <v>3955</v>
      </c>
      <c r="H1445" s="50"/>
      <c r="I1445" s="105"/>
      <c r="J1445" s="50"/>
      <c r="K1445" s="50" t="s">
        <v>29</v>
      </c>
      <c r="L1445" s="50" t="s">
        <v>2289</v>
      </c>
      <c r="M1445" s="50" t="s">
        <v>212</v>
      </c>
      <c r="N1445" s="50"/>
      <c r="O1445" s="50"/>
      <c r="P1445" s="50"/>
      <c r="Q1445" s="50"/>
      <c r="R1445" s="50"/>
      <c r="S1445" s="50" t="str">
        <f t="shared" si="132"/>
        <v/>
      </c>
      <c r="T1445" s="50" t="str">
        <f t="shared" si="133"/>
        <v/>
      </c>
      <c r="U1445" s="50" t="str">
        <f t="shared" si="134"/>
        <v/>
      </c>
      <c r="V1445" s="50" t="str">
        <f t="shared" si="135"/>
        <v/>
      </c>
      <c r="W1445" s="50"/>
      <c r="X1445" s="50"/>
      <c r="Y1445" s="50"/>
      <c r="Z1445" s="50"/>
      <c r="AA1445" s="50"/>
    </row>
    <row r="1446" spans="1:27" ht="25.5" customHeight="1">
      <c r="A1446" s="517" t="s">
        <v>2286</v>
      </c>
      <c r="B1446" s="51" t="s">
        <v>1278</v>
      </c>
      <c r="C1446" s="51" t="s">
        <v>143</v>
      </c>
      <c r="D1446" s="51" t="s">
        <v>1253</v>
      </c>
      <c r="E1446" s="50">
        <v>1578</v>
      </c>
      <c r="F1446" s="50">
        <v>1660</v>
      </c>
      <c r="G1446" s="50" t="s">
        <v>3404</v>
      </c>
      <c r="H1446" s="50">
        <v>2025</v>
      </c>
      <c r="I1446" s="132">
        <v>45727</v>
      </c>
      <c r="J1446" s="50" t="s">
        <v>3416</v>
      </c>
      <c r="K1446" s="50" t="s">
        <v>29</v>
      </c>
      <c r="L1446" s="50" t="s">
        <v>2289</v>
      </c>
      <c r="M1446" s="50" t="s">
        <v>212</v>
      </c>
      <c r="N1446" s="50" t="s">
        <v>4997</v>
      </c>
      <c r="O1446" s="60">
        <v>45734</v>
      </c>
      <c r="P1446" s="60">
        <v>45734</v>
      </c>
      <c r="Q1446" s="60">
        <v>45734</v>
      </c>
      <c r="R1446" s="60">
        <v>45735</v>
      </c>
      <c r="S1446" s="50">
        <f t="shared" si="132"/>
        <v>5</v>
      </c>
      <c r="T1446" s="50">
        <f t="shared" si="133"/>
        <v>1</v>
      </c>
      <c r="U1446" s="50">
        <f t="shared" si="134"/>
        <v>1</v>
      </c>
      <c r="V1446" s="50">
        <f t="shared" si="135"/>
        <v>1</v>
      </c>
      <c r="W1446" s="50" t="s">
        <v>150</v>
      </c>
      <c r="X1446" s="50" t="s">
        <v>1078</v>
      </c>
      <c r="Y1446" s="50" t="s">
        <v>50</v>
      </c>
      <c r="Z1446" s="50" t="s">
        <v>3406</v>
      </c>
      <c r="AA1446" s="50"/>
    </row>
    <row r="1447" spans="1:27" ht="25.5" customHeight="1">
      <c r="A1447" s="517" t="s">
        <v>2286</v>
      </c>
      <c r="B1447" s="51" t="s">
        <v>1278</v>
      </c>
      <c r="C1447" s="51" t="s">
        <v>143</v>
      </c>
      <c r="D1447" s="51" t="s">
        <v>3974</v>
      </c>
      <c r="E1447" s="50">
        <v>1980</v>
      </c>
      <c r="F1447" s="50">
        <v>1925</v>
      </c>
      <c r="G1447" s="50" t="s">
        <v>3404</v>
      </c>
      <c r="H1447" s="50">
        <v>2025</v>
      </c>
      <c r="I1447" s="132">
        <v>45730</v>
      </c>
      <c r="J1447" s="50" t="s">
        <v>3416</v>
      </c>
      <c r="K1447" s="50" t="s">
        <v>29</v>
      </c>
      <c r="L1447" s="50" t="s">
        <v>2289</v>
      </c>
      <c r="M1447" s="50" t="s">
        <v>212</v>
      </c>
      <c r="N1447" s="50" t="s">
        <v>4998</v>
      </c>
      <c r="O1447" s="60">
        <v>45730</v>
      </c>
      <c r="P1447" s="60">
        <v>45734</v>
      </c>
      <c r="Q1447" s="60">
        <v>45734</v>
      </c>
      <c r="R1447" s="60">
        <v>45735</v>
      </c>
      <c r="S1447" s="50">
        <f t="shared" si="132"/>
        <v>1</v>
      </c>
      <c r="T1447" s="50">
        <f t="shared" si="133"/>
        <v>2</v>
      </c>
      <c r="U1447" s="50">
        <f t="shared" si="134"/>
        <v>1</v>
      </c>
      <c r="V1447" s="50">
        <f t="shared" si="135"/>
        <v>1</v>
      </c>
      <c r="W1447" s="50" t="s">
        <v>150</v>
      </c>
      <c r="X1447" s="50" t="s">
        <v>1078</v>
      </c>
      <c r="Y1447" s="50" t="s">
        <v>50</v>
      </c>
      <c r="Z1447" s="50" t="s">
        <v>3406</v>
      </c>
      <c r="AA1447" s="50"/>
    </row>
    <row r="1448" spans="1:27" ht="25.5" customHeight="1">
      <c r="A1448" s="517" t="s">
        <v>2286</v>
      </c>
      <c r="B1448" s="51" t="s">
        <v>1278</v>
      </c>
      <c r="C1448" s="51" t="s">
        <v>143</v>
      </c>
      <c r="D1448" s="51" t="s">
        <v>3133</v>
      </c>
      <c r="E1448" s="50">
        <v>651</v>
      </c>
      <c r="F1448" s="50">
        <v>713</v>
      </c>
      <c r="G1448" s="50" t="s">
        <v>3404</v>
      </c>
      <c r="H1448" s="50">
        <v>2025</v>
      </c>
      <c r="I1448" s="132">
        <v>45714</v>
      </c>
      <c r="J1448" s="50" t="s">
        <v>3416</v>
      </c>
      <c r="K1448" s="50" t="s">
        <v>29</v>
      </c>
      <c r="L1448" s="50" t="s">
        <v>2289</v>
      </c>
      <c r="M1448" s="50" t="s">
        <v>212</v>
      </c>
      <c r="N1448" s="50" t="s">
        <v>4999</v>
      </c>
      <c r="O1448" s="60">
        <v>45722</v>
      </c>
      <c r="P1448" s="60">
        <v>45729</v>
      </c>
      <c r="Q1448" s="60">
        <v>45735</v>
      </c>
      <c r="R1448" s="60">
        <v>45735</v>
      </c>
      <c r="S1448" s="50">
        <f t="shared" si="132"/>
        <v>6</v>
      </c>
      <c r="T1448" s="50">
        <f t="shared" si="133"/>
        <v>5</v>
      </c>
      <c r="U1448" s="50">
        <f t="shared" si="134"/>
        <v>4</v>
      </c>
      <c r="V1448" s="50">
        <f t="shared" si="135"/>
        <v>1</v>
      </c>
      <c r="W1448" s="50" t="s">
        <v>150</v>
      </c>
      <c r="X1448" s="50" t="s">
        <v>1078</v>
      </c>
      <c r="Y1448" s="50" t="s">
        <v>50</v>
      </c>
      <c r="Z1448" s="50" t="s">
        <v>3406</v>
      </c>
      <c r="AA1448" s="50"/>
    </row>
    <row r="1449" spans="1:27" ht="25.5" customHeight="1">
      <c r="A1449" s="517" t="s">
        <v>2286</v>
      </c>
      <c r="B1449" s="51" t="s">
        <v>1120</v>
      </c>
      <c r="C1449" s="51" t="s">
        <v>159</v>
      </c>
      <c r="D1449" s="51" t="s">
        <v>5000</v>
      </c>
      <c r="E1449" s="50">
        <v>377</v>
      </c>
      <c r="F1449" s="50">
        <v>123</v>
      </c>
      <c r="G1449" s="50" t="s">
        <v>3955</v>
      </c>
      <c r="H1449" s="50"/>
      <c r="I1449" s="105"/>
      <c r="J1449" s="50"/>
      <c r="K1449" s="50" t="s">
        <v>29</v>
      </c>
      <c r="L1449" s="50" t="s">
        <v>2289</v>
      </c>
      <c r="M1449" s="50" t="s">
        <v>212</v>
      </c>
      <c r="N1449" s="50"/>
      <c r="O1449" s="50"/>
      <c r="P1449" s="50"/>
      <c r="Q1449" s="50"/>
      <c r="R1449" s="50"/>
      <c r="S1449" s="50" t="str">
        <f t="shared" si="132"/>
        <v/>
      </c>
      <c r="T1449" s="50" t="str">
        <f t="shared" si="133"/>
        <v/>
      </c>
      <c r="U1449" s="50" t="str">
        <f t="shared" si="134"/>
        <v/>
      </c>
      <c r="V1449" s="50" t="str">
        <f t="shared" si="135"/>
        <v/>
      </c>
      <c r="W1449" s="50"/>
      <c r="X1449" s="50"/>
      <c r="Y1449" s="50"/>
      <c r="Z1449" s="50"/>
      <c r="AA1449" s="50"/>
    </row>
    <row r="1450" spans="1:27" ht="25.5" customHeight="1">
      <c r="A1450" s="517" t="s">
        <v>2286</v>
      </c>
      <c r="B1450" s="51" t="s">
        <v>1120</v>
      </c>
      <c r="C1450" s="51" t="s">
        <v>159</v>
      </c>
      <c r="D1450" s="51" t="s">
        <v>5001</v>
      </c>
      <c r="E1450" s="50">
        <v>1573</v>
      </c>
      <c r="F1450" s="50">
        <v>1620</v>
      </c>
      <c r="G1450" s="50" t="s">
        <v>3955</v>
      </c>
      <c r="H1450" s="50"/>
      <c r="I1450" s="105"/>
      <c r="J1450" s="50"/>
      <c r="K1450" s="50" t="s">
        <v>29</v>
      </c>
      <c r="L1450" s="50" t="s">
        <v>2289</v>
      </c>
      <c r="M1450" s="50" t="s">
        <v>212</v>
      </c>
      <c r="N1450" s="50"/>
      <c r="O1450" s="50"/>
      <c r="P1450" s="50"/>
      <c r="Q1450" s="50"/>
      <c r="R1450" s="50"/>
      <c r="S1450" s="50" t="str">
        <f t="shared" si="132"/>
        <v/>
      </c>
      <c r="T1450" s="50" t="str">
        <f t="shared" si="133"/>
        <v/>
      </c>
      <c r="U1450" s="50" t="str">
        <f t="shared" si="134"/>
        <v/>
      </c>
      <c r="V1450" s="50" t="str">
        <f t="shared" si="135"/>
        <v/>
      </c>
      <c r="W1450" s="50"/>
      <c r="X1450" s="50"/>
      <c r="Y1450" s="50"/>
      <c r="Z1450" s="50"/>
      <c r="AA1450" s="50"/>
    </row>
    <row r="1451" spans="1:27" ht="25.5" customHeight="1">
      <c r="A1451" s="517" t="s">
        <v>2286</v>
      </c>
      <c r="B1451" s="51" t="s">
        <v>1120</v>
      </c>
      <c r="C1451" s="51" t="s">
        <v>159</v>
      </c>
      <c r="D1451" s="51" t="s">
        <v>5002</v>
      </c>
      <c r="E1451" s="50">
        <v>1727</v>
      </c>
      <c r="F1451" s="50">
        <v>1707</v>
      </c>
      <c r="G1451" s="50" t="s">
        <v>3955</v>
      </c>
      <c r="H1451" s="50"/>
      <c r="I1451" s="105"/>
      <c r="J1451" s="50"/>
      <c r="K1451" s="50" t="s">
        <v>29</v>
      </c>
      <c r="L1451" s="50" t="s">
        <v>2289</v>
      </c>
      <c r="M1451" s="50" t="s">
        <v>212</v>
      </c>
      <c r="N1451" s="50"/>
      <c r="O1451" s="50"/>
      <c r="P1451" s="50"/>
      <c r="Q1451" s="50"/>
      <c r="R1451" s="50"/>
      <c r="S1451" s="50" t="str">
        <f t="shared" si="132"/>
        <v/>
      </c>
      <c r="T1451" s="50" t="str">
        <f t="shared" si="133"/>
        <v/>
      </c>
      <c r="U1451" s="50" t="str">
        <f t="shared" si="134"/>
        <v/>
      </c>
      <c r="V1451" s="50" t="str">
        <f t="shared" si="135"/>
        <v/>
      </c>
      <c r="W1451" s="50"/>
      <c r="X1451" s="50"/>
      <c r="Y1451" s="50"/>
      <c r="Z1451" s="50"/>
      <c r="AA1451" s="50"/>
    </row>
    <row r="1452" spans="1:27" s="110" customFormat="1" ht="25.5" customHeight="1">
      <c r="A1452" s="517" t="s">
        <v>2286</v>
      </c>
      <c r="B1452" s="51" t="s">
        <v>1120</v>
      </c>
      <c r="C1452" s="51" t="s">
        <v>159</v>
      </c>
      <c r="D1452" s="51" t="s">
        <v>5003</v>
      </c>
      <c r="E1452" s="50">
        <v>400</v>
      </c>
      <c r="F1452" s="50">
        <v>391</v>
      </c>
      <c r="G1452" s="50" t="s">
        <v>3955</v>
      </c>
      <c r="H1452" s="50"/>
      <c r="I1452" s="105"/>
      <c r="J1452" s="50"/>
      <c r="K1452" s="50" t="s">
        <v>29</v>
      </c>
      <c r="L1452" s="50" t="s">
        <v>2289</v>
      </c>
      <c r="M1452" s="50" t="s">
        <v>212</v>
      </c>
      <c r="N1452" s="50"/>
      <c r="O1452" s="50"/>
      <c r="P1452" s="50"/>
      <c r="Q1452" s="50"/>
      <c r="R1452" s="50"/>
      <c r="S1452" s="50" t="str">
        <f t="shared" si="132"/>
        <v/>
      </c>
      <c r="T1452" s="50" t="str">
        <f t="shared" si="133"/>
        <v/>
      </c>
      <c r="U1452" s="50" t="str">
        <f t="shared" si="134"/>
        <v/>
      </c>
      <c r="V1452" s="50" t="str">
        <f t="shared" si="135"/>
        <v/>
      </c>
      <c r="W1452" s="50"/>
      <c r="X1452" s="50"/>
      <c r="Y1452" s="50"/>
      <c r="Z1452" s="50"/>
      <c r="AA1452" s="50"/>
    </row>
    <row r="1453" spans="1:27" ht="25.5" customHeight="1">
      <c r="A1453" s="517" t="s">
        <v>2286</v>
      </c>
      <c r="B1453" s="51" t="s">
        <v>1120</v>
      </c>
      <c r="C1453" s="51" t="s">
        <v>159</v>
      </c>
      <c r="D1453" s="51" t="s">
        <v>5004</v>
      </c>
      <c r="E1453" s="50">
        <v>896</v>
      </c>
      <c r="F1453" s="50">
        <v>957</v>
      </c>
      <c r="G1453" s="50" t="s">
        <v>3955</v>
      </c>
      <c r="H1453" s="50"/>
      <c r="I1453" s="105"/>
      <c r="J1453" s="50"/>
      <c r="K1453" s="50" t="s">
        <v>29</v>
      </c>
      <c r="L1453" s="50" t="s">
        <v>2289</v>
      </c>
      <c r="M1453" s="50" t="s">
        <v>212</v>
      </c>
      <c r="N1453" s="50"/>
      <c r="O1453" s="50"/>
      <c r="P1453" s="50"/>
      <c r="Q1453" s="50"/>
      <c r="R1453" s="50"/>
      <c r="S1453" s="50" t="str">
        <f t="shared" si="132"/>
        <v/>
      </c>
      <c r="T1453" s="50" t="str">
        <f t="shared" si="133"/>
        <v/>
      </c>
      <c r="U1453" s="50" t="str">
        <f t="shared" si="134"/>
        <v/>
      </c>
      <c r="V1453" s="50" t="str">
        <f t="shared" si="135"/>
        <v/>
      </c>
      <c r="W1453" s="50"/>
      <c r="X1453" s="50"/>
      <c r="Y1453" s="50"/>
      <c r="Z1453" s="50"/>
      <c r="AA1453" s="50"/>
    </row>
    <row r="1454" spans="1:27" s="110" customFormat="1" ht="25.5" customHeight="1">
      <c r="A1454" s="517" t="s">
        <v>2286</v>
      </c>
      <c r="B1454" s="51" t="s">
        <v>1120</v>
      </c>
      <c r="C1454" s="51" t="s">
        <v>159</v>
      </c>
      <c r="D1454" s="51" t="s">
        <v>5005</v>
      </c>
      <c r="E1454" s="50">
        <v>429</v>
      </c>
      <c r="F1454" s="50">
        <v>408</v>
      </c>
      <c r="G1454" s="50" t="s">
        <v>3955</v>
      </c>
      <c r="H1454" s="50"/>
      <c r="I1454" s="105"/>
      <c r="J1454" s="50"/>
      <c r="K1454" s="50" t="s">
        <v>29</v>
      </c>
      <c r="L1454" s="50" t="s">
        <v>2289</v>
      </c>
      <c r="M1454" s="50" t="s">
        <v>212</v>
      </c>
      <c r="N1454" s="50"/>
      <c r="O1454" s="50"/>
      <c r="P1454" s="50"/>
      <c r="Q1454" s="50"/>
      <c r="R1454" s="50"/>
      <c r="S1454" s="50" t="str">
        <f t="shared" si="132"/>
        <v/>
      </c>
      <c r="T1454" s="50" t="str">
        <f t="shared" si="133"/>
        <v/>
      </c>
      <c r="U1454" s="50" t="str">
        <f t="shared" si="134"/>
        <v/>
      </c>
      <c r="V1454" s="50" t="str">
        <f t="shared" si="135"/>
        <v/>
      </c>
      <c r="W1454" s="50"/>
      <c r="X1454" s="50"/>
      <c r="Y1454" s="50"/>
      <c r="Z1454" s="50"/>
      <c r="AA1454" s="50"/>
    </row>
    <row r="1455" spans="1:27" ht="25.5" customHeight="1">
      <c r="A1455" s="517" t="s">
        <v>2286</v>
      </c>
      <c r="B1455" s="51" t="s">
        <v>1120</v>
      </c>
      <c r="C1455" s="51" t="s">
        <v>159</v>
      </c>
      <c r="D1455" s="51" t="s">
        <v>5006</v>
      </c>
      <c r="E1455" s="50">
        <v>179</v>
      </c>
      <c r="F1455" s="50">
        <v>128</v>
      </c>
      <c r="G1455" s="50" t="s">
        <v>3955</v>
      </c>
      <c r="H1455" s="50"/>
      <c r="I1455" s="105"/>
      <c r="J1455" s="50"/>
      <c r="K1455" s="50" t="s">
        <v>29</v>
      </c>
      <c r="L1455" s="50" t="s">
        <v>2289</v>
      </c>
      <c r="M1455" s="50" t="s">
        <v>212</v>
      </c>
      <c r="N1455" s="50"/>
      <c r="O1455" s="50"/>
      <c r="P1455" s="50"/>
      <c r="Q1455" s="50"/>
      <c r="R1455" s="50"/>
      <c r="S1455" s="50" t="str">
        <f t="shared" si="132"/>
        <v/>
      </c>
      <c r="T1455" s="50" t="str">
        <f t="shared" si="133"/>
        <v/>
      </c>
      <c r="U1455" s="50" t="str">
        <f t="shared" si="134"/>
        <v/>
      </c>
      <c r="V1455" s="50" t="str">
        <f t="shared" si="135"/>
        <v/>
      </c>
      <c r="W1455" s="50"/>
      <c r="X1455" s="50"/>
      <c r="Y1455" s="50"/>
      <c r="Z1455" s="50"/>
      <c r="AA1455" s="50"/>
    </row>
    <row r="1456" spans="1:27" ht="25.5" customHeight="1">
      <c r="A1456" s="517" t="s">
        <v>2286</v>
      </c>
      <c r="B1456" s="51" t="s">
        <v>1120</v>
      </c>
      <c r="C1456" s="51" t="s">
        <v>159</v>
      </c>
      <c r="D1456" s="51" t="s">
        <v>5007</v>
      </c>
      <c r="E1456" s="50">
        <v>653</v>
      </c>
      <c r="F1456" s="50">
        <v>658</v>
      </c>
      <c r="G1456" s="50" t="s">
        <v>3955</v>
      </c>
      <c r="H1456" s="50"/>
      <c r="I1456" s="105"/>
      <c r="J1456" s="50"/>
      <c r="K1456" s="50" t="s">
        <v>29</v>
      </c>
      <c r="L1456" s="50" t="s">
        <v>2289</v>
      </c>
      <c r="M1456" s="50" t="s">
        <v>212</v>
      </c>
      <c r="N1456" s="50"/>
      <c r="O1456" s="50"/>
      <c r="P1456" s="50"/>
      <c r="Q1456" s="50"/>
      <c r="R1456" s="50"/>
      <c r="S1456" s="50" t="str">
        <f t="shared" si="132"/>
        <v/>
      </c>
      <c r="T1456" s="50" t="str">
        <f t="shared" si="133"/>
        <v/>
      </c>
      <c r="U1456" s="50" t="str">
        <f t="shared" si="134"/>
        <v/>
      </c>
      <c r="V1456" s="50" t="str">
        <f t="shared" si="135"/>
        <v/>
      </c>
      <c r="W1456" s="50"/>
      <c r="X1456" s="50"/>
      <c r="Y1456" s="50"/>
      <c r="Z1456" s="50"/>
      <c r="AA1456" s="50"/>
    </row>
    <row r="1457" spans="1:27" ht="25.5" customHeight="1">
      <c r="A1457" s="517" t="s">
        <v>2286</v>
      </c>
      <c r="B1457" s="51" t="s">
        <v>1120</v>
      </c>
      <c r="C1457" s="51" t="s">
        <v>159</v>
      </c>
      <c r="D1457" s="51" t="s">
        <v>5008</v>
      </c>
      <c r="E1457" s="50">
        <v>494</v>
      </c>
      <c r="F1457" s="50">
        <v>479</v>
      </c>
      <c r="G1457" s="50" t="s">
        <v>3955</v>
      </c>
      <c r="H1457" s="50"/>
      <c r="I1457" s="105"/>
      <c r="J1457" s="50"/>
      <c r="K1457" s="50" t="s">
        <v>29</v>
      </c>
      <c r="L1457" s="50" t="s">
        <v>2289</v>
      </c>
      <c r="M1457" s="50" t="s">
        <v>212</v>
      </c>
      <c r="N1457" s="50"/>
      <c r="O1457" s="50"/>
      <c r="P1457" s="50"/>
      <c r="Q1457" s="50"/>
      <c r="R1457" s="50"/>
      <c r="S1457" s="50" t="str">
        <f t="shared" si="132"/>
        <v/>
      </c>
      <c r="T1457" s="50" t="str">
        <f t="shared" si="133"/>
        <v/>
      </c>
      <c r="U1457" s="50" t="str">
        <f t="shared" si="134"/>
        <v/>
      </c>
      <c r="V1457" s="50" t="str">
        <f t="shared" si="135"/>
        <v/>
      </c>
      <c r="W1457" s="50"/>
      <c r="X1457" s="50"/>
      <c r="Y1457" s="50"/>
      <c r="Z1457" s="50"/>
      <c r="AA1457" s="50"/>
    </row>
    <row r="1458" spans="1:27" ht="25.5" customHeight="1">
      <c r="A1458" s="517" t="s">
        <v>2286</v>
      </c>
      <c r="B1458" s="51" t="s">
        <v>1120</v>
      </c>
      <c r="C1458" s="51" t="s">
        <v>159</v>
      </c>
      <c r="D1458" s="51" t="s">
        <v>1485</v>
      </c>
      <c r="E1458" s="50">
        <v>1186</v>
      </c>
      <c r="F1458" s="50">
        <v>1111</v>
      </c>
      <c r="G1458" s="50" t="s">
        <v>3955</v>
      </c>
      <c r="H1458" s="50"/>
      <c r="I1458" s="105"/>
      <c r="J1458" s="50"/>
      <c r="K1458" s="50" t="s">
        <v>29</v>
      </c>
      <c r="L1458" s="50" t="s">
        <v>2289</v>
      </c>
      <c r="M1458" s="50" t="s">
        <v>212</v>
      </c>
      <c r="N1458" s="50"/>
      <c r="O1458" s="50"/>
      <c r="P1458" s="50"/>
      <c r="Q1458" s="50"/>
      <c r="R1458" s="50"/>
      <c r="S1458" s="50" t="str">
        <f t="shared" si="132"/>
        <v/>
      </c>
      <c r="T1458" s="50" t="str">
        <f t="shared" si="133"/>
        <v/>
      </c>
      <c r="U1458" s="50" t="str">
        <f t="shared" si="134"/>
        <v/>
      </c>
      <c r="V1458" s="50" t="str">
        <f t="shared" si="135"/>
        <v/>
      </c>
      <c r="W1458" s="50"/>
      <c r="X1458" s="50"/>
      <c r="Y1458" s="50"/>
      <c r="Z1458" s="50"/>
      <c r="AA1458" s="50"/>
    </row>
    <row r="1459" spans="1:27" ht="25.5" customHeight="1">
      <c r="A1459" s="517" t="s">
        <v>2286</v>
      </c>
      <c r="B1459" s="51" t="s">
        <v>1120</v>
      </c>
      <c r="C1459" s="51" t="s">
        <v>159</v>
      </c>
      <c r="D1459" s="51" t="s">
        <v>5009</v>
      </c>
      <c r="E1459" s="50">
        <v>542</v>
      </c>
      <c r="F1459" s="50">
        <v>656</v>
      </c>
      <c r="G1459" s="50" t="s">
        <v>3955</v>
      </c>
      <c r="H1459" s="50"/>
      <c r="I1459" s="105"/>
      <c r="J1459" s="50"/>
      <c r="K1459" s="50" t="s">
        <v>29</v>
      </c>
      <c r="L1459" s="50" t="s">
        <v>2289</v>
      </c>
      <c r="M1459" s="50" t="s">
        <v>212</v>
      </c>
      <c r="N1459" s="50"/>
      <c r="O1459" s="50"/>
      <c r="P1459" s="50"/>
      <c r="Q1459" s="50"/>
      <c r="R1459" s="50"/>
      <c r="S1459" s="50" t="str">
        <f t="shared" si="132"/>
        <v/>
      </c>
      <c r="T1459" s="50" t="str">
        <f t="shared" si="133"/>
        <v/>
      </c>
      <c r="U1459" s="50" t="str">
        <f t="shared" si="134"/>
        <v/>
      </c>
      <c r="V1459" s="50" t="str">
        <f t="shared" si="135"/>
        <v/>
      </c>
      <c r="W1459" s="50"/>
      <c r="X1459" s="50"/>
      <c r="Y1459" s="50"/>
      <c r="Z1459" s="50"/>
      <c r="AA1459" s="50"/>
    </row>
    <row r="1460" spans="1:27" s="110" customFormat="1" ht="25.5" customHeight="1">
      <c r="A1460" s="517" t="s">
        <v>2286</v>
      </c>
      <c r="B1460" s="51" t="s">
        <v>1120</v>
      </c>
      <c r="C1460" s="51" t="s">
        <v>159</v>
      </c>
      <c r="D1460" s="51" t="s">
        <v>5010</v>
      </c>
      <c r="E1460" s="50">
        <v>975</v>
      </c>
      <c r="F1460" s="50">
        <v>962</v>
      </c>
      <c r="G1460" s="50" t="s">
        <v>3955</v>
      </c>
      <c r="H1460" s="50"/>
      <c r="I1460" s="105"/>
      <c r="J1460" s="50"/>
      <c r="K1460" s="50" t="s">
        <v>29</v>
      </c>
      <c r="L1460" s="50" t="s">
        <v>2289</v>
      </c>
      <c r="M1460" s="50" t="s">
        <v>212</v>
      </c>
      <c r="N1460" s="50"/>
      <c r="O1460" s="50"/>
      <c r="P1460" s="50"/>
      <c r="Q1460" s="50"/>
      <c r="R1460" s="50"/>
      <c r="S1460" s="50" t="str">
        <f t="shared" si="132"/>
        <v/>
      </c>
      <c r="T1460" s="50" t="str">
        <f t="shared" si="133"/>
        <v/>
      </c>
      <c r="U1460" s="50" t="str">
        <f t="shared" si="134"/>
        <v/>
      </c>
      <c r="V1460" s="50" t="str">
        <f t="shared" si="135"/>
        <v/>
      </c>
      <c r="W1460" s="50"/>
      <c r="X1460" s="50"/>
      <c r="Y1460" s="50"/>
      <c r="Z1460" s="50"/>
      <c r="AA1460" s="50"/>
    </row>
    <row r="1461" spans="1:27" ht="25.5" customHeight="1">
      <c r="A1461" s="517" t="s">
        <v>2286</v>
      </c>
      <c r="B1461" s="51" t="s">
        <v>1120</v>
      </c>
      <c r="C1461" s="51" t="s">
        <v>159</v>
      </c>
      <c r="D1461" s="51" t="s">
        <v>947</v>
      </c>
      <c r="E1461" s="50">
        <v>544</v>
      </c>
      <c r="F1461" s="50">
        <v>551</v>
      </c>
      <c r="G1461" s="50" t="s">
        <v>3955</v>
      </c>
      <c r="H1461" s="50"/>
      <c r="I1461" s="105"/>
      <c r="J1461" s="50"/>
      <c r="K1461" s="50" t="s">
        <v>29</v>
      </c>
      <c r="L1461" s="50" t="s">
        <v>2289</v>
      </c>
      <c r="M1461" s="50" t="s">
        <v>212</v>
      </c>
      <c r="N1461" s="50"/>
      <c r="O1461" s="50"/>
      <c r="P1461" s="50"/>
      <c r="Q1461" s="50"/>
      <c r="R1461" s="50"/>
      <c r="S1461" s="50" t="str">
        <f t="shared" si="132"/>
        <v/>
      </c>
      <c r="T1461" s="50" t="str">
        <f t="shared" si="133"/>
        <v/>
      </c>
      <c r="U1461" s="50" t="str">
        <f t="shared" si="134"/>
        <v/>
      </c>
      <c r="V1461" s="50" t="str">
        <f t="shared" si="135"/>
        <v/>
      </c>
      <c r="W1461" s="50"/>
      <c r="X1461" s="50"/>
      <c r="Y1461" s="50"/>
      <c r="Z1461" s="50"/>
      <c r="AA1461" s="50"/>
    </row>
    <row r="1462" spans="1:27" ht="25.5" customHeight="1">
      <c r="A1462" s="517" t="s">
        <v>2286</v>
      </c>
      <c r="B1462" s="51" t="s">
        <v>1120</v>
      </c>
      <c r="C1462" s="51" t="s">
        <v>159</v>
      </c>
      <c r="D1462" s="51" t="s">
        <v>5011</v>
      </c>
      <c r="E1462" s="50">
        <v>507</v>
      </c>
      <c r="F1462" s="50">
        <v>513</v>
      </c>
      <c r="G1462" s="50" t="s">
        <v>3955</v>
      </c>
      <c r="H1462" s="50"/>
      <c r="I1462" s="105"/>
      <c r="J1462" s="50"/>
      <c r="K1462" s="50" t="s">
        <v>29</v>
      </c>
      <c r="L1462" s="50" t="s">
        <v>2289</v>
      </c>
      <c r="M1462" s="50" t="s">
        <v>212</v>
      </c>
      <c r="N1462" s="50"/>
      <c r="O1462" s="50"/>
      <c r="P1462" s="50"/>
      <c r="Q1462" s="50"/>
      <c r="R1462" s="50"/>
      <c r="S1462" s="50" t="str">
        <f t="shared" si="132"/>
        <v/>
      </c>
      <c r="T1462" s="50" t="str">
        <f t="shared" si="133"/>
        <v/>
      </c>
      <c r="U1462" s="50" t="str">
        <f t="shared" si="134"/>
        <v/>
      </c>
      <c r="V1462" s="50" t="str">
        <f t="shared" si="135"/>
        <v/>
      </c>
      <c r="W1462" s="50"/>
      <c r="X1462" s="50"/>
      <c r="Y1462" s="50"/>
      <c r="Z1462" s="50"/>
      <c r="AA1462" s="50"/>
    </row>
    <row r="1463" spans="1:27" ht="25.5" customHeight="1">
      <c r="A1463" s="517" t="s">
        <v>2286</v>
      </c>
      <c r="B1463" s="51" t="s">
        <v>1120</v>
      </c>
      <c r="C1463" s="51" t="s">
        <v>159</v>
      </c>
      <c r="D1463" s="51" t="s">
        <v>5012</v>
      </c>
      <c r="E1463" s="50">
        <v>1359</v>
      </c>
      <c r="F1463" s="50">
        <v>1354</v>
      </c>
      <c r="G1463" s="50" t="s">
        <v>3955</v>
      </c>
      <c r="H1463" s="50"/>
      <c r="I1463" s="105"/>
      <c r="J1463" s="50"/>
      <c r="K1463" s="50" t="s">
        <v>29</v>
      </c>
      <c r="L1463" s="50" t="s">
        <v>2289</v>
      </c>
      <c r="M1463" s="50" t="s">
        <v>212</v>
      </c>
      <c r="N1463" s="50"/>
      <c r="O1463" s="50"/>
      <c r="P1463" s="50"/>
      <c r="Q1463" s="50"/>
      <c r="R1463" s="50"/>
      <c r="S1463" s="50" t="str">
        <f t="shared" si="132"/>
        <v/>
      </c>
      <c r="T1463" s="50" t="str">
        <f t="shared" ref="T1463:T1494" si="136">IF(
    OR(ISBLANK(O1463), ISBLANK(P1463)),
    "",
    MAX(1, IF(
        NETWORKDAYS(O1463, P1463) &lt;= 0,
        1,
        NETWORKDAYS(O1463, P1463) - IF(O1463 = P1463, 0, 1)
    ))
)</f>
        <v/>
      </c>
      <c r="U1463" s="50" t="str">
        <f t="shared" ref="U1463:U1494" si="137">IF(
    OR(ISBLANK(P1463), ISBLANK(Q1463)),
    "",
    MAX(1, IF(
        NETWORKDAYS(P1463, Q1463) &lt;= 0,
        1,
        NETWORKDAYS(P1463, Q1463) - IF(P1463 = Q1463, 0, 1)
    ))
)</f>
        <v/>
      </c>
      <c r="V1463" s="50" t="str">
        <f t="shared" si="135"/>
        <v/>
      </c>
      <c r="W1463" s="50"/>
      <c r="X1463" s="50"/>
      <c r="Y1463" s="50"/>
      <c r="Z1463" s="50"/>
      <c r="AA1463" s="50"/>
    </row>
    <row r="1464" spans="1:27" ht="25.5" customHeight="1">
      <c r="A1464" s="517" t="s">
        <v>2286</v>
      </c>
      <c r="B1464" s="51" t="s">
        <v>1120</v>
      </c>
      <c r="C1464" s="51" t="s">
        <v>159</v>
      </c>
      <c r="D1464" s="51" t="s">
        <v>5013</v>
      </c>
      <c r="E1464" s="50">
        <v>648</v>
      </c>
      <c r="F1464" s="50">
        <v>541</v>
      </c>
      <c r="G1464" s="50" t="s">
        <v>3955</v>
      </c>
      <c r="H1464" s="50"/>
      <c r="I1464" s="105"/>
      <c r="J1464" s="50"/>
      <c r="K1464" s="50" t="s">
        <v>29</v>
      </c>
      <c r="L1464" s="50" t="s">
        <v>2289</v>
      </c>
      <c r="M1464" s="50" t="s">
        <v>212</v>
      </c>
      <c r="N1464" s="50"/>
      <c r="O1464" s="50"/>
      <c r="P1464" s="50"/>
      <c r="Q1464" s="50"/>
      <c r="R1464" s="50"/>
      <c r="S1464" s="50" t="str">
        <f t="shared" si="132"/>
        <v/>
      </c>
      <c r="T1464" s="50" t="str">
        <f t="shared" si="136"/>
        <v/>
      </c>
      <c r="U1464" s="50" t="str">
        <f t="shared" si="137"/>
        <v/>
      </c>
      <c r="V1464" s="50" t="str">
        <f t="shared" si="135"/>
        <v/>
      </c>
      <c r="W1464" s="50"/>
      <c r="X1464" s="50"/>
      <c r="Y1464" s="50"/>
      <c r="Z1464" s="50"/>
      <c r="AA1464" s="50"/>
    </row>
    <row r="1465" spans="1:27" ht="25.5" customHeight="1">
      <c r="A1465" s="517" t="s">
        <v>2286</v>
      </c>
      <c r="B1465" s="51" t="s">
        <v>1120</v>
      </c>
      <c r="C1465" s="51" t="s">
        <v>159</v>
      </c>
      <c r="D1465" s="51" t="s">
        <v>5014</v>
      </c>
      <c r="E1465" s="50">
        <v>458</v>
      </c>
      <c r="F1465" s="50">
        <v>450</v>
      </c>
      <c r="G1465" s="50" t="s">
        <v>3955</v>
      </c>
      <c r="H1465" s="50"/>
      <c r="I1465" s="105"/>
      <c r="J1465" s="50"/>
      <c r="K1465" s="50" t="s">
        <v>29</v>
      </c>
      <c r="L1465" s="50" t="s">
        <v>2289</v>
      </c>
      <c r="M1465" s="50" t="s">
        <v>212</v>
      </c>
      <c r="N1465" s="50"/>
      <c r="O1465" s="50"/>
      <c r="P1465" s="50"/>
      <c r="Q1465" s="50"/>
      <c r="R1465" s="50"/>
      <c r="S1465" s="50" t="str">
        <f t="shared" si="132"/>
        <v/>
      </c>
      <c r="T1465" s="50" t="str">
        <f t="shared" si="136"/>
        <v/>
      </c>
      <c r="U1465" s="50" t="str">
        <f t="shared" si="137"/>
        <v/>
      </c>
      <c r="V1465" s="50" t="str">
        <f t="shared" si="135"/>
        <v/>
      </c>
      <c r="W1465" s="50"/>
      <c r="X1465" s="50"/>
      <c r="Y1465" s="50"/>
      <c r="Z1465" s="50"/>
      <c r="AA1465" s="50"/>
    </row>
    <row r="1466" spans="1:27" ht="25.5" customHeight="1">
      <c r="A1466" s="517" t="s">
        <v>2286</v>
      </c>
      <c r="B1466" s="51" t="s">
        <v>1120</v>
      </c>
      <c r="C1466" s="51" t="s">
        <v>159</v>
      </c>
      <c r="D1466" s="51" t="s">
        <v>5015</v>
      </c>
      <c r="E1466" s="50">
        <v>847</v>
      </c>
      <c r="F1466" s="50">
        <v>816</v>
      </c>
      <c r="G1466" s="50" t="s">
        <v>3955</v>
      </c>
      <c r="H1466" s="50"/>
      <c r="I1466" s="105"/>
      <c r="J1466" s="50"/>
      <c r="K1466" s="50" t="s">
        <v>29</v>
      </c>
      <c r="L1466" s="50" t="s">
        <v>2289</v>
      </c>
      <c r="M1466" s="50" t="s">
        <v>212</v>
      </c>
      <c r="N1466" s="50"/>
      <c r="O1466" s="50"/>
      <c r="P1466" s="50"/>
      <c r="Q1466" s="50"/>
      <c r="R1466" s="50"/>
      <c r="S1466" s="50" t="str">
        <f t="shared" si="132"/>
        <v/>
      </c>
      <c r="T1466" s="50" t="str">
        <f t="shared" si="136"/>
        <v/>
      </c>
      <c r="U1466" s="50" t="str">
        <f t="shared" si="137"/>
        <v/>
      </c>
      <c r="V1466" s="50" t="str">
        <f t="shared" si="135"/>
        <v/>
      </c>
      <c r="W1466" s="50"/>
      <c r="X1466" s="50"/>
      <c r="Y1466" s="50"/>
      <c r="Z1466" s="50"/>
      <c r="AA1466" s="50"/>
    </row>
    <row r="1467" spans="1:27" ht="25.5" customHeight="1">
      <c r="A1467" s="517" t="s">
        <v>2286</v>
      </c>
      <c r="B1467" s="51" t="s">
        <v>1120</v>
      </c>
      <c r="C1467" s="51" t="s">
        <v>159</v>
      </c>
      <c r="D1467" s="51" t="s">
        <v>5016</v>
      </c>
      <c r="E1467" s="50">
        <v>205</v>
      </c>
      <c r="F1467" s="50">
        <v>21</v>
      </c>
      <c r="G1467" s="50" t="s">
        <v>3955</v>
      </c>
      <c r="H1467" s="50"/>
      <c r="I1467" s="105"/>
      <c r="J1467" s="50"/>
      <c r="K1467" s="50" t="s">
        <v>29</v>
      </c>
      <c r="L1467" s="50" t="s">
        <v>2289</v>
      </c>
      <c r="M1467" s="50" t="s">
        <v>212</v>
      </c>
      <c r="N1467" s="50"/>
      <c r="O1467" s="50"/>
      <c r="P1467" s="50"/>
      <c r="Q1467" s="50"/>
      <c r="R1467" s="50"/>
      <c r="S1467" s="50" t="str">
        <f t="shared" si="132"/>
        <v/>
      </c>
      <c r="T1467" s="50" t="str">
        <f t="shared" si="136"/>
        <v/>
      </c>
      <c r="U1467" s="50" t="str">
        <f t="shared" si="137"/>
        <v/>
      </c>
      <c r="V1467" s="50" t="str">
        <f t="shared" si="135"/>
        <v/>
      </c>
      <c r="W1467" s="50"/>
      <c r="X1467" s="50"/>
      <c r="Y1467" s="50"/>
      <c r="Z1467" s="50"/>
      <c r="AA1467" s="50"/>
    </row>
    <row r="1468" spans="1:27" ht="25.5" customHeight="1">
      <c r="A1468" s="517" t="s">
        <v>2286</v>
      </c>
      <c r="B1468" s="51" t="s">
        <v>1120</v>
      </c>
      <c r="C1468" s="51" t="s">
        <v>159</v>
      </c>
      <c r="D1468" s="51" t="s">
        <v>5017</v>
      </c>
      <c r="E1468" s="50">
        <v>400</v>
      </c>
      <c r="F1468" s="50">
        <v>281</v>
      </c>
      <c r="G1468" s="50" t="s">
        <v>3955</v>
      </c>
      <c r="H1468" s="50"/>
      <c r="I1468" s="105"/>
      <c r="J1468" s="50"/>
      <c r="K1468" s="50" t="s">
        <v>29</v>
      </c>
      <c r="L1468" s="50" t="s">
        <v>2289</v>
      </c>
      <c r="M1468" s="50" t="s">
        <v>212</v>
      </c>
      <c r="N1468" s="50"/>
      <c r="O1468" s="50"/>
      <c r="P1468" s="50"/>
      <c r="Q1468" s="50"/>
      <c r="R1468" s="50"/>
      <c r="S1468" s="50" t="str">
        <f t="shared" si="132"/>
        <v/>
      </c>
      <c r="T1468" s="50" t="str">
        <f t="shared" si="136"/>
        <v/>
      </c>
      <c r="U1468" s="50" t="str">
        <f t="shared" si="137"/>
        <v/>
      </c>
      <c r="V1468" s="50" t="str">
        <f t="shared" si="135"/>
        <v/>
      </c>
      <c r="W1468" s="50"/>
      <c r="X1468" s="50"/>
      <c r="Y1468" s="50"/>
      <c r="Z1468" s="50"/>
      <c r="AA1468" s="50"/>
    </row>
    <row r="1469" spans="1:27" ht="25.5" customHeight="1">
      <c r="A1469" s="517" t="s">
        <v>2286</v>
      </c>
      <c r="B1469" s="51" t="s">
        <v>1120</v>
      </c>
      <c r="C1469" s="51" t="s">
        <v>159</v>
      </c>
      <c r="D1469" s="51" t="s">
        <v>5018</v>
      </c>
      <c r="E1469" s="50">
        <v>555</v>
      </c>
      <c r="F1469" s="50">
        <v>744</v>
      </c>
      <c r="G1469" s="50" t="s">
        <v>3955</v>
      </c>
      <c r="H1469" s="50"/>
      <c r="I1469" s="105"/>
      <c r="J1469" s="50"/>
      <c r="K1469" s="50" t="s">
        <v>29</v>
      </c>
      <c r="L1469" s="50" t="s">
        <v>2289</v>
      </c>
      <c r="M1469" s="50" t="s">
        <v>212</v>
      </c>
      <c r="N1469" s="50"/>
      <c r="O1469" s="50"/>
      <c r="P1469" s="50"/>
      <c r="Q1469" s="50"/>
      <c r="R1469" s="50"/>
      <c r="S1469" s="50" t="str">
        <f t="shared" si="132"/>
        <v/>
      </c>
      <c r="T1469" s="50" t="str">
        <f t="shared" si="136"/>
        <v/>
      </c>
      <c r="U1469" s="50" t="str">
        <f t="shared" si="137"/>
        <v/>
      </c>
      <c r="V1469" s="50" t="str">
        <f t="shared" si="135"/>
        <v/>
      </c>
      <c r="W1469" s="50"/>
      <c r="X1469" s="50"/>
      <c r="Y1469" s="50"/>
      <c r="Z1469" s="50"/>
      <c r="AA1469" s="50"/>
    </row>
    <row r="1470" spans="1:27" ht="25.5" customHeight="1">
      <c r="A1470" s="517" t="s">
        <v>2286</v>
      </c>
      <c r="B1470" s="51" t="s">
        <v>1285</v>
      </c>
      <c r="C1470" s="51" t="s">
        <v>143</v>
      </c>
      <c r="D1470" s="51" t="s">
        <v>5019</v>
      </c>
      <c r="E1470" s="50">
        <v>2409</v>
      </c>
      <c r="F1470" s="50">
        <v>2632</v>
      </c>
      <c r="G1470" s="50" t="s">
        <v>3955</v>
      </c>
      <c r="H1470" s="50"/>
      <c r="I1470" s="105"/>
      <c r="J1470" s="50"/>
      <c r="K1470" s="50" t="s">
        <v>26</v>
      </c>
      <c r="L1470" s="50" t="s">
        <v>2289</v>
      </c>
      <c r="M1470" s="50" t="s">
        <v>212</v>
      </c>
      <c r="N1470" s="50"/>
      <c r="O1470" s="50"/>
      <c r="P1470" s="50"/>
      <c r="Q1470" s="50"/>
      <c r="R1470" s="50"/>
      <c r="S1470" s="50" t="str">
        <f t="shared" si="132"/>
        <v/>
      </c>
      <c r="T1470" s="50" t="str">
        <f t="shared" si="136"/>
        <v/>
      </c>
      <c r="U1470" s="50" t="str">
        <f t="shared" si="137"/>
        <v/>
      </c>
      <c r="V1470" s="50" t="str">
        <f t="shared" si="135"/>
        <v/>
      </c>
      <c r="W1470" s="50"/>
      <c r="X1470" s="50"/>
      <c r="Y1470" s="50"/>
      <c r="Z1470" s="50"/>
      <c r="AA1470" s="50"/>
    </row>
    <row r="1471" spans="1:27" ht="25.5" customHeight="1">
      <c r="A1471" s="517" t="s">
        <v>2286</v>
      </c>
      <c r="B1471" s="51" t="s">
        <v>1285</v>
      </c>
      <c r="C1471" s="51" t="s">
        <v>143</v>
      </c>
      <c r="D1471" s="51" t="s">
        <v>5020</v>
      </c>
      <c r="E1471" s="50">
        <v>2069</v>
      </c>
      <c r="F1471" s="50">
        <v>2079</v>
      </c>
      <c r="G1471" s="50" t="s">
        <v>3955</v>
      </c>
      <c r="H1471" s="50"/>
      <c r="I1471" s="105"/>
      <c r="J1471" s="50"/>
      <c r="K1471" s="50" t="s">
        <v>26</v>
      </c>
      <c r="L1471" s="50" t="s">
        <v>2289</v>
      </c>
      <c r="M1471" s="50" t="s">
        <v>212</v>
      </c>
      <c r="N1471" s="50"/>
      <c r="O1471" s="50"/>
      <c r="P1471" s="50"/>
      <c r="Q1471" s="50"/>
      <c r="R1471" s="50"/>
      <c r="S1471" s="50" t="str">
        <f t="shared" si="132"/>
        <v/>
      </c>
      <c r="T1471" s="50" t="str">
        <f t="shared" si="136"/>
        <v/>
      </c>
      <c r="U1471" s="50" t="str">
        <f t="shared" si="137"/>
        <v/>
      </c>
      <c r="V1471" s="50" t="str">
        <f t="shared" si="135"/>
        <v/>
      </c>
      <c r="W1471" s="50"/>
      <c r="X1471" s="50"/>
      <c r="Y1471" s="50"/>
      <c r="Z1471" s="50"/>
      <c r="AA1471" s="50"/>
    </row>
    <row r="1472" spans="1:27" ht="25.5" customHeight="1">
      <c r="A1472" s="517" t="s">
        <v>2286</v>
      </c>
      <c r="B1472" s="51" t="s">
        <v>1285</v>
      </c>
      <c r="C1472" s="51" t="s">
        <v>143</v>
      </c>
      <c r="D1472" s="51" t="s">
        <v>5021</v>
      </c>
      <c r="E1472" s="50">
        <v>2573</v>
      </c>
      <c r="F1472" s="50">
        <v>2743</v>
      </c>
      <c r="G1472" s="50" t="s">
        <v>3955</v>
      </c>
      <c r="H1472" s="50"/>
      <c r="I1472" s="105"/>
      <c r="J1472" s="50"/>
      <c r="K1472" s="50" t="s">
        <v>26</v>
      </c>
      <c r="L1472" s="50" t="s">
        <v>2289</v>
      </c>
      <c r="M1472" s="50" t="s">
        <v>212</v>
      </c>
      <c r="N1472" s="50"/>
      <c r="O1472" s="50"/>
      <c r="P1472" s="50"/>
      <c r="Q1472" s="50"/>
      <c r="R1472" s="50"/>
      <c r="S1472" s="50" t="str">
        <f t="shared" si="132"/>
        <v/>
      </c>
      <c r="T1472" s="50" t="str">
        <f t="shared" si="136"/>
        <v/>
      </c>
      <c r="U1472" s="50" t="str">
        <f t="shared" si="137"/>
        <v/>
      </c>
      <c r="V1472" s="50" t="str">
        <f t="shared" si="135"/>
        <v/>
      </c>
      <c r="W1472" s="50"/>
      <c r="X1472" s="50"/>
      <c r="Y1472" s="50"/>
      <c r="Z1472" s="50"/>
      <c r="AA1472" s="50"/>
    </row>
    <row r="1473" spans="1:27" ht="25.5" customHeight="1">
      <c r="A1473" s="517" t="s">
        <v>2286</v>
      </c>
      <c r="B1473" s="51" t="s">
        <v>1285</v>
      </c>
      <c r="C1473" s="51" t="s">
        <v>143</v>
      </c>
      <c r="D1473" s="51" t="s">
        <v>4178</v>
      </c>
      <c r="E1473" s="50">
        <v>1350</v>
      </c>
      <c r="F1473" s="50">
        <v>1192</v>
      </c>
      <c r="G1473" s="50" t="s">
        <v>3955</v>
      </c>
      <c r="H1473" s="50"/>
      <c r="I1473" s="105"/>
      <c r="J1473" s="50"/>
      <c r="K1473" s="50" t="s">
        <v>26</v>
      </c>
      <c r="L1473" s="50" t="s">
        <v>2289</v>
      </c>
      <c r="M1473" s="50" t="s">
        <v>212</v>
      </c>
      <c r="N1473" s="50"/>
      <c r="O1473" s="50"/>
      <c r="P1473" s="50"/>
      <c r="Q1473" s="50"/>
      <c r="R1473" s="50"/>
      <c r="S1473" s="50" t="str">
        <f t="shared" si="132"/>
        <v/>
      </c>
      <c r="T1473" s="50" t="str">
        <f t="shared" si="136"/>
        <v/>
      </c>
      <c r="U1473" s="50" t="str">
        <f t="shared" si="137"/>
        <v/>
      </c>
      <c r="V1473" s="50" t="str">
        <f t="shared" si="135"/>
        <v/>
      </c>
      <c r="W1473" s="50"/>
      <c r="X1473" s="50"/>
      <c r="Y1473" s="50"/>
      <c r="Z1473" s="50"/>
      <c r="AA1473" s="50"/>
    </row>
    <row r="1474" spans="1:27" ht="25.5" customHeight="1">
      <c r="A1474" s="517" t="s">
        <v>2286</v>
      </c>
      <c r="B1474" s="51" t="s">
        <v>1285</v>
      </c>
      <c r="C1474" s="51" t="s">
        <v>143</v>
      </c>
      <c r="D1474" s="51" t="s">
        <v>5022</v>
      </c>
      <c r="E1474" s="50">
        <v>2461</v>
      </c>
      <c r="F1474" s="50">
        <v>2492</v>
      </c>
      <c r="G1474" s="50" t="s">
        <v>3955</v>
      </c>
      <c r="H1474" s="50"/>
      <c r="I1474" s="105"/>
      <c r="J1474" s="50"/>
      <c r="K1474" s="50" t="s">
        <v>26</v>
      </c>
      <c r="L1474" s="50" t="s">
        <v>2289</v>
      </c>
      <c r="M1474" s="50" t="s">
        <v>212</v>
      </c>
      <c r="N1474" s="50"/>
      <c r="O1474" s="50"/>
      <c r="P1474" s="50"/>
      <c r="Q1474" s="50"/>
      <c r="R1474" s="50"/>
      <c r="S1474" s="50" t="str">
        <f t="shared" si="132"/>
        <v/>
      </c>
      <c r="T1474" s="50" t="str">
        <f t="shared" si="136"/>
        <v/>
      </c>
      <c r="U1474" s="50" t="str">
        <f t="shared" si="137"/>
        <v/>
      </c>
      <c r="V1474" s="50" t="str">
        <f t="shared" si="135"/>
        <v/>
      </c>
      <c r="W1474" s="50"/>
      <c r="X1474" s="50"/>
      <c r="Y1474" s="50"/>
      <c r="Z1474" s="50"/>
      <c r="AA1474" s="50"/>
    </row>
    <row r="1475" spans="1:27" ht="25.5" customHeight="1">
      <c r="A1475" s="517" t="s">
        <v>2286</v>
      </c>
      <c r="B1475" s="51" t="s">
        <v>1285</v>
      </c>
      <c r="C1475" s="51" t="s">
        <v>143</v>
      </c>
      <c r="D1475" s="51" t="s">
        <v>5023</v>
      </c>
      <c r="E1475" s="50">
        <v>1153</v>
      </c>
      <c r="F1475" s="50">
        <v>1193</v>
      </c>
      <c r="G1475" s="50" t="s">
        <v>3955</v>
      </c>
      <c r="H1475" s="50"/>
      <c r="I1475" s="105"/>
      <c r="J1475" s="50"/>
      <c r="K1475" s="50" t="s">
        <v>26</v>
      </c>
      <c r="L1475" s="50" t="s">
        <v>2289</v>
      </c>
      <c r="M1475" s="50" t="s">
        <v>212</v>
      </c>
      <c r="N1475" s="50"/>
      <c r="O1475" s="50"/>
      <c r="P1475" s="50"/>
      <c r="Q1475" s="50"/>
      <c r="R1475" s="50"/>
      <c r="S1475" s="50" t="str">
        <f t="shared" si="132"/>
        <v/>
      </c>
      <c r="T1475" s="50" t="str">
        <f t="shared" si="136"/>
        <v/>
      </c>
      <c r="U1475" s="50" t="str">
        <f t="shared" si="137"/>
        <v/>
      </c>
      <c r="V1475" s="50" t="str">
        <f t="shared" si="135"/>
        <v/>
      </c>
      <c r="W1475" s="50"/>
      <c r="X1475" s="50"/>
      <c r="Y1475" s="50"/>
      <c r="Z1475" s="50"/>
      <c r="AA1475" s="50"/>
    </row>
    <row r="1476" spans="1:27" ht="25.5" customHeight="1">
      <c r="A1476" s="517" t="s">
        <v>2286</v>
      </c>
      <c r="B1476" s="51" t="s">
        <v>1285</v>
      </c>
      <c r="C1476" s="51" t="s">
        <v>143</v>
      </c>
      <c r="D1476" s="51" t="s">
        <v>5024</v>
      </c>
      <c r="E1476" s="50">
        <v>2387</v>
      </c>
      <c r="F1476" s="50">
        <v>2808</v>
      </c>
      <c r="G1476" s="50" t="s">
        <v>3404</v>
      </c>
      <c r="H1476" s="50">
        <v>2024</v>
      </c>
      <c r="I1476" s="132">
        <v>45469</v>
      </c>
      <c r="J1476" s="50"/>
      <c r="K1476" s="50" t="s">
        <v>26</v>
      </c>
      <c r="L1476" s="50" t="s">
        <v>2289</v>
      </c>
      <c r="M1476" s="50" t="s">
        <v>212</v>
      </c>
      <c r="N1476" s="50"/>
      <c r="O1476" s="50"/>
      <c r="P1476" s="50"/>
      <c r="Q1476" s="50"/>
      <c r="R1476" s="50"/>
      <c r="S1476" s="50" t="str">
        <f t="shared" si="132"/>
        <v/>
      </c>
      <c r="T1476" s="50" t="str">
        <f t="shared" si="136"/>
        <v/>
      </c>
      <c r="U1476" s="50" t="str">
        <f t="shared" si="137"/>
        <v/>
      </c>
      <c r="V1476" s="50" t="str">
        <f t="shared" si="135"/>
        <v/>
      </c>
      <c r="W1476" s="50"/>
      <c r="X1476" s="50" t="s">
        <v>4</v>
      </c>
      <c r="Y1476" s="50" t="s">
        <v>50</v>
      </c>
      <c r="Z1476" s="50" t="s">
        <v>3406</v>
      </c>
      <c r="AA1476" s="50"/>
    </row>
    <row r="1477" spans="1:27" ht="25.5" customHeight="1">
      <c r="A1477" s="517" t="s">
        <v>2286</v>
      </c>
      <c r="B1477" s="51" t="s">
        <v>1285</v>
      </c>
      <c r="C1477" s="51" t="s">
        <v>143</v>
      </c>
      <c r="D1477" s="51" t="s">
        <v>3454</v>
      </c>
      <c r="E1477" s="50">
        <v>2313</v>
      </c>
      <c r="F1477" s="50">
        <v>2582</v>
      </c>
      <c r="G1477" s="50" t="s">
        <v>3955</v>
      </c>
      <c r="H1477" s="50"/>
      <c r="I1477" s="105"/>
      <c r="J1477" s="50"/>
      <c r="K1477" s="50" t="s">
        <v>26</v>
      </c>
      <c r="L1477" s="50" t="s">
        <v>2289</v>
      </c>
      <c r="M1477" s="50" t="s">
        <v>212</v>
      </c>
      <c r="N1477" s="50"/>
      <c r="O1477" s="50"/>
      <c r="P1477" s="50"/>
      <c r="Q1477" s="50"/>
      <c r="R1477" s="50"/>
      <c r="S1477" s="50" t="str">
        <f t="shared" si="132"/>
        <v/>
      </c>
      <c r="T1477" s="50" t="str">
        <f t="shared" si="136"/>
        <v/>
      </c>
      <c r="U1477" s="50" t="str">
        <f t="shared" si="137"/>
        <v/>
      </c>
      <c r="V1477" s="50" t="str">
        <f t="shared" si="135"/>
        <v/>
      </c>
      <c r="W1477" s="50"/>
      <c r="X1477" s="50"/>
      <c r="Y1477" s="50"/>
      <c r="Z1477" s="50"/>
      <c r="AA1477" s="50"/>
    </row>
    <row r="1478" spans="1:27" ht="25.5" customHeight="1">
      <c r="A1478" s="517" t="s">
        <v>2286</v>
      </c>
      <c r="B1478" s="51" t="s">
        <v>1285</v>
      </c>
      <c r="C1478" s="51" t="s">
        <v>143</v>
      </c>
      <c r="D1478" s="51" t="s">
        <v>5025</v>
      </c>
      <c r="E1478" s="50">
        <v>1214</v>
      </c>
      <c r="F1478" s="50">
        <v>1226</v>
      </c>
      <c r="G1478" s="50" t="s">
        <v>3955</v>
      </c>
      <c r="H1478" s="50"/>
      <c r="I1478" s="105"/>
      <c r="J1478" s="50"/>
      <c r="K1478" s="50" t="s">
        <v>26</v>
      </c>
      <c r="L1478" s="50" t="s">
        <v>2289</v>
      </c>
      <c r="M1478" s="50" t="s">
        <v>212</v>
      </c>
      <c r="N1478" s="50"/>
      <c r="O1478" s="50"/>
      <c r="P1478" s="50"/>
      <c r="Q1478" s="50"/>
      <c r="R1478" s="50"/>
      <c r="S1478" s="50" t="str">
        <f t="shared" si="132"/>
        <v/>
      </c>
      <c r="T1478" s="50" t="str">
        <f t="shared" si="136"/>
        <v/>
      </c>
      <c r="U1478" s="50" t="str">
        <f t="shared" si="137"/>
        <v/>
      </c>
      <c r="V1478" s="50" t="str">
        <f t="shared" si="135"/>
        <v/>
      </c>
      <c r="W1478" s="50"/>
      <c r="X1478" s="50"/>
      <c r="Y1478" s="50"/>
      <c r="Z1478" s="50"/>
      <c r="AA1478" s="50"/>
    </row>
    <row r="1479" spans="1:27" ht="25.5" customHeight="1">
      <c r="A1479" s="517" t="s">
        <v>2286</v>
      </c>
      <c r="B1479" s="51" t="s">
        <v>1285</v>
      </c>
      <c r="C1479" s="51" t="s">
        <v>143</v>
      </c>
      <c r="D1479" s="51" t="s">
        <v>1286</v>
      </c>
      <c r="E1479" s="50">
        <v>3517</v>
      </c>
      <c r="F1479" s="50">
        <v>3757</v>
      </c>
      <c r="G1479" s="50" t="s">
        <v>3404</v>
      </c>
      <c r="H1479" s="50">
        <v>2024</v>
      </c>
      <c r="I1479" s="132">
        <v>45470</v>
      </c>
      <c r="J1479" s="50"/>
      <c r="K1479" s="50" t="s">
        <v>26</v>
      </c>
      <c r="L1479" s="50" t="s">
        <v>2289</v>
      </c>
      <c r="M1479" s="50" t="s">
        <v>212</v>
      </c>
      <c r="N1479" s="50"/>
      <c r="O1479" s="50"/>
      <c r="P1479" s="50"/>
      <c r="Q1479" s="50"/>
      <c r="R1479" s="50"/>
      <c r="S1479" s="50" t="str">
        <f t="shared" ref="S1479:S1542" si="138">IF(
    OR(ISBLANK(I1479), ISBLANK(O1479)),
    "",
    MAX(1, IF(
        NETWORKDAYS(I1479, O1479) &lt;= 0,
        1,
        NETWORKDAYS(I1479, O1479) - IF(I1479 = O1479, 0, 1)
    ))
)</f>
        <v/>
      </c>
      <c r="T1479" s="50" t="str">
        <f t="shared" si="136"/>
        <v/>
      </c>
      <c r="U1479" s="50" t="str">
        <f t="shared" si="137"/>
        <v/>
      </c>
      <c r="V1479" s="50" t="str">
        <f t="shared" si="135"/>
        <v/>
      </c>
      <c r="W1479" s="50"/>
      <c r="X1479" s="50" t="s">
        <v>4</v>
      </c>
      <c r="Y1479" s="50" t="s">
        <v>50</v>
      </c>
      <c r="Z1479" s="50" t="s">
        <v>3406</v>
      </c>
      <c r="AA1479" s="50"/>
    </row>
    <row r="1480" spans="1:27" ht="25.5" customHeight="1">
      <c r="A1480" s="517" t="s">
        <v>2286</v>
      </c>
      <c r="B1480" s="51" t="s">
        <v>1285</v>
      </c>
      <c r="C1480" s="51" t="s">
        <v>143</v>
      </c>
      <c r="D1480" s="51" t="s">
        <v>4830</v>
      </c>
      <c r="E1480" s="50">
        <v>3015</v>
      </c>
      <c r="F1480" s="50">
        <v>2625</v>
      </c>
      <c r="G1480" s="50" t="s">
        <v>3955</v>
      </c>
      <c r="H1480" s="50"/>
      <c r="I1480" s="105"/>
      <c r="J1480" s="50"/>
      <c r="K1480" s="50" t="s">
        <v>26</v>
      </c>
      <c r="L1480" s="50" t="s">
        <v>2289</v>
      </c>
      <c r="M1480" s="50" t="s">
        <v>212</v>
      </c>
      <c r="N1480" s="50"/>
      <c r="O1480" s="50"/>
      <c r="P1480" s="50"/>
      <c r="Q1480" s="50"/>
      <c r="R1480" s="50"/>
      <c r="S1480" s="50" t="str">
        <f t="shared" si="138"/>
        <v/>
      </c>
      <c r="T1480" s="50" t="str">
        <f t="shared" si="136"/>
        <v/>
      </c>
      <c r="U1480" s="50" t="str">
        <f t="shared" si="137"/>
        <v/>
      </c>
      <c r="V1480" s="50" t="str">
        <f t="shared" si="135"/>
        <v/>
      </c>
      <c r="W1480" s="50"/>
      <c r="X1480" s="50"/>
      <c r="Y1480" s="50"/>
      <c r="Z1480" s="50"/>
      <c r="AA1480" s="50"/>
    </row>
    <row r="1481" spans="1:27" ht="25.5" customHeight="1">
      <c r="A1481" s="517" t="s">
        <v>2286</v>
      </c>
      <c r="B1481" s="51" t="s">
        <v>1285</v>
      </c>
      <c r="C1481" s="51" t="s">
        <v>143</v>
      </c>
      <c r="D1481" s="51" t="s">
        <v>4476</v>
      </c>
      <c r="E1481" s="50">
        <v>2056</v>
      </c>
      <c r="F1481" s="50">
        <v>2086</v>
      </c>
      <c r="G1481" s="50" t="s">
        <v>3955</v>
      </c>
      <c r="H1481" s="50"/>
      <c r="I1481" s="105"/>
      <c r="J1481" s="50"/>
      <c r="K1481" s="50" t="s">
        <v>26</v>
      </c>
      <c r="L1481" s="50" t="s">
        <v>2289</v>
      </c>
      <c r="M1481" s="50" t="s">
        <v>212</v>
      </c>
      <c r="N1481" s="50"/>
      <c r="O1481" s="50"/>
      <c r="P1481" s="50"/>
      <c r="Q1481" s="50"/>
      <c r="R1481" s="50"/>
      <c r="S1481" s="50" t="str">
        <f t="shared" si="138"/>
        <v/>
      </c>
      <c r="T1481" s="50" t="str">
        <f t="shared" si="136"/>
        <v/>
      </c>
      <c r="U1481" s="50" t="str">
        <f t="shared" si="137"/>
        <v/>
      </c>
      <c r="V1481" s="50" t="str">
        <f t="shared" si="135"/>
        <v/>
      </c>
      <c r="W1481" s="50"/>
      <c r="X1481" s="50"/>
      <c r="Y1481" s="50"/>
      <c r="Z1481" s="50"/>
      <c r="AA1481" s="50"/>
    </row>
    <row r="1482" spans="1:27" ht="25.5" customHeight="1">
      <c r="A1482" s="517" t="s">
        <v>2286</v>
      </c>
      <c r="B1482" s="51" t="s">
        <v>1285</v>
      </c>
      <c r="C1482" s="51" t="s">
        <v>143</v>
      </c>
      <c r="D1482" s="51" t="s">
        <v>918</v>
      </c>
      <c r="E1482" s="50">
        <v>1717</v>
      </c>
      <c r="F1482" s="50">
        <v>2435</v>
      </c>
      <c r="G1482" s="50" t="s">
        <v>3955</v>
      </c>
      <c r="H1482" s="50"/>
      <c r="I1482" s="105"/>
      <c r="J1482" s="50"/>
      <c r="K1482" s="50" t="s">
        <v>26</v>
      </c>
      <c r="L1482" s="50" t="s">
        <v>2289</v>
      </c>
      <c r="M1482" s="50" t="s">
        <v>212</v>
      </c>
      <c r="N1482" s="50"/>
      <c r="O1482" s="50"/>
      <c r="P1482" s="50"/>
      <c r="Q1482" s="50"/>
      <c r="R1482" s="50"/>
      <c r="S1482" s="50" t="str">
        <f t="shared" si="138"/>
        <v/>
      </c>
      <c r="T1482" s="50" t="str">
        <f t="shared" si="136"/>
        <v/>
      </c>
      <c r="U1482" s="50" t="str">
        <f t="shared" si="137"/>
        <v/>
      </c>
      <c r="V1482" s="50" t="str">
        <f t="shared" si="135"/>
        <v/>
      </c>
      <c r="W1482" s="50"/>
      <c r="X1482" s="50"/>
      <c r="Y1482" s="50"/>
      <c r="Z1482" s="50"/>
      <c r="AA1482" s="50"/>
    </row>
    <row r="1483" spans="1:27" ht="25.5" customHeight="1">
      <c r="A1483" s="517" t="s">
        <v>2286</v>
      </c>
      <c r="B1483" s="51" t="s">
        <v>1285</v>
      </c>
      <c r="C1483" s="51" t="s">
        <v>143</v>
      </c>
      <c r="D1483" s="51" t="s">
        <v>5026</v>
      </c>
      <c r="E1483" s="50">
        <v>1691</v>
      </c>
      <c r="F1483" s="50">
        <v>1913</v>
      </c>
      <c r="G1483" s="50" t="s">
        <v>3404</v>
      </c>
      <c r="H1483" s="50">
        <v>2024</v>
      </c>
      <c r="I1483" s="132">
        <v>45469</v>
      </c>
      <c r="J1483" s="50"/>
      <c r="K1483" s="50" t="s">
        <v>26</v>
      </c>
      <c r="L1483" s="50" t="s">
        <v>2289</v>
      </c>
      <c r="M1483" s="50" t="s">
        <v>212</v>
      </c>
      <c r="N1483" s="50"/>
      <c r="O1483" s="50"/>
      <c r="P1483" s="50"/>
      <c r="Q1483" s="50"/>
      <c r="R1483" s="50"/>
      <c r="S1483" s="50" t="str">
        <f t="shared" si="138"/>
        <v/>
      </c>
      <c r="T1483" s="50" t="str">
        <f t="shared" si="136"/>
        <v/>
      </c>
      <c r="U1483" s="50" t="str">
        <f t="shared" si="137"/>
        <v/>
      </c>
      <c r="V1483" s="50" t="str">
        <f t="shared" si="135"/>
        <v/>
      </c>
      <c r="W1483" s="50"/>
      <c r="X1483" s="50" t="s">
        <v>4</v>
      </c>
      <c r="Y1483" s="50" t="s">
        <v>50</v>
      </c>
      <c r="Z1483" s="50" t="s">
        <v>3406</v>
      </c>
      <c r="AA1483" s="50"/>
    </row>
    <row r="1484" spans="1:27" ht="25.5" customHeight="1">
      <c r="A1484" s="517" t="s">
        <v>2286</v>
      </c>
      <c r="B1484" s="51" t="s">
        <v>1291</v>
      </c>
      <c r="C1484" s="51" t="s">
        <v>143</v>
      </c>
      <c r="D1484" s="51" t="s">
        <v>1292</v>
      </c>
      <c r="E1484" s="50">
        <v>3322</v>
      </c>
      <c r="F1484" s="50">
        <v>3509</v>
      </c>
      <c r="G1484" s="50" t="s">
        <v>3404</v>
      </c>
      <c r="H1484" s="50">
        <v>2024</v>
      </c>
      <c r="I1484" s="132">
        <v>45510</v>
      </c>
      <c r="J1484" s="50"/>
      <c r="K1484" s="50" t="s">
        <v>30</v>
      </c>
      <c r="L1484" s="50" t="s">
        <v>2289</v>
      </c>
      <c r="M1484" s="50" t="s">
        <v>212</v>
      </c>
      <c r="N1484" s="50"/>
      <c r="O1484" s="50"/>
      <c r="P1484" s="50"/>
      <c r="Q1484" s="50"/>
      <c r="R1484" s="50"/>
      <c r="S1484" s="50" t="str">
        <f t="shared" si="138"/>
        <v/>
      </c>
      <c r="T1484" s="50" t="str">
        <f t="shared" si="136"/>
        <v/>
      </c>
      <c r="U1484" s="50" t="str">
        <f t="shared" si="137"/>
        <v/>
      </c>
      <c r="V1484" s="50" t="str">
        <f t="shared" si="135"/>
        <v/>
      </c>
      <c r="W1484" s="50"/>
      <c r="X1484" s="50" t="s">
        <v>1078</v>
      </c>
      <c r="Y1484" s="50" t="s">
        <v>50</v>
      </c>
      <c r="Z1484" s="50" t="s">
        <v>3406</v>
      </c>
      <c r="AA1484" s="50"/>
    </row>
    <row r="1485" spans="1:27" ht="25.5" customHeight="1">
      <c r="A1485" s="517" t="s">
        <v>2286</v>
      </c>
      <c r="B1485" s="51" t="s">
        <v>1291</v>
      </c>
      <c r="C1485" s="51" t="s">
        <v>143</v>
      </c>
      <c r="D1485" s="51" t="s">
        <v>5027</v>
      </c>
      <c r="E1485" s="50">
        <v>3219</v>
      </c>
      <c r="F1485" s="50">
        <v>3362</v>
      </c>
      <c r="G1485" s="50" t="s">
        <v>3404</v>
      </c>
      <c r="H1485" s="50">
        <v>2025</v>
      </c>
      <c r="I1485" s="132">
        <v>45750</v>
      </c>
      <c r="J1485" s="50" t="s">
        <v>3470</v>
      </c>
      <c r="K1485" s="50" t="s">
        <v>30</v>
      </c>
      <c r="L1485" s="50" t="s">
        <v>28</v>
      </c>
      <c r="M1485" s="50" t="s">
        <v>212</v>
      </c>
      <c r="N1485" s="50" t="s">
        <v>5028</v>
      </c>
      <c r="O1485" s="60">
        <v>45750</v>
      </c>
      <c r="P1485" s="60">
        <v>45754</v>
      </c>
      <c r="Q1485" s="60">
        <v>45754</v>
      </c>
      <c r="R1485" s="60">
        <v>45757</v>
      </c>
      <c r="S1485" s="50">
        <f t="shared" si="138"/>
        <v>1</v>
      </c>
      <c r="T1485" s="50">
        <f t="shared" si="136"/>
        <v>2</v>
      </c>
      <c r="U1485" s="50">
        <f t="shared" si="137"/>
        <v>1</v>
      </c>
      <c r="V1485" s="50">
        <f t="shared" si="135"/>
        <v>3</v>
      </c>
      <c r="W1485" s="50" t="s">
        <v>150</v>
      </c>
      <c r="X1485" s="50" t="s">
        <v>1078</v>
      </c>
      <c r="Y1485" s="50" t="s">
        <v>50</v>
      </c>
      <c r="Z1485" s="50" t="s">
        <v>3406</v>
      </c>
      <c r="AA1485" s="50"/>
    </row>
    <row r="1486" spans="1:27" ht="25.5" customHeight="1">
      <c r="A1486" s="517" t="s">
        <v>2286</v>
      </c>
      <c r="B1486" s="51" t="s">
        <v>1291</v>
      </c>
      <c r="C1486" s="51" t="s">
        <v>143</v>
      </c>
      <c r="D1486" s="51" t="s">
        <v>4206</v>
      </c>
      <c r="E1486" s="50">
        <v>1731</v>
      </c>
      <c r="F1486" s="50">
        <v>1823</v>
      </c>
      <c r="G1486" s="50" t="s">
        <v>3404</v>
      </c>
      <c r="H1486" s="50">
        <v>2025</v>
      </c>
      <c r="I1486" s="132">
        <v>45931</v>
      </c>
      <c r="J1486" s="50" t="s">
        <v>3128</v>
      </c>
      <c r="K1486" s="50" t="s">
        <v>30</v>
      </c>
      <c r="L1486" s="50" t="s">
        <v>2289</v>
      </c>
      <c r="M1486" s="50" t="s">
        <v>212</v>
      </c>
      <c r="N1486" s="50" t="s">
        <v>5029</v>
      </c>
      <c r="O1486" s="60">
        <v>45932</v>
      </c>
      <c r="P1486" s="60">
        <v>45939</v>
      </c>
      <c r="Q1486" s="60">
        <v>45946</v>
      </c>
      <c r="R1486" s="60">
        <v>45947</v>
      </c>
      <c r="S1486" s="50">
        <f t="shared" si="138"/>
        <v>1</v>
      </c>
      <c r="T1486" s="50">
        <f t="shared" si="136"/>
        <v>5</v>
      </c>
      <c r="U1486" s="50">
        <f t="shared" si="137"/>
        <v>5</v>
      </c>
      <c r="V1486" s="50">
        <f t="shared" si="135"/>
        <v>1</v>
      </c>
      <c r="W1486" s="50" t="s">
        <v>150</v>
      </c>
      <c r="X1486" s="50" t="s">
        <v>1078</v>
      </c>
      <c r="Y1486" s="50" t="s">
        <v>50</v>
      </c>
      <c r="Z1486" s="50" t="s">
        <v>3406</v>
      </c>
      <c r="AA1486" s="50"/>
    </row>
    <row r="1487" spans="1:27" ht="25.5" customHeight="1">
      <c r="A1487" s="517" t="s">
        <v>2286</v>
      </c>
      <c r="B1487" s="51" t="s">
        <v>1291</v>
      </c>
      <c r="C1487" s="51" t="s">
        <v>143</v>
      </c>
      <c r="D1487" s="51" t="s">
        <v>4277</v>
      </c>
      <c r="E1487" s="50">
        <v>1047</v>
      </c>
      <c r="F1487" s="50">
        <v>1144</v>
      </c>
      <c r="G1487" s="50" t="s">
        <v>3404</v>
      </c>
      <c r="H1487" s="50">
        <v>2025</v>
      </c>
      <c r="I1487" s="132">
        <v>45931</v>
      </c>
      <c r="J1487" s="50" t="s">
        <v>3128</v>
      </c>
      <c r="K1487" s="50" t="s">
        <v>30</v>
      </c>
      <c r="L1487" s="50" t="s">
        <v>2289</v>
      </c>
      <c r="M1487" s="50" t="s">
        <v>212</v>
      </c>
      <c r="N1487" s="50" t="s">
        <v>5030</v>
      </c>
      <c r="O1487" s="60">
        <v>45932</v>
      </c>
      <c r="P1487" s="60">
        <v>45939</v>
      </c>
      <c r="Q1487" s="60">
        <v>45946</v>
      </c>
      <c r="R1487" s="60">
        <v>45947</v>
      </c>
      <c r="S1487" s="50">
        <f t="shared" si="138"/>
        <v>1</v>
      </c>
      <c r="T1487" s="50">
        <f t="shared" si="136"/>
        <v>5</v>
      </c>
      <c r="U1487" s="50">
        <f t="shared" si="137"/>
        <v>5</v>
      </c>
      <c r="V1487" s="50">
        <f t="shared" si="135"/>
        <v>1</v>
      </c>
      <c r="W1487" s="50" t="s">
        <v>150</v>
      </c>
      <c r="X1487" s="50" t="s">
        <v>1078</v>
      </c>
      <c r="Y1487" s="50" t="s">
        <v>50</v>
      </c>
      <c r="Z1487" s="50" t="s">
        <v>3406</v>
      </c>
      <c r="AA1487" s="50"/>
    </row>
    <row r="1488" spans="1:27" ht="25.5" customHeight="1">
      <c r="A1488" s="517" t="s">
        <v>2286</v>
      </c>
      <c r="B1488" s="51" t="s">
        <v>1291</v>
      </c>
      <c r="C1488" s="51" t="s">
        <v>143</v>
      </c>
      <c r="D1488" s="51" t="s">
        <v>5031</v>
      </c>
      <c r="E1488" s="50">
        <v>1139</v>
      </c>
      <c r="F1488" s="50">
        <v>1289</v>
      </c>
      <c r="G1488" s="50" t="s">
        <v>3404</v>
      </c>
      <c r="H1488" s="50">
        <v>2025</v>
      </c>
      <c r="I1488" s="132">
        <v>45931</v>
      </c>
      <c r="J1488" s="50" t="s">
        <v>3128</v>
      </c>
      <c r="K1488" s="50" t="s">
        <v>30</v>
      </c>
      <c r="L1488" s="50" t="s">
        <v>2289</v>
      </c>
      <c r="M1488" s="50" t="s">
        <v>212</v>
      </c>
      <c r="N1488" s="50" t="s">
        <v>5032</v>
      </c>
      <c r="O1488" s="60">
        <v>45932</v>
      </c>
      <c r="P1488" s="60">
        <v>45939</v>
      </c>
      <c r="Q1488" s="60">
        <v>45946</v>
      </c>
      <c r="R1488" s="60">
        <v>45947</v>
      </c>
      <c r="S1488" s="50">
        <f t="shared" si="138"/>
        <v>1</v>
      </c>
      <c r="T1488" s="50">
        <f t="shared" si="136"/>
        <v>5</v>
      </c>
      <c r="U1488" s="50">
        <f t="shared" si="137"/>
        <v>5</v>
      </c>
      <c r="V1488" s="50">
        <f t="shared" si="135"/>
        <v>1</v>
      </c>
      <c r="W1488" s="50" t="s">
        <v>150</v>
      </c>
      <c r="X1488" s="50" t="s">
        <v>1078</v>
      </c>
      <c r="Y1488" s="50" t="s">
        <v>50</v>
      </c>
      <c r="Z1488" s="50" t="s">
        <v>3406</v>
      </c>
      <c r="AA1488" s="50"/>
    </row>
    <row r="1489" spans="1:27" s="110" customFormat="1" ht="25.5" customHeight="1">
      <c r="A1489" s="517" t="s">
        <v>2286</v>
      </c>
      <c r="B1489" s="51" t="s">
        <v>1291</v>
      </c>
      <c r="C1489" s="51" t="s">
        <v>143</v>
      </c>
      <c r="D1489" s="51" t="s">
        <v>5033</v>
      </c>
      <c r="E1489" s="50">
        <v>1617</v>
      </c>
      <c r="F1489" s="50">
        <v>1700</v>
      </c>
      <c r="G1489" s="50" t="s">
        <v>3404</v>
      </c>
      <c r="H1489" s="50">
        <v>2024</v>
      </c>
      <c r="I1489" s="132">
        <v>45552</v>
      </c>
      <c r="J1489" s="50"/>
      <c r="K1489" s="50" t="s">
        <v>30</v>
      </c>
      <c r="L1489" s="50" t="s">
        <v>2289</v>
      </c>
      <c r="M1489" s="50" t="s">
        <v>212</v>
      </c>
      <c r="N1489" s="50"/>
      <c r="O1489" s="50"/>
      <c r="P1489" s="50"/>
      <c r="Q1489" s="50"/>
      <c r="R1489" s="50"/>
      <c r="S1489" s="50" t="str">
        <f t="shared" si="138"/>
        <v/>
      </c>
      <c r="T1489" s="50" t="str">
        <f t="shared" si="136"/>
        <v/>
      </c>
      <c r="U1489" s="50" t="str">
        <f t="shared" si="137"/>
        <v/>
      </c>
      <c r="V1489" s="50" t="str">
        <f t="shared" si="135"/>
        <v/>
      </c>
      <c r="W1489" s="50"/>
      <c r="X1489" s="50" t="s">
        <v>4</v>
      </c>
      <c r="Y1489" s="50" t="s">
        <v>50</v>
      </c>
      <c r="Z1489" s="50" t="s">
        <v>3406</v>
      </c>
      <c r="AA1489" s="50"/>
    </row>
    <row r="1490" spans="1:27" ht="25.5" customHeight="1">
      <c r="A1490" s="517" t="s">
        <v>2286</v>
      </c>
      <c r="B1490" s="51" t="s">
        <v>1291</v>
      </c>
      <c r="C1490" s="51" t="s">
        <v>143</v>
      </c>
      <c r="D1490" s="51" t="s">
        <v>4925</v>
      </c>
      <c r="E1490" s="50">
        <v>4862</v>
      </c>
      <c r="F1490" s="50">
        <v>5495</v>
      </c>
      <c r="G1490" s="50" t="s">
        <v>3955</v>
      </c>
      <c r="H1490" s="50"/>
      <c r="I1490" s="105"/>
      <c r="J1490" s="50"/>
      <c r="K1490" s="50" t="s">
        <v>30</v>
      </c>
      <c r="L1490" s="50" t="s">
        <v>2289</v>
      </c>
      <c r="M1490" s="50" t="s">
        <v>212</v>
      </c>
      <c r="N1490" s="50"/>
      <c r="O1490" s="50"/>
      <c r="P1490" s="50"/>
      <c r="Q1490" s="50"/>
      <c r="R1490" s="50"/>
      <c r="S1490" s="50" t="str">
        <f t="shared" si="138"/>
        <v/>
      </c>
      <c r="T1490" s="50" t="str">
        <f t="shared" si="136"/>
        <v/>
      </c>
      <c r="U1490" s="50" t="str">
        <f t="shared" si="137"/>
        <v/>
      </c>
      <c r="V1490" s="50" t="str">
        <f t="shared" si="135"/>
        <v/>
      </c>
      <c r="W1490" s="50"/>
      <c r="X1490" s="50"/>
      <c r="Y1490" s="50"/>
      <c r="Z1490" s="50"/>
      <c r="AA1490" s="50"/>
    </row>
    <row r="1491" spans="1:27" ht="25.5" customHeight="1">
      <c r="A1491" s="517" t="s">
        <v>2286</v>
      </c>
      <c r="B1491" s="51" t="s">
        <v>1291</v>
      </c>
      <c r="C1491" s="51" t="s">
        <v>143</v>
      </c>
      <c r="D1491" s="51" t="s">
        <v>5034</v>
      </c>
      <c r="E1491" s="50">
        <v>847</v>
      </c>
      <c r="F1491" s="50">
        <v>1112</v>
      </c>
      <c r="G1491" s="50" t="s">
        <v>3404</v>
      </c>
      <c r="H1491" s="50">
        <v>2024</v>
      </c>
      <c r="I1491" s="132">
        <v>45426</v>
      </c>
      <c r="J1491" s="50"/>
      <c r="K1491" s="50" t="s">
        <v>30</v>
      </c>
      <c r="L1491" s="50" t="s">
        <v>2289</v>
      </c>
      <c r="M1491" s="50" t="s">
        <v>212</v>
      </c>
      <c r="N1491" s="50"/>
      <c r="O1491" s="50"/>
      <c r="P1491" s="50"/>
      <c r="Q1491" s="50"/>
      <c r="R1491" s="50"/>
      <c r="S1491" s="50" t="str">
        <f t="shared" si="138"/>
        <v/>
      </c>
      <c r="T1491" s="50" t="str">
        <f t="shared" si="136"/>
        <v/>
      </c>
      <c r="U1491" s="50" t="str">
        <f t="shared" si="137"/>
        <v/>
      </c>
      <c r="V1491" s="50" t="str">
        <f t="shared" si="135"/>
        <v/>
      </c>
      <c r="W1491" s="50"/>
      <c r="X1491" s="50"/>
      <c r="Y1491" s="50"/>
      <c r="Z1491" s="50" t="s">
        <v>3406</v>
      </c>
      <c r="AA1491" s="50"/>
    </row>
    <row r="1492" spans="1:27" ht="25.5" customHeight="1">
      <c r="A1492" s="517" t="s">
        <v>2286</v>
      </c>
      <c r="B1492" s="51" t="s">
        <v>1291</v>
      </c>
      <c r="C1492" s="51" t="s">
        <v>143</v>
      </c>
      <c r="D1492" s="51" t="s">
        <v>3566</v>
      </c>
      <c r="E1492" s="50">
        <v>7417</v>
      </c>
      <c r="F1492" s="50">
        <v>7705</v>
      </c>
      <c r="G1492" s="50" t="s">
        <v>3404</v>
      </c>
      <c r="H1492" s="50">
        <v>2025</v>
      </c>
      <c r="I1492" s="132">
        <v>45743</v>
      </c>
      <c r="J1492" s="50" t="s">
        <v>3470</v>
      </c>
      <c r="K1492" s="50" t="s">
        <v>30</v>
      </c>
      <c r="L1492" s="50" t="s">
        <v>2289</v>
      </c>
      <c r="M1492" s="50" t="s">
        <v>212</v>
      </c>
      <c r="N1492" s="50" t="s">
        <v>5035</v>
      </c>
      <c r="O1492" s="60">
        <v>45744</v>
      </c>
      <c r="P1492" s="60">
        <v>45754</v>
      </c>
      <c r="Q1492" s="60">
        <v>45754</v>
      </c>
      <c r="R1492" s="60">
        <v>45757</v>
      </c>
      <c r="S1492" s="50">
        <f t="shared" si="138"/>
        <v>1</v>
      </c>
      <c r="T1492" s="50">
        <f t="shared" si="136"/>
        <v>6</v>
      </c>
      <c r="U1492" s="50">
        <f t="shared" si="137"/>
        <v>1</v>
      </c>
      <c r="V1492" s="50">
        <f t="shared" si="135"/>
        <v>3</v>
      </c>
      <c r="W1492" s="50" t="s">
        <v>150</v>
      </c>
      <c r="X1492" s="50" t="s">
        <v>1078</v>
      </c>
      <c r="Y1492" s="50" t="s">
        <v>50</v>
      </c>
      <c r="Z1492" s="50" t="s">
        <v>3406</v>
      </c>
      <c r="AA1492" s="50"/>
    </row>
    <row r="1493" spans="1:27" ht="25.5" customHeight="1">
      <c r="A1493" s="517" t="s">
        <v>2286</v>
      </c>
      <c r="B1493" s="51" t="s">
        <v>1291</v>
      </c>
      <c r="C1493" s="51" t="s">
        <v>143</v>
      </c>
      <c r="D1493" s="51" t="s">
        <v>2168</v>
      </c>
      <c r="E1493" s="50">
        <v>4681</v>
      </c>
      <c r="F1493" s="50">
        <v>5130</v>
      </c>
      <c r="G1493" s="50" t="s">
        <v>3955</v>
      </c>
      <c r="H1493" s="50"/>
      <c r="I1493" s="105"/>
      <c r="J1493" s="50"/>
      <c r="K1493" s="50" t="s">
        <v>30</v>
      </c>
      <c r="L1493" s="50" t="s">
        <v>2289</v>
      </c>
      <c r="M1493" s="50" t="s">
        <v>212</v>
      </c>
      <c r="N1493" s="50"/>
      <c r="O1493" s="50"/>
      <c r="P1493" s="50"/>
      <c r="Q1493" s="50"/>
      <c r="R1493" s="50"/>
      <c r="S1493" s="50" t="str">
        <f t="shared" si="138"/>
        <v/>
      </c>
      <c r="T1493" s="50" t="str">
        <f t="shared" si="136"/>
        <v/>
      </c>
      <c r="U1493" s="50" t="str">
        <f t="shared" si="137"/>
        <v/>
      </c>
      <c r="V1493" s="50" t="str">
        <f t="shared" si="135"/>
        <v/>
      </c>
      <c r="W1493" s="50"/>
      <c r="X1493" s="50"/>
      <c r="Y1493" s="50"/>
      <c r="Z1493" s="50"/>
      <c r="AA1493" s="50"/>
    </row>
    <row r="1494" spans="1:27" s="110" customFormat="1" ht="25.5" customHeight="1">
      <c r="A1494" s="517" t="s">
        <v>2286</v>
      </c>
      <c r="B1494" s="51" t="s">
        <v>1295</v>
      </c>
      <c r="C1494" s="51" t="s">
        <v>143</v>
      </c>
      <c r="D1494" s="51" t="s">
        <v>5036</v>
      </c>
      <c r="E1494" s="50">
        <v>3486</v>
      </c>
      <c r="F1494" s="50">
        <v>3308</v>
      </c>
      <c r="G1494" s="50" t="s">
        <v>3404</v>
      </c>
      <c r="H1494" s="50">
        <v>2025</v>
      </c>
      <c r="I1494" s="132">
        <v>45918</v>
      </c>
      <c r="J1494" s="50" t="s">
        <v>3127</v>
      </c>
      <c r="K1494" s="50" t="s">
        <v>224</v>
      </c>
      <c r="L1494" s="50" t="s">
        <v>2289</v>
      </c>
      <c r="M1494" s="50" t="s">
        <v>212</v>
      </c>
      <c r="N1494" s="50" t="s">
        <v>5037</v>
      </c>
      <c r="O1494" s="132">
        <v>45918</v>
      </c>
      <c r="P1494" s="132">
        <v>45918</v>
      </c>
      <c r="Q1494" s="132">
        <v>45918</v>
      </c>
      <c r="R1494" s="132">
        <v>45918</v>
      </c>
      <c r="S1494" s="50">
        <f t="shared" si="138"/>
        <v>1</v>
      </c>
      <c r="T1494" s="50">
        <f t="shared" si="136"/>
        <v>1</v>
      </c>
      <c r="U1494" s="50">
        <f t="shared" si="137"/>
        <v>1</v>
      </c>
      <c r="V1494" s="50">
        <f t="shared" si="135"/>
        <v>1</v>
      </c>
      <c r="W1494" s="50" t="s">
        <v>150</v>
      </c>
      <c r="X1494" s="50" t="s">
        <v>1078</v>
      </c>
      <c r="Y1494" s="50" t="s">
        <v>50</v>
      </c>
      <c r="Z1494" s="50" t="s">
        <v>3406</v>
      </c>
      <c r="AA1494" s="50"/>
    </row>
    <row r="1495" spans="1:27" ht="25.5" customHeight="1">
      <c r="A1495" s="517" t="s">
        <v>2286</v>
      </c>
      <c r="B1495" s="51" t="s">
        <v>1295</v>
      </c>
      <c r="C1495" s="51" t="s">
        <v>143</v>
      </c>
      <c r="D1495" s="51" t="s">
        <v>3403</v>
      </c>
      <c r="E1495" s="50">
        <v>1487</v>
      </c>
      <c r="F1495" s="50">
        <v>1531</v>
      </c>
      <c r="G1495" s="50" t="s">
        <v>3404</v>
      </c>
      <c r="H1495" s="50">
        <v>2025</v>
      </c>
      <c r="I1495" s="132">
        <v>45967</v>
      </c>
      <c r="J1495" s="50" t="s">
        <v>3129</v>
      </c>
      <c r="K1495" s="50" t="s">
        <v>224</v>
      </c>
      <c r="L1495" s="50" t="s">
        <v>2289</v>
      </c>
      <c r="M1495" s="50" t="s">
        <v>212</v>
      </c>
      <c r="N1495" s="50" t="s">
        <v>5038</v>
      </c>
      <c r="O1495" s="60">
        <v>45968</v>
      </c>
      <c r="P1495" s="60">
        <v>45972</v>
      </c>
      <c r="Q1495" s="60">
        <v>45979</v>
      </c>
      <c r="R1495" s="60">
        <v>45980</v>
      </c>
      <c r="S1495" s="50">
        <f t="shared" si="138"/>
        <v>1</v>
      </c>
      <c r="T1495" s="50">
        <f t="shared" ref="T1495:T1526" si="139">IF(
    OR(ISBLANK(O1495), ISBLANK(P1495)),
    "",
    MAX(1, IF(
        NETWORKDAYS(O1495, P1495) &lt;= 0,
        1,
        NETWORKDAYS(O1495, P1495) - IF(O1495 = P1495, 0, 1)
    ))
)</f>
        <v>2</v>
      </c>
      <c r="U1495" s="50">
        <f t="shared" ref="U1495:U1526" si="140">IF(
    OR(ISBLANK(P1495), ISBLANK(Q1495)),
    "",
    MAX(1, IF(
        NETWORKDAYS(P1495, Q1495) &lt;= 0,
        1,
        NETWORKDAYS(P1495, Q1495) - IF(P1495 = Q1495, 0, 1)
    ))
)</f>
        <v>5</v>
      </c>
      <c r="V1495" s="50">
        <f t="shared" si="135"/>
        <v>1</v>
      </c>
      <c r="W1495" s="50" t="s">
        <v>150</v>
      </c>
      <c r="X1495" s="50" t="s">
        <v>1078</v>
      </c>
      <c r="Y1495" s="50" t="s">
        <v>50</v>
      </c>
      <c r="Z1495" s="50" t="s">
        <v>3406</v>
      </c>
      <c r="AA1495" s="50"/>
    </row>
    <row r="1496" spans="1:27" ht="25.5" customHeight="1">
      <c r="A1496" s="517" t="s">
        <v>2286</v>
      </c>
      <c r="B1496" s="51" t="s">
        <v>1295</v>
      </c>
      <c r="C1496" s="51" t="s">
        <v>143</v>
      </c>
      <c r="D1496" s="51" t="s">
        <v>3407</v>
      </c>
      <c r="E1496" s="50">
        <v>705</v>
      </c>
      <c r="F1496" s="50">
        <v>686</v>
      </c>
      <c r="G1496" s="50" t="s">
        <v>3404</v>
      </c>
      <c r="H1496" s="50">
        <v>2025</v>
      </c>
      <c r="I1496" s="132">
        <v>45967</v>
      </c>
      <c r="J1496" s="50" t="s">
        <v>3129</v>
      </c>
      <c r="K1496" s="50" t="s">
        <v>224</v>
      </c>
      <c r="L1496" s="50" t="s">
        <v>2289</v>
      </c>
      <c r="M1496" s="50" t="s">
        <v>212</v>
      </c>
      <c r="N1496" s="50" t="s">
        <v>5039</v>
      </c>
      <c r="O1496" s="60">
        <v>45968</v>
      </c>
      <c r="P1496" s="60">
        <v>45972</v>
      </c>
      <c r="Q1496" s="60">
        <v>45979</v>
      </c>
      <c r="R1496" s="60">
        <v>45980</v>
      </c>
      <c r="S1496" s="50">
        <f t="shared" si="138"/>
        <v>1</v>
      </c>
      <c r="T1496" s="50">
        <f t="shared" si="139"/>
        <v>2</v>
      </c>
      <c r="U1496" s="50">
        <f t="shared" si="140"/>
        <v>5</v>
      </c>
      <c r="V1496" s="50">
        <f t="shared" si="135"/>
        <v>1</v>
      </c>
      <c r="W1496" s="50" t="s">
        <v>150</v>
      </c>
      <c r="X1496" s="50" t="s">
        <v>1078</v>
      </c>
      <c r="Y1496" s="50" t="s">
        <v>50</v>
      </c>
      <c r="Z1496" s="50" t="s">
        <v>3406</v>
      </c>
      <c r="AA1496" s="50"/>
    </row>
    <row r="1497" spans="1:27" s="110" customFormat="1" ht="25.5" customHeight="1">
      <c r="A1497" s="517" t="s">
        <v>2286</v>
      </c>
      <c r="B1497" s="51" t="s">
        <v>1295</v>
      </c>
      <c r="C1497" s="51" t="s">
        <v>143</v>
      </c>
      <c r="D1497" s="51" t="s">
        <v>5040</v>
      </c>
      <c r="E1497" s="50">
        <v>4827</v>
      </c>
      <c r="F1497" s="50">
        <v>4792</v>
      </c>
      <c r="G1497" s="50" t="s">
        <v>3404</v>
      </c>
      <c r="H1497" s="50">
        <v>2025</v>
      </c>
      <c r="I1497" s="132">
        <v>45695</v>
      </c>
      <c r="J1497" s="50" t="s">
        <v>3458</v>
      </c>
      <c r="K1497" s="50" t="s">
        <v>224</v>
      </c>
      <c r="L1497" s="50" t="s">
        <v>2289</v>
      </c>
      <c r="M1497" s="50" t="s">
        <v>212</v>
      </c>
      <c r="N1497" s="50" t="s">
        <v>5041</v>
      </c>
      <c r="O1497" s="60">
        <v>45696</v>
      </c>
      <c r="P1497" s="60">
        <v>45698</v>
      </c>
      <c r="Q1497" s="60">
        <v>45698</v>
      </c>
      <c r="R1497" s="60">
        <v>45699</v>
      </c>
      <c r="S1497" s="50">
        <f t="shared" si="138"/>
        <v>1</v>
      </c>
      <c r="T1497" s="50">
        <f t="shared" si="139"/>
        <v>1</v>
      </c>
      <c r="U1497" s="50">
        <f t="shared" si="140"/>
        <v>1</v>
      </c>
      <c r="V1497" s="50">
        <f t="shared" ref="V1497:V1553" si="141">IF(
    OR(ISBLANK(Q1497), ISBLANK(R1497)),
    "",
    MAX(1, IF(
        NETWORKDAYS(Q1497, R1497) &lt;= 0,
        1,
        NETWORKDAYS(Q1497, R1497) - IF(Q1497 = R1497, 0, 1)
    ))
)</f>
        <v>1</v>
      </c>
      <c r="W1497" s="50" t="s">
        <v>150</v>
      </c>
      <c r="X1497" s="50" t="s">
        <v>1078</v>
      </c>
      <c r="Y1497" s="50" t="s">
        <v>50</v>
      </c>
      <c r="Z1497" s="50" t="s">
        <v>3406</v>
      </c>
      <c r="AA1497" s="50"/>
    </row>
    <row r="1498" spans="1:27" ht="25.5" customHeight="1">
      <c r="A1498" s="517" t="s">
        <v>2286</v>
      </c>
      <c r="B1498" s="51" t="s">
        <v>1295</v>
      </c>
      <c r="C1498" s="51" t="s">
        <v>143</v>
      </c>
      <c r="D1498" s="51" t="s">
        <v>5042</v>
      </c>
      <c r="E1498" s="50">
        <v>2329</v>
      </c>
      <c r="F1498" s="50">
        <v>2506</v>
      </c>
      <c r="G1498" s="50" t="s">
        <v>3404</v>
      </c>
      <c r="H1498" s="50">
        <v>2025</v>
      </c>
      <c r="I1498" s="132">
        <v>45967</v>
      </c>
      <c r="J1498" s="50" t="s">
        <v>3129</v>
      </c>
      <c r="K1498" s="50" t="s">
        <v>224</v>
      </c>
      <c r="L1498" s="50" t="s">
        <v>2289</v>
      </c>
      <c r="M1498" s="50" t="s">
        <v>212</v>
      </c>
      <c r="N1498" s="50" t="s">
        <v>5043</v>
      </c>
      <c r="O1498" s="60">
        <v>45968</v>
      </c>
      <c r="P1498" s="60">
        <v>45972</v>
      </c>
      <c r="Q1498" s="60">
        <v>45979</v>
      </c>
      <c r="R1498" s="60">
        <v>45980</v>
      </c>
      <c r="S1498" s="50">
        <f t="shared" si="138"/>
        <v>1</v>
      </c>
      <c r="T1498" s="50">
        <f t="shared" si="139"/>
        <v>2</v>
      </c>
      <c r="U1498" s="50">
        <f t="shared" si="140"/>
        <v>5</v>
      </c>
      <c r="V1498" s="50">
        <f t="shared" si="141"/>
        <v>1</v>
      </c>
      <c r="W1498" s="50" t="s">
        <v>150</v>
      </c>
      <c r="X1498" s="50" t="s">
        <v>1078</v>
      </c>
      <c r="Y1498" s="50" t="s">
        <v>50</v>
      </c>
      <c r="Z1498" s="50" t="s">
        <v>3406</v>
      </c>
      <c r="AA1498" s="50"/>
    </row>
    <row r="1499" spans="1:27" ht="25.5" customHeight="1">
      <c r="A1499" s="517" t="s">
        <v>2286</v>
      </c>
      <c r="B1499" s="51" t="s">
        <v>1295</v>
      </c>
      <c r="C1499" s="51" t="s">
        <v>143</v>
      </c>
      <c r="D1499" s="51" t="s">
        <v>4177</v>
      </c>
      <c r="E1499" s="50">
        <v>4458</v>
      </c>
      <c r="F1499" s="50">
        <v>4687</v>
      </c>
      <c r="G1499" s="50" t="s">
        <v>3404</v>
      </c>
      <c r="H1499" s="50">
        <v>2025</v>
      </c>
      <c r="I1499" s="132">
        <v>45695</v>
      </c>
      <c r="J1499" s="50" t="s">
        <v>3458</v>
      </c>
      <c r="K1499" s="50" t="s">
        <v>224</v>
      </c>
      <c r="L1499" s="50" t="s">
        <v>2289</v>
      </c>
      <c r="M1499" s="50" t="s">
        <v>212</v>
      </c>
      <c r="N1499" s="50" t="s">
        <v>5044</v>
      </c>
      <c r="O1499" s="60">
        <v>45696</v>
      </c>
      <c r="P1499" s="60">
        <v>45698</v>
      </c>
      <c r="Q1499" s="60">
        <v>45698</v>
      </c>
      <c r="R1499" s="60">
        <v>45699</v>
      </c>
      <c r="S1499" s="50">
        <f t="shared" si="138"/>
        <v>1</v>
      </c>
      <c r="T1499" s="50">
        <f t="shared" si="139"/>
        <v>1</v>
      </c>
      <c r="U1499" s="50">
        <f t="shared" si="140"/>
        <v>1</v>
      </c>
      <c r="V1499" s="50">
        <f t="shared" si="141"/>
        <v>1</v>
      </c>
      <c r="W1499" s="50" t="s">
        <v>150</v>
      </c>
      <c r="X1499" s="50" t="s">
        <v>1078</v>
      </c>
      <c r="Y1499" s="50" t="s">
        <v>50</v>
      </c>
      <c r="Z1499" s="50" t="s">
        <v>3406</v>
      </c>
      <c r="AA1499" s="50"/>
    </row>
    <row r="1500" spans="1:27" ht="25.5" customHeight="1">
      <c r="A1500" s="517" t="s">
        <v>2286</v>
      </c>
      <c r="B1500" s="51" t="s">
        <v>1295</v>
      </c>
      <c r="C1500" s="51" t="s">
        <v>143</v>
      </c>
      <c r="D1500" s="51" t="s">
        <v>5045</v>
      </c>
      <c r="E1500" s="50">
        <v>3624</v>
      </c>
      <c r="F1500" s="50">
        <v>3771</v>
      </c>
      <c r="G1500" s="50" t="s">
        <v>3955</v>
      </c>
      <c r="H1500" s="50"/>
      <c r="I1500" s="105"/>
      <c r="J1500" s="50"/>
      <c r="K1500" s="50" t="s">
        <v>224</v>
      </c>
      <c r="L1500" s="50" t="s">
        <v>2289</v>
      </c>
      <c r="M1500" s="50" t="s">
        <v>212</v>
      </c>
      <c r="N1500" s="50"/>
      <c r="O1500" s="50"/>
      <c r="P1500" s="50"/>
      <c r="Q1500" s="50"/>
      <c r="R1500" s="50"/>
      <c r="S1500" s="50" t="str">
        <f t="shared" si="138"/>
        <v/>
      </c>
      <c r="T1500" s="50" t="str">
        <f t="shared" si="139"/>
        <v/>
      </c>
      <c r="U1500" s="50" t="str">
        <f t="shared" si="140"/>
        <v/>
      </c>
      <c r="V1500" s="50" t="str">
        <f t="shared" si="141"/>
        <v/>
      </c>
      <c r="W1500" s="50"/>
      <c r="X1500" s="50"/>
      <c r="Y1500" s="50"/>
      <c r="Z1500" s="50"/>
      <c r="AA1500" s="50"/>
    </row>
    <row r="1501" spans="1:27" ht="25.5" customHeight="1">
      <c r="A1501" s="517" t="s">
        <v>2286</v>
      </c>
      <c r="B1501" s="51" t="s">
        <v>1295</v>
      </c>
      <c r="C1501" s="51" t="s">
        <v>143</v>
      </c>
      <c r="D1501" s="51" t="s">
        <v>5046</v>
      </c>
      <c r="E1501" s="50">
        <v>1739</v>
      </c>
      <c r="F1501" s="50">
        <v>1760</v>
      </c>
      <c r="G1501" s="50" t="s">
        <v>3955</v>
      </c>
      <c r="H1501" s="50"/>
      <c r="I1501" s="105"/>
      <c r="J1501" s="50"/>
      <c r="K1501" s="50" t="s">
        <v>224</v>
      </c>
      <c r="L1501" s="50" t="s">
        <v>2289</v>
      </c>
      <c r="M1501" s="50" t="s">
        <v>212</v>
      </c>
      <c r="N1501" s="50"/>
      <c r="O1501" s="50"/>
      <c r="P1501" s="50"/>
      <c r="Q1501" s="50"/>
      <c r="R1501" s="50"/>
      <c r="S1501" s="50" t="str">
        <f t="shared" si="138"/>
        <v/>
      </c>
      <c r="T1501" s="50" t="str">
        <f t="shared" si="139"/>
        <v/>
      </c>
      <c r="U1501" s="50" t="str">
        <f t="shared" si="140"/>
        <v/>
      </c>
      <c r="V1501" s="50" t="str">
        <f t="shared" si="141"/>
        <v/>
      </c>
      <c r="W1501" s="50"/>
      <c r="X1501" s="50"/>
      <c r="Y1501" s="50"/>
      <c r="Z1501" s="50"/>
      <c r="AA1501" s="50"/>
    </row>
    <row r="1502" spans="1:27" ht="25.5" customHeight="1">
      <c r="A1502" s="517" t="s">
        <v>2286</v>
      </c>
      <c r="B1502" s="51" t="s">
        <v>1295</v>
      </c>
      <c r="C1502" s="51" t="s">
        <v>143</v>
      </c>
      <c r="D1502" s="51" t="s">
        <v>5047</v>
      </c>
      <c r="E1502" s="50">
        <v>2027</v>
      </c>
      <c r="F1502" s="50">
        <v>2255</v>
      </c>
      <c r="G1502" s="50" t="s">
        <v>3404</v>
      </c>
      <c r="H1502" s="50">
        <v>2025</v>
      </c>
      <c r="I1502" s="132">
        <v>45932</v>
      </c>
      <c r="J1502" s="50" t="s">
        <v>3128</v>
      </c>
      <c r="K1502" s="50" t="s">
        <v>224</v>
      </c>
      <c r="L1502" s="50" t="s">
        <v>2289</v>
      </c>
      <c r="M1502" s="50" t="s">
        <v>212</v>
      </c>
      <c r="N1502" s="50" t="s">
        <v>5048</v>
      </c>
      <c r="O1502" s="60">
        <v>45933</v>
      </c>
      <c r="P1502" s="60">
        <v>45939</v>
      </c>
      <c r="Q1502" s="60">
        <v>45939</v>
      </c>
      <c r="R1502" s="60">
        <v>45940</v>
      </c>
      <c r="S1502" s="50">
        <f t="shared" si="138"/>
        <v>1</v>
      </c>
      <c r="T1502" s="50">
        <f t="shared" si="139"/>
        <v>4</v>
      </c>
      <c r="U1502" s="50">
        <f t="shared" si="140"/>
        <v>1</v>
      </c>
      <c r="V1502" s="50">
        <f t="shared" si="141"/>
        <v>1</v>
      </c>
      <c r="W1502" s="50" t="s">
        <v>150</v>
      </c>
      <c r="X1502" s="50" t="s">
        <v>1078</v>
      </c>
      <c r="Y1502" s="50" t="s">
        <v>50</v>
      </c>
      <c r="Z1502" s="50" t="s">
        <v>3406</v>
      </c>
      <c r="AA1502" s="50"/>
    </row>
    <row r="1503" spans="1:27" ht="25.5" customHeight="1">
      <c r="A1503" s="517" t="s">
        <v>2286</v>
      </c>
      <c r="B1503" s="51" t="s">
        <v>1295</v>
      </c>
      <c r="C1503" s="51" t="s">
        <v>143</v>
      </c>
      <c r="D1503" s="51" t="s">
        <v>5049</v>
      </c>
      <c r="E1503" s="50">
        <v>1793</v>
      </c>
      <c r="F1503" s="50">
        <v>1823</v>
      </c>
      <c r="G1503" s="50" t="s">
        <v>3404</v>
      </c>
      <c r="H1503" s="50">
        <v>2025</v>
      </c>
      <c r="I1503" s="132">
        <v>45932</v>
      </c>
      <c r="J1503" s="50" t="s">
        <v>3128</v>
      </c>
      <c r="K1503" s="50" t="s">
        <v>224</v>
      </c>
      <c r="L1503" s="50" t="s">
        <v>2289</v>
      </c>
      <c r="M1503" s="50" t="s">
        <v>212</v>
      </c>
      <c r="N1503" s="50" t="s">
        <v>5050</v>
      </c>
      <c r="O1503" s="60">
        <v>45933</v>
      </c>
      <c r="P1503" s="60">
        <v>45939</v>
      </c>
      <c r="Q1503" s="60">
        <v>45939</v>
      </c>
      <c r="R1503" s="60">
        <v>45944</v>
      </c>
      <c r="S1503" s="50">
        <f t="shared" si="138"/>
        <v>1</v>
      </c>
      <c r="T1503" s="50">
        <f t="shared" si="139"/>
        <v>4</v>
      </c>
      <c r="U1503" s="50">
        <f t="shared" si="140"/>
        <v>1</v>
      </c>
      <c r="V1503" s="50">
        <f t="shared" si="141"/>
        <v>3</v>
      </c>
      <c r="W1503" s="50" t="s">
        <v>150</v>
      </c>
      <c r="X1503" s="50" t="s">
        <v>1078</v>
      </c>
      <c r="Y1503" s="50" t="s">
        <v>50</v>
      </c>
      <c r="Z1503" s="50" t="s">
        <v>3406</v>
      </c>
      <c r="AA1503" s="50"/>
    </row>
    <row r="1504" spans="1:27" ht="25.5" customHeight="1">
      <c r="A1504" s="517" t="s">
        <v>2286</v>
      </c>
      <c r="B1504" s="51" t="s">
        <v>1295</v>
      </c>
      <c r="C1504" s="51" t="s">
        <v>143</v>
      </c>
      <c r="D1504" s="51" t="s">
        <v>1511</v>
      </c>
      <c r="E1504" s="50">
        <v>1800</v>
      </c>
      <c r="F1504" s="50">
        <v>1963</v>
      </c>
      <c r="G1504" s="50" t="s">
        <v>3955</v>
      </c>
      <c r="H1504" s="50"/>
      <c r="I1504" s="105"/>
      <c r="J1504" s="50"/>
      <c r="K1504" s="50" t="s">
        <v>224</v>
      </c>
      <c r="L1504" s="50" t="s">
        <v>2289</v>
      </c>
      <c r="M1504" s="50" t="s">
        <v>212</v>
      </c>
      <c r="N1504" s="50"/>
      <c r="O1504" s="50"/>
      <c r="P1504" s="50"/>
      <c r="Q1504" s="50"/>
      <c r="R1504" s="50"/>
      <c r="S1504" s="50" t="str">
        <f t="shared" si="138"/>
        <v/>
      </c>
      <c r="T1504" s="50" t="str">
        <f t="shared" si="139"/>
        <v/>
      </c>
      <c r="U1504" s="50" t="str">
        <f t="shared" si="140"/>
        <v/>
      </c>
      <c r="V1504" s="50" t="str">
        <f t="shared" si="141"/>
        <v/>
      </c>
      <c r="W1504" s="50"/>
      <c r="X1504" s="50"/>
      <c r="Y1504" s="50"/>
      <c r="Z1504" s="50"/>
      <c r="AA1504" s="50"/>
    </row>
    <row r="1505" spans="1:27" ht="25.5" customHeight="1">
      <c r="A1505" s="517" t="s">
        <v>2286</v>
      </c>
      <c r="B1505" s="51" t="s">
        <v>1295</v>
      </c>
      <c r="C1505" s="51" t="s">
        <v>143</v>
      </c>
      <c r="D1505" s="51" t="s">
        <v>1151</v>
      </c>
      <c r="E1505" s="50">
        <v>2752</v>
      </c>
      <c r="F1505" s="50">
        <v>2922</v>
      </c>
      <c r="G1505" s="50" t="s">
        <v>3404</v>
      </c>
      <c r="H1505" s="50">
        <v>2025</v>
      </c>
      <c r="I1505" s="132">
        <v>45855</v>
      </c>
      <c r="J1505" s="50" t="s">
        <v>3125</v>
      </c>
      <c r="K1505" s="50" t="s">
        <v>224</v>
      </c>
      <c r="L1505" s="50" t="s">
        <v>2289</v>
      </c>
      <c r="M1505" s="50" t="s">
        <v>212</v>
      </c>
      <c r="N1505" s="50" t="s">
        <v>5051</v>
      </c>
      <c r="O1505" s="60">
        <v>45856</v>
      </c>
      <c r="P1505" s="60">
        <v>45856</v>
      </c>
      <c r="Q1505" s="60">
        <v>45856</v>
      </c>
      <c r="R1505" s="60">
        <v>45856</v>
      </c>
      <c r="S1505" s="50">
        <f t="shared" si="138"/>
        <v>1</v>
      </c>
      <c r="T1505" s="50">
        <f t="shared" si="139"/>
        <v>1</v>
      </c>
      <c r="U1505" s="50">
        <f t="shared" si="140"/>
        <v>1</v>
      </c>
      <c r="V1505" s="50">
        <f t="shared" si="141"/>
        <v>1</v>
      </c>
      <c r="W1505" s="50" t="s">
        <v>150</v>
      </c>
      <c r="X1505" s="50" t="s">
        <v>1078</v>
      </c>
      <c r="Y1505" s="50" t="s">
        <v>50</v>
      </c>
      <c r="Z1505" s="50" t="s">
        <v>3406</v>
      </c>
      <c r="AA1505" s="50"/>
    </row>
    <row r="1506" spans="1:27" ht="25.5" customHeight="1">
      <c r="A1506" s="517" t="s">
        <v>2286</v>
      </c>
      <c r="B1506" s="51" t="s">
        <v>1295</v>
      </c>
      <c r="C1506" s="51" t="s">
        <v>143</v>
      </c>
      <c r="D1506" s="51" t="s">
        <v>4499</v>
      </c>
      <c r="E1506" s="50">
        <v>2401</v>
      </c>
      <c r="F1506" s="50">
        <v>2262</v>
      </c>
      <c r="G1506" s="50" t="s">
        <v>3955</v>
      </c>
      <c r="H1506" s="50"/>
      <c r="I1506" s="105"/>
      <c r="J1506" s="50"/>
      <c r="K1506" s="50" t="s">
        <v>224</v>
      </c>
      <c r="L1506" s="50" t="s">
        <v>2289</v>
      </c>
      <c r="M1506" s="50" t="s">
        <v>212</v>
      </c>
      <c r="N1506" s="50"/>
      <c r="O1506" s="50"/>
      <c r="P1506" s="50"/>
      <c r="Q1506" s="50"/>
      <c r="R1506" s="50"/>
      <c r="S1506" s="50" t="str">
        <f t="shared" si="138"/>
        <v/>
      </c>
      <c r="T1506" s="50" t="str">
        <f t="shared" si="139"/>
        <v/>
      </c>
      <c r="U1506" s="50" t="str">
        <f t="shared" si="140"/>
        <v/>
      </c>
      <c r="V1506" s="50" t="str">
        <f t="shared" si="141"/>
        <v/>
      </c>
      <c r="W1506" s="50"/>
      <c r="X1506" s="50"/>
      <c r="Y1506" s="50"/>
      <c r="Z1506" s="50"/>
      <c r="AA1506" s="50"/>
    </row>
    <row r="1507" spans="1:27" ht="25.5" customHeight="1">
      <c r="A1507" s="517" t="s">
        <v>2286</v>
      </c>
      <c r="B1507" s="51" t="s">
        <v>1295</v>
      </c>
      <c r="C1507" s="51" t="s">
        <v>143</v>
      </c>
      <c r="D1507" s="51" t="s">
        <v>4242</v>
      </c>
      <c r="E1507" s="50">
        <v>3868</v>
      </c>
      <c r="F1507" s="50">
        <v>4107</v>
      </c>
      <c r="G1507" s="50" t="s">
        <v>3955</v>
      </c>
      <c r="H1507" s="50"/>
      <c r="I1507" s="105"/>
      <c r="J1507" s="50"/>
      <c r="K1507" s="50" t="s">
        <v>224</v>
      </c>
      <c r="L1507" s="50" t="s">
        <v>2289</v>
      </c>
      <c r="M1507" s="50" t="s">
        <v>212</v>
      </c>
      <c r="N1507" s="50"/>
      <c r="O1507" s="50"/>
      <c r="P1507" s="50"/>
      <c r="Q1507" s="50"/>
      <c r="R1507" s="50"/>
      <c r="S1507" s="50" t="str">
        <f t="shared" si="138"/>
        <v/>
      </c>
      <c r="T1507" s="50" t="str">
        <f t="shared" si="139"/>
        <v/>
      </c>
      <c r="U1507" s="50" t="str">
        <f t="shared" si="140"/>
        <v/>
      </c>
      <c r="V1507" s="50" t="str">
        <f t="shared" si="141"/>
        <v/>
      </c>
      <c r="W1507" s="50"/>
      <c r="X1507" s="50"/>
      <c r="Y1507" s="50"/>
      <c r="Z1507" s="50"/>
      <c r="AA1507" s="50"/>
    </row>
    <row r="1508" spans="1:27" ht="25.5" customHeight="1">
      <c r="A1508" s="517" t="s">
        <v>2286</v>
      </c>
      <c r="B1508" s="51" t="s">
        <v>1295</v>
      </c>
      <c r="C1508" s="51" t="s">
        <v>143</v>
      </c>
      <c r="D1508" s="51" t="s">
        <v>3977</v>
      </c>
      <c r="E1508" s="50">
        <v>1185</v>
      </c>
      <c r="F1508" s="50">
        <v>1269</v>
      </c>
      <c r="G1508" s="50" t="s">
        <v>3955</v>
      </c>
      <c r="H1508" s="50"/>
      <c r="I1508" s="105"/>
      <c r="J1508" s="50"/>
      <c r="K1508" s="50" t="s">
        <v>224</v>
      </c>
      <c r="L1508" s="50" t="s">
        <v>2289</v>
      </c>
      <c r="M1508" s="50" t="s">
        <v>212</v>
      </c>
      <c r="N1508" s="50"/>
      <c r="O1508" s="50"/>
      <c r="P1508" s="50"/>
      <c r="Q1508" s="50"/>
      <c r="R1508" s="50"/>
      <c r="S1508" s="50" t="str">
        <f t="shared" si="138"/>
        <v/>
      </c>
      <c r="T1508" s="50" t="str">
        <f t="shared" si="139"/>
        <v/>
      </c>
      <c r="U1508" s="50" t="str">
        <f t="shared" si="140"/>
        <v/>
      </c>
      <c r="V1508" s="50" t="str">
        <f t="shared" si="141"/>
        <v/>
      </c>
      <c r="W1508" s="50"/>
      <c r="X1508" s="50"/>
      <c r="Y1508" s="50"/>
      <c r="Z1508" s="50"/>
      <c r="AA1508" s="50"/>
    </row>
    <row r="1509" spans="1:27" ht="25.5" customHeight="1">
      <c r="A1509" s="517" t="s">
        <v>2286</v>
      </c>
      <c r="B1509" s="51" t="s">
        <v>1295</v>
      </c>
      <c r="C1509" s="51" t="s">
        <v>143</v>
      </c>
      <c r="D1509" s="51" t="s">
        <v>5052</v>
      </c>
      <c r="E1509" s="50">
        <v>2111</v>
      </c>
      <c r="F1509" s="50">
        <v>2203</v>
      </c>
      <c r="G1509" s="50" t="s">
        <v>3955</v>
      </c>
      <c r="H1509" s="50"/>
      <c r="I1509" s="105"/>
      <c r="J1509" s="50"/>
      <c r="K1509" s="50" t="s">
        <v>224</v>
      </c>
      <c r="L1509" s="50" t="s">
        <v>2289</v>
      </c>
      <c r="M1509" s="50" t="s">
        <v>212</v>
      </c>
      <c r="N1509" s="50"/>
      <c r="O1509" s="50"/>
      <c r="P1509" s="50"/>
      <c r="Q1509" s="50"/>
      <c r="R1509" s="50"/>
      <c r="S1509" s="50" t="str">
        <f t="shared" si="138"/>
        <v/>
      </c>
      <c r="T1509" s="50" t="str">
        <f t="shared" si="139"/>
        <v/>
      </c>
      <c r="U1509" s="50" t="str">
        <f t="shared" si="140"/>
        <v/>
      </c>
      <c r="V1509" s="50" t="str">
        <f t="shared" si="141"/>
        <v/>
      </c>
      <c r="W1509" s="50"/>
      <c r="X1509" s="50"/>
      <c r="Y1509" s="50"/>
      <c r="Z1509" s="50"/>
      <c r="AA1509" s="50"/>
    </row>
    <row r="1510" spans="1:27" ht="25.5" customHeight="1">
      <c r="A1510" s="517" t="s">
        <v>2286</v>
      </c>
      <c r="B1510" s="51" t="s">
        <v>1299</v>
      </c>
      <c r="C1510" s="51" t="s">
        <v>143</v>
      </c>
      <c r="D1510" s="51" t="s">
        <v>5053</v>
      </c>
      <c r="E1510" s="50">
        <v>2486</v>
      </c>
      <c r="F1510" s="50">
        <v>2787</v>
      </c>
      <c r="G1510" s="50" t="s">
        <v>3404</v>
      </c>
      <c r="H1510" s="50">
        <v>2025</v>
      </c>
      <c r="I1510" s="132">
        <v>45910</v>
      </c>
      <c r="J1510" s="50" t="s">
        <v>3127</v>
      </c>
      <c r="K1510" s="50" t="s">
        <v>26</v>
      </c>
      <c r="L1510" s="50" t="s">
        <v>2289</v>
      </c>
      <c r="M1510" s="50" t="s">
        <v>212</v>
      </c>
      <c r="N1510" s="50" t="s">
        <v>5054</v>
      </c>
      <c r="O1510" s="60">
        <v>45917</v>
      </c>
      <c r="P1510" s="60">
        <v>45918</v>
      </c>
      <c r="Q1510" s="60">
        <v>45918</v>
      </c>
      <c r="R1510" s="60">
        <v>45918</v>
      </c>
      <c r="S1510" s="50">
        <f t="shared" si="138"/>
        <v>5</v>
      </c>
      <c r="T1510" s="50">
        <f t="shared" si="139"/>
        <v>1</v>
      </c>
      <c r="U1510" s="50">
        <f t="shared" si="140"/>
        <v>1</v>
      </c>
      <c r="V1510" s="50">
        <f t="shared" si="141"/>
        <v>1</v>
      </c>
      <c r="W1510" s="50" t="s">
        <v>150</v>
      </c>
      <c r="X1510" s="50" t="s">
        <v>4</v>
      </c>
      <c r="Y1510" s="50" t="s">
        <v>50</v>
      </c>
      <c r="Z1510" s="50" t="s">
        <v>3406</v>
      </c>
      <c r="AA1510" s="50"/>
    </row>
    <row r="1511" spans="1:27" s="110" customFormat="1" ht="25.5" customHeight="1">
      <c r="A1511" s="517" t="s">
        <v>2286</v>
      </c>
      <c r="B1511" s="51" t="s">
        <v>1299</v>
      </c>
      <c r="C1511" s="51" t="s">
        <v>143</v>
      </c>
      <c r="D1511" s="51" t="s">
        <v>5055</v>
      </c>
      <c r="E1511" s="50">
        <v>4182</v>
      </c>
      <c r="F1511" s="50">
        <v>4292</v>
      </c>
      <c r="G1511" s="50" t="s">
        <v>3404</v>
      </c>
      <c r="H1511" s="50">
        <v>2024</v>
      </c>
      <c r="I1511" s="132">
        <v>45568</v>
      </c>
      <c r="J1511" s="50"/>
      <c r="K1511" s="50" t="s">
        <v>26</v>
      </c>
      <c r="L1511" s="50" t="s">
        <v>2289</v>
      </c>
      <c r="M1511" s="50" t="s">
        <v>212</v>
      </c>
      <c r="N1511" s="50"/>
      <c r="O1511" s="50"/>
      <c r="P1511" s="50"/>
      <c r="Q1511" s="50"/>
      <c r="R1511" s="50"/>
      <c r="S1511" s="50" t="str">
        <f t="shared" si="138"/>
        <v/>
      </c>
      <c r="T1511" s="50" t="str">
        <f t="shared" si="139"/>
        <v/>
      </c>
      <c r="U1511" s="50" t="str">
        <f t="shared" si="140"/>
        <v/>
      </c>
      <c r="V1511" s="50" t="str">
        <f t="shared" si="141"/>
        <v/>
      </c>
      <c r="W1511" s="50"/>
      <c r="X1511" s="50" t="s">
        <v>4</v>
      </c>
      <c r="Y1511" s="50" t="s">
        <v>50</v>
      </c>
      <c r="Z1511" s="50" t="s">
        <v>3406</v>
      </c>
      <c r="AA1511" s="50"/>
    </row>
    <row r="1512" spans="1:27" ht="25.5" customHeight="1">
      <c r="A1512" s="517" t="s">
        <v>2286</v>
      </c>
      <c r="B1512" s="51" t="s">
        <v>1299</v>
      </c>
      <c r="C1512" s="51" t="s">
        <v>143</v>
      </c>
      <c r="D1512" s="51" t="s">
        <v>5056</v>
      </c>
      <c r="E1512" s="50">
        <v>3111</v>
      </c>
      <c r="F1512" s="50">
        <v>3463</v>
      </c>
      <c r="G1512" s="50" t="s">
        <v>3955</v>
      </c>
      <c r="H1512" s="50"/>
      <c r="I1512" s="105"/>
      <c r="J1512" s="50"/>
      <c r="K1512" s="50" t="s">
        <v>26</v>
      </c>
      <c r="L1512" s="50" t="s">
        <v>2289</v>
      </c>
      <c r="M1512" s="50" t="s">
        <v>212</v>
      </c>
      <c r="N1512" s="50"/>
      <c r="O1512" s="50"/>
      <c r="P1512" s="50"/>
      <c r="Q1512" s="50"/>
      <c r="R1512" s="50"/>
      <c r="S1512" s="50" t="str">
        <f t="shared" si="138"/>
        <v/>
      </c>
      <c r="T1512" s="50" t="str">
        <f t="shared" si="139"/>
        <v/>
      </c>
      <c r="U1512" s="50" t="str">
        <f t="shared" si="140"/>
        <v/>
      </c>
      <c r="V1512" s="50" t="str">
        <f t="shared" si="141"/>
        <v/>
      </c>
      <c r="W1512" s="50"/>
      <c r="X1512" s="50"/>
      <c r="Y1512" s="50"/>
      <c r="Z1512" s="50"/>
      <c r="AA1512" s="50"/>
    </row>
    <row r="1513" spans="1:27" ht="25.5" customHeight="1">
      <c r="A1513" s="517" t="s">
        <v>2286</v>
      </c>
      <c r="B1513" s="51" t="s">
        <v>1299</v>
      </c>
      <c r="C1513" s="51" t="s">
        <v>143</v>
      </c>
      <c r="D1513" s="51" t="s">
        <v>5057</v>
      </c>
      <c r="E1513" s="50">
        <v>4641</v>
      </c>
      <c r="F1513" s="50">
        <v>5869</v>
      </c>
      <c r="G1513" s="50" t="s">
        <v>3404</v>
      </c>
      <c r="H1513" s="50">
        <v>2024</v>
      </c>
      <c r="I1513" s="132">
        <v>45470</v>
      </c>
      <c r="J1513" s="50"/>
      <c r="K1513" s="50" t="s">
        <v>26</v>
      </c>
      <c r="L1513" s="50" t="s">
        <v>2289</v>
      </c>
      <c r="M1513" s="50" t="s">
        <v>212</v>
      </c>
      <c r="N1513" s="50"/>
      <c r="O1513" s="50"/>
      <c r="P1513" s="50"/>
      <c r="Q1513" s="50"/>
      <c r="R1513" s="50"/>
      <c r="S1513" s="50" t="str">
        <f t="shared" si="138"/>
        <v/>
      </c>
      <c r="T1513" s="50" t="str">
        <f t="shared" si="139"/>
        <v/>
      </c>
      <c r="U1513" s="50" t="str">
        <f t="shared" si="140"/>
        <v/>
      </c>
      <c r="V1513" s="50" t="str">
        <f t="shared" si="141"/>
        <v/>
      </c>
      <c r="W1513" s="50"/>
      <c r="X1513" s="50" t="s">
        <v>4</v>
      </c>
      <c r="Y1513" s="50" t="s">
        <v>50</v>
      </c>
      <c r="Z1513" s="50" t="s">
        <v>3406</v>
      </c>
      <c r="AA1513" s="50"/>
    </row>
    <row r="1514" spans="1:27" s="110" customFormat="1" ht="25.5" customHeight="1">
      <c r="A1514" s="517" t="s">
        <v>2286</v>
      </c>
      <c r="B1514" s="51" t="s">
        <v>1299</v>
      </c>
      <c r="C1514" s="51" t="s">
        <v>143</v>
      </c>
      <c r="D1514" s="51" t="s">
        <v>5058</v>
      </c>
      <c r="E1514" s="50">
        <v>4641</v>
      </c>
      <c r="F1514" s="50">
        <v>5250</v>
      </c>
      <c r="G1514" s="50" t="s">
        <v>3404</v>
      </c>
      <c r="H1514" s="50">
        <v>2024</v>
      </c>
      <c r="I1514" s="132">
        <v>45568</v>
      </c>
      <c r="J1514" s="50"/>
      <c r="K1514" s="50" t="s">
        <v>26</v>
      </c>
      <c r="L1514" s="50" t="s">
        <v>2289</v>
      </c>
      <c r="M1514" s="50" t="s">
        <v>212</v>
      </c>
      <c r="N1514" s="50"/>
      <c r="O1514" s="50"/>
      <c r="P1514" s="50"/>
      <c r="Q1514" s="50"/>
      <c r="R1514" s="50"/>
      <c r="S1514" s="50" t="str">
        <f t="shared" si="138"/>
        <v/>
      </c>
      <c r="T1514" s="50" t="str">
        <f t="shared" si="139"/>
        <v/>
      </c>
      <c r="U1514" s="50" t="str">
        <f t="shared" si="140"/>
        <v/>
      </c>
      <c r="V1514" s="50" t="str">
        <f t="shared" si="141"/>
        <v/>
      </c>
      <c r="W1514" s="50"/>
      <c r="X1514" s="50" t="s">
        <v>4</v>
      </c>
      <c r="Y1514" s="50" t="s">
        <v>50</v>
      </c>
      <c r="Z1514" s="50" t="s">
        <v>3406</v>
      </c>
      <c r="AA1514" s="50"/>
    </row>
    <row r="1515" spans="1:27" ht="25.5" customHeight="1">
      <c r="A1515" s="517" t="s">
        <v>2286</v>
      </c>
      <c r="B1515" s="51" t="s">
        <v>1299</v>
      </c>
      <c r="C1515" s="51" t="s">
        <v>143</v>
      </c>
      <c r="D1515" s="51" t="s">
        <v>5059</v>
      </c>
      <c r="E1515" s="50">
        <v>3527</v>
      </c>
      <c r="F1515" s="50">
        <v>3842</v>
      </c>
      <c r="G1515" s="50" t="s">
        <v>3404</v>
      </c>
      <c r="H1515" s="50">
        <v>2024</v>
      </c>
      <c r="I1515" s="132">
        <v>45496</v>
      </c>
      <c r="J1515" s="50"/>
      <c r="K1515" s="50" t="s">
        <v>26</v>
      </c>
      <c r="L1515" s="50" t="s">
        <v>2289</v>
      </c>
      <c r="M1515" s="50" t="s">
        <v>212</v>
      </c>
      <c r="N1515" s="50"/>
      <c r="O1515" s="50"/>
      <c r="P1515" s="50"/>
      <c r="Q1515" s="50"/>
      <c r="R1515" s="50"/>
      <c r="S1515" s="50" t="str">
        <f t="shared" si="138"/>
        <v/>
      </c>
      <c r="T1515" s="50" t="str">
        <f t="shared" si="139"/>
        <v/>
      </c>
      <c r="U1515" s="50" t="str">
        <f t="shared" si="140"/>
        <v/>
      </c>
      <c r="V1515" s="50" t="str">
        <f t="shared" si="141"/>
        <v/>
      </c>
      <c r="W1515" s="50"/>
      <c r="X1515" s="50" t="s">
        <v>4</v>
      </c>
      <c r="Y1515" s="50" t="s">
        <v>50</v>
      </c>
      <c r="Z1515" s="50" t="s">
        <v>3406</v>
      </c>
      <c r="AA1515" s="50"/>
    </row>
    <row r="1516" spans="1:27" ht="25.5" customHeight="1">
      <c r="A1516" s="517" t="s">
        <v>2286</v>
      </c>
      <c r="B1516" s="51" t="s">
        <v>1299</v>
      </c>
      <c r="C1516" s="51" t="s">
        <v>143</v>
      </c>
      <c r="D1516" s="51" t="s">
        <v>4683</v>
      </c>
      <c r="E1516" s="50">
        <v>2203</v>
      </c>
      <c r="F1516" s="50">
        <v>2511</v>
      </c>
      <c r="G1516" s="50" t="s">
        <v>3404</v>
      </c>
      <c r="H1516" s="50">
        <v>2025</v>
      </c>
      <c r="I1516" s="132">
        <v>45910</v>
      </c>
      <c r="J1516" s="50" t="s">
        <v>3127</v>
      </c>
      <c r="K1516" s="50" t="s">
        <v>26</v>
      </c>
      <c r="L1516" s="50" t="s">
        <v>2289</v>
      </c>
      <c r="M1516" s="50" t="s">
        <v>212</v>
      </c>
      <c r="N1516" s="50" t="s">
        <v>5060</v>
      </c>
      <c r="O1516" s="60">
        <v>45917</v>
      </c>
      <c r="P1516" s="60">
        <v>45918</v>
      </c>
      <c r="Q1516" s="60">
        <v>45918</v>
      </c>
      <c r="R1516" s="60">
        <v>45918</v>
      </c>
      <c r="S1516" s="50">
        <f t="shared" si="138"/>
        <v>5</v>
      </c>
      <c r="T1516" s="50">
        <f t="shared" si="139"/>
        <v>1</v>
      </c>
      <c r="U1516" s="50">
        <f t="shared" si="140"/>
        <v>1</v>
      </c>
      <c r="V1516" s="50">
        <f t="shared" si="141"/>
        <v>1</v>
      </c>
      <c r="W1516" s="50" t="s">
        <v>150</v>
      </c>
      <c r="X1516" s="50" t="s">
        <v>4</v>
      </c>
      <c r="Y1516" s="50" t="s">
        <v>50</v>
      </c>
      <c r="Z1516" s="50" t="s">
        <v>3406</v>
      </c>
      <c r="AA1516" s="50"/>
    </row>
    <row r="1517" spans="1:27" ht="25.5" customHeight="1">
      <c r="A1517" s="517" t="s">
        <v>2286</v>
      </c>
      <c r="B1517" s="51" t="s">
        <v>1299</v>
      </c>
      <c r="C1517" s="51" t="s">
        <v>143</v>
      </c>
      <c r="D1517" s="51" t="s">
        <v>5061</v>
      </c>
      <c r="E1517" s="50">
        <v>1006</v>
      </c>
      <c r="F1517" s="50">
        <v>1012</v>
      </c>
      <c r="G1517" s="50" t="s">
        <v>3955</v>
      </c>
      <c r="H1517" s="50"/>
      <c r="I1517" s="105"/>
      <c r="J1517" s="50"/>
      <c r="K1517" s="50" t="s">
        <v>26</v>
      </c>
      <c r="L1517" s="50" t="s">
        <v>2289</v>
      </c>
      <c r="M1517" s="50" t="s">
        <v>212</v>
      </c>
      <c r="N1517" s="50"/>
      <c r="O1517" s="50"/>
      <c r="P1517" s="50"/>
      <c r="Q1517" s="50"/>
      <c r="R1517" s="50"/>
      <c r="S1517" s="50" t="str">
        <f t="shared" si="138"/>
        <v/>
      </c>
      <c r="T1517" s="50" t="str">
        <f t="shared" si="139"/>
        <v/>
      </c>
      <c r="U1517" s="50" t="str">
        <f t="shared" si="140"/>
        <v/>
      </c>
      <c r="V1517" s="50" t="str">
        <f t="shared" si="141"/>
        <v/>
      </c>
      <c r="W1517" s="50"/>
      <c r="X1517" s="50"/>
      <c r="Y1517" s="50"/>
      <c r="Z1517" s="50"/>
      <c r="AA1517" s="50"/>
    </row>
    <row r="1518" spans="1:27" s="110" customFormat="1" ht="25.5" customHeight="1">
      <c r="A1518" s="517" t="s">
        <v>2286</v>
      </c>
      <c r="B1518" s="51" t="s">
        <v>1299</v>
      </c>
      <c r="C1518" s="51" t="s">
        <v>143</v>
      </c>
      <c r="D1518" s="51" t="s">
        <v>5062</v>
      </c>
      <c r="E1518" s="50">
        <v>776</v>
      </c>
      <c r="F1518" s="50">
        <v>846</v>
      </c>
      <c r="G1518" s="50" t="s">
        <v>3955</v>
      </c>
      <c r="H1518" s="50"/>
      <c r="I1518" s="105"/>
      <c r="J1518" s="50"/>
      <c r="K1518" s="50" t="s">
        <v>26</v>
      </c>
      <c r="L1518" s="50" t="s">
        <v>2289</v>
      </c>
      <c r="M1518" s="50" t="s">
        <v>212</v>
      </c>
      <c r="N1518" s="50"/>
      <c r="O1518" s="50"/>
      <c r="P1518" s="50"/>
      <c r="Q1518" s="50"/>
      <c r="R1518" s="50"/>
      <c r="S1518" s="50" t="str">
        <f t="shared" si="138"/>
        <v/>
      </c>
      <c r="T1518" s="50" t="str">
        <f t="shared" si="139"/>
        <v/>
      </c>
      <c r="U1518" s="50" t="str">
        <f t="shared" si="140"/>
        <v/>
      </c>
      <c r="V1518" s="50" t="str">
        <f t="shared" si="141"/>
        <v/>
      </c>
      <c r="W1518" s="50"/>
      <c r="X1518" s="50"/>
      <c r="Y1518" s="50"/>
      <c r="Z1518" s="50"/>
      <c r="AA1518" s="50"/>
    </row>
    <row r="1519" spans="1:27" ht="25.5" customHeight="1">
      <c r="A1519" s="517" t="s">
        <v>2286</v>
      </c>
      <c r="B1519" s="51" t="s">
        <v>1299</v>
      </c>
      <c r="C1519" s="51" t="s">
        <v>143</v>
      </c>
      <c r="D1519" s="51" t="s">
        <v>5063</v>
      </c>
      <c r="E1519" s="50">
        <v>1320</v>
      </c>
      <c r="F1519" s="50">
        <v>1425</v>
      </c>
      <c r="G1519" s="50" t="s">
        <v>3404</v>
      </c>
      <c r="H1519" s="50">
        <v>2024</v>
      </c>
      <c r="I1519" s="132">
        <v>45568</v>
      </c>
      <c r="J1519" s="50"/>
      <c r="K1519" s="50" t="s">
        <v>26</v>
      </c>
      <c r="L1519" s="50" t="s">
        <v>2289</v>
      </c>
      <c r="M1519" s="50" t="s">
        <v>212</v>
      </c>
      <c r="N1519" s="50"/>
      <c r="O1519" s="50"/>
      <c r="P1519" s="50"/>
      <c r="Q1519" s="50"/>
      <c r="R1519" s="50"/>
      <c r="S1519" s="50" t="str">
        <f t="shared" si="138"/>
        <v/>
      </c>
      <c r="T1519" s="50" t="str">
        <f t="shared" si="139"/>
        <v/>
      </c>
      <c r="U1519" s="50" t="str">
        <f t="shared" si="140"/>
        <v/>
      </c>
      <c r="V1519" s="50" t="str">
        <f t="shared" si="141"/>
        <v/>
      </c>
      <c r="W1519" s="50"/>
      <c r="X1519" s="50" t="s">
        <v>4</v>
      </c>
      <c r="Y1519" s="50" t="s">
        <v>50</v>
      </c>
      <c r="Z1519" s="50" t="s">
        <v>3406</v>
      </c>
      <c r="AA1519" s="50"/>
    </row>
    <row r="1520" spans="1:27" s="110" customFormat="1" ht="25.5" customHeight="1">
      <c r="A1520" s="517" t="s">
        <v>2286</v>
      </c>
      <c r="B1520" s="51" t="s">
        <v>1299</v>
      </c>
      <c r="C1520" s="51" t="s">
        <v>143</v>
      </c>
      <c r="D1520" s="51" t="s">
        <v>5064</v>
      </c>
      <c r="E1520" s="50">
        <v>5175</v>
      </c>
      <c r="F1520" s="50">
        <v>5512</v>
      </c>
      <c r="G1520" s="50" t="s">
        <v>3404</v>
      </c>
      <c r="H1520" s="50">
        <v>2024</v>
      </c>
      <c r="I1520" s="132">
        <v>45568</v>
      </c>
      <c r="J1520" s="50"/>
      <c r="K1520" s="50" t="s">
        <v>26</v>
      </c>
      <c r="L1520" s="50" t="s">
        <v>2289</v>
      </c>
      <c r="M1520" s="50" t="s">
        <v>212</v>
      </c>
      <c r="N1520" s="53"/>
      <c r="O1520" s="50"/>
      <c r="P1520" s="50"/>
      <c r="Q1520" s="50"/>
      <c r="R1520" s="50"/>
      <c r="S1520" s="50" t="str">
        <f t="shared" si="138"/>
        <v/>
      </c>
      <c r="T1520" s="50" t="str">
        <f t="shared" si="139"/>
        <v/>
      </c>
      <c r="U1520" s="50" t="str">
        <f t="shared" si="140"/>
        <v/>
      </c>
      <c r="V1520" s="50" t="str">
        <f t="shared" si="141"/>
        <v/>
      </c>
      <c r="W1520" s="50"/>
      <c r="X1520" s="50" t="s">
        <v>4</v>
      </c>
      <c r="Y1520" s="50" t="s">
        <v>50</v>
      </c>
      <c r="Z1520" s="50" t="s">
        <v>3406</v>
      </c>
      <c r="AA1520" s="50"/>
    </row>
    <row r="1521" spans="1:27" ht="25.5" customHeight="1">
      <c r="A1521" s="517" t="s">
        <v>2286</v>
      </c>
      <c r="B1521" s="51" t="s">
        <v>1299</v>
      </c>
      <c r="C1521" s="51" t="s">
        <v>143</v>
      </c>
      <c r="D1521" s="51" t="s">
        <v>5065</v>
      </c>
      <c r="E1521" s="50">
        <v>1581</v>
      </c>
      <c r="F1521" s="50">
        <v>1655</v>
      </c>
      <c r="G1521" s="50" t="s">
        <v>3404</v>
      </c>
      <c r="H1521" s="50">
        <v>2025</v>
      </c>
      <c r="I1521" s="132">
        <v>45910</v>
      </c>
      <c r="J1521" s="50" t="s">
        <v>3127</v>
      </c>
      <c r="K1521" s="50" t="s">
        <v>26</v>
      </c>
      <c r="L1521" s="50" t="s">
        <v>2289</v>
      </c>
      <c r="M1521" s="50" t="s">
        <v>212</v>
      </c>
      <c r="N1521" s="50" t="s">
        <v>5066</v>
      </c>
      <c r="O1521" s="60">
        <v>45917</v>
      </c>
      <c r="P1521" s="60">
        <v>45918</v>
      </c>
      <c r="Q1521" s="60">
        <v>45918</v>
      </c>
      <c r="R1521" s="60">
        <v>45918</v>
      </c>
      <c r="S1521" s="50">
        <f t="shared" si="138"/>
        <v>5</v>
      </c>
      <c r="T1521" s="50">
        <f t="shared" si="139"/>
        <v>1</v>
      </c>
      <c r="U1521" s="50">
        <f t="shared" si="140"/>
        <v>1</v>
      </c>
      <c r="V1521" s="50">
        <f t="shared" si="141"/>
        <v>1</v>
      </c>
      <c r="W1521" s="50" t="s">
        <v>150</v>
      </c>
      <c r="X1521" s="50" t="s">
        <v>4</v>
      </c>
      <c r="Y1521" s="50" t="s">
        <v>50</v>
      </c>
      <c r="Z1521" s="50" t="s">
        <v>3406</v>
      </c>
      <c r="AA1521" s="50"/>
    </row>
    <row r="1522" spans="1:27" ht="25.5" customHeight="1">
      <c r="A1522" s="517" t="s">
        <v>2286</v>
      </c>
      <c r="B1522" s="51" t="s">
        <v>1299</v>
      </c>
      <c r="C1522" s="51" t="s">
        <v>143</v>
      </c>
      <c r="D1522" s="51" t="s">
        <v>5067</v>
      </c>
      <c r="E1522" s="50">
        <v>2813</v>
      </c>
      <c r="F1522" s="50">
        <v>2925</v>
      </c>
      <c r="G1522" s="50" t="s">
        <v>3404</v>
      </c>
      <c r="H1522" s="50">
        <v>2025</v>
      </c>
      <c r="I1522" s="132">
        <v>45804</v>
      </c>
      <c r="J1522" s="50" t="s">
        <v>3689</v>
      </c>
      <c r="K1522" s="50" t="s">
        <v>26</v>
      </c>
      <c r="L1522" s="50" t="s">
        <v>2289</v>
      </c>
      <c r="M1522" s="50" t="s">
        <v>212</v>
      </c>
      <c r="N1522" s="50" t="s">
        <v>5068</v>
      </c>
      <c r="O1522" s="60">
        <v>45810</v>
      </c>
      <c r="P1522" s="60">
        <v>45811</v>
      </c>
      <c r="Q1522" s="60">
        <v>45812</v>
      </c>
      <c r="R1522" s="60">
        <v>45812</v>
      </c>
      <c r="S1522" s="50">
        <f t="shared" si="138"/>
        <v>4</v>
      </c>
      <c r="T1522" s="50">
        <f t="shared" si="139"/>
        <v>1</v>
      </c>
      <c r="U1522" s="50">
        <f t="shared" si="140"/>
        <v>1</v>
      </c>
      <c r="V1522" s="50">
        <f t="shared" si="141"/>
        <v>1</v>
      </c>
      <c r="W1522" s="50" t="s">
        <v>150</v>
      </c>
      <c r="X1522" s="50" t="s">
        <v>1078</v>
      </c>
      <c r="Y1522" s="50" t="s">
        <v>50</v>
      </c>
      <c r="Z1522" s="50" t="s">
        <v>3406</v>
      </c>
      <c r="AA1522" s="50"/>
    </row>
    <row r="1523" spans="1:27" ht="25.5" customHeight="1">
      <c r="A1523" s="517" t="s">
        <v>2286</v>
      </c>
      <c r="B1523" s="51" t="s">
        <v>1299</v>
      </c>
      <c r="C1523" s="51" t="s">
        <v>143</v>
      </c>
      <c r="D1523" s="51" t="s">
        <v>1245</v>
      </c>
      <c r="E1523" s="50">
        <v>1666</v>
      </c>
      <c r="F1523" s="50">
        <v>1924</v>
      </c>
      <c r="G1523" s="50" t="s">
        <v>3955</v>
      </c>
      <c r="H1523" s="50"/>
      <c r="I1523" s="105"/>
      <c r="J1523" s="50"/>
      <c r="K1523" s="50" t="s">
        <v>26</v>
      </c>
      <c r="L1523" s="50" t="s">
        <v>2289</v>
      </c>
      <c r="M1523" s="50" t="s">
        <v>212</v>
      </c>
      <c r="N1523" s="50"/>
      <c r="O1523" s="50"/>
      <c r="P1523" s="50"/>
      <c r="Q1523" s="50"/>
      <c r="R1523" s="50"/>
      <c r="S1523" s="50" t="str">
        <f t="shared" si="138"/>
        <v/>
      </c>
      <c r="T1523" s="50" t="str">
        <f t="shared" si="139"/>
        <v/>
      </c>
      <c r="U1523" s="50" t="str">
        <f t="shared" si="140"/>
        <v/>
      </c>
      <c r="V1523" s="50" t="str">
        <f t="shared" si="141"/>
        <v/>
      </c>
      <c r="W1523" s="50"/>
      <c r="X1523" s="50"/>
      <c r="Y1523" s="50"/>
      <c r="Z1523" s="50"/>
      <c r="AA1523" s="50"/>
    </row>
    <row r="1524" spans="1:27" ht="25.5" customHeight="1">
      <c r="A1524" s="517" t="s">
        <v>2286</v>
      </c>
      <c r="B1524" s="51" t="s">
        <v>1299</v>
      </c>
      <c r="C1524" s="51" t="s">
        <v>143</v>
      </c>
      <c r="D1524" s="51" t="s">
        <v>5069</v>
      </c>
      <c r="E1524" s="50">
        <v>3278</v>
      </c>
      <c r="F1524" s="50">
        <v>3425</v>
      </c>
      <c r="G1524" s="50" t="s">
        <v>3404</v>
      </c>
      <c r="H1524" s="50">
        <v>2024</v>
      </c>
      <c r="I1524" s="132">
        <v>45568</v>
      </c>
      <c r="J1524" s="50"/>
      <c r="K1524" s="50" t="s">
        <v>26</v>
      </c>
      <c r="L1524" s="50" t="s">
        <v>2289</v>
      </c>
      <c r="M1524" s="50" t="s">
        <v>212</v>
      </c>
      <c r="N1524" s="50"/>
      <c r="O1524" s="50"/>
      <c r="P1524" s="50"/>
      <c r="Q1524" s="50"/>
      <c r="R1524" s="50"/>
      <c r="S1524" s="50" t="str">
        <f t="shared" si="138"/>
        <v/>
      </c>
      <c r="T1524" s="50" t="str">
        <f t="shared" si="139"/>
        <v/>
      </c>
      <c r="U1524" s="50" t="str">
        <f t="shared" si="140"/>
        <v/>
      </c>
      <c r="V1524" s="50" t="str">
        <f t="shared" si="141"/>
        <v/>
      </c>
      <c r="W1524" s="50"/>
      <c r="X1524" s="50" t="s">
        <v>4</v>
      </c>
      <c r="Y1524" s="50" t="s">
        <v>50</v>
      </c>
      <c r="Z1524" s="50" t="s">
        <v>3406</v>
      </c>
      <c r="AA1524" s="50"/>
    </row>
    <row r="1525" spans="1:27" s="110" customFormat="1" ht="25.5" customHeight="1">
      <c r="A1525" s="517" t="s">
        <v>2286</v>
      </c>
      <c r="B1525" s="51" t="s">
        <v>1299</v>
      </c>
      <c r="C1525" s="51" t="s">
        <v>143</v>
      </c>
      <c r="D1525" s="51" t="s">
        <v>5070</v>
      </c>
      <c r="E1525" s="50">
        <v>1385</v>
      </c>
      <c r="F1525" s="50">
        <v>1466</v>
      </c>
      <c r="G1525" s="50" t="s">
        <v>3404</v>
      </c>
      <c r="H1525" s="50">
        <v>2024</v>
      </c>
      <c r="I1525" s="132">
        <v>45568</v>
      </c>
      <c r="J1525" s="50"/>
      <c r="K1525" s="50" t="s">
        <v>26</v>
      </c>
      <c r="L1525" s="50" t="s">
        <v>2289</v>
      </c>
      <c r="M1525" s="50" t="s">
        <v>212</v>
      </c>
      <c r="N1525" s="50"/>
      <c r="O1525" s="50"/>
      <c r="P1525" s="50"/>
      <c r="Q1525" s="50"/>
      <c r="R1525" s="50"/>
      <c r="S1525" s="50" t="str">
        <f t="shared" si="138"/>
        <v/>
      </c>
      <c r="T1525" s="50" t="str">
        <f t="shared" si="139"/>
        <v/>
      </c>
      <c r="U1525" s="50" t="str">
        <f t="shared" si="140"/>
        <v/>
      </c>
      <c r="V1525" s="50" t="str">
        <f t="shared" si="141"/>
        <v/>
      </c>
      <c r="W1525" s="50"/>
      <c r="X1525" s="50" t="s">
        <v>4</v>
      </c>
      <c r="Y1525" s="50" t="s">
        <v>50</v>
      </c>
      <c r="Z1525" s="50" t="s">
        <v>3406</v>
      </c>
      <c r="AA1525" s="50"/>
    </row>
    <row r="1526" spans="1:27" ht="25.5" customHeight="1">
      <c r="A1526" s="517" t="s">
        <v>2286</v>
      </c>
      <c r="B1526" s="51" t="s">
        <v>1299</v>
      </c>
      <c r="C1526" s="51" t="s">
        <v>143</v>
      </c>
      <c r="D1526" s="51" t="s">
        <v>4829</v>
      </c>
      <c r="E1526" s="50">
        <v>771</v>
      </c>
      <c r="F1526" s="50">
        <v>643</v>
      </c>
      <c r="G1526" s="50" t="s">
        <v>3955</v>
      </c>
      <c r="H1526" s="50"/>
      <c r="I1526" s="105"/>
      <c r="J1526" s="50"/>
      <c r="K1526" s="50" t="s">
        <v>26</v>
      </c>
      <c r="L1526" s="50" t="s">
        <v>2289</v>
      </c>
      <c r="M1526" s="50" t="s">
        <v>212</v>
      </c>
      <c r="N1526" s="50"/>
      <c r="O1526" s="50"/>
      <c r="P1526" s="50"/>
      <c r="Q1526" s="50"/>
      <c r="R1526" s="50"/>
      <c r="S1526" s="50" t="str">
        <f t="shared" si="138"/>
        <v/>
      </c>
      <c r="T1526" s="50" t="str">
        <f t="shared" si="139"/>
        <v/>
      </c>
      <c r="U1526" s="50" t="str">
        <f t="shared" si="140"/>
        <v/>
      </c>
      <c r="V1526" s="50" t="str">
        <f t="shared" si="141"/>
        <v/>
      </c>
      <c r="W1526" s="50"/>
      <c r="X1526" s="50"/>
      <c r="Y1526" s="50"/>
      <c r="Z1526" s="50"/>
      <c r="AA1526" s="50"/>
    </row>
    <row r="1527" spans="1:27" ht="25.5" customHeight="1">
      <c r="A1527" s="517" t="s">
        <v>2286</v>
      </c>
      <c r="B1527" s="51" t="s">
        <v>1299</v>
      </c>
      <c r="C1527" s="51" t="s">
        <v>143</v>
      </c>
      <c r="D1527" s="51" t="s">
        <v>1286</v>
      </c>
      <c r="E1527" s="50">
        <v>1969</v>
      </c>
      <c r="F1527" s="50">
        <v>2025</v>
      </c>
      <c r="G1527" s="50" t="s">
        <v>3955</v>
      </c>
      <c r="H1527" s="50"/>
      <c r="I1527" s="105"/>
      <c r="J1527" s="50"/>
      <c r="K1527" s="50" t="s">
        <v>26</v>
      </c>
      <c r="L1527" s="50" t="s">
        <v>2289</v>
      </c>
      <c r="M1527" s="50" t="s">
        <v>212</v>
      </c>
      <c r="N1527" s="50"/>
      <c r="O1527" s="50"/>
      <c r="P1527" s="50"/>
      <c r="Q1527" s="50"/>
      <c r="R1527" s="50"/>
      <c r="S1527" s="50" t="str">
        <f t="shared" si="138"/>
        <v/>
      </c>
      <c r="T1527" s="50" t="str">
        <f t="shared" ref="T1527:T1553" si="142">IF(
    OR(ISBLANK(O1527), ISBLANK(P1527)),
    "",
    MAX(1, IF(
        NETWORKDAYS(O1527, P1527) &lt;= 0,
        1,
        NETWORKDAYS(O1527, P1527) - IF(O1527 = P1527, 0, 1)
    ))
)</f>
        <v/>
      </c>
      <c r="U1527" s="50" t="str">
        <f t="shared" ref="U1527:U1553" si="143">IF(
    OR(ISBLANK(P1527), ISBLANK(Q1527)),
    "",
    MAX(1, IF(
        NETWORKDAYS(P1527, Q1527) &lt;= 0,
        1,
        NETWORKDAYS(P1527, Q1527) - IF(P1527 = Q1527, 0, 1)
    ))
)</f>
        <v/>
      </c>
      <c r="V1527" s="50" t="str">
        <f t="shared" si="141"/>
        <v/>
      </c>
      <c r="W1527" s="50"/>
      <c r="X1527" s="50"/>
      <c r="Y1527" s="50"/>
      <c r="Z1527" s="50"/>
      <c r="AA1527" s="50"/>
    </row>
    <row r="1528" spans="1:27" ht="25.5" customHeight="1">
      <c r="A1528" s="517" t="s">
        <v>2286</v>
      </c>
      <c r="B1528" s="51" t="s">
        <v>1299</v>
      </c>
      <c r="C1528" s="51" t="s">
        <v>143</v>
      </c>
      <c r="D1528" s="51" t="s">
        <v>1486</v>
      </c>
      <c r="E1528" s="50">
        <v>3003</v>
      </c>
      <c r="F1528" s="50">
        <v>3356</v>
      </c>
      <c r="G1528" s="50" t="s">
        <v>3955</v>
      </c>
      <c r="H1528" s="50"/>
      <c r="I1528" s="105"/>
      <c r="J1528" s="50"/>
      <c r="K1528" s="50" t="s">
        <v>26</v>
      </c>
      <c r="L1528" s="50" t="s">
        <v>2289</v>
      </c>
      <c r="M1528" s="50" t="s">
        <v>212</v>
      </c>
      <c r="N1528" s="50"/>
      <c r="O1528" s="50"/>
      <c r="P1528" s="50"/>
      <c r="Q1528" s="50"/>
      <c r="R1528" s="50"/>
      <c r="S1528" s="50" t="str">
        <f t="shared" si="138"/>
        <v/>
      </c>
      <c r="T1528" s="50" t="str">
        <f t="shared" si="142"/>
        <v/>
      </c>
      <c r="U1528" s="50" t="str">
        <f t="shared" si="143"/>
        <v/>
      </c>
      <c r="V1528" s="50" t="str">
        <f t="shared" si="141"/>
        <v/>
      </c>
      <c r="W1528" s="50"/>
      <c r="X1528" s="50"/>
      <c r="Y1528" s="50"/>
      <c r="Z1528" s="50"/>
      <c r="AA1528" s="50"/>
    </row>
    <row r="1529" spans="1:27" s="110" customFormat="1" ht="25.5" customHeight="1">
      <c r="A1529" s="517" t="s">
        <v>2286</v>
      </c>
      <c r="B1529" s="51" t="s">
        <v>1299</v>
      </c>
      <c r="C1529" s="51" t="s">
        <v>143</v>
      </c>
      <c r="D1529" s="51" t="s">
        <v>4946</v>
      </c>
      <c r="E1529" s="50">
        <v>3160</v>
      </c>
      <c r="F1529" s="50">
        <v>3690</v>
      </c>
      <c r="G1529" s="50" t="s">
        <v>3955</v>
      </c>
      <c r="H1529" s="50"/>
      <c r="I1529" s="105"/>
      <c r="J1529" s="50"/>
      <c r="K1529" s="50" t="s">
        <v>26</v>
      </c>
      <c r="L1529" s="50" t="s">
        <v>2289</v>
      </c>
      <c r="M1529" s="50" t="s">
        <v>212</v>
      </c>
      <c r="N1529" s="50"/>
      <c r="O1529" s="50"/>
      <c r="P1529" s="50"/>
      <c r="Q1529" s="50"/>
      <c r="R1529" s="50"/>
      <c r="S1529" s="50" t="str">
        <f t="shared" si="138"/>
        <v/>
      </c>
      <c r="T1529" s="50" t="str">
        <f t="shared" si="142"/>
        <v/>
      </c>
      <c r="U1529" s="50" t="str">
        <f t="shared" si="143"/>
        <v/>
      </c>
      <c r="V1529" s="50" t="str">
        <f t="shared" si="141"/>
        <v/>
      </c>
      <c r="W1529" s="50"/>
      <c r="X1529" s="50"/>
      <c r="Y1529" s="50"/>
      <c r="Z1529" s="50"/>
      <c r="AA1529" s="50"/>
    </row>
    <row r="1530" spans="1:27" ht="25.5" customHeight="1">
      <c r="A1530" s="517" t="s">
        <v>2286</v>
      </c>
      <c r="B1530" s="51" t="s">
        <v>1299</v>
      </c>
      <c r="C1530" s="51" t="s">
        <v>143</v>
      </c>
      <c r="D1530" s="51" t="s">
        <v>4830</v>
      </c>
      <c r="E1530" s="50">
        <v>3696</v>
      </c>
      <c r="F1530" s="50">
        <v>3814</v>
      </c>
      <c r="G1530" s="50" t="s">
        <v>3955</v>
      </c>
      <c r="H1530" s="50"/>
      <c r="I1530" s="105"/>
      <c r="J1530" s="50"/>
      <c r="K1530" s="50" t="s">
        <v>26</v>
      </c>
      <c r="L1530" s="50" t="s">
        <v>2289</v>
      </c>
      <c r="M1530" s="50" t="s">
        <v>212</v>
      </c>
      <c r="N1530" s="50"/>
      <c r="O1530" s="50"/>
      <c r="P1530" s="50"/>
      <c r="Q1530" s="50"/>
      <c r="R1530" s="50"/>
      <c r="S1530" s="50" t="str">
        <f t="shared" si="138"/>
        <v/>
      </c>
      <c r="T1530" s="50" t="str">
        <f t="shared" si="142"/>
        <v/>
      </c>
      <c r="U1530" s="50" t="str">
        <f t="shared" si="143"/>
        <v/>
      </c>
      <c r="V1530" s="50" t="str">
        <f t="shared" si="141"/>
        <v/>
      </c>
      <c r="W1530" s="50"/>
      <c r="X1530" s="50"/>
      <c r="Y1530" s="50"/>
      <c r="Z1530" s="50"/>
      <c r="AA1530" s="50"/>
    </row>
    <row r="1531" spans="1:27" ht="25.5" customHeight="1">
      <c r="A1531" s="517" t="s">
        <v>2286</v>
      </c>
      <c r="B1531" s="51" t="s">
        <v>1299</v>
      </c>
      <c r="C1531" s="51" t="s">
        <v>143</v>
      </c>
      <c r="D1531" s="51" t="s">
        <v>5071</v>
      </c>
      <c r="E1531" s="50">
        <v>1932</v>
      </c>
      <c r="F1531" s="50">
        <v>2075</v>
      </c>
      <c r="G1531" s="50" t="s">
        <v>3955</v>
      </c>
      <c r="H1531" s="50"/>
      <c r="I1531" s="105"/>
      <c r="J1531" s="50"/>
      <c r="K1531" s="50" t="s">
        <v>26</v>
      </c>
      <c r="L1531" s="50" t="s">
        <v>2289</v>
      </c>
      <c r="M1531" s="50" t="s">
        <v>212</v>
      </c>
      <c r="N1531" s="50"/>
      <c r="O1531" s="50"/>
      <c r="P1531" s="50"/>
      <c r="Q1531" s="50"/>
      <c r="R1531" s="50"/>
      <c r="S1531" s="50" t="str">
        <f t="shared" si="138"/>
        <v/>
      </c>
      <c r="T1531" s="50" t="str">
        <f t="shared" si="142"/>
        <v/>
      </c>
      <c r="U1531" s="50" t="str">
        <f t="shared" si="143"/>
        <v/>
      </c>
      <c r="V1531" s="50" t="str">
        <f t="shared" si="141"/>
        <v/>
      </c>
      <c r="W1531" s="50"/>
      <c r="X1531" s="50"/>
      <c r="Y1531" s="50"/>
      <c r="Z1531" s="50"/>
      <c r="AA1531" s="50"/>
    </row>
    <row r="1532" spans="1:27" ht="25.5" customHeight="1">
      <c r="A1532" s="517" t="s">
        <v>2286</v>
      </c>
      <c r="B1532" s="51" t="s">
        <v>1299</v>
      </c>
      <c r="C1532" s="51" t="s">
        <v>143</v>
      </c>
      <c r="D1532" s="51" t="s">
        <v>5072</v>
      </c>
      <c r="E1532" s="50">
        <v>881</v>
      </c>
      <c r="F1532" s="50">
        <v>1014</v>
      </c>
      <c r="G1532" s="50" t="s">
        <v>3404</v>
      </c>
      <c r="H1532" s="50">
        <v>2025</v>
      </c>
      <c r="I1532" s="132">
        <v>45910</v>
      </c>
      <c r="J1532" s="50" t="s">
        <v>3127</v>
      </c>
      <c r="K1532" s="50" t="s">
        <v>26</v>
      </c>
      <c r="L1532" s="50" t="s">
        <v>2289</v>
      </c>
      <c r="M1532" s="50" t="s">
        <v>212</v>
      </c>
      <c r="N1532" s="50" t="s">
        <v>5073</v>
      </c>
      <c r="O1532" s="60">
        <v>45917</v>
      </c>
      <c r="P1532" s="60">
        <v>45918</v>
      </c>
      <c r="Q1532" s="60">
        <v>45918</v>
      </c>
      <c r="R1532" s="60">
        <v>45918</v>
      </c>
      <c r="S1532" s="50">
        <f t="shared" si="138"/>
        <v>5</v>
      </c>
      <c r="T1532" s="50">
        <f t="shared" si="142"/>
        <v>1</v>
      </c>
      <c r="U1532" s="50">
        <f t="shared" si="143"/>
        <v>1</v>
      </c>
      <c r="V1532" s="50">
        <f t="shared" si="141"/>
        <v>1</v>
      </c>
      <c r="W1532" s="50" t="s">
        <v>150</v>
      </c>
      <c r="X1532" s="50" t="s">
        <v>4</v>
      </c>
      <c r="Y1532" s="50" t="s">
        <v>50</v>
      </c>
      <c r="Z1532" s="50" t="s">
        <v>3406</v>
      </c>
      <c r="AA1532" s="50"/>
    </row>
    <row r="1533" spans="1:27" ht="25.5" customHeight="1">
      <c r="A1533" s="517" t="s">
        <v>2286</v>
      </c>
      <c r="B1533" s="51" t="s">
        <v>1299</v>
      </c>
      <c r="C1533" s="51" t="s">
        <v>143</v>
      </c>
      <c r="D1533" s="51" t="s">
        <v>1300</v>
      </c>
      <c r="E1533" s="50">
        <v>1544</v>
      </c>
      <c r="F1533" s="50">
        <v>1959</v>
      </c>
      <c r="G1533" s="50" t="s">
        <v>3955</v>
      </c>
      <c r="H1533" s="50"/>
      <c r="I1533" s="105"/>
      <c r="J1533" s="50"/>
      <c r="K1533" s="50" t="s">
        <v>26</v>
      </c>
      <c r="L1533" s="50" t="s">
        <v>2289</v>
      </c>
      <c r="M1533" s="50" t="s">
        <v>212</v>
      </c>
      <c r="N1533" s="50"/>
      <c r="O1533" s="50"/>
      <c r="P1533" s="50"/>
      <c r="Q1533" s="50"/>
      <c r="R1533" s="50"/>
      <c r="S1533" s="50" t="str">
        <f t="shared" si="138"/>
        <v/>
      </c>
      <c r="T1533" s="50" t="str">
        <f t="shared" si="142"/>
        <v/>
      </c>
      <c r="U1533" s="50" t="str">
        <f t="shared" si="143"/>
        <v/>
      </c>
      <c r="V1533" s="50" t="str">
        <f t="shared" si="141"/>
        <v/>
      </c>
      <c r="W1533" s="50"/>
      <c r="X1533" s="50"/>
      <c r="Y1533" s="50"/>
      <c r="Z1533" s="50"/>
      <c r="AA1533" s="50"/>
    </row>
    <row r="1534" spans="1:27" ht="25.5" customHeight="1">
      <c r="A1534" s="517" t="s">
        <v>2286</v>
      </c>
      <c r="B1534" s="51" t="s">
        <v>1299</v>
      </c>
      <c r="C1534" s="51" t="s">
        <v>143</v>
      </c>
      <c r="D1534" s="51" t="s">
        <v>1424</v>
      </c>
      <c r="E1534" s="50">
        <v>2570</v>
      </c>
      <c r="F1534" s="50">
        <v>2733</v>
      </c>
      <c r="G1534" s="50" t="s">
        <v>3404</v>
      </c>
      <c r="H1534" s="50">
        <v>2024</v>
      </c>
      <c r="I1534" s="132">
        <v>45496</v>
      </c>
      <c r="J1534" s="50"/>
      <c r="K1534" s="50" t="s">
        <v>26</v>
      </c>
      <c r="L1534" s="50" t="s">
        <v>2289</v>
      </c>
      <c r="M1534" s="50" t="s">
        <v>212</v>
      </c>
      <c r="N1534" s="50"/>
      <c r="O1534" s="50"/>
      <c r="P1534" s="50"/>
      <c r="Q1534" s="50"/>
      <c r="R1534" s="50"/>
      <c r="S1534" s="50" t="str">
        <f t="shared" si="138"/>
        <v/>
      </c>
      <c r="T1534" s="50" t="str">
        <f t="shared" si="142"/>
        <v/>
      </c>
      <c r="U1534" s="50" t="str">
        <f t="shared" si="143"/>
        <v/>
      </c>
      <c r="V1534" s="50" t="str">
        <f t="shared" si="141"/>
        <v/>
      </c>
      <c r="W1534" s="50"/>
      <c r="X1534" s="50" t="s">
        <v>4</v>
      </c>
      <c r="Y1534" s="50" t="s">
        <v>50</v>
      </c>
      <c r="Z1534" s="50" t="s">
        <v>3406</v>
      </c>
      <c r="AA1534" s="50"/>
    </row>
    <row r="1535" spans="1:27" ht="25.5" customHeight="1">
      <c r="A1535" s="517" t="s">
        <v>2286</v>
      </c>
      <c r="B1535" s="51" t="s">
        <v>1299</v>
      </c>
      <c r="C1535" s="51" t="s">
        <v>143</v>
      </c>
      <c r="D1535" s="51" t="s">
        <v>5074</v>
      </c>
      <c r="E1535" s="50">
        <v>770</v>
      </c>
      <c r="F1535" s="50">
        <v>683</v>
      </c>
      <c r="G1535" s="50" t="s">
        <v>3404</v>
      </c>
      <c r="H1535" s="50">
        <v>2025</v>
      </c>
      <c r="I1535" s="132">
        <v>45910</v>
      </c>
      <c r="J1535" s="50" t="s">
        <v>3127</v>
      </c>
      <c r="K1535" s="50" t="s">
        <v>26</v>
      </c>
      <c r="L1535" s="50" t="s">
        <v>2289</v>
      </c>
      <c r="M1535" s="50" t="s">
        <v>212</v>
      </c>
      <c r="N1535" s="50" t="s">
        <v>5075</v>
      </c>
      <c r="O1535" s="60">
        <v>45917</v>
      </c>
      <c r="P1535" s="60">
        <v>45918</v>
      </c>
      <c r="Q1535" s="60">
        <v>45918</v>
      </c>
      <c r="R1535" s="60">
        <v>45918</v>
      </c>
      <c r="S1535" s="50">
        <f t="shared" si="138"/>
        <v>5</v>
      </c>
      <c r="T1535" s="50">
        <f t="shared" si="142"/>
        <v>1</v>
      </c>
      <c r="U1535" s="50">
        <f t="shared" si="143"/>
        <v>1</v>
      </c>
      <c r="V1535" s="50">
        <f t="shared" si="141"/>
        <v>1</v>
      </c>
      <c r="W1535" s="50" t="s">
        <v>150</v>
      </c>
      <c r="X1535" s="50" t="s">
        <v>1078</v>
      </c>
      <c r="Y1535" s="50" t="s">
        <v>50</v>
      </c>
      <c r="Z1535" s="50" t="s">
        <v>3406</v>
      </c>
      <c r="AA1535" s="50"/>
    </row>
    <row r="1536" spans="1:27" ht="25.5" customHeight="1">
      <c r="A1536" s="517" t="s">
        <v>2286</v>
      </c>
      <c r="B1536" s="51" t="s">
        <v>914</v>
      </c>
      <c r="C1536" s="51" t="s">
        <v>143</v>
      </c>
      <c r="D1536" s="51" t="s">
        <v>4425</v>
      </c>
      <c r="E1536" s="50">
        <v>4205</v>
      </c>
      <c r="F1536" s="50">
        <v>4631</v>
      </c>
      <c r="G1536" s="50" t="s">
        <v>3404</v>
      </c>
      <c r="H1536" s="50">
        <v>2025</v>
      </c>
      <c r="I1536" s="132">
        <v>45951</v>
      </c>
      <c r="J1536" s="50" t="s">
        <v>3129</v>
      </c>
      <c r="K1536" s="50" t="s">
        <v>30</v>
      </c>
      <c r="L1536" s="50" t="s">
        <v>2289</v>
      </c>
      <c r="M1536" s="50" t="s">
        <v>212</v>
      </c>
      <c r="N1536" s="50" t="s">
        <v>5076</v>
      </c>
      <c r="O1536" s="60">
        <v>45951</v>
      </c>
      <c r="P1536" s="60">
        <v>45954</v>
      </c>
      <c r="Q1536" s="60">
        <v>45960</v>
      </c>
      <c r="R1536" s="60">
        <v>45964</v>
      </c>
      <c r="S1536" s="50">
        <f t="shared" si="138"/>
        <v>1</v>
      </c>
      <c r="T1536" s="50">
        <f t="shared" si="142"/>
        <v>3</v>
      </c>
      <c r="U1536" s="50">
        <f t="shared" si="143"/>
        <v>4</v>
      </c>
      <c r="V1536" s="50">
        <f t="shared" si="141"/>
        <v>2</v>
      </c>
      <c r="W1536" s="50" t="s">
        <v>150</v>
      </c>
      <c r="X1536" s="50" t="s">
        <v>1078</v>
      </c>
      <c r="Y1536" s="50" t="s">
        <v>50</v>
      </c>
      <c r="Z1536" s="50" t="s">
        <v>3406</v>
      </c>
      <c r="AA1536" s="50"/>
    </row>
    <row r="1537" spans="1:27" ht="25.5" customHeight="1">
      <c r="A1537" s="517" t="s">
        <v>2286</v>
      </c>
      <c r="B1537" s="51" t="s">
        <v>914</v>
      </c>
      <c r="C1537" s="51" t="s">
        <v>143</v>
      </c>
      <c r="D1537" s="51" t="s">
        <v>5077</v>
      </c>
      <c r="E1537" s="50">
        <v>2778</v>
      </c>
      <c r="F1537" s="50">
        <v>2806</v>
      </c>
      <c r="G1537" s="50" t="s">
        <v>3404</v>
      </c>
      <c r="H1537" s="50">
        <v>2024</v>
      </c>
      <c r="I1537" s="132">
        <v>45582</v>
      </c>
      <c r="J1537" s="50"/>
      <c r="K1537" s="50" t="s">
        <v>30</v>
      </c>
      <c r="L1537" s="50" t="s">
        <v>2289</v>
      </c>
      <c r="M1537" s="50" t="s">
        <v>212</v>
      </c>
      <c r="N1537" s="50"/>
      <c r="O1537" s="50"/>
      <c r="P1537" s="50"/>
      <c r="Q1537" s="50"/>
      <c r="R1537" s="50"/>
      <c r="S1537" s="50" t="str">
        <f t="shared" si="138"/>
        <v/>
      </c>
      <c r="T1537" s="50" t="str">
        <f t="shared" si="142"/>
        <v/>
      </c>
      <c r="U1537" s="50" t="str">
        <f t="shared" si="143"/>
        <v/>
      </c>
      <c r="V1537" s="50" t="str">
        <f t="shared" si="141"/>
        <v/>
      </c>
      <c r="W1537" s="50"/>
      <c r="X1537" s="50" t="s">
        <v>4</v>
      </c>
      <c r="Y1537" s="50" t="s">
        <v>50</v>
      </c>
      <c r="Z1537" s="50" t="s">
        <v>3406</v>
      </c>
      <c r="AA1537" s="50"/>
    </row>
    <row r="1538" spans="1:27" ht="25.5" customHeight="1">
      <c r="A1538" s="517" t="s">
        <v>2286</v>
      </c>
      <c r="B1538" s="51" t="s">
        <v>914</v>
      </c>
      <c r="C1538" s="51" t="s">
        <v>143</v>
      </c>
      <c r="D1538" s="51" t="s">
        <v>5078</v>
      </c>
      <c r="E1538" s="50">
        <v>5046</v>
      </c>
      <c r="F1538" s="50">
        <v>5082</v>
      </c>
      <c r="G1538" s="50" t="s">
        <v>3404</v>
      </c>
      <c r="H1538" s="50">
        <v>2024</v>
      </c>
      <c r="I1538" s="132">
        <v>45329</v>
      </c>
      <c r="J1538" s="50"/>
      <c r="K1538" s="50" t="s">
        <v>30</v>
      </c>
      <c r="L1538" s="50" t="s">
        <v>2289</v>
      </c>
      <c r="M1538" s="50" t="s">
        <v>212</v>
      </c>
      <c r="N1538" s="50"/>
      <c r="O1538" s="50"/>
      <c r="P1538" s="50"/>
      <c r="Q1538" s="50"/>
      <c r="R1538" s="50"/>
      <c r="S1538" s="50" t="str">
        <f t="shared" si="138"/>
        <v/>
      </c>
      <c r="T1538" s="50" t="str">
        <f t="shared" si="142"/>
        <v/>
      </c>
      <c r="U1538" s="50" t="str">
        <f t="shared" si="143"/>
        <v/>
      </c>
      <c r="V1538" s="50" t="str">
        <f t="shared" si="141"/>
        <v/>
      </c>
      <c r="W1538" s="50"/>
      <c r="X1538" s="50" t="s">
        <v>4</v>
      </c>
      <c r="Y1538" s="50" t="s">
        <v>50</v>
      </c>
      <c r="Z1538" s="50" t="s">
        <v>3406</v>
      </c>
      <c r="AA1538" s="50"/>
    </row>
    <row r="1539" spans="1:27" ht="25.5" customHeight="1">
      <c r="A1539" s="517" t="s">
        <v>2286</v>
      </c>
      <c r="B1539" s="51" t="s">
        <v>914</v>
      </c>
      <c r="C1539" s="51" t="s">
        <v>143</v>
      </c>
      <c r="D1539" s="51" t="s">
        <v>5079</v>
      </c>
      <c r="E1539" s="50">
        <v>2875</v>
      </c>
      <c r="F1539" s="50">
        <v>3152</v>
      </c>
      <c r="G1539" s="50" t="s">
        <v>3404</v>
      </c>
      <c r="H1539" s="50">
        <v>2025</v>
      </c>
      <c r="I1539" s="132">
        <v>45951</v>
      </c>
      <c r="J1539" s="50" t="s">
        <v>3129</v>
      </c>
      <c r="K1539" s="50" t="s">
        <v>30</v>
      </c>
      <c r="L1539" s="50" t="s">
        <v>2289</v>
      </c>
      <c r="M1539" s="50" t="s">
        <v>212</v>
      </c>
      <c r="N1539" s="50" t="s">
        <v>5080</v>
      </c>
      <c r="O1539" s="60">
        <v>45951</v>
      </c>
      <c r="P1539" s="60">
        <v>45954</v>
      </c>
      <c r="Q1539" s="60">
        <v>45960</v>
      </c>
      <c r="R1539" s="60">
        <v>45964</v>
      </c>
      <c r="S1539" s="50">
        <f t="shared" si="138"/>
        <v>1</v>
      </c>
      <c r="T1539" s="50">
        <f t="shared" si="142"/>
        <v>3</v>
      </c>
      <c r="U1539" s="50">
        <f t="shared" si="143"/>
        <v>4</v>
      </c>
      <c r="V1539" s="50">
        <f t="shared" si="141"/>
        <v>2</v>
      </c>
      <c r="W1539" s="50" t="s">
        <v>150</v>
      </c>
      <c r="X1539" s="50" t="s">
        <v>1078</v>
      </c>
      <c r="Y1539" s="50" t="s">
        <v>50</v>
      </c>
      <c r="Z1539" s="50" t="s">
        <v>3406</v>
      </c>
      <c r="AA1539" s="50"/>
    </row>
    <row r="1540" spans="1:27" ht="25.5" customHeight="1">
      <c r="A1540" s="517" t="s">
        <v>2286</v>
      </c>
      <c r="B1540" s="51" t="s">
        <v>914</v>
      </c>
      <c r="C1540" s="51" t="s">
        <v>143</v>
      </c>
      <c r="D1540" s="51" t="s">
        <v>2226</v>
      </c>
      <c r="E1540" s="50">
        <v>3550</v>
      </c>
      <c r="F1540" s="50">
        <v>3744</v>
      </c>
      <c r="G1540" s="50" t="s">
        <v>3404</v>
      </c>
      <c r="H1540" s="50">
        <v>2025</v>
      </c>
      <c r="I1540" s="132">
        <v>45798</v>
      </c>
      <c r="J1540" s="50" t="s">
        <v>3689</v>
      </c>
      <c r="K1540" s="50" t="s">
        <v>30</v>
      </c>
      <c r="L1540" s="50" t="s">
        <v>28</v>
      </c>
      <c r="M1540" s="50" t="s">
        <v>212</v>
      </c>
      <c r="N1540" s="50" t="s">
        <v>5081</v>
      </c>
      <c r="O1540" s="60">
        <v>45799</v>
      </c>
      <c r="P1540" s="60">
        <v>45805</v>
      </c>
      <c r="Q1540" s="60">
        <v>45805</v>
      </c>
      <c r="R1540" s="60">
        <v>45807</v>
      </c>
      <c r="S1540" s="50">
        <f t="shared" si="138"/>
        <v>1</v>
      </c>
      <c r="T1540" s="50">
        <f t="shared" si="142"/>
        <v>4</v>
      </c>
      <c r="U1540" s="50">
        <f t="shared" si="143"/>
        <v>1</v>
      </c>
      <c r="V1540" s="50">
        <f t="shared" si="141"/>
        <v>2</v>
      </c>
      <c r="W1540" s="50" t="s">
        <v>150</v>
      </c>
      <c r="X1540" s="50" t="s">
        <v>1078</v>
      </c>
      <c r="Y1540" s="50" t="s">
        <v>50</v>
      </c>
      <c r="Z1540" s="50" t="s">
        <v>3406</v>
      </c>
      <c r="AA1540" s="50"/>
    </row>
    <row r="1541" spans="1:27" ht="25.5" customHeight="1">
      <c r="A1541" s="517" t="s">
        <v>2286</v>
      </c>
      <c r="B1541" s="51" t="s">
        <v>914</v>
      </c>
      <c r="C1541" s="51" t="s">
        <v>143</v>
      </c>
      <c r="D1541" s="51" t="s">
        <v>5082</v>
      </c>
      <c r="E1541" s="50">
        <v>4971</v>
      </c>
      <c r="F1541" s="50">
        <v>5383</v>
      </c>
      <c r="G1541" s="50" t="s">
        <v>3404</v>
      </c>
      <c r="H1541" s="50">
        <v>2024</v>
      </c>
      <c r="I1541" s="132">
        <v>45492</v>
      </c>
      <c r="J1541" s="50"/>
      <c r="K1541" s="50" t="s">
        <v>30</v>
      </c>
      <c r="L1541" s="50" t="s">
        <v>2289</v>
      </c>
      <c r="M1541" s="50" t="s">
        <v>212</v>
      </c>
      <c r="N1541" s="50"/>
      <c r="O1541" s="50"/>
      <c r="P1541" s="50"/>
      <c r="Q1541" s="50"/>
      <c r="R1541" s="50"/>
      <c r="S1541" s="50" t="str">
        <f t="shared" si="138"/>
        <v/>
      </c>
      <c r="T1541" s="50" t="str">
        <f t="shared" si="142"/>
        <v/>
      </c>
      <c r="U1541" s="50" t="str">
        <f t="shared" si="143"/>
        <v/>
      </c>
      <c r="V1541" s="50" t="str">
        <f t="shared" si="141"/>
        <v/>
      </c>
      <c r="W1541" s="50"/>
      <c r="X1541" s="50" t="s">
        <v>4</v>
      </c>
      <c r="Y1541" s="50" t="s">
        <v>50</v>
      </c>
      <c r="Z1541" s="50" t="s">
        <v>3406</v>
      </c>
      <c r="AA1541" s="50"/>
    </row>
    <row r="1542" spans="1:27" ht="25.5" customHeight="1">
      <c r="A1542" s="517" t="s">
        <v>2286</v>
      </c>
      <c r="B1542" s="51" t="s">
        <v>914</v>
      </c>
      <c r="C1542" s="51" t="s">
        <v>143</v>
      </c>
      <c r="D1542" s="51" t="s">
        <v>5083</v>
      </c>
      <c r="E1542" s="50">
        <v>2904</v>
      </c>
      <c r="F1542" s="50">
        <v>2937</v>
      </c>
      <c r="G1542" s="50" t="s">
        <v>3404</v>
      </c>
      <c r="H1542" s="50">
        <v>2024</v>
      </c>
      <c r="I1542" s="132">
        <v>45582</v>
      </c>
      <c r="J1542" s="50"/>
      <c r="K1542" s="50" t="s">
        <v>30</v>
      </c>
      <c r="L1542" s="50" t="s">
        <v>2289</v>
      </c>
      <c r="M1542" s="50" t="s">
        <v>212</v>
      </c>
      <c r="N1542" s="50"/>
      <c r="O1542" s="50"/>
      <c r="P1542" s="50"/>
      <c r="Q1542" s="50"/>
      <c r="R1542" s="50"/>
      <c r="S1542" s="50" t="str">
        <f t="shared" si="138"/>
        <v/>
      </c>
      <c r="T1542" s="50" t="str">
        <f t="shared" si="142"/>
        <v/>
      </c>
      <c r="U1542" s="50" t="str">
        <f t="shared" si="143"/>
        <v/>
      </c>
      <c r="V1542" s="50" t="str">
        <f t="shared" si="141"/>
        <v/>
      </c>
      <c r="W1542" s="50"/>
      <c r="X1542" s="50" t="s">
        <v>4</v>
      </c>
      <c r="Y1542" s="50" t="s">
        <v>50</v>
      </c>
      <c r="Z1542" s="50" t="s">
        <v>3406</v>
      </c>
      <c r="AA1542" s="50"/>
    </row>
    <row r="1543" spans="1:27" ht="25.5" customHeight="1">
      <c r="A1543" s="517" t="s">
        <v>2286</v>
      </c>
      <c r="B1543" s="51" t="s">
        <v>914</v>
      </c>
      <c r="C1543" s="51" t="s">
        <v>143</v>
      </c>
      <c r="D1543" s="51" t="s">
        <v>5084</v>
      </c>
      <c r="E1543" s="50">
        <v>7862</v>
      </c>
      <c r="F1543" s="50">
        <v>8063</v>
      </c>
      <c r="G1543" s="50" t="s">
        <v>3404</v>
      </c>
      <c r="H1543" s="50">
        <v>2024</v>
      </c>
      <c r="I1543" s="132">
        <v>45400</v>
      </c>
      <c r="J1543" s="50"/>
      <c r="K1543" s="50" t="s">
        <v>30</v>
      </c>
      <c r="L1543" s="50" t="s">
        <v>2289</v>
      </c>
      <c r="M1543" s="50" t="s">
        <v>212</v>
      </c>
      <c r="N1543" s="50"/>
      <c r="O1543" s="50"/>
      <c r="P1543" s="50"/>
      <c r="Q1543" s="50"/>
      <c r="R1543" s="50"/>
      <c r="S1543" s="50" t="str">
        <f t="shared" ref="S1543:S1553" si="144">IF(
    OR(ISBLANK(I1543), ISBLANK(O1543)),
    "",
    MAX(1, IF(
        NETWORKDAYS(I1543, O1543) &lt;= 0,
        1,
        NETWORKDAYS(I1543, O1543) - IF(I1543 = O1543, 0, 1)
    ))
)</f>
        <v/>
      </c>
      <c r="T1543" s="50" t="str">
        <f t="shared" si="142"/>
        <v/>
      </c>
      <c r="U1543" s="50" t="str">
        <f t="shared" si="143"/>
        <v/>
      </c>
      <c r="V1543" s="50" t="str">
        <f t="shared" si="141"/>
        <v/>
      </c>
      <c r="W1543" s="50"/>
      <c r="X1543" s="50"/>
      <c r="Y1543" s="50"/>
      <c r="Z1543" s="50" t="s">
        <v>3406</v>
      </c>
      <c r="AA1543" s="50"/>
    </row>
    <row r="1544" spans="1:27" ht="25.5" customHeight="1">
      <c r="A1544" s="517" t="s">
        <v>2286</v>
      </c>
      <c r="B1544" s="51" t="s">
        <v>914</v>
      </c>
      <c r="C1544" s="51" t="s">
        <v>143</v>
      </c>
      <c r="D1544" s="51" t="s">
        <v>1056</v>
      </c>
      <c r="E1544" s="50">
        <v>1955</v>
      </c>
      <c r="F1544" s="50">
        <v>1971</v>
      </c>
      <c r="G1544" s="50" t="s">
        <v>3404</v>
      </c>
      <c r="H1544" s="50">
        <v>2025</v>
      </c>
      <c r="I1544" s="132">
        <v>45868</v>
      </c>
      <c r="J1544" s="50" t="s">
        <v>3126</v>
      </c>
      <c r="K1544" s="50" t="s">
        <v>30</v>
      </c>
      <c r="L1544" s="50" t="s">
        <v>28</v>
      </c>
      <c r="M1544" s="50" t="s">
        <v>212</v>
      </c>
      <c r="N1544" s="50" t="s">
        <v>5085</v>
      </c>
      <c r="O1544" s="60">
        <v>45872</v>
      </c>
      <c r="P1544" s="60">
        <v>45874</v>
      </c>
      <c r="Q1544" s="60">
        <v>45875</v>
      </c>
      <c r="R1544" s="60">
        <v>45876</v>
      </c>
      <c r="S1544" s="50">
        <f t="shared" si="144"/>
        <v>2</v>
      </c>
      <c r="T1544" s="50">
        <f t="shared" si="142"/>
        <v>1</v>
      </c>
      <c r="U1544" s="50">
        <f t="shared" si="143"/>
        <v>1</v>
      </c>
      <c r="V1544" s="50">
        <f t="shared" si="141"/>
        <v>1</v>
      </c>
      <c r="W1544" s="50" t="s">
        <v>150</v>
      </c>
      <c r="X1544" s="50" t="s">
        <v>1078</v>
      </c>
      <c r="Y1544" s="50" t="s">
        <v>50</v>
      </c>
      <c r="Z1544" s="50" t="s">
        <v>3406</v>
      </c>
      <c r="AA1544" s="50"/>
    </row>
    <row r="1545" spans="1:27" ht="25.5" customHeight="1">
      <c r="A1545" s="517" t="s">
        <v>2286</v>
      </c>
      <c r="B1545" s="51" t="s">
        <v>914</v>
      </c>
      <c r="C1545" s="51" t="s">
        <v>143</v>
      </c>
      <c r="D1545" s="51" t="s">
        <v>4024</v>
      </c>
      <c r="E1545" s="50">
        <v>14533</v>
      </c>
      <c r="F1545" s="50">
        <v>15307</v>
      </c>
      <c r="G1545" s="50" t="s">
        <v>3404</v>
      </c>
      <c r="H1545" s="50">
        <v>2025</v>
      </c>
      <c r="I1545" s="132">
        <v>45694</v>
      </c>
      <c r="J1545" s="50" t="s">
        <v>3458</v>
      </c>
      <c r="K1545" s="50" t="s">
        <v>30</v>
      </c>
      <c r="L1545" s="50" t="s">
        <v>2289</v>
      </c>
      <c r="M1545" s="50" t="s">
        <v>212</v>
      </c>
      <c r="N1545" s="50" t="s">
        <v>5086</v>
      </c>
      <c r="O1545" s="60">
        <v>45698</v>
      </c>
      <c r="P1545" s="60">
        <v>45699</v>
      </c>
      <c r="Q1545" s="60">
        <v>45699</v>
      </c>
      <c r="R1545" s="60">
        <v>45701</v>
      </c>
      <c r="S1545" s="50">
        <f t="shared" si="144"/>
        <v>2</v>
      </c>
      <c r="T1545" s="50">
        <f t="shared" si="142"/>
        <v>1</v>
      </c>
      <c r="U1545" s="50">
        <f t="shared" si="143"/>
        <v>1</v>
      </c>
      <c r="V1545" s="50">
        <f t="shared" si="141"/>
        <v>2</v>
      </c>
      <c r="W1545" s="50" t="s">
        <v>150</v>
      </c>
      <c r="X1545" s="50" t="s">
        <v>4</v>
      </c>
      <c r="Y1545" s="50" t="s">
        <v>50</v>
      </c>
      <c r="Z1545" s="50" t="s">
        <v>3406</v>
      </c>
      <c r="AA1545" s="50"/>
    </row>
    <row r="1546" spans="1:27" s="110" customFormat="1" ht="25.5" customHeight="1">
      <c r="A1546" s="517" t="s">
        <v>2286</v>
      </c>
      <c r="B1546" s="51" t="s">
        <v>914</v>
      </c>
      <c r="C1546" s="51" t="s">
        <v>143</v>
      </c>
      <c r="D1546" s="51" t="s">
        <v>858</v>
      </c>
      <c r="E1546" s="50">
        <v>354</v>
      </c>
      <c r="F1546" s="50">
        <v>519</v>
      </c>
      <c r="G1546" s="50" t="s">
        <v>3404</v>
      </c>
      <c r="H1546" s="50">
        <v>2025</v>
      </c>
      <c r="I1546" s="132">
        <v>45966</v>
      </c>
      <c r="J1546" s="50" t="s">
        <v>3129</v>
      </c>
      <c r="K1546" s="50" t="s">
        <v>30</v>
      </c>
      <c r="L1546" s="50" t="s">
        <v>2289</v>
      </c>
      <c r="M1546" s="50" t="s">
        <v>212</v>
      </c>
      <c r="N1546" s="50" t="s">
        <v>5087</v>
      </c>
      <c r="O1546" s="60">
        <v>45967</v>
      </c>
      <c r="P1546" s="60">
        <v>45972</v>
      </c>
      <c r="Q1546" s="60">
        <v>45979</v>
      </c>
      <c r="R1546" s="60">
        <v>45980</v>
      </c>
      <c r="S1546" s="50">
        <f t="shared" si="144"/>
        <v>1</v>
      </c>
      <c r="T1546" s="50">
        <f t="shared" si="142"/>
        <v>3</v>
      </c>
      <c r="U1546" s="50">
        <f t="shared" si="143"/>
        <v>5</v>
      </c>
      <c r="V1546" s="50">
        <f t="shared" si="141"/>
        <v>1</v>
      </c>
      <c r="W1546" s="50" t="s">
        <v>150</v>
      </c>
      <c r="X1546" s="50" t="s">
        <v>1078</v>
      </c>
      <c r="Y1546" s="50" t="s">
        <v>50</v>
      </c>
      <c r="Z1546" s="50" t="s">
        <v>3406</v>
      </c>
      <c r="AA1546" s="50"/>
    </row>
    <row r="1547" spans="1:27" ht="25.5" customHeight="1">
      <c r="A1547" s="517" t="s">
        <v>2286</v>
      </c>
      <c r="B1547" s="51" t="s">
        <v>914</v>
      </c>
      <c r="C1547" s="51" t="s">
        <v>143</v>
      </c>
      <c r="D1547" s="51" t="s">
        <v>5034</v>
      </c>
      <c r="E1547" s="50">
        <v>6582</v>
      </c>
      <c r="F1547" s="50">
        <v>7271</v>
      </c>
      <c r="G1547" s="50" t="s">
        <v>3404</v>
      </c>
      <c r="H1547" s="50">
        <v>2025</v>
      </c>
      <c r="I1547" s="132">
        <v>45868</v>
      </c>
      <c r="J1547" s="50" t="s">
        <v>3126</v>
      </c>
      <c r="K1547" s="50" t="s">
        <v>30</v>
      </c>
      <c r="L1547" s="50" t="s">
        <v>28</v>
      </c>
      <c r="M1547" s="50" t="s">
        <v>212</v>
      </c>
      <c r="N1547" s="50" t="s">
        <v>5088</v>
      </c>
      <c r="O1547" s="60">
        <v>45872</v>
      </c>
      <c r="P1547" s="60">
        <v>45876</v>
      </c>
      <c r="Q1547" s="60">
        <v>45882</v>
      </c>
      <c r="R1547" s="60">
        <v>45884</v>
      </c>
      <c r="S1547" s="50">
        <f t="shared" si="144"/>
        <v>2</v>
      </c>
      <c r="T1547" s="50">
        <f t="shared" si="142"/>
        <v>3</v>
      </c>
      <c r="U1547" s="50">
        <f t="shared" si="143"/>
        <v>4</v>
      </c>
      <c r="V1547" s="50">
        <f t="shared" si="141"/>
        <v>2</v>
      </c>
      <c r="W1547" s="50" t="s">
        <v>150</v>
      </c>
      <c r="X1547" s="50" t="s">
        <v>1078</v>
      </c>
      <c r="Y1547" s="50" t="s">
        <v>50</v>
      </c>
      <c r="Z1547" s="50" t="s">
        <v>3406</v>
      </c>
      <c r="AA1547" s="50"/>
    </row>
    <row r="1548" spans="1:27" ht="25.5" customHeight="1">
      <c r="A1548" s="517" t="s">
        <v>2286</v>
      </c>
      <c r="B1548" s="51" t="s">
        <v>914</v>
      </c>
      <c r="C1548" s="51" t="s">
        <v>143</v>
      </c>
      <c r="D1548" s="51" t="s">
        <v>3975</v>
      </c>
      <c r="E1548" s="50">
        <v>7527</v>
      </c>
      <c r="F1548" s="50">
        <v>8161</v>
      </c>
      <c r="G1548" s="50" t="s">
        <v>3404</v>
      </c>
      <c r="H1548" s="50">
        <v>2024</v>
      </c>
      <c r="I1548" s="132">
        <v>45582</v>
      </c>
      <c r="J1548" s="50"/>
      <c r="K1548" s="50" t="s">
        <v>30</v>
      </c>
      <c r="L1548" s="50" t="s">
        <v>2289</v>
      </c>
      <c r="M1548" s="50" t="s">
        <v>212</v>
      </c>
      <c r="N1548" s="50"/>
      <c r="O1548" s="50"/>
      <c r="P1548" s="50"/>
      <c r="Q1548" s="50"/>
      <c r="R1548" s="50"/>
      <c r="S1548" s="50" t="str">
        <f t="shared" si="144"/>
        <v/>
      </c>
      <c r="T1548" s="50" t="str">
        <f t="shared" si="142"/>
        <v/>
      </c>
      <c r="U1548" s="50" t="str">
        <f t="shared" si="143"/>
        <v/>
      </c>
      <c r="V1548" s="50" t="str">
        <f t="shared" si="141"/>
        <v/>
      </c>
      <c r="W1548" s="50"/>
      <c r="X1548" s="50" t="s">
        <v>4</v>
      </c>
      <c r="Y1548" s="50" t="s">
        <v>50</v>
      </c>
      <c r="Z1548" s="50" t="s">
        <v>3406</v>
      </c>
      <c r="AA1548" s="50"/>
    </row>
    <row r="1549" spans="1:27" ht="25.5" customHeight="1">
      <c r="A1549" s="517" t="s">
        <v>2286</v>
      </c>
      <c r="B1549" s="51" t="s">
        <v>914</v>
      </c>
      <c r="C1549" s="51" t="s">
        <v>143</v>
      </c>
      <c r="D1549" s="51" t="s">
        <v>1899</v>
      </c>
      <c r="E1549" s="50">
        <v>1521</v>
      </c>
      <c r="F1549" s="50">
        <v>1782</v>
      </c>
      <c r="G1549" s="50" t="s">
        <v>3404</v>
      </c>
      <c r="H1549" s="50">
        <v>2025</v>
      </c>
      <c r="I1549" s="132">
        <v>45770</v>
      </c>
      <c r="J1549" s="50" t="s">
        <v>3532</v>
      </c>
      <c r="K1549" s="50" t="s">
        <v>30</v>
      </c>
      <c r="L1549" s="50" t="s">
        <v>28</v>
      </c>
      <c r="M1549" s="50" t="s">
        <v>212</v>
      </c>
      <c r="N1549" s="50" t="s">
        <v>5089</v>
      </c>
      <c r="O1549" s="60">
        <v>45776</v>
      </c>
      <c r="P1549" s="60">
        <v>45777</v>
      </c>
      <c r="Q1549" s="60">
        <v>45777</v>
      </c>
      <c r="R1549" s="60">
        <v>45779</v>
      </c>
      <c r="S1549" s="50">
        <f t="shared" si="144"/>
        <v>4</v>
      </c>
      <c r="T1549" s="50">
        <f t="shared" si="142"/>
        <v>1</v>
      </c>
      <c r="U1549" s="50">
        <f t="shared" si="143"/>
        <v>1</v>
      </c>
      <c r="V1549" s="50">
        <f t="shared" si="141"/>
        <v>2</v>
      </c>
      <c r="W1549" s="50" t="s">
        <v>150</v>
      </c>
      <c r="X1549" s="50" t="s">
        <v>1078</v>
      </c>
      <c r="Y1549" s="50" t="s">
        <v>50</v>
      </c>
      <c r="Z1549" s="50" t="s">
        <v>3406</v>
      </c>
      <c r="AA1549" s="50"/>
    </row>
    <row r="1550" spans="1:27" ht="25.5" customHeight="1">
      <c r="A1550" s="517" t="s">
        <v>2286</v>
      </c>
      <c r="B1550" s="51" t="s">
        <v>914</v>
      </c>
      <c r="C1550" s="51" t="s">
        <v>143</v>
      </c>
      <c r="D1550" s="51" t="s">
        <v>3977</v>
      </c>
      <c r="E1550" s="50">
        <v>8273</v>
      </c>
      <c r="F1550" s="50">
        <v>9341</v>
      </c>
      <c r="G1550" s="50" t="s">
        <v>3404</v>
      </c>
      <c r="H1550" s="50">
        <v>2025</v>
      </c>
      <c r="I1550" s="132">
        <v>45860</v>
      </c>
      <c r="J1550" s="50" t="s">
        <v>3126</v>
      </c>
      <c r="K1550" s="50" t="s">
        <v>30</v>
      </c>
      <c r="L1550" s="50" t="s">
        <v>28</v>
      </c>
      <c r="M1550" s="50" t="s">
        <v>212</v>
      </c>
      <c r="N1550" s="50" t="s">
        <v>5090</v>
      </c>
      <c r="O1550" s="60">
        <v>45862</v>
      </c>
      <c r="P1550" s="60">
        <v>45876</v>
      </c>
      <c r="Q1550" s="60">
        <v>45882</v>
      </c>
      <c r="R1550" s="60">
        <v>45884</v>
      </c>
      <c r="S1550" s="50">
        <f t="shared" si="144"/>
        <v>2</v>
      </c>
      <c r="T1550" s="50">
        <f t="shared" si="142"/>
        <v>10</v>
      </c>
      <c r="U1550" s="50">
        <f t="shared" si="143"/>
        <v>4</v>
      </c>
      <c r="V1550" s="50">
        <f t="shared" si="141"/>
        <v>2</v>
      </c>
      <c r="W1550" s="50" t="s">
        <v>150</v>
      </c>
      <c r="X1550" s="50" t="s">
        <v>1078</v>
      </c>
      <c r="Y1550" s="50" t="s">
        <v>50</v>
      </c>
      <c r="Z1550" s="50" t="s">
        <v>3406</v>
      </c>
      <c r="AA1550" s="50"/>
    </row>
    <row r="1551" spans="1:27" ht="25.5" customHeight="1">
      <c r="A1551" s="517" t="s">
        <v>2286</v>
      </c>
      <c r="B1551" s="51" t="s">
        <v>914</v>
      </c>
      <c r="C1551" s="51" t="s">
        <v>143</v>
      </c>
      <c r="D1551" s="51" t="s">
        <v>5091</v>
      </c>
      <c r="E1551" s="50">
        <v>2900</v>
      </c>
      <c r="F1551" s="50">
        <v>2910</v>
      </c>
      <c r="G1551" s="50" t="s">
        <v>3404</v>
      </c>
      <c r="H1551" s="50">
        <v>2025</v>
      </c>
      <c r="I1551" s="132">
        <v>45770</v>
      </c>
      <c r="J1551" s="50" t="s">
        <v>3532</v>
      </c>
      <c r="K1551" s="50" t="s">
        <v>30</v>
      </c>
      <c r="L1551" s="50" t="s">
        <v>28</v>
      </c>
      <c r="M1551" s="50" t="s">
        <v>212</v>
      </c>
      <c r="N1551" s="50" t="s">
        <v>5092</v>
      </c>
      <c r="O1551" s="60">
        <v>45776</v>
      </c>
      <c r="P1551" s="60">
        <v>45777</v>
      </c>
      <c r="Q1551" s="60">
        <v>45777</v>
      </c>
      <c r="R1551" s="60">
        <v>45779</v>
      </c>
      <c r="S1551" s="50">
        <f t="shared" si="144"/>
        <v>4</v>
      </c>
      <c r="T1551" s="50">
        <f t="shared" si="142"/>
        <v>1</v>
      </c>
      <c r="U1551" s="50">
        <f t="shared" si="143"/>
        <v>1</v>
      </c>
      <c r="V1551" s="50">
        <f t="shared" si="141"/>
        <v>2</v>
      </c>
      <c r="W1551" s="50" t="s">
        <v>150</v>
      </c>
      <c r="X1551" s="50" t="s">
        <v>1078</v>
      </c>
      <c r="Y1551" s="50" t="s">
        <v>50</v>
      </c>
      <c r="Z1551" s="50" t="s">
        <v>3406</v>
      </c>
      <c r="AA1551" s="50"/>
    </row>
    <row r="1552" spans="1:27" ht="25.5" customHeight="1">
      <c r="A1552" s="517" t="s">
        <v>2286</v>
      </c>
      <c r="B1552" s="51" t="s">
        <v>1180</v>
      </c>
      <c r="C1552" s="51" t="s">
        <v>143</v>
      </c>
      <c r="D1552" s="51" t="s">
        <v>5093</v>
      </c>
      <c r="E1552" s="50">
        <v>4989</v>
      </c>
      <c r="F1552" s="50">
        <v>5157</v>
      </c>
      <c r="G1552" s="50" t="s">
        <v>3404</v>
      </c>
      <c r="H1552" s="50">
        <v>2024</v>
      </c>
      <c r="I1552" s="132">
        <v>45524</v>
      </c>
      <c r="J1552" s="50"/>
      <c r="K1552" s="50" t="s">
        <v>30</v>
      </c>
      <c r="L1552" s="50" t="s">
        <v>2289</v>
      </c>
      <c r="M1552" s="50" t="s">
        <v>212</v>
      </c>
      <c r="N1552" s="50"/>
      <c r="O1552" s="50"/>
      <c r="P1552" s="50"/>
      <c r="Q1552" s="50"/>
      <c r="R1552" s="50"/>
      <c r="S1552" s="50" t="str">
        <f t="shared" si="144"/>
        <v/>
      </c>
      <c r="T1552" s="50" t="str">
        <f t="shared" si="142"/>
        <v/>
      </c>
      <c r="U1552" s="50" t="str">
        <f t="shared" si="143"/>
        <v/>
      </c>
      <c r="V1552" s="50" t="str">
        <f t="shared" si="141"/>
        <v/>
      </c>
      <c r="W1552" s="50"/>
      <c r="X1552" s="50" t="s">
        <v>4</v>
      </c>
      <c r="Y1552" s="50" t="s">
        <v>50</v>
      </c>
      <c r="Z1552" s="50" t="s">
        <v>3406</v>
      </c>
      <c r="AA1552" s="50"/>
    </row>
    <row r="1553" spans="1:27" ht="25.5" customHeight="1">
      <c r="A1553" s="517" t="s">
        <v>2286</v>
      </c>
      <c r="B1553" s="51" t="s">
        <v>1180</v>
      </c>
      <c r="C1553" s="51" t="s">
        <v>143</v>
      </c>
      <c r="D1553" s="51" t="s">
        <v>5094</v>
      </c>
      <c r="E1553" s="50">
        <v>5129</v>
      </c>
      <c r="F1553" s="50">
        <v>5290</v>
      </c>
      <c r="G1553" s="50" t="s">
        <v>3404</v>
      </c>
      <c r="H1553" s="50">
        <v>2025</v>
      </c>
      <c r="I1553" s="132">
        <v>45728</v>
      </c>
      <c r="J1553" s="50" t="s">
        <v>3470</v>
      </c>
      <c r="K1553" s="50" t="s">
        <v>30</v>
      </c>
      <c r="L1553" s="50" t="s">
        <v>2289</v>
      </c>
      <c r="M1553" s="50" t="s">
        <v>212</v>
      </c>
      <c r="N1553" s="50" t="s">
        <v>5095</v>
      </c>
      <c r="O1553" s="60">
        <v>45731</v>
      </c>
      <c r="P1553" s="60">
        <v>45754</v>
      </c>
      <c r="Q1553" s="60">
        <v>45754</v>
      </c>
      <c r="R1553" s="60">
        <v>45757</v>
      </c>
      <c r="S1553" s="50">
        <f t="shared" si="144"/>
        <v>2</v>
      </c>
      <c r="T1553" s="50">
        <f t="shared" si="142"/>
        <v>15</v>
      </c>
      <c r="U1553" s="50">
        <f t="shared" si="143"/>
        <v>1</v>
      </c>
      <c r="V1553" s="50">
        <f t="shared" si="141"/>
        <v>3</v>
      </c>
      <c r="W1553" s="50" t="s">
        <v>150</v>
      </c>
      <c r="X1553" s="50" t="s">
        <v>1078</v>
      </c>
      <c r="Y1553" s="50" t="s">
        <v>50</v>
      </c>
      <c r="Z1553" s="50" t="s">
        <v>3406</v>
      </c>
      <c r="AA1553" s="50"/>
    </row>
    <row r="1554" spans="1:27" s="110" customFormat="1" ht="25.5" customHeight="1">
      <c r="A1554" s="517" t="s">
        <v>2286</v>
      </c>
      <c r="B1554" s="51" t="s">
        <v>1180</v>
      </c>
      <c r="C1554" s="51" t="s">
        <v>143</v>
      </c>
      <c r="D1554" s="51" t="s">
        <v>5096</v>
      </c>
      <c r="E1554" s="50">
        <v>9160</v>
      </c>
      <c r="F1554" s="50">
        <v>9596</v>
      </c>
      <c r="G1554" s="50" t="s">
        <v>3404</v>
      </c>
      <c r="H1554" s="50" t="s">
        <v>3449</v>
      </c>
      <c r="I1554" s="132" t="s">
        <v>5097</v>
      </c>
      <c r="J1554" s="50" t="s">
        <v>3458</v>
      </c>
      <c r="K1554" s="50" t="s">
        <v>30</v>
      </c>
      <c r="L1554" s="50" t="s">
        <v>2289</v>
      </c>
      <c r="M1554" s="50" t="s">
        <v>212</v>
      </c>
      <c r="N1554" s="50" t="s">
        <v>5098</v>
      </c>
      <c r="O1554" s="60" t="s">
        <v>5099</v>
      </c>
      <c r="P1554" s="60" t="s">
        <v>5100</v>
      </c>
      <c r="Q1554" s="60" t="s">
        <v>5101</v>
      </c>
      <c r="R1554" s="60" t="s">
        <v>5102</v>
      </c>
      <c r="S1554" s="50"/>
      <c r="T1554" s="50"/>
      <c r="U1554" s="50"/>
      <c r="V1554" s="50"/>
      <c r="W1554" s="50" t="s">
        <v>150</v>
      </c>
      <c r="X1554" s="50" t="s">
        <v>1078</v>
      </c>
      <c r="Y1554" s="50" t="s">
        <v>50</v>
      </c>
      <c r="Z1554" s="50" t="s">
        <v>3406</v>
      </c>
      <c r="AA1554" s="50"/>
    </row>
    <row r="1555" spans="1:27" s="152" customFormat="1" ht="25.5" customHeight="1">
      <c r="A1555" s="517" t="s">
        <v>2286</v>
      </c>
      <c r="B1555" s="141" t="s">
        <v>1180</v>
      </c>
      <c r="C1555" s="141" t="s">
        <v>143</v>
      </c>
      <c r="D1555" s="141" t="s">
        <v>5103</v>
      </c>
      <c r="E1555" s="141">
        <v>2533</v>
      </c>
      <c r="F1555" s="141">
        <v>2665</v>
      </c>
      <c r="G1555" s="141" t="s">
        <v>3404</v>
      </c>
      <c r="H1555" s="141">
        <v>2025</v>
      </c>
      <c r="I1555" s="470">
        <v>45728</v>
      </c>
      <c r="J1555" s="141" t="s">
        <v>3416</v>
      </c>
      <c r="K1555" s="141" t="s">
        <v>30</v>
      </c>
      <c r="L1555" s="141" t="s">
        <v>2289</v>
      </c>
      <c r="M1555" s="141" t="s">
        <v>212</v>
      </c>
      <c r="N1555" s="141" t="s">
        <v>5104</v>
      </c>
      <c r="O1555" s="141"/>
      <c r="P1555" s="141"/>
      <c r="Q1555" s="141"/>
      <c r="R1555" s="141"/>
      <c r="S1555" s="50" t="str">
        <f t="shared" ref="S1555:S1618" si="145">IF(
    OR(ISBLANK(I1555), ISBLANK(O1555)),
    "",
    MAX(1, IF(
        NETWORKDAYS(I1555, O1555) &lt;= 0,
        1,
        NETWORKDAYS(I1555, O1555) - IF(I1555 = O1555, 0, 1)
    ))
)</f>
        <v/>
      </c>
      <c r="T1555" s="50" t="str">
        <f>IF(
    OR(ISBLANK(P1555), ISBLANK(Q1555)),
    "",
    MAX(1, IF(
        NETWORKDAYS(P1555, Q1555) &lt;= 0,
        1,
        NETWORKDAYS(P1555, Q1555) - IF(P1555 = Q1555, 0, 1)
    ))
)</f>
        <v/>
      </c>
      <c r="U1555" s="50" t="str">
        <f>IF(
    OR(ISBLANK(Q1555), ISBLANK(R1555)),
    "",
    MAX(1, IF(
        NETWORKDAYS(Q1555, R1555) &lt;= 0,
        1,
        NETWORKDAYS(Q1555, R1555) - IF(Q1555 = R1555, 0, 1)
    ))
)</f>
        <v/>
      </c>
      <c r="V1555" s="50" t="str">
        <f t="shared" ref="V1555:V1618" si="146">IF(
    OR(ISBLANK(Q1555), ISBLANK(R1555)),
    "",
    MAX(1, IF(
        NETWORKDAYS(Q1555, R1555) &lt;= 0,
        1,
        NETWORKDAYS(Q1555, R1555) - IF(Q1555 = R1555, 0, 1)
    ))
)</f>
        <v/>
      </c>
      <c r="W1555" s="141" t="s">
        <v>150</v>
      </c>
      <c r="X1555" s="50" t="s">
        <v>1078</v>
      </c>
      <c r="Y1555" s="141" t="s">
        <v>50</v>
      </c>
      <c r="Z1555" s="141" t="s">
        <v>3406</v>
      </c>
      <c r="AA1555" s="141"/>
    </row>
    <row r="1556" spans="1:27" ht="25.5" customHeight="1">
      <c r="A1556" s="517" t="s">
        <v>2286</v>
      </c>
      <c r="B1556" s="51" t="s">
        <v>1180</v>
      </c>
      <c r="C1556" s="51" t="s">
        <v>143</v>
      </c>
      <c r="D1556" s="51" t="s">
        <v>1056</v>
      </c>
      <c r="E1556" s="50">
        <v>7214</v>
      </c>
      <c r="F1556" s="50">
        <v>7464</v>
      </c>
      <c r="G1556" s="50" t="s">
        <v>3404</v>
      </c>
      <c r="H1556" s="50">
        <v>2024</v>
      </c>
      <c r="I1556" s="132">
        <v>45378</v>
      </c>
      <c r="J1556" s="50"/>
      <c r="K1556" s="50" t="s">
        <v>30</v>
      </c>
      <c r="L1556" s="50" t="s">
        <v>2289</v>
      </c>
      <c r="M1556" s="50" t="s">
        <v>212</v>
      </c>
      <c r="N1556" s="50"/>
      <c r="O1556" s="50"/>
      <c r="P1556" s="50"/>
      <c r="Q1556" s="50"/>
      <c r="R1556" s="50"/>
      <c r="S1556" s="50" t="str">
        <f t="shared" si="145"/>
        <v/>
      </c>
      <c r="T1556" s="50" t="str">
        <f t="shared" ref="T1556:T1619" si="147">IF(
    OR(ISBLANK(O1556), ISBLANK(P1556)),
    "",
    MAX(1, IF(
        NETWORKDAYS(O1556, P1556) &lt;= 0,
        1,
        NETWORKDAYS(O1556, P1556) - IF(O1556 = P1556, 0, 1)
    ))
)</f>
        <v/>
      </c>
      <c r="U1556" s="50" t="str">
        <f t="shared" ref="U1556:U1619" si="148">IF(
    OR(ISBLANK(P1556), ISBLANK(Q1556)),
    "",
    MAX(1, IF(
        NETWORKDAYS(P1556, Q1556) &lt;= 0,
        1,
        NETWORKDAYS(P1556, Q1556) - IF(P1556 = Q1556, 0, 1)
    ))
)</f>
        <v/>
      </c>
      <c r="V1556" s="50" t="str">
        <f t="shared" si="146"/>
        <v/>
      </c>
      <c r="W1556" s="50"/>
      <c r="X1556" s="50"/>
      <c r="Y1556" s="50"/>
      <c r="Z1556" s="50" t="s">
        <v>3406</v>
      </c>
      <c r="AA1556" s="50"/>
    </row>
    <row r="1557" spans="1:27" ht="25.5" customHeight="1">
      <c r="A1557" s="517" t="s">
        <v>2286</v>
      </c>
      <c r="B1557" s="51" t="s">
        <v>1180</v>
      </c>
      <c r="C1557" s="51" t="s">
        <v>143</v>
      </c>
      <c r="D1557" s="51" t="s">
        <v>3763</v>
      </c>
      <c r="E1557" s="50">
        <v>5812</v>
      </c>
      <c r="F1557" s="50">
        <v>6021</v>
      </c>
      <c r="G1557" s="50" t="s">
        <v>3404</v>
      </c>
      <c r="H1557" s="50">
        <v>2025</v>
      </c>
      <c r="I1557" s="132">
        <v>45728</v>
      </c>
      <c r="J1557" s="50" t="s">
        <v>3416</v>
      </c>
      <c r="K1557" s="50" t="s">
        <v>30</v>
      </c>
      <c r="L1557" s="50" t="s">
        <v>2289</v>
      </c>
      <c r="M1557" s="50" t="s">
        <v>212</v>
      </c>
      <c r="N1557" s="50" t="s">
        <v>5105</v>
      </c>
      <c r="O1557" s="60">
        <v>45731</v>
      </c>
      <c r="P1557" s="60">
        <v>45734</v>
      </c>
      <c r="Q1557" s="60">
        <v>45734</v>
      </c>
      <c r="R1557" s="60">
        <v>45735</v>
      </c>
      <c r="S1557" s="50">
        <f t="shared" si="145"/>
        <v>2</v>
      </c>
      <c r="T1557" s="50">
        <f t="shared" si="147"/>
        <v>1</v>
      </c>
      <c r="U1557" s="50">
        <f t="shared" si="148"/>
        <v>1</v>
      </c>
      <c r="V1557" s="50">
        <f t="shared" si="146"/>
        <v>1</v>
      </c>
      <c r="W1557" s="50" t="s">
        <v>150</v>
      </c>
      <c r="X1557" s="50" t="s">
        <v>1078</v>
      </c>
      <c r="Y1557" s="50" t="s">
        <v>50</v>
      </c>
      <c r="Z1557" s="50" t="s">
        <v>3406</v>
      </c>
      <c r="AA1557" s="50"/>
    </row>
    <row r="1558" spans="1:27" ht="25.5" customHeight="1">
      <c r="A1558" s="517" t="s">
        <v>2286</v>
      </c>
      <c r="B1558" s="51" t="s">
        <v>1180</v>
      </c>
      <c r="C1558" s="51" t="s">
        <v>143</v>
      </c>
      <c r="D1558" s="51" t="s">
        <v>3974</v>
      </c>
      <c r="E1558" s="50">
        <v>6745</v>
      </c>
      <c r="F1558" s="50">
        <v>7019</v>
      </c>
      <c r="G1558" s="50" t="s">
        <v>3404</v>
      </c>
      <c r="H1558" s="50">
        <v>2024</v>
      </c>
      <c r="I1558" s="132">
        <v>45399</v>
      </c>
      <c r="J1558" s="50"/>
      <c r="K1558" s="50" t="s">
        <v>30</v>
      </c>
      <c r="L1558" s="50" t="s">
        <v>2289</v>
      </c>
      <c r="M1558" s="50" t="s">
        <v>212</v>
      </c>
      <c r="N1558" s="50"/>
      <c r="O1558" s="50"/>
      <c r="P1558" s="50"/>
      <c r="Q1558" s="50"/>
      <c r="R1558" s="50"/>
      <c r="S1558" s="50" t="str">
        <f t="shared" si="145"/>
        <v/>
      </c>
      <c r="T1558" s="50" t="str">
        <f t="shared" si="147"/>
        <v/>
      </c>
      <c r="U1558" s="50" t="str">
        <f t="shared" si="148"/>
        <v/>
      </c>
      <c r="V1558" s="50" t="str">
        <f t="shared" si="146"/>
        <v/>
      </c>
      <c r="W1558" s="50"/>
      <c r="X1558" s="50"/>
      <c r="Y1558" s="50"/>
      <c r="Z1558" s="50" t="s">
        <v>3406</v>
      </c>
      <c r="AA1558" s="50"/>
    </row>
    <row r="1559" spans="1:27" s="110" customFormat="1" ht="25.5" customHeight="1">
      <c r="A1559" s="517" t="s">
        <v>2286</v>
      </c>
      <c r="B1559" s="51" t="s">
        <v>1180</v>
      </c>
      <c r="C1559" s="51" t="s">
        <v>143</v>
      </c>
      <c r="D1559" s="51" t="s">
        <v>3977</v>
      </c>
      <c r="E1559" s="50">
        <v>6177</v>
      </c>
      <c r="F1559" s="50">
        <v>6772</v>
      </c>
      <c r="G1559" s="50" t="s">
        <v>3404</v>
      </c>
      <c r="H1559" s="50">
        <v>2025</v>
      </c>
      <c r="I1559" s="132">
        <v>45728</v>
      </c>
      <c r="J1559" s="50" t="s">
        <v>3416</v>
      </c>
      <c r="K1559" s="50" t="s">
        <v>30</v>
      </c>
      <c r="L1559" s="50" t="s">
        <v>2289</v>
      </c>
      <c r="M1559" s="50" t="s">
        <v>212</v>
      </c>
      <c r="N1559" s="50" t="s">
        <v>5106</v>
      </c>
      <c r="O1559" s="60">
        <v>45731</v>
      </c>
      <c r="P1559" s="60">
        <v>45734</v>
      </c>
      <c r="Q1559" s="60">
        <v>45734</v>
      </c>
      <c r="R1559" s="60">
        <v>45735</v>
      </c>
      <c r="S1559" s="50">
        <f t="shared" si="145"/>
        <v>2</v>
      </c>
      <c r="T1559" s="50">
        <f t="shared" si="147"/>
        <v>1</v>
      </c>
      <c r="U1559" s="50">
        <f t="shared" si="148"/>
        <v>1</v>
      </c>
      <c r="V1559" s="50">
        <f t="shared" si="146"/>
        <v>1</v>
      </c>
      <c r="W1559" s="50" t="s">
        <v>150</v>
      </c>
      <c r="X1559" s="50" t="s">
        <v>1078</v>
      </c>
      <c r="Y1559" s="50" t="s">
        <v>50</v>
      </c>
      <c r="Z1559" s="50" t="s">
        <v>3406</v>
      </c>
      <c r="AA1559" s="50"/>
    </row>
    <row r="1560" spans="1:27" ht="25.5" customHeight="1">
      <c r="A1560" s="517" t="s">
        <v>2286</v>
      </c>
      <c r="B1560" s="51" t="s">
        <v>1180</v>
      </c>
      <c r="C1560" s="51" t="s">
        <v>143</v>
      </c>
      <c r="D1560" s="51" t="s">
        <v>1305</v>
      </c>
      <c r="E1560" s="50">
        <v>3853</v>
      </c>
      <c r="F1560" s="50">
        <v>4388</v>
      </c>
      <c r="G1560" s="50" t="s">
        <v>3404</v>
      </c>
      <c r="H1560" s="50">
        <v>2024</v>
      </c>
      <c r="I1560" s="132">
        <v>45524</v>
      </c>
      <c r="J1560" s="50"/>
      <c r="K1560" s="50" t="s">
        <v>30</v>
      </c>
      <c r="L1560" s="50" t="s">
        <v>2289</v>
      </c>
      <c r="M1560" s="50" t="s">
        <v>212</v>
      </c>
      <c r="N1560" s="50"/>
      <c r="O1560" s="50"/>
      <c r="P1560" s="50"/>
      <c r="Q1560" s="50"/>
      <c r="R1560" s="50"/>
      <c r="S1560" s="50" t="str">
        <f t="shared" si="145"/>
        <v/>
      </c>
      <c r="T1560" s="50" t="str">
        <f t="shared" si="147"/>
        <v/>
      </c>
      <c r="U1560" s="50" t="str">
        <f t="shared" si="148"/>
        <v/>
      </c>
      <c r="V1560" s="50" t="str">
        <f t="shared" si="146"/>
        <v/>
      </c>
      <c r="W1560" s="50"/>
      <c r="X1560" s="50" t="s">
        <v>4</v>
      </c>
      <c r="Y1560" s="50" t="s">
        <v>50</v>
      </c>
      <c r="Z1560" s="50" t="s">
        <v>3406</v>
      </c>
      <c r="AA1560" s="50"/>
    </row>
    <row r="1561" spans="1:27" ht="25.5" customHeight="1">
      <c r="A1561" s="517" t="s">
        <v>2286</v>
      </c>
      <c r="B1561" s="51" t="s">
        <v>1309</v>
      </c>
      <c r="C1561" s="51" t="s">
        <v>143</v>
      </c>
      <c r="D1561" s="51" t="s">
        <v>5107</v>
      </c>
      <c r="E1561" s="50">
        <v>3320</v>
      </c>
      <c r="F1561" s="50">
        <v>3435</v>
      </c>
      <c r="G1561" s="50" t="s">
        <v>3404</v>
      </c>
      <c r="H1561" s="50">
        <v>2025</v>
      </c>
      <c r="I1561" s="132">
        <v>45877</v>
      </c>
      <c r="J1561" s="50" t="s">
        <v>3127</v>
      </c>
      <c r="K1561" s="50" t="s">
        <v>26</v>
      </c>
      <c r="L1561" s="50" t="s">
        <v>2289</v>
      </c>
      <c r="M1561" s="50" t="s">
        <v>212</v>
      </c>
      <c r="N1561" s="50" t="s">
        <v>5108</v>
      </c>
      <c r="O1561" s="60">
        <v>45884</v>
      </c>
      <c r="P1561" s="60">
        <v>45887</v>
      </c>
      <c r="Q1561" s="60">
        <v>45888</v>
      </c>
      <c r="R1561" s="60">
        <v>45888</v>
      </c>
      <c r="S1561" s="50">
        <f t="shared" si="145"/>
        <v>5</v>
      </c>
      <c r="T1561" s="50">
        <f t="shared" si="147"/>
        <v>1</v>
      </c>
      <c r="U1561" s="50">
        <f t="shared" si="148"/>
        <v>1</v>
      </c>
      <c r="V1561" s="50">
        <f t="shared" si="146"/>
        <v>1</v>
      </c>
      <c r="W1561" s="50" t="s">
        <v>150</v>
      </c>
      <c r="X1561" s="50" t="s">
        <v>1078</v>
      </c>
      <c r="Y1561" s="50" t="s">
        <v>50</v>
      </c>
      <c r="Z1561" s="50" t="s">
        <v>3406</v>
      </c>
      <c r="AA1561" s="50"/>
    </row>
    <row r="1562" spans="1:27" ht="25.5" customHeight="1">
      <c r="A1562" s="517" t="s">
        <v>2286</v>
      </c>
      <c r="B1562" s="51" t="s">
        <v>1309</v>
      </c>
      <c r="C1562" s="51" t="s">
        <v>143</v>
      </c>
      <c r="D1562" s="51" t="s">
        <v>5109</v>
      </c>
      <c r="E1562" s="50">
        <v>1514</v>
      </c>
      <c r="F1562" s="50">
        <v>1486</v>
      </c>
      <c r="G1562" s="50" t="s">
        <v>3955</v>
      </c>
      <c r="H1562" s="50"/>
      <c r="I1562" s="105"/>
      <c r="J1562" s="50"/>
      <c r="K1562" s="50" t="s">
        <v>26</v>
      </c>
      <c r="L1562" s="50" t="s">
        <v>2289</v>
      </c>
      <c r="M1562" s="50" t="s">
        <v>212</v>
      </c>
      <c r="N1562" s="50"/>
      <c r="O1562" s="50"/>
      <c r="P1562" s="50"/>
      <c r="Q1562" s="50"/>
      <c r="R1562" s="50"/>
      <c r="S1562" s="50" t="str">
        <f t="shared" si="145"/>
        <v/>
      </c>
      <c r="T1562" s="50" t="str">
        <f t="shared" si="147"/>
        <v/>
      </c>
      <c r="U1562" s="50" t="str">
        <f t="shared" si="148"/>
        <v/>
      </c>
      <c r="V1562" s="50" t="str">
        <f t="shared" si="146"/>
        <v/>
      </c>
      <c r="W1562" s="50"/>
      <c r="X1562" s="50"/>
      <c r="Y1562" s="50"/>
      <c r="Z1562" s="50"/>
      <c r="AA1562" s="50"/>
    </row>
    <row r="1563" spans="1:27" ht="25.5" customHeight="1">
      <c r="A1563" s="517" t="s">
        <v>2286</v>
      </c>
      <c r="B1563" s="51" t="s">
        <v>1309</v>
      </c>
      <c r="C1563" s="51" t="s">
        <v>143</v>
      </c>
      <c r="D1563" s="51" t="s">
        <v>5110</v>
      </c>
      <c r="E1563" s="50">
        <v>2983</v>
      </c>
      <c r="F1563" s="50">
        <v>4031</v>
      </c>
      <c r="G1563" s="50" t="s">
        <v>3955</v>
      </c>
      <c r="H1563" s="50"/>
      <c r="I1563" s="105"/>
      <c r="J1563" s="50"/>
      <c r="K1563" s="50" t="s">
        <v>26</v>
      </c>
      <c r="L1563" s="50" t="s">
        <v>2289</v>
      </c>
      <c r="M1563" s="50" t="s">
        <v>212</v>
      </c>
      <c r="N1563" s="50"/>
      <c r="O1563" s="50"/>
      <c r="P1563" s="50"/>
      <c r="Q1563" s="50"/>
      <c r="R1563" s="50"/>
      <c r="S1563" s="50" t="str">
        <f t="shared" si="145"/>
        <v/>
      </c>
      <c r="T1563" s="50" t="str">
        <f t="shared" si="147"/>
        <v/>
      </c>
      <c r="U1563" s="50" t="str">
        <f t="shared" si="148"/>
        <v/>
      </c>
      <c r="V1563" s="50" t="str">
        <f t="shared" si="146"/>
        <v/>
      </c>
      <c r="W1563" s="50"/>
      <c r="X1563" s="50"/>
      <c r="Y1563" s="50"/>
      <c r="Z1563" s="50"/>
      <c r="AA1563" s="50"/>
    </row>
    <row r="1564" spans="1:27" ht="25.5" customHeight="1">
      <c r="A1564" s="517" t="s">
        <v>2286</v>
      </c>
      <c r="B1564" s="51" t="s">
        <v>1309</v>
      </c>
      <c r="C1564" s="51" t="s">
        <v>143</v>
      </c>
      <c r="D1564" s="51" t="s">
        <v>5111</v>
      </c>
      <c r="E1564" s="50">
        <v>20172</v>
      </c>
      <c r="F1564" s="50">
        <v>21214</v>
      </c>
      <c r="G1564" s="50" t="s">
        <v>3404</v>
      </c>
      <c r="H1564" s="50">
        <v>2024</v>
      </c>
      <c r="I1564" s="132">
        <v>45441</v>
      </c>
      <c r="J1564" s="50"/>
      <c r="K1564" s="50" t="s">
        <v>26</v>
      </c>
      <c r="L1564" s="50" t="s">
        <v>2289</v>
      </c>
      <c r="M1564" s="50" t="s">
        <v>212</v>
      </c>
      <c r="N1564" s="50"/>
      <c r="O1564" s="50"/>
      <c r="P1564" s="50"/>
      <c r="Q1564" s="50"/>
      <c r="R1564" s="50"/>
      <c r="S1564" s="50" t="str">
        <f t="shared" si="145"/>
        <v/>
      </c>
      <c r="T1564" s="50" t="str">
        <f t="shared" si="147"/>
        <v/>
      </c>
      <c r="U1564" s="50" t="str">
        <f t="shared" si="148"/>
        <v/>
      </c>
      <c r="V1564" s="50" t="str">
        <f t="shared" si="146"/>
        <v/>
      </c>
      <c r="W1564" s="50"/>
      <c r="X1564" s="50"/>
      <c r="Y1564" s="50"/>
      <c r="Z1564" s="50" t="s">
        <v>3406</v>
      </c>
      <c r="AA1564" s="50"/>
    </row>
    <row r="1565" spans="1:27" ht="25.5" customHeight="1">
      <c r="A1565" s="517" t="s">
        <v>2286</v>
      </c>
      <c r="B1565" s="51" t="s">
        <v>1309</v>
      </c>
      <c r="C1565" s="51" t="s">
        <v>143</v>
      </c>
      <c r="D1565" s="51" t="s">
        <v>4569</v>
      </c>
      <c r="E1565" s="50">
        <v>2215</v>
      </c>
      <c r="F1565" s="50">
        <v>2270</v>
      </c>
      <c r="G1565" s="50" t="s">
        <v>3955</v>
      </c>
      <c r="H1565" s="50"/>
      <c r="I1565" s="105"/>
      <c r="J1565" s="50"/>
      <c r="K1565" s="50" t="s">
        <v>26</v>
      </c>
      <c r="L1565" s="50" t="s">
        <v>2289</v>
      </c>
      <c r="M1565" s="50" t="s">
        <v>212</v>
      </c>
      <c r="N1565" s="50"/>
      <c r="O1565" s="50"/>
      <c r="P1565" s="50"/>
      <c r="Q1565" s="50"/>
      <c r="R1565" s="50"/>
      <c r="S1565" s="50" t="str">
        <f t="shared" si="145"/>
        <v/>
      </c>
      <c r="T1565" s="50" t="str">
        <f t="shared" si="147"/>
        <v/>
      </c>
      <c r="U1565" s="50" t="str">
        <f t="shared" si="148"/>
        <v/>
      </c>
      <c r="V1565" s="50" t="str">
        <f t="shared" si="146"/>
        <v/>
      </c>
      <c r="W1565" s="50"/>
      <c r="X1565" s="50"/>
      <c r="Y1565" s="50"/>
      <c r="Z1565" s="50"/>
      <c r="AA1565" s="50"/>
    </row>
    <row r="1566" spans="1:27" ht="25.5" customHeight="1">
      <c r="A1566" s="517" t="s">
        <v>2286</v>
      </c>
      <c r="B1566" s="51" t="s">
        <v>1309</v>
      </c>
      <c r="C1566" s="51" t="s">
        <v>143</v>
      </c>
      <c r="D1566" s="51" t="s">
        <v>5112</v>
      </c>
      <c r="E1566" s="50">
        <v>5032</v>
      </c>
      <c r="F1566" s="50">
        <v>5217</v>
      </c>
      <c r="G1566" s="50" t="s">
        <v>3404</v>
      </c>
      <c r="H1566" s="50">
        <v>2024</v>
      </c>
      <c r="I1566" s="132">
        <v>45456</v>
      </c>
      <c r="J1566" s="50"/>
      <c r="K1566" s="50" t="s">
        <v>26</v>
      </c>
      <c r="L1566" s="50" t="s">
        <v>2289</v>
      </c>
      <c r="M1566" s="50" t="s">
        <v>212</v>
      </c>
      <c r="N1566" s="50"/>
      <c r="O1566" s="50"/>
      <c r="P1566" s="50"/>
      <c r="Q1566" s="50"/>
      <c r="R1566" s="50"/>
      <c r="S1566" s="50" t="str">
        <f t="shared" si="145"/>
        <v/>
      </c>
      <c r="T1566" s="50" t="str">
        <f t="shared" si="147"/>
        <v/>
      </c>
      <c r="U1566" s="50" t="str">
        <f t="shared" si="148"/>
        <v/>
      </c>
      <c r="V1566" s="50" t="str">
        <f t="shared" si="146"/>
        <v/>
      </c>
      <c r="W1566" s="50"/>
      <c r="X1566" s="50"/>
      <c r="Y1566" s="50"/>
      <c r="Z1566" s="50" t="s">
        <v>3406</v>
      </c>
      <c r="AA1566" s="50"/>
    </row>
    <row r="1567" spans="1:27" ht="25.5" customHeight="1">
      <c r="A1567" s="517" t="s">
        <v>2286</v>
      </c>
      <c r="B1567" s="51" t="s">
        <v>1309</v>
      </c>
      <c r="C1567" s="51" t="s">
        <v>143</v>
      </c>
      <c r="D1567" s="51" t="s">
        <v>3509</v>
      </c>
      <c r="E1567" s="50">
        <v>6430</v>
      </c>
      <c r="F1567" s="50">
        <v>5945</v>
      </c>
      <c r="G1567" s="50" t="s">
        <v>3404</v>
      </c>
      <c r="H1567" s="50">
        <v>2024</v>
      </c>
      <c r="I1567" s="132">
        <v>45519</v>
      </c>
      <c r="J1567" s="50"/>
      <c r="K1567" s="50" t="s">
        <v>26</v>
      </c>
      <c r="L1567" s="50" t="s">
        <v>2289</v>
      </c>
      <c r="M1567" s="50" t="s">
        <v>212</v>
      </c>
      <c r="N1567" s="50"/>
      <c r="O1567" s="50"/>
      <c r="P1567" s="50"/>
      <c r="Q1567" s="50"/>
      <c r="R1567" s="50"/>
      <c r="S1567" s="50" t="str">
        <f t="shared" si="145"/>
        <v/>
      </c>
      <c r="T1567" s="50" t="str">
        <f t="shared" si="147"/>
        <v/>
      </c>
      <c r="U1567" s="50" t="str">
        <f t="shared" si="148"/>
        <v/>
      </c>
      <c r="V1567" s="50" t="str">
        <f t="shared" si="146"/>
        <v/>
      </c>
      <c r="W1567" s="50"/>
      <c r="X1567" s="50" t="s">
        <v>4</v>
      </c>
      <c r="Y1567" s="50" t="s">
        <v>50</v>
      </c>
      <c r="Z1567" s="50" t="s">
        <v>3406</v>
      </c>
      <c r="AA1567" s="50"/>
    </row>
    <row r="1568" spans="1:27" s="110" customFormat="1" ht="25.5" customHeight="1">
      <c r="A1568" s="517" t="s">
        <v>2286</v>
      </c>
      <c r="B1568" s="51" t="s">
        <v>1309</v>
      </c>
      <c r="C1568" s="51" t="s">
        <v>143</v>
      </c>
      <c r="D1568" s="51" t="s">
        <v>5113</v>
      </c>
      <c r="E1568" s="50">
        <v>1649</v>
      </c>
      <c r="F1568" s="50">
        <v>2887</v>
      </c>
      <c r="G1568" s="50" t="s">
        <v>3404</v>
      </c>
      <c r="H1568" s="50">
        <v>2025</v>
      </c>
      <c r="I1568" s="132">
        <v>45855</v>
      </c>
      <c r="J1568" s="50" t="s">
        <v>3126</v>
      </c>
      <c r="K1568" s="50" t="s">
        <v>26</v>
      </c>
      <c r="L1568" s="50" t="s">
        <v>2289</v>
      </c>
      <c r="M1568" s="50" t="s">
        <v>212</v>
      </c>
      <c r="N1568" s="50" t="s">
        <v>5114</v>
      </c>
      <c r="O1568" s="60">
        <v>45859</v>
      </c>
      <c r="P1568" s="60">
        <v>45869</v>
      </c>
      <c r="Q1568" s="60">
        <v>45875</v>
      </c>
      <c r="R1568" s="60">
        <v>45875</v>
      </c>
      <c r="S1568" s="50">
        <f t="shared" si="145"/>
        <v>2</v>
      </c>
      <c r="T1568" s="50">
        <f t="shared" si="147"/>
        <v>8</v>
      </c>
      <c r="U1568" s="50">
        <f t="shared" si="148"/>
        <v>4</v>
      </c>
      <c r="V1568" s="50">
        <f t="shared" si="146"/>
        <v>1</v>
      </c>
      <c r="W1568" s="50" t="s">
        <v>150</v>
      </c>
      <c r="X1568" s="50" t="s">
        <v>1078</v>
      </c>
      <c r="Y1568" s="50" t="s">
        <v>50</v>
      </c>
      <c r="Z1568" s="50" t="s">
        <v>3406</v>
      </c>
      <c r="AA1568" s="50"/>
    </row>
    <row r="1569" spans="1:27" ht="25.5" customHeight="1">
      <c r="A1569" s="517" t="s">
        <v>2286</v>
      </c>
      <c r="B1569" s="51" t="s">
        <v>1309</v>
      </c>
      <c r="C1569" s="51" t="s">
        <v>143</v>
      </c>
      <c r="D1569" s="51" t="s">
        <v>5115</v>
      </c>
      <c r="E1569" s="50">
        <v>2353</v>
      </c>
      <c r="F1569" s="50">
        <v>2069</v>
      </c>
      <c r="G1569" s="50" t="s">
        <v>3404</v>
      </c>
      <c r="H1569" s="50">
        <v>2025</v>
      </c>
      <c r="I1569" s="132">
        <v>45855</v>
      </c>
      <c r="J1569" s="50" t="s">
        <v>3126</v>
      </c>
      <c r="K1569" s="50" t="s">
        <v>26</v>
      </c>
      <c r="L1569" s="50" t="s">
        <v>2289</v>
      </c>
      <c r="M1569" s="50" t="s">
        <v>212</v>
      </c>
      <c r="N1569" s="50" t="s">
        <v>5116</v>
      </c>
      <c r="O1569" s="60">
        <v>45859</v>
      </c>
      <c r="P1569" s="60">
        <v>45862</v>
      </c>
      <c r="Q1569" s="60">
        <v>45862</v>
      </c>
      <c r="R1569" s="60">
        <v>45866</v>
      </c>
      <c r="S1569" s="50">
        <f t="shared" si="145"/>
        <v>2</v>
      </c>
      <c r="T1569" s="50">
        <f t="shared" si="147"/>
        <v>3</v>
      </c>
      <c r="U1569" s="50">
        <f t="shared" si="148"/>
        <v>1</v>
      </c>
      <c r="V1569" s="50">
        <f t="shared" si="146"/>
        <v>2</v>
      </c>
      <c r="W1569" s="50" t="s">
        <v>150</v>
      </c>
      <c r="X1569" s="50" t="s">
        <v>1078</v>
      </c>
      <c r="Y1569" s="50" t="s">
        <v>50</v>
      </c>
      <c r="Z1569" s="50" t="s">
        <v>3406</v>
      </c>
      <c r="AA1569" s="50"/>
    </row>
    <row r="1570" spans="1:27" ht="25.5" customHeight="1">
      <c r="A1570" s="517" t="s">
        <v>2286</v>
      </c>
      <c r="B1570" s="51" t="s">
        <v>1309</v>
      </c>
      <c r="C1570" s="51" t="s">
        <v>143</v>
      </c>
      <c r="D1570" s="51" t="s">
        <v>5117</v>
      </c>
      <c r="E1570" s="50">
        <v>1251</v>
      </c>
      <c r="F1570" s="50">
        <v>1133</v>
      </c>
      <c r="G1570" s="50" t="s">
        <v>3404</v>
      </c>
      <c r="H1570" s="50">
        <v>2025</v>
      </c>
      <c r="I1570" s="132">
        <v>45680</v>
      </c>
      <c r="J1570" s="50" t="s">
        <v>3458</v>
      </c>
      <c r="K1570" s="50" t="s">
        <v>26</v>
      </c>
      <c r="L1570" s="50" t="s">
        <v>2289</v>
      </c>
      <c r="M1570" s="50" t="s">
        <v>212</v>
      </c>
      <c r="N1570" s="50" t="s">
        <v>5118</v>
      </c>
      <c r="O1570" s="60">
        <v>45686</v>
      </c>
      <c r="P1570" s="60">
        <v>45691</v>
      </c>
      <c r="Q1570" s="60">
        <v>45691</v>
      </c>
      <c r="R1570" s="60">
        <v>45691</v>
      </c>
      <c r="S1570" s="50">
        <f t="shared" si="145"/>
        <v>4</v>
      </c>
      <c r="T1570" s="50">
        <f t="shared" si="147"/>
        <v>3</v>
      </c>
      <c r="U1570" s="50">
        <f t="shared" si="148"/>
        <v>1</v>
      </c>
      <c r="V1570" s="50">
        <f t="shared" si="146"/>
        <v>1</v>
      </c>
      <c r="W1570" s="50" t="s">
        <v>150</v>
      </c>
      <c r="X1570" s="50" t="s">
        <v>4</v>
      </c>
      <c r="Y1570" s="50" t="s">
        <v>50</v>
      </c>
      <c r="Z1570" s="50" t="s">
        <v>3406</v>
      </c>
      <c r="AA1570" s="50"/>
    </row>
    <row r="1571" spans="1:27" ht="25.5" customHeight="1">
      <c r="A1571" s="517" t="s">
        <v>2286</v>
      </c>
      <c r="B1571" s="51" t="s">
        <v>1309</v>
      </c>
      <c r="C1571" s="51" t="s">
        <v>143</v>
      </c>
      <c r="D1571" s="51" t="s">
        <v>5119</v>
      </c>
      <c r="E1571" s="50">
        <v>1886</v>
      </c>
      <c r="F1571" s="50">
        <v>1894</v>
      </c>
      <c r="G1571" s="50" t="s">
        <v>3955</v>
      </c>
      <c r="H1571" s="50"/>
      <c r="I1571" s="105"/>
      <c r="J1571" s="50"/>
      <c r="K1571" s="50" t="s">
        <v>26</v>
      </c>
      <c r="L1571" s="50" t="s">
        <v>2289</v>
      </c>
      <c r="M1571" s="50" t="s">
        <v>212</v>
      </c>
      <c r="N1571" s="50"/>
      <c r="O1571" s="50"/>
      <c r="P1571" s="50"/>
      <c r="Q1571" s="50"/>
      <c r="R1571" s="50"/>
      <c r="S1571" s="50" t="str">
        <f t="shared" si="145"/>
        <v/>
      </c>
      <c r="T1571" s="50" t="str">
        <f t="shared" si="147"/>
        <v/>
      </c>
      <c r="U1571" s="50" t="str">
        <f t="shared" si="148"/>
        <v/>
      </c>
      <c r="V1571" s="50" t="str">
        <f t="shared" si="146"/>
        <v/>
      </c>
      <c r="W1571" s="50"/>
      <c r="X1571" s="50"/>
      <c r="Y1571" s="50"/>
      <c r="Z1571" s="50"/>
      <c r="AA1571" s="50"/>
    </row>
    <row r="1572" spans="1:27" ht="25.5" customHeight="1">
      <c r="A1572" s="517" t="s">
        <v>2286</v>
      </c>
      <c r="B1572" s="51" t="s">
        <v>1309</v>
      </c>
      <c r="C1572" s="51" t="s">
        <v>143</v>
      </c>
      <c r="D1572" s="51" t="s">
        <v>5120</v>
      </c>
      <c r="E1572" s="50">
        <v>912</v>
      </c>
      <c r="F1572" s="50">
        <v>1055</v>
      </c>
      <c r="G1572" s="50" t="s">
        <v>3955</v>
      </c>
      <c r="H1572" s="50"/>
      <c r="I1572" s="105"/>
      <c r="J1572" s="50"/>
      <c r="K1572" s="50" t="s">
        <v>26</v>
      </c>
      <c r="L1572" s="50" t="s">
        <v>2289</v>
      </c>
      <c r="M1572" s="50" t="s">
        <v>212</v>
      </c>
      <c r="N1572" s="50"/>
      <c r="O1572" s="50"/>
      <c r="P1572" s="50"/>
      <c r="Q1572" s="50"/>
      <c r="R1572" s="50"/>
      <c r="S1572" s="50" t="str">
        <f t="shared" si="145"/>
        <v/>
      </c>
      <c r="T1572" s="50" t="str">
        <f t="shared" si="147"/>
        <v/>
      </c>
      <c r="U1572" s="50" t="str">
        <f t="shared" si="148"/>
        <v/>
      </c>
      <c r="V1572" s="50" t="str">
        <f t="shared" si="146"/>
        <v/>
      </c>
      <c r="W1572" s="50"/>
      <c r="X1572" s="50"/>
      <c r="Y1572" s="50"/>
      <c r="Z1572" s="50"/>
      <c r="AA1572" s="50"/>
    </row>
    <row r="1573" spans="1:27" s="110" customFormat="1" ht="25.5" customHeight="1">
      <c r="A1573" s="517" t="s">
        <v>2286</v>
      </c>
      <c r="B1573" s="51" t="s">
        <v>1309</v>
      </c>
      <c r="C1573" s="51" t="s">
        <v>143</v>
      </c>
      <c r="D1573" s="51" t="s">
        <v>5121</v>
      </c>
      <c r="E1573" s="50">
        <v>1929</v>
      </c>
      <c r="F1573" s="50">
        <v>1550</v>
      </c>
      <c r="G1573" s="50" t="s">
        <v>3404</v>
      </c>
      <c r="H1573" s="50">
        <v>2024</v>
      </c>
      <c r="I1573" s="132">
        <v>45552</v>
      </c>
      <c r="J1573" s="50"/>
      <c r="K1573" s="50" t="s">
        <v>26</v>
      </c>
      <c r="L1573" s="50" t="s">
        <v>2289</v>
      </c>
      <c r="M1573" s="50" t="s">
        <v>212</v>
      </c>
      <c r="N1573" s="50"/>
      <c r="O1573" s="50"/>
      <c r="P1573" s="50"/>
      <c r="Q1573" s="50"/>
      <c r="R1573" s="50"/>
      <c r="S1573" s="50" t="str">
        <f t="shared" si="145"/>
        <v/>
      </c>
      <c r="T1573" s="50" t="str">
        <f t="shared" si="147"/>
        <v/>
      </c>
      <c r="U1573" s="50" t="str">
        <f t="shared" si="148"/>
        <v/>
      </c>
      <c r="V1573" s="50" t="str">
        <f t="shared" si="146"/>
        <v/>
      </c>
      <c r="W1573" s="50"/>
      <c r="X1573" s="50" t="s">
        <v>4</v>
      </c>
      <c r="Y1573" s="50" t="s">
        <v>50</v>
      </c>
      <c r="Z1573" s="50" t="s">
        <v>3406</v>
      </c>
      <c r="AA1573" s="50"/>
    </row>
    <row r="1574" spans="1:27" ht="25.5" customHeight="1">
      <c r="A1574" s="517" t="s">
        <v>2286</v>
      </c>
      <c r="B1574" s="51" t="s">
        <v>1309</v>
      </c>
      <c r="C1574" s="51" t="s">
        <v>143</v>
      </c>
      <c r="D1574" s="51" t="s">
        <v>5122</v>
      </c>
      <c r="E1574" s="50">
        <v>2651</v>
      </c>
      <c r="F1574" s="50">
        <v>3048</v>
      </c>
      <c r="G1574" s="50" t="s">
        <v>3404</v>
      </c>
      <c r="H1574" s="50">
        <v>2024</v>
      </c>
      <c r="I1574" s="132">
        <v>45519</v>
      </c>
      <c r="J1574" s="50"/>
      <c r="K1574" s="50" t="s">
        <v>26</v>
      </c>
      <c r="L1574" s="50" t="s">
        <v>2289</v>
      </c>
      <c r="M1574" s="50" t="s">
        <v>212</v>
      </c>
      <c r="N1574" s="50"/>
      <c r="O1574" s="50"/>
      <c r="P1574" s="50"/>
      <c r="Q1574" s="50"/>
      <c r="R1574" s="50"/>
      <c r="S1574" s="50" t="str">
        <f t="shared" si="145"/>
        <v/>
      </c>
      <c r="T1574" s="50" t="str">
        <f t="shared" si="147"/>
        <v/>
      </c>
      <c r="U1574" s="50" t="str">
        <f t="shared" si="148"/>
        <v/>
      </c>
      <c r="V1574" s="50" t="str">
        <f t="shared" si="146"/>
        <v/>
      </c>
      <c r="W1574" s="50"/>
      <c r="X1574" s="50" t="s">
        <v>4</v>
      </c>
      <c r="Y1574" s="50" t="s">
        <v>50</v>
      </c>
      <c r="Z1574" s="50" t="s">
        <v>3406</v>
      </c>
      <c r="AA1574" s="50"/>
    </row>
    <row r="1575" spans="1:27" ht="25.5" customHeight="1">
      <c r="A1575" s="517" t="s">
        <v>2286</v>
      </c>
      <c r="B1575" s="51" t="s">
        <v>1309</v>
      </c>
      <c r="C1575" s="51" t="s">
        <v>143</v>
      </c>
      <c r="D1575" s="51" t="s">
        <v>5123</v>
      </c>
      <c r="E1575" s="50">
        <v>5314</v>
      </c>
      <c r="F1575" s="50">
        <v>5772</v>
      </c>
      <c r="G1575" s="50" t="s">
        <v>3404</v>
      </c>
      <c r="H1575" s="50">
        <v>2024</v>
      </c>
      <c r="I1575" s="132">
        <v>45601</v>
      </c>
      <c r="J1575" s="50"/>
      <c r="K1575" s="50" t="s">
        <v>26</v>
      </c>
      <c r="L1575" s="50" t="s">
        <v>2289</v>
      </c>
      <c r="M1575" s="50" t="s">
        <v>212</v>
      </c>
      <c r="N1575" s="50"/>
      <c r="O1575" s="50"/>
      <c r="P1575" s="50"/>
      <c r="Q1575" s="50"/>
      <c r="R1575" s="50"/>
      <c r="S1575" s="50" t="str">
        <f t="shared" si="145"/>
        <v/>
      </c>
      <c r="T1575" s="50" t="str">
        <f t="shared" si="147"/>
        <v/>
      </c>
      <c r="U1575" s="50" t="str">
        <f t="shared" si="148"/>
        <v/>
      </c>
      <c r="V1575" s="50" t="str">
        <f t="shared" si="146"/>
        <v/>
      </c>
      <c r="W1575" s="50"/>
      <c r="X1575" s="50" t="s">
        <v>4</v>
      </c>
      <c r="Y1575" s="50" t="s">
        <v>50</v>
      </c>
      <c r="Z1575" s="50" t="s">
        <v>3406</v>
      </c>
      <c r="AA1575" s="50"/>
    </row>
    <row r="1576" spans="1:27" ht="25.5" customHeight="1">
      <c r="A1576" s="517" t="s">
        <v>2286</v>
      </c>
      <c r="B1576" s="51" t="s">
        <v>1309</v>
      </c>
      <c r="C1576" s="51" t="s">
        <v>143</v>
      </c>
      <c r="D1576" s="51" t="s">
        <v>1867</v>
      </c>
      <c r="E1576" s="50">
        <v>7756</v>
      </c>
      <c r="F1576" s="50">
        <v>8614</v>
      </c>
      <c r="G1576" s="50" t="s">
        <v>3404</v>
      </c>
      <c r="H1576" s="50">
        <v>2024</v>
      </c>
      <c r="I1576" s="132">
        <v>45601</v>
      </c>
      <c r="J1576" s="50"/>
      <c r="K1576" s="50" t="s">
        <v>26</v>
      </c>
      <c r="L1576" s="50" t="s">
        <v>2289</v>
      </c>
      <c r="M1576" s="50" t="s">
        <v>212</v>
      </c>
      <c r="N1576" s="50"/>
      <c r="O1576" s="50"/>
      <c r="P1576" s="50"/>
      <c r="Q1576" s="50"/>
      <c r="R1576" s="50"/>
      <c r="S1576" s="50" t="str">
        <f t="shared" si="145"/>
        <v/>
      </c>
      <c r="T1576" s="50" t="str">
        <f t="shared" si="147"/>
        <v/>
      </c>
      <c r="U1576" s="50" t="str">
        <f t="shared" si="148"/>
        <v/>
      </c>
      <c r="V1576" s="50" t="str">
        <f t="shared" si="146"/>
        <v/>
      </c>
      <c r="W1576" s="50"/>
      <c r="X1576" s="50" t="s">
        <v>4</v>
      </c>
      <c r="Y1576" s="50" t="s">
        <v>50</v>
      </c>
      <c r="Z1576" s="50" t="s">
        <v>3406</v>
      </c>
      <c r="AA1576" s="50"/>
    </row>
    <row r="1577" spans="1:27" s="110" customFormat="1" ht="25.5" customHeight="1">
      <c r="A1577" s="517" t="s">
        <v>2286</v>
      </c>
      <c r="B1577" s="51" t="s">
        <v>1309</v>
      </c>
      <c r="C1577" s="51" t="s">
        <v>143</v>
      </c>
      <c r="D1577" s="51" t="s">
        <v>5124</v>
      </c>
      <c r="E1577" s="50">
        <v>2036</v>
      </c>
      <c r="F1577" s="50">
        <v>2595</v>
      </c>
      <c r="G1577" s="50" t="s">
        <v>3955</v>
      </c>
      <c r="H1577" s="50"/>
      <c r="I1577" s="105"/>
      <c r="J1577" s="50"/>
      <c r="K1577" s="50" t="s">
        <v>26</v>
      </c>
      <c r="L1577" s="50" t="s">
        <v>2289</v>
      </c>
      <c r="M1577" s="50" t="s">
        <v>212</v>
      </c>
      <c r="N1577" s="50"/>
      <c r="O1577" s="50"/>
      <c r="P1577" s="50"/>
      <c r="Q1577" s="50"/>
      <c r="R1577" s="50"/>
      <c r="S1577" s="50" t="str">
        <f t="shared" si="145"/>
        <v/>
      </c>
      <c r="T1577" s="50" t="str">
        <f t="shared" si="147"/>
        <v/>
      </c>
      <c r="U1577" s="50" t="str">
        <f t="shared" si="148"/>
        <v/>
      </c>
      <c r="V1577" s="50" t="str">
        <f t="shared" si="146"/>
        <v/>
      </c>
      <c r="W1577" s="50"/>
      <c r="X1577" s="50"/>
      <c r="Y1577" s="50"/>
      <c r="Z1577" s="50"/>
      <c r="AA1577" s="50"/>
    </row>
    <row r="1578" spans="1:27" ht="25.5" customHeight="1">
      <c r="A1578" s="517" t="s">
        <v>2286</v>
      </c>
      <c r="B1578" s="51" t="s">
        <v>1309</v>
      </c>
      <c r="C1578" s="51" t="s">
        <v>143</v>
      </c>
      <c r="D1578" s="51" t="s">
        <v>5125</v>
      </c>
      <c r="E1578" s="50">
        <v>4718</v>
      </c>
      <c r="F1578" s="50">
        <v>5317</v>
      </c>
      <c r="G1578" s="50" t="s">
        <v>3955</v>
      </c>
      <c r="H1578" s="50"/>
      <c r="I1578" s="105"/>
      <c r="J1578" s="50"/>
      <c r="K1578" s="50" t="s">
        <v>26</v>
      </c>
      <c r="L1578" s="50" t="s">
        <v>2289</v>
      </c>
      <c r="M1578" s="50" t="s">
        <v>212</v>
      </c>
      <c r="N1578" s="50"/>
      <c r="O1578" s="50"/>
      <c r="P1578" s="50"/>
      <c r="Q1578" s="50"/>
      <c r="R1578" s="50"/>
      <c r="S1578" s="50" t="str">
        <f t="shared" si="145"/>
        <v/>
      </c>
      <c r="T1578" s="50" t="str">
        <f t="shared" si="147"/>
        <v/>
      </c>
      <c r="U1578" s="50" t="str">
        <f t="shared" si="148"/>
        <v/>
      </c>
      <c r="V1578" s="50" t="str">
        <f t="shared" si="146"/>
        <v/>
      </c>
      <c r="W1578" s="50"/>
      <c r="X1578" s="50"/>
      <c r="Y1578" s="50"/>
      <c r="Z1578" s="50"/>
      <c r="AA1578" s="50"/>
    </row>
    <row r="1579" spans="1:27" ht="25.5" customHeight="1">
      <c r="A1579" s="517" t="s">
        <v>2286</v>
      </c>
      <c r="B1579" s="51" t="s">
        <v>1309</v>
      </c>
      <c r="C1579" s="51" t="s">
        <v>143</v>
      </c>
      <c r="D1579" s="51" t="s">
        <v>5126</v>
      </c>
      <c r="E1579" s="50">
        <v>986</v>
      </c>
      <c r="F1579" s="50">
        <v>1062</v>
      </c>
      <c r="G1579" s="50" t="s">
        <v>3955</v>
      </c>
      <c r="H1579" s="50"/>
      <c r="I1579" s="105"/>
      <c r="J1579" s="50"/>
      <c r="K1579" s="50" t="s">
        <v>26</v>
      </c>
      <c r="L1579" s="50" t="s">
        <v>2289</v>
      </c>
      <c r="M1579" s="50" t="s">
        <v>212</v>
      </c>
      <c r="N1579" s="50"/>
      <c r="O1579" s="50"/>
      <c r="P1579" s="50"/>
      <c r="Q1579" s="50"/>
      <c r="R1579" s="50"/>
      <c r="S1579" s="50" t="str">
        <f t="shared" si="145"/>
        <v/>
      </c>
      <c r="T1579" s="50" t="str">
        <f t="shared" si="147"/>
        <v/>
      </c>
      <c r="U1579" s="50" t="str">
        <f t="shared" si="148"/>
        <v/>
      </c>
      <c r="V1579" s="50" t="str">
        <f t="shared" si="146"/>
        <v/>
      </c>
      <c r="W1579" s="50"/>
      <c r="X1579" s="50"/>
      <c r="Y1579" s="50"/>
      <c r="Z1579" s="50"/>
      <c r="AA1579" s="50"/>
    </row>
    <row r="1580" spans="1:27" ht="25.5" customHeight="1">
      <c r="A1580" s="517" t="s">
        <v>2286</v>
      </c>
      <c r="B1580" s="51" t="s">
        <v>1309</v>
      </c>
      <c r="C1580" s="51" t="s">
        <v>143</v>
      </c>
      <c r="D1580" s="51" t="s">
        <v>5127</v>
      </c>
      <c r="E1580" s="50">
        <v>3066</v>
      </c>
      <c r="F1580" s="50">
        <v>3968</v>
      </c>
      <c r="G1580" s="50" t="s">
        <v>3404</v>
      </c>
      <c r="H1580" s="50">
        <v>2025</v>
      </c>
      <c r="I1580" s="132">
        <v>45877</v>
      </c>
      <c r="J1580" s="50" t="s">
        <v>3126</v>
      </c>
      <c r="K1580" s="50" t="s">
        <v>26</v>
      </c>
      <c r="L1580" s="50" t="s">
        <v>2289</v>
      </c>
      <c r="M1580" s="50" t="s">
        <v>212</v>
      </c>
      <c r="N1580" s="50" t="s">
        <v>5128</v>
      </c>
      <c r="O1580" s="60">
        <v>45884</v>
      </c>
      <c r="P1580" s="60">
        <v>45887</v>
      </c>
      <c r="Q1580" s="60">
        <v>45888</v>
      </c>
      <c r="R1580" s="60">
        <v>45888</v>
      </c>
      <c r="S1580" s="50">
        <f t="shared" si="145"/>
        <v>5</v>
      </c>
      <c r="T1580" s="50">
        <f t="shared" si="147"/>
        <v>1</v>
      </c>
      <c r="U1580" s="50">
        <f t="shared" si="148"/>
        <v>1</v>
      </c>
      <c r="V1580" s="50">
        <f t="shared" si="146"/>
        <v>1</v>
      </c>
      <c r="W1580" s="50" t="s">
        <v>150</v>
      </c>
      <c r="X1580" s="50" t="s">
        <v>1078</v>
      </c>
      <c r="Y1580" s="50" t="s">
        <v>50</v>
      </c>
      <c r="Z1580" s="50" t="s">
        <v>3406</v>
      </c>
      <c r="AA1580" s="50"/>
    </row>
    <row r="1581" spans="1:27" ht="25.5" customHeight="1">
      <c r="A1581" s="517" t="s">
        <v>2286</v>
      </c>
      <c r="B1581" s="51" t="s">
        <v>1309</v>
      </c>
      <c r="C1581" s="51" t="s">
        <v>143</v>
      </c>
      <c r="D1581" s="51" t="s">
        <v>5129</v>
      </c>
      <c r="E1581" s="50">
        <v>1634</v>
      </c>
      <c r="F1581" s="50">
        <v>1657</v>
      </c>
      <c r="G1581" s="50" t="s">
        <v>3404</v>
      </c>
      <c r="H1581" s="50">
        <v>2025</v>
      </c>
      <c r="I1581" s="132">
        <v>45909</v>
      </c>
      <c r="J1581" s="50" t="s">
        <v>3127</v>
      </c>
      <c r="K1581" s="50" t="s">
        <v>26</v>
      </c>
      <c r="L1581" s="50" t="s">
        <v>2289</v>
      </c>
      <c r="M1581" s="50" t="s">
        <v>212</v>
      </c>
      <c r="N1581" s="50" t="s">
        <v>5130</v>
      </c>
      <c r="O1581" s="60">
        <v>45917</v>
      </c>
      <c r="P1581" s="60">
        <v>45918</v>
      </c>
      <c r="Q1581" s="60">
        <v>45918</v>
      </c>
      <c r="R1581" s="60">
        <v>45918</v>
      </c>
      <c r="S1581" s="50">
        <f t="shared" si="145"/>
        <v>6</v>
      </c>
      <c r="T1581" s="50">
        <f t="shared" si="147"/>
        <v>1</v>
      </c>
      <c r="U1581" s="50">
        <f t="shared" si="148"/>
        <v>1</v>
      </c>
      <c r="V1581" s="50">
        <f t="shared" si="146"/>
        <v>1</v>
      </c>
      <c r="W1581" s="50" t="s">
        <v>150</v>
      </c>
      <c r="X1581" s="50" t="s">
        <v>4</v>
      </c>
      <c r="Y1581" s="50" t="s">
        <v>50</v>
      </c>
      <c r="Z1581" s="50" t="s">
        <v>3406</v>
      </c>
      <c r="AA1581" s="50"/>
    </row>
    <row r="1582" spans="1:27" ht="25.5" customHeight="1">
      <c r="A1582" s="517" t="s">
        <v>2286</v>
      </c>
      <c r="B1582" s="51" t="s">
        <v>1309</v>
      </c>
      <c r="C1582" s="51" t="s">
        <v>143</v>
      </c>
      <c r="D1582" s="51" t="s">
        <v>5131</v>
      </c>
      <c r="E1582" s="50">
        <v>2139</v>
      </c>
      <c r="F1582" s="50">
        <v>1867</v>
      </c>
      <c r="G1582" s="50" t="s">
        <v>3404</v>
      </c>
      <c r="H1582" s="50">
        <v>2024</v>
      </c>
      <c r="I1582" s="132">
        <v>45456</v>
      </c>
      <c r="J1582" s="50"/>
      <c r="K1582" s="50" t="s">
        <v>26</v>
      </c>
      <c r="L1582" s="50" t="s">
        <v>2289</v>
      </c>
      <c r="M1582" s="50" t="s">
        <v>212</v>
      </c>
      <c r="N1582" s="50"/>
      <c r="O1582" s="50"/>
      <c r="P1582" s="50"/>
      <c r="Q1582" s="50"/>
      <c r="R1582" s="50"/>
      <c r="S1582" s="50" t="str">
        <f t="shared" si="145"/>
        <v/>
      </c>
      <c r="T1582" s="50" t="str">
        <f t="shared" si="147"/>
        <v/>
      </c>
      <c r="U1582" s="50" t="str">
        <f t="shared" si="148"/>
        <v/>
      </c>
      <c r="V1582" s="50" t="str">
        <f t="shared" si="146"/>
        <v/>
      </c>
      <c r="W1582" s="50"/>
      <c r="X1582" s="50"/>
      <c r="Y1582" s="50"/>
      <c r="Z1582" s="50" t="s">
        <v>3406</v>
      </c>
      <c r="AA1582" s="50"/>
    </row>
    <row r="1583" spans="1:27" ht="25.5" customHeight="1">
      <c r="A1583" s="517" t="s">
        <v>2286</v>
      </c>
      <c r="B1583" s="51" t="s">
        <v>1309</v>
      </c>
      <c r="C1583" s="51" t="s">
        <v>143</v>
      </c>
      <c r="D1583" s="51" t="s">
        <v>5132</v>
      </c>
      <c r="E1583" s="50">
        <v>1246</v>
      </c>
      <c r="F1583" s="50">
        <v>1218</v>
      </c>
      <c r="G1583" s="50" t="s">
        <v>3404</v>
      </c>
      <c r="H1583" s="50">
        <v>2024</v>
      </c>
      <c r="I1583" s="132">
        <v>45456</v>
      </c>
      <c r="J1583" s="50"/>
      <c r="K1583" s="50" t="s">
        <v>26</v>
      </c>
      <c r="L1583" s="50" t="s">
        <v>2289</v>
      </c>
      <c r="M1583" s="50" t="s">
        <v>212</v>
      </c>
      <c r="N1583" s="50"/>
      <c r="O1583" s="50"/>
      <c r="P1583" s="50"/>
      <c r="Q1583" s="50"/>
      <c r="R1583" s="50"/>
      <c r="S1583" s="50" t="str">
        <f t="shared" si="145"/>
        <v/>
      </c>
      <c r="T1583" s="50" t="str">
        <f t="shared" si="147"/>
        <v/>
      </c>
      <c r="U1583" s="50" t="str">
        <f t="shared" si="148"/>
        <v/>
      </c>
      <c r="V1583" s="50" t="str">
        <f t="shared" si="146"/>
        <v/>
      </c>
      <c r="W1583" s="50"/>
      <c r="X1583" s="50"/>
      <c r="Y1583" s="50"/>
      <c r="Z1583" s="50" t="s">
        <v>3406</v>
      </c>
      <c r="AA1583" s="50"/>
    </row>
    <row r="1584" spans="1:27" ht="25.5" customHeight="1">
      <c r="A1584" s="517" t="s">
        <v>2286</v>
      </c>
      <c r="B1584" s="51" t="s">
        <v>1309</v>
      </c>
      <c r="C1584" s="51" t="s">
        <v>143</v>
      </c>
      <c r="D1584" s="51" t="s">
        <v>4126</v>
      </c>
      <c r="E1584" s="50">
        <v>3475</v>
      </c>
      <c r="F1584" s="50">
        <v>4333</v>
      </c>
      <c r="G1584" s="50" t="s">
        <v>3404</v>
      </c>
      <c r="H1584" s="50">
        <v>2025</v>
      </c>
      <c r="I1584" s="132">
        <v>45674</v>
      </c>
      <c r="J1584" s="50" t="s">
        <v>3458</v>
      </c>
      <c r="K1584" s="50" t="s">
        <v>26</v>
      </c>
      <c r="L1584" s="50" t="s">
        <v>2289</v>
      </c>
      <c r="M1584" s="50" t="s">
        <v>212</v>
      </c>
      <c r="N1584" s="50" t="s">
        <v>5133</v>
      </c>
      <c r="O1584" s="60">
        <v>45674</v>
      </c>
      <c r="P1584" s="60">
        <v>45685</v>
      </c>
      <c r="Q1584" s="60">
        <v>45685</v>
      </c>
      <c r="R1584" s="60">
        <v>45687</v>
      </c>
      <c r="S1584" s="50">
        <f t="shared" si="145"/>
        <v>1</v>
      </c>
      <c r="T1584" s="50">
        <f t="shared" si="147"/>
        <v>7</v>
      </c>
      <c r="U1584" s="50">
        <f t="shared" si="148"/>
        <v>1</v>
      </c>
      <c r="V1584" s="50">
        <f t="shared" si="146"/>
        <v>2</v>
      </c>
      <c r="W1584" s="50" t="s">
        <v>150</v>
      </c>
      <c r="X1584" s="50" t="s">
        <v>1078</v>
      </c>
      <c r="Y1584" s="50" t="s">
        <v>50</v>
      </c>
      <c r="Z1584" s="50" t="s">
        <v>3406</v>
      </c>
      <c r="AA1584" s="50"/>
    </row>
    <row r="1585" spans="1:27" ht="25.5" customHeight="1">
      <c r="A1585" s="517" t="s">
        <v>2286</v>
      </c>
      <c r="B1585" s="51" t="s">
        <v>1309</v>
      </c>
      <c r="C1585" s="51" t="s">
        <v>143</v>
      </c>
      <c r="D1585" s="51" t="s">
        <v>918</v>
      </c>
      <c r="E1585" s="50">
        <v>2204</v>
      </c>
      <c r="F1585" s="50">
        <v>1890</v>
      </c>
      <c r="G1585" s="50" t="s">
        <v>3404</v>
      </c>
      <c r="H1585" s="50">
        <v>2025</v>
      </c>
      <c r="I1585" s="132">
        <v>45968</v>
      </c>
      <c r="J1585" s="50" t="s">
        <v>3129</v>
      </c>
      <c r="K1585" s="50" t="s">
        <v>26</v>
      </c>
      <c r="L1585" s="50" t="s">
        <v>2289</v>
      </c>
      <c r="M1585" s="50" t="s">
        <v>212</v>
      </c>
      <c r="N1585" s="50" t="s">
        <v>5134</v>
      </c>
      <c r="O1585" s="60">
        <v>45970</v>
      </c>
      <c r="P1585" s="60">
        <v>45972</v>
      </c>
      <c r="Q1585" s="60">
        <v>45979</v>
      </c>
      <c r="R1585" s="346">
        <v>45980</v>
      </c>
      <c r="S1585" s="50">
        <f t="shared" si="145"/>
        <v>1</v>
      </c>
      <c r="T1585" s="50">
        <f t="shared" si="147"/>
        <v>1</v>
      </c>
      <c r="U1585" s="50">
        <f t="shared" si="148"/>
        <v>5</v>
      </c>
      <c r="V1585" s="50">
        <f t="shared" si="146"/>
        <v>1</v>
      </c>
      <c r="W1585" s="50" t="s">
        <v>150</v>
      </c>
      <c r="X1585" s="50" t="s">
        <v>1078</v>
      </c>
      <c r="Y1585" s="50" t="s">
        <v>50</v>
      </c>
      <c r="Z1585" s="50" t="s">
        <v>3406</v>
      </c>
      <c r="AA1585" s="50"/>
    </row>
    <row r="1586" spans="1:27" s="110" customFormat="1" ht="25.5" customHeight="1">
      <c r="A1586" s="517" t="s">
        <v>2286</v>
      </c>
      <c r="B1586" s="51" t="s">
        <v>1309</v>
      </c>
      <c r="C1586" s="51" t="s">
        <v>143</v>
      </c>
      <c r="D1586" s="51" t="s">
        <v>5135</v>
      </c>
      <c r="E1586" s="50">
        <v>1039</v>
      </c>
      <c r="F1586" s="50">
        <v>1205</v>
      </c>
      <c r="G1586" s="50" t="s">
        <v>3955</v>
      </c>
      <c r="H1586" s="50"/>
      <c r="I1586" s="105"/>
      <c r="J1586" s="50"/>
      <c r="K1586" s="50" t="s">
        <v>26</v>
      </c>
      <c r="L1586" s="50" t="s">
        <v>2289</v>
      </c>
      <c r="M1586" s="50" t="s">
        <v>212</v>
      </c>
      <c r="N1586" s="50"/>
      <c r="O1586" s="50"/>
      <c r="P1586" s="50"/>
      <c r="Q1586" s="50"/>
      <c r="R1586" s="50"/>
      <c r="S1586" s="50" t="str">
        <f t="shared" si="145"/>
        <v/>
      </c>
      <c r="T1586" s="50" t="str">
        <f t="shared" si="147"/>
        <v/>
      </c>
      <c r="U1586" s="50" t="str">
        <f t="shared" si="148"/>
        <v/>
      </c>
      <c r="V1586" s="50" t="str">
        <f t="shared" si="146"/>
        <v/>
      </c>
      <c r="W1586" s="50"/>
      <c r="X1586" s="50"/>
      <c r="Y1586" s="50"/>
      <c r="Z1586" s="50"/>
      <c r="AA1586" s="50"/>
    </row>
    <row r="1587" spans="1:27" ht="25.5" customHeight="1">
      <c r="A1587" s="517" t="s">
        <v>2286</v>
      </c>
      <c r="B1587" s="51" t="s">
        <v>1309</v>
      </c>
      <c r="C1587" s="51" t="s">
        <v>143</v>
      </c>
      <c r="D1587" s="51" t="s">
        <v>5136</v>
      </c>
      <c r="E1587" s="50">
        <v>7065</v>
      </c>
      <c r="F1587" s="50">
        <v>7294</v>
      </c>
      <c r="G1587" s="50" t="s">
        <v>3404</v>
      </c>
      <c r="H1587" s="50">
        <v>2024</v>
      </c>
      <c r="I1587" s="132">
        <v>45552</v>
      </c>
      <c r="J1587" s="50"/>
      <c r="K1587" s="50" t="s">
        <v>26</v>
      </c>
      <c r="L1587" s="50" t="s">
        <v>2289</v>
      </c>
      <c r="M1587" s="50" t="s">
        <v>212</v>
      </c>
      <c r="N1587" s="50"/>
      <c r="O1587" s="50"/>
      <c r="P1587" s="50"/>
      <c r="Q1587" s="50"/>
      <c r="R1587" s="50"/>
      <c r="S1587" s="50" t="str">
        <f t="shared" si="145"/>
        <v/>
      </c>
      <c r="T1587" s="50" t="str">
        <f t="shared" si="147"/>
        <v/>
      </c>
      <c r="U1587" s="50" t="str">
        <f t="shared" si="148"/>
        <v/>
      </c>
      <c r="V1587" s="50" t="str">
        <f t="shared" si="146"/>
        <v/>
      </c>
      <c r="W1587" s="50"/>
      <c r="X1587" s="50" t="s">
        <v>4</v>
      </c>
      <c r="Y1587" s="50" t="s">
        <v>50</v>
      </c>
      <c r="Z1587" s="50" t="s">
        <v>3406</v>
      </c>
      <c r="AA1587" s="50"/>
    </row>
    <row r="1588" spans="1:27" s="110" customFormat="1" ht="25.5" customHeight="1">
      <c r="A1588" s="517" t="s">
        <v>2286</v>
      </c>
      <c r="B1588" s="51" t="s">
        <v>1309</v>
      </c>
      <c r="C1588" s="51" t="s">
        <v>143</v>
      </c>
      <c r="D1588" s="51" t="s">
        <v>5137</v>
      </c>
      <c r="E1588" s="50">
        <v>6252</v>
      </c>
      <c r="F1588" s="50">
        <v>6093</v>
      </c>
      <c r="G1588" s="50" t="s">
        <v>3404</v>
      </c>
      <c r="H1588" s="50">
        <v>2024</v>
      </c>
      <c r="I1588" s="132">
        <v>45552</v>
      </c>
      <c r="J1588" s="50"/>
      <c r="K1588" s="50" t="s">
        <v>26</v>
      </c>
      <c r="L1588" s="50" t="s">
        <v>2289</v>
      </c>
      <c r="M1588" s="50" t="s">
        <v>212</v>
      </c>
      <c r="N1588" s="50"/>
      <c r="O1588" s="50"/>
      <c r="P1588" s="50"/>
      <c r="Q1588" s="50"/>
      <c r="R1588" s="50"/>
      <c r="S1588" s="50" t="str">
        <f t="shared" si="145"/>
        <v/>
      </c>
      <c r="T1588" s="50" t="str">
        <f t="shared" si="147"/>
        <v/>
      </c>
      <c r="U1588" s="50" t="str">
        <f t="shared" si="148"/>
        <v/>
      </c>
      <c r="V1588" s="50" t="str">
        <f t="shared" si="146"/>
        <v/>
      </c>
      <c r="W1588" s="50"/>
      <c r="X1588" s="50" t="s">
        <v>4</v>
      </c>
      <c r="Y1588" s="50" t="s">
        <v>50</v>
      </c>
      <c r="Z1588" s="50" t="s">
        <v>3406</v>
      </c>
      <c r="AA1588" s="50"/>
    </row>
    <row r="1589" spans="1:27" ht="25.5" customHeight="1">
      <c r="A1589" s="517" t="s">
        <v>2286</v>
      </c>
      <c r="B1589" s="51" t="s">
        <v>1309</v>
      </c>
      <c r="C1589" s="51" t="s">
        <v>143</v>
      </c>
      <c r="D1589" s="51" t="s">
        <v>5138</v>
      </c>
      <c r="E1589" s="50">
        <v>8780</v>
      </c>
      <c r="F1589" s="50">
        <v>9851</v>
      </c>
      <c r="G1589" s="50" t="s">
        <v>3955</v>
      </c>
      <c r="H1589" s="50"/>
      <c r="I1589" s="105"/>
      <c r="J1589" s="50"/>
      <c r="K1589" s="50" t="s">
        <v>26</v>
      </c>
      <c r="L1589" s="50" t="s">
        <v>2289</v>
      </c>
      <c r="M1589" s="50" t="s">
        <v>212</v>
      </c>
      <c r="N1589" s="50"/>
      <c r="O1589" s="50"/>
      <c r="P1589" s="50"/>
      <c r="Q1589" s="50"/>
      <c r="R1589" s="50"/>
      <c r="S1589" s="50" t="str">
        <f t="shared" si="145"/>
        <v/>
      </c>
      <c r="T1589" s="50" t="str">
        <f t="shared" si="147"/>
        <v/>
      </c>
      <c r="U1589" s="50" t="str">
        <f t="shared" si="148"/>
        <v/>
      </c>
      <c r="V1589" s="50" t="str">
        <f t="shared" si="146"/>
        <v/>
      </c>
      <c r="W1589" s="50"/>
      <c r="X1589" s="50"/>
      <c r="Y1589" s="50"/>
      <c r="Z1589" s="50"/>
      <c r="AA1589" s="50"/>
    </row>
    <row r="1590" spans="1:27" s="110" customFormat="1" ht="25.5" customHeight="1">
      <c r="A1590" s="517" t="s">
        <v>2286</v>
      </c>
      <c r="B1590" s="51" t="s">
        <v>1309</v>
      </c>
      <c r="C1590" s="51" t="s">
        <v>143</v>
      </c>
      <c r="D1590" s="51" t="s">
        <v>3566</v>
      </c>
      <c r="E1590" s="50">
        <v>6144</v>
      </c>
      <c r="F1590" s="50">
        <v>7290</v>
      </c>
      <c r="G1590" s="50" t="s">
        <v>3955</v>
      </c>
      <c r="H1590" s="50"/>
      <c r="I1590" s="105"/>
      <c r="J1590" s="50"/>
      <c r="K1590" s="50" t="s">
        <v>26</v>
      </c>
      <c r="L1590" s="50" t="s">
        <v>2289</v>
      </c>
      <c r="M1590" s="50" t="s">
        <v>212</v>
      </c>
      <c r="N1590" s="50"/>
      <c r="O1590" s="50"/>
      <c r="P1590" s="50"/>
      <c r="Q1590" s="50"/>
      <c r="R1590" s="50"/>
      <c r="S1590" s="50" t="str">
        <f t="shared" si="145"/>
        <v/>
      </c>
      <c r="T1590" s="50" t="str">
        <f t="shared" si="147"/>
        <v/>
      </c>
      <c r="U1590" s="50" t="str">
        <f t="shared" si="148"/>
        <v/>
      </c>
      <c r="V1590" s="50" t="str">
        <f t="shared" si="146"/>
        <v/>
      </c>
      <c r="W1590" s="50"/>
      <c r="X1590" s="50"/>
      <c r="Y1590" s="50"/>
      <c r="Z1590" s="50"/>
      <c r="AA1590" s="50"/>
    </row>
    <row r="1591" spans="1:27" ht="25.5" customHeight="1">
      <c r="A1591" s="517" t="s">
        <v>2286</v>
      </c>
      <c r="B1591" s="51" t="s">
        <v>1309</v>
      </c>
      <c r="C1591" s="51" t="s">
        <v>143</v>
      </c>
      <c r="D1591" s="51" t="s">
        <v>5139</v>
      </c>
      <c r="E1591" s="50">
        <v>6333</v>
      </c>
      <c r="F1591" s="50">
        <v>6473</v>
      </c>
      <c r="G1591" s="50" t="s">
        <v>3404</v>
      </c>
      <c r="H1591" s="50">
        <v>2025</v>
      </c>
      <c r="I1591" s="132">
        <v>45714</v>
      </c>
      <c r="J1591" s="50" t="s">
        <v>3416</v>
      </c>
      <c r="K1591" s="50" t="s">
        <v>26</v>
      </c>
      <c r="L1591" s="50" t="s">
        <v>2289</v>
      </c>
      <c r="M1591" s="50" t="s">
        <v>212</v>
      </c>
      <c r="N1591" s="50" t="s">
        <v>5140</v>
      </c>
      <c r="O1591" s="60">
        <v>45720</v>
      </c>
      <c r="P1591" s="60">
        <v>45720</v>
      </c>
      <c r="Q1591" s="60">
        <v>45720</v>
      </c>
      <c r="R1591" s="60">
        <v>45721</v>
      </c>
      <c r="S1591" s="50">
        <f t="shared" si="145"/>
        <v>4</v>
      </c>
      <c r="T1591" s="50">
        <f t="shared" si="147"/>
        <v>1</v>
      </c>
      <c r="U1591" s="50">
        <f t="shared" si="148"/>
        <v>1</v>
      </c>
      <c r="V1591" s="50">
        <f t="shared" si="146"/>
        <v>1</v>
      </c>
      <c r="W1591" s="50" t="s">
        <v>150</v>
      </c>
      <c r="X1591" s="50" t="s">
        <v>1078</v>
      </c>
      <c r="Y1591" s="50" t="s">
        <v>50</v>
      </c>
      <c r="Z1591" s="50" t="s">
        <v>3406</v>
      </c>
      <c r="AA1591" s="50"/>
    </row>
    <row r="1592" spans="1:27" ht="25.5" customHeight="1">
      <c r="A1592" s="517" t="s">
        <v>2286</v>
      </c>
      <c r="B1592" s="51" t="s">
        <v>1309</v>
      </c>
      <c r="C1592" s="51" t="s">
        <v>143</v>
      </c>
      <c r="D1592" s="51" t="s">
        <v>5141</v>
      </c>
      <c r="E1592" s="50">
        <v>1534</v>
      </c>
      <c r="F1592" s="50">
        <v>1800</v>
      </c>
      <c r="G1592" s="50" t="s">
        <v>3955</v>
      </c>
      <c r="H1592" s="50"/>
      <c r="I1592" s="105"/>
      <c r="J1592" s="50"/>
      <c r="K1592" s="50" t="s">
        <v>26</v>
      </c>
      <c r="L1592" s="50" t="s">
        <v>2289</v>
      </c>
      <c r="M1592" s="50" t="s">
        <v>212</v>
      </c>
      <c r="N1592" s="50"/>
      <c r="O1592" s="50"/>
      <c r="P1592" s="50"/>
      <c r="Q1592" s="50"/>
      <c r="R1592" s="50"/>
      <c r="S1592" s="50" t="str">
        <f t="shared" si="145"/>
        <v/>
      </c>
      <c r="T1592" s="50" t="str">
        <f t="shared" si="147"/>
        <v/>
      </c>
      <c r="U1592" s="50" t="str">
        <f t="shared" si="148"/>
        <v/>
      </c>
      <c r="V1592" s="50" t="str">
        <f t="shared" si="146"/>
        <v/>
      </c>
      <c r="W1592" s="50"/>
      <c r="X1592" s="50"/>
      <c r="Y1592" s="50"/>
      <c r="Z1592" s="50"/>
      <c r="AA1592" s="50"/>
    </row>
    <row r="1593" spans="1:27" ht="25.5" customHeight="1">
      <c r="A1593" s="517" t="s">
        <v>2286</v>
      </c>
      <c r="B1593" s="51" t="s">
        <v>1309</v>
      </c>
      <c r="C1593" s="51" t="s">
        <v>143</v>
      </c>
      <c r="D1593" s="51" t="s">
        <v>5142</v>
      </c>
      <c r="E1593" s="50">
        <v>1208</v>
      </c>
      <c r="F1593" s="50">
        <v>1258</v>
      </c>
      <c r="G1593" s="50" t="s">
        <v>3955</v>
      </c>
      <c r="H1593" s="50"/>
      <c r="I1593" s="105"/>
      <c r="J1593" s="50"/>
      <c r="K1593" s="50" t="s">
        <v>26</v>
      </c>
      <c r="L1593" s="50" t="s">
        <v>2289</v>
      </c>
      <c r="M1593" s="50" t="s">
        <v>212</v>
      </c>
      <c r="N1593" s="50"/>
      <c r="O1593" s="50"/>
      <c r="P1593" s="50"/>
      <c r="Q1593" s="50"/>
      <c r="R1593" s="50"/>
      <c r="S1593" s="50" t="str">
        <f t="shared" si="145"/>
        <v/>
      </c>
      <c r="T1593" s="50" t="str">
        <f t="shared" si="147"/>
        <v/>
      </c>
      <c r="U1593" s="50" t="str">
        <f t="shared" si="148"/>
        <v/>
      </c>
      <c r="V1593" s="50" t="str">
        <f t="shared" si="146"/>
        <v/>
      </c>
      <c r="W1593" s="50"/>
      <c r="X1593" s="50"/>
      <c r="Y1593" s="50"/>
      <c r="Z1593" s="50"/>
      <c r="AA1593" s="50"/>
    </row>
    <row r="1594" spans="1:27" s="110" customFormat="1" ht="25.5" customHeight="1">
      <c r="A1594" s="517" t="s">
        <v>2286</v>
      </c>
      <c r="B1594" s="51" t="s">
        <v>1309</v>
      </c>
      <c r="C1594" s="51" t="s">
        <v>143</v>
      </c>
      <c r="D1594" s="51" t="s">
        <v>5143</v>
      </c>
      <c r="E1594" s="50">
        <v>4758</v>
      </c>
      <c r="F1594" s="50">
        <v>5518</v>
      </c>
      <c r="G1594" s="50" t="s">
        <v>3955</v>
      </c>
      <c r="H1594" s="50"/>
      <c r="I1594" s="105"/>
      <c r="J1594" s="50"/>
      <c r="K1594" s="50" t="s">
        <v>26</v>
      </c>
      <c r="L1594" s="50" t="s">
        <v>2289</v>
      </c>
      <c r="M1594" s="50" t="s">
        <v>212</v>
      </c>
      <c r="N1594" s="50"/>
      <c r="O1594" s="50"/>
      <c r="P1594" s="50"/>
      <c r="Q1594" s="50"/>
      <c r="R1594" s="50"/>
      <c r="S1594" s="50" t="str">
        <f t="shared" si="145"/>
        <v/>
      </c>
      <c r="T1594" s="50" t="str">
        <f t="shared" si="147"/>
        <v/>
      </c>
      <c r="U1594" s="50" t="str">
        <f t="shared" si="148"/>
        <v/>
      </c>
      <c r="V1594" s="50" t="str">
        <f t="shared" si="146"/>
        <v/>
      </c>
      <c r="W1594" s="50"/>
      <c r="X1594" s="50"/>
      <c r="Y1594" s="50"/>
      <c r="Z1594" s="50"/>
      <c r="AA1594" s="50"/>
    </row>
    <row r="1595" spans="1:27" ht="25.5" customHeight="1">
      <c r="A1595" s="517" t="s">
        <v>2286</v>
      </c>
      <c r="B1595" s="51" t="s">
        <v>1309</v>
      </c>
      <c r="C1595" s="51" t="s">
        <v>143</v>
      </c>
      <c r="D1595" s="51" t="s">
        <v>5144</v>
      </c>
      <c r="E1595" s="50">
        <v>3323</v>
      </c>
      <c r="F1595" s="50">
        <v>3468</v>
      </c>
      <c r="G1595" s="50" t="s">
        <v>3955</v>
      </c>
      <c r="H1595" s="50"/>
      <c r="I1595" s="105"/>
      <c r="J1595" s="50"/>
      <c r="K1595" s="50" t="s">
        <v>26</v>
      </c>
      <c r="L1595" s="50" t="s">
        <v>2289</v>
      </c>
      <c r="M1595" s="50" t="s">
        <v>212</v>
      </c>
      <c r="N1595" s="50"/>
      <c r="O1595" s="50"/>
      <c r="P1595" s="50"/>
      <c r="Q1595" s="50"/>
      <c r="R1595" s="50"/>
      <c r="S1595" s="50" t="str">
        <f t="shared" si="145"/>
        <v/>
      </c>
      <c r="T1595" s="50" t="str">
        <f t="shared" si="147"/>
        <v/>
      </c>
      <c r="U1595" s="50" t="str">
        <f t="shared" si="148"/>
        <v/>
      </c>
      <c r="V1595" s="50" t="str">
        <f t="shared" si="146"/>
        <v/>
      </c>
      <c r="W1595" s="50"/>
      <c r="X1595" s="50"/>
      <c r="Y1595" s="50"/>
      <c r="Z1595" s="50"/>
      <c r="AA1595" s="50"/>
    </row>
    <row r="1596" spans="1:27" s="110" customFormat="1" ht="25.5" customHeight="1">
      <c r="A1596" s="517" t="s">
        <v>2286</v>
      </c>
      <c r="B1596" s="51" t="s">
        <v>1309</v>
      </c>
      <c r="C1596" s="51" t="s">
        <v>143</v>
      </c>
      <c r="D1596" s="51" t="s">
        <v>5145</v>
      </c>
      <c r="E1596" s="50">
        <v>762</v>
      </c>
      <c r="F1596" s="50">
        <v>960</v>
      </c>
      <c r="G1596" s="50" t="s">
        <v>3955</v>
      </c>
      <c r="H1596" s="50"/>
      <c r="I1596" s="105"/>
      <c r="J1596" s="50"/>
      <c r="K1596" s="50" t="s">
        <v>26</v>
      </c>
      <c r="L1596" s="50" t="s">
        <v>2289</v>
      </c>
      <c r="M1596" s="50" t="s">
        <v>212</v>
      </c>
      <c r="N1596" s="50"/>
      <c r="O1596" s="50"/>
      <c r="P1596" s="50"/>
      <c r="Q1596" s="50"/>
      <c r="R1596" s="50"/>
      <c r="S1596" s="50" t="str">
        <f t="shared" si="145"/>
        <v/>
      </c>
      <c r="T1596" s="50" t="str">
        <f t="shared" si="147"/>
        <v/>
      </c>
      <c r="U1596" s="50" t="str">
        <f t="shared" si="148"/>
        <v/>
      </c>
      <c r="V1596" s="50" t="str">
        <f t="shared" si="146"/>
        <v/>
      </c>
      <c r="W1596" s="50"/>
      <c r="X1596" s="50"/>
      <c r="Y1596" s="50"/>
      <c r="Z1596" s="50"/>
      <c r="AA1596" s="50"/>
    </row>
    <row r="1597" spans="1:27" ht="25.5" customHeight="1">
      <c r="A1597" s="517" t="s">
        <v>2286</v>
      </c>
      <c r="B1597" s="51" t="s">
        <v>1309</v>
      </c>
      <c r="C1597" s="51" t="s">
        <v>143</v>
      </c>
      <c r="D1597" s="51" t="s">
        <v>5146</v>
      </c>
      <c r="E1597" s="50">
        <v>1851</v>
      </c>
      <c r="F1597" s="50">
        <v>2216</v>
      </c>
      <c r="G1597" s="50" t="s">
        <v>3404</v>
      </c>
      <c r="H1597" s="50">
        <v>2025</v>
      </c>
      <c r="I1597" s="132">
        <v>45968</v>
      </c>
      <c r="J1597" s="50" t="s">
        <v>3129</v>
      </c>
      <c r="K1597" s="50" t="s">
        <v>26</v>
      </c>
      <c r="L1597" s="50" t="s">
        <v>2289</v>
      </c>
      <c r="M1597" s="50" t="s">
        <v>212</v>
      </c>
      <c r="N1597" s="50" t="s">
        <v>5147</v>
      </c>
      <c r="O1597" s="60">
        <v>45970</v>
      </c>
      <c r="P1597" s="60">
        <v>45972</v>
      </c>
      <c r="Q1597" s="60">
        <v>45979</v>
      </c>
      <c r="R1597" s="346">
        <v>45980</v>
      </c>
      <c r="S1597" s="50">
        <f t="shared" si="145"/>
        <v>1</v>
      </c>
      <c r="T1597" s="50">
        <f t="shared" si="147"/>
        <v>1</v>
      </c>
      <c r="U1597" s="50">
        <f t="shared" si="148"/>
        <v>5</v>
      </c>
      <c r="V1597" s="50">
        <f t="shared" si="146"/>
        <v>1</v>
      </c>
      <c r="W1597" s="50" t="s">
        <v>150</v>
      </c>
      <c r="X1597" s="50" t="s">
        <v>4</v>
      </c>
      <c r="Y1597" s="50" t="s">
        <v>50</v>
      </c>
      <c r="Z1597" s="50" t="s">
        <v>3406</v>
      </c>
      <c r="AA1597" s="50"/>
    </row>
    <row r="1598" spans="1:27" s="110" customFormat="1" ht="25.5" customHeight="1">
      <c r="A1598" s="517" t="s">
        <v>2286</v>
      </c>
      <c r="B1598" s="51" t="s">
        <v>1309</v>
      </c>
      <c r="C1598" s="51" t="s">
        <v>143</v>
      </c>
      <c r="D1598" s="51" t="s">
        <v>5148</v>
      </c>
      <c r="E1598" s="50">
        <v>1818</v>
      </c>
      <c r="F1598" s="50">
        <v>1964</v>
      </c>
      <c r="G1598" s="50" t="s">
        <v>3955</v>
      </c>
      <c r="H1598" s="50"/>
      <c r="I1598" s="105"/>
      <c r="J1598" s="50"/>
      <c r="K1598" s="50" t="s">
        <v>26</v>
      </c>
      <c r="L1598" s="50" t="s">
        <v>2289</v>
      </c>
      <c r="M1598" s="50" t="s">
        <v>212</v>
      </c>
      <c r="N1598" s="50"/>
      <c r="O1598" s="50"/>
      <c r="P1598" s="50"/>
      <c r="Q1598" s="50"/>
      <c r="R1598" s="50"/>
      <c r="S1598" s="50" t="str">
        <f t="shared" si="145"/>
        <v/>
      </c>
      <c r="T1598" s="50" t="str">
        <f t="shared" si="147"/>
        <v/>
      </c>
      <c r="U1598" s="50" t="str">
        <f t="shared" si="148"/>
        <v/>
      </c>
      <c r="V1598" s="50" t="str">
        <f t="shared" si="146"/>
        <v/>
      </c>
      <c r="W1598" s="50"/>
      <c r="X1598" s="50"/>
      <c r="Y1598" s="50"/>
      <c r="Z1598" s="50"/>
      <c r="AA1598" s="50"/>
    </row>
    <row r="1599" spans="1:27" ht="25.5" customHeight="1">
      <c r="A1599" s="517" t="s">
        <v>2286</v>
      </c>
      <c r="B1599" s="51" t="s">
        <v>1314</v>
      </c>
      <c r="C1599" s="51" t="s">
        <v>143</v>
      </c>
      <c r="D1599" s="51" t="s">
        <v>4578</v>
      </c>
      <c r="E1599" s="50">
        <v>3175</v>
      </c>
      <c r="F1599" s="50">
        <v>3294</v>
      </c>
      <c r="G1599" s="50" t="s">
        <v>3955</v>
      </c>
      <c r="H1599" s="50"/>
      <c r="I1599" s="105"/>
      <c r="J1599" s="50"/>
      <c r="K1599" s="50" t="s">
        <v>28</v>
      </c>
      <c r="L1599" s="50" t="s">
        <v>2289</v>
      </c>
      <c r="M1599" s="50" t="s">
        <v>212</v>
      </c>
      <c r="N1599" s="50"/>
      <c r="O1599" s="50"/>
      <c r="P1599" s="50"/>
      <c r="Q1599" s="50"/>
      <c r="R1599" s="50"/>
      <c r="S1599" s="50" t="str">
        <f t="shared" si="145"/>
        <v/>
      </c>
      <c r="T1599" s="50" t="str">
        <f t="shared" si="147"/>
        <v/>
      </c>
      <c r="U1599" s="50" t="str">
        <f t="shared" si="148"/>
        <v/>
      </c>
      <c r="V1599" s="50" t="str">
        <f t="shared" si="146"/>
        <v/>
      </c>
      <c r="W1599" s="50"/>
      <c r="X1599" s="50"/>
      <c r="Y1599" s="50"/>
      <c r="Z1599" s="50"/>
      <c r="AA1599" s="50"/>
    </row>
    <row r="1600" spans="1:27" ht="25.5" customHeight="1">
      <c r="A1600" s="517" t="s">
        <v>2286</v>
      </c>
      <c r="B1600" s="51" t="s">
        <v>1314</v>
      </c>
      <c r="C1600" s="51" t="s">
        <v>143</v>
      </c>
      <c r="D1600" s="51" t="s">
        <v>5149</v>
      </c>
      <c r="E1600" s="50">
        <v>2423</v>
      </c>
      <c r="F1600" s="50">
        <v>2172</v>
      </c>
      <c r="G1600" s="50" t="s">
        <v>3955</v>
      </c>
      <c r="H1600" s="50"/>
      <c r="I1600" s="105"/>
      <c r="J1600" s="50"/>
      <c r="K1600" s="50" t="s">
        <v>28</v>
      </c>
      <c r="L1600" s="50" t="s">
        <v>2289</v>
      </c>
      <c r="M1600" s="50" t="s">
        <v>212</v>
      </c>
      <c r="N1600" s="50"/>
      <c r="O1600" s="50"/>
      <c r="P1600" s="50"/>
      <c r="Q1600" s="50"/>
      <c r="R1600" s="50"/>
      <c r="S1600" s="50" t="str">
        <f t="shared" si="145"/>
        <v/>
      </c>
      <c r="T1600" s="50" t="str">
        <f t="shared" si="147"/>
        <v/>
      </c>
      <c r="U1600" s="50" t="str">
        <f t="shared" si="148"/>
        <v/>
      </c>
      <c r="V1600" s="50" t="str">
        <f t="shared" si="146"/>
        <v/>
      </c>
      <c r="W1600" s="50"/>
      <c r="X1600" s="50"/>
      <c r="Y1600" s="50"/>
      <c r="Z1600" s="50"/>
      <c r="AA1600" s="50"/>
    </row>
    <row r="1601" spans="1:27" s="110" customFormat="1" ht="25.5" customHeight="1">
      <c r="A1601" s="517" t="s">
        <v>2286</v>
      </c>
      <c r="B1601" s="51" t="s">
        <v>1314</v>
      </c>
      <c r="C1601" s="51" t="s">
        <v>143</v>
      </c>
      <c r="D1601" s="51" t="s">
        <v>5150</v>
      </c>
      <c r="E1601" s="50">
        <v>4981</v>
      </c>
      <c r="F1601" s="50">
        <v>5548</v>
      </c>
      <c r="G1601" s="50" t="s">
        <v>3955</v>
      </c>
      <c r="H1601" s="50"/>
      <c r="I1601" s="105"/>
      <c r="J1601" s="50"/>
      <c r="K1601" s="50" t="s">
        <v>28</v>
      </c>
      <c r="L1601" s="50" t="s">
        <v>2289</v>
      </c>
      <c r="M1601" s="50" t="s">
        <v>212</v>
      </c>
      <c r="N1601" s="50"/>
      <c r="O1601" s="50"/>
      <c r="P1601" s="50"/>
      <c r="Q1601" s="50"/>
      <c r="R1601" s="50"/>
      <c r="S1601" s="50" t="str">
        <f t="shared" si="145"/>
        <v/>
      </c>
      <c r="T1601" s="50" t="str">
        <f t="shared" si="147"/>
        <v/>
      </c>
      <c r="U1601" s="50" t="str">
        <f t="shared" si="148"/>
        <v/>
      </c>
      <c r="V1601" s="50" t="str">
        <f t="shared" si="146"/>
        <v/>
      </c>
      <c r="W1601" s="50"/>
      <c r="X1601" s="50"/>
      <c r="Y1601" s="50"/>
      <c r="Z1601" s="50"/>
      <c r="AA1601" s="50"/>
    </row>
    <row r="1602" spans="1:27" ht="25.5" customHeight="1">
      <c r="A1602" s="517" t="s">
        <v>2286</v>
      </c>
      <c r="B1602" s="51" t="s">
        <v>1314</v>
      </c>
      <c r="C1602" s="51" t="s">
        <v>143</v>
      </c>
      <c r="D1602" s="51" t="s">
        <v>5151</v>
      </c>
      <c r="E1602" s="50">
        <v>1534</v>
      </c>
      <c r="F1602" s="50">
        <v>1501</v>
      </c>
      <c r="G1602" s="50" t="s">
        <v>3955</v>
      </c>
      <c r="H1602" s="50"/>
      <c r="I1602" s="105"/>
      <c r="J1602" s="50"/>
      <c r="K1602" s="50" t="s">
        <v>28</v>
      </c>
      <c r="L1602" s="50" t="s">
        <v>2289</v>
      </c>
      <c r="M1602" s="50" t="s">
        <v>212</v>
      </c>
      <c r="N1602" s="50"/>
      <c r="O1602" s="50"/>
      <c r="P1602" s="50"/>
      <c r="Q1602" s="50"/>
      <c r="R1602" s="50"/>
      <c r="S1602" s="50" t="str">
        <f t="shared" si="145"/>
        <v/>
      </c>
      <c r="T1602" s="50" t="str">
        <f t="shared" si="147"/>
        <v/>
      </c>
      <c r="U1602" s="50" t="str">
        <f t="shared" si="148"/>
        <v/>
      </c>
      <c r="V1602" s="50" t="str">
        <f t="shared" si="146"/>
        <v/>
      </c>
      <c r="W1602" s="50"/>
      <c r="X1602" s="50"/>
      <c r="Y1602" s="50"/>
      <c r="Z1602" s="50"/>
      <c r="AA1602" s="50"/>
    </row>
    <row r="1603" spans="1:27" ht="25.5" customHeight="1">
      <c r="A1603" s="517" t="s">
        <v>2286</v>
      </c>
      <c r="B1603" s="51" t="s">
        <v>1314</v>
      </c>
      <c r="C1603" s="51" t="s">
        <v>143</v>
      </c>
      <c r="D1603" s="51" t="s">
        <v>5152</v>
      </c>
      <c r="E1603" s="50">
        <v>5828</v>
      </c>
      <c r="F1603" s="50">
        <v>5867</v>
      </c>
      <c r="G1603" s="50" t="s">
        <v>3955</v>
      </c>
      <c r="H1603" s="50"/>
      <c r="I1603" s="105"/>
      <c r="J1603" s="50"/>
      <c r="K1603" s="50" t="s">
        <v>28</v>
      </c>
      <c r="L1603" s="50" t="s">
        <v>2289</v>
      </c>
      <c r="M1603" s="50" t="s">
        <v>212</v>
      </c>
      <c r="N1603" s="50"/>
      <c r="O1603" s="50"/>
      <c r="P1603" s="50"/>
      <c r="Q1603" s="50"/>
      <c r="R1603" s="50"/>
      <c r="S1603" s="50" t="str">
        <f t="shared" si="145"/>
        <v/>
      </c>
      <c r="T1603" s="50" t="str">
        <f t="shared" si="147"/>
        <v/>
      </c>
      <c r="U1603" s="50" t="str">
        <f t="shared" si="148"/>
        <v/>
      </c>
      <c r="V1603" s="50" t="str">
        <f t="shared" si="146"/>
        <v/>
      </c>
      <c r="W1603" s="50"/>
      <c r="X1603" s="50"/>
      <c r="Y1603" s="50"/>
      <c r="Z1603" s="50"/>
      <c r="AA1603" s="50"/>
    </row>
    <row r="1604" spans="1:27" ht="25.5" customHeight="1">
      <c r="A1604" s="517" t="s">
        <v>2286</v>
      </c>
      <c r="B1604" s="51" t="s">
        <v>1314</v>
      </c>
      <c r="C1604" s="51" t="s">
        <v>143</v>
      </c>
      <c r="D1604" s="51" t="s">
        <v>5153</v>
      </c>
      <c r="E1604" s="50">
        <v>9159</v>
      </c>
      <c r="F1604" s="50">
        <v>9152</v>
      </c>
      <c r="G1604" s="50" t="s">
        <v>3955</v>
      </c>
      <c r="H1604" s="50"/>
      <c r="I1604" s="105"/>
      <c r="J1604" s="50"/>
      <c r="K1604" s="50" t="s">
        <v>28</v>
      </c>
      <c r="L1604" s="50" t="s">
        <v>2289</v>
      </c>
      <c r="M1604" s="50" t="s">
        <v>212</v>
      </c>
      <c r="N1604" s="50"/>
      <c r="O1604" s="50"/>
      <c r="P1604" s="50"/>
      <c r="Q1604" s="50"/>
      <c r="R1604" s="50"/>
      <c r="S1604" s="50" t="str">
        <f t="shared" si="145"/>
        <v/>
      </c>
      <c r="T1604" s="50" t="str">
        <f t="shared" si="147"/>
        <v/>
      </c>
      <c r="U1604" s="50" t="str">
        <f t="shared" si="148"/>
        <v/>
      </c>
      <c r="V1604" s="50" t="str">
        <f t="shared" si="146"/>
        <v/>
      </c>
      <c r="W1604" s="50"/>
      <c r="X1604" s="50"/>
      <c r="Y1604" s="50"/>
      <c r="Z1604" s="50"/>
      <c r="AA1604" s="50"/>
    </row>
    <row r="1605" spans="1:27" ht="25.5" customHeight="1">
      <c r="A1605" s="517" t="s">
        <v>2286</v>
      </c>
      <c r="B1605" s="51" t="s">
        <v>1314</v>
      </c>
      <c r="C1605" s="51" t="s">
        <v>143</v>
      </c>
      <c r="D1605" s="51" t="s">
        <v>5154</v>
      </c>
      <c r="E1605" s="50">
        <v>8125</v>
      </c>
      <c r="F1605" s="50">
        <v>8597</v>
      </c>
      <c r="G1605" s="50" t="s">
        <v>3955</v>
      </c>
      <c r="H1605" s="50"/>
      <c r="I1605" s="105"/>
      <c r="J1605" s="50"/>
      <c r="K1605" s="50" t="s">
        <v>28</v>
      </c>
      <c r="L1605" s="50" t="s">
        <v>2289</v>
      </c>
      <c r="M1605" s="50" t="s">
        <v>212</v>
      </c>
      <c r="N1605" s="50"/>
      <c r="O1605" s="50"/>
      <c r="P1605" s="50"/>
      <c r="Q1605" s="50"/>
      <c r="R1605" s="50"/>
      <c r="S1605" s="50" t="str">
        <f t="shared" si="145"/>
        <v/>
      </c>
      <c r="T1605" s="50" t="str">
        <f t="shared" si="147"/>
        <v/>
      </c>
      <c r="U1605" s="50" t="str">
        <f t="shared" si="148"/>
        <v/>
      </c>
      <c r="V1605" s="50" t="str">
        <f t="shared" si="146"/>
        <v/>
      </c>
      <c r="W1605" s="50"/>
      <c r="X1605" s="50"/>
      <c r="Y1605" s="50"/>
      <c r="Z1605" s="50"/>
      <c r="AA1605" s="50"/>
    </row>
    <row r="1606" spans="1:27" s="110" customFormat="1" ht="25.5" customHeight="1">
      <c r="A1606" s="517" t="s">
        <v>2286</v>
      </c>
      <c r="B1606" s="51" t="s">
        <v>1314</v>
      </c>
      <c r="C1606" s="51" t="s">
        <v>143</v>
      </c>
      <c r="D1606" s="51" t="s">
        <v>5155</v>
      </c>
      <c r="E1606" s="50">
        <v>5426</v>
      </c>
      <c r="F1606" s="50">
        <v>5763</v>
      </c>
      <c r="G1606" s="50" t="s">
        <v>3955</v>
      </c>
      <c r="H1606" s="50"/>
      <c r="I1606" s="105"/>
      <c r="J1606" s="50"/>
      <c r="K1606" s="50" t="s">
        <v>28</v>
      </c>
      <c r="L1606" s="50" t="s">
        <v>2289</v>
      </c>
      <c r="M1606" s="50" t="s">
        <v>212</v>
      </c>
      <c r="N1606" s="50"/>
      <c r="O1606" s="50"/>
      <c r="P1606" s="50"/>
      <c r="Q1606" s="50"/>
      <c r="R1606" s="50"/>
      <c r="S1606" s="50" t="str">
        <f t="shared" si="145"/>
        <v/>
      </c>
      <c r="T1606" s="50" t="str">
        <f t="shared" si="147"/>
        <v/>
      </c>
      <c r="U1606" s="50" t="str">
        <f t="shared" si="148"/>
        <v/>
      </c>
      <c r="V1606" s="50" t="str">
        <f t="shared" si="146"/>
        <v/>
      </c>
      <c r="W1606" s="50"/>
      <c r="X1606" s="50"/>
      <c r="Y1606" s="50"/>
      <c r="Z1606" s="50"/>
      <c r="AA1606" s="50"/>
    </row>
    <row r="1607" spans="1:27" ht="25.5" customHeight="1">
      <c r="A1607" s="517" t="s">
        <v>2286</v>
      </c>
      <c r="B1607" s="51" t="s">
        <v>1314</v>
      </c>
      <c r="C1607" s="51" t="s">
        <v>143</v>
      </c>
      <c r="D1607" s="51" t="s">
        <v>5156</v>
      </c>
      <c r="E1607" s="50">
        <v>2428</v>
      </c>
      <c r="F1607" s="50">
        <v>2391</v>
      </c>
      <c r="G1607" s="50" t="s">
        <v>3955</v>
      </c>
      <c r="H1607" s="50"/>
      <c r="I1607" s="105"/>
      <c r="J1607" s="50"/>
      <c r="K1607" s="50" t="s">
        <v>28</v>
      </c>
      <c r="L1607" s="50" t="s">
        <v>2289</v>
      </c>
      <c r="M1607" s="50" t="s">
        <v>212</v>
      </c>
      <c r="N1607" s="50"/>
      <c r="O1607" s="50"/>
      <c r="P1607" s="50"/>
      <c r="Q1607" s="50"/>
      <c r="R1607" s="50"/>
      <c r="S1607" s="50" t="str">
        <f t="shared" si="145"/>
        <v/>
      </c>
      <c r="T1607" s="50" t="str">
        <f t="shared" si="147"/>
        <v/>
      </c>
      <c r="U1607" s="50" t="str">
        <f t="shared" si="148"/>
        <v/>
      </c>
      <c r="V1607" s="50" t="str">
        <f t="shared" si="146"/>
        <v/>
      </c>
      <c r="W1607" s="50"/>
      <c r="X1607" s="50"/>
      <c r="Y1607" s="50"/>
      <c r="Z1607" s="50"/>
      <c r="AA1607" s="50"/>
    </row>
    <row r="1608" spans="1:27" ht="25.5" customHeight="1">
      <c r="A1608" s="517" t="s">
        <v>2286</v>
      </c>
      <c r="B1608" s="51" t="s">
        <v>1314</v>
      </c>
      <c r="C1608" s="51" t="s">
        <v>143</v>
      </c>
      <c r="D1608" s="51" t="s">
        <v>5157</v>
      </c>
      <c r="E1608" s="50">
        <v>5496</v>
      </c>
      <c r="F1608" s="50">
        <v>6993</v>
      </c>
      <c r="G1608" s="50" t="s">
        <v>3955</v>
      </c>
      <c r="H1608" s="50"/>
      <c r="I1608" s="105"/>
      <c r="J1608" s="50"/>
      <c r="K1608" s="50" t="s">
        <v>28</v>
      </c>
      <c r="L1608" s="50" t="s">
        <v>2289</v>
      </c>
      <c r="M1608" s="50" t="s">
        <v>212</v>
      </c>
      <c r="N1608" s="50"/>
      <c r="O1608" s="50"/>
      <c r="P1608" s="50"/>
      <c r="Q1608" s="50"/>
      <c r="R1608" s="50"/>
      <c r="S1608" s="50" t="str">
        <f t="shared" si="145"/>
        <v/>
      </c>
      <c r="T1608" s="50" t="str">
        <f t="shared" si="147"/>
        <v/>
      </c>
      <c r="U1608" s="50" t="str">
        <f t="shared" si="148"/>
        <v/>
      </c>
      <c r="V1608" s="50" t="str">
        <f t="shared" si="146"/>
        <v/>
      </c>
      <c r="W1608" s="50"/>
      <c r="X1608" s="50"/>
      <c r="Y1608" s="50"/>
      <c r="Z1608" s="50"/>
      <c r="AA1608" s="50"/>
    </row>
    <row r="1609" spans="1:27" ht="25.5" customHeight="1">
      <c r="A1609" s="517" t="s">
        <v>2286</v>
      </c>
      <c r="B1609" s="51" t="s">
        <v>1314</v>
      </c>
      <c r="C1609" s="51" t="s">
        <v>143</v>
      </c>
      <c r="D1609" s="51" t="s">
        <v>5158</v>
      </c>
      <c r="E1609" s="50">
        <v>2224</v>
      </c>
      <c r="F1609" s="50">
        <v>2270</v>
      </c>
      <c r="G1609" s="50" t="s">
        <v>3955</v>
      </c>
      <c r="H1609" s="50"/>
      <c r="I1609" s="105"/>
      <c r="J1609" s="50"/>
      <c r="K1609" s="50" t="s">
        <v>28</v>
      </c>
      <c r="L1609" s="50" t="s">
        <v>2289</v>
      </c>
      <c r="M1609" s="50" t="s">
        <v>212</v>
      </c>
      <c r="N1609" s="50"/>
      <c r="O1609" s="50"/>
      <c r="P1609" s="50"/>
      <c r="Q1609" s="50"/>
      <c r="R1609" s="50"/>
      <c r="S1609" s="50" t="str">
        <f t="shared" si="145"/>
        <v/>
      </c>
      <c r="T1609" s="50" t="str">
        <f t="shared" si="147"/>
        <v/>
      </c>
      <c r="U1609" s="50" t="str">
        <f t="shared" si="148"/>
        <v/>
      </c>
      <c r="V1609" s="50" t="str">
        <f t="shared" si="146"/>
        <v/>
      </c>
      <c r="W1609" s="50"/>
      <c r="X1609" s="50"/>
      <c r="Y1609" s="50"/>
      <c r="Z1609" s="50"/>
      <c r="AA1609" s="50"/>
    </row>
    <row r="1610" spans="1:27" ht="25.5" customHeight="1">
      <c r="A1610" s="517" t="s">
        <v>2286</v>
      </c>
      <c r="B1610" s="51" t="s">
        <v>1314</v>
      </c>
      <c r="C1610" s="51" t="s">
        <v>143</v>
      </c>
      <c r="D1610" s="51" t="s">
        <v>3974</v>
      </c>
      <c r="E1610" s="50">
        <v>3373</v>
      </c>
      <c r="F1610" s="50">
        <v>3292</v>
      </c>
      <c r="G1610" s="50" t="s">
        <v>3955</v>
      </c>
      <c r="H1610" s="50"/>
      <c r="I1610" s="105"/>
      <c r="J1610" s="50"/>
      <c r="K1610" s="50" t="s">
        <v>28</v>
      </c>
      <c r="L1610" s="50" t="s">
        <v>2289</v>
      </c>
      <c r="M1610" s="50" t="s">
        <v>212</v>
      </c>
      <c r="N1610" s="50"/>
      <c r="O1610" s="50"/>
      <c r="P1610" s="50"/>
      <c r="Q1610" s="50"/>
      <c r="R1610" s="50"/>
      <c r="S1610" s="50" t="str">
        <f t="shared" si="145"/>
        <v/>
      </c>
      <c r="T1610" s="50" t="str">
        <f t="shared" si="147"/>
        <v/>
      </c>
      <c r="U1610" s="50" t="str">
        <f t="shared" si="148"/>
        <v/>
      </c>
      <c r="V1610" s="50" t="str">
        <f t="shared" si="146"/>
        <v/>
      </c>
      <c r="W1610" s="50"/>
      <c r="X1610" s="50"/>
      <c r="Y1610" s="50"/>
      <c r="Z1610" s="50"/>
      <c r="AA1610" s="50"/>
    </row>
    <row r="1611" spans="1:27" ht="25.5" customHeight="1">
      <c r="A1611" s="517" t="s">
        <v>2286</v>
      </c>
      <c r="B1611" s="51" t="s">
        <v>1314</v>
      </c>
      <c r="C1611" s="51" t="s">
        <v>143</v>
      </c>
      <c r="D1611" s="51" t="s">
        <v>5159</v>
      </c>
      <c r="E1611" s="50">
        <v>4542</v>
      </c>
      <c r="F1611" s="50">
        <v>4638</v>
      </c>
      <c r="G1611" s="50" t="s">
        <v>3404</v>
      </c>
      <c r="H1611" s="50">
        <v>2024</v>
      </c>
      <c r="I1611" s="132">
        <v>45408</v>
      </c>
      <c r="J1611" s="50"/>
      <c r="K1611" s="50" t="s">
        <v>28</v>
      </c>
      <c r="L1611" s="50" t="s">
        <v>2289</v>
      </c>
      <c r="M1611" s="50" t="s">
        <v>212</v>
      </c>
      <c r="N1611" s="50"/>
      <c r="O1611" s="50"/>
      <c r="P1611" s="50"/>
      <c r="Q1611" s="50"/>
      <c r="R1611" s="50"/>
      <c r="S1611" s="50" t="str">
        <f t="shared" si="145"/>
        <v/>
      </c>
      <c r="T1611" s="50" t="str">
        <f t="shared" si="147"/>
        <v/>
      </c>
      <c r="U1611" s="50" t="str">
        <f t="shared" si="148"/>
        <v/>
      </c>
      <c r="V1611" s="50" t="str">
        <f t="shared" si="146"/>
        <v/>
      </c>
      <c r="W1611" s="50"/>
      <c r="X1611" s="50"/>
      <c r="Y1611" s="50"/>
      <c r="Z1611" s="50" t="s">
        <v>3406</v>
      </c>
      <c r="AA1611" s="50"/>
    </row>
    <row r="1612" spans="1:27" ht="25.5" customHeight="1">
      <c r="A1612" s="517" t="s">
        <v>2286</v>
      </c>
      <c r="B1612" s="51" t="s">
        <v>1314</v>
      </c>
      <c r="C1612" s="51" t="s">
        <v>143</v>
      </c>
      <c r="D1612" s="51" t="s">
        <v>1315</v>
      </c>
      <c r="E1612" s="50">
        <v>982</v>
      </c>
      <c r="F1612" s="50">
        <v>1188</v>
      </c>
      <c r="G1612" s="50" t="s">
        <v>3955</v>
      </c>
      <c r="H1612" s="50"/>
      <c r="I1612" s="105"/>
      <c r="J1612" s="50"/>
      <c r="K1612" s="50" t="s">
        <v>28</v>
      </c>
      <c r="L1612" s="50" t="s">
        <v>2289</v>
      </c>
      <c r="M1612" s="50" t="s">
        <v>212</v>
      </c>
      <c r="N1612" s="50"/>
      <c r="O1612" s="50"/>
      <c r="P1612" s="50"/>
      <c r="Q1612" s="50"/>
      <c r="R1612" s="50"/>
      <c r="S1612" s="50" t="str">
        <f t="shared" si="145"/>
        <v/>
      </c>
      <c r="T1612" s="50" t="str">
        <f t="shared" si="147"/>
        <v/>
      </c>
      <c r="U1612" s="50" t="str">
        <f t="shared" si="148"/>
        <v/>
      </c>
      <c r="V1612" s="50" t="str">
        <f t="shared" si="146"/>
        <v/>
      </c>
      <c r="W1612" s="50"/>
      <c r="X1612" s="50"/>
      <c r="Y1612" s="50"/>
      <c r="Z1612" s="50"/>
      <c r="AA1612" s="50"/>
    </row>
    <row r="1613" spans="1:27" ht="25.5" customHeight="1">
      <c r="A1613" s="517" t="s">
        <v>2286</v>
      </c>
      <c r="B1613" s="51" t="s">
        <v>1314</v>
      </c>
      <c r="C1613" s="51" t="s">
        <v>143</v>
      </c>
      <c r="D1613" s="51" t="s">
        <v>5160</v>
      </c>
      <c r="E1613" s="50">
        <v>5603</v>
      </c>
      <c r="F1613" s="50">
        <v>5870</v>
      </c>
      <c r="G1613" s="50" t="s">
        <v>3404</v>
      </c>
      <c r="H1613" s="50">
        <v>2025</v>
      </c>
      <c r="I1613" s="132">
        <v>46298</v>
      </c>
      <c r="J1613" s="50" t="s">
        <v>3128</v>
      </c>
      <c r="K1613" s="50" t="s">
        <v>267</v>
      </c>
      <c r="L1613" s="50" t="s">
        <v>2289</v>
      </c>
      <c r="M1613" s="50" t="s">
        <v>212</v>
      </c>
      <c r="N1613" s="50" t="s">
        <v>5161</v>
      </c>
      <c r="O1613" s="60">
        <v>45936</v>
      </c>
      <c r="P1613" s="60">
        <v>45938</v>
      </c>
      <c r="Q1613" s="60">
        <v>45938</v>
      </c>
      <c r="R1613" s="60">
        <v>45940</v>
      </c>
      <c r="S1613" s="50">
        <f t="shared" si="145"/>
        <v>1</v>
      </c>
      <c r="T1613" s="50">
        <f t="shared" si="147"/>
        <v>2</v>
      </c>
      <c r="U1613" s="50">
        <f t="shared" si="148"/>
        <v>1</v>
      </c>
      <c r="V1613" s="50">
        <f t="shared" si="146"/>
        <v>2</v>
      </c>
      <c r="W1613" s="50" t="s">
        <v>150</v>
      </c>
      <c r="X1613" s="50" t="s">
        <v>4</v>
      </c>
      <c r="Y1613" s="50" t="s">
        <v>50</v>
      </c>
      <c r="Z1613" s="50" t="s">
        <v>3406</v>
      </c>
      <c r="AA1613" s="50"/>
    </row>
    <row r="1614" spans="1:27" s="110" customFormat="1" ht="25.5" customHeight="1">
      <c r="A1614" s="517" t="s">
        <v>2286</v>
      </c>
      <c r="B1614" s="51" t="s">
        <v>3132</v>
      </c>
      <c r="C1614" s="51" t="s">
        <v>143</v>
      </c>
      <c r="D1614" s="51" t="s">
        <v>5162</v>
      </c>
      <c r="E1614" s="50">
        <v>2927</v>
      </c>
      <c r="F1614" s="50">
        <v>3107</v>
      </c>
      <c r="G1614" s="50" t="s">
        <v>3404</v>
      </c>
      <c r="H1614" s="50">
        <v>2025</v>
      </c>
      <c r="I1614" s="132">
        <v>45889</v>
      </c>
      <c r="J1614" s="50" t="s">
        <v>3127</v>
      </c>
      <c r="K1614" s="50" t="s">
        <v>267</v>
      </c>
      <c r="L1614" s="50" t="s">
        <v>2289</v>
      </c>
      <c r="M1614" s="50" t="s">
        <v>212</v>
      </c>
      <c r="N1614" s="60" t="s">
        <v>5163</v>
      </c>
      <c r="O1614" s="60">
        <v>45918</v>
      </c>
      <c r="P1614" s="60">
        <v>45918</v>
      </c>
      <c r="Q1614" s="60">
        <v>45918</v>
      </c>
      <c r="R1614" s="60">
        <v>45919</v>
      </c>
      <c r="S1614" s="50">
        <f t="shared" si="145"/>
        <v>21</v>
      </c>
      <c r="T1614" s="50">
        <f t="shared" si="147"/>
        <v>1</v>
      </c>
      <c r="U1614" s="50">
        <f t="shared" si="148"/>
        <v>1</v>
      </c>
      <c r="V1614" s="50">
        <f t="shared" si="146"/>
        <v>1</v>
      </c>
      <c r="W1614" s="50" t="s">
        <v>150</v>
      </c>
      <c r="X1614" s="50" t="s">
        <v>4</v>
      </c>
      <c r="Y1614" s="50" t="s">
        <v>50</v>
      </c>
      <c r="Z1614" s="50" t="s">
        <v>3406</v>
      </c>
      <c r="AA1614" s="50"/>
    </row>
    <row r="1615" spans="1:27" ht="25.5" customHeight="1">
      <c r="A1615" s="517" t="s">
        <v>2286</v>
      </c>
      <c r="B1615" s="51" t="s">
        <v>3132</v>
      </c>
      <c r="C1615" s="51" t="s">
        <v>143</v>
      </c>
      <c r="D1615" s="51" t="s">
        <v>5164</v>
      </c>
      <c r="E1615" s="50">
        <v>927</v>
      </c>
      <c r="F1615" s="50">
        <v>1040</v>
      </c>
      <c r="G1615" s="50" t="s">
        <v>3955</v>
      </c>
      <c r="H1615" s="50"/>
      <c r="I1615" s="105"/>
      <c r="J1615" s="50"/>
      <c r="K1615" s="50" t="s">
        <v>28</v>
      </c>
      <c r="L1615" s="50" t="s">
        <v>2289</v>
      </c>
      <c r="M1615" s="50" t="s">
        <v>212</v>
      </c>
      <c r="N1615" s="50"/>
      <c r="O1615" s="50"/>
      <c r="P1615" s="50"/>
      <c r="Q1615" s="50"/>
      <c r="R1615" s="50"/>
      <c r="S1615" s="50" t="str">
        <f t="shared" si="145"/>
        <v/>
      </c>
      <c r="T1615" s="50" t="str">
        <f t="shared" si="147"/>
        <v/>
      </c>
      <c r="U1615" s="50" t="str">
        <f t="shared" si="148"/>
        <v/>
      </c>
      <c r="V1615" s="50" t="str">
        <f t="shared" si="146"/>
        <v/>
      </c>
      <c r="W1615" s="50"/>
      <c r="X1615" s="50"/>
      <c r="Y1615" s="50"/>
      <c r="Z1615" s="50"/>
      <c r="AA1615" s="50"/>
    </row>
    <row r="1616" spans="1:27" ht="25.5" customHeight="1">
      <c r="A1616" s="517" t="s">
        <v>2286</v>
      </c>
      <c r="B1616" s="51" t="s">
        <v>3132</v>
      </c>
      <c r="C1616" s="51" t="s">
        <v>143</v>
      </c>
      <c r="D1616" s="51" t="s">
        <v>5165</v>
      </c>
      <c r="E1616" s="50">
        <v>1339</v>
      </c>
      <c r="F1616" s="50">
        <v>1392</v>
      </c>
      <c r="G1616" s="50" t="s">
        <v>3955</v>
      </c>
      <c r="H1616" s="50"/>
      <c r="I1616" s="105"/>
      <c r="J1616" s="50"/>
      <c r="K1616" s="50" t="s">
        <v>28</v>
      </c>
      <c r="L1616" s="50" t="s">
        <v>2289</v>
      </c>
      <c r="M1616" s="50" t="s">
        <v>212</v>
      </c>
      <c r="N1616" s="50"/>
      <c r="O1616" s="50"/>
      <c r="P1616" s="50"/>
      <c r="Q1616" s="50"/>
      <c r="R1616" s="50"/>
      <c r="S1616" s="50" t="str">
        <f t="shared" si="145"/>
        <v/>
      </c>
      <c r="T1616" s="50" t="str">
        <f t="shared" si="147"/>
        <v/>
      </c>
      <c r="U1616" s="50" t="str">
        <f t="shared" si="148"/>
        <v/>
      </c>
      <c r="V1616" s="50" t="str">
        <f t="shared" si="146"/>
        <v/>
      </c>
      <c r="W1616" s="50"/>
      <c r="X1616" s="50"/>
      <c r="Y1616" s="50"/>
      <c r="Z1616" s="50"/>
      <c r="AA1616" s="50"/>
    </row>
    <row r="1617" spans="1:27" s="110" customFormat="1" ht="25.5" customHeight="1">
      <c r="A1617" s="517" t="s">
        <v>2286</v>
      </c>
      <c r="B1617" s="51" t="s">
        <v>3132</v>
      </c>
      <c r="C1617" s="51" t="s">
        <v>143</v>
      </c>
      <c r="D1617" s="51" t="s">
        <v>1490</v>
      </c>
      <c r="E1617" s="50">
        <v>1464</v>
      </c>
      <c r="F1617" s="50">
        <v>1422</v>
      </c>
      <c r="G1617" s="50" t="s">
        <v>3404</v>
      </c>
      <c r="H1617" s="50">
        <v>2025</v>
      </c>
      <c r="I1617" s="132">
        <v>45828</v>
      </c>
      <c r="J1617" s="50" t="s">
        <v>3125</v>
      </c>
      <c r="K1617" s="50" t="s">
        <v>267</v>
      </c>
      <c r="L1617" s="50" t="s">
        <v>28</v>
      </c>
      <c r="M1617" s="50" t="s">
        <v>212</v>
      </c>
      <c r="N1617" s="50" t="s">
        <v>5166</v>
      </c>
      <c r="O1617" s="60">
        <v>45832</v>
      </c>
      <c r="P1617" s="60">
        <v>45835</v>
      </c>
      <c r="Q1617" s="60">
        <v>45838</v>
      </c>
      <c r="R1617" s="60">
        <v>45847</v>
      </c>
      <c r="S1617" s="50">
        <f t="shared" si="145"/>
        <v>2</v>
      </c>
      <c r="T1617" s="50">
        <f t="shared" si="147"/>
        <v>3</v>
      </c>
      <c r="U1617" s="50">
        <f t="shared" si="148"/>
        <v>1</v>
      </c>
      <c r="V1617" s="50">
        <f t="shared" si="146"/>
        <v>7</v>
      </c>
      <c r="W1617" s="50" t="s">
        <v>150</v>
      </c>
      <c r="X1617" s="50" t="s">
        <v>1078</v>
      </c>
      <c r="Y1617" s="50" t="s">
        <v>50</v>
      </c>
      <c r="Z1617" s="50" t="s">
        <v>3406</v>
      </c>
      <c r="AA1617" s="50"/>
    </row>
    <row r="1618" spans="1:27" ht="25.5" customHeight="1">
      <c r="A1618" s="517" t="s">
        <v>2286</v>
      </c>
      <c r="B1618" s="51" t="s">
        <v>3132</v>
      </c>
      <c r="C1618" s="51" t="s">
        <v>143</v>
      </c>
      <c r="D1618" s="51" t="s">
        <v>5167</v>
      </c>
      <c r="E1618" s="50">
        <v>2378</v>
      </c>
      <c r="F1618" s="50">
        <v>2604</v>
      </c>
      <c r="G1618" s="50" t="s">
        <v>3955</v>
      </c>
      <c r="H1618" s="50"/>
      <c r="I1618" s="105"/>
      <c r="J1618" s="50"/>
      <c r="K1618" s="50" t="s">
        <v>28</v>
      </c>
      <c r="L1618" s="50" t="s">
        <v>2289</v>
      </c>
      <c r="M1618" s="50" t="s">
        <v>212</v>
      </c>
      <c r="N1618" s="50"/>
      <c r="O1618" s="50"/>
      <c r="P1618" s="50"/>
      <c r="Q1618" s="50"/>
      <c r="R1618" s="50"/>
      <c r="S1618" s="50" t="str">
        <f t="shared" si="145"/>
        <v/>
      </c>
      <c r="T1618" s="50" t="str">
        <f t="shared" si="147"/>
        <v/>
      </c>
      <c r="U1618" s="50" t="str">
        <f t="shared" si="148"/>
        <v/>
      </c>
      <c r="V1618" s="50" t="str">
        <f t="shared" si="146"/>
        <v/>
      </c>
      <c r="W1618" s="50"/>
      <c r="X1618" s="50"/>
      <c r="Y1618" s="50"/>
      <c r="Z1618" s="50"/>
      <c r="AA1618" s="50"/>
    </row>
    <row r="1619" spans="1:27" ht="25.5" customHeight="1">
      <c r="A1619" s="517" t="s">
        <v>2286</v>
      </c>
      <c r="B1619" s="51" t="s">
        <v>3132</v>
      </c>
      <c r="C1619" s="51" t="s">
        <v>143</v>
      </c>
      <c r="D1619" s="51" t="s">
        <v>5063</v>
      </c>
      <c r="E1619" s="50">
        <v>1342</v>
      </c>
      <c r="F1619" s="50">
        <v>1359</v>
      </c>
      <c r="G1619" s="50" t="s">
        <v>3955</v>
      </c>
      <c r="H1619" s="50"/>
      <c r="I1619" s="105"/>
      <c r="J1619" s="50"/>
      <c r="K1619" s="50" t="s">
        <v>28</v>
      </c>
      <c r="L1619" s="50" t="s">
        <v>2289</v>
      </c>
      <c r="M1619" s="50" t="s">
        <v>212</v>
      </c>
      <c r="N1619" s="50"/>
      <c r="O1619" s="50"/>
      <c r="P1619" s="50"/>
      <c r="Q1619" s="50"/>
      <c r="R1619" s="50"/>
      <c r="S1619" s="50" t="str">
        <f t="shared" ref="S1619:S1682" si="149">IF(
    OR(ISBLANK(I1619), ISBLANK(O1619)),
    "",
    MAX(1, IF(
        NETWORKDAYS(I1619, O1619) &lt;= 0,
        1,
        NETWORKDAYS(I1619, O1619) - IF(I1619 = O1619, 0, 1)
    ))
)</f>
        <v/>
      </c>
      <c r="T1619" s="50" t="str">
        <f t="shared" si="147"/>
        <v/>
      </c>
      <c r="U1619" s="50" t="str">
        <f t="shared" si="148"/>
        <v/>
      </c>
      <c r="V1619" s="50" t="str">
        <f t="shared" ref="V1619:V1682" si="150">IF(
    OR(ISBLANK(Q1619), ISBLANK(R1619)),
    "",
    MAX(1, IF(
        NETWORKDAYS(Q1619, R1619) &lt;= 0,
        1,
        NETWORKDAYS(Q1619, R1619) - IF(Q1619 = R1619, 0, 1)
    ))
)</f>
        <v/>
      </c>
      <c r="W1619" s="50"/>
      <c r="X1619" s="50"/>
      <c r="Y1619" s="50"/>
      <c r="Z1619" s="50"/>
      <c r="AA1619" s="50"/>
    </row>
    <row r="1620" spans="1:27" ht="25.5" customHeight="1">
      <c r="A1620" s="517" t="s">
        <v>2286</v>
      </c>
      <c r="B1620" s="51" t="s">
        <v>3132</v>
      </c>
      <c r="C1620" s="51" t="s">
        <v>143</v>
      </c>
      <c r="D1620" s="51" t="s">
        <v>4966</v>
      </c>
      <c r="E1620" s="50">
        <v>1882</v>
      </c>
      <c r="F1620" s="50">
        <v>1856</v>
      </c>
      <c r="G1620" s="50" t="s">
        <v>3955</v>
      </c>
      <c r="H1620" s="50"/>
      <c r="I1620" s="105"/>
      <c r="J1620" s="50"/>
      <c r="K1620" s="50" t="s">
        <v>28</v>
      </c>
      <c r="L1620" s="50" t="s">
        <v>2289</v>
      </c>
      <c r="M1620" s="50" t="s">
        <v>212</v>
      </c>
      <c r="N1620" s="50"/>
      <c r="O1620" s="50"/>
      <c r="P1620" s="50"/>
      <c r="Q1620" s="50"/>
      <c r="R1620" s="50"/>
      <c r="S1620" s="50" t="str">
        <f t="shared" si="149"/>
        <v/>
      </c>
      <c r="T1620" s="50" t="str">
        <f t="shared" ref="T1620:T1683" si="151">IF(
    OR(ISBLANK(O1620), ISBLANK(P1620)),
    "",
    MAX(1, IF(
        NETWORKDAYS(O1620, P1620) &lt;= 0,
        1,
        NETWORKDAYS(O1620, P1620) - IF(O1620 = P1620, 0, 1)
    ))
)</f>
        <v/>
      </c>
      <c r="U1620" s="50" t="str">
        <f t="shared" ref="U1620:U1683" si="152">IF(
    OR(ISBLANK(P1620), ISBLANK(Q1620)),
    "",
    MAX(1, IF(
        NETWORKDAYS(P1620, Q1620) &lt;= 0,
        1,
        NETWORKDAYS(P1620, Q1620) - IF(P1620 = Q1620, 0, 1)
    ))
)</f>
        <v/>
      </c>
      <c r="V1620" s="50" t="str">
        <f t="shared" si="150"/>
        <v/>
      </c>
      <c r="W1620" s="50"/>
      <c r="X1620" s="50"/>
      <c r="Y1620" s="50"/>
      <c r="Z1620" s="50"/>
      <c r="AA1620" s="50"/>
    </row>
    <row r="1621" spans="1:27" ht="25.5" customHeight="1">
      <c r="A1621" s="517" t="s">
        <v>2286</v>
      </c>
      <c r="B1621" s="51" t="s">
        <v>3132</v>
      </c>
      <c r="C1621" s="51" t="s">
        <v>143</v>
      </c>
      <c r="D1621" s="51" t="s">
        <v>5168</v>
      </c>
      <c r="E1621" s="50">
        <v>1984</v>
      </c>
      <c r="F1621" s="50">
        <v>2064</v>
      </c>
      <c r="G1621" s="50" t="s">
        <v>3955</v>
      </c>
      <c r="H1621" s="50"/>
      <c r="I1621" s="105"/>
      <c r="J1621" s="50"/>
      <c r="K1621" s="50" t="s">
        <v>28</v>
      </c>
      <c r="L1621" s="50" t="s">
        <v>2289</v>
      </c>
      <c r="M1621" s="50" t="s">
        <v>212</v>
      </c>
      <c r="N1621" s="50"/>
      <c r="O1621" s="50"/>
      <c r="P1621" s="50"/>
      <c r="Q1621" s="50"/>
      <c r="R1621" s="50"/>
      <c r="S1621" s="50" t="str">
        <f t="shared" si="149"/>
        <v/>
      </c>
      <c r="T1621" s="50" t="str">
        <f t="shared" si="151"/>
        <v/>
      </c>
      <c r="U1621" s="50" t="str">
        <f t="shared" si="152"/>
        <v/>
      </c>
      <c r="V1621" s="50" t="str">
        <f t="shared" si="150"/>
        <v/>
      </c>
      <c r="W1621" s="50"/>
      <c r="X1621" s="50"/>
      <c r="Y1621" s="50"/>
      <c r="Z1621" s="50"/>
      <c r="AA1621" s="50"/>
    </row>
    <row r="1622" spans="1:27" ht="25.5" customHeight="1">
      <c r="A1622" s="517" t="s">
        <v>2286</v>
      </c>
      <c r="B1622" s="51" t="s">
        <v>3132</v>
      </c>
      <c r="C1622" s="51" t="s">
        <v>143</v>
      </c>
      <c r="D1622" s="51" t="s">
        <v>5169</v>
      </c>
      <c r="E1622" s="50">
        <v>2427</v>
      </c>
      <c r="F1622" s="50">
        <v>2510</v>
      </c>
      <c r="G1622" s="50" t="s">
        <v>3955</v>
      </c>
      <c r="H1622" s="50"/>
      <c r="I1622" s="105"/>
      <c r="J1622" s="50"/>
      <c r="K1622" s="50" t="s">
        <v>28</v>
      </c>
      <c r="L1622" s="50" t="s">
        <v>2289</v>
      </c>
      <c r="M1622" s="50" t="s">
        <v>212</v>
      </c>
      <c r="N1622" s="50"/>
      <c r="O1622" s="50"/>
      <c r="P1622" s="50"/>
      <c r="Q1622" s="50"/>
      <c r="R1622" s="50"/>
      <c r="S1622" s="50" t="str">
        <f t="shared" si="149"/>
        <v/>
      </c>
      <c r="T1622" s="50" t="str">
        <f t="shared" si="151"/>
        <v/>
      </c>
      <c r="U1622" s="50" t="str">
        <f t="shared" si="152"/>
        <v/>
      </c>
      <c r="V1622" s="50" t="str">
        <f t="shared" si="150"/>
        <v/>
      </c>
      <c r="W1622" s="50"/>
      <c r="X1622" s="50"/>
      <c r="Y1622" s="50"/>
      <c r="Z1622" s="50"/>
      <c r="AA1622" s="50"/>
    </row>
    <row r="1623" spans="1:27" s="110" customFormat="1" ht="25.5" customHeight="1">
      <c r="A1623" s="517" t="s">
        <v>2286</v>
      </c>
      <c r="B1623" s="51" t="s">
        <v>3132</v>
      </c>
      <c r="C1623" s="51" t="s">
        <v>143</v>
      </c>
      <c r="D1623" s="51" t="s">
        <v>4774</v>
      </c>
      <c r="E1623" s="50">
        <v>1719</v>
      </c>
      <c r="F1623" s="50">
        <v>1864</v>
      </c>
      <c r="G1623" s="50" t="s">
        <v>3404</v>
      </c>
      <c r="H1623" s="50">
        <v>2025</v>
      </c>
      <c r="I1623" s="132">
        <v>45909</v>
      </c>
      <c r="J1623" s="50" t="s">
        <v>3127</v>
      </c>
      <c r="K1623" s="50" t="s">
        <v>267</v>
      </c>
      <c r="L1623" s="50" t="s">
        <v>2289</v>
      </c>
      <c r="M1623" s="50" t="s">
        <v>212</v>
      </c>
      <c r="N1623" s="50" t="s">
        <v>5170</v>
      </c>
      <c r="O1623" s="60">
        <v>45918</v>
      </c>
      <c r="P1623" s="60">
        <v>45918</v>
      </c>
      <c r="Q1623" s="60">
        <v>45918</v>
      </c>
      <c r="R1623" s="60">
        <v>45919</v>
      </c>
      <c r="S1623" s="50">
        <f t="shared" si="149"/>
        <v>7</v>
      </c>
      <c r="T1623" s="50">
        <f t="shared" si="151"/>
        <v>1</v>
      </c>
      <c r="U1623" s="50">
        <f t="shared" si="152"/>
        <v>1</v>
      </c>
      <c r="V1623" s="50">
        <f t="shared" si="150"/>
        <v>1</v>
      </c>
      <c r="W1623" s="50" t="s">
        <v>150</v>
      </c>
      <c r="X1623" s="50" t="s">
        <v>4</v>
      </c>
      <c r="Y1623" s="50" t="s">
        <v>50</v>
      </c>
      <c r="Z1623" s="50" t="s">
        <v>3406</v>
      </c>
      <c r="AA1623" s="50"/>
    </row>
    <row r="1624" spans="1:27" ht="25.5" customHeight="1">
      <c r="A1624" s="517" t="s">
        <v>2286</v>
      </c>
      <c r="B1624" s="51" t="s">
        <v>3132</v>
      </c>
      <c r="C1624" s="51" t="s">
        <v>143</v>
      </c>
      <c r="D1624" s="51" t="s">
        <v>5171</v>
      </c>
      <c r="E1624" s="50">
        <v>3545</v>
      </c>
      <c r="F1624" s="50">
        <v>4039</v>
      </c>
      <c r="G1624" s="50" t="s">
        <v>3404</v>
      </c>
      <c r="H1624" s="50">
        <v>2025</v>
      </c>
      <c r="I1624" s="132">
        <v>45868</v>
      </c>
      <c r="J1624" s="50" t="s">
        <v>3126</v>
      </c>
      <c r="K1624" s="50" t="s">
        <v>267</v>
      </c>
      <c r="L1624" s="50" t="s">
        <v>28</v>
      </c>
      <c r="M1624" s="50" t="s">
        <v>212</v>
      </c>
      <c r="N1624" s="50" t="s">
        <v>5172</v>
      </c>
      <c r="O1624" s="60">
        <v>45884</v>
      </c>
      <c r="P1624" s="60">
        <v>45887</v>
      </c>
      <c r="Q1624" s="60">
        <v>45888</v>
      </c>
      <c r="R1624" s="60">
        <v>45889</v>
      </c>
      <c r="S1624" s="50">
        <f t="shared" si="149"/>
        <v>12</v>
      </c>
      <c r="T1624" s="50">
        <f t="shared" si="151"/>
        <v>1</v>
      </c>
      <c r="U1624" s="50">
        <f t="shared" si="152"/>
        <v>1</v>
      </c>
      <c r="V1624" s="50">
        <f t="shared" si="150"/>
        <v>1</v>
      </c>
      <c r="W1624" s="50" t="s">
        <v>150</v>
      </c>
      <c r="X1624" s="50" t="s">
        <v>4</v>
      </c>
      <c r="Y1624" s="50" t="s">
        <v>50</v>
      </c>
      <c r="Z1624" s="50" t="s">
        <v>3406</v>
      </c>
      <c r="AA1624" s="50"/>
    </row>
    <row r="1625" spans="1:27" ht="25.5" customHeight="1">
      <c r="A1625" s="517" t="s">
        <v>2286</v>
      </c>
      <c r="B1625" s="51" t="s">
        <v>3132</v>
      </c>
      <c r="C1625" s="51" t="s">
        <v>143</v>
      </c>
      <c r="D1625" s="51" t="s">
        <v>4613</v>
      </c>
      <c r="E1625" s="50">
        <v>2647</v>
      </c>
      <c r="F1625" s="50">
        <v>2695</v>
      </c>
      <c r="G1625" s="50" t="s">
        <v>3955</v>
      </c>
      <c r="H1625" s="50"/>
      <c r="I1625" s="105"/>
      <c r="J1625" s="50"/>
      <c r="K1625" s="50" t="s">
        <v>28</v>
      </c>
      <c r="L1625" s="50" t="s">
        <v>2289</v>
      </c>
      <c r="M1625" s="50" t="s">
        <v>212</v>
      </c>
      <c r="N1625" s="50"/>
      <c r="O1625" s="50"/>
      <c r="P1625" s="50"/>
      <c r="Q1625" s="50"/>
      <c r="R1625" s="50"/>
      <c r="S1625" s="50" t="str">
        <f t="shared" si="149"/>
        <v/>
      </c>
      <c r="T1625" s="50" t="str">
        <f t="shared" si="151"/>
        <v/>
      </c>
      <c r="U1625" s="50" t="str">
        <f t="shared" si="152"/>
        <v/>
      </c>
      <c r="V1625" s="50" t="str">
        <f t="shared" si="150"/>
        <v/>
      </c>
      <c r="W1625" s="50"/>
      <c r="X1625" s="50"/>
      <c r="Y1625" s="50"/>
      <c r="Z1625" s="50"/>
      <c r="AA1625" s="50"/>
    </row>
    <row r="1626" spans="1:27" ht="25.5" customHeight="1">
      <c r="A1626" s="517" t="s">
        <v>2286</v>
      </c>
      <c r="B1626" s="51" t="s">
        <v>3132</v>
      </c>
      <c r="C1626" s="51" t="s">
        <v>143</v>
      </c>
      <c r="D1626" s="51" t="s">
        <v>3713</v>
      </c>
      <c r="E1626" s="50">
        <v>1939</v>
      </c>
      <c r="F1626" s="50">
        <v>2083</v>
      </c>
      <c r="G1626" s="50" t="s">
        <v>3404</v>
      </c>
      <c r="H1626" s="50">
        <v>2025</v>
      </c>
      <c r="I1626" s="132">
        <v>45909</v>
      </c>
      <c r="J1626" s="50" t="s">
        <v>3127</v>
      </c>
      <c r="K1626" s="50" t="s">
        <v>267</v>
      </c>
      <c r="L1626" s="50" t="s">
        <v>2289</v>
      </c>
      <c r="M1626" s="50" t="s">
        <v>212</v>
      </c>
      <c r="N1626" s="50" t="s">
        <v>5173</v>
      </c>
      <c r="O1626" s="60">
        <v>45918</v>
      </c>
      <c r="P1626" s="60">
        <v>45918</v>
      </c>
      <c r="Q1626" s="60">
        <v>45918</v>
      </c>
      <c r="R1626" s="60">
        <v>45918</v>
      </c>
      <c r="S1626" s="50">
        <f t="shared" si="149"/>
        <v>7</v>
      </c>
      <c r="T1626" s="50">
        <f t="shared" si="151"/>
        <v>1</v>
      </c>
      <c r="U1626" s="50">
        <f t="shared" si="152"/>
        <v>1</v>
      </c>
      <c r="V1626" s="50">
        <f t="shared" si="150"/>
        <v>1</v>
      </c>
      <c r="W1626" s="50" t="s">
        <v>150</v>
      </c>
      <c r="X1626" s="50" t="s">
        <v>1078</v>
      </c>
      <c r="Y1626" s="50" t="s">
        <v>50</v>
      </c>
      <c r="Z1626" s="50" t="s">
        <v>3406</v>
      </c>
      <c r="AA1626" s="50"/>
    </row>
    <row r="1627" spans="1:27" ht="25.5" customHeight="1">
      <c r="A1627" s="517" t="s">
        <v>2286</v>
      </c>
      <c r="B1627" s="51" t="s">
        <v>3132</v>
      </c>
      <c r="C1627" s="51" t="s">
        <v>143</v>
      </c>
      <c r="D1627" s="51" t="s">
        <v>4969</v>
      </c>
      <c r="E1627" s="50">
        <v>1786</v>
      </c>
      <c r="F1627" s="50">
        <v>1819</v>
      </c>
      <c r="G1627" s="50" t="s">
        <v>3955</v>
      </c>
      <c r="H1627" s="50"/>
      <c r="I1627" s="105"/>
      <c r="J1627" s="50"/>
      <c r="K1627" s="50" t="s">
        <v>28</v>
      </c>
      <c r="L1627" s="50" t="s">
        <v>2289</v>
      </c>
      <c r="M1627" s="50" t="s">
        <v>212</v>
      </c>
      <c r="N1627" s="50"/>
      <c r="O1627" s="50"/>
      <c r="P1627" s="50"/>
      <c r="Q1627" s="50"/>
      <c r="R1627" s="50"/>
      <c r="S1627" s="50" t="str">
        <f t="shared" si="149"/>
        <v/>
      </c>
      <c r="T1627" s="50" t="str">
        <f t="shared" si="151"/>
        <v/>
      </c>
      <c r="U1627" s="50" t="str">
        <f t="shared" si="152"/>
        <v/>
      </c>
      <c r="V1627" s="50" t="str">
        <f t="shared" si="150"/>
        <v/>
      </c>
      <c r="W1627" s="50"/>
      <c r="X1627" s="50"/>
      <c r="Y1627" s="50"/>
      <c r="Z1627" s="50"/>
      <c r="AA1627" s="50"/>
    </row>
    <row r="1628" spans="1:27" ht="25.5" customHeight="1">
      <c r="A1628" s="517" t="s">
        <v>2286</v>
      </c>
      <c r="B1628" s="51" t="s">
        <v>3132</v>
      </c>
      <c r="C1628" s="51" t="s">
        <v>143</v>
      </c>
      <c r="D1628" s="51" t="s">
        <v>5174</v>
      </c>
      <c r="E1628" s="50">
        <v>1760</v>
      </c>
      <c r="F1628" s="50">
        <v>1920</v>
      </c>
      <c r="G1628" s="50" t="s">
        <v>3955</v>
      </c>
      <c r="H1628" s="50"/>
      <c r="I1628" s="105"/>
      <c r="J1628" s="50"/>
      <c r="K1628" s="50" t="s">
        <v>28</v>
      </c>
      <c r="L1628" s="50" t="s">
        <v>2289</v>
      </c>
      <c r="M1628" s="50" t="s">
        <v>212</v>
      </c>
      <c r="N1628" s="50"/>
      <c r="O1628" s="50"/>
      <c r="P1628" s="50"/>
      <c r="Q1628" s="50"/>
      <c r="R1628" s="50"/>
      <c r="S1628" s="50" t="str">
        <f t="shared" si="149"/>
        <v/>
      </c>
      <c r="T1628" s="50" t="str">
        <f t="shared" si="151"/>
        <v/>
      </c>
      <c r="U1628" s="50" t="str">
        <f t="shared" si="152"/>
        <v/>
      </c>
      <c r="V1628" s="50" t="str">
        <f t="shared" si="150"/>
        <v/>
      </c>
      <c r="W1628" s="50"/>
      <c r="X1628" s="50"/>
      <c r="Y1628" s="50"/>
      <c r="Z1628" s="50"/>
      <c r="AA1628" s="50"/>
    </row>
    <row r="1629" spans="1:27" ht="25.5" customHeight="1">
      <c r="A1629" s="517" t="s">
        <v>2286</v>
      </c>
      <c r="B1629" s="51" t="s">
        <v>3132</v>
      </c>
      <c r="C1629" s="51" t="s">
        <v>143</v>
      </c>
      <c r="D1629" s="51" t="s">
        <v>5175</v>
      </c>
      <c r="E1629" s="50">
        <v>1288</v>
      </c>
      <c r="F1629" s="50">
        <v>1605</v>
      </c>
      <c r="G1629" s="50" t="s">
        <v>3955</v>
      </c>
      <c r="H1629" s="50"/>
      <c r="I1629" s="105"/>
      <c r="J1629" s="50"/>
      <c r="K1629" s="50" t="s">
        <v>28</v>
      </c>
      <c r="L1629" s="50" t="s">
        <v>2289</v>
      </c>
      <c r="M1629" s="50" t="s">
        <v>212</v>
      </c>
      <c r="N1629" s="50"/>
      <c r="O1629" s="50"/>
      <c r="P1629" s="50"/>
      <c r="Q1629" s="50"/>
      <c r="R1629" s="50"/>
      <c r="S1629" s="50" t="str">
        <f t="shared" si="149"/>
        <v/>
      </c>
      <c r="T1629" s="50" t="str">
        <f t="shared" si="151"/>
        <v/>
      </c>
      <c r="U1629" s="50" t="str">
        <f t="shared" si="152"/>
        <v/>
      </c>
      <c r="V1629" s="50" t="str">
        <f t="shared" si="150"/>
        <v/>
      </c>
      <c r="W1629" s="50"/>
      <c r="X1629" s="50"/>
      <c r="Y1629" s="50"/>
      <c r="Z1629" s="50"/>
      <c r="AA1629" s="50"/>
    </row>
    <row r="1630" spans="1:27" ht="25.5" customHeight="1">
      <c r="A1630" s="517" t="s">
        <v>2286</v>
      </c>
      <c r="B1630" s="51" t="s">
        <v>3132</v>
      </c>
      <c r="C1630" s="51" t="s">
        <v>143</v>
      </c>
      <c r="D1630" s="51" t="s">
        <v>3474</v>
      </c>
      <c r="E1630" s="50">
        <v>4089</v>
      </c>
      <c r="F1630" s="50">
        <v>4439</v>
      </c>
      <c r="G1630" s="50" t="s">
        <v>3955</v>
      </c>
      <c r="H1630" s="50"/>
      <c r="I1630" s="105"/>
      <c r="J1630" s="50"/>
      <c r="K1630" s="50" t="s">
        <v>28</v>
      </c>
      <c r="L1630" s="50" t="s">
        <v>2289</v>
      </c>
      <c r="M1630" s="50" t="s">
        <v>212</v>
      </c>
      <c r="N1630" s="50"/>
      <c r="O1630" s="50"/>
      <c r="P1630" s="50"/>
      <c r="Q1630" s="50"/>
      <c r="R1630" s="50"/>
      <c r="S1630" s="50" t="str">
        <f t="shared" si="149"/>
        <v/>
      </c>
      <c r="T1630" s="50" t="str">
        <f t="shared" si="151"/>
        <v/>
      </c>
      <c r="U1630" s="50" t="str">
        <f t="shared" si="152"/>
        <v/>
      </c>
      <c r="V1630" s="50" t="str">
        <f t="shared" si="150"/>
        <v/>
      </c>
      <c r="W1630" s="50"/>
      <c r="X1630" s="50"/>
      <c r="Y1630" s="50"/>
      <c r="Z1630" s="50"/>
      <c r="AA1630" s="50"/>
    </row>
    <row r="1631" spans="1:27" ht="25.5" customHeight="1">
      <c r="A1631" s="517" t="s">
        <v>2286</v>
      </c>
      <c r="B1631" s="51" t="s">
        <v>3132</v>
      </c>
      <c r="C1631" s="51" t="s">
        <v>143</v>
      </c>
      <c r="D1631" s="51" t="s">
        <v>5176</v>
      </c>
      <c r="E1631" s="50">
        <v>2018</v>
      </c>
      <c r="F1631" s="50">
        <v>2373</v>
      </c>
      <c r="G1631" s="50" t="s">
        <v>3955</v>
      </c>
      <c r="H1631" s="50"/>
      <c r="I1631" s="105"/>
      <c r="J1631" s="50"/>
      <c r="K1631" s="50" t="s">
        <v>28</v>
      </c>
      <c r="L1631" s="50" t="s">
        <v>2289</v>
      </c>
      <c r="M1631" s="50" t="s">
        <v>212</v>
      </c>
      <c r="N1631" s="50"/>
      <c r="O1631" s="50"/>
      <c r="P1631" s="50"/>
      <c r="Q1631" s="50"/>
      <c r="R1631" s="50"/>
      <c r="S1631" s="50" t="str">
        <f t="shared" si="149"/>
        <v/>
      </c>
      <c r="T1631" s="50" t="str">
        <f t="shared" si="151"/>
        <v/>
      </c>
      <c r="U1631" s="50" t="str">
        <f t="shared" si="152"/>
        <v/>
      </c>
      <c r="V1631" s="50" t="str">
        <f t="shared" si="150"/>
        <v/>
      </c>
      <c r="W1631" s="50"/>
      <c r="X1631" s="50"/>
      <c r="Y1631" s="50"/>
      <c r="Z1631" s="50"/>
      <c r="AA1631" s="50"/>
    </row>
    <row r="1632" spans="1:27" ht="25.5" customHeight="1">
      <c r="A1632" s="517" t="s">
        <v>2286</v>
      </c>
      <c r="B1632" s="51" t="s">
        <v>3132</v>
      </c>
      <c r="C1632" s="51" t="s">
        <v>143</v>
      </c>
      <c r="D1632" s="51" t="s">
        <v>1905</v>
      </c>
      <c r="E1632" s="50">
        <v>1599</v>
      </c>
      <c r="F1632" s="50">
        <v>2034</v>
      </c>
      <c r="G1632" s="50" t="s">
        <v>3955</v>
      </c>
      <c r="H1632" s="50"/>
      <c r="I1632" s="105"/>
      <c r="J1632" s="50"/>
      <c r="K1632" s="50" t="s">
        <v>28</v>
      </c>
      <c r="L1632" s="50" t="s">
        <v>2289</v>
      </c>
      <c r="M1632" s="50" t="s">
        <v>212</v>
      </c>
      <c r="N1632" s="50"/>
      <c r="O1632" s="50"/>
      <c r="P1632" s="50"/>
      <c r="Q1632" s="50"/>
      <c r="R1632" s="50"/>
      <c r="S1632" s="50" t="str">
        <f t="shared" si="149"/>
        <v/>
      </c>
      <c r="T1632" s="50" t="str">
        <f t="shared" si="151"/>
        <v/>
      </c>
      <c r="U1632" s="50" t="str">
        <f t="shared" si="152"/>
        <v/>
      </c>
      <c r="V1632" s="50" t="str">
        <f t="shared" si="150"/>
        <v/>
      </c>
      <c r="W1632" s="50"/>
      <c r="X1632" s="50"/>
      <c r="Y1632" s="50"/>
      <c r="Z1632" s="50"/>
      <c r="AA1632" s="50"/>
    </row>
    <row r="1633" spans="1:27" ht="25.5" customHeight="1">
      <c r="A1633" s="517" t="s">
        <v>2286</v>
      </c>
      <c r="B1633" s="51" t="s">
        <v>3132</v>
      </c>
      <c r="C1633" s="51" t="s">
        <v>143</v>
      </c>
      <c r="D1633" s="51" t="s">
        <v>5177</v>
      </c>
      <c r="E1633" s="50">
        <v>2390</v>
      </c>
      <c r="F1633" s="50">
        <v>2824</v>
      </c>
      <c r="G1633" s="50" t="s">
        <v>3955</v>
      </c>
      <c r="H1633" s="50"/>
      <c r="I1633" s="105"/>
      <c r="J1633" s="50"/>
      <c r="K1633" s="50" t="s">
        <v>28</v>
      </c>
      <c r="L1633" s="50" t="s">
        <v>2289</v>
      </c>
      <c r="M1633" s="50" t="s">
        <v>212</v>
      </c>
      <c r="N1633" s="50"/>
      <c r="O1633" s="50"/>
      <c r="P1633" s="50"/>
      <c r="Q1633" s="50"/>
      <c r="R1633" s="50"/>
      <c r="S1633" s="50" t="str">
        <f t="shared" si="149"/>
        <v/>
      </c>
      <c r="T1633" s="50" t="str">
        <f t="shared" si="151"/>
        <v/>
      </c>
      <c r="U1633" s="50" t="str">
        <f t="shared" si="152"/>
        <v/>
      </c>
      <c r="V1633" s="50" t="str">
        <f t="shared" si="150"/>
        <v/>
      </c>
      <c r="W1633" s="50"/>
      <c r="X1633" s="50"/>
      <c r="Y1633" s="50"/>
      <c r="Z1633" s="50"/>
      <c r="AA1633" s="50"/>
    </row>
    <row r="1634" spans="1:27" ht="25.5" customHeight="1">
      <c r="A1634" s="517" t="s">
        <v>2286</v>
      </c>
      <c r="B1634" s="51" t="s">
        <v>3132</v>
      </c>
      <c r="C1634" s="51" t="s">
        <v>143</v>
      </c>
      <c r="D1634" s="51" t="s">
        <v>1300</v>
      </c>
      <c r="E1634" s="50">
        <v>939</v>
      </c>
      <c r="F1634" s="50">
        <v>976</v>
      </c>
      <c r="G1634" s="50" t="s">
        <v>3955</v>
      </c>
      <c r="H1634" s="50"/>
      <c r="I1634" s="105"/>
      <c r="J1634" s="50"/>
      <c r="K1634" s="50" t="s">
        <v>28</v>
      </c>
      <c r="L1634" s="50" t="s">
        <v>2289</v>
      </c>
      <c r="M1634" s="50" t="s">
        <v>212</v>
      </c>
      <c r="N1634" s="50"/>
      <c r="O1634" s="50"/>
      <c r="P1634" s="50"/>
      <c r="Q1634" s="50"/>
      <c r="R1634" s="50"/>
      <c r="S1634" s="50" t="str">
        <f t="shared" si="149"/>
        <v/>
      </c>
      <c r="T1634" s="50" t="str">
        <f t="shared" si="151"/>
        <v/>
      </c>
      <c r="U1634" s="50" t="str">
        <f t="shared" si="152"/>
        <v/>
      </c>
      <c r="V1634" s="50" t="str">
        <f t="shared" si="150"/>
        <v/>
      </c>
      <c r="W1634" s="50"/>
      <c r="X1634" s="50"/>
      <c r="Y1634" s="50"/>
      <c r="Z1634" s="50"/>
      <c r="AA1634" s="50"/>
    </row>
    <row r="1635" spans="1:27" ht="25.5" customHeight="1">
      <c r="A1635" s="517" t="s">
        <v>2286</v>
      </c>
      <c r="B1635" s="51" t="s">
        <v>3132</v>
      </c>
      <c r="C1635" s="51" t="s">
        <v>143</v>
      </c>
      <c r="D1635" s="51" t="s">
        <v>1180</v>
      </c>
      <c r="E1635" s="50">
        <v>1842</v>
      </c>
      <c r="F1635" s="50">
        <v>2036</v>
      </c>
      <c r="G1635" s="50" t="s">
        <v>3955</v>
      </c>
      <c r="H1635" s="50"/>
      <c r="I1635" s="105"/>
      <c r="J1635" s="50"/>
      <c r="K1635" s="50" t="s">
        <v>28</v>
      </c>
      <c r="L1635" s="50" t="s">
        <v>2289</v>
      </c>
      <c r="M1635" s="50" t="s">
        <v>212</v>
      </c>
      <c r="N1635" s="50"/>
      <c r="O1635" s="50"/>
      <c r="P1635" s="50"/>
      <c r="Q1635" s="50"/>
      <c r="R1635" s="50"/>
      <c r="S1635" s="50" t="str">
        <f t="shared" si="149"/>
        <v/>
      </c>
      <c r="T1635" s="50" t="str">
        <f t="shared" si="151"/>
        <v/>
      </c>
      <c r="U1635" s="50" t="str">
        <f t="shared" si="152"/>
        <v/>
      </c>
      <c r="V1635" s="50" t="str">
        <f t="shared" si="150"/>
        <v/>
      </c>
      <c r="W1635" s="50"/>
      <c r="X1635" s="50"/>
      <c r="Y1635" s="50"/>
      <c r="Z1635" s="50"/>
      <c r="AA1635" s="50"/>
    </row>
    <row r="1636" spans="1:27" ht="25.5" customHeight="1">
      <c r="A1636" s="517" t="s">
        <v>2286</v>
      </c>
      <c r="B1636" s="51" t="s">
        <v>3132</v>
      </c>
      <c r="C1636" s="51" t="s">
        <v>143</v>
      </c>
      <c r="D1636" s="51" t="s">
        <v>5178</v>
      </c>
      <c r="E1636" s="50">
        <v>2544</v>
      </c>
      <c r="F1636" s="50">
        <v>2695</v>
      </c>
      <c r="G1636" s="50" t="s">
        <v>3955</v>
      </c>
      <c r="H1636" s="50"/>
      <c r="I1636" s="105"/>
      <c r="J1636" s="50"/>
      <c r="K1636" s="50" t="s">
        <v>28</v>
      </c>
      <c r="L1636" s="50" t="s">
        <v>2289</v>
      </c>
      <c r="M1636" s="50" t="s">
        <v>212</v>
      </c>
      <c r="N1636" s="50"/>
      <c r="O1636" s="50"/>
      <c r="P1636" s="50"/>
      <c r="Q1636" s="50"/>
      <c r="R1636" s="50"/>
      <c r="S1636" s="50" t="str">
        <f t="shared" si="149"/>
        <v/>
      </c>
      <c r="T1636" s="50" t="str">
        <f t="shared" si="151"/>
        <v/>
      </c>
      <c r="U1636" s="50" t="str">
        <f t="shared" si="152"/>
        <v/>
      </c>
      <c r="V1636" s="50" t="str">
        <f t="shared" si="150"/>
        <v/>
      </c>
      <c r="W1636" s="50"/>
      <c r="X1636" s="50"/>
      <c r="Y1636" s="50"/>
      <c r="Z1636" s="50"/>
      <c r="AA1636" s="50"/>
    </row>
    <row r="1637" spans="1:27" ht="25.5" customHeight="1">
      <c r="A1637" s="517" t="s">
        <v>2286</v>
      </c>
      <c r="B1637" s="51" t="s">
        <v>3132</v>
      </c>
      <c r="C1637" s="51" t="s">
        <v>143</v>
      </c>
      <c r="D1637" s="51" t="s">
        <v>5034</v>
      </c>
      <c r="E1637" s="50">
        <v>1765</v>
      </c>
      <c r="F1637" s="50">
        <v>1693</v>
      </c>
      <c r="G1637" s="50" t="s">
        <v>3404</v>
      </c>
      <c r="H1637" s="50">
        <v>2025</v>
      </c>
      <c r="I1637" s="132">
        <v>45875</v>
      </c>
      <c r="J1637" s="50" t="s">
        <v>3126</v>
      </c>
      <c r="K1637" s="50" t="s">
        <v>28</v>
      </c>
      <c r="L1637" s="50" t="s">
        <v>2289</v>
      </c>
      <c r="M1637" s="50" t="s">
        <v>212</v>
      </c>
      <c r="N1637" s="50" t="s">
        <v>5179</v>
      </c>
      <c r="O1637" s="60">
        <v>45875</v>
      </c>
      <c r="P1637" s="60">
        <v>45887</v>
      </c>
      <c r="Q1637" s="60">
        <v>45888</v>
      </c>
      <c r="R1637" s="60">
        <v>45888</v>
      </c>
      <c r="S1637" s="50">
        <f t="shared" si="149"/>
        <v>1</v>
      </c>
      <c r="T1637" s="50">
        <f t="shared" si="151"/>
        <v>8</v>
      </c>
      <c r="U1637" s="50">
        <f t="shared" si="152"/>
        <v>1</v>
      </c>
      <c r="V1637" s="50">
        <f t="shared" si="150"/>
        <v>1</v>
      </c>
      <c r="W1637" s="50" t="s">
        <v>150</v>
      </c>
      <c r="X1637" s="50" t="s">
        <v>4</v>
      </c>
      <c r="Y1637" s="50" t="s">
        <v>50</v>
      </c>
      <c r="Z1637" s="50" t="s">
        <v>3406</v>
      </c>
      <c r="AA1637" s="50"/>
    </row>
    <row r="1638" spans="1:27" ht="25.5" customHeight="1">
      <c r="A1638" s="517" t="s">
        <v>2286</v>
      </c>
      <c r="B1638" s="51" t="s">
        <v>3132</v>
      </c>
      <c r="C1638" s="51" t="s">
        <v>143</v>
      </c>
      <c r="D1638" s="51" t="s">
        <v>1253</v>
      </c>
      <c r="E1638" s="50">
        <v>1800</v>
      </c>
      <c r="F1638" s="50">
        <v>1867</v>
      </c>
      <c r="G1638" s="50" t="s">
        <v>3955</v>
      </c>
      <c r="H1638" s="50"/>
      <c r="I1638" s="105"/>
      <c r="J1638" s="50"/>
      <c r="K1638" s="50" t="s">
        <v>28</v>
      </c>
      <c r="L1638" s="50" t="s">
        <v>2289</v>
      </c>
      <c r="M1638" s="50" t="s">
        <v>212</v>
      </c>
      <c r="N1638" s="50"/>
      <c r="O1638" s="50"/>
      <c r="P1638" s="50"/>
      <c r="Q1638" s="50"/>
      <c r="R1638" s="50"/>
      <c r="S1638" s="50" t="str">
        <f t="shared" si="149"/>
        <v/>
      </c>
      <c r="T1638" s="50" t="str">
        <f t="shared" si="151"/>
        <v/>
      </c>
      <c r="U1638" s="50" t="str">
        <f t="shared" si="152"/>
        <v/>
      </c>
      <c r="V1638" s="50" t="str">
        <f t="shared" si="150"/>
        <v/>
      </c>
      <c r="W1638" s="50"/>
      <c r="X1638" s="50"/>
      <c r="Y1638" s="50"/>
      <c r="Z1638" s="50"/>
      <c r="AA1638" s="50"/>
    </row>
    <row r="1639" spans="1:27" ht="25.5" customHeight="1">
      <c r="A1639" s="517" t="s">
        <v>2286</v>
      </c>
      <c r="B1639" s="51" t="s">
        <v>3132</v>
      </c>
      <c r="C1639" s="51" t="s">
        <v>143</v>
      </c>
      <c r="D1639" s="51" t="s">
        <v>5180</v>
      </c>
      <c r="E1639" s="50">
        <v>1626</v>
      </c>
      <c r="F1639" s="50">
        <v>1739</v>
      </c>
      <c r="G1639" s="50" t="s">
        <v>3955</v>
      </c>
      <c r="H1639" s="50"/>
      <c r="I1639" s="105"/>
      <c r="J1639" s="50"/>
      <c r="K1639" s="50" t="s">
        <v>28</v>
      </c>
      <c r="L1639" s="50" t="s">
        <v>2289</v>
      </c>
      <c r="M1639" s="50" t="s">
        <v>212</v>
      </c>
      <c r="N1639" s="50"/>
      <c r="O1639" s="50"/>
      <c r="P1639" s="50"/>
      <c r="Q1639" s="50"/>
      <c r="R1639" s="50"/>
      <c r="S1639" s="50" t="str">
        <f t="shared" si="149"/>
        <v/>
      </c>
      <c r="T1639" s="50" t="str">
        <f t="shared" si="151"/>
        <v/>
      </c>
      <c r="U1639" s="50" t="str">
        <f t="shared" si="152"/>
        <v/>
      </c>
      <c r="V1639" s="50" t="str">
        <f t="shared" si="150"/>
        <v/>
      </c>
      <c r="W1639" s="50"/>
      <c r="X1639" s="50"/>
      <c r="Y1639" s="50"/>
      <c r="Z1639" s="50"/>
      <c r="AA1639" s="50"/>
    </row>
    <row r="1640" spans="1:27" ht="25.5" customHeight="1">
      <c r="A1640" s="517" t="s">
        <v>2286</v>
      </c>
      <c r="B1640" s="51" t="s">
        <v>3132</v>
      </c>
      <c r="C1640" s="51" t="s">
        <v>143</v>
      </c>
      <c r="D1640" s="51" t="s">
        <v>4261</v>
      </c>
      <c r="E1640" s="50">
        <v>2840</v>
      </c>
      <c r="F1640" s="50">
        <v>2917</v>
      </c>
      <c r="G1640" s="50" t="s">
        <v>3955</v>
      </c>
      <c r="H1640" s="50"/>
      <c r="I1640" s="105"/>
      <c r="J1640" s="50"/>
      <c r="K1640" s="50" t="s">
        <v>28</v>
      </c>
      <c r="L1640" s="50" t="s">
        <v>2289</v>
      </c>
      <c r="M1640" s="50" t="s">
        <v>212</v>
      </c>
      <c r="N1640" s="50"/>
      <c r="O1640" s="50"/>
      <c r="P1640" s="50"/>
      <c r="Q1640" s="50"/>
      <c r="R1640" s="50"/>
      <c r="S1640" s="50" t="str">
        <f t="shared" si="149"/>
        <v/>
      </c>
      <c r="T1640" s="50" t="str">
        <f t="shared" si="151"/>
        <v/>
      </c>
      <c r="U1640" s="50" t="str">
        <f t="shared" si="152"/>
        <v/>
      </c>
      <c r="V1640" s="50" t="str">
        <f t="shared" si="150"/>
        <v/>
      </c>
      <c r="W1640" s="50"/>
      <c r="X1640" s="50"/>
      <c r="Y1640" s="50"/>
      <c r="Z1640" s="50"/>
      <c r="AA1640" s="50"/>
    </row>
    <row r="1641" spans="1:27" ht="25.5" customHeight="1">
      <c r="A1641" s="517" t="s">
        <v>2286</v>
      </c>
      <c r="B1641" s="51" t="s">
        <v>3132</v>
      </c>
      <c r="C1641" s="51" t="s">
        <v>143</v>
      </c>
      <c r="D1641" s="51" t="s">
        <v>5181</v>
      </c>
      <c r="E1641" s="50">
        <v>838</v>
      </c>
      <c r="F1641" s="50">
        <v>884</v>
      </c>
      <c r="G1641" s="50" t="s">
        <v>3955</v>
      </c>
      <c r="H1641" s="50"/>
      <c r="I1641" s="105"/>
      <c r="J1641" s="50"/>
      <c r="K1641" s="50" t="s">
        <v>28</v>
      </c>
      <c r="L1641" s="50" t="s">
        <v>2289</v>
      </c>
      <c r="M1641" s="50" t="s">
        <v>212</v>
      </c>
      <c r="N1641" s="50"/>
      <c r="O1641" s="50"/>
      <c r="P1641" s="50"/>
      <c r="Q1641" s="50"/>
      <c r="R1641" s="50"/>
      <c r="S1641" s="50" t="str">
        <f t="shared" si="149"/>
        <v/>
      </c>
      <c r="T1641" s="50" t="str">
        <f t="shared" si="151"/>
        <v/>
      </c>
      <c r="U1641" s="50" t="str">
        <f t="shared" si="152"/>
        <v/>
      </c>
      <c r="V1641" s="50" t="str">
        <f t="shared" si="150"/>
        <v/>
      </c>
      <c r="W1641" s="50"/>
      <c r="X1641" s="50"/>
      <c r="Y1641" s="50"/>
      <c r="Z1641" s="50"/>
      <c r="AA1641" s="50"/>
    </row>
    <row r="1642" spans="1:27" ht="25.5" customHeight="1">
      <c r="A1642" s="517" t="s">
        <v>2286</v>
      </c>
      <c r="B1642" s="51" t="s">
        <v>3132</v>
      </c>
      <c r="C1642" s="51" t="s">
        <v>143</v>
      </c>
      <c r="D1642" s="51" t="s">
        <v>1322</v>
      </c>
      <c r="E1642" s="50">
        <v>5060</v>
      </c>
      <c r="F1642" s="50">
        <v>6784</v>
      </c>
      <c r="G1642" s="50" t="s">
        <v>3404</v>
      </c>
      <c r="H1642" s="50">
        <v>2024</v>
      </c>
      <c r="I1642" s="132">
        <v>45405</v>
      </c>
      <c r="J1642" s="50"/>
      <c r="K1642" s="50" t="s">
        <v>28</v>
      </c>
      <c r="L1642" s="50" t="s">
        <v>2289</v>
      </c>
      <c r="M1642" s="50" t="s">
        <v>212</v>
      </c>
      <c r="N1642" s="50"/>
      <c r="O1642" s="50"/>
      <c r="P1642" s="50"/>
      <c r="Q1642" s="50"/>
      <c r="R1642" s="50"/>
      <c r="S1642" s="50" t="str">
        <f t="shared" si="149"/>
        <v/>
      </c>
      <c r="T1642" s="50" t="str">
        <f t="shared" si="151"/>
        <v/>
      </c>
      <c r="U1642" s="50" t="str">
        <f t="shared" si="152"/>
        <v/>
      </c>
      <c r="V1642" s="50" t="str">
        <f t="shared" si="150"/>
        <v/>
      </c>
      <c r="W1642" s="50"/>
      <c r="X1642" s="50"/>
      <c r="Y1642" s="50"/>
      <c r="Z1642" s="50" t="s">
        <v>3406</v>
      </c>
      <c r="AA1642" s="50"/>
    </row>
    <row r="1643" spans="1:27" ht="25.5" customHeight="1">
      <c r="A1643" s="517" t="s">
        <v>2286</v>
      </c>
      <c r="B1643" s="51" t="s">
        <v>3132</v>
      </c>
      <c r="C1643" s="51" t="s">
        <v>143</v>
      </c>
      <c r="D1643" s="51" t="s">
        <v>5182</v>
      </c>
      <c r="E1643" s="50">
        <v>2977</v>
      </c>
      <c r="F1643" s="50">
        <v>3471</v>
      </c>
      <c r="G1643" s="50" t="s">
        <v>3955</v>
      </c>
      <c r="H1643" s="50"/>
      <c r="I1643" s="105"/>
      <c r="J1643" s="50"/>
      <c r="K1643" s="50" t="s">
        <v>28</v>
      </c>
      <c r="L1643" s="50" t="s">
        <v>2289</v>
      </c>
      <c r="M1643" s="50" t="s">
        <v>212</v>
      </c>
      <c r="N1643" s="50"/>
      <c r="O1643" s="50"/>
      <c r="P1643" s="50"/>
      <c r="Q1643" s="50"/>
      <c r="R1643" s="50"/>
      <c r="S1643" s="50" t="str">
        <f t="shared" si="149"/>
        <v/>
      </c>
      <c r="T1643" s="50" t="str">
        <f t="shared" si="151"/>
        <v/>
      </c>
      <c r="U1643" s="50" t="str">
        <f t="shared" si="152"/>
        <v/>
      </c>
      <c r="V1643" s="50" t="str">
        <f t="shared" si="150"/>
        <v/>
      </c>
      <c r="W1643" s="50"/>
      <c r="X1643" s="50"/>
      <c r="Y1643" s="50"/>
      <c r="Z1643" s="50"/>
      <c r="AA1643" s="50"/>
    </row>
    <row r="1644" spans="1:27" ht="25.5" customHeight="1">
      <c r="A1644" s="517" t="s">
        <v>2286</v>
      </c>
      <c r="B1644" s="51" t="s">
        <v>3132</v>
      </c>
      <c r="C1644" s="51" t="s">
        <v>143</v>
      </c>
      <c r="D1644" s="51" t="s">
        <v>5183</v>
      </c>
      <c r="E1644" s="50">
        <v>1588</v>
      </c>
      <c r="F1644" s="50">
        <v>1550</v>
      </c>
      <c r="G1644" s="50" t="s">
        <v>3404</v>
      </c>
      <c r="H1644" s="50">
        <v>2025</v>
      </c>
      <c r="I1644" s="132">
        <v>45931</v>
      </c>
      <c r="J1644" s="50" t="s">
        <v>3128</v>
      </c>
      <c r="K1644" s="50" t="s">
        <v>267</v>
      </c>
      <c r="L1644" s="50" t="s">
        <v>2289</v>
      </c>
      <c r="M1644" s="50" t="s">
        <v>212</v>
      </c>
      <c r="N1644" s="50" t="s">
        <v>5184</v>
      </c>
      <c r="O1644" s="60">
        <v>45936</v>
      </c>
      <c r="P1644" s="60">
        <v>45938</v>
      </c>
      <c r="Q1644" s="60">
        <v>45938</v>
      </c>
      <c r="R1644" s="60">
        <v>45940</v>
      </c>
      <c r="S1644" s="50">
        <f t="shared" si="149"/>
        <v>3</v>
      </c>
      <c r="T1644" s="50">
        <f t="shared" si="151"/>
        <v>2</v>
      </c>
      <c r="U1644" s="50">
        <f t="shared" si="152"/>
        <v>1</v>
      </c>
      <c r="V1644" s="50">
        <f t="shared" si="150"/>
        <v>2</v>
      </c>
      <c r="W1644" s="50" t="s">
        <v>150</v>
      </c>
      <c r="X1644" s="50" t="s">
        <v>1078</v>
      </c>
      <c r="Y1644" s="50" t="s">
        <v>50</v>
      </c>
      <c r="Z1644" s="50" t="s">
        <v>3406</v>
      </c>
      <c r="AA1644" s="50"/>
    </row>
    <row r="1645" spans="1:27" ht="25.5" customHeight="1">
      <c r="A1645" s="517" t="s">
        <v>2286</v>
      </c>
      <c r="B1645" s="51" t="s">
        <v>3132</v>
      </c>
      <c r="C1645" s="51" t="s">
        <v>143</v>
      </c>
      <c r="D1645" s="51" t="s">
        <v>5185</v>
      </c>
      <c r="E1645" s="50">
        <v>2737</v>
      </c>
      <c r="F1645" s="50">
        <v>2682</v>
      </c>
      <c r="G1645" s="50" t="s">
        <v>3955</v>
      </c>
      <c r="H1645" s="50"/>
      <c r="I1645" s="105"/>
      <c r="J1645" s="50"/>
      <c r="K1645" s="50" t="s">
        <v>28</v>
      </c>
      <c r="L1645" s="50" t="s">
        <v>2289</v>
      </c>
      <c r="M1645" s="50" t="s">
        <v>212</v>
      </c>
      <c r="N1645" s="50"/>
      <c r="O1645" s="50"/>
      <c r="P1645" s="50"/>
      <c r="Q1645" s="50"/>
      <c r="R1645" s="50"/>
      <c r="S1645" s="50" t="str">
        <f t="shared" si="149"/>
        <v/>
      </c>
      <c r="T1645" s="50" t="str">
        <f t="shared" si="151"/>
        <v/>
      </c>
      <c r="U1645" s="50" t="str">
        <f t="shared" si="152"/>
        <v/>
      </c>
      <c r="V1645" s="50" t="str">
        <f t="shared" si="150"/>
        <v/>
      </c>
      <c r="W1645" s="50"/>
      <c r="X1645" s="50"/>
      <c r="Y1645" s="50"/>
      <c r="Z1645" s="50"/>
      <c r="AA1645" s="50"/>
    </row>
    <row r="1646" spans="1:27" ht="25.5" customHeight="1">
      <c r="A1646" s="517" t="s">
        <v>2286</v>
      </c>
      <c r="B1646" s="51" t="s">
        <v>3132</v>
      </c>
      <c r="C1646" s="51" t="s">
        <v>143</v>
      </c>
      <c r="D1646" s="51" t="s">
        <v>3736</v>
      </c>
      <c r="E1646" s="50">
        <v>1461</v>
      </c>
      <c r="F1646" s="50">
        <v>1306</v>
      </c>
      <c r="G1646" s="50" t="s">
        <v>3955</v>
      </c>
      <c r="H1646" s="50"/>
      <c r="I1646" s="105"/>
      <c r="J1646" s="50"/>
      <c r="K1646" s="50" t="s">
        <v>28</v>
      </c>
      <c r="L1646" s="50" t="s">
        <v>2289</v>
      </c>
      <c r="M1646" s="50" t="s">
        <v>212</v>
      </c>
      <c r="N1646" s="50"/>
      <c r="O1646" s="50"/>
      <c r="P1646" s="50"/>
      <c r="Q1646" s="50"/>
      <c r="R1646" s="50"/>
      <c r="S1646" s="50" t="str">
        <f t="shared" si="149"/>
        <v/>
      </c>
      <c r="T1646" s="50" t="str">
        <f t="shared" si="151"/>
        <v/>
      </c>
      <c r="U1646" s="50" t="str">
        <f t="shared" si="152"/>
        <v/>
      </c>
      <c r="V1646" s="50" t="str">
        <f t="shared" si="150"/>
        <v/>
      </c>
      <c r="W1646" s="50"/>
      <c r="X1646" s="50"/>
      <c r="Y1646" s="50"/>
      <c r="Z1646" s="50"/>
      <c r="AA1646" s="50"/>
    </row>
    <row r="1647" spans="1:27" s="110" customFormat="1" ht="25.5" customHeight="1">
      <c r="A1647" s="517" t="s">
        <v>2286</v>
      </c>
      <c r="B1647" s="51" t="s">
        <v>3133</v>
      </c>
      <c r="C1647" s="51" t="s">
        <v>143</v>
      </c>
      <c r="D1647" s="51" t="s">
        <v>5186</v>
      </c>
      <c r="E1647" s="50">
        <v>9274</v>
      </c>
      <c r="F1647" s="50">
        <v>9619</v>
      </c>
      <c r="G1647" s="50" t="s">
        <v>3404</v>
      </c>
      <c r="H1647" s="50">
        <v>2025</v>
      </c>
      <c r="I1647" s="132">
        <v>45791</v>
      </c>
      <c r="J1647" s="50" t="s">
        <v>3532</v>
      </c>
      <c r="K1647" s="50" t="s">
        <v>224</v>
      </c>
      <c r="L1647" s="50" t="s">
        <v>2289</v>
      </c>
      <c r="M1647" s="50" t="s">
        <v>212</v>
      </c>
      <c r="N1647" s="50" t="s">
        <v>5187</v>
      </c>
      <c r="O1647" s="60">
        <v>45792</v>
      </c>
      <c r="P1647" s="60">
        <v>45793</v>
      </c>
      <c r="Q1647" s="60">
        <v>45793</v>
      </c>
      <c r="R1647" s="60">
        <v>45796</v>
      </c>
      <c r="S1647" s="50">
        <f t="shared" si="149"/>
        <v>1</v>
      </c>
      <c r="T1647" s="50">
        <f t="shared" si="151"/>
        <v>1</v>
      </c>
      <c r="U1647" s="50">
        <f t="shared" si="152"/>
        <v>1</v>
      </c>
      <c r="V1647" s="50">
        <f t="shared" si="150"/>
        <v>1</v>
      </c>
      <c r="W1647" s="50" t="s">
        <v>150</v>
      </c>
      <c r="X1647" s="50" t="s">
        <v>1078</v>
      </c>
      <c r="Y1647" s="50" t="s">
        <v>50</v>
      </c>
      <c r="Z1647" s="50" t="s">
        <v>3406</v>
      </c>
      <c r="AA1647" s="50"/>
    </row>
    <row r="1648" spans="1:27" ht="25.5" customHeight="1">
      <c r="A1648" s="517" t="s">
        <v>2286</v>
      </c>
      <c r="B1648" s="51" t="s">
        <v>3133</v>
      </c>
      <c r="C1648" s="51" t="s">
        <v>143</v>
      </c>
      <c r="D1648" s="51" t="s">
        <v>5188</v>
      </c>
      <c r="E1648" s="50">
        <v>1229</v>
      </c>
      <c r="F1648" s="50">
        <v>1317</v>
      </c>
      <c r="G1648" s="50" t="s">
        <v>3404</v>
      </c>
      <c r="H1648" s="50">
        <v>2025</v>
      </c>
      <c r="I1648" s="132">
        <v>45791</v>
      </c>
      <c r="J1648" s="50" t="s">
        <v>3532</v>
      </c>
      <c r="K1648" s="50" t="s">
        <v>224</v>
      </c>
      <c r="L1648" s="50" t="s">
        <v>2289</v>
      </c>
      <c r="M1648" s="50" t="s">
        <v>212</v>
      </c>
      <c r="N1648" s="50" t="s">
        <v>5189</v>
      </c>
      <c r="O1648" s="60">
        <v>45792</v>
      </c>
      <c r="P1648" s="60">
        <v>45793</v>
      </c>
      <c r="Q1648" s="60">
        <v>45793</v>
      </c>
      <c r="R1648" s="60">
        <v>45793</v>
      </c>
      <c r="S1648" s="50">
        <f t="shared" si="149"/>
        <v>1</v>
      </c>
      <c r="T1648" s="50">
        <f t="shared" si="151"/>
        <v>1</v>
      </c>
      <c r="U1648" s="50">
        <f t="shared" si="152"/>
        <v>1</v>
      </c>
      <c r="V1648" s="50">
        <f t="shared" si="150"/>
        <v>1</v>
      </c>
      <c r="W1648" s="50" t="s">
        <v>150</v>
      </c>
      <c r="X1648" s="50" t="s">
        <v>1078</v>
      </c>
      <c r="Y1648" s="50" t="s">
        <v>50</v>
      </c>
      <c r="Z1648" s="50" t="s">
        <v>3406</v>
      </c>
      <c r="AA1648" s="50"/>
    </row>
    <row r="1649" spans="1:27" ht="25.5" customHeight="1">
      <c r="A1649" s="517" t="s">
        <v>2286</v>
      </c>
      <c r="B1649" s="51" t="s">
        <v>3133</v>
      </c>
      <c r="C1649" s="51" t="s">
        <v>143</v>
      </c>
      <c r="D1649" s="51" t="s">
        <v>1490</v>
      </c>
      <c r="E1649" s="50">
        <v>1787</v>
      </c>
      <c r="F1649" s="50">
        <v>1812</v>
      </c>
      <c r="G1649" s="50" t="s">
        <v>3404</v>
      </c>
      <c r="H1649" s="50">
        <v>2025</v>
      </c>
      <c r="I1649" s="132">
        <v>45714</v>
      </c>
      <c r="J1649" s="50" t="s">
        <v>3416</v>
      </c>
      <c r="K1649" s="50" t="s">
        <v>224</v>
      </c>
      <c r="L1649" s="50" t="s">
        <v>2289</v>
      </c>
      <c r="M1649" s="50" t="s">
        <v>212</v>
      </c>
      <c r="N1649" s="50" t="s">
        <v>5190</v>
      </c>
      <c r="O1649" s="60">
        <v>45714</v>
      </c>
      <c r="P1649" s="60">
        <v>45715</v>
      </c>
      <c r="Q1649" s="60">
        <v>45720</v>
      </c>
      <c r="R1649" s="60">
        <v>45721</v>
      </c>
      <c r="S1649" s="50">
        <f t="shared" si="149"/>
        <v>1</v>
      </c>
      <c r="T1649" s="50">
        <f t="shared" si="151"/>
        <v>1</v>
      </c>
      <c r="U1649" s="50">
        <f t="shared" si="152"/>
        <v>3</v>
      </c>
      <c r="V1649" s="50">
        <f t="shared" si="150"/>
        <v>1</v>
      </c>
      <c r="W1649" s="50" t="s">
        <v>150</v>
      </c>
      <c r="X1649" s="50" t="s">
        <v>1078</v>
      </c>
      <c r="Y1649" s="50" t="s">
        <v>50</v>
      </c>
      <c r="Z1649" s="50" t="s">
        <v>3406</v>
      </c>
      <c r="AA1649" s="50"/>
    </row>
    <row r="1650" spans="1:27" ht="25.5" customHeight="1">
      <c r="A1650" s="517" t="s">
        <v>2286</v>
      </c>
      <c r="B1650" s="51" t="s">
        <v>3133</v>
      </c>
      <c r="C1650" s="51" t="s">
        <v>143</v>
      </c>
      <c r="D1650" s="51" t="s">
        <v>5191</v>
      </c>
      <c r="E1650" s="50">
        <v>2336</v>
      </c>
      <c r="F1650" s="50">
        <v>2441</v>
      </c>
      <c r="G1650" s="50" t="s">
        <v>3404</v>
      </c>
      <c r="H1650" s="50">
        <v>2025</v>
      </c>
      <c r="I1650" s="132">
        <v>45708</v>
      </c>
      <c r="J1650" s="50" t="s">
        <v>3416</v>
      </c>
      <c r="K1650" s="50" t="s">
        <v>224</v>
      </c>
      <c r="L1650" s="50" t="s">
        <v>2289</v>
      </c>
      <c r="M1650" s="50" t="s">
        <v>212</v>
      </c>
      <c r="N1650" s="50" t="s">
        <v>5192</v>
      </c>
      <c r="O1650" s="60">
        <v>45709</v>
      </c>
      <c r="P1650" s="60">
        <v>45709</v>
      </c>
      <c r="Q1650" s="60">
        <v>45714</v>
      </c>
      <c r="R1650" s="60">
        <v>45719</v>
      </c>
      <c r="S1650" s="50">
        <f t="shared" si="149"/>
        <v>1</v>
      </c>
      <c r="T1650" s="50">
        <f t="shared" si="151"/>
        <v>1</v>
      </c>
      <c r="U1650" s="50">
        <f t="shared" si="152"/>
        <v>3</v>
      </c>
      <c r="V1650" s="50">
        <f t="shared" si="150"/>
        <v>3</v>
      </c>
      <c r="W1650" s="50" t="s">
        <v>150</v>
      </c>
      <c r="X1650" s="50" t="s">
        <v>1078</v>
      </c>
      <c r="Y1650" s="50" t="s">
        <v>50</v>
      </c>
      <c r="Z1650" s="50" t="s">
        <v>3406</v>
      </c>
      <c r="AA1650" s="50"/>
    </row>
    <row r="1651" spans="1:27" ht="25.5" customHeight="1">
      <c r="A1651" s="517" t="s">
        <v>2286</v>
      </c>
      <c r="B1651" s="51" t="s">
        <v>3133</v>
      </c>
      <c r="C1651" s="51" t="s">
        <v>143</v>
      </c>
      <c r="D1651" s="51" t="s">
        <v>5193</v>
      </c>
      <c r="E1651" s="50">
        <v>1352</v>
      </c>
      <c r="F1651" s="50">
        <v>1470</v>
      </c>
      <c r="G1651" s="50" t="s">
        <v>3955</v>
      </c>
      <c r="H1651" s="50"/>
      <c r="I1651" s="105"/>
      <c r="J1651" s="50"/>
      <c r="K1651" s="50" t="s">
        <v>224</v>
      </c>
      <c r="L1651" s="50" t="s">
        <v>2289</v>
      </c>
      <c r="M1651" s="50" t="s">
        <v>212</v>
      </c>
      <c r="N1651" s="50"/>
      <c r="O1651" s="50"/>
      <c r="P1651" s="50"/>
      <c r="Q1651" s="50"/>
      <c r="R1651" s="50"/>
      <c r="S1651" s="50" t="str">
        <f t="shared" si="149"/>
        <v/>
      </c>
      <c r="T1651" s="50" t="str">
        <f t="shared" si="151"/>
        <v/>
      </c>
      <c r="U1651" s="50" t="str">
        <f t="shared" si="152"/>
        <v/>
      </c>
      <c r="V1651" s="50" t="str">
        <f t="shared" si="150"/>
        <v/>
      </c>
      <c r="W1651" s="50"/>
      <c r="X1651" s="50"/>
      <c r="Y1651" s="50"/>
      <c r="Z1651" s="50"/>
      <c r="AA1651" s="50"/>
    </row>
    <row r="1652" spans="1:27" ht="25.5" customHeight="1">
      <c r="A1652" s="517" t="s">
        <v>2286</v>
      </c>
      <c r="B1652" s="51" t="s">
        <v>3133</v>
      </c>
      <c r="C1652" s="51" t="s">
        <v>143</v>
      </c>
      <c r="D1652" s="51" t="s">
        <v>5194</v>
      </c>
      <c r="E1652" s="50">
        <v>1890</v>
      </c>
      <c r="F1652" s="50">
        <v>1934</v>
      </c>
      <c r="G1652" s="50" t="s">
        <v>3404</v>
      </c>
      <c r="H1652" s="50">
        <v>2025</v>
      </c>
      <c r="I1652" s="132">
        <v>46219</v>
      </c>
      <c r="J1652" s="50" t="s">
        <v>3125</v>
      </c>
      <c r="K1652" s="50" t="s">
        <v>224</v>
      </c>
      <c r="L1652" s="50" t="s">
        <v>2289</v>
      </c>
      <c r="M1652" s="50" t="s">
        <v>212</v>
      </c>
      <c r="N1652" s="50" t="s">
        <v>5195</v>
      </c>
      <c r="O1652" s="60">
        <v>45854</v>
      </c>
      <c r="P1652" s="60">
        <v>45855</v>
      </c>
      <c r="Q1652" s="60">
        <v>45855</v>
      </c>
      <c r="R1652" s="60">
        <v>45856</v>
      </c>
      <c r="S1652" s="50">
        <f t="shared" si="149"/>
        <v>1</v>
      </c>
      <c r="T1652" s="50">
        <f t="shared" si="151"/>
        <v>1</v>
      </c>
      <c r="U1652" s="50">
        <f t="shared" si="152"/>
        <v>1</v>
      </c>
      <c r="V1652" s="50">
        <f t="shared" si="150"/>
        <v>1</v>
      </c>
      <c r="W1652" s="50" t="s">
        <v>150</v>
      </c>
      <c r="X1652" s="50" t="s">
        <v>1078</v>
      </c>
      <c r="Y1652" s="50" t="s">
        <v>50</v>
      </c>
      <c r="Z1652" s="50" t="s">
        <v>3406</v>
      </c>
      <c r="AA1652" s="50"/>
    </row>
    <row r="1653" spans="1:27" ht="25.5" customHeight="1">
      <c r="A1653" s="517" t="s">
        <v>2286</v>
      </c>
      <c r="B1653" s="51" t="s">
        <v>3133</v>
      </c>
      <c r="C1653" s="51" t="s">
        <v>143</v>
      </c>
      <c r="D1653" s="51" t="s">
        <v>1185</v>
      </c>
      <c r="E1653" s="50">
        <v>1541</v>
      </c>
      <c r="F1653" s="50">
        <v>1575</v>
      </c>
      <c r="G1653" s="50" t="s">
        <v>3404</v>
      </c>
      <c r="H1653" s="50">
        <v>2025</v>
      </c>
      <c r="I1653" s="132">
        <v>45678</v>
      </c>
      <c r="J1653" s="50" t="s">
        <v>3424</v>
      </c>
      <c r="K1653" s="50" t="s">
        <v>224</v>
      </c>
      <c r="L1653" s="50" t="s">
        <v>2289</v>
      </c>
      <c r="M1653" s="50" t="s">
        <v>212</v>
      </c>
      <c r="N1653" s="50" t="s">
        <v>5196</v>
      </c>
      <c r="O1653" s="60">
        <v>45679</v>
      </c>
      <c r="P1653" s="60">
        <v>45680</v>
      </c>
      <c r="Q1653" s="60">
        <v>45681</v>
      </c>
      <c r="R1653" s="60">
        <v>45682</v>
      </c>
      <c r="S1653" s="50">
        <f t="shared" si="149"/>
        <v>1</v>
      </c>
      <c r="T1653" s="50">
        <f t="shared" si="151"/>
        <v>1</v>
      </c>
      <c r="U1653" s="50">
        <f t="shared" si="152"/>
        <v>1</v>
      </c>
      <c r="V1653" s="50">
        <f t="shared" si="150"/>
        <v>1</v>
      </c>
      <c r="W1653" s="50" t="s">
        <v>150</v>
      </c>
      <c r="X1653" s="50" t="s">
        <v>1078</v>
      </c>
      <c r="Y1653" s="50" t="s">
        <v>50</v>
      </c>
      <c r="Z1653" s="50" t="s">
        <v>3406</v>
      </c>
      <c r="AA1653" s="50"/>
    </row>
    <row r="1654" spans="1:27" ht="25.5" customHeight="1">
      <c r="A1654" s="517" t="s">
        <v>2286</v>
      </c>
      <c r="B1654" s="51" t="s">
        <v>3133</v>
      </c>
      <c r="C1654" s="51" t="s">
        <v>143</v>
      </c>
      <c r="D1654" s="51" t="s">
        <v>5197</v>
      </c>
      <c r="E1654" s="50">
        <v>2045</v>
      </c>
      <c r="F1654" s="50">
        <v>2341</v>
      </c>
      <c r="G1654" s="50" t="s">
        <v>3955</v>
      </c>
      <c r="H1654" s="50"/>
      <c r="I1654" s="105"/>
      <c r="J1654" s="50"/>
      <c r="K1654" s="50" t="s">
        <v>224</v>
      </c>
      <c r="L1654" s="50" t="s">
        <v>2289</v>
      </c>
      <c r="M1654" s="50" t="s">
        <v>212</v>
      </c>
      <c r="N1654" s="50"/>
      <c r="O1654" s="50"/>
      <c r="P1654" s="50"/>
      <c r="Q1654" s="50"/>
      <c r="R1654" s="50"/>
      <c r="S1654" s="50" t="str">
        <f t="shared" si="149"/>
        <v/>
      </c>
      <c r="T1654" s="50" t="str">
        <f t="shared" si="151"/>
        <v/>
      </c>
      <c r="U1654" s="50" t="str">
        <f t="shared" si="152"/>
        <v/>
      </c>
      <c r="V1654" s="50" t="str">
        <f t="shared" si="150"/>
        <v/>
      </c>
      <c r="W1654" s="50"/>
      <c r="X1654" s="50"/>
      <c r="Y1654" s="50"/>
      <c r="Z1654" s="50"/>
      <c r="AA1654" s="50"/>
    </row>
    <row r="1655" spans="1:27" ht="25.5" customHeight="1">
      <c r="A1655" s="517" t="s">
        <v>2286</v>
      </c>
      <c r="B1655" s="51" t="s">
        <v>3133</v>
      </c>
      <c r="C1655" s="51" t="s">
        <v>143</v>
      </c>
      <c r="D1655" s="51" t="s">
        <v>4683</v>
      </c>
      <c r="E1655" s="50">
        <v>1384</v>
      </c>
      <c r="F1655" s="50">
        <v>1482</v>
      </c>
      <c r="G1655" s="50" t="s">
        <v>3955</v>
      </c>
      <c r="H1655" s="50"/>
      <c r="I1655" s="105"/>
      <c r="J1655" s="50"/>
      <c r="K1655" s="50" t="s">
        <v>224</v>
      </c>
      <c r="L1655" s="50" t="s">
        <v>2289</v>
      </c>
      <c r="M1655" s="50" t="s">
        <v>212</v>
      </c>
      <c r="N1655" s="50"/>
      <c r="O1655" s="50"/>
      <c r="P1655" s="50"/>
      <c r="Q1655" s="50"/>
      <c r="R1655" s="50"/>
      <c r="S1655" s="50" t="str">
        <f t="shared" si="149"/>
        <v/>
      </c>
      <c r="T1655" s="50" t="str">
        <f t="shared" si="151"/>
        <v/>
      </c>
      <c r="U1655" s="50" t="str">
        <f t="shared" si="152"/>
        <v/>
      </c>
      <c r="V1655" s="50" t="str">
        <f t="shared" si="150"/>
        <v/>
      </c>
      <c r="W1655" s="50"/>
      <c r="X1655" s="50"/>
      <c r="Y1655" s="50"/>
      <c r="Z1655" s="50"/>
      <c r="AA1655" s="50"/>
    </row>
    <row r="1656" spans="1:27" ht="25.5" customHeight="1">
      <c r="A1656" s="517" t="s">
        <v>2286</v>
      </c>
      <c r="B1656" s="51" t="s">
        <v>3133</v>
      </c>
      <c r="C1656" s="51" t="s">
        <v>143</v>
      </c>
      <c r="D1656" s="51" t="s">
        <v>4150</v>
      </c>
      <c r="E1656" s="50">
        <v>1963</v>
      </c>
      <c r="F1656" s="50">
        <v>2015</v>
      </c>
      <c r="G1656" s="50" t="s">
        <v>3404</v>
      </c>
      <c r="H1656" s="50">
        <v>2025</v>
      </c>
      <c r="I1656" s="132">
        <v>45694</v>
      </c>
      <c r="J1656" s="50" t="s">
        <v>3458</v>
      </c>
      <c r="K1656" s="50" t="s">
        <v>224</v>
      </c>
      <c r="L1656" s="50" t="s">
        <v>2289</v>
      </c>
      <c r="M1656" s="50" t="s">
        <v>212</v>
      </c>
      <c r="N1656" s="50" t="s">
        <v>5198</v>
      </c>
      <c r="O1656" s="60">
        <v>45696</v>
      </c>
      <c r="P1656" s="60">
        <v>45698</v>
      </c>
      <c r="Q1656" s="60">
        <v>45698</v>
      </c>
      <c r="R1656" s="60">
        <v>45699</v>
      </c>
      <c r="S1656" s="50">
        <f t="shared" si="149"/>
        <v>1</v>
      </c>
      <c r="T1656" s="50">
        <f t="shared" si="151"/>
        <v>1</v>
      </c>
      <c r="U1656" s="50">
        <f t="shared" si="152"/>
        <v>1</v>
      </c>
      <c r="V1656" s="50">
        <f t="shared" si="150"/>
        <v>1</v>
      </c>
      <c r="W1656" s="50" t="s">
        <v>150</v>
      </c>
      <c r="X1656" s="50" t="s">
        <v>1078</v>
      </c>
      <c r="Y1656" s="50" t="s">
        <v>50</v>
      </c>
      <c r="Z1656" s="50" t="s">
        <v>3406</v>
      </c>
      <c r="AA1656" s="50"/>
    </row>
    <row r="1657" spans="1:27" ht="25.5" customHeight="1">
      <c r="A1657" s="517" t="s">
        <v>2286</v>
      </c>
      <c r="B1657" s="51" t="s">
        <v>3133</v>
      </c>
      <c r="C1657" s="51" t="s">
        <v>143</v>
      </c>
      <c r="D1657" s="51" t="s">
        <v>4969</v>
      </c>
      <c r="E1657" s="50">
        <v>1469</v>
      </c>
      <c r="F1657" s="50">
        <v>1507</v>
      </c>
      <c r="G1657" s="50" t="s">
        <v>3404</v>
      </c>
      <c r="H1657" s="50">
        <v>2025</v>
      </c>
      <c r="I1657" s="132">
        <v>45854</v>
      </c>
      <c r="J1657" s="50" t="s">
        <v>3125</v>
      </c>
      <c r="K1657" s="50" t="s">
        <v>224</v>
      </c>
      <c r="L1657" s="50" t="s">
        <v>2289</v>
      </c>
      <c r="M1657" s="50" t="s">
        <v>212</v>
      </c>
      <c r="N1657" s="50" t="s">
        <v>5199</v>
      </c>
      <c r="O1657" s="60">
        <v>45854</v>
      </c>
      <c r="P1657" s="60">
        <v>45855</v>
      </c>
      <c r="Q1657" s="60">
        <v>45855</v>
      </c>
      <c r="R1657" s="60">
        <v>45856</v>
      </c>
      <c r="S1657" s="50">
        <f t="shared" si="149"/>
        <v>1</v>
      </c>
      <c r="T1657" s="50">
        <f t="shared" si="151"/>
        <v>1</v>
      </c>
      <c r="U1657" s="50">
        <f t="shared" si="152"/>
        <v>1</v>
      </c>
      <c r="V1657" s="50">
        <f t="shared" si="150"/>
        <v>1</v>
      </c>
      <c r="W1657" s="50" t="s">
        <v>150</v>
      </c>
      <c r="X1657" s="50" t="s">
        <v>1078</v>
      </c>
      <c r="Y1657" s="50" t="s">
        <v>50</v>
      </c>
      <c r="Z1657" s="50" t="s">
        <v>3406</v>
      </c>
      <c r="AA1657" s="50"/>
    </row>
    <row r="1658" spans="1:27" ht="25.5" customHeight="1">
      <c r="A1658" s="517" t="s">
        <v>2286</v>
      </c>
      <c r="B1658" s="51" t="s">
        <v>3133</v>
      </c>
      <c r="C1658" s="51" t="s">
        <v>143</v>
      </c>
      <c r="D1658" s="51" t="s">
        <v>1867</v>
      </c>
      <c r="E1658" s="50">
        <v>1935</v>
      </c>
      <c r="F1658" s="50">
        <v>1945</v>
      </c>
      <c r="G1658" s="50" t="s">
        <v>3404</v>
      </c>
      <c r="H1658" s="50">
        <v>2024</v>
      </c>
      <c r="I1658" s="132">
        <v>45387</v>
      </c>
      <c r="J1658" s="50"/>
      <c r="K1658" s="50" t="s">
        <v>224</v>
      </c>
      <c r="L1658" s="50" t="s">
        <v>2289</v>
      </c>
      <c r="M1658" s="50" t="s">
        <v>212</v>
      </c>
      <c r="N1658" s="50"/>
      <c r="O1658" s="50"/>
      <c r="P1658" s="50"/>
      <c r="Q1658" s="50"/>
      <c r="R1658" s="50"/>
      <c r="S1658" s="50" t="str">
        <f t="shared" si="149"/>
        <v/>
      </c>
      <c r="T1658" s="50" t="str">
        <f t="shared" si="151"/>
        <v/>
      </c>
      <c r="U1658" s="50" t="str">
        <f t="shared" si="152"/>
        <v/>
      </c>
      <c r="V1658" s="50" t="str">
        <f t="shared" si="150"/>
        <v/>
      </c>
      <c r="W1658" s="50"/>
      <c r="X1658" s="50" t="s">
        <v>4</v>
      </c>
      <c r="Y1658" s="50" t="s">
        <v>50</v>
      </c>
      <c r="Z1658" s="50" t="s">
        <v>3406</v>
      </c>
      <c r="AA1658" s="50"/>
    </row>
    <row r="1659" spans="1:27" ht="25.5" customHeight="1">
      <c r="A1659" s="517" t="s">
        <v>2286</v>
      </c>
      <c r="B1659" s="51" t="s">
        <v>3133</v>
      </c>
      <c r="C1659" s="51" t="s">
        <v>143</v>
      </c>
      <c r="D1659" s="51" t="s">
        <v>932</v>
      </c>
      <c r="E1659" s="50">
        <v>3296</v>
      </c>
      <c r="F1659" s="50">
        <v>3495</v>
      </c>
      <c r="G1659" s="50" t="s">
        <v>3404</v>
      </c>
      <c r="H1659" s="50">
        <v>2025</v>
      </c>
      <c r="I1659" s="132">
        <v>45721</v>
      </c>
      <c r="J1659" s="50" t="s">
        <v>3416</v>
      </c>
      <c r="K1659" s="50" t="s">
        <v>224</v>
      </c>
      <c r="L1659" s="50" t="s">
        <v>2289</v>
      </c>
      <c r="M1659" s="50" t="s">
        <v>212</v>
      </c>
      <c r="N1659" s="50" t="s">
        <v>5200</v>
      </c>
      <c r="O1659" s="60">
        <v>45723</v>
      </c>
      <c r="P1659" s="60">
        <v>45729</v>
      </c>
      <c r="Q1659" s="60">
        <v>45735</v>
      </c>
      <c r="R1659" s="60">
        <v>45735</v>
      </c>
      <c r="S1659" s="50">
        <f t="shared" si="149"/>
        <v>2</v>
      </c>
      <c r="T1659" s="50">
        <f t="shared" si="151"/>
        <v>4</v>
      </c>
      <c r="U1659" s="50">
        <f t="shared" si="152"/>
        <v>4</v>
      </c>
      <c r="V1659" s="50">
        <f t="shared" si="150"/>
        <v>1</v>
      </c>
      <c r="W1659" s="50" t="s">
        <v>150</v>
      </c>
      <c r="X1659" s="50" t="s">
        <v>1078</v>
      </c>
      <c r="Y1659" s="50" t="s">
        <v>50</v>
      </c>
      <c r="Z1659" s="50" t="s">
        <v>3406</v>
      </c>
      <c r="AA1659" s="50"/>
    </row>
    <row r="1660" spans="1:27" ht="25.5" customHeight="1">
      <c r="A1660" s="517" t="s">
        <v>2286</v>
      </c>
      <c r="B1660" s="51" t="s">
        <v>3133</v>
      </c>
      <c r="C1660" s="51" t="s">
        <v>143</v>
      </c>
      <c r="D1660" s="51" t="s">
        <v>5201</v>
      </c>
      <c r="E1660" s="50">
        <v>2656</v>
      </c>
      <c r="F1660" s="50">
        <v>3024</v>
      </c>
      <c r="G1660" s="50" t="s">
        <v>3955</v>
      </c>
      <c r="H1660" s="50"/>
      <c r="I1660" s="105"/>
      <c r="J1660" s="50"/>
      <c r="K1660" s="50" t="s">
        <v>224</v>
      </c>
      <c r="L1660" s="50" t="s">
        <v>2289</v>
      </c>
      <c r="M1660" s="50" t="s">
        <v>212</v>
      </c>
      <c r="N1660" s="50"/>
      <c r="O1660" s="50"/>
      <c r="P1660" s="50"/>
      <c r="Q1660" s="50"/>
      <c r="R1660" s="50"/>
      <c r="S1660" s="50" t="str">
        <f t="shared" si="149"/>
        <v/>
      </c>
      <c r="T1660" s="50" t="str">
        <f t="shared" si="151"/>
        <v/>
      </c>
      <c r="U1660" s="50" t="str">
        <f t="shared" si="152"/>
        <v/>
      </c>
      <c r="V1660" s="50" t="str">
        <f t="shared" si="150"/>
        <v/>
      </c>
      <c r="W1660" s="50"/>
      <c r="X1660" s="50"/>
      <c r="Y1660" s="50"/>
      <c r="Z1660" s="50"/>
      <c r="AA1660" s="50"/>
    </row>
    <row r="1661" spans="1:27" ht="25.5" customHeight="1">
      <c r="A1661" s="517" t="s">
        <v>2286</v>
      </c>
      <c r="B1661" s="51" t="s">
        <v>3133</v>
      </c>
      <c r="C1661" s="51" t="s">
        <v>143</v>
      </c>
      <c r="D1661" s="51" t="s">
        <v>5202</v>
      </c>
      <c r="E1661" s="50">
        <v>2183</v>
      </c>
      <c r="F1661" s="50">
        <v>2233</v>
      </c>
      <c r="G1661" s="50" t="s">
        <v>3404</v>
      </c>
      <c r="H1661" s="50">
        <v>2025</v>
      </c>
      <c r="I1661" s="132">
        <v>45708</v>
      </c>
      <c r="J1661" s="50" t="s">
        <v>3416</v>
      </c>
      <c r="K1661" s="50" t="s">
        <v>224</v>
      </c>
      <c r="L1661" s="50" t="s">
        <v>2289</v>
      </c>
      <c r="M1661" s="50" t="s">
        <v>212</v>
      </c>
      <c r="N1661" s="50" t="s">
        <v>5203</v>
      </c>
      <c r="O1661" s="60">
        <v>45709</v>
      </c>
      <c r="P1661" s="60">
        <v>45709</v>
      </c>
      <c r="Q1661" s="60">
        <v>45714</v>
      </c>
      <c r="R1661" s="60">
        <v>45719</v>
      </c>
      <c r="S1661" s="50">
        <f t="shared" si="149"/>
        <v>1</v>
      </c>
      <c r="T1661" s="50">
        <f t="shared" si="151"/>
        <v>1</v>
      </c>
      <c r="U1661" s="50">
        <f t="shared" si="152"/>
        <v>3</v>
      </c>
      <c r="V1661" s="50">
        <f t="shared" si="150"/>
        <v>3</v>
      </c>
      <c r="W1661" s="50" t="s">
        <v>150</v>
      </c>
      <c r="X1661" s="50" t="s">
        <v>1078</v>
      </c>
      <c r="Y1661" s="50" t="s">
        <v>50</v>
      </c>
      <c r="Z1661" s="50" t="s">
        <v>3406</v>
      </c>
      <c r="AA1661" s="50"/>
    </row>
    <row r="1662" spans="1:27" ht="25.5" customHeight="1">
      <c r="A1662" s="517" t="s">
        <v>2286</v>
      </c>
      <c r="B1662" s="51" t="s">
        <v>3133</v>
      </c>
      <c r="C1662" s="51" t="s">
        <v>143</v>
      </c>
      <c r="D1662" s="51" t="s">
        <v>1056</v>
      </c>
      <c r="E1662" s="50">
        <v>768</v>
      </c>
      <c r="F1662" s="50">
        <v>774</v>
      </c>
      <c r="G1662" s="50" t="s">
        <v>3955</v>
      </c>
      <c r="H1662" s="50"/>
      <c r="I1662" s="105"/>
      <c r="J1662" s="50"/>
      <c r="K1662" s="50" t="s">
        <v>224</v>
      </c>
      <c r="L1662" s="50" t="s">
        <v>2289</v>
      </c>
      <c r="M1662" s="50" t="s">
        <v>212</v>
      </c>
      <c r="N1662" s="50"/>
      <c r="O1662" s="50"/>
      <c r="P1662" s="50"/>
      <c r="Q1662" s="50"/>
      <c r="R1662" s="50"/>
      <c r="S1662" s="50" t="str">
        <f t="shared" si="149"/>
        <v/>
      </c>
      <c r="T1662" s="50" t="str">
        <f t="shared" si="151"/>
        <v/>
      </c>
      <c r="U1662" s="50" t="str">
        <f t="shared" si="152"/>
        <v/>
      </c>
      <c r="V1662" s="50" t="str">
        <f t="shared" si="150"/>
        <v/>
      </c>
      <c r="W1662" s="50"/>
      <c r="X1662" s="50"/>
      <c r="Y1662" s="50"/>
      <c r="Z1662" s="50"/>
      <c r="AA1662" s="50"/>
    </row>
    <row r="1663" spans="1:27" ht="25.5" customHeight="1">
      <c r="A1663" s="517" t="s">
        <v>2286</v>
      </c>
      <c r="B1663" s="51" t="s">
        <v>3133</v>
      </c>
      <c r="C1663" s="51" t="s">
        <v>143</v>
      </c>
      <c r="D1663" s="51" t="s">
        <v>5204</v>
      </c>
      <c r="E1663" s="50">
        <v>2150</v>
      </c>
      <c r="F1663" s="50">
        <v>2215</v>
      </c>
      <c r="G1663" s="50" t="s">
        <v>3955</v>
      </c>
      <c r="H1663" s="50"/>
      <c r="I1663" s="105"/>
      <c r="J1663" s="50"/>
      <c r="K1663" s="50" t="s">
        <v>224</v>
      </c>
      <c r="L1663" s="50" t="s">
        <v>2289</v>
      </c>
      <c r="M1663" s="50" t="s">
        <v>212</v>
      </c>
      <c r="N1663" s="50"/>
      <c r="O1663" s="50"/>
      <c r="P1663" s="50"/>
      <c r="Q1663" s="50"/>
      <c r="R1663" s="50"/>
      <c r="S1663" s="50" t="str">
        <f t="shared" si="149"/>
        <v/>
      </c>
      <c r="T1663" s="50" t="str">
        <f t="shared" si="151"/>
        <v/>
      </c>
      <c r="U1663" s="50" t="str">
        <f t="shared" si="152"/>
        <v/>
      </c>
      <c r="V1663" s="50" t="str">
        <f t="shared" si="150"/>
        <v/>
      </c>
      <c r="W1663" s="50"/>
      <c r="X1663" s="50"/>
      <c r="Y1663" s="50"/>
      <c r="Z1663" s="50"/>
      <c r="AA1663" s="50"/>
    </row>
    <row r="1664" spans="1:27" s="110" customFormat="1" ht="25.5" customHeight="1">
      <c r="A1664" s="517" t="s">
        <v>2286</v>
      </c>
      <c r="B1664" s="51" t="s">
        <v>3133</v>
      </c>
      <c r="C1664" s="51" t="s">
        <v>143</v>
      </c>
      <c r="D1664" s="51" t="s">
        <v>5205</v>
      </c>
      <c r="E1664" s="50">
        <v>2986</v>
      </c>
      <c r="F1664" s="50">
        <v>3534</v>
      </c>
      <c r="G1664" s="50" t="s">
        <v>3404</v>
      </c>
      <c r="H1664" s="50">
        <v>2024</v>
      </c>
      <c r="I1664" s="132">
        <v>45512</v>
      </c>
      <c r="J1664" s="50"/>
      <c r="K1664" s="50" t="s">
        <v>224</v>
      </c>
      <c r="L1664" s="50" t="s">
        <v>2289</v>
      </c>
      <c r="M1664" s="50" t="s">
        <v>212</v>
      </c>
      <c r="N1664" s="50"/>
      <c r="O1664" s="50"/>
      <c r="P1664" s="50"/>
      <c r="Q1664" s="50"/>
      <c r="R1664" s="50"/>
      <c r="S1664" s="50" t="str">
        <f t="shared" si="149"/>
        <v/>
      </c>
      <c r="T1664" s="50" t="str">
        <f t="shared" si="151"/>
        <v/>
      </c>
      <c r="U1664" s="50" t="str">
        <f t="shared" si="152"/>
        <v/>
      </c>
      <c r="V1664" s="50" t="str">
        <f t="shared" si="150"/>
        <v/>
      </c>
      <c r="W1664" s="50"/>
      <c r="X1664" s="50" t="s">
        <v>4</v>
      </c>
      <c r="Y1664" s="50" t="s">
        <v>50</v>
      </c>
      <c r="Z1664" s="50" t="s">
        <v>3406</v>
      </c>
      <c r="AA1664" s="50"/>
    </row>
    <row r="1665" spans="1:27" ht="25.5" customHeight="1">
      <c r="A1665" s="517" t="s">
        <v>2286</v>
      </c>
      <c r="B1665" s="51" t="s">
        <v>3133</v>
      </c>
      <c r="C1665" s="51" t="s">
        <v>143</v>
      </c>
      <c r="D1665" s="51" t="s">
        <v>4126</v>
      </c>
      <c r="E1665" s="50">
        <v>1498</v>
      </c>
      <c r="F1665" s="50">
        <v>1579</v>
      </c>
      <c r="G1665" s="50" t="s">
        <v>3404</v>
      </c>
      <c r="H1665" s="50">
        <v>2024</v>
      </c>
      <c r="I1665" s="132">
        <v>45610</v>
      </c>
      <c r="J1665" s="50"/>
      <c r="K1665" s="50" t="s">
        <v>224</v>
      </c>
      <c r="L1665" s="50" t="s">
        <v>2289</v>
      </c>
      <c r="M1665" s="50" t="s">
        <v>212</v>
      </c>
      <c r="N1665" s="50"/>
      <c r="O1665" s="50"/>
      <c r="P1665" s="50"/>
      <c r="Q1665" s="50"/>
      <c r="R1665" s="50"/>
      <c r="S1665" s="50" t="str">
        <f t="shared" si="149"/>
        <v/>
      </c>
      <c r="T1665" s="50" t="str">
        <f t="shared" si="151"/>
        <v/>
      </c>
      <c r="U1665" s="50" t="str">
        <f t="shared" si="152"/>
        <v/>
      </c>
      <c r="V1665" s="50" t="str">
        <f t="shared" si="150"/>
        <v/>
      </c>
      <c r="W1665" s="50"/>
      <c r="X1665" s="50" t="s">
        <v>4</v>
      </c>
      <c r="Y1665" s="50" t="s">
        <v>50</v>
      </c>
      <c r="Z1665" s="50" t="s">
        <v>3406</v>
      </c>
      <c r="AA1665" s="50"/>
    </row>
    <row r="1666" spans="1:27" ht="25.5" customHeight="1">
      <c r="A1666" s="517" t="s">
        <v>2286</v>
      </c>
      <c r="B1666" s="51" t="s">
        <v>3133</v>
      </c>
      <c r="C1666" s="51" t="s">
        <v>143</v>
      </c>
      <c r="D1666" s="51" t="s">
        <v>5206</v>
      </c>
      <c r="E1666" s="50">
        <v>2254</v>
      </c>
      <c r="F1666" s="50">
        <v>2595</v>
      </c>
      <c r="G1666" s="50" t="s">
        <v>3404</v>
      </c>
      <c r="H1666" s="50">
        <v>2025</v>
      </c>
      <c r="I1666" s="132">
        <v>45680</v>
      </c>
      <c r="J1666" s="50" t="s">
        <v>3458</v>
      </c>
      <c r="K1666" s="50" t="s">
        <v>224</v>
      </c>
      <c r="L1666" s="50" t="s">
        <v>2289</v>
      </c>
      <c r="M1666" s="50" t="s">
        <v>212</v>
      </c>
      <c r="N1666" s="50" t="s">
        <v>5207</v>
      </c>
      <c r="O1666" s="60">
        <v>45684</v>
      </c>
      <c r="P1666" s="60">
        <v>45687</v>
      </c>
      <c r="Q1666" s="60">
        <v>45687</v>
      </c>
      <c r="R1666" s="60">
        <v>45687</v>
      </c>
      <c r="S1666" s="50">
        <f t="shared" si="149"/>
        <v>2</v>
      </c>
      <c r="T1666" s="50">
        <f t="shared" si="151"/>
        <v>3</v>
      </c>
      <c r="U1666" s="50">
        <f t="shared" si="152"/>
        <v>1</v>
      </c>
      <c r="V1666" s="50">
        <f t="shared" si="150"/>
        <v>1</v>
      </c>
      <c r="W1666" s="50" t="s">
        <v>150</v>
      </c>
      <c r="X1666" s="50" t="s">
        <v>1078</v>
      </c>
      <c r="Y1666" s="50" t="s">
        <v>50</v>
      </c>
      <c r="Z1666" s="50" t="s">
        <v>3406</v>
      </c>
      <c r="AA1666" s="50"/>
    </row>
    <row r="1667" spans="1:27" ht="25.5" customHeight="1">
      <c r="A1667" s="517" t="s">
        <v>2286</v>
      </c>
      <c r="B1667" s="51" t="s">
        <v>3133</v>
      </c>
      <c r="C1667" s="51" t="s">
        <v>143</v>
      </c>
      <c r="D1667" s="51" t="s">
        <v>4024</v>
      </c>
      <c r="E1667" s="50">
        <v>1180</v>
      </c>
      <c r="F1667" s="50">
        <v>1500</v>
      </c>
      <c r="G1667" s="50" t="s">
        <v>3404</v>
      </c>
      <c r="H1667" s="50">
        <v>2024</v>
      </c>
      <c r="I1667" s="132">
        <v>45615</v>
      </c>
      <c r="J1667" s="50"/>
      <c r="K1667" s="50" t="s">
        <v>224</v>
      </c>
      <c r="L1667" s="50" t="s">
        <v>2289</v>
      </c>
      <c r="M1667" s="50" t="s">
        <v>212</v>
      </c>
      <c r="N1667" s="50"/>
      <c r="O1667" s="50"/>
      <c r="P1667" s="50"/>
      <c r="Q1667" s="50"/>
      <c r="R1667" s="50"/>
      <c r="S1667" s="50" t="str">
        <f t="shared" si="149"/>
        <v/>
      </c>
      <c r="T1667" s="50" t="str">
        <f t="shared" si="151"/>
        <v/>
      </c>
      <c r="U1667" s="50" t="str">
        <f t="shared" si="152"/>
        <v/>
      </c>
      <c r="V1667" s="50" t="str">
        <f t="shared" si="150"/>
        <v/>
      </c>
      <c r="W1667" s="50"/>
      <c r="X1667" s="50" t="s">
        <v>4</v>
      </c>
      <c r="Y1667" s="50" t="s">
        <v>57</v>
      </c>
      <c r="Z1667" s="50" t="s">
        <v>3406</v>
      </c>
      <c r="AA1667" s="50"/>
    </row>
    <row r="1668" spans="1:27" ht="25.5" customHeight="1">
      <c r="A1668" s="517" t="s">
        <v>2286</v>
      </c>
      <c r="B1668" s="51" t="s">
        <v>3133</v>
      </c>
      <c r="C1668" s="51" t="s">
        <v>143</v>
      </c>
      <c r="D1668" s="51" t="s">
        <v>1234</v>
      </c>
      <c r="E1668" s="50">
        <v>3041</v>
      </c>
      <c r="F1668" s="50">
        <v>2992</v>
      </c>
      <c r="G1668" s="50" t="s">
        <v>3955</v>
      </c>
      <c r="H1668" s="50"/>
      <c r="I1668" s="105"/>
      <c r="J1668" s="50"/>
      <c r="K1668" s="50" t="s">
        <v>224</v>
      </c>
      <c r="L1668" s="50" t="s">
        <v>2289</v>
      </c>
      <c r="M1668" s="50" t="s">
        <v>212</v>
      </c>
      <c r="N1668" s="50"/>
      <c r="O1668" s="50"/>
      <c r="P1668" s="50"/>
      <c r="Q1668" s="50"/>
      <c r="R1668" s="50"/>
      <c r="S1668" s="50" t="str">
        <f t="shared" si="149"/>
        <v/>
      </c>
      <c r="T1668" s="50" t="str">
        <f t="shared" si="151"/>
        <v/>
      </c>
      <c r="U1668" s="50" t="str">
        <f t="shared" si="152"/>
        <v/>
      </c>
      <c r="V1668" s="50" t="str">
        <f t="shared" si="150"/>
        <v/>
      </c>
      <c r="W1668" s="50"/>
      <c r="X1668" s="50"/>
      <c r="Y1668" s="50"/>
      <c r="Z1668" s="50"/>
      <c r="AA1668" s="50"/>
    </row>
    <row r="1669" spans="1:27" ht="25.5" customHeight="1">
      <c r="A1669" s="517" t="s">
        <v>2286</v>
      </c>
      <c r="B1669" s="51" t="s">
        <v>3133</v>
      </c>
      <c r="C1669" s="51" t="s">
        <v>143</v>
      </c>
      <c r="D1669" s="51" t="s">
        <v>4242</v>
      </c>
      <c r="E1669" s="50">
        <v>1289</v>
      </c>
      <c r="F1669" s="50">
        <v>1418</v>
      </c>
      <c r="G1669" s="50" t="s">
        <v>3955</v>
      </c>
      <c r="H1669" s="50"/>
      <c r="I1669" s="105"/>
      <c r="J1669" s="50"/>
      <c r="K1669" s="50" t="s">
        <v>224</v>
      </c>
      <c r="L1669" s="50" t="s">
        <v>2289</v>
      </c>
      <c r="M1669" s="50" t="s">
        <v>212</v>
      </c>
      <c r="N1669" s="50"/>
      <c r="O1669" s="50"/>
      <c r="P1669" s="50"/>
      <c r="Q1669" s="50"/>
      <c r="R1669" s="50"/>
      <c r="S1669" s="50" t="str">
        <f t="shared" si="149"/>
        <v/>
      </c>
      <c r="T1669" s="50" t="str">
        <f t="shared" si="151"/>
        <v/>
      </c>
      <c r="U1669" s="50" t="str">
        <f t="shared" si="152"/>
        <v/>
      </c>
      <c r="V1669" s="50" t="str">
        <f t="shared" si="150"/>
        <v/>
      </c>
      <c r="W1669" s="50"/>
      <c r="X1669" s="50"/>
      <c r="Y1669" s="50"/>
      <c r="Z1669" s="50"/>
      <c r="AA1669" s="50"/>
    </row>
    <row r="1670" spans="1:27" ht="25.5" customHeight="1">
      <c r="A1670" s="517" t="s">
        <v>2286</v>
      </c>
      <c r="B1670" s="51" t="s">
        <v>3133</v>
      </c>
      <c r="C1670" s="51" t="s">
        <v>143</v>
      </c>
      <c r="D1670" s="51" t="s">
        <v>4261</v>
      </c>
      <c r="E1670" s="50">
        <v>6437</v>
      </c>
      <c r="F1670" s="50">
        <v>6275</v>
      </c>
      <c r="G1670" s="50" t="s">
        <v>3404</v>
      </c>
      <c r="H1670" s="50">
        <v>2025</v>
      </c>
      <c r="I1670" s="132">
        <v>45854</v>
      </c>
      <c r="J1670" s="50" t="s">
        <v>3125</v>
      </c>
      <c r="K1670" s="50" t="s">
        <v>224</v>
      </c>
      <c r="L1670" s="50" t="s">
        <v>2289</v>
      </c>
      <c r="M1670" s="50" t="s">
        <v>212</v>
      </c>
      <c r="N1670" s="50" t="s">
        <v>5208</v>
      </c>
      <c r="O1670" s="60">
        <v>45854</v>
      </c>
      <c r="P1670" s="60">
        <v>45855</v>
      </c>
      <c r="Q1670" s="60">
        <v>45855</v>
      </c>
      <c r="R1670" s="60">
        <v>45856</v>
      </c>
      <c r="S1670" s="50">
        <f t="shared" si="149"/>
        <v>1</v>
      </c>
      <c r="T1670" s="50">
        <f t="shared" si="151"/>
        <v>1</v>
      </c>
      <c r="U1670" s="50">
        <f t="shared" si="152"/>
        <v>1</v>
      </c>
      <c r="V1670" s="50">
        <f t="shared" si="150"/>
        <v>1</v>
      </c>
      <c r="W1670" s="50" t="s">
        <v>150</v>
      </c>
      <c r="X1670" s="50" t="s">
        <v>4</v>
      </c>
      <c r="Y1670" s="50" t="s">
        <v>50</v>
      </c>
      <c r="Z1670" s="50" t="s">
        <v>3406</v>
      </c>
      <c r="AA1670" s="50"/>
    </row>
    <row r="1671" spans="1:27" ht="25.5" customHeight="1">
      <c r="A1671" s="517" t="s">
        <v>2286</v>
      </c>
      <c r="B1671" s="51" t="s">
        <v>1317</v>
      </c>
      <c r="C1671" s="51" t="s">
        <v>143</v>
      </c>
      <c r="D1671" s="51" t="s">
        <v>4569</v>
      </c>
      <c r="E1671" s="50">
        <v>2033</v>
      </c>
      <c r="F1671" s="50">
        <v>2031</v>
      </c>
      <c r="G1671" s="50" t="s">
        <v>3404</v>
      </c>
      <c r="H1671" s="50">
        <v>2025</v>
      </c>
      <c r="I1671" s="132">
        <v>45715</v>
      </c>
      <c r="J1671" s="50" t="s">
        <v>3416</v>
      </c>
      <c r="K1671" s="50" t="s">
        <v>29</v>
      </c>
      <c r="L1671" s="50" t="s">
        <v>2289</v>
      </c>
      <c r="M1671" s="50" t="s">
        <v>212</v>
      </c>
      <c r="N1671" s="50" t="s">
        <v>5209</v>
      </c>
      <c r="O1671" s="60">
        <v>45722</v>
      </c>
      <c r="P1671" s="60">
        <v>45729</v>
      </c>
      <c r="Q1671" s="60">
        <v>45735</v>
      </c>
      <c r="R1671" s="60">
        <v>45735</v>
      </c>
      <c r="S1671" s="50">
        <f t="shared" si="149"/>
        <v>5</v>
      </c>
      <c r="T1671" s="50">
        <f t="shared" si="151"/>
        <v>5</v>
      </c>
      <c r="U1671" s="50">
        <f t="shared" si="152"/>
        <v>4</v>
      </c>
      <c r="V1671" s="50">
        <f t="shared" si="150"/>
        <v>1</v>
      </c>
      <c r="W1671" s="50" t="s">
        <v>150</v>
      </c>
      <c r="X1671" s="50" t="s">
        <v>1078</v>
      </c>
      <c r="Y1671" s="50" t="s">
        <v>50</v>
      </c>
      <c r="Z1671" s="50" t="s">
        <v>3406</v>
      </c>
      <c r="AA1671" s="50"/>
    </row>
    <row r="1672" spans="1:27" ht="25.5" customHeight="1">
      <c r="A1672" s="517" t="s">
        <v>2286</v>
      </c>
      <c r="B1672" s="51" t="s">
        <v>1317</v>
      </c>
      <c r="C1672" s="51" t="s">
        <v>143</v>
      </c>
      <c r="D1672" s="51" t="s">
        <v>4698</v>
      </c>
      <c r="E1672" s="50">
        <v>2039</v>
      </c>
      <c r="F1672" s="50">
        <v>1865</v>
      </c>
      <c r="G1672" s="50" t="s">
        <v>3404</v>
      </c>
      <c r="H1672" s="50">
        <v>2024</v>
      </c>
      <c r="I1672" s="132">
        <v>45603</v>
      </c>
      <c r="J1672" s="50"/>
      <c r="K1672" s="50" t="s">
        <v>29</v>
      </c>
      <c r="L1672" s="50" t="s">
        <v>2289</v>
      </c>
      <c r="M1672" s="50" t="s">
        <v>212</v>
      </c>
      <c r="N1672" s="50"/>
      <c r="O1672" s="50"/>
      <c r="P1672" s="50"/>
      <c r="Q1672" s="50"/>
      <c r="R1672" s="50"/>
      <c r="S1672" s="50" t="str">
        <f t="shared" si="149"/>
        <v/>
      </c>
      <c r="T1672" s="50" t="str">
        <f t="shared" si="151"/>
        <v/>
      </c>
      <c r="U1672" s="50" t="str">
        <f t="shared" si="152"/>
        <v/>
      </c>
      <c r="V1672" s="50" t="str">
        <f t="shared" si="150"/>
        <v/>
      </c>
      <c r="W1672" s="50"/>
      <c r="X1672" s="50" t="s">
        <v>4</v>
      </c>
      <c r="Y1672" s="50" t="s">
        <v>50</v>
      </c>
      <c r="Z1672" s="50" t="s">
        <v>3406</v>
      </c>
      <c r="AA1672" s="50"/>
    </row>
    <row r="1673" spans="1:27" ht="25.5" customHeight="1">
      <c r="A1673" s="517" t="s">
        <v>2286</v>
      </c>
      <c r="B1673" s="51" t="s">
        <v>1317</v>
      </c>
      <c r="C1673" s="51" t="s">
        <v>143</v>
      </c>
      <c r="D1673" s="51" t="s">
        <v>4535</v>
      </c>
      <c r="E1673" s="50">
        <v>10345</v>
      </c>
      <c r="F1673" s="50">
        <v>11104</v>
      </c>
      <c r="G1673" s="50" t="s">
        <v>3955</v>
      </c>
      <c r="H1673" s="50"/>
      <c r="I1673" s="105"/>
      <c r="J1673" s="50"/>
      <c r="K1673" s="50" t="s">
        <v>29</v>
      </c>
      <c r="L1673" s="50" t="s">
        <v>2289</v>
      </c>
      <c r="M1673" s="50" t="s">
        <v>212</v>
      </c>
      <c r="N1673" s="50"/>
      <c r="O1673" s="50"/>
      <c r="P1673" s="50"/>
      <c r="Q1673" s="50"/>
      <c r="R1673" s="50"/>
      <c r="S1673" s="50" t="str">
        <f t="shared" si="149"/>
        <v/>
      </c>
      <c r="T1673" s="50" t="str">
        <f t="shared" si="151"/>
        <v/>
      </c>
      <c r="U1673" s="50" t="str">
        <f t="shared" si="152"/>
        <v/>
      </c>
      <c r="V1673" s="50" t="str">
        <f t="shared" si="150"/>
        <v/>
      </c>
      <c r="W1673" s="50"/>
      <c r="X1673" s="50"/>
      <c r="Y1673" s="50"/>
      <c r="Z1673" s="50"/>
      <c r="AA1673" s="50"/>
    </row>
    <row r="1674" spans="1:27" ht="25.5" customHeight="1">
      <c r="A1674" s="517" t="s">
        <v>2286</v>
      </c>
      <c r="B1674" s="51" t="s">
        <v>1317</v>
      </c>
      <c r="C1674" s="51" t="s">
        <v>143</v>
      </c>
      <c r="D1674" s="51" t="s">
        <v>5210</v>
      </c>
      <c r="E1674" s="50">
        <v>2793</v>
      </c>
      <c r="F1674" s="50">
        <v>2868</v>
      </c>
      <c r="G1674" s="50" t="s">
        <v>3404</v>
      </c>
      <c r="H1674" s="50">
        <v>2024</v>
      </c>
      <c r="I1674" s="132">
        <v>45321</v>
      </c>
      <c r="J1674" s="50"/>
      <c r="K1674" s="50" t="s">
        <v>29</v>
      </c>
      <c r="L1674" s="50" t="s">
        <v>2289</v>
      </c>
      <c r="M1674" s="50" t="s">
        <v>212</v>
      </c>
      <c r="N1674" s="50"/>
      <c r="O1674" s="50"/>
      <c r="P1674" s="50"/>
      <c r="Q1674" s="50"/>
      <c r="R1674" s="50"/>
      <c r="S1674" s="50" t="str">
        <f t="shared" si="149"/>
        <v/>
      </c>
      <c r="T1674" s="50" t="str">
        <f t="shared" si="151"/>
        <v/>
      </c>
      <c r="U1674" s="50" t="str">
        <f t="shared" si="152"/>
        <v/>
      </c>
      <c r="V1674" s="50" t="str">
        <f t="shared" si="150"/>
        <v/>
      </c>
      <c r="W1674" s="50"/>
      <c r="X1674" s="50"/>
      <c r="Y1674" s="50"/>
      <c r="Z1674" s="50" t="s">
        <v>3406</v>
      </c>
      <c r="AA1674" s="50"/>
    </row>
    <row r="1675" spans="1:27" ht="25.5" customHeight="1">
      <c r="A1675" s="517" t="s">
        <v>2286</v>
      </c>
      <c r="B1675" s="51" t="s">
        <v>1317</v>
      </c>
      <c r="C1675" s="51" t="s">
        <v>143</v>
      </c>
      <c r="D1675" s="51" t="s">
        <v>5211</v>
      </c>
      <c r="E1675" s="50">
        <v>1264</v>
      </c>
      <c r="F1675" s="50">
        <v>1259</v>
      </c>
      <c r="G1675" s="50" t="s">
        <v>3955</v>
      </c>
      <c r="H1675" s="50"/>
      <c r="I1675" s="105"/>
      <c r="J1675" s="50"/>
      <c r="K1675" s="50" t="s">
        <v>29</v>
      </c>
      <c r="L1675" s="50" t="s">
        <v>2289</v>
      </c>
      <c r="M1675" s="50" t="s">
        <v>212</v>
      </c>
      <c r="N1675" s="50"/>
      <c r="O1675" s="50"/>
      <c r="P1675" s="50"/>
      <c r="Q1675" s="50"/>
      <c r="R1675" s="50"/>
      <c r="S1675" s="50" t="str">
        <f t="shared" si="149"/>
        <v/>
      </c>
      <c r="T1675" s="50" t="str">
        <f t="shared" si="151"/>
        <v/>
      </c>
      <c r="U1675" s="50" t="str">
        <f t="shared" si="152"/>
        <v/>
      </c>
      <c r="V1675" s="50" t="str">
        <f t="shared" si="150"/>
        <v/>
      </c>
      <c r="W1675" s="50"/>
      <c r="X1675" s="50"/>
      <c r="Y1675" s="50"/>
      <c r="Z1675" s="50"/>
      <c r="AA1675" s="50"/>
    </row>
    <row r="1676" spans="1:27" ht="25.5" customHeight="1">
      <c r="A1676" s="517" t="s">
        <v>2286</v>
      </c>
      <c r="B1676" s="51" t="s">
        <v>1317</v>
      </c>
      <c r="C1676" s="51" t="s">
        <v>143</v>
      </c>
      <c r="D1676" s="51" t="s">
        <v>5212</v>
      </c>
      <c r="E1676" s="50">
        <v>1080</v>
      </c>
      <c r="F1676" s="50">
        <v>1170</v>
      </c>
      <c r="G1676" s="50" t="s">
        <v>3404</v>
      </c>
      <c r="H1676" s="50">
        <v>2025</v>
      </c>
      <c r="I1676" s="132">
        <v>45853</v>
      </c>
      <c r="J1676" s="50" t="s">
        <v>3125</v>
      </c>
      <c r="K1676" s="50" t="s">
        <v>29</v>
      </c>
      <c r="L1676" s="50" t="s">
        <v>2289</v>
      </c>
      <c r="M1676" s="50" t="s">
        <v>212</v>
      </c>
      <c r="N1676" s="50" t="s">
        <v>5213</v>
      </c>
      <c r="O1676" s="60">
        <v>45855</v>
      </c>
      <c r="P1676" s="60">
        <v>45855</v>
      </c>
      <c r="Q1676" s="60">
        <v>45855</v>
      </c>
      <c r="R1676" s="60">
        <v>45856</v>
      </c>
      <c r="S1676" s="50">
        <f t="shared" si="149"/>
        <v>2</v>
      </c>
      <c r="T1676" s="50">
        <f t="shared" si="151"/>
        <v>1</v>
      </c>
      <c r="U1676" s="50">
        <f t="shared" si="152"/>
        <v>1</v>
      </c>
      <c r="V1676" s="50">
        <f t="shared" si="150"/>
        <v>1</v>
      </c>
      <c r="W1676" s="50" t="s">
        <v>150</v>
      </c>
      <c r="X1676" s="50" t="s">
        <v>4</v>
      </c>
      <c r="Y1676" s="50" t="s">
        <v>50</v>
      </c>
      <c r="Z1676" s="50" t="s">
        <v>3406</v>
      </c>
      <c r="AA1676" s="50"/>
    </row>
    <row r="1677" spans="1:27" ht="25.5" customHeight="1">
      <c r="A1677" s="517" t="s">
        <v>2286</v>
      </c>
      <c r="B1677" s="51" t="s">
        <v>1317</v>
      </c>
      <c r="C1677" s="51" t="s">
        <v>143</v>
      </c>
      <c r="D1677" s="51" t="s">
        <v>5214</v>
      </c>
      <c r="E1677" s="50">
        <v>968</v>
      </c>
      <c r="F1677" s="50">
        <v>1009</v>
      </c>
      <c r="G1677" s="50" t="s">
        <v>3404</v>
      </c>
      <c r="H1677" s="50">
        <v>2025</v>
      </c>
      <c r="I1677" s="132">
        <v>45853</v>
      </c>
      <c r="J1677" s="50" t="s">
        <v>3125</v>
      </c>
      <c r="K1677" s="50" t="s">
        <v>29</v>
      </c>
      <c r="L1677" s="50" t="s">
        <v>2289</v>
      </c>
      <c r="M1677" s="50" t="s">
        <v>212</v>
      </c>
      <c r="N1677" s="50" t="s">
        <v>5215</v>
      </c>
      <c r="O1677" s="60">
        <v>45855</v>
      </c>
      <c r="P1677" s="60">
        <v>45855</v>
      </c>
      <c r="Q1677" s="60">
        <v>45855</v>
      </c>
      <c r="R1677" s="60">
        <v>45856</v>
      </c>
      <c r="S1677" s="50">
        <f t="shared" si="149"/>
        <v>2</v>
      </c>
      <c r="T1677" s="50">
        <f t="shared" si="151"/>
        <v>1</v>
      </c>
      <c r="U1677" s="50">
        <f t="shared" si="152"/>
        <v>1</v>
      </c>
      <c r="V1677" s="50">
        <f t="shared" si="150"/>
        <v>1</v>
      </c>
      <c r="W1677" s="50" t="s">
        <v>150</v>
      </c>
      <c r="X1677" s="50" t="s">
        <v>1078</v>
      </c>
      <c r="Y1677" s="50" t="s">
        <v>50</v>
      </c>
      <c r="Z1677" s="50" t="s">
        <v>3406</v>
      </c>
      <c r="AA1677" s="50"/>
    </row>
    <row r="1678" spans="1:27" ht="25.5" customHeight="1">
      <c r="A1678" s="517" t="s">
        <v>2286</v>
      </c>
      <c r="B1678" s="51" t="s">
        <v>1317</v>
      </c>
      <c r="C1678" s="51" t="s">
        <v>143</v>
      </c>
      <c r="D1678" s="51" t="s">
        <v>5216</v>
      </c>
      <c r="E1678" s="50">
        <v>3200</v>
      </c>
      <c r="F1678" s="50">
        <v>3783</v>
      </c>
      <c r="G1678" s="50" t="s">
        <v>3404</v>
      </c>
      <c r="H1678" s="50">
        <v>2025</v>
      </c>
      <c r="I1678" s="132">
        <v>45743</v>
      </c>
      <c r="J1678" s="50" t="s">
        <v>3470</v>
      </c>
      <c r="K1678" s="50" t="s">
        <v>29</v>
      </c>
      <c r="L1678" s="50" t="s">
        <v>2289</v>
      </c>
      <c r="M1678" s="50" t="s">
        <v>212</v>
      </c>
      <c r="N1678" s="50" t="s">
        <v>5217</v>
      </c>
      <c r="O1678" s="60">
        <v>45755</v>
      </c>
      <c r="P1678" s="60">
        <v>45757</v>
      </c>
      <c r="Q1678" s="60">
        <v>45757</v>
      </c>
      <c r="R1678" s="60">
        <v>45757</v>
      </c>
      <c r="S1678" s="50">
        <f t="shared" si="149"/>
        <v>8</v>
      </c>
      <c r="T1678" s="50">
        <f t="shared" si="151"/>
        <v>2</v>
      </c>
      <c r="U1678" s="50">
        <f t="shared" si="152"/>
        <v>1</v>
      </c>
      <c r="V1678" s="50">
        <f t="shared" si="150"/>
        <v>1</v>
      </c>
      <c r="W1678" s="50" t="s">
        <v>150</v>
      </c>
      <c r="X1678" s="50" t="s">
        <v>1078</v>
      </c>
      <c r="Y1678" s="50" t="s">
        <v>50</v>
      </c>
      <c r="Z1678" s="50" t="s">
        <v>3406</v>
      </c>
      <c r="AA1678" s="50"/>
    </row>
    <row r="1679" spans="1:27" ht="25.5" customHeight="1">
      <c r="A1679" s="517" t="s">
        <v>2286</v>
      </c>
      <c r="B1679" s="51" t="s">
        <v>1317</v>
      </c>
      <c r="C1679" s="51" t="s">
        <v>143</v>
      </c>
      <c r="D1679" s="51" t="s">
        <v>4531</v>
      </c>
      <c r="E1679" s="50">
        <v>1201</v>
      </c>
      <c r="F1679" s="50">
        <v>1305</v>
      </c>
      <c r="G1679" s="50" t="s">
        <v>3955</v>
      </c>
      <c r="H1679" s="50"/>
      <c r="I1679" s="105"/>
      <c r="J1679" s="50"/>
      <c r="K1679" s="50" t="s">
        <v>29</v>
      </c>
      <c r="L1679" s="50" t="s">
        <v>2289</v>
      </c>
      <c r="M1679" s="50" t="s">
        <v>212</v>
      </c>
      <c r="N1679" s="50"/>
      <c r="O1679" s="50"/>
      <c r="P1679" s="50"/>
      <c r="Q1679" s="50"/>
      <c r="R1679" s="50"/>
      <c r="S1679" s="50" t="str">
        <f t="shared" si="149"/>
        <v/>
      </c>
      <c r="T1679" s="50" t="str">
        <f t="shared" si="151"/>
        <v/>
      </c>
      <c r="U1679" s="50" t="str">
        <f t="shared" si="152"/>
        <v/>
      </c>
      <c r="V1679" s="50" t="str">
        <f t="shared" si="150"/>
        <v/>
      </c>
      <c r="W1679" s="50"/>
      <c r="X1679" s="50"/>
      <c r="Y1679" s="50"/>
      <c r="Z1679" s="50"/>
      <c r="AA1679" s="50"/>
    </row>
    <row r="1680" spans="1:27" ht="25.5" customHeight="1">
      <c r="A1680" s="517" t="s">
        <v>2286</v>
      </c>
      <c r="B1680" s="51" t="s">
        <v>1317</v>
      </c>
      <c r="C1680" s="51" t="s">
        <v>143</v>
      </c>
      <c r="D1680" s="51" t="s">
        <v>1318</v>
      </c>
      <c r="E1680" s="50">
        <v>2650</v>
      </c>
      <c r="F1680" s="50">
        <v>2822</v>
      </c>
      <c r="G1680" s="50" t="s">
        <v>3404</v>
      </c>
      <c r="H1680" s="50">
        <v>2024</v>
      </c>
      <c r="I1680" s="132">
        <v>45603</v>
      </c>
      <c r="J1680" s="50"/>
      <c r="K1680" s="50" t="s">
        <v>29</v>
      </c>
      <c r="L1680" s="50" t="s">
        <v>2289</v>
      </c>
      <c r="M1680" s="50" t="s">
        <v>212</v>
      </c>
      <c r="N1680" s="50"/>
      <c r="O1680" s="50"/>
      <c r="P1680" s="50"/>
      <c r="Q1680" s="50"/>
      <c r="R1680" s="50"/>
      <c r="S1680" s="50" t="str">
        <f t="shared" si="149"/>
        <v/>
      </c>
      <c r="T1680" s="50" t="str">
        <f t="shared" si="151"/>
        <v/>
      </c>
      <c r="U1680" s="50" t="str">
        <f t="shared" si="152"/>
        <v/>
      </c>
      <c r="V1680" s="50" t="str">
        <f t="shared" si="150"/>
        <v/>
      </c>
      <c r="W1680" s="50"/>
      <c r="X1680" s="50" t="s">
        <v>4</v>
      </c>
      <c r="Y1680" s="50" t="s">
        <v>50</v>
      </c>
      <c r="Z1680" s="50" t="s">
        <v>3406</v>
      </c>
      <c r="AA1680" s="50"/>
    </row>
    <row r="1681" spans="1:27" ht="25.5" customHeight="1">
      <c r="A1681" s="517" t="s">
        <v>2286</v>
      </c>
      <c r="B1681" s="51" t="s">
        <v>1317</v>
      </c>
      <c r="C1681" s="51" t="s">
        <v>143</v>
      </c>
      <c r="D1681" s="51" t="s">
        <v>1193</v>
      </c>
      <c r="E1681" s="50">
        <v>2118</v>
      </c>
      <c r="F1681" s="50">
        <v>2309</v>
      </c>
      <c r="G1681" s="50" t="s">
        <v>3404</v>
      </c>
      <c r="H1681" s="50">
        <v>2025</v>
      </c>
      <c r="I1681" s="132">
        <v>45743</v>
      </c>
      <c r="J1681" s="50" t="s">
        <v>3470</v>
      </c>
      <c r="K1681" s="50" t="s">
        <v>29</v>
      </c>
      <c r="L1681" s="50" t="s">
        <v>2289</v>
      </c>
      <c r="M1681" s="50" t="s">
        <v>212</v>
      </c>
      <c r="N1681" s="50" t="s">
        <v>5218</v>
      </c>
      <c r="O1681" s="60">
        <v>45755</v>
      </c>
      <c r="P1681" s="60">
        <v>45757</v>
      </c>
      <c r="Q1681" s="60">
        <v>45757</v>
      </c>
      <c r="R1681" s="60">
        <v>45757</v>
      </c>
      <c r="S1681" s="50">
        <f t="shared" si="149"/>
        <v>8</v>
      </c>
      <c r="T1681" s="50">
        <f t="shared" si="151"/>
        <v>2</v>
      </c>
      <c r="U1681" s="50">
        <f t="shared" si="152"/>
        <v>1</v>
      </c>
      <c r="V1681" s="50">
        <f t="shared" si="150"/>
        <v>1</v>
      </c>
      <c r="W1681" s="50" t="s">
        <v>150</v>
      </c>
      <c r="X1681" s="50" t="s">
        <v>1078</v>
      </c>
      <c r="Y1681" s="50" t="s">
        <v>50</v>
      </c>
      <c r="Z1681" s="50" t="s">
        <v>3406</v>
      </c>
      <c r="AA1681" s="50"/>
    </row>
    <row r="1682" spans="1:27" ht="25.5" customHeight="1">
      <c r="A1682" s="517" t="s">
        <v>2286</v>
      </c>
      <c r="B1682" s="51" t="s">
        <v>1317</v>
      </c>
      <c r="C1682" s="51" t="s">
        <v>143</v>
      </c>
      <c r="D1682" s="51" t="s">
        <v>5219</v>
      </c>
      <c r="E1682" s="50">
        <v>940</v>
      </c>
      <c r="F1682" s="50">
        <v>1064</v>
      </c>
      <c r="G1682" s="50" t="s">
        <v>3404</v>
      </c>
      <c r="H1682" s="50">
        <v>2025</v>
      </c>
      <c r="I1682" s="132">
        <v>45853</v>
      </c>
      <c r="J1682" s="50" t="s">
        <v>3125</v>
      </c>
      <c r="K1682" s="50" t="s">
        <v>29</v>
      </c>
      <c r="L1682" s="50" t="s">
        <v>2289</v>
      </c>
      <c r="M1682" s="50" t="s">
        <v>212</v>
      </c>
      <c r="N1682" s="50" t="s">
        <v>5220</v>
      </c>
      <c r="O1682" s="60">
        <v>45855</v>
      </c>
      <c r="P1682" s="60">
        <v>45855</v>
      </c>
      <c r="Q1682" s="60">
        <v>45856</v>
      </c>
      <c r="R1682" s="60">
        <v>45856</v>
      </c>
      <c r="S1682" s="50">
        <f t="shared" si="149"/>
        <v>2</v>
      </c>
      <c r="T1682" s="50">
        <f t="shared" si="151"/>
        <v>1</v>
      </c>
      <c r="U1682" s="50">
        <f t="shared" si="152"/>
        <v>1</v>
      </c>
      <c r="V1682" s="50">
        <f t="shared" si="150"/>
        <v>1</v>
      </c>
      <c r="W1682" s="50" t="s">
        <v>150</v>
      </c>
      <c r="X1682" s="50" t="s">
        <v>4</v>
      </c>
      <c r="Y1682" s="50" t="s">
        <v>50</v>
      </c>
      <c r="Z1682" s="50" t="s">
        <v>3406</v>
      </c>
      <c r="AA1682" s="50"/>
    </row>
    <row r="1683" spans="1:27" ht="25.5" customHeight="1">
      <c r="A1683" s="517" t="s">
        <v>2286</v>
      </c>
      <c r="B1683" s="51" t="s">
        <v>1317</v>
      </c>
      <c r="C1683" s="51" t="s">
        <v>143</v>
      </c>
      <c r="D1683" s="51" t="s">
        <v>5221</v>
      </c>
      <c r="E1683" s="50">
        <v>1613</v>
      </c>
      <c r="F1683" s="50">
        <v>1521</v>
      </c>
      <c r="G1683" s="50" t="s">
        <v>3955</v>
      </c>
      <c r="H1683" s="50"/>
      <c r="I1683" s="105"/>
      <c r="J1683" s="50"/>
      <c r="K1683" s="50" t="s">
        <v>29</v>
      </c>
      <c r="L1683" s="50" t="s">
        <v>2289</v>
      </c>
      <c r="M1683" s="50" t="s">
        <v>212</v>
      </c>
      <c r="N1683" s="50"/>
      <c r="O1683" s="50"/>
      <c r="P1683" s="60"/>
      <c r="Q1683" s="50"/>
      <c r="R1683" s="50"/>
      <c r="S1683" s="50" t="str">
        <f t="shared" ref="S1683:S1746" si="153">IF(
    OR(ISBLANK(I1683), ISBLANK(O1683)),
    "",
    MAX(1, IF(
        NETWORKDAYS(I1683, O1683) &lt;= 0,
        1,
        NETWORKDAYS(I1683, O1683) - IF(I1683 = O1683, 0, 1)
    ))
)</f>
        <v/>
      </c>
      <c r="T1683" s="50" t="str">
        <f t="shared" si="151"/>
        <v/>
      </c>
      <c r="U1683" s="50" t="str">
        <f t="shared" si="152"/>
        <v/>
      </c>
      <c r="V1683" s="50" t="str">
        <f t="shared" ref="V1683:V1746" si="154">IF(
    OR(ISBLANK(Q1683), ISBLANK(R1683)),
    "",
    MAX(1, IF(
        NETWORKDAYS(Q1683, R1683) &lt;= 0,
        1,
        NETWORKDAYS(Q1683, R1683) - IF(Q1683 = R1683, 0, 1)
    ))
)</f>
        <v/>
      </c>
      <c r="W1683" s="50"/>
      <c r="X1683" s="50"/>
      <c r="Y1683" s="50"/>
      <c r="Z1683" s="50"/>
      <c r="AA1683" s="50"/>
    </row>
    <row r="1684" spans="1:27" ht="25.5" customHeight="1">
      <c r="A1684" s="517" t="s">
        <v>2286</v>
      </c>
      <c r="B1684" s="51" t="s">
        <v>1317</v>
      </c>
      <c r="C1684" s="51" t="s">
        <v>143</v>
      </c>
      <c r="D1684" s="51" t="s">
        <v>5222</v>
      </c>
      <c r="E1684" s="50">
        <v>2985</v>
      </c>
      <c r="F1684" s="50">
        <v>3151</v>
      </c>
      <c r="G1684" s="50" t="s">
        <v>3404</v>
      </c>
      <c r="H1684" s="50">
        <v>2024</v>
      </c>
      <c r="I1684" s="132">
        <v>45541</v>
      </c>
      <c r="J1684" s="50"/>
      <c r="K1684" s="50" t="s">
        <v>29</v>
      </c>
      <c r="L1684" s="50" t="s">
        <v>2289</v>
      </c>
      <c r="M1684" s="50" t="s">
        <v>212</v>
      </c>
      <c r="N1684" s="50"/>
      <c r="O1684" s="50"/>
      <c r="P1684" s="50"/>
      <c r="Q1684" s="50"/>
      <c r="R1684" s="50"/>
      <c r="S1684" s="50" t="str">
        <f t="shared" si="153"/>
        <v/>
      </c>
      <c r="T1684" s="50" t="str">
        <f t="shared" ref="T1684:T1747" si="155">IF(
    OR(ISBLANK(O1684), ISBLANK(P1684)),
    "",
    MAX(1, IF(
        NETWORKDAYS(O1684, P1684) &lt;= 0,
        1,
        NETWORKDAYS(O1684, P1684) - IF(O1684 = P1684, 0, 1)
    ))
)</f>
        <v/>
      </c>
      <c r="U1684" s="50" t="str">
        <f t="shared" ref="U1684:U1747" si="156">IF(
    OR(ISBLANK(P1684), ISBLANK(Q1684)),
    "",
    MAX(1, IF(
        NETWORKDAYS(P1684, Q1684) &lt;= 0,
        1,
        NETWORKDAYS(P1684, Q1684) - IF(P1684 = Q1684, 0, 1)
    ))
)</f>
        <v/>
      </c>
      <c r="V1684" s="50" t="str">
        <f t="shared" si="154"/>
        <v/>
      </c>
      <c r="W1684" s="50"/>
      <c r="X1684" s="50" t="s">
        <v>1078</v>
      </c>
      <c r="Y1684" s="50" t="s">
        <v>847</v>
      </c>
      <c r="Z1684" s="50" t="s">
        <v>3406</v>
      </c>
      <c r="AA1684" s="50"/>
    </row>
    <row r="1685" spans="1:27" ht="25.5" customHeight="1">
      <c r="A1685" s="517" t="s">
        <v>2286</v>
      </c>
      <c r="B1685" s="51" t="s">
        <v>1317</v>
      </c>
      <c r="C1685" s="51" t="s">
        <v>143</v>
      </c>
      <c r="D1685" s="51" t="s">
        <v>5223</v>
      </c>
      <c r="E1685" s="50">
        <v>2205</v>
      </c>
      <c r="F1685" s="50">
        <v>2452</v>
      </c>
      <c r="G1685" s="50" t="s">
        <v>3955</v>
      </c>
      <c r="H1685" s="50"/>
      <c r="I1685" s="105"/>
      <c r="J1685" s="50"/>
      <c r="K1685" s="50" t="s">
        <v>29</v>
      </c>
      <c r="L1685" s="50" t="s">
        <v>2289</v>
      </c>
      <c r="M1685" s="50" t="s">
        <v>212</v>
      </c>
      <c r="N1685" s="50"/>
      <c r="O1685" s="50"/>
      <c r="P1685" s="50"/>
      <c r="Q1685" s="50"/>
      <c r="R1685" s="50"/>
      <c r="S1685" s="50" t="str">
        <f t="shared" si="153"/>
        <v/>
      </c>
      <c r="T1685" s="50" t="str">
        <f t="shared" si="155"/>
        <v/>
      </c>
      <c r="U1685" s="50" t="str">
        <f t="shared" si="156"/>
        <v/>
      </c>
      <c r="V1685" s="50" t="str">
        <f t="shared" si="154"/>
        <v/>
      </c>
      <c r="W1685" s="50"/>
      <c r="X1685" s="50"/>
      <c r="Y1685" s="50"/>
      <c r="Z1685" s="50"/>
      <c r="AA1685" s="50"/>
    </row>
    <row r="1686" spans="1:27" ht="25.5" customHeight="1">
      <c r="A1686" s="517" t="s">
        <v>2286</v>
      </c>
      <c r="B1686" s="51" t="s">
        <v>1317</v>
      </c>
      <c r="C1686" s="51" t="s">
        <v>143</v>
      </c>
      <c r="D1686" s="51" t="s">
        <v>1245</v>
      </c>
      <c r="E1686" s="50">
        <v>4643</v>
      </c>
      <c r="F1686" s="50">
        <v>4656</v>
      </c>
      <c r="G1686" s="50" t="s">
        <v>3404</v>
      </c>
      <c r="H1686" s="50">
        <v>2025</v>
      </c>
      <c r="I1686" s="132">
        <v>45715</v>
      </c>
      <c r="J1686" s="50" t="s">
        <v>3416</v>
      </c>
      <c r="K1686" s="50" t="s">
        <v>29</v>
      </c>
      <c r="L1686" s="50" t="s">
        <v>2289</v>
      </c>
      <c r="M1686" s="50" t="s">
        <v>212</v>
      </c>
      <c r="N1686" s="50" t="s">
        <v>5224</v>
      </c>
      <c r="O1686" s="60">
        <v>45722</v>
      </c>
      <c r="P1686" s="60">
        <v>45729</v>
      </c>
      <c r="Q1686" s="60">
        <v>45735</v>
      </c>
      <c r="R1686" s="60">
        <v>45735</v>
      </c>
      <c r="S1686" s="50">
        <f t="shared" si="153"/>
        <v>5</v>
      </c>
      <c r="T1686" s="50">
        <f t="shared" si="155"/>
        <v>5</v>
      </c>
      <c r="U1686" s="50">
        <f t="shared" si="156"/>
        <v>4</v>
      </c>
      <c r="V1686" s="50">
        <f t="shared" si="154"/>
        <v>1</v>
      </c>
      <c r="W1686" s="50" t="s">
        <v>150</v>
      </c>
      <c r="X1686" s="50" t="s">
        <v>1078</v>
      </c>
      <c r="Y1686" s="50" t="s">
        <v>50</v>
      </c>
      <c r="Z1686" s="50" t="s">
        <v>3406</v>
      </c>
      <c r="AA1686" s="50"/>
    </row>
    <row r="1687" spans="1:27" ht="25.5" customHeight="1">
      <c r="A1687" s="517" t="s">
        <v>2286</v>
      </c>
      <c r="B1687" s="51" t="s">
        <v>1317</v>
      </c>
      <c r="C1687" s="51" t="s">
        <v>143</v>
      </c>
      <c r="D1687" s="51" t="s">
        <v>5225</v>
      </c>
      <c r="E1687" s="50">
        <v>1688</v>
      </c>
      <c r="F1687" s="50">
        <v>1819</v>
      </c>
      <c r="G1687" s="50" t="s">
        <v>3404</v>
      </c>
      <c r="H1687" s="50">
        <v>2025</v>
      </c>
      <c r="I1687" s="132">
        <v>45680</v>
      </c>
      <c r="J1687" s="50" t="s">
        <v>3458</v>
      </c>
      <c r="K1687" s="50" t="s">
        <v>29</v>
      </c>
      <c r="L1687" s="50" t="s">
        <v>2289</v>
      </c>
      <c r="M1687" s="50" t="s">
        <v>212</v>
      </c>
      <c r="N1687" s="50" t="s">
        <v>5226</v>
      </c>
      <c r="O1687" s="60">
        <v>45685</v>
      </c>
      <c r="P1687" s="60">
        <v>45687</v>
      </c>
      <c r="Q1687" s="60">
        <v>45687</v>
      </c>
      <c r="R1687" s="60">
        <v>45687</v>
      </c>
      <c r="S1687" s="50">
        <f t="shared" si="153"/>
        <v>3</v>
      </c>
      <c r="T1687" s="50">
        <f t="shared" si="155"/>
        <v>2</v>
      </c>
      <c r="U1687" s="50">
        <f t="shared" si="156"/>
        <v>1</v>
      </c>
      <c r="V1687" s="50">
        <f t="shared" si="154"/>
        <v>1</v>
      </c>
      <c r="W1687" s="50" t="s">
        <v>150</v>
      </c>
      <c r="X1687" s="50" t="s">
        <v>1078</v>
      </c>
      <c r="Y1687" s="50" t="s">
        <v>50</v>
      </c>
      <c r="Z1687" s="50" t="s">
        <v>3406</v>
      </c>
      <c r="AA1687" s="50"/>
    </row>
    <row r="1688" spans="1:27" ht="25.5" customHeight="1">
      <c r="A1688" s="517" t="s">
        <v>2286</v>
      </c>
      <c r="B1688" s="51" t="s">
        <v>1317</v>
      </c>
      <c r="C1688" s="51" t="s">
        <v>143</v>
      </c>
      <c r="D1688" s="51" t="s">
        <v>4985</v>
      </c>
      <c r="E1688" s="50">
        <v>575</v>
      </c>
      <c r="F1688" s="50">
        <v>627</v>
      </c>
      <c r="G1688" s="50" t="s">
        <v>3404</v>
      </c>
      <c r="H1688" s="50">
        <v>2025</v>
      </c>
      <c r="I1688" s="132">
        <v>45736</v>
      </c>
      <c r="J1688" s="50" t="s">
        <v>3470</v>
      </c>
      <c r="K1688" s="50" t="s">
        <v>29</v>
      </c>
      <c r="L1688" s="50" t="s">
        <v>2289</v>
      </c>
      <c r="M1688" s="50" t="s">
        <v>212</v>
      </c>
      <c r="N1688" s="50" t="s">
        <v>5227</v>
      </c>
      <c r="O1688" s="60">
        <v>45739</v>
      </c>
      <c r="P1688" s="60">
        <v>45754</v>
      </c>
      <c r="Q1688" s="60">
        <v>45754</v>
      </c>
      <c r="R1688" s="60">
        <v>45757</v>
      </c>
      <c r="S1688" s="50">
        <f t="shared" si="153"/>
        <v>1</v>
      </c>
      <c r="T1688" s="50">
        <f t="shared" si="155"/>
        <v>10</v>
      </c>
      <c r="U1688" s="50">
        <f t="shared" si="156"/>
        <v>1</v>
      </c>
      <c r="V1688" s="50">
        <f t="shared" si="154"/>
        <v>3</v>
      </c>
      <c r="W1688" s="50" t="s">
        <v>150</v>
      </c>
      <c r="X1688" s="50" t="s">
        <v>1078</v>
      </c>
      <c r="Y1688" s="50" t="s">
        <v>50</v>
      </c>
      <c r="Z1688" s="50" t="s">
        <v>3406</v>
      </c>
      <c r="AA1688" s="50"/>
    </row>
    <row r="1689" spans="1:27" ht="25.5" customHeight="1">
      <c r="A1689" s="517" t="s">
        <v>2286</v>
      </c>
      <c r="B1689" s="51" t="s">
        <v>1317</v>
      </c>
      <c r="C1689" s="51" t="s">
        <v>143</v>
      </c>
      <c r="D1689" s="51" t="s">
        <v>5228</v>
      </c>
      <c r="E1689" s="50">
        <v>2935</v>
      </c>
      <c r="F1689" s="50">
        <v>2458</v>
      </c>
      <c r="G1689" s="50" t="s">
        <v>3955</v>
      </c>
      <c r="H1689" s="50"/>
      <c r="I1689" s="105"/>
      <c r="J1689" s="50"/>
      <c r="K1689" s="50" t="s">
        <v>29</v>
      </c>
      <c r="L1689" s="50" t="s">
        <v>2289</v>
      </c>
      <c r="M1689" s="50" t="s">
        <v>212</v>
      </c>
      <c r="N1689" s="50"/>
      <c r="O1689" s="50"/>
      <c r="P1689" s="50"/>
      <c r="Q1689" s="50"/>
      <c r="R1689" s="50"/>
      <c r="S1689" s="50" t="str">
        <f t="shared" si="153"/>
        <v/>
      </c>
      <c r="T1689" s="50" t="str">
        <f t="shared" si="155"/>
        <v/>
      </c>
      <c r="U1689" s="50" t="str">
        <f t="shared" si="156"/>
        <v/>
      </c>
      <c r="V1689" s="50" t="str">
        <f t="shared" si="154"/>
        <v/>
      </c>
      <c r="W1689" s="50"/>
      <c r="X1689" s="50"/>
      <c r="Y1689" s="50"/>
      <c r="Z1689" s="50"/>
      <c r="AA1689" s="50"/>
    </row>
    <row r="1690" spans="1:27" ht="25.5" customHeight="1">
      <c r="A1690" s="517" t="s">
        <v>2286</v>
      </c>
      <c r="B1690" s="51" t="s">
        <v>1317</v>
      </c>
      <c r="C1690" s="51" t="s">
        <v>143</v>
      </c>
      <c r="D1690" s="51" t="s">
        <v>5229</v>
      </c>
      <c r="E1690" s="50">
        <v>972</v>
      </c>
      <c r="F1690" s="50">
        <v>1093</v>
      </c>
      <c r="G1690" s="50" t="s">
        <v>3955</v>
      </c>
      <c r="H1690" s="50"/>
      <c r="I1690" s="105"/>
      <c r="J1690" s="50"/>
      <c r="K1690" s="50" t="s">
        <v>29</v>
      </c>
      <c r="L1690" s="50" t="s">
        <v>2289</v>
      </c>
      <c r="M1690" s="50" t="s">
        <v>212</v>
      </c>
      <c r="N1690" s="50"/>
      <c r="O1690" s="50"/>
      <c r="P1690" s="50"/>
      <c r="Q1690" s="50"/>
      <c r="R1690" s="50"/>
      <c r="S1690" s="50" t="str">
        <f t="shared" si="153"/>
        <v/>
      </c>
      <c r="T1690" s="50" t="str">
        <f t="shared" si="155"/>
        <v/>
      </c>
      <c r="U1690" s="50" t="str">
        <f t="shared" si="156"/>
        <v/>
      </c>
      <c r="V1690" s="50" t="str">
        <f t="shared" si="154"/>
        <v/>
      </c>
      <c r="W1690" s="50"/>
      <c r="X1690" s="50"/>
      <c r="Y1690" s="50"/>
      <c r="Z1690" s="50"/>
      <c r="AA1690" s="50"/>
    </row>
    <row r="1691" spans="1:27" ht="25.5" customHeight="1">
      <c r="A1691" s="517" t="s">
        <v>2286</v>
      </c>
      <c r="B1691" s="51" t="s">
        <v>1317</v>
      </c>
      <c r="C1691" s="51" t="s">
        <v>143</v>
      </c>
      <c r="D1691" s="51" t="s">
        <v>4874</v>
      </c>
      <c r="E1691" s="50">
        <v>586</v>
      </c>
      <c r="F1691" s="50">
        <v>584</v>
      </c>
      <c r="G1691" s="50" t="s">
        <v>3955</v>
      </c>
      <c r="H1691" s="50"/>
      <c r="I1691" s="105"/>
      <c r="J1691" s="50"/>
      <c r="K1691" s="50" t="s">
        <v>29</v>
      </c>
      <c r="L1691" s="50" t="s">
        <v>2289</v>
      </c>
      <c r="M1691" s="50" t="s">
        <v>212</v>
      </c>
      <c r="N1691" s="50"/>
      <c r="O1691" s="50"/>
      <c r="P1691" s="50"/>
      <c r="Q1691" s="50"/>
      <c r="R1691" s="50"/>
      <c r="S1691" s="50" t="str">
        <f t="shared" si="153"/>
        <v/>
      </c>
      <c r="T1691" s="50" t="str">
        <f t="shared" si="155"/>
        <v/>
      </c>
      <c r="U1691" s="50" t="str">
        <f t="shared" si="156"/>
        <v/>
      </c>
      <c r="V1691" s="50" t="str">
        <f t="shared" si="154"/>
        <v/>
      </c>
      <c r="W1691" s="50"/>
      <c r="X1691" s="50"/>
      <c r="Y1691" s="50"/>
      <c r="Z1691" s="50"/>
      <c r="AA1691" s="50"/>
    </row>
    <row r="1692" spans="1:27" ht="25.5" customHeight="1">
      <c r="A1692" s="517" t="s">
        <v>2286</v>
      </c>
      <c r="B1692" s="51" t="s">
        <v>1317</v>
      </c>
      <c r="C1692" s="51" t="s">
        <v>143</v>
      </c>
      <c r="D1692" s="51" t="s">
        <v>5230</v>
      </c>
      <c r="E1692" s="50">
        <v>2777</v>
      </c>
      <c r="F1692" s="50">
        <v>2987</v>
      </c>
      <c r="G1692" s="50" t="s">
        <v>3955</v>
      </c>
      <c r="H1692" s="50"/>
      <c r="I1692" s="105"/>
      <c r="J1692" s="50"/>
      <c r="K1692" s="50" t="s">
        <v>29</v>
      </c>
      <c r="L1692" s="50" t="s">
        <v>2289</v>
      </c>
      <c r="M1692" s="50" t="s">
        <v>212</v>
      </c>
      <c r="N1692" s="50"/>
      <c r="O1692" s="50"/>
      <c r="P1692" s="50"/>
      <c r="Q1692" s="50"/>
      <c r="R1692" s="50"/>
      <c r="S1692" s="50" t="str">
        <f t="shared" si="153"/>
        <v/>
      </c>
      <c r="T1692" s="50" t="str">
        <f t="shared" si="155"/>
        <v/>
      </c>
      <c r="U1692" s="50" t="str">
        <f t="shared" si="156"/>
        <v/>
      </c>
      <c r="V1692" s="50" t="str">
        <f t="shared" si="154"/>
        <v/>
      </c>
      <c r="W1692" s="50"/>
      <c r="X1692" s="50"/>
      <c r="Y1692" s="50"/>
      <c r="Z1692" s="50"/>
      <c r="AA1692" s="50"/>
    </row>
    <row r="1693" spans="1:27" ht="25.5" customHeight="1">
      <c r="A1693" s="517" t="s">
        <v>2286</v>
      </c>
      <c r="B1693" s="51" t="s">
        <v>1317</v>
      </c>
      <c r="C1693" s="51" t="s">
        <v>143</v>
      </c>
      <c r="D1693" s="51" t="s">
        <v>5231</v>
      </c>
      <c r="E1693" s="50">
        <v>963</v>
      </c>
      <c r="F1693" s="50">
        <v>990</v>
      </c>
      <c r="G1693" s="50" t="s">
        <v>3955</v>
      </c>
      <c r="H1693" s="50"/>
      <c r="I1693" s="105"/>
      <c r="J1693" s="50"/>
      <c r="K1693" s="50" t="s">
        <v>29</v>
      </c>
      <c r="L1693" s="50" t="s">
        <v>2289</v>
      </c>
      <c r="M1693" s="50" t="s">
        <v>212</v>
      </c>
      <c r="N1693" s="50"/>
      <c r="O1693" s="50"/>
      <c r="P1693" s="50"/>
      <c r="Q1693" s="50"/>
      <c r="R1693" s="50"/>
      <c r="S1693" s="50" t="str">
        <f t="shared" si="153"/>
        <v/>
      </c>
      <c r="T1693" s="50" t="str">
        <f t="shared" si="155"/>
        <v/>
      </c>
      <c r="U1693" s="50" t="str">
        <f t="shared" si="156"/>
        <v/>
      </c>
      <c r="V1693" s="50" t="str">
        <f t="shared" si="154"/>
        <v/>
      </c>
      <c r="W1693" s="50"/>
      <c r="X1693" s="50"/>
      <c r="Y1693" s="50"/>
      <c r="Z1693" s="50"/>
      <c r="AA1693" s="50"/>
    </row>
    <row r="1694" spans="1:27" s="110" customFormat="1" ht="25.5" customHeight="1">
      <c r="A1694" s="517" t="s">
        <v>2286</v>
      </c>
      <c r="B1694" s="51" t="s">
        <v>1317</v>
      </c>
      <c r="C1694" s="51" t="s">
        <v>143</v>
      </c>
      <c r="D1694" s="51" t="s">
        <v>1286</v>
      </c>
      <c r="E1694" s="50">
        <v>2080</v>
      </c>
      <c r="F1694" s="50">
        <v>2006</v>
      </c>
      <c r="G1694" s="50" t="s">
        <v>3404</v>
      </c>
      <c r="H1694" s="50">
        <v>2024</v>
      </c>
      <c r="I1694" s="132">
        <v>45603</v>
      </c>
      <c r="J1694" s="50"/>
      <c r="K1694" s="50" t="s">
        <v>29</v>
      </c>
      <c r="L1694" s="50" t="s">
        <v>2289</v>
      </c>
      <c r="M1694" s="50" t="s">
        <v>212</v>
      </c>
      <c r="N1694" s="50"/>
      <c r="O1694" s="50"/>
      <c r="P1694" s="50"/>
      <c r="Q1694" s="50"/>
      <c r="R1694" s="50"/>
      <c r="S1694" s="50" t="str">
        <f t="shared" si="153"/>
        <v/>
      </c>
      <c r="T1694" s="50" t="str">
        <f t="shared" si="155"/>
        <v/>
      </c>
      <c r="U1694" s="50" t="str">
        <f t="shared" si="156"/>
        <v/>
      </c>
      <c r="V1694" s="50" t="str">
        <f t="shared" si="154"/>
        <v/>
      </c>
      <c r="W1694" s="50"/>
      <c r="X1694" s="50" t="s">
        <v>4</v>
      </c>
      <c r="Y1694" s="50" t="s">
        <v>50</v>
      </c>
      <c r="Z1694" s="50" t="s">
        <v>3406</v>
      </c>
      <c r="AA1694" s="50"/>
    </row>
    <row r="1695" spans="1:27" ht="25.5" customHeight="1">
      <c r="A1695" s="517" t="s">
        <v>2286</v>
      </c>
      <c r="B1695" s="51" t="s">
        <v>1317</v>
      </c>
      <c r="C1695" s="51" t="s">
        <v>143</v>
      </c>
      <c r="D1695" s="51" t="s">
        <v>4991</v>
      </c>
      <c r="E1695" s="50">
        <v>2758</v>
      </c>
      <c r="F1695" s="50">
        <v>2707</v>
      </c>
      <c r="G1695" s="50" t="s">
        <v>3404</v>
      </c>
      <c r="H1695" s="50">
        <v>2025</v>
      </c>
      <c r="I1695" s="132">
        <v>45853</v>
      </c>
      <c r="J1695" s="50" t="s">
        <v>3125</v>
      </c>
      <c r="K1695" s="50" t="s">
        <v>29</v>
      </c>
      <c r="L1695" s="50" t="s">
        <v>2289</v>
      </c>
      <c r="M1695" s="50" t="s">
        <v>212</v>
      </c>
      <c r="N1695" s="50" t="s">
        <v>5232</v>
      </c>
      <c r="O1695" s="60">
        <v>45855</v>
      </c>
      <c r="P1695" s="60">
        <v>45855</v>
      </c>
      <c r="Q1695" s="60">
        <v>45856</v>
      </c>
      <c r="R1695" s="60">
        <v>45856</v>
      </c>
      <c r="S1695" s="50">
        <f t="shared" si="153"/>
        <v>2</v>
      </c>
      <c r="T1695" s="50">
        <f t="shared" si="155"/>
        <v>1</v>
      </c>
      <c r="U1695" s="50">
        <f t="shared" si="156"/>
        <v>1</v>
      </c>
      <c r="V1695" s="50">
        <f t="shared" si="154"/>
        <v>1</v>
      </c>
      <c r="W1695" s="50" t="s">
        <v>150</v>
      </c>
      <c r="X1695" s="50" t="s">
        <v>1078</v>
      </c>
      <c r="Y1695" s="50" t="s">
        <v>50</v>
      </c>
      <c r="Z1695" s="50" t="s">
        <v>3406</v>
      </c>
      <c r="AA1695" s="50"/>
    </row>
    <row r="1696" spans="1:27" ht="25.5" customHeight="1">
      <c r="A1696" s="517" t="s">
        <v>2286</v>
      </c>
      <c r="B1696" s="51" t="s">
        <v>1317</v>
      </c>
      <c r="C1696" s="51" t="s">
        <v>143</v>
      </c>
      <c r="D1696" s="51" t="s">
        <v>2068</v>
      </c>
      <c r="E1696" s="50">
        <v>2350</v>
      </c>
      <c r="F1696" s="50">
        <v>1790</v>
      </c>
      <c r="G1696" s="50" t="s">
        <v>3404</v>
      </c>
      <c r="H1696" s="50">
        <v>2024</v>
      </c>
      <c r="I1696" s="132">
        <v>45603</v>
      </c>
      <c r="J1696" s="50"/>
      <c r="K1696" s="50" t="s">
        <v>29</v>
      </c>
      <c r="L1696" s="50" t="s">
        <v>2289</v>
      </c>
      <c r="M1696" s="50" t="s">
        <v>212</v>
      </c>
      <c r="N1696" s="50"/>
      <c r="O1696" s="50"/>
      <c r="P1696" s="50"/>
      <c r="Q1696" s="50"/>
      <c r="R1696" s="50"/>
      <c r="S1696" s="50" t="str">
        <f t="shared" si="153"/>
        <v/>
      </c>
      <c r="T1696" s="50" t="str">
        <f t="shared" si="155"/>
        <v/>
      </c>
      <c r="U1696" s="50" t="str">
        <f t="shared" si="156"/>
        <v/>
      </c>
      <c r="V1696" s="50" t="str">
        <f t="shared" si="154"/>
        <v/>
      </c>
      <c r="W1696" s="50"/>
      <c r="X1696" s="50" t="s">
        <v>4</v>
      </c>
      <c r="Y1696" s="50" t="s">
        <v>50</v>
      </c>
      <c r="Z1696" s="50" t="s">
        <v>3406</v>
      </c>
      <c r="AA1696" s="50"/>
    </row>
    <row r="1697" spans="1:27" ht="25.5" customHeight="1">
      <c r="A1697" s="517" t="s">
        <v>2286</v>
      </c>
      <c r="B1697" s="51" t="s">
        <v>1317</v>
      </c>
      <c r="C1697" s="51" t="s">
        <v>143</v>
      </c>
      <c r="D1697" s="51" t="s">
        <v>4830</v>
      </c>
      <c r="E1697" s="50">
        <v>4085</v>
      </c>
      <c r="F1697" s="50">
        <v>3247</v>
      </c>
      <c r="G1697" s="50" t="s">
        <v>3955</v>
      </c>
      <c r="H1697" s="50"/>
      <c r="I1697" s="105"/>
      <c r="J1697" s="50"/>
      <c r="K1697" s="50" t="s">
        <v>29</v>
      </c>
      <c r="L1697" s="50" t="s">
        <v>2289</v>
      </c>
      <c r="M1697" s="50" t="s">
        <v>212</v>
      </c>
      <c r="N1697" s="50"/>
      <c r="O1697" s="50"/>
      <c r="P1697" s="50"/>
      <c r="Q1697" s="50"/>
      <c r="R1697" s="50"/>
      <c r="S1697" s="50" t="str">
        <f t="shared" si="153"/>
        <v/>
      </c>
      <c r="T1697" s="50" t="str">
        <f t="shared" si="155"/>
        <v/>
      </c>
      <c r="U1697" s="50" t="str">
        <f t="shared" si="156"/>
        <v/>
      </c>
      <c r="V1697" s="50" t="str">
        <f t="shared" si="154"/>
        <v/>
      </c>
      <c r="W1697" s="50"/>
      <c r="X1697" s="50"/>
      <c r="Y1697" s="50"/>
      <c r="Z1697" s="50"/>
      <c r="AA1697" s="50"/>
    </row>
    <row r="1698" spans="1:27" ht="25.5" customHeight="1">
      <c r="A1698" s="517" t="s">
        <v>2286</v>
      </c>
      <c r="B1698" s="51" t="s">
        <v>1317</v>
      </c>
      <c r="C1698" s="51" t="s">
        <v>143</v>
      </c>
      <c r="D1698" s="51" t="s">
        <v>5233</v>
      </c>
      <c r="E1698" s="50">
        <v>2139</v>
      </c>
      <c r="F1698" s="50">
        <v>2311</v>
      </c>
      <c r="G1698" s="50" t="s">
        <v>3955</v>
      </c>
      <c r="H1698" s="50"/>
      <c r="I1698" s="105"/>
      <c r="J1698" s="50"/>
      <c r="K1698" s="50" t="s">
        <v>29</v>
      </c>
      <c r="L1698" s="50" t="s">
        <v>2289</v>
      </c>
      <c r="M1698" s="50" t="s">
        <v>212</v>
      </c>
      <c r="N1698" s="50"/>
      <c r="O1698" s="50"/>
      <c r="P1698" s="50"/>
      <c r="Q1698" s="50"/>
      <c r="R1698" s="50"/>
      <c r="S1698" s="50" t="str">
        <f t="shared" si="153"/>
        <v/>
      </c>
      <c r="T1698" s="50" t="str">
        <f t="shared" si="155"/>
        <v/>
      </c>
      <c r="U1698" s="50" t="str">
        <f t="shared" si="156"/>
        <v/>
      </c>
      <c r="V1698" s="50" t="str">
        <f t="shared" si="154"/>
        <v/>
      </c>
      <c r="W1698" s="50"/>
      <c r="X1698" s="50"/>
      <c r="Y1698" s="50"/>
      <c r="Z1698" s="50"/>
      <c r="AA1698" s="50"/>
    </row>
    <row r="1699" spans="1:27" ht="25.5" customHeight="1">
      <c r="A1699" s="517" t="s">
        <v>2286</v>
      </c>
      <c r="B1699" s="51" t="s">
        <v>1317</v>
      </c>
      <c r="C1699" s="51" t="s">
        <v>143</v>
      </c>
      <c r="D1699" s="51" t="s">
        <v>1299</v>
      </c>
      <c r="E1699" s="50">
        <v>1640</v>
      </c>
      <c r="F1699" s="50">
        <v>1751</v>
      </c>
      <c r="G1699" s="50" t="s">
        <v>3955</v>
      </c>
      <c r="H1699" s="50"/>
      <c r="I1699" s="105"/>
      <c r="J1699" s="50"/>
      <c r="K1699" s="50" t="s">
        <v>29</v>
      </c>
      <c r="L1699" s="50" t="s">
        <v>2289</v>
      </c>
      <c r="M1699" s="50" t="s">
        <v>212</v>
      </c>
      <c r="N1699" s="50"/>
      <c r="O1699" s="50"/>
      <c r="P1699" s="50"/>
      <c r="Q1699" s="50"/>
      <c r="R1699" s="50"/>
      <c r="S1699" s="50" t="str">
        <f t="shared" si="153"/>
        <v/>
      </c>
      <c r="T1699" s="50" t="str">
        <f t="shared" si="155"/>
        <v/>
      </c>
      <c r="U1699" s="50" t="str">
        <f t="shared" si="156"/>
        <v/>
      </c>
      <c r="V1699" s="50" t="str">
        <f t="shared" si="154"/>
        <v/>
      </c>
      <c r="W1699" s="50"/>
      <c r="X1699" s="50"/>
      <c r="Y1699" s="50"/>
      <c r="Z1699" s="50"/>
      <c r="AA1699" s="50"/>
    </row>
    <row r="1700" spans="1:27" s="110" customFormat="1" ht="25.5" customHeight="1">
      <c r="A1700" s="517" t="s">
        <v>2286</v>
      </c>
      <c r="B1700" s="51" t="s">
        <v>1317</v>
      </c>
      <c r="C1700" s="51" t="s">
        <v>143</v>
      </c>
      <c r="D1700" s="51" t="s">
        <v>4882</v>
      </c>
      <c r="E1700" s="50">
        <v>1667</v>
      </c>
      <c r="F1700" s="50">
        <v>1798</v>
      </c>
      <c r="G1700" s="50" t="s">
        <v>3955</v>
      </c>
      <c r="H1700" s="50"/>
      <c r="I1700" s="105"/>
      <c r="J1700" s="50"/>
      <c r="K1700" s="50" t="s">
        <v>29</v>
      </c>
      <c r="L1700" s="50" t="s">
        <v>2289</v>
      </c>
      <c r="M1700" s="50" t="s">
        <v>212</v>
      </c>
      <c r="N1700" s="50"/>
      <c r="O1700" s="50"/>
      <c r="P1700" s="50"/>
      <c r="Q1700" s="50"/>
      <c r="R1700" s="50"/>
      <c r="S1700" s="50" t="str">
        <f t="shared" si="153"/>
        <v/>
      </c>
      <c r="T1700" s="50" t="str">
        <f t="shared" si="155"/>
        <v/>
      </c>
      <c r="U1700" s="50" t="str">
        <f t="shared" si="156"/>
        <v/>
      </c>
      <c r="V1700" s="50" t="str">
        <f t="shared" si="154"/>
        <v/>
      </c>
      <c r="W1700" s="50"/>
      <c r="X1700" s="50"/>
      <c r="Y1700" s="50"/>
      <c r="Z1700" s="50"/>
      <c r="AA1700" s="50"/>
    </row>
    <row r="1701" spans="1:27" ht="25.5" customHeight="1">
      <c r="A1701" s="517" t="s">
        <v>2286</v>
      </c>
      <c r="B1701" s="51" t="s">
        <v>1317</v>
      </c>
      <c r="C1701" s="51" t="s">
        <v>143</v>
      </c>
      <c r="D1701" s="51" t="s">
        <v>914</v>
      </c>
      <c r="E1701" s="50">
        <v>2166</v>
      </c>
      <c r="F1701" s="50">
        <v>2305</v>
      </c>
      <c r="G1701" s="50" t="s">
        <v>3404</v>
      </c>
      <c r="H1701" s="50">
        <v>2025</v>
      </c>
      <c r="I1701" s="132">
        <v>45853</v>
      </c>
      <c r="J1701" s="50" t="s">
        <v>3125</v>
      </c>
      <c r="K1701" s="50" t="s">
        <v>29</v>
      </c>
      <c r="L1701" s="50" t="s">
        <v>2289</v>
      </c>
      <c r="M1701" s="50" t="s">
        <v>212</v>
      </c>
      <c r="N1701" s="50" t="s">
        <v>5234</v>
      </c>
      <c r="O1701" s="60">
        <v>45855</v>
      </c>
      <c r="P1701" s="60">
        <v>45855</v>
      </c>
      <c r="Q1701" s="60">
        <v>45856</v>
      </c>
      <c r="R1701" s="60">
        <v>45856</v>
      </c>
      <c r="S1701" s="50">
        <f t="shared" si="153"/>
        <v>2</v>
      </c>
      <c r="T1701" s="50">
        <f t="shared" si="155"/>
        <v>1</v>
      </c>
      <c r="U1701" s="50">
        <f t="shared" si="156"/>
        <v>1</v>
      </c>
      <c r="V1701" s="50">
        <f t="shared" si="154"/>
        <v>1</v>
      </c>
      <c r="W1701" s="50" t="s">
        <v>150</v>
      </c>
      <c r="X1701" s="50" t="s">
        <v>4</v>
      </c>
      <c r="Y1701" s="50" t="s">
        <v>50</v>
      </c>
      <c r="Z1701" s="50" t="s">
        <v>3406</v>
      </c>
      <c r="AA1701" s="50"/>
    </row>
    <row r="1702" spans="1:27" ht="25.5" customHeight="1">
      <c r="A1702" s="517" t="s">
        <v>2286</v>
      </c>
      <c r="B1702" s="51" t="s">
        <v>1317</v>
      </c>
      <c r="C1702" s="51" t="s">
        <v>143</v>
      </c>
      <c r="D1702" s="51" t="s">
        <v>1225</v>
      </c>
      <c r="E1702" s="50">
        <v>1973</v>
      </c>
      <c r="F1702" s="50">
        <v>2020</v>
      </c>
      <c r="G1702" s="50" t="s">
        <v>3404</v>
      </c>
      <c r="H1702" s="50">
        <v>2024</v>
      </c>
      <c r="I1702" s="132">
        <v>45604</v>
      </c>
      <c r="J1702" s="50"/>
      <c r="K1702" s="50" t="s">
        <v>29</v>
      </c>
      <c r="L1702" s="50" t="s">
        <v>2289</v>
      </c>
      <c r="M1702" s="50" t="s">
        <v>212</v>
      </c>
      <c r="N1702" s="50"/>
      <c r="O1702" s="50"/>
      <c r="P1702" s="50"/>
      <c r="Q1702" s="50"/>
      <c r="R1702" s="50"/>
      <c r="S1702" s="50" t="str">
        <f t="shared" si="153"/>
        <v/>
      </c>
      <c r="T1702" s="50" t="str">
        <f t="shared" si="155"/>
        <v/>
      </c>
      <c r="U1702" s="50" t="str">
        <f t="shared" si="156"/>
        <v/>
      </c>
      <c r="V1702" s="50" t="str">
        <f t="shared" si="154"/>
        <v/>
      </c>
      <c r="W1702" s="50"/>
      <c r="X1702" s="50" t="s">
        <v>4</v>
      </c>
      <c r="Y1702" s="50" t="s">
        <v>50</v>
      </c>
      <c r="Z1702" s="50" t="s">
        <v>3406</v>
      </c>
      <c r="AA1702" s="50"/>
    </row>
    <row r="1703" spans="1:27" s="110" customFormat="1" ht="25.5" customHeight="1">
      <c r="A1703" s="517" t="s">
        <v>2286</v>
      </c>
      <c r="B1703" s="51" t="s">
        <v>1317</v>
      </c>
      <c r="C1703" s="51" t="s">
        <v>143</v>
      </c>
      <c r="D1703" s="51" t="s">
        <v>5235</v>
      </c>
      <c r="E1703" s="50">
        <v>1483</v>
      </c>
      <c r="F1703" s="50">
        <v>1570</v>
      </c>
      <c r="G1703" s="50" t="s">
        <v>3404</v>
      </c>
      <c r="H1703" s="50">
        <v>2025</v>
      </c>
      <c r="I1703" s="132">
        <v>45777</v>
      </c>
      <c r="J1703" s="50" t="s">
        <v>3532</v>
      </c>
      <c r="K1703" s="50" t="s">
        <v>29</v>
      </c>
      <c r="L1703" s="50" t="s">
        <v>2289</v>
      </c>
      <c r="M1703" s="50" t="s">
        <v>212</v>
      </c>
      <c r="N1703" s="50" t="s">
        <v>5236</v>
      </c>
      <c r="O1703" s="60">
        <v>45782</v>
      </c>
      <c r="P1703" s="60">
        <v>45791</v>
      </c>
      <c r="Q1703" s="60">
        <v>45791</v>
      </c>
      <c r="R1703" s="60">
        <v>45792</v>
      </c>
      <c r="S1703" s="50">
        <f t="shared" si="153"/>
        <v>3</v>
      </c>
      <c r="T1703" s="50">
        <f t="shared" si="155"/>
        <v>7</v>
      </c>
      <c r="U1703" s="50">
        <f t="shared" si="156"/>
        <v>1</v>
      </c>
      <c r="V1703" s="50">
        <f t="shared" si="154"/>
        <v>1</v>
      </c>
      <c r="W1703" s="50" t="s">
        <v>150</v>
      </c>
      <c r="X1703" s="50" t="s">
        <v>1078</v>
      </c>
      <c r="Y1703" s="50" t="s">
        <v>50</v>
      </c>
      <c r="Z1703" s="50" t="s">
        <v>3406</v>
      </c>
      <c r="AA1703" s="50"/>
    </row>
    <row r="1704" spans="1:27" ht="25.5" customHeight="1">
      <c r="A1704" s="517" t="s">
        <v>2286</v>
      </c>
      <c r="B1704" s="51" t="s">
        <v>1317</v>
      </c>
      <c r="C1704" s="51" t="s">
        <v>143</v>
      </c>
      <c r="D1704" s="51" t="s">
        <v>5237</v>
      </c>
      <c r="E1704" s="50">
        <v>1498</v>
      </c>
      <c r="F1704" s="50">
        <v>1827</v>
      </c>
      <c r="G1704" s="50" t="s">
        <v>3404</v>
      </c>
      <c r="H1704" s="50">
        <v>2025</v>
      </c>
      <c r="I1704" s="132">
        <v>45846</v>
      </c>
      <c r="J1704" s="50" t="s">
        <v>3125</v>
      </c>
      <c r="K1704" s="50" t="s">
        <v>29</v>
      </c>
      <c r="L1704" s="50" t="s">
        <v>2289</v>
      </c>
      <c r="M1704" s="50" t="s">
        <v>212</v>
      </c>
      <c r="N1704" s="50" t="s">
        <v>5238</v>
      </c>
      <c r="O1704" s="60">
        <v>45855</v>
      </c>
      <c r="P1704" s="60">
        <v>45855</v>
      </c>
      <c r="Q1704" s="60">
        <v>45855</v>
      </c>
      <c r="R1704" s="60">
        <v>45856</v>
      </c>
      <c r="S1704" s="50">
        <f t="shared" si="153"/>
        <v>7</v>
      </c>
      <c r="T1704" s="50">
        <f t="shared" si="155"/>
        <v>1</v>
      </c>
      <c r="U1704" s="50">
        <f t="shared" si="156"/>
        <v>1</v>
      </c>
      <c r="V1704" s="50">
        <f t="shared" si="154"/>
        <v>1</v>
      </c>
      <c r="W1704" s="50" t="s">
        <v>150</v>
      </c>
      <c r="X1704" s="50" t="s">
        <v>1078</v>
      </c>
      <c r="Y1704" s="50" t="s">
        <v>50</v>
      </c>
      <c r="Z1704" s="50" t="s">
        <v>3406</v>
      </c>
      <c r="AA1704" s="50"/>
    </row>
    <row r="1705" spans="1:27" ht="25.5" customHeight="1">
      <c r="A1705" s="517" t="s">
        <v>2286</v>
      </c>
      <c r="B1705" s="51" t="s">
        <v>1317</v>
      </c>
      <c r="C1705" s="51" t="s">
        <v>143</v>
      </c>
      <c r="D1705" s="51" t="s">
        <v>5239</v>
      </c>
      <c r="E1705" s="50">
        <v>2811</v>
      </c>
      <c r="F1705" s="50">
        <v>2686</v>
      </c>
      <c r="G1705" s="50" t="s">
        <v>3404</v>
      </c>
      <c r="H1705" s="50">
        <v>2025</v>
      </c>
      <c r="I1705" s="132">
        <v>45846</v>
      </c>
      <c r="J1705" s="50" t="s">
        <v>3126</v>
      </c>
      <c r="K1705" s="50" t="s">
        <v>29</v>
      </c>
      <c r="L1705" s="50" t="s">
        <v>2289</v>
      </c>
      <c r="M1705" s="50" t="s">
        <v>212</v>
      </c>
      <c r="N1705" s="50" t="s">
        <v>5240</v>
      </c>
      <c r="O1705" s="60">
        <v>45855</v>
      </c>
      <c r="P1705" s="60">
        <v>45855</v>
      </c>
      <c r="Q1705" s="60">
        <v>45855</v>
      </c>
      <c r="R1705" s="60">
        <v>45856</v>
      </c>
      <c r="S1705" s="50">
        <f t="shared" si="153"/>
        <v>7</v>
      </c>
      <c r="T1705" s="50">
        <f t="shared" si="155"/>
        <v>1</v>
      </c>
      <c r="U1705" s="50">
        <f t="shared" si="156"/>
        <v>1</v>
      </c>
      <c r="V1705" s="50">
        <f t="shared" si="154"/>
        <v>1</v>
      </c>
      <c r="W1705" s="50" t="s">
        <v>150</v>
      </c>
      <c r="X1705" s="50" t="s">
        <v>4</v>
      </c>
      <c r="Y1705" s="50" t="s">
        <v>50</v>
      </c>
      <c r="Z1705" s="50" t="s">
        <v>3406</v>
      </c>
      <c r="AA1705" s="50"/>
    </row>
    <row r="1706" spans="1:27" ht="25.5" customHeight="1">
      <c r="A1706" s="517" t="s">
        <v>2286</v>
      </c>
      <c r="B1706" s="51" t="s">
        <v>1317</v>
      </c>
      <c r="C1706" s="51" t="s">
        <v>143</v>
      </c>
      <c r="D1706" s="51" t="s">
        <v>5241</v>
      </c>
      <c r="E1706" s="50">
        <v>1301</v>
      </c>
      <c r="F1706" s="50">
        <v>2377</v>
      </c>
      <c r="G1706" s="50" t="s">
        <v>3955</v>
      </c>
      <c r="H1706" s="50"/>
      <c r="I1706" s="105"/>
      <c r="J1706" s="50"/>
      <c r="K1706" s="50" t="s">
        <v>29</v>
      </c>
      <c r="L1706" s="50" t="s">
        <v>2289</v>
      </c>
      <c r="M1706" s="50" t="s">
        <v>212</v>
      </c>
      <c r="N1706" s="50"/>
      <c r="O1706" s="50"/>
      <c r="P1706" s="50"/>
      <c r="Q1706" s="50"/>
      <c r="R1706" s="50"/>
      <c r="S1706" s="50" t="str">
        <f t="shared" si="153"/>
        <v/>
      </c>
      <c r="T1706" s="50" t="str">
        <f t="shared" si="155"/>
        <v/>
      </c>
      <c r="U1706" s="50" t="str">
        <f t="shared" si="156"/>
        <v/>
      </c>
      <c r="V1706" s="50" t="str">
        <f t="shared" si="154"/>
        <v/>
      </c>
      <c r="W1706" s="50"/>
      <c r="X1706" s="50"/>
      <c r="Y1706" s="50"/>
      <c r="Z1706" s="50"/>
      <c r="AA1706" s="50"/>
    </row>
    <row r="1707" spans="1:27" ht="25.5" customHeight="1">
      <c r="A1707" s="517" t="s">
        <v>2286</v>
      </c>
      <c r="B1707" s="51" t="s">
        <v>1317</v>
      </c>
      <c r="C1707" s="51" t="s">
        <v>143</v>
      </c>
      <c r="D1707" s="51" t="s">
        <v>5242</v>
      </c>
      <c r="E1707" s="50">
        <v>959</v>
      </c>
      <c r="F1707" s="50">
        <v>986</v>
      </c>
      <c r="G1707" s="50" t="s">
        <v>3955</v>
      </c>
      <c r="H1707" s="50"/>
      <c r="I1707" s="105"/>
      <c r="J1707" s="50"/>
      <c r="K1707" s="50" t="s">
        <v>29</v>
      </c>
      <c r="L1707" s="50" t="s">
        <v>2289</v>
      </c>
      <c r="M1707" s="50" t="s">
        <v>212</v>
      </c>
      <c r="N1707" s="50"/>
      <c r="O1707" s="50"/>
      <c r="P1707" s="50"/>
      <c r="Q1707" s="50"/>
      <c r="R1707" s="50"/>
      <c r="S1707" s="50" t="str">
        <f t="shared" si="153"/>
        <v/>
      </c>
      <c r="T1707" s="50" t="str">
        <f t="shared" si="155"/>
        <v/>
      </c>
      <c r="U1707" s="50" t="str">
        <f t="shared" si="156"/>
        <v/>
      </c>
      <c r="V1707" s="50" t="str">
        <f t="shared" si="154"/>
        <v/>
      </c>
      <c r="W1707" s="50"/>
      <c r="X1707" s="50"/>
      <c r="Y1707" s="50"/>
      <c r="Z1707" s="50"/>
      <c r="AA1707" s="50"/>
    </row>
    <row r="1708" spans="1:27" ht="25.5" customHeight="1">
      <c r="A1708" s="517" t="s">
        <v>2286</v>
      </c>
      <c r="B1708" s="51" t="s">
        <v>1331</v>
      </c>
      <c r="C1708" s="51" t="s">
        <v>143</v>
      </c>
      <c r="D1708" s="51" t="s">
        <v>5243</v>
      </c>
      <c r="E1708" s="50">
        <v>1781</v>
      </c>
      <c r="F1708" s="50">
        <v>2105</v>
      </c>
      <c r="G1708" s="50" t="s">
        <v>3955</v>
      </c>
      <c r="H1708" s="50"/>
      <c r="I1708" s="105"/>
      <c r="J1708" s="50"/>
      <c r="K1708" s="50" t="s">
        <v>224</v>
      </c>
      <c r="L1708" s="50" t="s">
        <v>2289</v>
      </c>
      <c r="M1708" s="50" t="s">
        <v>212</v>
      </c>
      <c r="N1708" s="50"/>
      <c r="O1708" s="50"/>
      <c r="P1708" s="50"/>
      <c r="Q1708" s="50"/>
      <c r="R1708" s="50"/>
      <c r="S1708" s="50" t="str">
        <f t="shared" si="153"/>
        <v/>
      </c>
      <c r="T1708" s="50" t="str">
        <f t="shared" si="155"/>
        <v/>
      </c>
      <c r="U1708" s="50" t="str">
        <f t="shared" si="156"/>
        <v/>
      </c>
      <c r="V1708" s="50" t="str">
        <f t="shared" si="154"/>
        <v/>
      </c>
      <c r="W1708" s="50"/>
      <c r="X1708" s="50"/>
      <c r="Y1708" s="50"/>
      <c r="Z1708" s="50"/>
      <c r="AA1708" s="50"/>
    </row>
    <row r="1709" spans="1:27" ht="25.5" customHeight="1">
      <c r="A1709" s="517" t="s">
        <v>2286</v>
      </c>
      <c r="B1709" s="51" t="s">
        <v>1331</v>
      </c>
      <c r="C1709" s="51" t="s">
        <v>143</v>
      </c>
      <c r="D1709" s="51" t="s">
        <v>4569</v>
      </c>
      <c r="E1709" s="50">
        <v>1965</v>
      </c>
      <c r="F1709" s="50">
        <v>2090</v>
      </c>
      <c r="G1709" s="50" t="s">
        <v>3955</v>
      </c>
      <c r="H1709" s="50"/>
      <c r="I1709" s="105"/>
      <c r="J1709" s="50"/>
      <c r="K1709" s="50" t="s">
        <v>224</v>
      </c>
      <c r="L1709" s="50" t="s">
        <v>2289</v>
      </c>
      <c r="M1709" s="50" t="s">
        <v>212</v>
      </c>
      <c r="N1709" s="50"/>
      <c r="O1709" s="50"/>
      <c r="P1709" s="50"/>
      <c r="Q1709" s="50"/>
      <c r="R1709" s="50"/>
      <c r="S1709" s="50" t="str">
        <f t="shared" si="153"/>
        <v/>
      </c>
      <c r="T1709" s="50" t="str">
        <f t="shared" si="155"/>
        <v/>
      </c>
      <c r="U1709" s="50" t="str">
        <f t="shared" si="156"/>
        <v/>
      </c>
      <c r="V1709" s="50" t="str">
        <f t="shared" si="154"/>
        <v/>
      </c>
      <c r="W1709" s="50"/>
      <c r="X1709" s="50"/>
      <c r="Y1709" s="50"/>
      <c r="Z1709" s="50"/>
      <c r="AA1709" s="50"/>
    </row>
    <row r="1710" spans="1:27" ht="25.5" customHeight="1">
      <c r="A1710" s="517" t="s">
        <v>2286</v>
      </c>
      <c r="B1710" s="51" t="s">
        <v>1331</v>
      </c>
      <c r="C1710" s="51" t="s">
        <v>143</v>
      </c>
      <c r="D1710" s="51" t="s">
        <v>1332</v>
      </c>
      <c r="E1710" s="50">
        <v>1691</v>
      </c>
      <c r="F1710" s="50">
        <v>1719</v>
      </c>
      <c r="G1710" s="50" t="s">
        <v>3404</v>
      </c>
      <c r="H1710" s="50">
        <v>2025</v>
      </c>
      <c r="I1710" s="132">
        <v>45693</v>
      </c>
      <c r="J1710" s="50" t="s">
        <v>3458</v>
      </c>
      <c r="K1710" s="50" t="s">
        <v>224</v>
      </c>
      <c r="L1710" s="50" t="s">
        <v>2289</v>
      </c>
      <c r="M1710" s="50" t="s">
        <v>212</v>
      </c>
      <c r="N1710" s="50" t="s">
        <v>5244</v>
      </c>
      <c r="O1710" s="60">
        <v>45694</v>
      </c>
      <c r="P1710" s="60">
        <v>45698</v>
      </c>
      <c r="Q1710" s="60">
        <v>45698</v>
      </c>
      <c r="R1710" s="60">
        <v>45699</v>
      </c>
      <c r="S1710" s="50">
        <f t="shared" si="153"/>
        <v>1</v>
      </c>
      <c r="T1710" s="50">
        <f t="shared" si="155"/>
        <v>2</v>
      </c>
      <c r="U1710" s="50">
        <f t="shared" si="156"/>
        <v>1</v>
      </c>
      <c r="V1710" s="50">
        <f t="shared" si="154"/>
        <v>1</v>
      </c>
      <c r="W1710" s="50" t="s">
        <v>150</v>
      </c>
      <c r="X1710" s="50" t="s">
        <v>1078</v>
      </c>
      <c r="Y1710" s="50" t="s">
        <v>50</v>
      </c>
      <c r="Z1710" s="50" t="s">
        <v>3406</v>
      </c>
      <c r="AA1710" s="50"/>
    </row>
    <row r="1711" spans="1:27" ht="25.5" customHeight="1">
      <c r="A1711" s="517" t="s">
        <v>2286</v>
      </c>
      <c r="B1711" s="51" t="s">
        <v>1331</v>
      </c>
      <c r="C1711" s="51" t="s">
        <v>143</v>
      </c>
      <c r="D1711" s="51" t="s">
        <v>5245</v>
      </c>
      <c r="E1711" s="50">
        <v>2612</v>
      </c>
      <c r="F1711" s="50">
        <v>2671</v>
      </c>
      <c r="G1711" s="50" t="s">
        <v>3404</v>
      </c>
      <c r="H1711" s="50">
        <v>2025</v>
      </c>
      <c r="I1711" s="132">
        <v>45790</v>
      </c>
      <c r="J1711" s="60" t="s">
        <v>3532</v>
      </c>
      <c r="K1711" s="50" t="s">
        <v>224</v>
      </c>
      <c r="L1711" s="50" t="s">
        <v>2289</v>
      </c>
      <c r="M1711" s="50" t="s">
        <v>212</v>
      </c>
      <c r="N1711" s="50" t="s">
        <v>5246</v>
      </c>
      <c r="O1711" s="60">
        <v>45792</v>
      </c>
      <c r="P1711" s="60">
        <v>45793</v>
      </c>
      <c r="Q1711" s="60">
        <v>45793</v>
      </c>
      <c r="R1711" s="60">
        <v>45796</v>
      </c>
      <c r="S1711" s="50">
        <f t="shared" si="153"/>
        <v>2</v>
      </c>
      <c r="T1711" s="50">
        <f t="shared" si="155"/>
        <v>1</v>
      </c>
      <c r="U1711" s="50">
        <f t="shared" si="156"/>
        <v>1</v>
      </c>
      <c r="V1711" s="50">
        <f t="shared" si="154"/>
        <v>1</v>
      </c>
      <c r="W1711" s="50" t="s">
        <v>150</v>
      </c>
      <c r="X1711" s="50" t="s">
        <v>1078</v>
      </c>
      <c r="Y1711" s="50" t="s">
        <v>50</v>
      </c>
      <c r="Z1711" s="50" t="s">
        <v>3406</v>
      </c>
      <c r="AA1711" s="50"/>
    </row>
    <row r="1712" spans="1:27" ht="25.5" customHeight="1">
      <c r="A1712" s="517" t="s">
        <v>2286</v>
      </c>
      <c r="B1712" s="51" t="s">
        <v>1331</v>
      </c>
      <c r="C1712" s="51" t="s">
        <v>143</v>
      </c>
      <c r="D1712" s="51" t="s">
        <v>5247</v>
      </c>
      <c r="E1712" s="50">
        <v>4003</v>
      </c>
      <c r="F1712" s="50">
        <v>3724</v>
      </c>
      <c r="G1712" s="50" t="s">
        <v>3404</v>
      </c>
      <c r="H1712" s="50">
        <v>2025</v>
      </c>
      <c r="I1712" s="132">
        <v>45769</v>
      </c>
      <c r="J1712" s="50" t="s">
        <v>3532</v>
      </c>
      <c r="K1712" s="50" t="s">
        <v>224</v>
      </c>
      <c r="L1712" s="50" t="s">
        <v>2289</v>
      </c>
      <c r="M1712" s="50" t="s">
        <v>212</v>
      </c>
      <c r="N1712" s="50" t="s">
        <v>5248</v>
      </c>
      <c r="O1712" s="60">
        <v>45773</v>
      </c>
      <c r="P1712" s="60">
        <v>45779</v>
      </c>
      <c r="Q1712" s="60">
        <v>45782</v>
      </c>
      <c r="R1712" s="60">
        <v>45791</v>
      </c>
      <c r="S1712" s="50">
        <f t="shared" si="153"/>
        <v>3</v>
      </c>
      <c r="T1712" s="50">
        <f t="shared" si="155"/>
        <v>4</v>
      </c>
      <c r="U1712" s="50">
        <f t="shared" si="156"/>
        <v>1</v>
      </c>
      <c r="V1712" s="50">
        <f t="shared" si="154"/>
        <v>7</v>
      </c>
      <c r="W1712" s="50" t="s">
        <v>150</v>
      </c>
      <c r="X1712" s="50" t="s">
        <v>1078</v>
      </c>
      <c r="Y1712" s="50" t="s">
        <v>50</v>
      </c>
      <c r="Z1712" s="50" t="s">
        <v>3406</v>
      </c>
      <c r="AA1712" s="50" t="s">
        <v>815</v>
      </c>
    </row>
    <row r="1713" spans="1:27" s="110" customFormat="1" ht="25.5" customHeight="1">
      <c r="A1713" s="517" t="s">
        <v>2286</v>
      </c>
      <c r="B1713" s="51" t="s">
        <v>1331</v>
      </c>
      <c r="C1713" s="51" t="s">
        <v>143</v>
      </c>
      <c r="D1713" s="51" t="s">
        <v>5249</v>
      </c>
      <c r="E1713" s="50">
        <v>6565</v>
      </c>
      <c r="F1713" s="50">
        <v>6555</v>
      </c>
      <c r="G1713" s="50" t="s">
        <v>3404</v>
      </c>
      <c r="H1713" s="50">
        <v>2025</v>
      </c>
      <c r="I1713" s="132">
        <v>45884</v>
      </c>
      <c r="J1713" s="50" t="s">
        <v>3126</v>
      </c>
      <c r="K1713" s="50" t="s">
        <v>224</v>
      </c>
      <c r="L1713" s="50" t="s">
        <v>2289</v>
      </c>
      <c r="M1713" s="50" t="s">
        <v>212</v>
      </c>
      <c r="N1713" s="50" t="s">
        <v>5250</v>
      </c>
      <c r="O1713" s="60">
        <v>45887</v>
      </c>
      <c r="P1713" s="60">
        <v>45888</v>
      </c>
      <c r="Q1713" s="60">
        <v>45888</v>
      </c>
      <c r="R1713" s="60">
        <v>45888</v>
      </c>
      <c r="S1713" s="50">
        <f t="shared" si="153"/>
        <v>1</v>
      </c>
      <c r="T1713" s="50">
        <f t="shared" si="155"/>
        <v>1</v>
      </c>
      <c r="U1713" s="50">
        <f t="shared" si="156"/>
        <v>1</v>
      </c>
      <c r="V1713" s="50">
        <f t="shared" si="154"/>
        <v>1</v>
      </c>
      <c r="W1713" s="50" t="s">
        <v>150</v>
      </c>
      <c r="X1713" s="50" t="s">
        <v>1078</v>
      </c>
      <c r="Y1713" s="50" t="s">
        <v>50</v>
      </c>
      <c r="Z1713" s="50" t="s">
        <v>3406</v>
      </c>
      <c r="AA1713" s="50"/>
    </row>
    <row r="1714" spans="1:27" ht="25.5" customHeight="1">
      <c r="A1714" s="517" t="s">
        <v>2286</v>
      </c>
      <c r="B1714" s="51" t="s">
        <v>1331</v>
      </c>
      <c r="C1714" s="51" t="s">
        <v>143</v>
      </c>
      <c r="D1714" s="51" t="s">
        <v>5251</v>
      </c>
      <c r="E1714" s="50">
        <v>2489</v>
      </c>
      <c r="F1714" s="50">
        <v>2740</v>
      </c>
      <c r="G1714" s="50" t="s">
        <v>3404</v>
      </c>
      <c r="H1714" s="50">
        <v>2024</v>
      </c>
      <c r="I1714" s="132">
        <v>45617</v>
      </c>
      <c r="J1714" s="50"/>
      <c r="K1714" s="50" t="s">
        <v>224</v>
      </c>
      <c r="L1714" s="50" t="s">
        <v>2289</v>
      </c>
      <c r="M1714" s="50" t="s">
        <v>212</v>
      </c>
      <c r="N1714" s="50"/>
      <c r="O1714" s="50"/>
      <c r="P1714" s="50"/>
      <c r="Q1714" s="50"/>
      <c r="R1714" s="50"/>
      <c r="S1714" s="50" t="str">
        <f t="shared" si="153"/>
        <v/>
      </c>
      <c r="T1714" s="50" t="str">
        <f t="shared" si="155"/>
        <v/>
      </c>
      <c r="U1714" s="50" t="str">
        <f t="shared" si="156"/>
        <v/>
      </c>
      <c r="V1714" s="50" t="str">
        <f t="shared" si="154"/>
        <v/>
      </c>
      <c r="W1714" s="50"/>
      <c r="X1714" s="50" t="s">
        <v>4</v>
      </c>
      <c r="Y1714" s="50" t="s">
        <v>50</v>
      </c>
      <c r="Z1714" s="50" t="s">
        <v>3406</v>
      </c>
      <c r="AA1714" s="50"/>
    </row>
    <row r="1715" spans="1:27" ht="25.5" customHeight="1">
      <c r="A1715" s="517" t="s">
        <v>2286</v>
      </c>
      <c r="B1715" s="51" t="s">
        <v>1331</v>
      </c>
      <c r="C1715" s="51" t="s">
        <v>143</v>
      </c>
      <c r="D1715" s="51" t="s">
        <v>4535</v>
      </c>
      <c r="E1715" s="50">
        <v>4724</v>
      </c>
      <c r="F1715" s="50">
        <v>4924</v>
      </c>
      <c r="G1715" s="50" t="s">
        <v>3955</v>
      </c>
      <c r="H1715" s="50"/>
      <c r="I1715" s="105"/>
      <c r="J1715" s="50"/>
      <c r="K1715" s="50" t="s">
        <v>224</v>
      </c>
      <c r="L1715" s="50" t="s">
        <v>2289</v>
      </c>
      <c r="M1715" s="50" t="s">
        <v>212</v>
      </c>
      <c r="N1715" s="50"/>
      <c r="O1715" s="50"/>
      <c r="P1715" s="50"/>
      <c r="Q1715" s="50"/>
      <c r="R1715" s="50"/>
      <c r="S1715" s="50" t="str">
        <f t="shared" si="153"/>
        <v/>
      </c>
      <c r="T1715" s="50" t="str">
        <f t="shared" si="155"/>
        <v/>
      </c>
      <c r="U1715" s="50" t="str">
        <f t="shared" si="156"/>
        <v/>
      </c>
      <c r="V1715" s="50" t="str">
        <f t="shared" si="154"/>
        <v/>
      </c>
      <c r="W1715" s="50"/>
      <c r="X1715" s="50"/>
      <c r="Y1715" s="50"/>
      <c r="Z1715" s="50"/>
      <c r="AA1715" s="50"/>
    </row>
    <row r="1716" spans="1:27" ht="25.5" customHeight="1">
      <c r="A1716" s="517" t="s">
        <v>2286</v>
      </c>
      <c r="B1716" s="51" t="s">
        <v>1331</v>
      </c>
      <c r="C1716" s="51" t="s">
        <v>143</v>
      </c>
      <c r="D1716" s="51" t="s">
        <v>5252</v>
      </c>
      <c r="E1716" s="50">
        <v>1585</v>
      </c>
      <c r="F1716" s="50">
        <v>1651</v>
      </c>
      <c r="G1716" s="50" t="s">
        <v>3955</v>
      </c>
      <c r="H1716" s="50"/>
      <c r="I1716" s="105"/>
      <c r="J1716" s="50"/>
      <c r="K1716" s="50" t="s">
        <v>224</v>
      </c>
      <c r="L1716" s="50" t="s">
        <v>2289</v>
      </c>
      <c r="M1716" s="50" t="s">
        <v>212</v>
      </c>
      <c r="N1716" s="50"/>
      <c r="O1716" s="50"/>
      <c r="P1716" s="50"/>
      <c r="Q1716" s="50"/>
      <c r="R1716" s="50"/>
      <c r="S1716" s="50" t="str">
        <f t="shared" si="153"/>
        <v/>
      </c>
      <c r="T1716" s="50" t="str">
        <f t="shared" si="155"/>
        <v/>
      </c>
      <c r="U1716" s="50" t="str">
        <f t="shared" si="156"/>
        <v/>
      </c>
      <c r="V1716" s="50" t="str">
        <f t="shared" si="154"/>
        <v/>
      </c>
      <c r="W1716" s="50"/>
      <c r="X1716" s="50"/>
      <c r="Y1716" s="50"/>
      <c r="Z1716" s="50"/>
      <c r="AA1716" s="50"/>
    </row>
    <row r="1717" spans="1:27" ht="25.5" customHeight="1">
      <c r="A1717" s="517" t="s">
        <v>2286</v>
      </c>
      <c r="B1717" s="51" t="s">
        <v>1331</v>
      </c>
      <c r="C1717" s="51" t="s">
        <v>143</v>
      </c>
      <c r="D1717" s="51" t="s">
        <v>5253</v>
      </c>
      <c r="E1717" s="50">
        <v>1914</v>
      </c>
      <c r="F1717" s="50">
        <v>2029</v>
      </c>
      <c r="G1717" s="50" t="s">
        <v>3404</v>
      </c>
      <c r="H1717" s="50">
        <v>2025</v>
      </c>
      <c r="I1717" s="60">
        <v>45672</v>
      </c>
      <c r="J1717" s="50" t="s">
        <v>3424</v>
      </c>
      <c r="K1717" s="50" t="s">
        <v>224</v>
      </c>
      <c r="L1717" s="50" t="s">
        <v>2289</v>
      </c>
      <c r="M1717" s="50" t="s">
        <v>212</v>
      </c>
      <c r="N1717" s="50" t="s">
        <v>5254</v>
      </c>
      <c r="O1717" s="60">
        <v>45672</v>
      </c>
      <c r="P1717" s="60">
        <v>45673</v>
      </c>
      <c r="Q1717" s="60">
        <v>45678</v>
      </c>
      <c r="R1717" s="60">
        <v>45679</v>
      </c>
      <c r="S1717" s="50">
        <f t="shared" si="153"/>
        <v>1</v>
      </c>
      <c r="T1717" s="50">
        <f t="shared" si="155"/>
        <v>1</v>
      </c>
      <c r="U1717" s="50">
        <f t="shared" si="156"/>
        <v>3</v>
      </c>
      <c r="V1717" s="50">
        <f t="shared" si="154"/>
        <v>1</v>
      </c>
      <c r="W1717" s="50" t="s">
        <v>150</v>
      </c>
      <c r="X1717" s="50" t="s">
        <v>1078</v>
      </c>
      <c r="Y1717" s="50" t="s">
        <v>50</v>
      </c>
      <c r="Z1717" s="50" t="s">
        <v>3406</v>
      </c>
      <c r="AA1717" s="50" t="s">
        <v>815</v>
      </c>
    </row>
    <row r="1718" spans="1:27" ht="25.5" customHeight="1">
      <c r="A1718" s="517" t="s">
        <v>2286</v>
      </c>
      <c r="B1718" s="51" t="s">
        <v>1331</v>
      </c>
      <c r="C1718" s="51" t="s">
        <v>143</v>
      </c>
      <c r="D1718" s="51" t="s">
        <v>5255</v>
      </c>
      <c r="E1718" s="50">
        <v>1083</v>
      </c>
      <c r="F1718" s="50">
        <v>1110</v>
      </c>
      <c r="G1718" s="50" t="s">
        <v>3955</v>
      </c>
      <c r="H1718" s="50"/>
      <c r="I1718" s="105"/>
      <c r="J1718" s="50"/>
      <c r="K1718" s="50" t="s">
        <v>224</v>
      </c>
      <c r="L1718" s="50" t="s">
        <v>2289</v>
      </c>
      <c r="M1718" s="50" t="s">
        <v>212</v>
      </c>
      <c r="N1718" s="50"/>
      <c r="O1718" s="50"/>
      <c r="P1718" s="50"/>
      <c r="Q1718" s="50"/>
      <c r="R1718" s="50"/>
      <c r="S1718" s="50" t="str">
        <f t="shared" si="153"/>
        <v/>
      </c>
      <c r="T1718" s="50" t="str">
        <f t="shared" si="155"/>
        <v/>
      </c>
      <c r="U1718" s="50" t="str">
        <f t="shared" si="156"/>
        <v/>
      </c>
      <c r="V1718" s="50" t="str">
        <f t="shared" si="154"/>
        <v/>
      </c>
      <c r="W1718" s="50"/>
      <c r="X1718" s="50"/>
      <c r="Y1718" s="50"/>
      <c r="Z1718" s="50"/>
      <c r="AA1718" s="50"/>
    </row>
    <row r="1719" spans="1:27" ht="25.5" customHeight="1">
      <c r="A1719" s="517" t="s">
        <v>2286</v>
      </c>
      <c r="B1719" s="51" t="s">
        <v>1331</v>
      </c>
      <c r="C1719" s="51" t="s">
        <v>143</v>
      </c>
      <c r="D1719" s="51" t="s">
        <v>4484</v>
      </c>
      <c r="E1719" s="50">
        <v>1678</v>
      </c>
      <c r="F1719" s="50">
        <v>1872</v>
      </c>
      <c r="G1719" s="50" t="s">
        <v>3404</v>
      </c>
      <c r="H1719" s="50">
        <v>2025</v>
      </c>
      <c r="I1719" s="132">
        <v>45687</v>
      </c>
      <c r="J1719" s="50" t="s">
        <v>3458</v>
      </c>
      <c r="K1719" s="50" t="s">
        <v>224</v>
      </c>
      <c r="L1719" s="50" t="s">
        <v>2289</v>
      </c>
      <c r="M1719" s="50" t="s">
        <v>212</v>
      </c>
      <c r="N1719" s="50" t="s">
        <v>5256</v>
      </c>
      <c r="O1719" s="60">
        <v>45688</v>
      </c>
      <c r="P1719" s="60">
        <v>45691</v>
      </c>
      <c r="Q1719" s="60">
        <v>45691</v>
      </c>
      <c r="R1719" s="60">
        <v>45691</v>
      </c>
      <c r="S1719" s="50">
        <f t="shared" si="153"/>
        <v>1</v>
      </c>
      <c r="T1719" s="50">
        <f t="shared" si="155"/>
        <v>1</v>
      </c>
      <c r="U1719" s="50">
        <f t="shared" si="156"/>
        <v>1</v>
      </c>
      <c r="V1719" s="50">
        <f t="shared" si="154"/>
        <v>1</v>
      </c>
      <c r="W1719" s="50" t="s">
        <v>150</v>
      </c>
      <c r="X1719" s="50" t="s">
        <v>1078</v>
      </c>
      <c r="Y1719" s="50" t="s">
        <v>50</v>
      </c>
      <c r="Z1719" s="50" t="s">
        <v>3406</v>
      </c>
      <c r="AA1719" s="50" t="s">
        <v>815</v>
      </c>
    </row>
    <row r="1720" spans="1:27" s="110" customFormat="1" ht="25.5" customHeight="1">
      <c r="A1720" s="517" t="s">
        <v>2286</v>
      </c>
      <c r="B1720" s="51" t="s">
        <v>1331</v>
      </c>
      <c r="C1720" s="51" t="s">
        <v>143</v>
      </c>
      <c r="D1720" s="51" t="s">
        <v>5257</v>
      </c>
      <c r="E1720" s="50">
        <v>2298</v>
      </c>
      <c r="F1720" s="50">
        <v>2477</v>
      </c>
      <c r="G1720" s="50" t="s">
        <v>3955</v>
      </c>
      <c r="H1720" s="50"/>
      <c r="I1720" s="105"/>
      <c r="J1720" s="50"/>
      <c r="K1720" s="50" t="s">
        <v>224</v>
      </c>
      <c r="L1720" s="50" t="s">
        <v>2289</v>
      </c>
      <c r="M1720" s="50" t="s">
        <v>212</v>
      </c>
      <c r="N1720" s="50"/>
      <c r="O1720" s="50"/>
      <c r="P1720" s="50"/>
      <c r="Q1720" s="50"/>
      <c r="R1720" s="50"/>
      <c r="S1720" s="50" t="str">
        <f t="shared" si="153"/>
        <v/>
      </c>
      <c r="T1720" s="50" t="str">
        <f t="shared" si="155"/>
        <v/>
      </c>
      <c r="U1720" s="50" t="str">
        <f t="shared" si="156"/>
        <v/>
      </c>
      <c r="V1720" s="50" t="str">
        <f t="shared" si="154"/>
        <v/>
      </c>
      <c r="W1720" s="50"/>
      <c r="X1720" s="50"/>
      <c r="Y1720" s="50"/>
      <c r="Z1720" s="50"/>
      <c r="AA1720" s="50"/>
    </row>
    <row r="1721" spans="1:27" ht="25.5" customHeight="1">
      <c r="A1721" s="517" t="s">
        <v>2286</v>
      </c>
      <c r="B1721" s="51" t="s">
        <v>1331</v>
      </c>
      <c r="C1721" s="51" t="s">
        <v>143</v>
      </c>
      <c r="D1721" s="51" t="s">
        <v>5258</v>
      </c>
      <c r="E1721" s="50">
        <v>1613</v>
      </c>
      <c r="F1721" s="50">
        <v>1697</v>
      </c>
      <c r="G1721" s="50" t="s">
        <v>3955</v>
      </c>
      <c r="H1721" s="50"/>
      <c r="I1721" s="105"/>
      <c r="J1721" s="50"/>
      <c r="K1721" s="50" t="s">
        <v>224</v>
      </c>
      <c r="L1721" s="50" t="s">
        <v>2289</v>
      </c>
      <c r="M1721" s="50" t="s">
        <v>212</v>
      </c>
      <c r="N1721" s="50"/>
      <c r="O1721" s="50"/>
      <c r="P1721" s="50"/>
      <c r="Q1721" s="50"/>
      <c r="R1721" s="50"/>
      <c r="S1721" s="50" t="str">
        <f t="shared" si="153"/>
        <v/>
      </c>
      <c r="T1721" s="50" t="str">
        <f t="shared" si="155"/>
        <v/>
      </c>
      <c r="U1721" s="50" t="str">
        <f t="shared" si="156"/>
        <v/>
      </c>
      <c r="V1721" s="50" t="str">
        <f t="shared" si="154"/>
        <v/>
      </c>
      <c r="W1721" s="50"/>
      <c r="X1721" s="50"/>
      <c r="Y1721" s="50"/>
      <c r="Z1721" s="50"/>
      <c r="AA1721" s="50"/>
    </row>
    <row r="1722" spans="1:27" ht="25.5" customHeight="1">
      <c r="A1722" s="517" t="s">
        <v>2286</v>
      </c>
      <c r="B1722" s="51" t="s">
        <v>1331</v>
      </c>
      <c r="C1722" s="51" t="s">
        <v>143</v>
      </c>
      <c r="D1722" s="51" t="s">
        <v>5259</v>
      </c>
      <c r="E1722" s="50">
        <v>792</v>
      </c>
      <c r="F1722" s="50">
        <v>816</v>
      </c>
      <c r="G1722" s="50" t="s">
        <v>3955</v>
      </c>
      <c r="H1722" s="50"/>
      <c r="I1722" s="105"/>
      <c r="J1722" s="50"/>
      <c r="K1722" s="50" t="s">
        <v>224</v>
      </c>
      <c r="L1722" s="50" t="s">
        <v>2289</v>
      </c>
      <c r="M1722" s="50" t="s">
        <v>212</v>
      </c>
      <c r="N1722" s="50"/>
      <c r="O1722" s="50"/>
      <c r="P1722" s="50"/>
      <c r="Q1722" s="50"/>
      <c r="R1722" s="50"/>
      <c r="S1722" s="50" t="str">
        <f t="shared" si="153"/>
        <v/>
      </c>
      <c r="T1722" s="50" t="str">
        <f t="shared" si="155"/>
        <v/>
      </c>
      <c r="U1722" s="50" t="str">
        <f t="shared" si="156"/>
        <v/>
      </c>
      <c r="V1722" s="50" t="str">
        <f t="shared" si="154"/>
        <v/>
      </c>
      <c r="W1722" s="50"/>
      <c r="X1722" s="50"/>
      <c r="Y1722" s="50"/>
      <c r="Z1722" s="50"/>
      <c r="AA1722" s="50"/>
    </row>
    <row r="1723" spans="1:27" ht="25.5" customHeight="1">
      <c r="A1723" s="517" t="s">
        <v>2286</v>
      </c>
      <c r="B1723" s="51" t="s">
        <v>1331</v>
      </c>
      <c r="C1723" s="51" t="s">
        <v>143</v>
      </c>
      <c r="D1723" s="51" t="s">
        <v>5260</v>
      </c>
      <c r="E1723" s="50">
        <v>5208</v>
      </c>
      <c r="F1723" s="50">
        <v>5013</v>
      </c>
      <c r="G1723" s="50" t="s">
        <v>3404</v>
      </c>
      <c r="H1723" s="50">
        <v>2024</v>
      </c>
      <c r="I1723" s="132">
        <v>45519</v>
      </c>
      <c r="J1723" s="50"/>
      <c r="K1723" s="50" t="s">
        <v>224</v>
      </c>
      <c r="L1723" s="50" t="s">
        <v>2289</v>
      </c>
      <c r="M1723" s="50" t="s">
        <v>212</v>
      </c>
      <c r="N1723" s="50"/>
      <c r="O1723" s="50"/>
      <c r="P1723" s="50"/>
      <c r="Q1723" s="50"/>
      <c r="R1723" s="50"/>
      <c r="S1723" s="50" t="str">
        <f t="shared" si="153"/>
        <v/>
      </c>
      <c r="T1723" s="50" t="str">
        <f t="shared" si="155"/>
        <v/>
      </c>
      <c r="U1723" s="50" t="str">
        <f t="shared" si="156"/>
        <v/>
      </c>
      <c r="V1723" s="50" t="str">
        <f t="shared" si="154"/>
        <v/>
      </c>
      <c r="W1723" s="50"/>
      <c r="X1723" s="50" t="s">
        <v>4</v>
      </c>
      <c r="Y1723" s="50" t="s">
        <v>50</v>
      </c>
      <c r="Z1723" s="50" t="s">
        <v>3406</v>
      </c>
      <c r="AA1723" s="50"/>
    </row>
    <row r="1724" spans="1:27" s="110" customFormat="1" ht="25.5" customHeight="1">
      <c r="A1724" s="517" t="s">
        <v>2286</v>
      </c>
      <c r="B1724" s="51" t="s">
        <v>1331</v>
      </c>
      <c r="C1724" s="51" t="s">
        <v>143</v>
      </c>
      <c r="D1724" s="51" t="s">
        <v>5261</v>
      </c>
      <c r="E1724" s="50">
        <v>1971</v>
      </c>
      <c r="F1724" s="50">
        <v>2152</v>
      </c>
      <c r="G1724" s="50" t="s">
        <v>3404</v>
      </c>
      <c r="H1724" s="50">
        <v>2025</v>
      </c>
      <c r="I1724" s="132">
        <v>45687</v>
      </c>
      <c r="J1724" s="50" t="s">
        <v>3458</v>
      </c>
      <c r="K1724" s="50" t="s">
        <v>224</v>
      </c>
      <c r="L1724" s="50" t="s">
        <v>2289</v>
      </c>
      <c r="M1724" s="50" t="s">
        <v>212</v>
      </c>
      <c r="N1724" s="50" t="s">
        <v>5262</v>
      </c>
      <c r="O1724" s="60">
        <v>45688</v>
      </c>
      <c r="P1724" s="60">
        <v>45691</v>
      </c>
      <c r="Q1724" s="60">
        <v>45691</v>
      </c>
      <c r="R1724" s="60">
        <v>45691</v>
      </c>
      <c r="S1724" s="50">
        <f t="shared" si="153"/>
        <v>1</v>
      </c>
      <c r="T1724" s="50">
        <f t="shared" si="155"/>
        <v>1</v>
      </c>
      <c r="U1724" s="50">
        <f t="shared" si="156"/>
        <v>1</v>
      </c>
      <c r="V1724" s="50">
        <f t="shared" si="154"/>
        <v>1</v>
      </c>
      <c r="W1724" s="50" t="s">
        <v>150</v>
      </c>
      <c r="X1724" s="50" t="s">
        <v>1078</v>
      </c>
      <c r="Y1724" s="50" t="s">
        <v>50</v>
      </c>
      <c r="Z1724" s="50" t="s">
        <v>3406</v>
      </c>
      <c r="AA1724" s="50" t="s">
        <v>815</v>
      </c>
    </row>
    <row r="1725" spans="1:27" ht="25.5" customHeight="1">
      <c r="A1725" s="517" t="s">
        <v>2286</v>
      </c>
      <c r="B1725" s="51" t="s">
        <v>1331</v>
      </c>
      <c r="C1725" s="51" t="s">
        <v>143</v>
      </c>
      <c r="D1725" s="51" t="s">
        <v>5263</v>
      </c>
      <c r="E1725" s="50">
        <v>1713</v>
      </c>
      <c r="F1725" s="50">
        <v>1746</v>
      </c>
      <c r="G1725" s="50" t="s">
        <v>3955</v>
      </c>
      <c r="H1725" s="50"/>
      <c r="I1725" s="105"/>
      <c r="J1725" s="50"/>
      <c r="K1725" s="50" t="s">
        <v>224</v>
      </c>
      <c r="L1725" s="50" t="s">
        <v>2289</v>
      </c>
      <c r="M1725" s="50" t="s">
        <v>212</v>
      </c>
      <c r="N1725" s="50"/>
      <c r="O1725" s="50"/>
      <c r="P1725" s="50"/>
      <c r="Q1725" s="50"/>
      <c r="R1725" s="50"/>
      <c r="S1725" s="50" t="str">
        <f t="shared" si="153"/>
        <v/>
      </c>
      <c r="T1725" s="50" t="str">
        <f t="shared" si="155"/>
        <v/>
      </c>
      <c r="U1725" s="50" t="str">
        <f t="shared" si="156"/>
        <v/>
      </c>
      <c r="V1725" s="50" t="str">
        <f t="shared" si="154"/>
        <v/>
      </c>
      <c r="W1725" s="50"/>
      <c r="X1725" s="50"/>
      <c r="Y1725" s="50"/>
      <c r="Z1725" s="50"/>
      <c r="AA1725" s="50"/>
    </row>
    <row r="1726" spans="1:27" ht="25.5" customHeight="1">
      <c r="A1726" s="517" t="s">
        <v>2286</v>
      </c>
      <c r="B1726" s="51" t="s">
        <v>1331</v>
      </c>
      <c r="C1726" s="51" t="s">
        <v>143</v>
      </c>
      <c r="D1726" s="51" t="s">
        <v>5264</v>
      </c>
      <c r="E1726" s="50">
        <v>953</v>
      </c>
      <c r="F1726" s="50">
        <v>904</v>
      </c>
      <c r="G1726" s="50" t="s">
        <v>3955</v>
      </c>
      <c r="H1726" s="50"/>
      <c r="I1726" s="105"/>
      <c r="J1726" s="50"/>
      <c r="K1726" s="50" t="s">
        <v>224</v>
      </c>
      <c r="L1726" s="50" t="s">
        <v>2289</v>
      </c>
      <c r="M1726" s="50" t="s">
        <v>212</v>
      </c>
      <c r="N1726" s="50"/>
      <c r="O1726" s="50"/>
      <c r="P1726" s="50"/>
      <c r="Q1726" s="50"/>
      <c r="R1726" s="50"/>
      <c r="S1726" s="50" t="str">
        <f t="shared" si="153"/>
        <v/>
      </c>
      <c r="T1726" s="50" t="str">
        <f t="shared" si="155"/>
        <v/>
      </c>
      <c r="U1726" s="50" t="str">
        <f t="shared" si="156"/>
        <v/>
      </c>
      <c r="V1726" s="50" t="str">
        <f t="shared" si="154"/>
        <v/>
      </c>
      <c r="W1726" s="50"/>
      <c r="X1726" s="50"/>
      <c r="Y1726" s="50"/>
      <c r="Z1726" s="50"/>
      <c r="AA1726" s="50"/>
    </row>
    <row r="1727" spans="1:27" ht="25.5" customHeight="1">
      <c r="A1727" s="517" t="s">
        <v>2286</v>
      </c>
      <c r="B1727" s="51" t="s">
        <v>1331</v>
      </c>
      <c r="C1727" s="51" t="s">
        <v>143</v>
      </c>
      <c r="D1727" s="51" t="s">
        <v>5265</v>
      </c>
      <c r="E1727" s="50">
        <v>1822</v>
      </c>
      <c r="F1727" s="50">
        <v>1960</v>
      </c>
      <c r="G1727" s="50" t="s">
        <v>3404</v>
      </c>
      <c r="H1727" s="50">
        <v>2025</v>
      </c>
      <c r="I1727" s="132">
        <v>45846</v>
      </c>
      <c r="J1727" s="50" t="s">
        <v>3125</v>
      </c>
      <c r="K1727" s="50" t="s">
        <v>224</v>
      </c>
      <c r="L1727" s="50" t="s">
        <v>2289</v>
      </c>
      <c r="M1727" s="50" t="s">
        <v>212</v>
      </c>
      <c r="N1727" s="50" t="s">
        <v>5266</v>
      </c>
      <c r="O1727" s="60">
        <v>45850</v>
      </c>
      <c r="P1727" s="60">
        <v>45852</v>
      </c>
      <c r="Q1727" s="60">
        <v>45852</v>
      </c>
      <c r="R1727" s="60">
        <v>45854</v>
      </c>
      <c r="S1727" s="50">
        <f t="shared" si="153"/>
        <v>3</v>
      </c>
      <c r="T1727" s="50">
        <f t="shared" si="155"/>
        <v>1</v>
      </c>
      <c r="U1727" s="50">
        <f t="shared" si="156"/>
        <v>1</v>
      </c>
      <c r="V1727" s="50">
        <f t="shared" si="154"/>
        <v>2</v>
      </c>
      <c r="W1727" s="50" t="s">
        <v>150</v>
      </c>
      <c r="X1727" s="50" t="s">
        <v>1078</v>
      </c>
      <c r="Y1727" s="50" t="s">
        <v>50</v>
      </c>
      <c r="Z1727" s="50" t="s">
        <v>3406</v>
      </c>
      <c r="AA1727" s="50"/>
    </row>
    <row r="1728" spans="1:27" ht="25.5" customHeight="1">
      <c r="A1728" s="517" t="s">
        <v>2286</v>
      </c>
      <c r="B1728" s="51" t="s">
        <v>1331</v>
      </c>
      <c r="C1728" s="51" t="s">
        <v>143</v>
      </c>
      <c r="D1728" s="51" t="s">
        <v>5267</v>
      </c>
      <c r="E1728" s="50">
        <v>1445</v>
      </c>
      <c r="F1728" s="50">
        <v>1536</v>
      </c>
      <c r="G1728" s="50" t="s">
        <v>3404</v>
      </c>
      <c r="H1728" s="50">
        <v>2024</v>
      </c>
      <c r="I1728" s="132">
        <v>45618</v>
      </c>
      <c r="J1728" s="50"/>
      <c r="K1728" s="50" t="s">
        <v>224</v>
      </c>
      <c r="L1728" s="50" t="s">
        <v>2289</v>
      </c>
      <c r="M1728" s="50" t="s">
        <v>212</v>
      </c>
      <c r="N1728" s="50"/>
      <c r="O1728" s="50"/>
      <c r="P1728" s="50"/>
      <c r="Q1728" s="50"/>
      <c r="R1728" s="50"/>
      <c r="S1728" s="50" t="str">
        <f t="shared" si="153"/>
        <v/>
      </c>
      <c r="T1728" s="50" t="str">
        <f t="shared" si="155"/>
        <v/>
      </c>
      <c r="U1728" s="50" t="str">
        <f t="shared" si="156"/>
        <v/>
      </c>
      <c r="V1728" s="50" t="str">
        <f t="shared" si="154"/>
        <v/>
      </c>
      <c r="W1728" s="50"/>
      <c r="X1728" s="50" t="s">
        <v>4</v>
      </c>
      <c r="Y1728" s="50" t="s">
        <v>50</v>
      </c>
      <c r="Z1728" s="50" t="s">
        <v>3406</v>
      </c>
      <c r="AA1728" s="50"/>
    </row>
    <row r="1729" spans="1:27" ht="25.5" customHeight="1">
      <c r="A1729" s="517" t="s">
        <v>2286</v>
      </c>
      <c r="B1729" s="51" t="s">
        <v>1331</v>
      </c>
      <c r="C1729" s="51" t="s">
        <v>143</v>
      </c>
      <c r="D1729" s="51" t="s">
        <v>5268</v>
      </c>
      <c r="E1729" s="50">
        <v>1657</v>
      </c>
      <c r="F1729" s="50">
        <v>1653</v>
      </c>
      <c r="G1729" s="50" t="s">
        <v>3404</v>
      </c>
      <c r="H1729" s="50">
        <v>2025</v>
      </c>
      <c r="I1729" s="132">
        <v>45924</v>
      </c>
      <c r="J1729" s="50" t="s">
        <v>3128</v>
      </c>
      <c r="K1729" s="50" t="s">
        <v>224</v>
      </c>
      <c r="L1729" s="50" t="s">
        <v>2289</v>
      </c>
      <c r="M1729" s="50" t="s">
        <v>212</v>
      </c>
      <c r="N1729" s="50" t="s">
        <v>5269</v>
      </c>
      <c r="O1729" s="60">
        <v>45925</v>
      </c>
      <c r="P1729" s="60">
        <v>45929</v>
      </c>
      <c r="Q1729" s="60">
        <v>45929</v>
      </c>
      <c r="R1729" s="60">
        <v>45929</v>
      </c>
      <c r="S1729" s="50">
        <f t="shared" si="153"/>
        <v>1</v>
      </c>
      <c r="T1729" s="50">
        <f t="shared" si="155"/>
        <v>2</v>
      </c>
      <c r="U1729" s="50">
        <f t="shared" si="156"/>
        <v>1</v>
      </c>
      <c r="V1729" s="50">
        <f t="shared" si="154"/>
        <v>1</v>
      </c>
      <c r="W1729" s="50" t="s">
        <v>150</v>
      </c>
      <c r="X1729" s="50" t="s">
        <v>1078</v>
      </c>
      <c r="Y1729" s="50" t="s">
        <v>50</v>
      </c>
      <c r="Z1729" s="50" t="s">
        <v>3406</v>
      </c>
      <c r="AA1729" s="50"/>
    </row>
    <row r="1730" spans="1:27" s="110" customFormat="1" ht="25.5" customHeight="1">
      <c r="A1730" s="517" t="s">
        <v>2286</v>
      </c>
      <c r="B1730" s="51" t="s">
        <v>1331</v>
      </c>
      <c r="C1730" s="51" t="s">
        <v>143</v>
      </c>
      <c r="D1730" s="51" t="s">
        <v>5270</v>
      </c>
      <c r="E1730" s="50">
        <v>1210</v>
      </c>
      <c r="F1730" s="50">
        <v>1302</v>
      </c>
      <c r="G1730" s="50" t="s">
        <v>3404</v>
      </c>
      <c r="H1730" s="50">
        <v>2025</v>
      </c>
      <c r="I1730" s="132">
        <v>45755</v>
      </c>
      <c r="J1730" s="50" t="s">
        <v>3470</v>
      </c>
      <c r="K1730" s="50" t="s">
        <v>224</v>
      </c>
      <c r="L1730" s="50" t="s">
        <v>2289</v>
      </c>
      <c r="M1730" s="50" t="s">
        <v>212</v>
      </c>
      <c r="N1730" s="50" t="s">
        <v>5271</v>
      </c>
      <c r="O1730" s="60">
        <v>45756</v>
      </c>
      <c r="P1730" s="60">
        <v>45757</v>
      </c>
      <c r="Q1730" s="60">
        <v>45757</v>
      </c>
      <c r="R1730" s="60">
        <v>45757</v>
      </c>
      <c r="S1730" s="50">
        <f t="shared" si="153"/>
        <v>1</v>
      </c>
      <c r="T1730" s="50">
        <f t="shared" si="155"/>
        <v>1</v>
      </c>
      <c r="U1730" s="50">
        <f t="shared" si="156"/>
        <v>1</v>
      </c>
      <c r="V1730" s="50">
        <f t="shared" si="154"/>
        <v>1</v>
      </c>
      <c r="W1730" s="50" t="s">
        <v>150</v>
      </c>
      <c r="X1730" s="50" t="s">
        <v>1078</v>
      </c>
      <c r="Y1730" s="50" t="s">
        <v>50</v>
      </c>
      <c r="Z1730" s="50" t="s">
        <v>3406</v>
      </c>
      <c r="AA1730" s="50"/>
    </row>
    <row r="1731" spans="1:27" ht="25.5" customHeight="1">
      <c r="A1731" s="517" t="s">
        <v>2286</v>
      </c>
      <c r="B1731" s="51" t="s">
        <v>1331</v>
      </c>
      <c r="C1731" s="51" t="s">
        <v>143</v>
      </c>
      <c r="D1731" s="51" t="s">
        <v>5272</v>
      </c>
      <c r="E1731" s="50">
        <v>3202</v>
      </c>
      <c r="F1731" s="50">
        <v>3563</v>
      </c>
      <c r="G1731" s="50" t="s">
        <v>3955</v>
      </c>
      <c r="H1731" s="50"/>
      <c r="I1731" s="105"/>
      <c r="J1731" s="50"/>
      <c r="K1731" s="50" t="s">
        <v>224</v>
      </c>
      <c r="L1731" s="50" t="s">
        <v>2289</v>
      </c>
      <c r="M1731" s="50" t="s">
        <v>212</v>
      </c>
      <c r="N1731" s="50"/>
      <c r="O1731" s="50"/>
      <c r="P1731" s="50"/>
      <c r="Q1731" s="50"/>
      <c r="R1731" s="50"/>
      <c r="S1731" s="50" t="str">
        <f t="shared" si="153"/>
        <v/>
      </c>
      <c r="T1731" s="50" t="str">
        <f t="shared" si="155"/>
        <v/>
      </c>
      <c r="U1731" s="50" t="str">
        <f t="shared" si="156"/>
        <v/>
      </c>
      <c r="V1731" s="50" t="str">
        <f t="shared" si="154"/>
        <v/>
      </c>
      <c r="W1731" s="50"/>
      <c r="X1731" s="50"/>
      <c r="Y1731" s="50"/>
      <c r="Z1731" s="50"/>
      <c r="AA1731" s="50"/>
    </row>
    <row r="1732" spans="1:27" ht="25.5" customHeight="1">
      <c r="A1732" s="517" t="s">
        <v>2286</v>
      </c>
      <c r="B1732" s="51" t="s">
        <v>1331</v>
      </c>
      <c r="C1732" s="51" t="s">
        <v>143</v>
      </c>
      <c r="D1732" s="51" t="s">
        <v>5273</v>
      </c>
      <c r="E1732" s="50">
        <v>1473</v>
      </c>
      <c r="F1732" s="50">
        <v>1535</v>
      </c>
      <c r="G1732" s="50" t="s">
        <v>3955</v>
      </c>
      <c r="H1732" s="50"/>
      <c r="I1732" s="105"/>
      <c r="J1732" s="50"/>
      <c r="K1732" s="50" t="s">
        <v>224</v>
      </c>
      <c r="L1732" s="50" t="s">
        <v>2289</v>
      </c>
      <c r="M1732" s="50" t="s">
        <v>212</v>
      </c>
      <c r="N1732" s="50"/>
      <c r="O1732" s="50"/>
      <c r="P1732" s="50"/>
      <c r="Q1732" s="50"/>
      <c r="R1732" s="50"/>
      <c r="S1732" s="50" t="str">
        <f t="shared" si="153"/>
        <v/>
      </c>
      <c r="T1732" s="50" t="str">
        <f t="shared" si="155"/>
        <v/>
      </c>
      <c r="U1732" s="50" t="str">
        <f t="shared" si="156"/>
        <v/>
      </c>
      <c r="V1732" s="50" t="str">
        <f t="shared" si="154"/>
        <v/>
      </c>
      <c r="W1732" s="50"/>
      <c r="X1732" s="50"/>
      <c r="Y1732" s="50"/>
      <c r="Z1732" s="50"/>
      <c r="AA1732" s="50"/>
    </row>
    <row r="1733" spans="1:27" ht="25.5" customHeight="1">
      <c r="A1733" s="517" t="s">
        <v>2286</v>
      </c>
      <c r="B1733" s="51" t="s">
        <v>1331</v>
      </c>
      <c r="C1733" s="51" t="s">
        <v>143</v>
      </c>
      <c r="D1733" s="51" t="s">
        <v>5274</v>
      </c>
      <c r="E1733" s="50">
        <v>1755</v>
      </c>
      <c r="F1733" s="50">
        <v>2041</v>
      </c>
      <c r="G1733" s="50" t="s">
        <v>3955</v>
      </c>
      <c r="H1733" s="50"/>
      <c r="I1733" s="105"/>
      <c r="J1733" s="50"/>
      <c r="K1733" s="50" t="s">
        <v>224</v>
      </c>
      <c r="L1733" s="50" t="s">
        <v>2289</v>
      </c>
      <c r="M1733" s="50" t="s">
        <v>212</v>
      </c>
      <c r="N1733" s="50"/>
      <c r="O1733" s="50"/>
      <c r="P1733" s="50"/>
      <c r="Q1733" s="50"/>
      <c r="R1733" s="50"/>
      <c r="S1733" s="50" t="str">
        <f t="shared" si="153"/>
        <v/>
      </c>
      <c r="T1733" s="50" t="str">
        <f t="shared" si="155"/>
        <v/>
      </c>
      <c r="U1733" s="50" t="str">
        <f t="shared" si="156"/>
        <v/>
      </c>
      <c r="V1733" s="50" t="str">
        <f t="shared" si="154"/>
        <v/>
      </c>
      <c r="W1733" s="50"/>
      <c r="X1733" s="50"/>
      <c r="Y1733" s="50"/>
      <c r="Z1733" s="50"/>
      <c r="AA1733" s="50"/>
    </row>
    <row r="1734" spans="1:27" ht="25.5" customHeight="1">
      <c r="A1734" s="517" t="s">
        <v>2286</v>
      </c>
      <c r="B1734" s="51" t="s">
        <v>1331</v>
      </c>
      <c r="C1734" s="51" t="s">
        <v>143</v>
      </c>
      <c r="D1734" s="51" t="s">
        <v>5275</v>
      </c>
      <c r="E1734" s="50">
        <v>1832</v>
      </c>
      <c r="F1734" s="50">
        <v>2019</v>
      </c>
      <c r="G1734" s="50" t="s">
        <v>3404</v>
      </c>
      <c r="H1734" s="50">
        <v>2024</v>
      </c>
      <c r="I1734" s="132">
        <v>45609</v>
      </c>
      <c r="J1734" s="50"/>
      <c r="K1734" s="50" t="s">
        <v>224</v>
      </c>
      <c r="L1734" s="50" t="s">
        <v>2289</v>
      </c>
      <c r="M1734" s="50" t="s">
        <v>212</v>
      </c>
      <c r="N1734" s="50"/>
      <c r="O1734" s="50"/>
      <c r="P1734" s="50"/>
      <c r="Q1734" s="50"/>
      <c r="R1734" s="50"/>
      <c r="S1734" s="50" t="str">
        <f t="shared" si="153"/>
        <v/>
      </c>
      <c r="T1734" s="50" t="str">
        <f t="shared" si="155"/>
        <v/>
      </c>
      <c r="U1734" s="50" t="str">
        <f t="shared" si="156"/>
        <v/>
      </c>
      <c r="V1734" s="50" t="str">
        <f t="shared" si="154"/>
        <v/>
      </c>
      <c r="W1734" s="50"/>
      <c r="X1734" s="50" t="s">
        <v>4</v>
      </c>
      <c r="Y1734" s="50" t="s">
        <v>50</v>
      </c>
      <c r="Z1734" s="50" t="s">
        <v>3406</v>
      </c>
      <c r="AA1734" s="50"/>
    </row>
    <row r="1735" spans="1:27" ht="25.5" customHeight="1">
      <c r="A1735" s="517" t="s">
        <v>2286</v>
      </c>
      <c r="B1735" s="51" t="s">
        <v>1331</v>
      </c>
      <c r="C1735" s="51" t="s">
        <v>143</v>
      </c>
      <c r="D1735" s="51" t="s">
        <v>5276</v>
      </c>
      <c r="E1735" s="50">
        <v>1047</v>
      </c>
      <c r="F1735" s="50">
        <v>1172</v>
      </c>
      <c r="G1735" s="50" t="s">
        <v>3955</v>
      </c>
      <c r="H1735" s="50"/>
      <c r="I1735" s="105"/>
      <c r="J1735" s="50"/>
      <c r="K1735" s="50" t="s">
        <v>224</v>
      </c>
      <c r="L1735" s="50" t="s">
        <v>2289</v>
      </c>
      <c r="M1735" s="50" t="s">
        <v>212</v>
      </c>
      <c r="N1735" s="50"/>
      <c r="O1735" s="50"/>
      <c r="P1735" s="50"/>
      <c r="Q1735" s="50"/>
      <c r="R1735" s="50"/>
      <c r="S1735" s="50" t="str">
        <f t="shared" si="153"/>
        <v/>
      </c>
      <c r="T1735" s="50" t="str">
        <f t="shared" si="155"/>
        <v/>
      </c>
      <c r="U1735" s="50" t="str">
        <f t="shared" si="156"/>
        <v/>
      </c>
      <c r="V1735" s="50" t="str">
        <f t="shared" si="154"/>
        <v/>
      </c>
      <c r="W1735" s="50"/>
      <c r="X1735" s="50"/>
      <c r="Y1735" s="50"/>
      <c r="Z1735" s="50"/>
      <c r="AA1735" s="50"/>
    </row>
    <row r="1736" spans="1:27" ht="25.5" customHeight="1">
      <c r="A1736" s="517" t="s">
        <v>2286</v>
      </c>
      <c r="B1736" s="51" t="s">
        <v>1331</v>
      </c>
      <c r="C1736" s="51" t="s">
        <v>143</v>
      </c>
      <c r="D1736" s="51" t="s">
        <v>5277</v>
      </c>
      <c r="E1736" s="50">
        <v>4427</v>
      </c>
      <c r="F1736" s="50">
        <v>4876</v>
      </c>
      <c r="G1736" s="50" t="s">
        <v>3955</v>
      </c>
      <c r="H1736" s="50"/>
      <c r="I1736" s="105"/>
      <c r="J1736" s="50"/>
      <c r="K1736" s="50" t="s">
        <v>224</v>
      </c>
      <c r="L1736" s="50" t="s">
        <v>2289</v>
      </c>
      <c r="M1736" s="50" t="s">
        <v>212</v>
      </c>
      <c r="N1736" s="50"/>
      <c r="O1736" s="50"/>
      <c r="P1736" s="50"/>
      <c r="Q1736" s="50"/>
      <c r="R1736" s="50"/>
      <c r="S1736" s="50" t="str">
        <f t="shared" si="153"/>
        <v/>
      </c>
      <c r="T1736" s="50" t="str">
        <f t="shared" si="155"/>
        <v/>
      </c>
      <c r="U1736" s="50" t="str">
        <f t="shared" si="156"/>
        <v/>
      </c>
      <c r="V1736" s="50" t="str">
        <f t="shared" si="154"/>
        <v/>
      </c>
      <c r="W1736" s="50"/>
      <c r="X1736" s="50"/>
      <c r="Y1736" s="50"/>
      <c r="Z1736" s="50"/>
      <c r="AA1736" s="50"/>
    </row>
    <row r="1737" spans="1:27" ht="25.5" customHeight="1">
      <c r="A1737" s="517" t="s">
        <v>2286</v>
      </c>
      <c r="B1737" s="51" t="s">
        <v>1331</v>
      </c>
      <c r="C1737" s="51" t="s">
        <v>143</v>
      </c>
      <c r="D1737" s="51" t="s">
        <v>5278</v>
      </c>
      <c r="E1737" s="50">
        <v>1792</v>
      </c>
      <c r="F1737" s="50">
        <v>2022</v>
      </c>
      <c r="G1737" s="50" t="s">
        <v>3404</v>
      </c>
      <c r="H1737" s="50">
        <v>2025</v>
      </c>
      <c r="I1737" s="132">
        <v>45685</v>
      </c>
      <c r="J1737" s="50" t="s">
        <v>3458</v>
      </c>
      <c r="K1737" s="50" t="s">
        <v>224</v>
      </c>
      <c r="L1737" s="50" t="s">
        <v>2289</v>
      </c>
      <c r="M1737" s="50" t="s">
        <v>212</v>
      </c>
      <c r="N1737" s="50" t="s">
        <v>5279</v>
      </c>
      <c r="O1737" s="60">
        <v>45688</v>
      </c>
      <c r="P1737" s="60">
        <v>45691</v>
      </c>
      <c r="Q1737" s="60">
        <v>45691</v>
      </c>
      <c r="R1737" s="60">
        <v>45691</v>
      </c>
      <c r="S1737" s="50">
        <f t="shared" si="153"/>
        <v>3</v>
      </c>
      <c r="T1737" s="50">
        <f t="shared" si="155"/>
        <v>1</v>
      </c>
      <c r="U1737" s="50">
        <f t="shared" si="156"/>
        <v>1</v>
      </c>
      <c r="V1737" s="50">
        <f t="shared" si="154"/>
        <v>1</v>
      </c>
      <c r="W1737" s="50" t="s">
        <v>150</v>
      </c>
      <c r="X1737" s="50" t="s">
        <v>1078</v>
      </c>
      <c r="Y1737" s="50" t="s">
        <v>50</v>
      </c>
      <c r="Z1737" s="50" t="s">
        <v>3406</v>
      </c>
      <c r="AA1737" s="50" t="s">
        <v>815</v>
      </c>
    </row>
    <row r="1738" spans="1:27" ht="25.5" customHeight="1">
      <c r="A1738" s="517" t="s">
        <v>2286</v>
      </c>
      <c r="B1738" s="51" t="s">
        <v>1331</v>
      </c>
      <c r="C1738" s="51" t="s">
        <v>143</v>
      </c>
      <c r="D1738" s="51" t="s">
        <v>5280</v>
      </c>
      <c r="E1738" s="50">
        <v>887</v>
      </c>
      <c r="F1738" s="50">
        <v>961</v>
      </c>
      <c r="G1738" s="50" t="s">
        <v>3955</v>
      </c>
      <c r="H1738" s="50"/>
      <c r="I1738" s="105"/>
      <c r="J1738" s="50"/>
      <c r="K1738" s="50" t="s">
        <v>224</v>
      </c>
      <c r="L1738" s="50" t="s">
        <v>2289</v>
      </c>
      <c r="M1738" s="50" t="s">
        <v>212</v>
      </c>
      <c r="N1738" s="50"/>
      <c r="O1738" s="50"/>
      <c r="P1738" s="50"/>
      <c r="Q1738" s="50"/>
      <c r="R1738" s="50"/>
      <c r="S1738" s="50" t="str">
        <f t="shared" si="153"/>
        <v/>
      </c>
      <c r="T1738" s="50" t="str">
        <f t="shared" si="155"/>
        <v/>
      </c>
      <c r="U1738" s="50" t="str">
        <f t="shared" si="156"/>
        <v/>
      </c>
      <c r="V1738" s="50" t="str">
        <f t="shared" si="154"/>
        <v/>
      </c>
      <c r="W1738" s="50"/>
      <c r="X1738" s="50"/>
      <c r="Y1738" s="50"/>
      <c r="Z1738" s="50"/>
      <c r="AA1738" s="50"/>
    </row>
    <row r="1739" spans="1:27" ht="25.5" customHeight="1">
      <c r="A1739" s="517" t="s">
        <v>2286</v>
      </c>
      <c r="B1739" s="51" t="s">
        <v>1331</v>
      </c>
      <c r="C1739" s="51" t="s">
        <v>143</v>
      </c>
      <c r="D1739" s="51" t="s">
        <v>5281</v>
      </c>
      <c r="E1739" s="50">
        <v>3536</v>
      </c>
      <c r="F1739" s="50">
        <v>3937</v>
      </c>
      <c r="G1739" s="50" t="s">
        <v>3955</v>
      </c>
      <c r="H1739" s="50"/>
      <c r="I1739" s="105"/>
      <c r="J1739" s="50"/>
      <c r="K1739" s="50" t="s">
        <v>224</v>
      </c>
      <c r="L1739" s="50" t="s">
        <v>2289</v>
      </c>
      <c r="M1739" s="50" t="s">
        <v>212</v>
      </c>
      <c r="N1739" s="50"/>
      <c r="O1739" s="50"/>
      <c r="P1739" s="50"/>
      <c r="Q1739" s="50"/>
      <c r="R1739" s="50"/>
      <c r="S1739" s="50" t="str">
        <f t="shared" si="153"/>
        <v/>
      </c>
      <c r="T1739" s="50" t="str">
        <f t="shared" si="155"/>
        <v/>
      </c>
      <c r="U1739" s="50" t="str">
        <f t="shared" si="156"/>
        <v/>
      </c>
      <c r="V1739" s="50" t="str">
        <f t="shared" si="154"/>
        <v/>
      </c>
      <c r="W1739" s="50"/>
      <c r="X1739" s="50"/>
      <c r="Y1739" s="50"/>
      <c r="Z1739" s="50"/>
      <c r="AA1739" s="50"/>
    </row>
    <row r="1740" spans="1:27" ht="25.5" customHeight="1">
      <c r="A1740" s="517" t="s">
        <v>2286</v>
      </c>
      <c r="B1740" s="51" t="s">
        <v>1331</v>
      </c>
      <c r="C1740" s="51" t="s">
        <v>143</v>
      </c>
      <c r="D1740" s="51" t="s">
        <v>5282</v>
      </c>
      <c r="E1740" s="50">
        <v>1127</v>
      </c>
      <c r="F1740" s="50">
        <v>1301</v>
      </c>
      <c r="G1740" s="50" t="s">
        <v>3404</v>
      </c>
      <c r="H1740" s="50">
        <v>2025</v>
      </c>
      <c r="I1740" s="132">
        <v>45790</v>
      </c>
      <c r="J1740" s="50" t="s">
        <v>3532</v>
      </c>
      <c r="K1740" s="50" t="s">
        <v>224</v>
      </c>
      <c r="L1740" s="50" t="s">
        <v>2289</v>
      </c>
      <c r="M1740" s="50" t="s">
        <v>212</v>
      </c>
      <c r="N1740" s="50" t="s">
        <v>5283</v>
      </c>
      <c r="O1740" s="60">
        <v>45793</v>
      </c>
      <c r="P1740" s="60">
        <v>45793</v>
      </c>
      <c r="Q1740" s="60">
        <v>45793</v>
      </c>
      <c r="R1740" s="60">
        <v>45796</v>
      </c>
      <c r="S1740" s="50">
        <f t="shared" si="153"/>
        <v>3</v>
      </c>
      <c r="T1740" s="50">
        <f t="shared" si="155"/>
        <v>1</v>
      </c>
      <c r="U1740" s="50">
        <f t="shared" si="156"/>
        <v>1</v>
      </c>
      <c r="V1740" s="50">
        <f t="shared" si="154"/>
        <v>1</v>
      </c>
      <c r="W1740" s="50" t="s">
        <v>150</v>
      </c>
      <c r="X1740" s="50" t="s">
        <v>1078</v>
      </c>
      <c r="Y1740" s="50" t="s">
        <v>50</v>
      </c>
      <c r="Z1740" s="50" t="s">
        <v>3406</v>
      </c>
      <c r="AA1740" s="50"/>
    </row>
    <row r="1741" spans="1:27" ht="25.5" customHeight="1">
      <c r="A1741" s="517" t="s">
        <v>2286</v>
      </c>
      <c r="B1741" s="51" t="s">
        <v>1331</v>
      </c>
      <c r="C1741" s="51" t="s">
        <v>143</v>
      </c>
      <c r="D1741" s="51" t="s">
        <v>5284</v>
      </c>
      <c r="E1741" s="50">
        <v>948</v>
      </c>
      <c r="F1741" s="50">
        <v>1156</v>
      </c>
      <c r="G1741" s="50" t="s">
        <v>3955</v>
      </c>
      <c r="H1741" s="50"/>
      <c r="I1741" s="105"/>
      <c r="J1741" s="50"/>
      <c r="K1741" s="50" t="s">
        <v>224</v>
      </c>
      <c r="L1741" s="50" t="s">
        <v>2289</v>
      </c>
      <c r="M1741" s="50" t="s">
        <v>212</v>
      </c>
      <c r="N1741" s="50"/>
      <c r="O1741" s="50"/>
      <c r="P1741" s="50"/>
      <c r="Q1741" s="50"/>
      <c r="R1741" s="50"/>
      <c r="S1741" s="50" t="str">
        <f t="shared" si="153"/>
        <v/>
      </c>
      <c r="T1741" s="50" t="str">
        <f t="shared" si="155"/>
        <v/>
      </c>
      <c r="U1741" s="50" t="str">
        <f t="shared" si="156"/>
        <v/>
      </c>
      <c r="V1741" s="50" t="str">
        <f t="shared" si="154"/>
        <v/>
      </c>
      <c r="W1741" s="50"/>
      <c r="X1741" s="50"/>
      <c r="Y1741" s="50"/>
      <c r="Z1741" s="50"/>
      <c r="AA1741" s="50"/>
    </row>
    <row r="1742" spans="1:27" ht="25.5" customHeight="1">
      <c r="A1742" s="517" t="s">
        <v>2286</v>
      </c>
      <c r="B1742" s="51" t="s">
        <v>1331</v>
      </c>
      <c r="C1742" s="51" t="s">
        <v>143</v>
      </c>
      <c r="D1742" s="51" t="s">
        <v>5229</v>
      </c>
      <c r="E1742" s="50">
        <v>1201</v>
      </c>
      <c r="F1742" s="50">
        <v>1405</v>
      </c>
      <c r="G1742" s="50" t="s">
        <v>3404</v>
      </c>
      <c r="H1742" s="50">
        <v>2025</v>
      </c>
      <c r="I1742" s="132">
        <v>45881</v>
      </c>
      <c r="J1742" s="50" t="s">
        <v>3126</v>
      </c>
      <c r="K1742" s="50" t="s">
        <v>224</v>
      </c>
      <c r="L1742" s="50" t="s">
        <v>2289</v>
      </c>
      <c r="M1742" s="50" t="s">
        <v>212</v>
      </c>
      <c r="N1742" s="50" t="s">
        <v>5285</v>
      </c>
      <c r="O1742" s="60">
        <v>45884</v>
      </c>
      <c r="P1742" s="60">
        <v>45887</v>
      </c>
      <c r="Q1742" s="60">
        <v>45888</v>
      </c>
      <c r="R1742" s="60">
        <v>45888</v>
      </c>
      <c r="S1742" s="50">
        <f t="shared" si="153"/>
        <v>3</v>
      </c>
      <c r="T1742" s="50">
        <f t="shared" si="155"/>
        <v>1</v>
      </c>
      <c r="U1742" s="50">
        <f t="shared" si="156"/>
        <v>1</v>
      </c>
      <c r="V1742" s="50">
        <f t="shared" si="154"/>
        <v>1</v>
      </c>
      <c r="W1742" s="50" t="s">
        <v>150</v>
      </c>
      <c r="X1742" s="50" t="s">
        <v>1078</v>
      </c>
      <c r="Y1742" s="50" t="s">
        <v>50</v>
      </c>
      <c r="Z1742" s="50" t="s">
        <v>3406</v>
      </c>
      <c r="AA1742" s="50"/>
    </row>
    <row r="1743" spans="1:27" s="110" customFormat="1" ht="25.5" customHeight="1">
      <c r="A1743" s="517" t="s">
        <v>2286</v>
      </c>
      <c r="B1743" s="51" t="s">
        <v>1331</v>
      </c>
      <c r="C1743" s="51" t="s">
        <v>143</v>
      </c>
      <c r="D1743" s="51" t="s">
        <v>5286</v>
      </c>
      <c r="E1743" s="50">
        <v>2227</v>
      </c>
      <c r="F1743" s="50">
        <v>2243</v>
      </c>
      <c r="G1743" s="50" t="s">
        <v>3404</v>
      </c>
      <c r="H1743" s="50">
        <v>2024</v>
      </c>
      <c r="I1743" s="132">
        <v>45553</v>
      </c>
      <c r="J1743" s="50"/>
      <c r="K1743" s="50" t="s">
        <v>224</v>
      </c>
      <c r="L1743" s="50" t="s">
        <v>2289</v>
      </c>
      <c r="M1743" s="50" t="s">
        <v>212</v>
      </c>
      <c r="N1743" s="50"/>
      <c r="O1743" s="50"/>
      <c r="P1743" s="50"/>
      <c r="Q1743" s="50"/>
      <c r="R1743" s="50"/>
      <c r="S1743" s="50" t="str">
        <f t="shared" si="153"/>
        <v/>
      </c>
      <c r="T1743" s="50" t="str">
        <f t="shared" si="155"/>
        <v/>
      </c>
      <c r="U1743" s="50" t="str">
        <f t="shared" si="156"/>
        <v/>
      </c>
      <c r="V1743" s="50" t="str">
        <f t="shared" si="154"/>
        <v/>
      </c>
      <c r="W1743" s="50"/>
      <c r="X1743" s="50" t="s">
        <v>4</v>
      </c>
      <c r="Y1743" s="50" t="s">
        <v>50</v>
      </c>
      <c r="Z1743" s="50" t="s">
        <v>3406</v>
      </c>
      <c r="AA1743" s="50"/>
    </row>
    <row r="1744" spans="1:27" ht="25.5" customHeight="1">
      <c r="A1744" s="517" t="s">
        <v>2286</v>
      </c>
      <c r="B1744" s="51" t="s">
        <v>1331</v>
      </c>
      <c r="C1744" s="51" t="s">
        <v>143</v>
      </c>
      <c r="D1744" s="51" t="s">
        <v>4299</v>
      </c>
      <c r="E1744" s="50">
        <v>4989</v>
      </c>
      <c r="F1744" s="50">
        <v>5162</v>
      </c>
      <c r="G1744" s="50" t="s">
        <v>3955</v>
      </c>
      <c r="H1744" s="50"/>
      <c r="I1744" s="105"/>
      <c r="J1744" s="50"/>
      <c r="K1744" s="50" t="s">
        <v>224</v>
      </c>
      <c r="L1744" s="50" t="s">
        <v>2289</v>
      </c>
      <c r="M1744" s="50" t="s">
        <v>212</v>
      </c>
      <c r="N1744" s="50"/>
      <c r="O1744" s="50"/>
      <c r="P1744" s="50"/>
      <c r="Q1744" s="50"/>
      <c r="R1744" s="50"/>
      <c r="S1744" s="50" t="str">
        <f t="shared" si="153"/>
        <v/>
      </c>
      <c r="T1744" s="50" t="str">
        <f t="shared" si="155"/>
        <v/>
      </c>
      <c r="U1744" s="50" t="str">
        <f t="shared" si="156"/>
        <v/>
      </c>
      <c r="V1744" s="50" t="str">
        <f t="shared" si="154"/>
        <v/>
      </c>
      <c r="W1744" s="50"/>
      <c r="X1744" s="50"/>
      <c r="Y1744" s="50"/>
      <c r="Z1744" s="50"/>
      <c r="AA1744" s="50"/>
    </row>
    <row r="1745" spans="1:27" ht="25.5" customHeight="1">
      <c r="A1745" s="517" t="s">
        <v>2286</v>
      </c>
      <c r="B1745" s="51" t="s">
        <v>1331</v>
      </c>
      <c r="C1745" s="51" t="s">
        <v>143</v>
      </c>
      <c r="D1745" s="51" t="s">
        <v>5287</v>
      </c>
      <c r="E1745" s="50">
        <v>906</v>
      </c>
      <c r="F1745" s="50">
        <v>1016</v>
      </c>
      <c r="G1745" s="50" t="s">
        <v>3955</v>
      </c>
      <c r="H1745" s="50"/>
      <c r="I1745" s="105"/>
      <c r="J1745" s="50"/>
      <c r="K1745" s="50" t="s">
        <v>224</v>
      </c>
      <c r="L1745" s="50" t="s">
        <v>2289</v>
      </c>
      <c r="M1745" s="50" t="s">
        <v>212</v>
      </c>
      <c r="N1745" s="50"/>
      <c r="O1745" s="50"/>
      <c r="P1745" s="50"/>
      <c r="Q1745" s="50"/>
      <c r="R1745" s="50"/>
      <c r="S1745" s="50" t="str">
        <f t="shared" si="153"/>
        <v/>
      </c>
      <c r="T1745" s="50" t="str">
        <f t="shared" si="155"/>
        <v/>
      </c>
      <c r="U1745" s="50" t="str">
        <f t="shared" si="156"/>
        <v/>
      </c>
      <c r="V1745" s="50" t="str">
        <f t="shared" si="154"/>
        <v/>
      </c>
      <c r="W1745" s="50"/>
      <c r="X1745" s="50"/>
      <c r="Y1745" s="50"/>
      <c r="Z1745" s="50"/>
      <c r="AA1745" s="50"/>
    </row>
    <row r="1746" spans="1:27" ht="25.5" customHeight="1">
      <c r="A1746" s="517" t="s">
        <v>2286</v>
      </c>
      <c r="B1746" s="51" t="s">
        <v>1331</v>
      </c>
      <c r="C1746" s="51" t="s">
        <v>143</v>
      </c>
      <c r="D1746" s="51" t="s">
        <v>5288</v>
      </c>
      <c r="E1746" s="50">
        <v>851</v>
      </c>
      <c r="F1746" s="50">
        <v>1017</v>
      </c>
      <c r="G1746" s="50" t="s">
        <v>3404</v>
      </c>
      <c r="H1746" s="50">
        <v>2025</v>
      </c>
      <c r="I1746" s="132">
        <v>45685</v>
      </c>
      <c r="J1746" s="50" t="s">
        <v>3458</v>
      </c>
      <c r="K1746" s="50" t="s">
        <v>224</v>
      </c>
      <c r="L1746" s="50" t="s">
        <v>2289</v>
      </c>
      <c r="M1746" s="50" t="s">
        <v>212</v>
      </c>
      <c r="N1746" s="50" t="s">
        <v>5289</v>
      </c>
      <c r="O1746" s="60">
        <v>45686</v>
      </c>
      <c r="P1746" s="60">
        <v>45687</v>
      </c>
      <c r="Q1746" s="60">
        <v>45687</v>
      </c>
      <c r="R1746" s="60">
        <v>45687</v>
      </c>
      <c r="S1746" s="50">
        <f t="shared" si="153"/>
        <v>1</v>
      </c>
      <c r="T1746" s="50">
        <f t="shared" si="155"/>
        <v>1</v>
      </c>
      <c r="U1746" s="50">
        <f t="shared" si="156"/>
        <v>1</v>
      </c>
      <c r="V1746" s="50">
        <f t="shared" si="154"/>
        <v>1</v>
      </c>
      <c r="W1746" s="50" t="s">
        <v>150</v>
      </c>
      <c r="X1746" s="50" t="s">
        <v>1078</v>
      </c>
      <c r="Y1746" s="50" t="s">
        <v>50</v>
      </c>
      <c r="Z1746" s="50" t="s">
        <v>3406</v>
      </c>
      <c r="AA1746" s="50"/>
    </row>
    <row r="1747" spans="1:27" s="110" customFormat="1" ht="25.5" customHeight="1">
      <c r="A1747" s="517" t="s">
        <v>2286</v>
      </c>
      <c r="B1747" s="51" t="s">
        <v>1331</v>
      </c>
      <c r="C1747" s="51" t="s">
        <v>143</v>
      </c>
      <c r="D1747" s="51" t="s">
        <v>5290</v>
      </c>
      <c r="E1747" s="50">
        <v>5581</v>
      </c>
      <c r="F1747" s="50">
        <v>5445</v>
      </c>
      <c r="G1747" s="50" t="s">
        <v>3404</v>
      </c>
      <c r="H1747" s="50">
        <v>2024</v>
      </c>
      <c r="I1747" s="132">
        <v>45433</v>
      </c>
      <c r="J1747" s="50"/>
      <c r="K1747" s="50" t="s">
        <v>224</v>
      </c>
      <c r="L1747" s="50" t="s">
        <v>2289</v>
      </c>
      <c r="M1747" s="50" t="s">
        <v>212</v>
      </c>
      <c r="N1747" s="50"/>
      <c r="O1747" s="50"/>
      <c r="P1747" s="50"/>
      <c r="Q1747" s="50"/>
      <c r="R1747" s="50"/>
      <c r="S1747" s="50" t="str">
        <f t="shared" ref="S1747:S1810" si="157">IF(
    OR(ISBLANK(I1747), ISBLANK(O1747)),
    "",
    MAX(1, IF(
        NETWORKDAYS(I1747, O1747) &lt;= 0,
        1,
        NETWORKDAYS(I1747, O1747) - IF(I1747 = O1747, 0, 1)
    ))
)</f>
        <v/>
      </c>
      <c r="T1747" s="50" t="str">
        <f t="shared" si="155"/>
        <v/>
      </c>
      <c r="U1747" s="50" t="str">
        <f t="shared" si="156"/>
        <v/>
      </c>
      <c r="V1747" s="50" t="str">
        <f t="shared" ref="V1747:V1810" si="158">IF(
    OR(ISBLANK(Q1747), ISBLANK(R1747)),
    "",
    MAX(1, IF(
        NETWORKDAYS(Q1747, R1747) &lt;= 0,
        1,
        NETWORKDAYS(Q1747, R1747) - IF(Q1747 = R1747, 0, 1)
    ))
)</f>
        <v/>
      </c>
      <c r="W1747" s="50"/>
      <c r="X1747" s="50"/>
      <c r="Y1747" s="50"/>
      <c r="Z1747" s="50" t="s">
        <v>3406</v>
      </c>
      <c r="AA1747" s="50"/>
    </row>
    <row r="1748" spans="1:27" ht="25.5" customHeight="1">
      <c r="A1748" s="517" t="s">
        <v>2286</v>
      </c>
      <c r="B1748" s="51" t="s">
        <v>1331</v>
      </c>
      <c r="C1748" s="51" t="s">
        <v>143</v>
      </c>
      <c r="D1748" s="51" t="s">
        <v>4946</v>
      </c>
      <c r="E1748" s="50">
        <v>3409</v>
      </c>
      <c r="F1748" s="50">
        <v>3651</v>
      </c>
      <c r="G1748" s="50" t="s">
        <v>3955</v>
      </c>
      <c r="H1748" s="50"/>
      <c r="I1748" s="105"/>
      <c r="J1748" s="50"/>
      <c r="K1748" s="50" t="s">
        <v>224</v>
      </c>
      <c r="L1748" s="50" t="s">
        <v>2289</v>
      </c>
      <c r="M1748" s="50" t="s">
        <v>212</v>
      </c>
      <c r="N1748" s="50"/>
      <c r="O1748" s="50"/>
      <c r="P1748" s="50"/>
      <c r="Q1748" s="50"/>
      <c r="R1748" s="50"/>
      <c r="S1748" s="50" t="str">
        <f t="shared" si="157"/>
        <v/>
      </c>
      <c r="T1748" s="50" t="str">
        <f t="shared" ref="T1748:T1809" si="159">IF(
    OR(ISBLANK(O1748), ISBLANK(P1748)),
    "",
    MAX(1, IF(
        NETWORKDAYS(O1748, P1748) &lt;= 0,
        1,
        NETWORKDAYS(O1748, P1748) - IF(O1748 = P1748, 0, 1)
    ))
)</f>
        <v/>
      </c>
      <c r="U1748" s="50" t="str">
        <f t="shared" ref="U1748:U1809" si="160">IF(
    OR(ISBLANK(P1748), ISBLANK(Q1748)),
    "",
    MAX(1, IF(
        NETWORKDAYS(P1748, Q1748) &lt;= 0,
        1,
        NETWORKDAYS(P1748, Q1748) - IF(P1748 = Q1748, 0, 1)
    ))
)</f>
        <v/>
      </c>
      <c r="V1748" s="50" t="str">
        <f t="shared" si="158"/>
        <v/>
      </c>
      <c r="W1748" s="50"/>
      <c r="X1748" s="50"/>
      <c r="Y1748" s="50"/>
      <c r="Z1748" s="50"/>
      <c r="AA1748" s="50"/>
    </row>
    <row r="1749" spans="1:27" s="110" customFormat="1" ht="25.5" customHeight="1">
      <c r="A1749" s="517" t="s">
        <v>2286</v>
      </c>
      <c r="B1749" s="51" t="s">
        <v>1331</v>
      </c>
      <c r="C1749" s="51" t="s">
        <v>143</v>
      </c>
      <c r="D1749" s="51" t="s">
        <v>4637</v>
      </c>
      <c r="E1749" s="50">
        <v>2454</v>
      </c>
      <c r="F1749" s="50">
        <v>2667</v>
      </c>
      <c r="G1749" s="50" t="s">
        <v>3404</v>
      </c>
      <c r="H1749" s="50">
        <v>2024</v>
      </c>
      <c r="I1749" s="132">
        <v>45553</v>
      </c>
      <c r="J1749" s="50"/>
      <c r="K1749" s="50" t="s">
        <v>224</v>
      </c>
      <c r="L1749" s="50" t="s">
        <v>2289</v>
      </c>
      <c r="M1749" s="50" t="s">
        <v>212</v>
      </c>
      <c r="N1749" s="50"/>
      <c r="O1749" s="50"/>
      <c r="P1749" s="50"/>
      <c r="Q1749" s="50"/>
      <c r="R1749" s="50"/>
      <c r="S1749" s="50" t="str">
        <f t="shared" si="157"/>
        <v/>
      </c>
      <c r="T1749" s="50" t="str">
        <f t="shared" si="159"/>
        <v/>
      </c>
      <c r="U1749" s="50" t="str">
        <f t="shared" si="160"/>
        <v/>
      </c>
      <c r="V1749" s="50" t="str">
        <f t="shared" si="158"/>
        <v/>
      </c>
      <c r="W1749" s="50"/>
      <c r="X1749" s="50" t="s">
        <v>4</v>
      </c>
      <c r="Y1749" s="50" t="s">
        <v>50</v>
      </c>
      <c r="Z1749" s="50" t="s">
        <v>3406</v>
      </c>
      <c r="AA1749" s="50"/>
    </row>
    <row r="1750" spans="1:27" ht="25.5" customHeight="1">
      <c r="A1750" s="517" t="s">
        <v>2286</v>
      </c>
      <c r="B1750" s="51" t="s">
        <v>1331</v>
      </c>
      <c r="C1750" s="51" t="s">
        <v>143</v>
      </c>
      <c r="D1750" s="51" t="s">
        <v>5291</v>
      </c>
      <c r="E1750" s="50">
        <v>1374</v>
      </c>
      <c r="F1750" s="50">
        <v>1481</v>
      </c>
      <c r="G1750" s="50" t="s">
        <v>3955</v>
      </c>
      <c r="H1750" s="50"/>
      <c r="I1750" s="105"/>
      <c r="J1750" s="50"/>
      <c r="K1750" s="50" t="s">
        <v>224</v>
      </c>
      <c r="L1750" s="50" t="s">
        <v>2289</v>
      </c>
      <c r="M1750" s="50" t="s">
        <v>212</v>
      </c>
      <c r="N1750" s="50"/>
      <c r="O1750" s="50"/>
      <c r="P1750" s="50"/>
      <c r="Q1750" s="50"/>
      <c r="R1750" s="50"/>
      <c r="S1750" s="50" t="str">
        <f t="shared" si="157"/>
        <v/>
      </c>
      <c r="T1750" s="50" t="str">
        <f t="shared" si="159"/>
        <v/>
      </c>
      <c r="U1750" s="50" t="str">
        <f t="shared" si="160"/>
        <v/>
      </c>
      <c r="V1750" s="50" t="str">
        <f t="shared" si="158"/>
        <v/>
      </c>
      <c r="W1750" s="50"/>
      <c r="X1750" s="50"/>
      <c r="Y1750" s="50"/>
      <c r="Z1750" s="50"/>
      <c r="AA1750" s="50"/>
    </row>
    <row r="1751" spans="1:27" ht="25.5" customHeight="1">
      <c r="A1751" s="517" t="s">
        <v>2286</v>
      </c>
      <c r="B1751" s="51" t="s">
        <v>1331</v>
      </c>
      <c r="C1751" s="51" t="s">
        <v>143</v>
      </c>
      <c r="D1751" s="51" t="s">
        <v>5292</v>
      </c>
      <c r="E1751" s="50">
        <v>1638</v>
      </c>
      <c r="F1751" s="50">
        <v>1444</v>
      </c>
      <c r="G1751" s="50" t="s">
        <v>3955</v>
      </c>
      <c r="H1751" s="50"/>
      <c r="I1751" s="105"/>
      <c r="J1751" s="50"/>
      <c r="K1751" s="50" t="s">
        <v>224</v>
      </c>
      <c r="L1751" s="50" t="s">
        <v>2289</v>
      </c>
      <c r="M1751" s="50" t="s">
        <v>212</v>
      </c>
      <c r="N1751" s="50"/>
      <c r="O1751" s="50"/>
      <c r="P1751" s="50"/>
      <c r="Q1751" s="50"/>
      <c r="R1751" s="50"/>
      <c r="S1751" s="50" t="str">
        <f t="shared" si="157"/>
        <v/>
      </c>
      <c r="T1751" s="50" t="str">
        <f t="shared" si="159"/>
        <v/>
      </c>
      <c r="U1751" s="50" t="str">
        <f t="shared" si="160"/>
        <v/>
      </c>
      <c r="V1751" s="50" t="str">
        <f t="shared" si="158"/>
        <v/>
      </c>
      <c r="W1751" s="50"/>
      <c r="X1751" s="50"/>
      <c r="Y1751" s="50"/>
      <c r="Z1751" s="50"/>
      <c r="AA1751" s="50"/>
    </row>
    <row r="1752" spans="1:27" s="110" customFormat="1" ht="25.5" customHeight="1">
      <c r="A1752" s="517" t="s">
        <v>2286</v>
      </c>
      <c r="B1752" s="51" t="s">
        <v>1331</v>
      </c>
      <c r="C1752" s="51" t="s">
        <v>143</v>
      </c>
      <c r="D1752" s="51" t="s">
        <v>4476</v>
      </c>
      <c r="E1752" s="50">
        <v>1470</v>
      </c>
      <c r="F1752" s="50">
        <v>1786</v>
      </c>
      <c r="G1752" s="50" t="s">
        <v>3955</v>
      </c>
      <c r="H1752" s="50"/>
      <c r="I1752" s="105"/>
      <c r="J1752" s="50"/>
      <c r="K1752" s="50" t="s">
        <v>224</v>
      </c>
      <c r="L1752" s="50" t="s">
        <v>2289</v>
      </c>
      <c r="M1752" s="50" t="s">
        <v>212</v>
      </c>
      <c r="N1752" s="50"/>
      <c r="O1752" s="50"/>
      <c r="P1752" s="50"/>
      <c r="Q1752" s="50"/>
      <c r="R1752" s="50"/>
      <c r="S1752" s="50" t="str">
        <f t="shared" si="157"/>
        <v/>
      </c>
      <c r="T1752" s="50" t="str">
        <f t="shared" si="159"/>
        <v/>
      </c>
      <c r="U1752" s="50" t="str">
        <f t="shared" si="160"/>
        <v/>
      </c>
      <c r="V1752" s="50" t="str">
        <f t="shared" si="158"/>
        <v/>
      </c>
      <c r="W1752" s="50"/>
      <c r="X1752" s="50"/>
      <c r="Y1752" s="50"/>
      <c r="Z1752" s="50"/>
      <c r="AA1752" s="50"/>
    </row>
    <row r="1753" spans="1:27" ht="25.5" customHeight="1">
      <c r="A1753" s="517" t="s">
        <v>2286</v>
      </c>
      <c r="B1753" s="51" t="s">
        <v>1331</v>
      </c>
      <c r="C1753" s="51" t="s">
        <v>143</v>
      </c>
      <c r="D1753" s="51" t="s">
        <v>2116</v>
      </c>
      <c r="E1753" s="50">
        <v>3340</v>
      </c>
      <c r="F1753" s="50">
        <v>3750</v>
      </c>
      <c r="G1753" s="50" t="s">
        <v>3404</v>
      </c>
      <c r="H1753" s="50">
        <v>2024</v>
      </c>
      <c r="I1753" s="132">
        <v>45320</v>
      </c>
      <c r="J1753" s="50"/>
      <c r="K1753" s="50" t="s">
        <v>224</v>
      </c>
      <c r="L1753" s="50" t="s">
        <v>2289</v>
      </c>
      <c r="M1753" s="50" t="s">
        <v>212</v>
      </c>
      <c r="N1753" s="50"/>
      <c r="O1753" s="50"/>
      <c r="P1753" s="50"/>
      <c r="Q1753" s="50"/>
      <c r="R1753" s="50"/>
      <c r="S1753" s="50" t="str">
        <f t="shared" si="157"/>
        <v/>
      </c>
      <c r="T1753" s="50" t="str">
        <f t="shared" si="159"/>
        <v/>
      </c>
      <c r="U1753" s="50" t="str">
        <f t="shared" si="160"/>
        <v/>
      </c>
      <c r="V1753" s="50" t="str">
        <f t="shared" si="158"/>
        <v/>
      </c>
      <c r="W1753" s="50"/>
      <c r="X1753" s="50"/>
      <c r="Y1753" s="50"/>
      <c r="Z1753" s="50" t="s">
        <v>3406</v>
      </c>
      <c r="AA1753" s="50"/>
    </row>
    <row r="1754" spans="1:27" ht="25.5" customHeight="1">
      <c r="A1754" s="517" t="s">
        <v>2286</v>
      </c>
      <c r="B1754" s="51" t="s">
        <v>1331</v>
      </c>
      <c r="C1754" s="51" t="s">
        <v>143</v>
      </c>
      <c r="D1754" s="51" t="s">
        <v>1234</v>
      </c>
      <c r="E1754" s="50">
        <v>6435</v>
      </c>
      <c r="F1754" s="50">
        <v>6542</v>
      </c>
      <c r="G1754" s="50" t="s">
        <v>3404</v>
      </c>
      <c r="H1754" s="50">
        <v>2024</v>
      </c>
      <c r="I1754" s="132">
        <v>45365</v>
      </c>
      <c r="J1754" s="50"/>
      <c r="K1754" s="50" t="s">
        <v>224</v>
      </c>
      <c r="L1754" s="50" t="s">
        <v>2289</v>
      </c>
      <c r="M1754" s="50" t="s">
        <v>212</v>
      </c>
      <c r="N1754" s="50"/>
      <c r="O1754" s="50"/>
      <c r="P1754" s="50"/>
      <c r="Q1754" s="50"/>
      <c r="R1754" s="50"/>
      <c r="S1754" s="50" t="str">
        <f t="shared" si="157"/>
        <v/>
      </c>
      <c r="T1754" s="50" t="str">
        <f t="shared" si="159"/>
        <v/>
      </c>
      <c r="U1754" s="50" t="str">
        <f t="shared" si="160"/>
        <v/>
      </c>
      <c r="V1754" s="50" t="str">
        <f t="shared" si="158"/>
        <v/>
      </c>
      <c r="W1754" s="50"/>
      <c r="X1754" s="50"/>
      <c r="Y1754" s="50"/>
      <c r="Z1754" s="50" t="s">
        <v>3406</v>
      </c>
      <c r="AA1754" s="50"/>
    </row>
    <row r="1755" spans="1:27" ht="25.5" customHeight="1">
      <c r="A1755" s="517" t="s">
        <v>2286</v>
      </c>
      <c r="B1755" s="51" t="s">
        <v>1331</v>
      </c>
      <c r="C1755" s="51" t="s">
        <v>143</v>
      </c>
      <c r="D1755" s="51" t="s">
        <v>5293</v>
      </c>
      <c r="E1755" s="50">
        <v>2747</v>
      </c>
      <c r="F1755" s="50">
        <v>2769</v>
      </c>
      <c r="G1755" s="50" t="s">
        <v>3404</v>
      </c>
      <c r="H1755" s="50">
        <v>2024</v>
      </c>
      <c r="I1755" s="132">
        <v>45553</v>
      </c>
      <c r="J1755" s="50"/>
      <c r="K1755" s="50" t="s">
        <v>224</v>
      </c>
      <c r="L1755" s="50" t="s">
        <v>2289</v>
      </c>
      <c r="M1755" s="50" t="s">
        <v>212</v>
      </c>
      <c r="N1755" s="50"/>
      <c r="O1755" s="50"/>
      <c r="P1755" s="50"/>
      <c r="Q1755" s="50"/>
      <c r="R1755" s="50"/>
      <c r="S1755" s="50" t="str">
        <f t="shared" si="157"/>
        <v/>
      </c>
      <c r="T1755" s="50" t="str">
        <f t="shared" si="159"/>
        <v/>
      </c>
      <c r="U1755" s="50" t="str">
        <f t="shared" si="160"/>
        <v/>
      </c>
      <c r="V1755" s="50" t="str">
        <f t="shared" si="158"/>
        <v/>
      </c>
      <c r="W1755" s="50"/>
      <c r="X1755" s="50" t="s">
        <v>4</v>
      </c>
      <c r="Y1755" s="50" t="s">
        <v>50</v>
      </c>
      <c r="Z1755" s="50" t="s">
        <v>3406</v>
      </c>
      <c r="AA1755" s="50"/>
    </row>
    <row r="1756" spans="1:27" ht="25.5" customHeight="1">
      <c r="A1756" s="517" t="s">
        <v>2286</v>
      </c>
      <c r="B1756" s="51" t="s">
        <v>1331</v>
      </c>
      <c r="C1756" s="51" t="s">
        <v>143</v>
      </c>
      <c r="D1756" s="51" t="s">
        <v>3848</v>
      </c>
      <c r="E1756" s="50">
        <v>2771</v>
      </c>
      <c r="F1756" s="50">
        <v>3240</v>
      </c>
      <c r="G1756" s="50" t="s">
        <v>3955</v>
      </c>
      <c r="H1756" s="50"/>
      <c r="I1756" s="105"/>
      <c r="J1756" s="50"/>
      <c r="K1756" s="50" t="s">
        <v>224</v>
      </c>
      <c r="L1756" s="50" t="s">
        <v>2289</v>
      </c>
      <c r="M1756" s="50" t="s">
        <v>212</v>
      </c>
      <c r="N1756" s="50"/>
      <c r="O1756" s="50"/>
      <c r="P1756" s="50"/>
      <c r="Q1756" s="50"/>
      <c r="R1756" s="50"/>
      <c r="S1756" s="50" t="str">
        <f t="shared" si="157"/>
        <v/>
      </c>
      <c r="T1756" s="50" t="str">
        <f t="shared" si="159"/>
        <v/>
      </c>
      <c r="U1756" s="50" t="str">
        <f t="shared" si="160"/>
        <v/>
      </c>
      <c r="V1756" s="50" t="str">
        <f t="shared" si="158"/>
        <v/>
      </c>
      <c r="W1756" s="50"/>
      <c r="X1756" s="50"/>
      <c r="Y1756" s="50"/>
      <c r="Z1756" s="50"/>
      <c r="AA1756" s="50"/>
    </row>
    <row r="1757" spans="1:27" ht="25.5" customHeight="1">
      <c r="A1757" s="517" t="s">
        <v>2286</v>
      </c>
      <c r="B1757" s="51" t="s">
        <v>1331</v>
      </c>
      <c r="C1757" s="51" t="s">
        <v>143</v>
      </c>
      <c r="D1757" s="51" t="s">
        <v>5294</v>
      </c>
      <c r="E1757" s="50">
        <v>2053</v>
      </c>
      <c r="F1757" s="50">
        <v>2411</v>
      </c>
      <c r="G1757" s="50" t="s">
        <v>3404</v>
      </c>
      <c r="H1757" s="50">
        <v>2025</v>
      </c>
      <c r="I1757" s="132">
        <v>45685</v>
      </c>
      <c r="J1757" s="50" t="s">
        <v>3458</v>
      </c>
      <c r="K1757" s="50" t="s">
        <v>224</v>
      </c>
      <c r="L1757" s="50" t="s">
        <v>2289</v>
      </c>
      <c r="M1757" s="50" t="s">
        <v>212</v>
      </c>
      <c r="N1757" s="50" t="s">
        <v>5295</v>
      </c>
      <c r="O1757" s="60">
        <v>45687</v>
      </c>
      <c r="P1757" s="60">
        <v>45691</v>
      </c>
      <c r="Q1757" s="60">
        <v>45691</v>
      </c>
      <c r="R1757" s="60">
        <v>45691</v>
      </c>
      <c r="S1757" s="50">
        <f t="shared" si="157"/>
        <v>2</v>
      </c>
      <c r="T1757" s="50">
        <f t="shared" si="159"/>
        <v>2</v>
      </c>
      <c r="U1757" s="50">
        <f t="shared" si="160"/>
        <v>1</v>
      </c>
      <c r="V1757" s="50">
        <f t="shared" si="158"/>
        <v>1</v>
      </c>
      <c r="W1757" s="50" t="s">
        <v>150</v>
      </c>
      <c r="X1757" s="50" t="s">
        <v>4</v>
      </c>
      <c r="Y1757" s="50" t="s">
        <v>50</v>
      </c>
      <c r="Z1757" s="50" t="s">
        <v>3406</v>
      </c>
      <c r="AA1757" s="50" t="s">
        <v>815</v>
      </c>
    </row>
    <row r="1758" spans="1:27" ht="25.5" customHeight="1">
      <c r="A1758" s="517" t="s">
        <v>2286</v>
      </c>
      <c r="B1758" s="51" t="s">
        <v>1331</v>
      </c>
      <c r="C1758" s="51" t="s">
        <v>143</v>
      </c>
      <c r="D1758" s="51" t="s">
        <v>5296</v>
      </c>
      <c r="E1758" s="50">
        <v>4042</v>
      </c>
      <c r="F1758" s="50">
        <v>4455</v>
      </c>
      <c r="G1758" s="50" t="s">
        <v>3404</v>
      </c>
      <c r="H1758" s="50">
        <v>2025</v>
      </c>
      <c r="I1758" s="132">
        <v>45693</v>
      </c>
      <c r="J1758" s="50" t="s">
        <v>3458</v>
      </c>
      <c r="K1758" s="50" t="s">
        <v>224</v>
      </c>
      <c r="L1758" s="50" t="s">
        <v>2289</v>
      </c>
      <c r="M1758" s="50" t="s">
        <v>212</v>
      </c>
      <c r="N1758" s="50" t="s">
        <v>5297</v>
      </c>
      <c r="O1758" s="60">
        <v>45694</v>
      </c>
      <c r="P1758" s="60">
        <v>45698</v>
      </c>
      <c r="Q1758" s="60">
        <v>45698</v>
      </c>
      <c r="R1758" s="60">
        <v>45699</v>
      </c>
      <c r="S1758" s="50">
        <f t="shared" si="157"/>
        <v>1</v>
      </c>
      <c r="T1758" s="50">
        <f t="shared" si="159"/>
        <v>2</v>
      </c>
      <c r="U1758" s="50">
        <f t="shared" si="160"/>
        <v>1</v>
      </c>
      <c r="V1758" s="50">
        <f t="shared" si="158"/>
        <v>1</v>
      </c>
      <c r="W1758" s="50" t="s">
        <v>150</v>
      </c>
      <c r="X1758" s="50" t="s">
        <v>1078</v>
      </c>
      <c r="Y1758" s="50" t="s">
        <v>50</v>
      </c>
      <c r="Z1758" s="50" t="s">
        <v>3406</v>
      </c>
      <c r="AA1758" s="50" t="s">
        <v>815</v>
      </c>
    </row>
    <row r="1759" spans="1:27" ht="25.5" customHeight="1">
      <c r="A1759" s="517" t="s">
        <v>2286</v>
      </c>
      <c r="B1759" s="51" t="s">
        <v>1331</v>
      </c>
      <c r="C1759" s="51" t="s">
        <v>143</v>
      </c>
      <c r="D1759" s="51" t="s">
        <v>5298</v>
      </c>
      <c r="E1759" s="50">
        <v>1093</v>
      </c>
      <c r="F1759" s="50">
        <v>1200</v>
      </c>
      <c r="G1759" s="50" t="s">
        <v>3404</v>
      </c>
      <c r="H1759" s="50">
        <v>2025</v>
      </c>
      <c r="I1759" s="132">
        <v>45685</v>
      </c>
      <c r="J1759" s="50" t="s">
        <v>3458</v>
      </c>
      <c r="K1759" s="50" t="s">
        <v>224</v>
      </c>
      <c r="L1759" s="50" t="s">
        <v>2289</v>
      </c>
      <c r="M1759" s="50" t="s">
        <v>212</v>
      </c>
      <c r="N1759" s="50" t="s">
        <v>5299</v>
      </c>
      <c r="O1759" s="60">
        <v>45686</v>
      </c>
      <c r="P1759" s="60">
        <v>45687</v>
      </c>
      <c r="Q1759" s="60">
        <v>45687</v>
      </c>
      <c r="R1759" s="60">
        <v>45687</v>
      </c>
      <c r="S1759" s="50">
        <f t="shared" si="157"/>
        <v>1</v>
      </c>
      <c r="T1759" s="50">
        <f t="shared" si="159"/>
        <v>1</v>
      </c>
      <c r="U1759" s="50">
        <f t="shared" si="160"/>
        <v>1</v>
      </c>
      <c r="V1759" s="50">
        <f t="shared" si="158"/>
        <v>1</v>
      </c>
      <c r="W1759" s="50" t="s">
        <v>150</v>
      </c>
      <c r="X1759" s="50" t="s">
        <v>1078</v>
      </c>
      <c r="Y1759" s="50" t="s">
        <v>50</v>
      </c>
      <c r="Z1759" s="50" t="s">
        <v>3406</v>
      </c>
      <c r="AA1759" s="50" t="s">
        <v>815</v>
      </c>
    </row>
    <row r="1760" spans="1:27" s="110" customFormat="1" ht="25.5" customHeight="1">
      <c r="A1760" s="517" t="s">
        <v>2286</v>
      </c>
      <c r="B1760" s="51" t="s">
        <v>1331</v>
      </c>
      <c r="C1760" s="51" t="s">
        <v>143</v>
      </c>
      <c r="D1760" s="51" t="s">
        <v>5300</v>
      </c>
      <c r="E1760" s="50">
        <v>1450</v>
      </c>
      <c r="F1760" s="50">
        <v>1625</v>
      </c>
      <c r="G1760" s="50" t="s">
        <v>3955</v>
      </c>
      <c r="H1760" s="50"/>
      <c r="I1760" s="105"/>
      <c r="J1760" s="50"/>
      <c r="K1760" s="50" t="s">
        <v>224</v>
      </c>
      <c r="L1760" s="50" t="s">
        <v>2289</v>
      </c>
      <c r="M1760" s="50" t="s">
        <v>212</v>
      </c>
      <c r="N1760" s="50"/>
      <c r="O1760" s="50"/>
      <c r="P1760" s="50"/>
      <c r="Q1760" s="50"/>
      <c r="R1760" s="50"/>
      <c r="S1760" s="50" t="str">
        <f t="shared" si="157"/>
        <v/>
      </c>
      <c r="T1760" s="50" t="str">
        <f t="shared" si="159"/>
        <v/>
      </c>
      <c r="U1760" s="50" t="str">
        <f t="shared" si="160"/>
        <v/>
      </c>
      <c r="V1760" s="50" t="str">
        <f t="shared" si="158"/>
        <v/>
      </c>
      <c r="W1760" s="50"/>
      <c r="X1760" s="50"/>
      <c r="Y1760" s="50"/>
      <c r="Z1760" s="50"/>
      <c r="AA1760" s="50"/>
    </row>
    <row r="1761" spans="1:27" ht="25.5" customHeight="1">
      <c r="A1761" s="517" t="s">
        <v>2286</v>
      </c>
      <c r="B1761" s="51" t="s">
        <v>1335</v>
      </c>
      <c r="C1761" s="51" t="s">
        <v>143</v>
      </c>
      <c r="D1761" s="51" t="s">
        <v>5301</v>
      </c>
      <c r="E1761" s="50">
        <v>1276</v>
      </c>
      <c r="F1761" s="50">
        <v>1247</v>
      </c>
      <c r="G1761" s="50" t="s">
        <v>3404</v>
      </c>
      <c r="H1761" s="50">
        <v>2024</v>
      </c>
      <c r="I1761" s="132">
        <v>45454</v>
      </c>
      <c r="J1761" s="50"/>
      <c r="K1761" s="50" t="s">
        <v>29</v>
      </c>
      <c r="L1761" s="50" t="s">
        <v>2289</v>
      </c>
      <c r="M1761" s="50" t="s">
        <v>212</v>
      </c>
      <c r="N1761" s="50"/>
      <c r="O1761" s="50"/>
      <c r="P1761" s="50"/>
      <c r="Q1761" s="50"/>
      <c r="R1761" s="50"/>
      <c r="S1761" s="50" t="str">
        <f t="shared" si="157"/>
        <v/>
      </c>
      <c r="T1761" s="50" t="str">
        <f t="shared" si="159"/>
        <v/>
      </c>
      <c r="U1761" s="50" t="str">
        <f t="shared" si="160"/>
        <v/>
      </c>
      <c r="V1761" s="50" t="str">
        <f t="shared" si="158"/>
        <v/>
      </c>
      <c r="W1761" s="50"/>
      <c r="X1761" s="50"/>
      <c r="Y1761" s="50"/>
      <c r="Z1761" s="50" t="s">
        <v>3406</v>
      </c>
      <c r="AA1761" s="50"/>
    </row>
    <row r="1762" spans="1:27" ht="25.5" customHeight="1">
      <c r="A1762" s="517" t="s">
        <v>2286</v>
      </c>
      <c r="B1762" s="51" t="s">
        <v>1335</v>
      </c>
      <c r="C1762" s="51" t="s">
        <v>143</v>
      </c>
      <c r="D1762" s="51" t="s">
        <v>5302</v>
      </c>
      <c r="E1762" s="50">
        <v>1451</v>
      </c>
      <c r="F1762" s="50">
        <v>1663</v>
      </c>
      <c r="G1762" s="50" t="s">
        <v>3404</v>
      </c>
      <c r="H1762" s="50">
        <v>2025</v>
      </c>
      <c r="I1762" s="132">
        <v>45798</v>
      </c>
      <c r="J1762" s="50" t="s">
        <v>3689</v>
      </c>
      <c r="K1762" s="50" t="s">
        <v>29</v>
      </c>
      <c r="L1762" s="50" t="s">
        <v>2289</v>
      </c>
      <c r="M1762" s="50" t="s">
        <v>212</v>
      </c>
      <c r="N1762" s="50" t="s">
        <v>5303</v>
      </c>
      <c r="O1762" s="60">
        <v>45802</v>
      </c>
      <c r="P1762" s="60">
        <v>45803</v>
      </c>
      <c r="Q1762" s="60">
        <v>45804</v>
      </c>
      <c r="R1762" s="60">
        <v>45805</v>
      </c>
      <c r="S1762" s="50">
        <f t="shared" si="157"/>
        <v>2</v>
      </c>
      <c r="T1762" s="50">
        <f t="shared" si="159"/>
        <v>1</v>
      </c>
      <c r="U1762" s="50">
        <f t="shared" si="160"/>
        <v>1</v>
      </c>
      <c r="V1762" s="50">
        <f t="shared" si="158"/>
        <v>1</v>
      </c>
      <c r="W1762" s="50" t="s">
        <v>150</v>
      </c>
      <c r="X1762" s="50" t="s">
        <v>1078</v>
      </c>
      <c r="Y1762" s="50" t="s">
        <v>50</v>
      </c>
      <c r="Z1762" s="50" t="s">
        <v>3406</v>
      </c>
      <c r="AA1762" s="50"/>
    </row>
    <row r="1763" spans="1:27" ht="25.5" customHeight="1">
      <c r="A1763" s="517" t="s">
        <v>2286</v>
      </c>
      <c r="B1763" s="51" t="s">
        <v>1335</v>
      </c>
      <c r="C1763" s="51" t="s">
        <v>143</v>
      </c>
      <c r="D1763" s="51" t="s">
        <v>1336</v>
      </c>
      <c r="E1763" s="50">
        <v>683</v>
      </c>
      <c r="F1763" s="50">
        <v>712</v>
      </c>
      <c r="G1763" s="50" t="s">
        <v>3404</v>
      </c>
      <c r="H1763" s="50">
        <v>2025</v>
      </c>
      <c r="I1763" s="132">
        <v>45694</v>
      </c>
      <c r="J1763" s="50" t="s">
        <v>3458</v>
      </c>
      <c r="K1763" s="50" t="s">
        <v>29</v>
      </c>
      <c r="L1763" s="50" t="s">
        <v>2289</v>
      </c>
      <c r="M1763" s="50" t="s">
        <v>212</v>
      </c>
      <c r="N1763" s="50" t="s">
        <v>5304</v>
      </c>
      <c r="O1763" s="60">
        <v>45698</v>
      </c>
      <c r="P1763" s="60">
        <v>45699</v>
      </c>
      <c r="Q1763" s="60">
        <v>45699</v>
      </c>
      <c r="R1763" s="60">
        <v>45701</v>
      </c>
      <c r="S1763" s="50">
        <f t="shared" si="157"/>
        <v>2</v>
      </c>
      <c r="T1763" s="50">
        <f t="shared" si="159"/>
        <v>1</v>
      </c>
      <c r="U1763" s="50">
        <f t="shared" si="160"/>
        <v>1</v>
      </c>
      <c r="V1763" s="50">
        <f t="shared" si="158"/>
        <v>2</v>
      </c>
      <c r="W1763" s="50" t="s">
        <v>150</v>
      </c>
      <c r="X1763" s="50" t="s">
        <v>1078</v>
      </c>
      <c r="Y1763" s="50" t="s">
        <v>50</v>
      </c>
      <c r="Z1763" s="50" t="s">
        <v>3406</v>
      </c>
      <c r="AA1763" s="50" t="s">
        <v>815</v>
      </c>
    </row>
    <row r="1764" spans="1:27" ht="25.5" customHeight="1">
      <c r="A1764" s="517" t="s">
        <v>2286</v>
      </c>
      <c r="B1764" s="51" t="s">
        <v>1335</v>
      </c>
      <c r="C1764" s="51" t="s">
        <v>143</v>
      </c>
      <c r="D1764" s="51" t="s">
        <v>5305</v>
      </c>
      <c r="E1764" s="50">
        <v>597</v>
      </c>
      <c r="F1764" s="50">
        <v>658</v>
      </c>
      <c r="G1764" s="50" t="s">
        <v>3955</v>
      </c>
      <c r="H1764" s="50"/>
      <c r="I1764" s="105"/>
      <c r="J1764" s="50"/>
      <c r="K1764" s="50" t="s">
        <v>29</v>
      </c>
      <c r="L1764" s="50" t="s">
        <v>2289</v>
      </c>
      <c r="M1764" s="50" t="s">
        <v>212</v>
      </c>
      <c r="N1764" s="50"/>
      <c r="O1764" s="50"/>
      <c r="P1764" s="50"/>
      <c r="Q1764" s="50"/>
      <c r="R1764" s="50"/>
      <c r="S1764" s="50" t="str">
        <f t="shared" si="157"/>
        <v/>
      </c>
      <c r="T1764" s="50" t="str">
        <f t="shared" si="159"/>
        <v/>
      </c>
      <c r="U1764" s="50" t="str">
        <f t="shared" si="160"/>
        <v/>
      </c>
      <c r="V1764" s="50" t="str">
        <f t="shared" si="158"/>
        <v/>
      </c>
      <c r="W1764" s="50"/>
      <c r="X1764" s="50"/>
      <c r="Y1764" s="50"/>
      <c r="Z1764" s="50"/>
      <c r="AA1764" s="50"/>
    </row>
    <row r="1765" spans="1:27" ht="25.5" customHeight="1">
      <c r="A1765" s="517" t="s">
        <v>2286</v>
      </c>
      <c r="B1765" s="51" t="s">
        <v>1335</v>
      </c>
      <c r="C1765" s="51" t="s">
        <v>143</v>
      </c>
      <c r="D1765" s="51" t="s">
        <v>5214</v>
      </c>
      <c r="E1765" s="50">
        <v>472</v>
      </c>
      <c r="F1765" s="50">
        <v>483</v>
      </c>
      <c r="G1765" s="50" t="s">
        <v>3955</v>
      </c>
      <c r="H1765" s="50"/>
      <c r="I1765" s="105"/>
      <c r="J1765" s="50"/>
      <c r="K1765" s="50" t="s">
        <v>29</v>
      </c>
      <c r="L1765" s="50" t="s">
        <v>2289</v>
      </c>
      <c r="M1765" s="50" t="s">
        <v>212</v>
      </c>
      <c r="N1765" s="50"/>
      <c r="O1765" s="50"/>
      <c r="P1765" s="50"/>
      <c r="Q1765" s="50"/>
      <c r="R1765" s="50"/>
      <c r="S1765" s="50" t="str">
        <f t="shared" si="157"/>
        <v/>
      </c>
      <c r="T1765" s="50" t="str">
        <f t="shared" si="159"/>
        <v/>
      </c>
      <c r="U1765" s="50" t="str">
        <f t="shared" si="160"/>
        <v/>
      </c>
      <c r="V1765" s="50" t="str">
        <f t="shared" si="158"/>
        <v/>
      </c>
      <c r="W1765" s="50"/>
      <c r="X1765" s="50"/>
      <c r="Y1765" s="50"/>
      <c r="Z1765" s="50"/>
      <c r="AA1765" s="50"/>
    </row>
    <row r="1766" spans="1:27" ht="25.5" customHeight="1">
      <c r="A1766" s="517" t="s">
        <v>2286</v>
      </c>
      <c r="B1766" s="51" t="s">
        <v>1335</v>
      </c>
      <c r="C1766" s="51" t="s">
        <v>143</v>
      </c>
      <c r="D1766" s="51" t="s">
        <v>5306</v>
      </c>
      <c r="E1766" s="50">
        <v>800</v>
      </c>
      <c r="F1766" s="50">
        <v>780</v>
      </c>
      <c r="G1766" s="50" t="s">
        <v>3404</v>
      </c>
      <c r="H1766" s="50">
        <v>2025</v>
      </c>
      <c r="I1766" s="132">
        <v>45798</v>
      </c>
      <c r="J1766" s="50" t="s">
        <v>3689</v>
      </c>
      <c r="K1766" s="50" t="s">
        <v>29</v>
      </c>
      <c r="L1766" s="50" t="s">
        <v>2289</v>
      </c>
      <c r="M1766" s="50" t="s">
        <v>212</v>
      </c>
      <c r="N1766" s="50" t="s">
        <v>5307</v>
      </c>
      <c r="O1766" s="60">
        <v>45802</v>
      </c>
      <c r="P1766" s="60">
        <v>45803</v>
      </c>
      <c r="Q1766" s="60">
        <v>45804</v>
      </c>
      <c r="R1766" s="60">
        <v>45805</v>
      </c>
      <c r="S1766" s="50">
        <f t="shared" si="157"/>
        <v>2</v>
      </c>
      <c r="T1766" s="50">
        <f t="shared" si="159"/>
        <v>1</v>
      </c>
      <c r="U1766" s="50">
        <f t="shared" si="160"/>
        <v>1</v>
      </c>
      <c r="V1766" s="50">
        <f t="shared" si="158"/>
        <v>1</v>
      </c>
      <c r="W1766" s="50" t="s">
        <v>150</v>
      </c>
      <c r="X1766" s="50" t="s">
        <v>1078</v>
      </c>
      <c r="Y1766" s="50" t="s">
        <v>50</v>
      </c>
      <c r="Z1766" s="50" t="s">
        <v>3406</v>
      </c>
      <c r="AA1766" s="50"/>
    </row>
    <row r="1767" spans="1:27" s="110" customFormat="1" ht="25.5" customHeight="1">
      <c r="A1767" s="517" t="s">
        <v>2286</v>
      </c>
      <c r="B1767" s="51" t="s">
        <v>1335</v>
      </c>
      <c r="C1767" s="51" t="s">
        <v>143</v>
      </c>
      <c r="D1767" s="51" t="s">
        <v>5308</v>
      </c>
      <c r="E1767" s="50">
        <v>851</v>
      </c>
      <c r="F1767" s="50">
        <v>957</v>
      </c>
      <c r="G1767" s="50" t="s">
        <v>3955</v>
      </c>
      <c r="H1767" s="50"/>
      <c r="I1767" s="105"/>
      <c r="J1767" s="50"/>
      <c r="K1767" s="50" t="s">
        <v>29</v>
      </c>
      <c r="L1767" s="50" t="s">
        <v>2289</v>
      </c>
      <c r="M1767" s="50" t="s">
        <v>212</v>
      </c>
      <c r="N1767" s="50"/>
      <c r="O1767" s="50"/>
      <c r="P1767" s="50"/>
      <c r="Q1767" s="50"/>
      <c r="R1767" s="50"/>
      <c r="S1767" s="50" t="str">
        <f t="shared" si="157"/>
        <v/>
      </c>
      <c r="T1767" s="50" t="str">
        <f t="shared" si="159"/>
        <v/>
      </c>
      <c r="U1767" s="50" t="str">
        <f t="shared" si="160"/>
        <v/>
      </c>
      <c r="V1767" s="50" t="str">
        <f t="shared" si="158"/>
        <v/>
      </c>
      <c r="W1767" s="50"/>
      <c r="X1767" s="50"/>
      <c r="Y1767" s="50"/>
      <c r="Z1767" s="50"/>
      <c r="AA1767" s="50"/>
    </row>
    <row r="1768" spans="1:27" ht="25.5" customHeight="1">
      <c r="A1768" s="517" t="s">
        <v>2286</v>
      </c>
      <c r="B1768" s="51" t="s">
        <v>1335</v>
      </c>
      <c r="C1768" s="51" t="s">
        <v>143</v>
      </c>
      <c r="D1768" s="51" t="s">
        <v>5309</v>
      </c>
      <c r="E1768" s="50">
        <v>778</v>
      </c>
      <c r="F1768" s="50">
        <v>842</v>
      </c>
      <c r="G1768" s="50" t="s">
        <v>3404</v>
      </c>
      <c r="H1768" s="50">
        <v>2024</v>
      </c>
      <c r="I1768" s="132">
        <v>45454</v>
      </c>
      <c r="J1768" s="50"/>
      <c r="K1768" s="50" t="s">
        <v>29</v>
      </c>
      <c r="L1768" s="50" t="s">
        <v>2289</v>
      </c>
      <c r="M1768" s="50" t="s">
        <v>212</v>
      </c>
      <c r="N1768" s="50"/>
      <c r="O1768" s="50"/>
      <c r="P1768" s="50"/>
      <c r="Q1768" s="50"/>
      <c r="R1768" s="50"/>
      <c r="S1768" s="50" t="str">
        <f t="shared" si="157"/>
        <v/>
      </c>
      <c r="T1768" s="50" t="str">
        <f t="shared" si="159"/>
        <v/>
      </c>
      <c r="U1768" s="50" t="str">
        <f t="shared" si="160"/>
        <v/>
      </c>
      <c r="V1768" s="50" t="str">
        <f t="shared" si="158"/>
        <v/>
      </c>
      <c r="W1768" s="50"/>
      <c r="X1768" s="50"/>
      <c r="Y1768" s="50"/>
      <c r="Z1768" s="50" t="s">
        <v>3406</v>
      </c>
      <c r="AA1768" s="50"/>
    </row>
    <row r="1769" spans="1:27" ht="25.5" customHeight="1">
      <c r="A1769" s="517" t="s">
        <v>2286</v>
      </c>
      <c r="B1769" s="51" t="s">
        <v>1335</v>
      </c>
      <c r="C1769" s="51" t="s">
        <v>143</v>
      </c>
      <c r="D1769" s="51" t="s">
        <v>5310</v>
      </c>
      <c r="E1769" s="50">
        <v>1480</v>
      </c>
      <c r="F1769" s="50">
        <v>1520</v>
      </c>
      <c r="G1769" s="50" t="s">
        <v>3404</v>
      </c>
      <c r="H1769" s="50">
        <v>2024</v>
      </c>
      <c r="I1769" s="132">
        <v>45454</v>
      </c>
      <c r="J1769" s="50"/>
      <c r="K1769" s="50" t="s">
        <v>29</v>
      </c>
      <c r="L1769" s="50" t="s">
        <v>2289</v>
      </c>
      <c r="M1769" s="50" t="s">
        <v>212</v>
      </c>
      <c r="N1769" s="50"/>
      <c r="O1769" s="50"/>
      <c r="P1769" s="50"/>
      <c r="Q1769" s="50"/>
      <c r="R1769" s="50"/>
      <c r="S1769" s="50" t="str">
        <f t="shared" si="157"/>
        <v/>
      </c>
      <c r="T1769" s="50" t="str">
        <f t="shared" si="159"/>
        <v/>
      </c>
      <c r="U1769" s="50" t="str">
        <f t="shared" si="160"/>
        <v/>
      </c>
      <c r="V1769" s="50" t="str">
        <f t="shared" si="158"/>
        <v/>
      </c>
      <c r="W1769" s="50"/>
      <c r="X1769" s="50"/>
      <c r="Y1769" s="50"/>
      <c r="Z1769" s="50" t="s">
        <v>3406</v>
      </c>
      <c r="AA1769" s="50"/>
    </row>
    <row r="1770" spans="1:27" ht="25.5" customHeight="1">
      <c r="A1770" s="517" t="s">
        <v>2286</v>
      </c>
      <c r="B1770" s="51" t="s">
        <v>1335</v>
      </c>
      <c r="C1770" s="51" t="s">
        <v>143</v>
      </c>
      <c r="D1770" s="51" t="s">
        <v>5311</v>
      </c>
      <c r="E1770" s="50">
        <v>658</v>
      </c>
      <c r="F1770" s="50">
        <v>730</v>
      </c>
      <c r="G1770" s="50" t="s">
        <v>3955</v>
      </c>
      <c r="H1770" s="50"/>
      <c r="I1770" s="105"/>
      <c r="J1770" s="50"/>
      <c r="K1770" s="50" t="s">
        <v>29</v>
      </c>
      <c r="L1770" s="50" t="s">
        <v>2289</v>
      </c>
      <c r="M1770" s="50" t="s">
        <v>212</v>
      </c>
      <c r="N1770" s="50"/>
      <c r="O1770" s="50"/>
      <c r="P1770" s="50"/>
      <c r="Q1770" s="50"/>
      <c r="R1770" s="50"/>
      <c r="S1770" s="50" t="str">
        <f t="shared" si="157"/>
        <v/>
      </c>
      <c r="T1770" s="50" t="str">
        <f t="shared" si="159"/>
        <v/>
      </c>
      <c r="U1770" s="50" t="str">
        <f t="shared" si="160"/>
        <v/>
      </c>
      <c r="V1770" s="50" t="str">
        <f t="shared" si="158"/>
        <v/>
      </c>
      <c r="W1770" s="50"/>
      <c r="X1770" s="50"/>
      <c r="Y1770" s="50"/>
      <c r="Z1770" s="50"/>
      <c r="AA1770" s="50"/>
    </row>
    <row r="1771" spans="1:27" ht="25.5" customHeight="1">
      <c r="A1771" s="517" t="s">
        <v>2286</v>
      </c>
      <c r="B1771" s="51" t="s">
        <v>1335</v>
      </c>
      <c r="C1771" s="51" t="s">
        <v>143</v>
      </c>
      <c r="D1771" s="51" t="s">
        <v>5312</v>
      </c>
      <c r="E1771" s="50">
        <v>160</v>
      </c>
      <c r="F1771" s="50">
        <v>159</v>
      </c>
      <c r="G1771" s="50" t="s">
        <v>3955</v>
      </c>
      <c r="H1771" s="50"/>
      <c r="I1771" s="105"/>
      <c r="J1771" s="50"/>
      <c r="K1771" s="50" t="s">
        <v>29</v>
      </c>
      <c r="L1771" s="50" t="s">
        <v>2289</v>
      </c>
      <c r="M1771" s="50" t="s">
        <v>212</v>
      </c>
      <c r="N1771" s="50"/>
      <c r="O1771" s="50"/>
      <c r="P1771" s="50"/>
      <c r="Q1771" s="50"/>
      <c r="R1771" s="50"/>
      <c r="S1771" s="50" t="str">
        <f t="shared" si="157"/>
        <v/>
      </c>
      <c r="T1771" s="50" t="str">
        <f t="shared" si="159"/>
        <v/>
      </c>
      <c r="U1771" s="50" t="str">
        <f t="shared" si="160"/>
        <v/>
      </c>
      <c r="V1771" s="50" t="str">
        <f t="shared" si="158"/>
        <v/>
      </c>
      <c r="W1771" s="50"/>
      <c r="X1771" s="50"/>
      <c r="Y1771" s="50"/>
      <c r="Z1771" s="50"/>
      <c r="AA1771" s="50"/>
    </row>
    <row r="1772" spans="1:27" s="110" customFormat="1" ht="25.5" customHeight="1">
      <c r="A1772" s="517" t="s">
        <v>2286</v>
      </c>
      <c r="B1772" s="51" t="s">
        <v>1335</v>
      </c>
      <c r="C1772" s="51" t="s">
        <v>143</v>
      </c>
      <c r="D1772" s="51" t="s">
        <v>5313</v>
      </c>
      <c r="E1772" s="50">
        <v>893</v>
      </c>
      <c r="F1772" s="50">
        <v>936</v>
      </c>
      <c r="G1772" s="50" t="s">
        <v>3955</v>
      </c>
      <c r="H1772" s="50"/>
      <c r="I1772" s="105"/>
      <c r="J1772" s="50"/>
      <c r="K1772" s="50" t="s">
        <v>29</v>
      </c>
      <c r="L1772" s="50" t="s">
        <v>2289</v>
      </c>
      <c r="M1772" s="50" t="s">
        <v>212</v>
      </c>
      <c r="N1772" s="50"/>
      <c r="O1772" s="50"/>
      <c r="P1772" s="50"/>
      <c r="Q1772" s="50"/>
      <c r="R1772" s="50"/>
      <c r="S1772" s="50" t="str">
        <f t="shared" si="157"/>
        <v/>
      </c>
      <c r="T1772" s="50" t="str">
        <f t="shared" si="159"/>
        <v/>
      </c>
      <c r="U1772" s="50" t="str">
        <f t="shared" si="160"/>
        <v/>
      </c>
      <c r="V1772" s="50" t="str">
        <f t="shared" si="158"/>
        <v/>
      </c>
      <c r="W1772" s="50"/>
      <c r="X1772" s="50"/>
      <c r="Y1772" s="50"/>
      <c r="Z1772" s="50"/>
      <c r="AA1772" s="50"/>
    </row>
    <row r="1773" spans="1:27" ht="25.5" customHeight="1">
      <c r="A1773" s="517" t="s">
        <v>2286</v>
      </c>
      <c r="B1773" s="51" t="s">
        <v>1335</v>
      </c>
      <c r="C1773" s="51" t="s">
        <v>143</v>
      </c>
      <c r="D1773" s="51" t="s">
        <v>5314</v>
      </c>
      <c r="E1773" s="50">
        <v>1091</v>
      </c>
      <c r="F1773" s="50">
        <v>1093</v>
      </c>
      <c r="G1773" s="50" t="s">
        <v>3404</v>
      </c>
      <c r="H1773" s="50">
        <v>2024</v>
      </c>
      <c r="I1773" s="132">
        <v>45454</v>
      </c>
      <c r="J1773" s="50"/>
      <c r="K1773" s="50" t="s">
        <v>29</v>
      </c>
      <c r="L1773" s="50" t="s">
        <v>2289</v>
      </c>
      <c r="M1773" s="50" t="s">
        <v>212</v>
      </c>
      <c r="N1773" s="50"/>
      <c r="O1773" s="50"/>
      <c r="P1773" s="50"/>
      <c r="Q1773" s="50"/>
      <c r="R1773" s="50"/>
      <c r="S1773" s="50" t="str">
        <f t="shared" si="157"/>
        <v/>
      </c>
      <c r="T1773" s="50" t="str">
        <f t="shared" si="159"/>
        <v/>
      </c>
      <c r="U1773" s="50" t="str">
        <f t="shared" si="160"/>
        <v/>
      </c>
      <c r="V1773" s="50" t="str">
        <f t="shared" si="158"/>
        <v/>
      </c>
      <c r="W1773" s="50"/>
      <c r="X1773" s="50"/>
      <c r="Y1773" s="50"/>
      <c r="Z1773" s="50" t="s">
        <v>3406</v>
      </c>
      <c r="AA1773" s="50"/>
    </row>
    <row r="1774" spans="1:27" ht="25.5" customHeight="1">
      <c r="A1774" s="517" t="s">
        <v>2286</v>
      </c>
      <c r="B1774" s="51" t="s">
        <v>1335</v>
      </c>
      <c r="C1774" s="51" t="s">
        <v>143</v>
      </c>
      <c r="D1774" s="51" t="s">
        <v>5315</v>
      </c>
      <c r="E1774" s="50">
        <v>895</v>
      </c>
      <c r="F1774" s="50">
        <v>871</v>
      </c>
      <c r="G1774" s="50" t="s">
        <v>3955</v>
      </c>
      <c r="H1774" s="50"/>
      <c r="I1774" s="105"/>
      <c r="J1774" s="50"/>
      <c r="K1774" s="50" t="s">
        <v>29</v>
      </c>
      <c r="L1774" s="50" t="s">
        <v>2289</v>
      </c>
      <c r="M1774" s="50" t="s">
        <v>212</v>
      </c>
      <c r="N1774" s="50"/>
      <c r="O1774" s="50"/>
      <c r="P1774" s="50"/>
      <c r="Q1774" s="50"/>
      <c r="R1774" s="50"/>
      <c r="S1774" s="50" t="str">
        <f t="shared" si="157"/>
        <v/>
      </c>
      <c r="T1774" s="50" t="str">
        <f t="shared" si="159"/>
        <v/>
      </c>
      <c r="U1774" s="50" t="str">
        <f t="shared" si="160"/>
        <v/>
      </c>
      <c r="V1774" s="50" t="str">
        <f t="shared" si="158"/>
        <v/>
      </c>
      <c r="W1774" s="50"/>
      <c r="X1774" s="50"/>
      <c r="Y1774" s="50"/>
      <c r="Z1774" s="50"/>
      <c r="AA1774" s="50"/>
    </row>
    <row r="1775" spans="1:27" s="110" customFormat="1" ht="25.5" customHeight="1">
      <c r="A1775" s="517" t="s">
        <v>2286</v>
      </c>
      <c r="B1775" s="51" t="s">
        <v>1335</v>
      </c>
      <c r="C1775" s="51" t="s">
        <v>143</v>
      </c>
      <c r="D1775" s="51" t="s">
        <v>5316</v>
      </c>
      <c r="E1775" s="50">
        <v>1433</v>
      </c>
      <c r="F1775" s="50">
        <v>1455</v>
      </c>
      <c r="G1775" s="50" t="s">
        <v>3955</v>
      </c>
      <c r="H1775" s="50"/>
      <c r="I1775" s="105"/>
      <c r="J1775" s="50"/>
      <c r="K1775" s="50" t="s">
        <v>29</v>
      </c>
      <c r="L1775" s="50" t="s">
        <v>2289</v>
      </c>
      <c r="M1775" s="50" t="s">
        <v>212</v>
      </c>
      <c r="N1775" s="50"/>
      <c r="O1775" s="50"/>
      <c r="P1775" s="50"/>
      <c r="Q1775" s="50"/>
      <c r="R1775" s="50"/>
      <c r="S1775" s="50" t="str">
        <f t="shared" si="157"/>
        <v/>
      </c>
      <c r="T1775" s="50" t="str">
        <f t="shared" si="159"/>
        <v/>
      </c>
      <c r="U1775" s="50" t="str">
        <f t="shared" si="160"/>
        <v/>
      </c>
      <c r="V1775" s="50" t="str">
        <f t="shared" si="158"/>
        <v/>
      </c>
      <c r="W1775" s="50"/>
      <c r="X1775" s="50"/>
      <c r="Y1775" s="50"/>
      <c r="Z1775" s="50"/>
      <c r="AA1775" s="50"/>
    </row>
    <row r="1776" spans="1:27" ht="25.5" customHeight="1">
      <c r="A1776" s="517" t="s">
        <v>2286</v>
      </c>
      <c r="B1776" s="51" t="s">
        <v>1335</v>
      </c>
      <c r="C1776" s="51" t="s">
        <v>143</v>
      </c>
      <c r="D1776" s="51" t="s">
        <v>5317</v>
      </c>
      <c r="E1776" s="50">
        <v>1062</v>
      </c>
      <c r="F1776" s="50">
        <v>1230</v>
      </c>
      <c r="G1776" s="50" t="s">
        <v>3404</v>
      </c>
      <c r="H1776" s="50">
        <v>2024</v>
      </c>
      <c r="I1776" s="132">
        <v>45454</v>
      </c>
      <c r="J1776" s="50"/>
      <c r="K1776" s="50" t="s">
        <v>29</v>
      </c>
      <c r="L1776" s="50" t="s">
        <v>2289</v>
      </c>
      <c r="M1776" s="50" t="s">
        <v>212</v>
      </c>
      <c r="N1776" s="50"/>
      <c r="O1776" s="50"/>
      <c r="P1776" s="50"/>
      <c r="Q1776" s="50"/>
      <c r="R1776" s="50"/>
      <c r="S1776" s="50" t="str">
        <f t="shared" si="157"/>
        <v/>
      </c>
      <c r="T1776" s="50" t="str">
        <f t="shared" si="159"/>
        <v/>
      </c>
      <c r="U1776" s="50" t="str">
        <f t="shared" si="160"/>
        <v/>
      </c>
      <c r="V1776" s="50" t="str">
        <f t="shared" si="158"/>
        <v/>
      </c>
      <c r="W1776" s="50"/>
      <c r="X1776" s="50"/>
      <c r="Y1776" s="50"/>
      <c r="Z1776" s="50" t="s">
        <v>3406</v>
      </c>
      <c r="AA1776" s="50"/>
    </row>
    <row r="1777" spans="1:27" ht="25.5" customHeight="1">
      <c r="A1777" s="517" t="s">
        <v>2286</v>
      </c>
      <c r="B1777" s="51" t="s">
        <v>1335</v>
      </c>
      <c r="C1777" s="51" t="s">
        <v>143</v>
      </c>
      <c r="D1777" s="51" t="s">
        <v>5318</v>
      </c>
      <c r="E1777" s="50">
        <v>1071</v>
      </c>
      <c r="F1777" s="50">
        <v>1075</v>
      </c>
      <c r="G1777" s="50" t="s">
        <v>3404</v>
      </c>
      <c r="H1777" s="50">
        <v>2024</v>
      </c>
      <c r="I1777" s="132">
        <v>45454</v>
      </c>
      <c r="J1777" s="50"/>
      <c r="K1777" s="50" t="s">
        <v>29</v>
      </c>
      <c r="L1777" s="50" t="s">
        <v>2289</v>
      </c>
      <c r="M1777" s="50" t="s">
        <v>212</v>
      </c>
      <c r="N1777" s="50"/>
      <c r="O1777" s="50"/>
      <c r="P1777" s="50"/>
      <c r="Q1777" s="50"/>
      <c r="R1777" s="50"/>
      <c r="S1777" s="50" t="str">
        <f t="shared" si="157"/>
        <v/>
      </c>
      <c r="T1777" s="50" t="str">
        <f t="shared" si="159"/>
        <v/>
      </c>
      <c r="U1777" s="50" t="str">
        <f t="shared" si="160"/>
        <v/>
      </c>
      <c r="V1777" s="50" t="str">
        <f t="shared" si="158"/>
        <v/>
      </c>
      <c r="W1777" s="50"/>
      <c r="X1777" s="50"/>
      <c r="Y1777" s="50"/>
      <c r="Z1777" s="50" t="s">
        <v>3406</v>
      </c>
      <c r="AA1777" s="50"/>
    </row>
    <row r="1778" spans="1:27" ht="25.5" customHeight="1">
      <c r="A1778" s="517" t="s">
        <v>2286</v>
      </c>
      <c r="B1778" s="51" t="s">
        <v>1335</v>
      </c>
      <c r="C1778" s="51" t="s">
        <v>143</v>
      </c>
      <c r="D1778" s="51" t="s">
        <v>3715</v>
      </c>
      <c r="E1778" s="50">
        <v>932</v>
      </c>
      <c r="F1778" s="50">
        <v>974</v>
      </c>
      <c r="G1778" s="50" t="s">
        <v>3955</v>
      </c>
      <c r="H1778" s="50"/>
      <c r="I1778" s="105"/>
      <c r="J1778" s="50"/>
      <c r="K1778" s="50" t="s">
        <v>29</v>
      </c>
      <c r="L1778" s="50" t="s">
        <v>2289</v>
      </c>
      <c r="M1778" s="50" t="s">
        <v>212</v>
      </c>
      <c r="N1778" s="50"/>
      <c r="O1778" s="50"/>
      <c r="P1778" s="50"/>
      <c r="Q1778" s="50"/>
      <c r="R1778" s="50"/>
      <c r="S1778" s="50" t="str">
        <f t="shared" si="157"/>
        <v/>
      </c>
      <c r="T1778" s="50" t="str">
        <f t="shared" si="159"/>
        <v/>
      </c>
      <c r="U1778" s="50" t="str">
        <f t="shared" si="160"/>
        <v/>
      </c>
      <c r="V1778" s="50" t="str">
        <f t="shared" si="158"/>
        <v/>
      </c>
      <c r="W1778" s="50"/>
      <c r="X1778" s="50"/>
      <c r="Y1778" s="50"/>
      <c r="Z1778" s="50"/>
      <c r="AA1778" s="50"/>
    </row>
    <row r="1779" spans="1:27" ht="25.5" customHeight="1">
      <c r="A1779" s="517" t="s">
        <v>2286</v>
      </c>
      <c r="B1779" s="51" t="s">
        <v>1335</v>
      </c>
      <c r="C1779" s="51" t="s">
        <v>143</v>
      </c>
      <c r="D1779" s="51" t="s">
        <v>3717</v>
      </c>
      <c r="E1779" s="50">
        <v>155</v>
      </c>
      <c r="F1779" s="50">
        <v>195</v>
      </c>
      <c r="G1779" s="50" t="s">
        <v>3955</v>
      </c>
      <c r="H1779" s="50"/>
      <c r="I1779" s="105"/>
      <c r="J1779" s="50"/>
      <c r="K1779" s="50" t="s">
        <v>29</v>
      </c>
      <c r="L1779" s="50" t="s">
        <v>2289</v>
      </c>
      <c r="M1779" s="50" t="s">
        <v>212</v>
      </c>
      <c r="N1779" s="50"/>
      <c r="O1779" s="50"/>
      <c r="P1779" s="50"/>
      <c r="Q1779" s="50"/>
      <c r="R1779" s="50"/>
      <c r="S1779" s="50" t="str">
        <f t="shared" si="157"/>
        <v/>
      </c>
      <c r="T1779" s="50" t="str">
        <f t="shared" si="159"/>
        <v/>
      </c>
      <c r="U1779" s="50" t="str">
        <f t="shared" si="160"/>
        <v/>
      </c>
      <c r="V1779" s="50" t="str">
        <f t="shared" si="158"/>
        <v/>
      </c>
      <c r="W1779" s="50"/>
      <c r="X1779" s="50"/>
      <c r="Y1779" s="50"/>
      <c r="Z1779" s="50"/>
      <c r="AA1779" s="50"/>
    </row>
    <row r="1780" spans="1:27" ht="25.5" customHeight="1">
      <c r="A1780" s="517" t="s">
        <v>2286</v>
      </c>
      <c r="B1780" s="51" t="s">
        <v>1335</v>
      </c>
      <c r="C1780" s="51" t="s">
        <v>143</v>
      </c>
      <c r="D1780" s="51" t="s">
        <v>4476</v>
      </c>
      <c r="E1780" s="50">
        <v>322</v>
      </c>
      <c r="F1780" s="50">
        <v>327</v>
      </c>
      <c r="G1780" s="50" t="s">
        <v>3955</v>
      </c>
      <c r="H1780" s="50"/>
      <c r="I1780" s="105"/>
      <c r="J1780" s="50"/>
      <c r="K1780" s="50" t="s">
        <v>29</v>
      </c>
      <c r="L1780" s="50" t="s">
        <v>2289</v>
      </c>
      <c r="M1780" s="50" t="s">
        <v>212</v>
      </c>
      <c r="N1780" s="50"/>
      <c r="O1780" s="50"/>
      <c r="P1780" s="50"/>
      <c r="Q1780" s="50"/>
      <c r="R1780" s="50"/>
      <c r="S1780" s="50" t="str">
        <f t="shared" si="157"/>
        <v/>
      </c>
      <c r="T1780" s="50" t="str">
        <f t="shared" si="159"/>
        <v/>
      </c>
      <c r="U1780" s="50" t="str">
        <f t="shared" si="160"/>
        <v/>
      </c>
      <c r="V1780" s="50" t="str">
        <f t="shared" si="158"/>
        <v/>
      </c>
      <c r="W1780" s="50"/>
      <c r="X1780" s="50"/>
      <c r="Y1780" s="50"/>
      <c r="Z1780" s="50"/>
      <c r="AA1780" s="50"/>
    </row>
    <row r="1781" spans="1:27" ht="25.5" customHeight="1">
      <c r="A1781" s="517" t="s">
        <v>2286</v>
      </c>
      <c r="B1781" s="51" t="s">
        <v>1335</v>
      </c>
      <c r="C1781" s="51" t="s">
        <v>143</v>
      </c>
      <c r="D1781" s="51" t="s">
        <v>5319</v>
      </c>
      <c r="E1781" s="50">
        <v>622</v>
      </c>
      <c r="F1781" s="50">
        <v>698</v>
      </c>
      <c r="G1781" s="50" t="s">
        <v>3955</v>
      </c>
      <c r="H1781" s="50"/>
      <c r="I1781" s="105"/>
      <c r="J1781" s="50"/>
      <c r="K1781" s="50" t="s">
        <v>29</v>
      </c>
      <c r="L1781" s="50" t="s">
        <v>2289</v>
      </c>
      <c r="M1781" s="50" t="s">
        <v>212</v>
      </c>
      <c r="N1781" s="50"/>
      <c r="O1781" s="50"/>
      <c r="P1781" s="50"/>
      <c r="Q1781" s="50"/>
      <c r="R1781" s="50"/>
      <c r="S1781" s="50" t="str">
        <f t="shared" si="157"/>
        <v/>
      </c>
      <c r="T1781" s="50" t="str">
        <f t="shared" si="159"/>
        <v/>
      </c>
      <c r="U1781" s="50" t="str">
        <f t="shared" si="160"/>
        <v/>
      </c>
      <c r="V1781" s="50" t="str">
        <f t="shared" si="158"/>
        <v/>
      </c>
      <c r="W1781" s="50"/>
      <c r="X1781" s="50"/>
      <c r="Y1781" s="50"/>
      <c r="Z1781" s="50"/>
      <c r="AA1781" s="50"/>
    </row>
    <row r="1782" spans="1:27" ht="25.5" customHeight="1">
      <c r="A1782" s="517" t="s">
        <v>2286</v>
      </c>
      <c r="B1782" s="51" t="s">
        <v>1335</v>
      </c>
      <c r="C1782" s="51" t="s">
        <v>143</v>
      </c>
      <c r="D1782" s="51" t="s">
        <v>3133</v>
      </c>
      <c r="E1782" s="50">
        <v>665</v>
      </c>
      <c r="F1782" s="50">
        <v>682</v>
      </c>
      <c r="G1782" s="50" t="s">
        <v>3955</v>
      </c>
      <c r="H1782" s="50"/>
      <c r="I1782" s="105"/>
      <c r="J1782" s="50"/>
      <c r="K1782" s="50" t="s">
        <v>29</v>
      </c>
      <c r="L1782" s="50" t="s">
        <v>2289</v>
      </c>
      <c r="M1782" s="50" t="s">
        <v>212</v>
      </c>
      <c r="N1782" s="50"/>
      <c r="O1782" s="50"/>
      <c r="P1782" s="50"/>
      <c r="Q1782" s="50"/>
      <c r="R1782" s="50"/>
      <c r="S1782" s="50" t="str">
        <f t="shared" si="157"/>
        <v/>
      </c>
      <c r="T1782" s="50" t="str">
        <f t="shared" si="159"/>
        <v/>
      </c>
      <c r="U1782" s="50" t="str">
        <f t="shared" si="160"/>
        <v/>
      </c>
      <c r="V1782" s="50" t="str">
        <f t="shared" si="158"/>
        <v/>
      </c>
      <c r="W1782" s="50"/>
      <c r="X1782" s="50"/>
      <c r="Y1782" s="50"/>
      <c r="Z1782" s="50"/>
      <c r="AA1782" s="50"/>
    </row>
    <row r="1783" spans="1:27" ht="25.5" customHeight="1">
      <c r="A1783" s="517" t="s">
        <v>2286</v>
      </c>
      <c r="B1783" s="51" t="s">
        <v>1335</v>
      </c>
      <c r="C1783" s="51" t="s">
        <v>143</v>
      </c>
      <c r="D1783" s="51" t="s">
        <v>5320</v>
      </c>
      <c r="E1783" s="50">
        <v>850</v>
      </c>
      <c r="F1783" s="50">
        <v>910</v>
      </c>
      <c r="G1783" s="50" t="s">
        <v>3955</v>
      </c>
      <c r="H1783" s="50"/>
      <c r="I1783" s="105"/>
      <c r="J1783" s="50"/>
      <c r="K1783" s="50" t="s">
        <v>29</v>
      </c>
      <c r="L1783" s="50" t="s">
        <v>2289</v>
      </c>
      <c r="M1783" s="50" t="s">
        <v>212</v>
      </c>
      <c r="N1783" s="50"/>
      <c r="O1783" s="50"/>
      <c r="P1783" s="50"/>
      <c r="Q1783" s="50"/>
      <c r="R1783" s="50"/>
      <c r="S1783" s="50" t="str">
        <f t="shared" si="157"/>
        <v/>
      </c>
      <c r="T1783" s="50" t="str">
        <f t="shared" si="159"/>
        <v/>
      </c>
      <c r="U1783" s="50" t="str">
        <f t="shared" si="160"/>
        <v/>
      </c>
      <c r="V1783" s="50" t="str">
        <f t="shared" si="158"/>
        <v/>
      </c>
      <c r="W1783" s="50"/>
      <c r="X1783" s="50"/>
      <c r="Y1783" s="50"/>
      <c r="Z1783" s="50"/>
      <c r="AA1783" s="50"/>
    </row>
    <row r="1784" spans="1:27" ht="25.5" customHeight="1">
      <c r="A1784" s="517" t="s">
        <v>2286</v>
      </c>
      <c r="B1784" s="51" t="s">
        <v>1335</v>
      </c>
      <c r="C1784" s="51" t="s">
        <v>143</v>
      </c>
      <c r="D1784" s="51" t="s">
        <v>5321</v>
      </c>
      <c r="E1784" s="50">
        <v>1552</v>
      </c>
      <c r="F1784" s="50">
        <v>1762</v>
      </c>
      <c r="G1784" s="50" t="s">
        <v>3955</v>
      </c>
      <c r="H1784" s="50"/>
      <c r="I1784" s="105"/>
      <c r="J1784" s="50"/>
      <c r="K1784" s="50" t="s">
        <v>29</v>
      </c>
      <c r="L1784" s="50" t="s">
        <v>2289</v>
      </c>
      <c r="M1784" s="50" t="s">
        <v>212</v>
      </c>
      <c r="N1784" s="50"/>
      <c r="O1784" s="50"/>
      <c r="P1784" s="50"/>
      <c r="Q1784" s="50"/>
      <c r="R1784" s="50"/>
      <c r="S1784" s="50" t="str">
        <f t="shared" si="157"/>
        <v/>
      </c>
      <c r="T1784" s="50" t="str">
        <f t="shared" si="159"/>
        <v/>
      </c>
      <c r="U1784" s="50" t="str">
        <f t="shared" si="160"/>
        <v/>
      </c>
      <c r="V1784" s="50" t="str">
        <f t="shared" si="158"/>
        <v/>
      </c>
      <c r="W1784" s="50"/>
      <c r="X1784" s="50"/>
      <c r="Y1784" s="50"/>
      <c r="Z1784" s="50"/>
      <c r="AA1784" s="50"/>
    </row>
    <row r="1785" spans="1:27" ht="25.5" customHeight="1">
      <c r="A1785" s="517" t="s">
        <v>2286</v>
      </c>
      <c r="B1785" s="51" t="s">
        <v>1335</v>
      </c>
      <c r="C1785" s="51" t="s">
        <v>143</v>
      </c>
      <c r="D1785" s="51" t="s">
        <v>5322</v>
      </c>
      <c r="E1785" s="50">
        <v>945</v>
      </c>
      <c r="F1785" s="50">
        <v>898</v>
      </c>
      <c r="G1785" s="50" t="s">
        <v>3955</v>
      </c>
      <c r="H1785" s="50"/>
      <c r="I1785" s="105"/>
      <c r="J1785" s="50"/>
      <c r="K1785" s="50" t="s">
        <v>29</v>
      </c>
      <c r="L1785" s="50" t="s">
        <v>2289</v>
      </c>
      <c r="M1785" s="50" t="s">
        <v>212</v>
      </c>
      <c r="N1785" s="50"/>
      <c r="O1785" s="50"/>
      <c r="P1785" s="50"/>
      <c r="Q1785" s="50"/>
      <c r="R1785" s="50"/>
      <c r="S1785" s="50" t="str">
        <f t="shared" si="157"/>
        <v/>
      </c>
      <c r="T1785" s="50" t="str">
        <f t="shared" si="159"/>
        <v/>
      </c>
      <c r="U1785" s="50" t="str">
        <f t="shared" si="160"/>
        <v/>
      </c>
      <c r="V1785" s="50" t="str">
        <f t="shared" si="158"/>
        <v/>
      </c>
      <c r="W1785" s="50"/>
      <c r="X1785" s="50"/>
      <c r="Y1785" s="50"/>
      <c r="Z1785" s="50"/>
      <c r="AA1785" s="50"/>
    </row>
    <row r="1786" spans="1:27" ht="25.5" customHeight="1">
      <c r="A1786" s="517" t="s">
        <v>2286</v>
      </c>
      <c r="B1786" s="51" t="s">
        <v>1335</v>
      </c>
      <c r="C1786" s="51" t="s">
        <v>143</v>
      </c>
      <c r="D1786" s="51" t="s">
        <v>1462</v>
      </c>
      <c r="E1786" s="50">
        <v>625</v>
      </c>
      <c r="F1786" s="50">
        <v>729</v>
      </c>
      <c r="G1786" s="50" t="s">
        <v>3955</v>
      </c>
      <c r="H1786" s="50"/>
      <c r="I1786" s="105"/>
      <c r="J1786" s="50"/>
      <c r="K1786" s="50" t="s">
        <v>29</v>
      </c>
      <c r="L1786" s="50" t="s">
        <v>2289</v>
      </c>
      <c r="M1786" s="50" t="s">
        <v>212</v>
      </c>
      <c r="N1786" s="50"/>
      <c r="O1786" s="50"/>
      <c r="P1786" s="50"/>
      <c r="Q1786" s="50"/>
      <c r="R1786" s="50"/>
      <c r="S1786" s="50" t="str">
        <f t="shared" si="157"/>
        <v/>
      </c>
      <c r="T1786" s="50" t="str">
        <f t="shared" si="159"/>
        <v/>
      </c>
      <c r="U1786" s="50" t="str">
        <f t="shared" si="160"/>
        <v/>
      </c>
      <c r="V1786" s="50" t="str">
        <f t="shared" si="158"/>
        <v/>
      </c>
      <c r="W1786" s="50"/>
      <c r="X1786" s="50"/>
      <c r="Y1786" s="50"/>
      <c r="Z1786" s="50"/>
      <c r="AA1786" s="50"/>
    </row>
    <row r="1787" spans="1:27" ht="25.5" customHeight="1">
      <c r="A1787" s="517" t="s">
        <v>2286</v>
      </c>
      <c r="B1787" s="51" t="s">
        <v>1335</v>
      </c>
      <c r="C1787" s="51" t="s">
        <v>143</v>
      </c>
      <c r="D1787" s="51" t="s">
        <v>5323</v>
      </c>
      <c r="E1787" s="50">
        <v>1053</v>
      </c>
      <c r="F1787" s="50">
        <v>1192</v>
      </c>
      <c r="G1787" s="50" t="s">
        <v>3404</v>
      </c>
      <c r="H1787" s="50">
        <v>2025</v>
      </c>
      <c r="I1787" s="132">
        <v>45798</v>
      </c>
      <c r="J1787" s="50" t="s">
        <v>3689</v>
      </c>
      <c r="K1787" s="50" t="s">
        <v>29</v>
      </c>
      <c r="L1787" s="50" t="s">
        <v>2289</v>
      </c>
      <c r="M1787" s="50" t="s">
        <v>212</v>
      </c>
      <c r="N1787" s="50" t="s">
        <v>5324</v>
      </c>
      <c r="O1787" s="60">
        <v>45802</v>
      </c>
      <c r="P1787" s="60">
        <v>45803</v>
      </c>
      <c r="Q1787" s="60">
        <v>45804</v>
      </c>
      <c r="R1787" s="60">
        <v>45805</v>
      </c>
      <c r="S1787" s="50">
        <f t="shared" si="157"/>
        <v>2</v>
      </c>
      <c r="T1787" s="50">
        <f t="shared" si="159"/>
        <v>1</v>
      </c>
      <c r="U1787" s="50">
        <f t="shared" si="160"/>
        <v>1</v>
      </c>
      <c r="V1787" s="50">
        <f t="shared" si="158"/>
        <v>1</v>
      </c>
      <c r="W1787" s="50" t="s">
        <v>150</v>
      </c>
      <c r="X1787" s="50" t="s">
        <v>1078</v>
      </c>
      <c r="Y1787" s="50" t="s">
        <v>50</v>
      </c>
      <c r="Z1787" s="50" t="s">
        <v>3406</v>
      </c>
      <c r="AA1787" s="50"/>
    </row>
    <row r="1788" spans="1:27" ht="25.5" customHeight="1">
      <c r="A1788" s="517" t="s">
        <v>2286</v>
      </c>
      <c r="B1788" s="51" t="s">
        <v>1335</v>
      </c>
      <c r="C1788" s="51" t="s">
        <v>143</v>
      </c>
      <c r="D1788" s="51" t="s">
        <v>5325</v>
      </c>
      <c r="E1788" s="50">
        <v>445</v>
      </c>
      <c r="F1788" s="50">
        <v>458</v>
      </c>
      <c r="G1788" s="50" t="s">
        <v>3955</v>
      </c>
      <c r="H1788" s="50"/>
      <c r="I1788" s="105"/>
      <c r="J1788" s="50"/>
      <c r="K1788" s="50" t="s">
        <v>29</v>
      </c>
      <c r="L1788" s="50" t="s">
        <v>2289</v>
      </c>
      <c r="M1788" s="50" t="s">
        <v>212</v>
      </c>
      <c r="N1788" s="50"/>
      <c r="O1788" s="50"/>
      <c r="P1788" s="50"/>
      <c r="Q1788" s="50"/>
      <c r="R1788" s="50"/>
      <c r="S1788" s="50" t="str">
        <f t="shared" si="157"/>
        <v/>
      </c>
      <c r="T1788" s="50" t="str">
        <f t="shared" si="159"/>
        <v/>
      </c>
      <c r="U1788" s="50" t="str">
        <f t="shared" si="160"/>
        <v/>
      </c>
      <c r="V1788" s="50" t="str">
        <f t="shared" si="158"/>
        <v/>
      </c>
      <c r="W1788" s="50"/>
      <c r="X1788" s="50"/>
      <c r="Y1788" s="50"/>
      <c r="Z1788" s="50"/>
      <c r="AA1788" s="50"/>
    </row>
    <row r="1789" spans="1:27" ht="25.5" customHeight="1">
      <c r="A1789" s="517" t="s">
        <v>2286</v>
      </c>
      <c r="B1789" s="51" t="s">
        <v>5326</v>
      </c>
      <c r="C1789" s="51" t="s">
        <v>143</v>
      </c>
      <c r="D1789" s="51" t="s">
        <v>5327</v>
      </c>
      <c r="E1789" s="50">
        <v>3792</v>
      </c>
      <c r="F1789" s="50">
        <v>4241</v>
      </c>
      <c r="G1789" s="50" t="s">
        <v>3955</v>
      </c>
      <c r="H1789" s="50"/>
      <c r="I1789" s="105"/>
      <c r="J1789" s="50"/>
      <c r="K1789" s="50" t="s">
        <v>224</v>
      </c>
      <c r="L1789" s="50" t="s">
        <v>2289</v>
      </c>
      <c r="M1789" s="50" t="s">
        <v>212</v>
      </c>
      <c r="N1789" s="50"/>
      <c r="O1789" s="50"/>
      <c r="P1789" s="50"/>
      <c r="Q1789" s="50"/>
      <c r="R1789" s="50"/>
      <c r="S1789" s="50" t="str">
        <f t="shared" si="157"/>
        <v/>
      </c>
      <c r="T1789" s="50" t="str">
        <f t="shared" si="159"/>
        <v/>
      </c>
      <c r="U1789" s="50" t="str">
        <f t="shared" si="160"/>
        <v/>
      </c>
      <c r="V1789" s="50" t="str">
        <f t="shared" si="158"/>
        <v/>
      </c>
      <c r="W1789" s="50"/>
      <c r="X1789" s="50"/>
      <c r="Y1789" s="50"/>
      <c r="Z1789" s="50"/>
      <c r="AA1789" s="50"/>
    </row>
    <row r="1790" spans="1:27" ht="25.5" customHeight="1">
      <c r="A1790" s="517" t="s">
        <v>2286</v>
      </c>
      <c r="B1790" s="51" t="s">
        <v>5326</v>
      </c>
      <c r="C1790" s="51" t="s">
        <v>143</v>
      </c>
      <c r="D1790" s="51" t="s">
        <v>5328</v>
      </c>
      <c r="E1790" s="50">
        <v>3405</v>
      </c>
      <c r="F1790" s="50">
        <v>3623</v>
      </c>
      <c r="G1790" s="50" t="s">
        <v>3404</v>
      </c>
      <c r="H1790" s="50">
        <v>2025</v>
      </c>
      <c r="I1790" s="132">
        <v>45699</v>
      </c>
      <c r="J1790" s="50" t="s">
        <v>3458</v>
      </c>
      <c r="K1790" s="50" t="s">
        <v>224</v>
      </c>
      <c r="L1790" s="50" t="s">
        <v>2289</v>
      </c>
      <c r="M1790" s="50" t="s">
        <v>212</v>
      </c>
      <c r="N1790" s="50" t="s">
        <v>5329</v>
      </c>
      <c r="O1790" s="60">
        <v>45699</v>
      </c>
      <c r="P1790" s="60">
        <v>45702</v>
      </c>
      <c r="Q1790" s="60">
        <v>45702</v>
      </c>
      <c r="R1790" s="60">
        <v>45705</v>
      </c>
      <c r="S1790" s="50">
        <f t="shared" si="157"/>
        <v>1</v>
      </c>
      <c r="T1790" s="50">
        <f t="shared" si="159"/>
        <v>3</v>
      </c>
      <c r="U1790" s="50">
        <f t="shared" si="160"/>
        <v>1</v>
      </c>
      <c r="V1790" s="50">
        <f t="shared" si="158"/>
        <v>1</v>
      </c>
      <c r="W1790" s="50" t="s">
        <v>150</v>
      </c>
      <c r="X1790" s="50" t="s">
        <v>1078</v>
      </c>
      <c r="Y1790" s="50" t="s">
        <v>50</v>
      </c>
      <c r="Z1790" s="50" t="s">
        <v>3406</v>
      </c>
      <c r="AA1790" s="50"/>
    </row>
    <row r="1791" spans="1:27" ht="25.5" customHeight="1">
      <c r="A1791" s="517" t="s">
        <v>2286</v>
      </c>
      <c r="B1791" s="51" t="s">
        <v>5326</v>
      </c>
      <c r="C1791" s="51" t="s">
        <v>143</v>
      </c>
      <c r="D1791" s="51" t="s">
        <v>1185</v>
      </c>
      <c r="E1791" s="50">
        <v>5534</v>
      </c>
      <c r="F1791" s="50">
        <v>5965</v>
      </c>
      <c r="G1791" s="50" t="s">
        <v>3955</v>
      </c>
      <c r="H1791" s="50"/>
      <c r="I1791" s="105"/>
      <c r="J1791" s="50"/>
      <c r="K1791" s="50" t="s">
        <v>224</v>
      </c>
      <c r="L1791" s="50" t="s">
        <v>2289</v>
      </c>
      <c r="M1791" s="50" t="s">
        <v>212</v>
      </c>
      <c r="N1791" s="50"/>
      <c r="O1791" s="50"/>
      <c r="P1791" s="50"/>
      <c r="Q1791" s="50"/>
      <c r="R1791" s="50"/>
      <c r="S1791" s="50" t="str">
        <f t="shared" si="157"/>
        <v/>
      </c>
      <c r="T1791" s="50" t="str">
        <f t="shared" si="159"/>
        <v/>
      </c>
      <c r="U1791" s="50" t="str">
        <f t="shared" si="160"/>
        <v/>
      </c>
      <c r="V1791" s="50" t="str">
        <f t="shared" si="158"/>
        <v/>
      </c>
      <c r="W1791" s="50"/>
      <c r="X1791" s="50"/>
      <c r="Y1791" s="50"/>
      <c r="Z1791" s="50"/>
      <c r="AA1791" s="50"/>
    </row>
    <row r="1792" spans="1:27" ht="25.5" customHeight="1">
      <c r="A1792" s="517" t="s">
        <v>2286</v>
      </c>
      <c r="B1792" s="51" t="s">
        <v>5326</v>
      </c>
      <c r="C1792" s="51" t="s">
        <v>143</v>
      </c>
      <c r="D1792" s="51" t="s">
        <v>5063</v>
      </c>
      <c r="E1792" s="50">
        <v>3528</v>
      </c>
      <c r="F1792" s="50">
        <v>3746</v>
      </c>
      <c r="G1792" s="50" t="s">
        <v>3955</v>
      </c>
      <c r="H1792" s="50"/>
      <c r="I1792" s="105"/>
      <c r="J1792" s="50"/>
      <c r="K1792" s="50" t="s">
        <v>224</v>
      </c>
      <c r="L1792" s="50" t="s">
        <v>2289</v>
      </c>
      <c r="M1792" s="50" t="s">
        <v>212</v>
      </c>
      <c r="N1792" s="50"/>
      <c r="O1792" s="50"/>
      <c r="P1792" s="50"/>
      <c r="Q1792" s="50"/>
      <c r="R1792" s="50"/>
      <c r="S1792" s="50" t="str">
        <f t="shared" si="157"/>
        <v/>
      </c>
      <c r="T1792" s="50" t="str">
        <f t="shared" si="159"/>
        <v/>
      </c>
      <c r="U1792" s="50" t="str">
        <f t="shared" si="160"/>
        <v/>
      </c>
      <c r="V1792" s="50" t="str">
        <f t="shared" si="158"/>
        <v/>
      </c>
      <c r="W1792" s="50"/>
      <c r="X1792" s="50"/>
      <c r="Y1792" s="50"/>
      <c r="Z1792" s="50"/>
      <c r="AA1792" s="50"/>
    </row>
    <row r="1793" spans="1:27" ht="25.5" customHeight="1">
      <c r="A1793" s="517" t="s">
        <v>2286</v>
      </c>
      <c r="B1793" s="51" t="s">
        <v>5326</v>
      </c>
      <c r="C1793" s="51" t="s">
        <v>143</v>
      </c>
      <c r="D1793" s="51" t="s">
        <v>4683</v>
      </c>
      <c r="E1793" s="50">
        <v>2285</v>
      </c>
      <c r="F1793" s="50">
        <v>2424</v>
      </c>
      <c r="G1793" s="50" t="s">
        <v>3404</v>
      </c>
      <c r="H1793" s="50">
        <v>2025</v>
      </c>
      <c r="I1793" s="132">
        <v>45699</v>
      </c>
      <c r="J1793" s="50" t="s">
        <v>3458</v>
      </c>
      <c r="K1793" s="50" t="s">
        <v>224</v>
      </c>
      <c r="L1793" s="50" t="s">
        <v>2289</v>
      </c>
      <c r="M1793" s="50" t="s">
        <v>212</v>
      </c>
      <c r="N1793" s="50" t="s">
        <v>5330</v>
      </c>
      <c r="O1793" s="60">
        <v>45699</v>
      </c>
      <c r="P1793" s="60">
        <v>45702</v>
      </c>
      <c r="Q1793" s="60">
        <v>45702</v>
      </c>
      <c r="R1793" s="60">
        <v>45705</v>
      </c>
      <c r="S1793" s="50">
        <f t="shared" si="157"/>
        <v>1</v>
      </c>
      <c r="T1793" s="50">
        <f t="shared" si="159"/>
        <v>3</v>
      </c>
      <c r="U1793" s="50">
        <f t="shared" si="160"/>
        <v>1</v>
      </c>
      <c r="V1793" s="50">
        <f t="shared" si="158"/>
        <v>1</v>
      </c>
      <c r="W1793" s="50" t="s">
        <v>150</v>
      </c>
      <c r="X1793" s="50" t="s">
        <v>1078</v>
      </c>
      <c r="Y1793" s="50" t="s">
        <v>57</v>
      </c>
      <c r="Z1793" s="50" t="s">
        <v>3406</v>
      </c>
      <c r="AA1793" s="50"/>
    </row>
    <row r="1794" spans="1:27" ht="25.5" customHeight="1">
      <c r="A1794" s="517" t="s">
        <v>2286</v>
      </c>
      <c r="B1794" s="51" t="s">
        <v>5326</v>
      </c>
      <c r="C1794" s="51" t="s">
        <v>143</v>
      </c>
      <c r="D1794" s="51" t="s">
        <v>5331</v>
      </c>
      <c r="E1794" s="50">
        <v>757</v>
      </c>
      <c r="F1794" s="50">
        <v>860</v>
      </c>
      <c r="G1794" s="50" t="s">
        <v>3955</v>
      </c>
      <c r="H1794" s="50"/>
      <c r="I1794" s="105"/>
      <c r="J1794" s="50"/>
      <c r="K1794" s="50" t="s">
        <v>224</v>
      </c>
      <c r="L1794" s="50" t="s">
        <v>2289</v>
      </c>
      <c r="M1794" s="50" t="s">
        <v>212</v>
      </c>
      <c r="N1794" s="50"/>
      <c r="O1794" s="50"/>
      <c r="P1794" s="50"/>
      <c r="Q1794" s="50"/>
      <c r="R1794" s="50"/>
      <c r="S1794" s="50" t="str">
        <f t="shared" si="157"/>
        <v/>
      </c>
      <c r="T1794" s="50" t="str">
        <f t="shared" si="159"/>
        <v/>
      </c>
      <c r="U1794" s="50" t="str">
        <f t="shared" si="160"/>
        <v/>
      </c>
      <c r="V1794" s="50" t="str">
        <f t="shared" si="158"/>
        <v/>
      </c>
      <c r="W1794" s="50"/>
      <c r="X1794" s="50"/>
      <c r="Y1794" s="50"/>
      <c r="Z1794" s="50"/>
      <c r="AA1794" s="50"/>
    </row>
    <row r="1795" spans="1:27" ht="25.5" customHeight="1">
      <c r="A1795" s="517" t="s">
        <v>2286</v>
      </c>
      <c r="B1795" s="51" t="s">
        <v>5326</v>
      </c>
      <c r="C1795" s="51" t="s">
        <v>143</v>
      </c>
      <c r="D1795" s="51" t="s">
        <v>5332</v>
      </c>
      <c r="E1795" s="50">
        <v>2884</v>
      </c>
      <c r="F1795" s="50">
        <v>3211</v>
      </c>
      <c r="G1795" s="50" t="s">
        <v>3955</v>
      </c>
      <c r="H1795" s="50"/>
      <c r="I1795" s="105"/>
      <c r="J1795" s="50"/>
      <c r="K1795" s="50" t="s">
        <v>224</v>
      </c>
      <c r="L1795" s="50" t="s">
        <v>2289</v>
      </c>
      <c r="M1795" s="50" t="s">
        <v>212</v>
      </c>
      <c r="N1795" s="50"/>
      <c r="O1795" s="50"/>
      <c r="P1795" s="50"/>
      <c r="Q1795" s="50"/>
      <c r="R1795" s="50"/>
      <c r="S1795" s="50" t="str">
        <f t="shared" si="157"/>
        <v/>
      </c>
      <c r="T1795" s="50" t="str">
        <f t="shared" si="159"/>
        <v/>
      </c>
      <c r="U1795" s="50" t="str">
        <f t="shared" si="160"/>
        <v/>
      </c>
      <c r="V1795" s="50" t="str">
        <f t="shared" si="158"/>
        <v/>
      </c>
      <c r="W1795" s="50"/>
      <c r="X1795" s="50"/>
      <c r="Y1795" s="50"/>
      <c r="Z1795" s="50"/>
      <c r="AA1795" s="50"/>
    </row>
    <row r="1796" spans="1:27" ht="25.5" customHeight="1">
      <c r="A1796" s="517" t="s">
        <v>2286</v>
      </c>
      <c r="B1796" s="51" t="s">
        <v>5326</v>
      </c>
      <c r="C1796" s="51" t="s">
        <v>143</v>
      </c>
      <c r="D1796" s="51" t="s">
        <v>5333</v>
      </c>
      <c r="E1796" s="50">
        <v>1271</v>
      </c>
      <c r="F1796" s="50">
        <v>1375</v>
      </c>
      <c r="G1796" s="50" t="s">
        <v>3955</v>
      </c>
      <c r="H1796" s="50"/>
      <c r="I1796" s="105"/>
      <c r="J1796" s="50"/>
      <c r="K1796" s="50" t="s">
        <v>224</v>
      </c>
      <c r="L1796" s="50" t="s">
        <v>2289</v>
      </c>
      <c r="M1796" s="50" t="s">
        <v>212</v>
      </c>
      <c r="N1796" s="50"/>
      <c r="O1796" s="50"/>
      <c r="P1796" s="50"/>
      <c r="Q1796" s="50"/>
      <c r="R1796" s="50"/>
      <c r="S1796" s="50" t="str">
        <f t="shared" si="157"/>
        <v/>
      </c>
      <c r="T1796" s="50" t="str">
        <f t="shared" si="159"/>
        <v/>
      </c>
      <c r="U1796" s="50" t="str">
        <f t="shared" si="160"/>
        <v/>
      </c>
      <c r="V1796" s="50" t="str">
        <f t="shared" si="158"/>
        <v/>
      </c>
      <c r="W1796" s="50"/>
      <c r="X1796" s="50"/>
      <c r="Y1796" s="50"/>
      <c r="Z1796" s="50"/>
      <c r="AA1796" s="50"/>
    </row>
    <row r="1797" spans="1:27" ht="25.5" customHeight="1">
      <c r="A1797" s="517" t="s">
        <v>2286</v>
      </c>
      <c r="B1797" s="51" t="s">
        <v>5326</v>
      </c>
      <c r="C1797" s="51" t="s">
        <v>143</v>
      </c>
      <c r="D1797" s="51" t="s">
        <v>5334</v>
      </c>
      <c r="E1797" s="50">
        <v>1357</v>
      </c>
      <c r="F1797" s="50">
        <v>1595</v>
      </c>
      <c r="G1797" s="50" t="s">
        <v>3955</v>
      </c>
      <c r="H1797" s="50"/>
      <c r="I1797" s="105"/>
      <c r="J1797" s="50"/>
      <c r="K1797" s="50" t="s">
        <v>224</v>
      </c>
      <c r="L1797" s="50" t="s">
        <v>2289</v>
      </c>
      <c r="M1797" s="50" t="s">
        <v>212</v>
      </c>
      <c r="N1797" s="50"/>
      <c r="O1797" s="50"/>
      <c r="P1797" s="50"/>
      <c r="Q1797" s="50"/>
      <c r="R1797" s="50"/>
      <c r="S1797" s="50" t="str">
        <f t="shared" si="157"/>
        <v/>
      </c>
      <c r="T1797" s="50" t="str">
        <f t="shared" si="159"/>
        <v/>
      </c>
      <c r="U1797" s="50" t="str">
        <f t="shared" si="160"/>
        <v/>
      </c>
      <c r="V1797" s="50" t="str">
        <f t="shared" si="158"/>
        <v/>
      </c>
      <c r="W1797" s="50"/>
      <c r="X1797" s="50"/>
      <c r="Y1797" s="50"/>
      <c r="Z1797" s="50"/>
      <c r="AA1797" s="50"/>
    </row>
    <row r="1798" spans="1:27" ht="25.5" customHeight="1">
      <c r="A1798" s="517" t="s">
        <v>2286</v>
      </c>
      <c r="B1798" s="51" t="s">
        <v>5326</v>
      </c>
      <c r="C1798" s="51" t="s">
        <v>143</v>
      </c>
      <c r="D1798" s="51" t="s">
        <v>1197</v>
      </c>
      <c r="E1798" s="50">
        <v>1317</v>
      </c>
      <c r="F1798" s="50">
        <v>1329</v>
      </c>
      <c r="G1798" s="50" t="s">
        <v>3955</v>
      </c>
      <c r="H1798" s="50"/>
      <c r="I1798" s="105"/>
      <c r="J1798" s="50"/>
      <c r="K1798" s="50" t="s">
        <v>224</v>
      </c>
      <c r="L1798" s="50" t="s">
        <v>2289</v>
      </c>
      <c r="M1798" s="50" t="s">
        <v>212</v>
      </c>
      <c r="N1798" s="50"/>
      <c r="O1798" s="50"/>
      <c r="P1798" s="50"/>
      <c r="Q1798" s="50"/>
      <c r="R1798" s="50"/>
      <c r="S1798" s="50" t="str">
        <f t="shared" si="157"/>
        <v/>
      </c>
      <c r="T1798" s="50" t="str">
        <f t="shared" si="159"/>
        <v/>
      </c>
      <c r="U1798" s="50" t="str">
        <f t="shared" si="160"/>
        <v/>
      </c>
      <c r="V1798" s="50" t="str">
        <f t="shared" si="158"/>
        <v/>
      </c>
      <c r="W1798" s="50"/>
      <c r="X1798" s="50"/>
      <c r="Y1798" s="50"/>
      <c r="Z1798" s="50"/>
      <c r="AA1798" s="50"/>
    </row>
    <row r="1799" spans="1:27" ht="25.5" customHeight="1">
      <c r="A1799" s="517" t="s">
        <v>2286</v>
      </c>
      <c r="B1799" s="51" t="s">
        <v>5326</v>
      </c>
      <c r="C1799" s="51" t="s">
        <v>143</v>
      </c>
      <c r="D1799" s="51" t="s">
        <v>1180</v>
      </c>
      <c r="E1799" s="50">
        <v>5944</v>
      </c>
      <c r="F1799" s="50">
        <v>6130</v>
      </c>
      <c r="G1799" s="50" t="s">
        <v>3955</v>
      </c>
      <c r="H1799" s="50"/>
      <c r="I1799" s="105"/>
      <c r="J1799" s="50"/>
      <c r="K1799" s="50" t="s">
        <v>224</v>
      </c>
      <c r="L1799" s="50" t="s">
        <v>2289</v>
      </c>
      <c r="M1799" s="50" t="s">
        <v>212</v>
      </c>
      <c r="N1799" s="50"/>
      <c r="O1799" s="50"/>
      <c r="P1799" s="50"/>
      <c r="Q1799" s="50"/>
      <c r="R1799" s="50"/>
      <c r="S1799" s="50" t="str">
        <f t="shared" si="157"/>
        <v/>
      </c>
      <c r="T1799" s="50" t="str">
        <f t="shared" si="159"/>
        <v/>
      </c>
      <c r="U1799" s="50" t="str">
        <f t="shared" si="160"/>
        <v/>
      </c>
      <c r="V1799" s="50" t="str">
        <f t="shared" si="158"/>
        <v/>
      </c>
      <c r="W1799" s="50"/>
      <c r="X1799" s="50"/>
      <c r="Y1799" s="50"/>
      <c r="Z1799" s="50"/>
      <c r="AA1799" s="50"/>
    </row>
    <row r="1800" spans="1:27" ht="25.5" customHeight="1">
      <c r="A1800" s="517" t="s">
        <v>2286</v>
      </c>
      <c r="B1800" s="51" t="s">
        <v>5326</v>
      </c>
      <c r="C1800" s="51" t="s">
        <v>143</v>
      </c>
      <c r="D1800" s="51" t="s">
        <v>1155</v>
      </c>
      <c r="E1800" s="50">
        <v>1340</v>
      </c>
      <c r="F1800" s="50">
        <v>1366</v>
      </c>
      <c r="G1800" s="50" t="s">
        <v>3955</v>
      </c>
      <c r="H1800" s="50"/>
      <c r="I1800" s="105"/>
      <c r="J1800" s="50"/>
      <c r="K1800" s="50" t="s">
        <v>224</v>
      </c>
      <c r="L1800" s="50" t="s">
        <v>2289</v>
      </c>
      <c r="M1800" s="50" t="s">
        <v>212</v>
      </c>
      <c r="N1800" s="50"/>
      <c r="O1800" s="50"/>
      <c r="P1800" s="50"/>
      <c r="Q1800" s="50"/>
      <c r="R1800" s="50"/>
      <c r="S1800" s="50" t="str">
        <f t="shared" si="157"/>
        <v/>
      </c>
      <c r="T1800" s="50" t="str">
        <f t="shared" si="159"/>
        <v/>
      </c>
      <c r="U1800" s="50" t="str">
        <f t="shared" si="160"/>
        <v/>
      </c>
      <c r="V1800" s="50" t="str">
        <f t="shared" si="158"/>
        <v/>
      </c>
      <c r="W1800" s="50"/>
      <c r="X1800" s="50"/>
      <c r="Y1800" s="50"/>
      <c r="Z1800" s="50"/>
      <c r="AA1800" s="50"/>
    </row>
    <row r="1801" spans="1:27" ht="25.5" customHeight="1">
      <c r="A1801" s="517" t="s">
        <v>2286</v>
      </c>
      <c r="B1801" s="51" t="s">
        <v>5326</v>
      </c>
      <c r="C1801" s="51" t="s">
        <v>143</v>
      </c>
      <c r="D1801" s="51" t="s">
        <v>3878</v>
      </c>
      <c r="E1801" s="50">
        <v>1544</v>
      </c>
      <c r="F1801" s="50">
        <v>1562</v>
      </c>
      <c r="G1801" s="50" t="s">
        <v>3955</v>
      </c>
      <c r="H1801" s="50"/>
      <c r="I1801" s="105"/>
      <c r="J1801" s="50"/>
      <c r="K1801" s="50" t="s">
        <v>224</v>
      </c>
      <c r="L1801" s="50" t="s">
        <v>2289</v>
      </c>
      <c r="M1801" s="50" t="s">
        <v>212</v>
      </c>
      <c r="N1801" s="50"/>
      <c r="O1801" s="50"/>
      <c r="P1801" s="50"/>
      <c r="Q1801" s="50"/>
      <c r="R1801" s="50"/>
      <c r="S1801" s="50" t="str">
        <f t="shared" si="157"/>
        <v/>
      </c>
      <c r="T1801" s="50" t="str">
        <f t="shared" si="159"/>
        <v/>
      </c>
      <c r="U1801" s="50" t="str">
        <f t="shared" si="160"/>
        <v/>
      </c>
      <c r="V1801" s="50" t="str">
        <f t="shared" si="158"/>
        <v/>
      </c>
      <c r="W1801" s="50"/>
      <c r="X1801" s="50"/>
      <c r="Y1801" s="50"/>
      <c r="Z1801" s="50"/>
      <c r="AA1801" s="50"/>
    </row>
    <row r="1802" spans="1:27" ht="25.5" customHeight="1">
      <c r="A1802" s="517" t="s">
        <v>2286</v>
      </c>
      <c r="B1802" s="51" t="s">
        <v>5326</v>
      </c>
      <c r="C1802" s="51" t="s">
        <v>143</v>
      </c>
      <c r="D1802" s="51" t="s">
        <v>1899</v>
      </c>
      <c r="E1802" s="50">
        <v>1732</v>
      </c>
      <c r="F1802" s="50">
        <v>1849</v>
      </c>
      <c r="G1802" s="50" t="s">
        <v>3955</v>
      </c>
      <c r="H1802" s="50"/>
      <c r="I1802" s="105"/>
      <c r="J1802" s="50"/>
      <c r="K1802" s="50" t="s">
        <v>224</v>
      </c>
      <c r="L1802" s="50" t="s">
        <v>2289</v>
      </c>
      <c r="M1802" s="50" t="s">
        <v>212</v>
      </c>
      <c r="N1802" s="50"/>
      <c r="O1802" s="50"/>
      <c r="P1802" s="50"/>
      <c r="Q1802" s="50"/>
      <c r="R1802" s="50"/>
      <c r="S1802" s="50" t="str">
        <f t="shared" si="157"/>
        <v/>
      </c>
      <c r="T1802" s="50" t="str">
        <f t="shared" si="159"/>
        <v/>
      </c>
      <c r="U1802" s="50" t="str">
        <f t="shared" si="160"/>
        <v/>
      </c>
      <c r="V1802" s="50" t="str">
        <f t="shared" si="158"/>
        <v/>
      </c>
      <c r="W1802" s="50"/>
      <c r="X1802" s="50"/>
      <c r="Y1802" s="50"/>
      <c r="Z1802" s="50"/>
      <c r="AA1802" s="50"/>
    </row>
    <row r="1803" spans="1:27" ht="25.5" customHeight="1">
      <c r="A1803" s="517" t="s">
        <v>2286</v>
      </c>
      <c r="B1803" s="51" t="s">
        <v>5326</v>
      </c>
      <c r="C1803" s="51" t="s">
        <v>143</v>
      </c>
      <c r="D1803" s="51" t="s">
        <v>5335</v>
      </c>
      <c r="E1803" s="50">
        <v>1759</v>
      </c>
      <c r="F1803" s="50">
        <v>1999</v>
      </c>
      <c r="G1803" s="50" t="s">
        <v>3955</v>
      </c>
      <c r="H1803" s="19"/>
      <c r="I1803" s="380"/>
      <c r="J1803" s="19"/>
      <c r="K1803" s="50" t="s">
        <v>224</v>
      </c>
      <c r="L1803" s="50" t="s">
        <v>2289</v>
      </c>
      <c r="M1803" s="50" t="s">
        <v>212</v>
      </c>
      <c r="N1803" s="50"/>
      <c r="O1803" s="60"/>
      <c r="P1803" s="60"/>
      <c r="Q1803" s="50"/>
      <c r="R1803" s="50"/>
      <c r="S1803" s="50" t="str">
        <f t="shared" si="157"/>
        <v/>
      </c>
      <c r="T1803" s="50" t="str">
        <f t="shared" si="159"/>
        <v/>
      </c>
      <c r="U1803" s="50" t="str">
        <f t="shared" si="160"/>
        <v/>
      </c>
      <c r="V1803" s="50" t="str">
        <f t="shared" si="158"/>
        <v/>
      </c>
      <c r="W1803" s="50"/>
      <c r="X1803" s="381"/>
      <c r="Y1803" s="19"/>
      <c r="Z1803" s="19"/>
      <c r="AA1803" s="50"/>
    </row>
    <row r="1804" spans="1:27" ht="25.5" customHeight="1">
      <c r="A1804" s="517" t="s">
        <v>2286</v>
      </c>
      <c r="B1804" s="51" t="s">
        <v>5326</v>
      </c>
      <c r="C1804" s="51" t="s">
        <v>143</v>
      </c>
      <c r="D1804" s="51" t="s">
        <v>5336</v>
      </c>
      <c r="E1804" s="50">
        <v>3257</v>
      </c>
      <c r="F1804" s="50">
        <v>3784</v>
      </c>
      <c r="G1804" s="50" t="s">
        <v>3404</v>
      </c>
      <c r="H1804" s="50">
        <v>2025</v>
      </c>
      <c r="I1804" s="132">
        <v>45797</v>
      </c>
      <c r="J1804" s="50" t="s">
        <v>3689</v>
      </c>
      <c r="K1804" s="50" t="s">
        <v>224</v>
      </c>
      <c r="L1804" s="50" t="s">
        <v>2289</v>
      </c>
      <c r="M1804" s="50" t="s">
        <v>212</v>
      </c>
      <c r="N1804" s="50" t="s">
        <v>5337</v>
      </c>
      <c r="O1804" s="60">
        <v>45800</v>
      </c>
      <c r="P1804" s="60">
        <v>45803</v>
      </c>
      <c r="Q1804" s="60">
        <v>45804</v>
      </c>
      <c r="R1804" s="60">
        <v>45805</v>
      </c>
      <c r="S1804" s="50">
        <f t="shared" si="157"/>
        <v>3</v>
      </c>
      <c r="T1804" s="50">
        <f t="shared" si="159"/>
        <v>1</v>
      </c>
      <c r="U1804" s="50">
        <f t="shared" si="160"/>
        <v>1</v>
      </c>
      <c r="V1804" s="50">
        <f t="shared" si="158"/>
        <v>1</v>
      </c>
      <c r="W1804" s="50" t="s">
        <v>150</v>
      </c>
      <c r="X1804" s="50" t="s">
        <v>4</v>
      </c>
      <c r="Y1804" s="50" t="s">
        <v>50</v>
      </c>
      <c r="Z1804" s="50" t="s">
        <v>3406</v>
      </c>
      <c r="AA1804" s="50"/>
    </row>
    <row r="1805" spans="1:27" ht="25.5" customHeight="1">
      <c r="A1805" s="517" t="s">
        <v>2286</v>
      </c>
      <c r="B1805" s="51" t="s">
        <v>5326</v>
      </c>
      <c r="C1805" s="51" t="s">
        <v>143</v>
      </c>
      <c r="D1805" s="51" t="s">
        <v>5338</v>
      </c>
      <c r="E1805" s="50">
        <v>3228</v>
      </c>
      <c r="F1805" s="50">
        <v>3608</v>
      </c>
      <c r="G1805" s="50" t="s">
        <v>3955</v>
      </c>
      <c r="H1805" s="50"/>
      <c r="I1805" s="105"/>
      <c r="J1805" s="50"/>
      <c r="K1805" s="50" t="s">
        <v>224</v>
      </c>
      <c r="L1805" s="50" t="s">
        <v>2289</v>
      </c>
      <c r="M1805" s="50" t="s">
        <v>212</v>
      </c>
      <c r="N1805" s="50"/>
      <c r="O1805" s="50"/>
      <c r="P1805" s="50"/>
      <c r="Q1805" s="50"/>
      <c r="R1805" s="50"/>
      <c r="S1805" s="50" t="str">
        <f t="shared" si="157"/>
        <v/>
      </c>
      <c r="T1805" s="50" t="str">
        <f t="shared" si="159"/>
        <v/>
      </c>
      <c r="U1805" s="50" t="str">
        <f t="shared" si="160"/>
        <v/>
      </c>
      <c r="V1805" s="50" t="str">
        <f t="shared" si="158"/>
        <v/>
      </c>
      <c r="W1805" s="50"/>
      <c r="X1805" s="50"/>
      <c r="Y1805" s="50"/>
      <c r="Z1805" s="50"/>
      <c r="AA1805" s="50"/>
    </row>
    <row r="1806" spans="1:27" ht="25.5" customHeight="1">
      <c r="A1806" s="517" t="s">
        <v>2286</v>
      </c>
      <c r="B1806" s="51" t="s">
        <v>5326</v>
      </c>
      <c r="C1806" s="51" t="s">
        <v>143</v>
      </c>
      <c r="D1806" s="51" t="s">
        <v>5339</v>
      </c>
      <c r="E1806" s="50">
        <v>3914</v>
      </c>
      <c r="F1806" s="50">
        <v>3884</v>
      </c>
      <c r="G1806" s="50" t="s">
        <v>3955</v>
      </c>
      <c r="H1806" s="50"/>
      <c r="I1806" s="105"/>
      <c r="J1806" s="50"/>
      <c r="K1806" s="50" t="s">
        <v>224</v>
      </c>
      <c r="L1806" s="50" t="s">
        <v>2289</v>
      </c>
      <c r="M1806" s="50" t="s">
        <v>212</v>
      </c>
      <c r="N1806" s="50"/>
      <c r="O1806" s="50"/>
      <c r="P1806" s="50"/>
      <c r="Q1806" s="50"/>
      <c r="R1806" s="50"/>
      <c r="S1806" s="50" t="str">
        <f t="shared" si="157"/>
        <v/>
      </c>
      <c r="T1806" s="50" t="str">
        <f t="shared" si="159"/>
        <v/>
      </c>
      <c r="U1806" s="50" t="str">
        <f t="shared" si="160"/>
        <v/>
      </c>
      <c r="V1806" s="50" t="str">
        <f t="shared" si="158"/>
        <v/>
      </c>
      <c r="W1806" s="50"/>
      <c r="X1806" s="50"/>
      <c r="Y1806" s="50"/>
      <c r="Z1806" s="50"/>
      <c r="AA1806" s="50"/>
    </row>
    <row r="1807" spans="1:27" ht="25.5" customHeight="1">
      <c r="A1807" s="517" t="s">
        <v>2286</v>
      </c>
      <c r="B1807" s="51" t="s">
        <v>5326</v>
      </c>
      <c r="C1807" s="51" t="s">
        <v>143</v>
      </c>
      <c r="D1807" s="51" t="s">
        <v>5340</v>
      </c>
      <c r="E1807" s="50">
        <v>539</v>
      </c>
      <c r="F1807" s="50">
        <v>539</v>
      </c>
      <c r="G1807" s="50" t="s">
        <v>3955</v>
      </c>
      <c r="H1807" s="50"/>
      <c r="I1807" s="105"/>
      <c r="J1807" s="50"/>
      <c r="K1807" s="50" t="s">
        <v>224</v>
      </c>
      <c r="L1807" s="50" t="s">
        <v>2289</v>
      </c>
      <c r="M1807" s="50" t="s">
        <v>212</v>
      </c>
      <c r="N1807" s="50"/>
      <c r="O1807" s="50"/>
      <c r="P1807" s="50"/>
      <c r="Q1807" s="50"/>
      <c r="R1807" s="50"/>
      <c r="S1807" s="50" t="str">
        <f t="shared" si="157"/>
        <v/>
      </c>
      <c r="T1807" s="50" t="str">
        <f t="shared" si="159"/>
        <v/>
      </c>
      <c r="U1807" s="50" t="str">
        <f t="shared" si="160"/>
        <v/>
      </c>
      <c r="V1807" s="50" t="str">
        <f t="shared" si="158"/>
        <v/>
      </c>
      <c r="W1807" s="50"/>
      <c r="X1807" s="50"/>
      <c r="Y1807" s="50"/>
      <c r="Z1807" s="50"/>
      <c r="AA1807" s="50"/>
    </row>
    <row r="1808" spans="1:27" ht="25.5" customHeight="1">
      <c r="A1808" s="517" t="s">
        <v>778</v>
      </c>
      <c r="B1808" s="51" t="s">
        <v>2172</v>
      </c>
      <c r="C1808" s="51" t="s">
        <v>143</v>
      </c>
      <c r="D1808" s="51" t="s">
        <v>5341</v>
      </c>
      <c r="E1808" s="50">
        <v>3230</v>
      </c>
      <c r="F1808" s="50">
        <v>2556</v>
      </c>
      <c r="G1808" s="50" t="s">
        <v>3955</v>
      </c>
      <c r="H1808" s="50"/>
      <c r="I1808" s="105"/>
      <c r="J1808" s="50"/>
      <c r="K1808" s="50" t="s">
        <v>33</v>
      </c>
      <c r="L1808" s="50"/>
      <c r="M1808" s="50" t="s">
        <v>148</v>
      </c>
      <c r="N1808" s="50"/>
      <c r="O1808" s="50"/>
      <c r="P1808" s="50"/>
      <c r="Q1808" s="50"/>
      <c r="R1808" s="50"/>
      <c r="S1808" s="50" t="str">
        <f t="shared" si="157"/>
        <v/>
      </c>
      <c r="T1808" s="50" t="str">
        <f t="shared" si="159"/>
        <v/>
      </c>
      <c r="U1808" s="50" t="str">
        <f t="shared" si="160"/>
        <v/>
      </c>
      <c r="V1808" s="50" t="str">
        <f t="shared" si="158"/>
        <v/>
      </c>
      <c r="W1808" s="50"/>
      <c r="X1808" s="50"/>
      <c r="Y1808" s="50"/>
      <c r="Z1808" s="50"/>
      <c r="AA1808" s="50"/>
    </row>
    <row r="1809" spans="1:27" ht="25.5" customHeight="1">
      <c r="A1809" s="517" t="s">
        <v>778</v>
      </c>
      <c r="B1809" s="51" t="s">
        <v>2172</v>
      </c>
      <c r="C1809" s="51" t="s">
        <v>143</v>
      </c>
      <c r="D1809" s="51" t="s">
        <v>5342</v>
      </c>
      <c r="E1809" s="50">
        <v>14379</v>
      </c>
      <c r="F1809" s="50">
        <v>16953</v>
      </c>
      <c r="G1809" s="50" t="s">
        <v>3955</v>
      </c>
      <c r="H1809" s="50"/>
      <c r="I1809" s="105"/>
      <c r="J1809" s="50"/>
      <c r="K1809" s="50" t="s">
        <v>33</v>
      </c>
      <c r="L1809" s="50"/>
      <c r="M1809" s="50" t="s">
        <v>148</v>
      </c>
      <c r="N1809" s="50"/>
      <c r="O1809" s="50"/>
      <c r="P1809" s="50"/>
      <c r="Q1809" s="50"/>
      <c r="R1809" s="50"/>
      <c r="S1809" s="50" t="str">
        <f t="shared" si="157"/>
        <v/>
      </c>
      <c r="T1809" s="50" t="str">
        <f t="shared" si="159"/>
        <v/>
      </c>
      <c r="U1809" s="50" t="str">
        <f t="shared" si="160"/>
        <v/>
      </c>
      <c r="V1809" s="50" t="str">
        <f t="shared" si="158"/>
        <v/>
      </c>
      <c r="W1809" s="50"/>
      <c r="X1809" s="50"/>
      <c r="Y1809" s="50"/>
      <c r="Z1809" s="50"/>
      <c r="AA1809" s="50"/>
    </row>
    <row r="1810" spans="1:27" ht="25.5" customHeight="1">
      <c r="A1810" s="517" t="s">
        <v>778</v>
      </c>
      <c r="B1810" s="51" t="s">
        <v>2172</v>
      </c>
      <c r="C1810" s="51" t="s">
        <v>143</v>
      </c>
      <c r="D1810" s="51" t="s">
        <v>5343</v>
      </c>
      <c r="E1810" s="50">
        <v>20911</v>
      </c>
      <c r="F1810" s="50">
        <v>26063</v>
      </c>
      <c r="G1810" s="50" t="s">
        <v>3404</v>
      </c>
      <c r="H1810" s="50">
        <v>2025</v>
      </c>
      <c r="I1810" s="132">
        <v>45812</v>
      </c>
      <c r="J1810" s="50" t="s">
        <v>3689</v>
      </c>
      <c r="K1810" s="50" t="s">
        <v>33</v>
      </c>
      <c r="L1810" s="50" t="s">
        <v>28</v>
      </c>
      <c r="M1810" s="50" t="s">
        <v>148</v>
      </c>
      <c r="N1810" s="50" t="s">
        <v>5344</v>
      </c>
      <c r="O1810" s="60">
        <v>45813</v>
      </c>
      <c r="P1810" s="60">
        <v>45819</v>
      </c>
      <c r="Q1810" s="60">
        <v>45826</v>
      </c>
      <c r="R1810" s="60">
        <v>45826</v>
      </c>
      <c r="S1810" s="50">
        <f t="shared" si="157"/>
        <v>1</v>
      </c>
      <c r="T1810" s="50">
        <f>IF(
    OR(ISBLANK(1811), ISBLANK(P1810)),
    "",
    MAX(1, IF(
        NETWORKDAYS(O1810, P1810) &lt;= 0,
        1,
        NETWORKDAYS(O1810, P1810) - IF(O1810 = P1810, 0, 1)
    ))
)</f>
        <v>4</v>
      </c>
      <c r="U1810" s="50">
        <f>IF(
    OR(ISBLANK(P1810), ISBLANK(Q1810)),
    "",
    MAX(1, IF(
        NETWORKDAYS(P1810, Q1810) &lt;= 0,
        1,
        NETWORKDAYS(P1810, Q1810) - IF(P1810 = Q1810, 0, 1)
    ))
)</f>
        <v>5</v>
      </c>
      <c r="V1810" s="50">
        <f t="shared" si="158"/>
        <v>1</v>
      </c>
      <c r="W1810" s="50" t="s">
        <v>150</v>
      </c>
      <c r="X1810" s="50" t="s">
        <v>1078</v>
      </c>
      <c r="Y1810" s="50" t="s">
        <v>57</v>
      </c>
      <c r="Z1810" s="50" t="s">
        <v>3406</v>
      </c>
      <c r="AA1810" s="50"/>
    </row>
    <row r="1811" spans="1:27" ht="25.5" customHeight="1">
      <c r="A1811" s="517" t="s">
        <v>778</v>
      </c>
      <c r="B1811" s="51" t="s">
        <v>2172</v>
      </c>
      <c r="C1811" s="51" t="s">
        <v>143</v>
      </c>
      <c r="D1811" s="51" t="s">
        <v>5345</v>
      </c>
      <c r="E1811" s="50">
        <v>40087</v>
      </c>
      <c r="F1811" s="50">
        <v>42274</v>
      </c>
      <c r="G1811" s="50" t="s">
        <v>3955</v>
      </c>
      <c r="H1811" s="50"/>
      <c r="I1811" s="105"/>
      <c r="J1811" s="50"/>
      <c r="K1811" s="50" t="s">
        <v>33</v>
      </c>
      <c r="L1811" s="50"/>
      <c r="M1811" s="50" t="s">
        <v>148</v>
      </c>
      <c r="N1811" s="50"/>
      <c r="O1811" s="50"/>
      <c r="P1811" s="50"/>
      <c r="Q1811" s="50"/>
      <c r="R1811" s="50"/>
      <c r="S1811" s="50" t="str">
        <f t="shared" ref="S1811:S1874" si="161">IF(
    OR(ISBLANK(I1811), ISBLANK(O1811)),
    "",
    MAX(1, IF(
        NETWORKDAYS(I1811, O1811) &lt;= 0,
        1,
        NETWORKDAYS(I1811, O1811) - IF(I1811 = O1811, 0, 1)
    ))
)</f>
        <v/>
      </c>
      <c r="T1811" s="50" t="str">
        <f>IF(
    OR(ISBLANK(O1811), ISBLANK(P1811)),
    "",
    MAX(1, IF(
        NETWORKDAYS(O1811, P1811) &lt;= 0,
        1,
        NETWORKDAYS(O1811, P1811) - IF(O1811 = P1811, 0, 1)
    ))
)</f>
        <v/>
      </c>
      <c r="U1811" s="50" t="str">
        <f>IF(
    OR(ISBLANK(P1811), ISBLANK(Q1811)),
    "",
    MAX(1, IF(
        NETWORKDAYS(P1811, Q1811) &lt;= 0,
        1,
        NETWORKDAYS(P1811, Q1811) - IF(P1811 = Q1811, 0, 1)
    ))
)</f>
        <v/>
      </c>
      <c r="V1811" s="50" t="str">
        <f t="shared" ref="V1811:V1874" si="162">IF(
    OR(ISBLANK(Q1811), ISBLANK(R1811)),
    "",
    MAX(1, IF(
        NETWORKDAYS(Q1811, R1811) &lt;= 0,
        1,
        NETWORKDAYS(Q1811, R1811) - IF(Q1811 = R1811, 0, 1)
    ))
)</f>
        <v/>
      </c>
      <c r="W1811" s="50"/>
      <c r="X1811" s="50"/>
      <c r="Y1811" s="50"/>
      <c r="Z1811" s="50"/>
      <c r="AA1811" s="50"/>
    </row>
    <row r="1812" spans="1:27" s="110" customFormat="1" ht="25.5" customHeight="1">
      <c r="A1812" s="517" t="s">
        <v>778</v>
      </c>
      <c r="B1812" s="51" t="s">
        <v>2172</v>
      </c>
      <c r="C1812" s="51" t="s">
        <v>143</v>
      </c>
      <c r="D1812" s="51" t="s">
        <v>5346</v>
      </c>
      <c r="E1812" s="50">
        <v>8870</v>
      </c>
      <c r="F1812" s="50">
        <v>12602</v>
      </c>
      <c r="G1812" s="50" t="s">
        <v>3955</v>
      </c>
      <c r="H1812" s="50"/>
      <c r="I1812" s="105"/>
      <c r="J1812" s="50"/>
      <c r="K1812" s="50" t="s">
        <v>33</v>
      </c>
      <c r="L1812" s="50"/>
      <c r="M1812" s="50" t="s">
        <v>148</v>
      </c>
      <c r="N1812" s="50"/>
      <c r="O1812" s="50"/>
      <c r="P1812" s="50"/>
      <c r="Q1812" s="50"/>
      <c r="R1812" s="50"/>
      <c r="S1812" s="50" t="str">
        <f t="shared" si="161"/>
        <v/>
      </c>
      <c r="T1812" s="50" t="str">
        <f>IF(
    OR(ISBLANK(O1812), ISBLANK(P1812)),
    "",
    MAX(1, IF(
        NETWORKDAYS(O1812, P1812) &lt;= 0,
        1,
        NETWORKDAYS(O1812, P1812) - IF(O1812 = P1812, 0, 1)
    ))
)</f>
        <v/>
      </c>
      <c r="U1812" s="50" t="str">
        <f>IF(
    OR(ISBLANK(P1812), ISBLANK(Q1812)),
    "",
    MAX(1, IF(
        NETWORKDAYS(P1812, Q1812) &lt;= 0,
        1,
        NETWORKDAYS(P1812, Q1812) - IF(P1812 = Q1812, 0, 1)
    ))
)</f>
        <v/>
      </c>
      <c r="V1812" s="50" t="str">
        <f t="shared" si="162"/>
        <v/>
      </c>
      <c r="W1812" s="50"/>
      <c r="X1812" s="50"/>
      <c r="Y1812" s="50"/>
      <c r="Z1812" s="50"/>
      <c r="AA1812" s="50"/>
    </row>
    <row r="1813" spans="1:27" ht="25.5" customHeight="1">
      <c r="A1813" s="517" t="s">
        <v>778</v>
      </c>
      <c r="B1813" s="51" t="s">
        <v>2172</v>
      </c>
      <c r="C1813" s="51" t="s">
        <v>143</v>
      </c>
      <c r="D1813" s="51" t="s">
        <v>5347</v>
      </c>
      <c r="E1813" s="50">
        <v>3981</v>
      </c>
      <c r="F1813" s="50">
        <v>5149</v>
      </c>
      <c r="G1813" s="50" t="s">
        <v>3955</v>
      </c>
      <c r="H1813" s="50"/>
      <c r="I1813" s="105"/>
      <c r="J1813" s="50"/>
      <c r="K1813" s="50" t="s">
        <v>33</v>
      </c>
      <c r="L1813" s="50"/>
      <c r="M1813" s="50" t="s">
        <v>148</v>
      </c>
      <c r="N1813" s="50"/>
      <c r="O1813" s="50"/>
      <c r="P1813" s="50"/>
      <c r="Q1813" s="50"/>
      <c r="R1813" s="50"/>
      <c r="S1813" s="50" t="str">
        <f t="shared" si="161"/>
        <v/>
      </c>
      <c r="T1813" s="50" t="str">
        <f>IF(
    OR(ISBLANK(O1813), ISBLANK(P1813)),
    "",
    MAX(1, IF(
        NETWORKDAYS(O1813, P1813) &lt;= 0,
        1,
        NETWORKDAYS(O1813, P1813) - IF(O1813 = P1813, 0, 1)
    ))
)</f>
        <v/>
      </c>
      <c r="U1813" s="50" t="str">
        <f>IF(
    OR(ISBLANK(P1813), ISBLANK(Q1813)),
    "",
    MAX(1, IF(
        NETWORKDAYS(P1813, Q1813) &lt;= 0,
        1,
        NETWORKDAYS(P1813, Q1813) - IF(P1813 = Q1813, 0, 1)
    ))
)</f>
        <v/>
      </c>
      <c r="V1813" s="50" t="str">
        <f t="shared" si="162"/>
        <v/>
      </c>
      <c r="W1813" s="50"/>
      <c r="X1813" s="50"/>
      <c r="Y1813" s="50"/>
      <c r="Z1813" s="50"/>
      <c r="AA1813" s="50"/>
    </row>
    <row r="1814" spans="1:27" ht="25.5" customHeight="1">
      <c r="A1814" s="50" t="s">
        <v>778</v>
      </c>
      <c r="B1814" s="51" t="s">
        <v>2172</v>
      </c>
      <c r="C1814" s="51" t="s">
        <v>143</v>
      </c>
      <c r="D1814" s="51" t="s">
        <v>5348</v>
      </c>
      <c r="E1814" s="50">
        <v>10363</v>
      </c>
      <c r="F1814" s="50">
        <v>15046</v>
      </c>
      <c r="G1814" s="50" t="s">
        <v>3404</v>
      </c>
      <c r="H1814" s="50">
        <v>2024</v>
      </c>
      <c r="I1814" s="132">
        <v>45546</v>
      </c>
      <c r="J1814" s="50"/>
      <c r="K1814" s="50" t="s">
        <v>33</v>
      </c>
      <c r="L1814" s="50"/>
      <c r="M1814" s="50" t="s">
        <v>148</v>
      </c>
      <c r="N1814" s="50"/>
      <c r="O1814" s="50"/>
      <c r="P1814" s="50"/>
      <c r="Q1814" s="50"/>
      <c r="R1814" s="50"/>
      <c r="S1814" s="50" t="str">
        <f t="shared" si="161"/>
        <v/>
      </c>
      <c r="T1814" s="50" t="str">
        <f>IF(
    OR(ISBLANK(O1814), ISBLANK(P1814)),
    "",
    MAX(1, IF(
        NETWORKDAYS(O1814, P1814) &lt;= 0,
        1,
        NETWORKDAYS(O1814, P1814) - IF(O1814 = P1814, 0, 1)
    ))
)</f>
        <v/>
      </c>
      <c r="U1814" s="50" t="str">
        <f>IF(
    OR(ISBLANK(P1814), ISBLANK(Q1814)),
    "",
    MAX(1, IF(
        NETWORKDAYS(P1814, Q1814) &lt;= 0,
        1,
        NETWORKDAYS(P1814, Q1814) - IF(P1814 = Q1814, 0, 1)
    ))
)</f>
        <v/>
      </c>
      <c r="V1814" s="50" t="str">
        <f t="shared" si="162"/>
        <v/>
      </c>
      <c r="W1814" s="50"/>
      <c r="X1814" s="50" t="s">
        <v>4</v>
      </c>
      <c r="Y1814" s="50" t="s">
        <v>50</v>
      </c>
      <c r="Z1814" s="50" t="s">
        <v>3406</v>
      </c>
      <c r="AA1814" s="50"/>
    </row>
    <row r="1815" spans="1:27" ht="25.5" customHeight="1">
      <c r="A1815" s="517" t="s">
        <v>778</v>
      </c>
      <c r="B1815" s="51" t="s">
        <v>2172</v>
      </c>
      <c r="C1815" s="51" t="s">
        <v>143</v>
      </c>
      <c r="D1815" s="51" t="s">
        <v>1716</v>
      </c>
      <c r="E1815" s="50">
        <v>27843</v>
      </c>
      <c r="F1815" s="50">
        <v>28296</v>
      </c>
      <c r="G1815" s="50" t="s">
        <v>3404</v>
      </c>
      <c r="H1815" s="50">
        <v>2025</v>
      </c>
      <c r="I1815" s="132">
        <v>45729</v>
      </c>
      <c r="J1815" s="50" t="s">
        <v>3416</v>
      </c>
      <c r="K1815" s="50" t="s">
        <v>33</v>
      </c>
      <c r="L1815" s="50"/>
      <c r="M1815" s="50" t="s">
        <v>148</v>
      </c>
      <c r="N1815" s="50" t="s">
        <v>5349</v>
      </c>
      <c r="O1815" s="60">
        <v>45729</v>
      </c>
      <c r="P1815" s="50"/>
      <c r="Q1815" s="60">
        <v>45733</v>
      </c>
      <c r="R1815" s="60">
        <v>45734</v>
      </c>
      <c r="S1815" s="50">
        <f t="shared" si="161"/>
        <v>1</v>
      </c>
      <c r="T1815" s="50" t="str">
        <f>IF(
    OR(ISBLANK(O1815), ISBLANK(P1815)),
    "",
    MAX(1, IF(
        NETWORKDAYS(O1815, P1815) &lt;= 0,
        1,
        NETWORKDAYS(O1815, P1815) - IF(O1815 = QP1815, 0, 1)
    ))
)</f>
        <v/>
      </c>
      <c r="U1815" s="50">
        <f>IF(
    OR(ISBLANK(1816), ISBLANK(Q1815)),
    "",
    MAX(1, IF(
        NETWORKDAYS(O1815, Q1815) &lt;= 0,
        1,
        NETWORKDAYS(O1815, Q1815) - IF(O1815 = Q1815, 0, 1)
    ))
)</f>
        <v>2</v>
      </c>
      <c r="V1815" s="50">
        <f t="shared" si="162"/>
        <v>1</v>
      </c>
      <c r="W1815" s="50" t="s">
        <v>150</v>
      </c>
      <c r="X1815" s="50" t="s">
        <v>1078</v>
      </c>
      <c r="Y1815" s="50" t="s">
        <v>50</v>
      </c>
      <c r="Z1815" s="50" t="s">
        <v>3406</v>
      </c>
      <c r="AA1815" s="50"/>
    </row>
    <row r="1816" spans="1:27" ht="25.5" customHeight="1">
      <c r="A1816" s="517" t="s">
        <v>778</v>
      </c>
      <c r="B1816" s="51" t="s">
        <v>2172</v>
      </c>
      <c r="C1816" s="51" t="s">
        <v>143</v>
      </c>
      <c r="D1816" s="51" t="s">
        <v>5350</v>
      </c>
      <c r="E1816" s="50">
        <v>23177</v>
      </c>
      <c r="F1816" s="50">
        <v>24821</v>
      </c>
      <c r="G1816" s="50" t="s">
        <v>3955</v>
      </c>
      <c r="H1816" s="50"/>
      <c r="I1816" s="105"/>
      <c r="J1816" s="50"/>
      <c r="K1816" s="50" t="s">
        <v>33</v>
      </c>
      <c r="L1816" s="50"/>
      <c r="M1816" s="50" t="s">
        <v>148</v>
      </c>
      <c r="N1816" s="50"/>
      <c r="O1816" s="50"/>
      <c r="P1816" s="50"/>
      <c r="Q1816" s="50"/>
      <c r="R1816" s="50"/>
      <c r="S1816" s="50" t="str">
        <f t="shared" si="161"/>
        <v/>
      </c>
      <c r="T1816" s="50" t="str">
        <f t="shared" ref="T1816:U1818" si="163">IF(
    OR(ISBLANK(O1816), ISBLANK(P1816)),
    "",
    MAX(1, IF(
        NETWORKDAYS(O1816, P1816) &lt;= 0,
        1,
        NETWORKDAYS(O1816, P1816) - IF(O1816 = P1816, 0, 1)
    ))
)</f>
        <v/>
      </c>
      <c r="U1816" s="50" t="str">
        <f t="shared" si="163"/>
        <v/>
      </c>
      <c r="V1816" s="50" t="str">
        <f t="shared" si="162"/>
        <v/>
      </c>
      <c r="W1816" s="50"/>
      <c r="X1816" s="50"/>
      <c r="Y1816" s="50"/>
      <c r="Z1816" s="50"/>
      <c r="AA1816" s="50"/>
    </row>
    <row r="1817" spans="1:27" ht="25.5" customHeight="1">
      <c r="A1817" s="517" t="s">
        <v>778</v>
      </c>
      <c r="B1817" s="51" t="s">
        <v>2172</v>
      </c>
      <c r="C1817" s="51" t="s">
        <v>143</v>
      </c>
      <c r="D1817" s="51" t="s">
        <v>5351</v>
      </c>
      <c r="E1817" s="50">
        <v>9896</v>
      </c>
      <c r="F1817" s="50">
        <v>10054</v>
      </c>
      <c r="G1817" s="50" t="s">
        <v>3955</v>
      </c>
      <c r="H1817" s="50"/>
      <c r="I1817" s="105"/>
      <c r="J1817" s="50"/>
      <c r="K1817" s="50" t="s">
        <v>33</v>
      </c>
      <c r="L1817" s="50"/>
      <c r="M1817" s="50" t="s">
        <v>148</v>
      </c>
      <c r="N1817" s="50"/>
      <c r="O1817" s="50"/>
      <c r="P1817" s="50"/>
      <c r="Q1817" s="50"/>
      <c r="R1817" s="50"/>
      <c r="S1817" s="50" t="str">
        <f t="shared" si="161"/>
        <v/>
      </c>
      <c r="T1817" s="50" t="str">
        <f t="shared" si="163"/>
        <v/>
      </c>
      <c r="U1817" s="50" t="str">
        <f t="shared" si="163"/>
        <v/>
      </c>
      <c r="V1817" s="50" t="str">
        <f t="shared" si="162"/>
        <v/>
      </c>
      <c r="W1817" s="50"/>
      <c r="X1817" s="50"/>
      <c r="Y1817" s="50"/>
      <c r="Z1817" s="50"/>
      <c r="AA1817" s="50"/>
    </row>
    <row r="1818" spans="1:27" s="110" customFormat="1" ht="25.5" customHeight="1">
      <c r="A1818" s="517" t="s">
        <v>778</v>
      </c>
      <c r="B1818" s="51" t="s">
        <v>2172</v>
      </c>
      <c r="C1818" s="51" t="s">
        <v>143</v>
      </c>
      <c r="D1818" s="51" t="s">
        <v>5352</v>
      </c>
      <c r="E1818" s="50">
        <v>4797</v>
      </c>
      <c r="F1818" s="50">
        <v>4879</v>
      </c>
      <c r="G1818" s="50" t="s">
        <v>3955</v>
      </c>
      <c r="H1818" s="50"/>
      <c r="I1818" s="105"/>
      <c r="J1818" s="50"/>
      <c r="K1818" s="50" t="s">
        <v>33</v>
      </c>
      <c r="L1818" s="50"/>
      <c r="M1818" s="50" t="s">
        <v>148</v>
      </c>
      <c r="N1818" s="50"/>
      <c r="O1818" s="50"/>
      <c r="P1818" s="50"/>
      <c r="Q1818" s="50"/>
      <c r="R1818" s="50"/>
      <c r="S1818" s="50" t="str">
        <f t="shared" si="161"/>
        <v/>
      </c>
      <c r="T1818" s="50" t="str">
        <f t="shared" si="163"/>
        <v/>
      </c>
      <c r="U1818" s="50" t="str">
        <f t="shared" si="163"/>
        <v/>
      </c>
      <c r="V1818" s="50" t="str">
        <f t="shared" si="162"/>
        <v/>
      </c>
      <c r="W1818" s="50"/>
      <c r="X1818" s="50"/>
      <c r="Y1818" s="50"/>
      <c r="Z1818" s="50"/>
      <c r="AA1818" s="50"/>
    </row>
    <row r="1819" spans="1:27" ht="25.5" customHeight="1">
      <c r="A1819" s="517" t="s">
        <v>778</v>
      </c>
      <c r="B1819" s="51" t="s">
        <v>2172</v>
      </c>
      <c r="C1819" s="51" t="s">
        <v>143</v>
      </c>
      <c r="D1819" s="51" t="s">
        <v>5353</v>
      </c>
      <c r="E1819" s="50">
        <v>4741</v>
      </c>
      <c r="F1819" s="50">
        <v>3639</v>
      </c>
      <c r="G1819" s="50" t="s">
        <v>3404</v>
      </c>
      <c r="H1819" s="50">
        <v>2025</v>
      </c>
      <c r="I1819" s="132">
        <v>45882</v>
      </c>
      <c r="J1819" s="50" t="s">
        <v>3126</v>
      </c>
      <c r="K1819" s="50" t="s">
        <v>33</v>
      </c>
      <c r="L1819" s="50" t="s">
        <v>28</v>
      </c>
      <c r="M1819" s="50" t="s">
        <v>148</v>
      </c>
      <c r="N1819" s="50" t="s">
        <v>5354</v>
      </c>
      <c r="O1819" s="60">
        <v>45883</v>
      </c>
      <c r="P1819" s="60">
        <v>45884</v>
      </c>
      <c r="Q1819" s="60">
        <v>45888</v>
      </c>
      <c r="R1819" s="60">
        <v>45888</v>
      </c>
      <c r="S1819" s="50">
        <f t="shared" si="161"/>
        <v>1</v>
      </c>
      <c r="T1819" s="50">
        <f>IF(
    OR(ISBLANK(1811), ISBLANK(P1819)),
    "",
    MAX(1, IF(
        NETWORKDAYS(O1819, P1819) &lt;= 0,
        1,
        NETWORKDAYS(O1819, P1819) - IF(O1819 = P1819, 0, 1)
    ))
)</f>
        <v>1</v>
      </c>
      <c r="U1819" s="50">
        <f t="shared" ref="U1819:U1827" si="164">IF(
    OR(ISBLANK(P1819), ISBLANK(Q1819)),
    "",
    MAX(1, IF(
        NETWORKDAYS(P1819, Q1819) &lt;= 0,
        1,
        NETWORKDAYS(P1819, Q1819) - IF(P1819 = Q1819, 0, 1)
    ))
)</f>
        <v>2</v>
      </c>
      <c r="V1819" s="50">
        <f t="shared" si="162"/>
        <v>1</v>
      </c>
      <c r="W1819" s="50" t="s">
        <v>150</v>
      </c>
      <c r="X1819" s="50" t="s">
        <v>1078</v>
      </c>
      <c r="Y1819" s="50" t="s">
        <v>50</v>
      </c>
      <c r="Z1819" s="50" t="s">
        <v>3406</v>
      </c>
      <c r="AA1819" s="50"/>
    </row>
    <row r="1820" spans="1:27" ht="25.5" customHeight="1">
      <c r="A1820" s="50" t="s">
        <v>778</v>
      </c>
      <c r="B1820" s="51" t="s">
        <v>2172</v>
      </c>
      <c r="C1820" s="51" t="s">
        <v>143</v>
      </c>
      <c r="D1820" s="51" t="s">
        <v>5355</v>
      </c>
      <c r="E1820" s="50">
        <v>33174</v>
      </c>
      <c r="F1820" s="50">
        <v>29841</v>
      </c>
      <c r="G1820" s="50" t="s">
        <v>3404</v>
      </c>
      <c r="H1820" s="50">
        <v>2024</v>
      </c>
      <c r="I1820" s="132">
        <v>45575</v>
      </c>
      <c r="J1820" s="50"/>
      <c r="K1820" s="50" t="s">
        <v>33</v>
      </c>
      <c r="L1820" s="50"/>
      <c r="M1820" s="50" t="s">
        <v>148</v>
      </c>
      <c r="N1820" s="50"/>
      <c r="O1820" s="50"/>
      <c r="P1820" s="50"/>
      <c r="Q1820" s="50"/>
      <c r="R1820" s="50"/>
      <c r="S1820" s="50" t="str">
        <f t="shared" si="161"/>
        <v/>
      </c>
      <c r="T1820" s="50" t="str">
        <f t="shared" ref="T1820:T1827" si="165">IF(
    OR(ISBLANK(O1820), ISBLANK(P1820)),
    "",
    MAX(1, IF(
        NETWORKDAYS(O1820, P1820) &lt;= 0,
        1,
        NETWORKDAYS(O1820, P1820) - IF(O1820 = P1820, 0, 1)
    ))
)</f>
        <v/>
      </c>
      <c r="U1820" s="50" t="str">
        <f t="shared" si="164"/>
        <v/>
      </c>
      <c r="V1820" s="50" t="str">
        <f t="shared" si="162"/>
        <v/>
      </c>
      <c r="W1820" s="50"/>
      <c r="X1820" s="50" t="s">
        <v>4</v>
      </c>
      <c r="Y1820" s="50" t="s">
        <v>50</v>
      </c>
      <c r="Z1820" s="50" t="s">
        <v>3406</v>
      </c>
      <c r="AA1820" s="50"/>
    </row>
    <row r="1821" spans="1:27" ht="25.5" customHeight="1">
      <c r="A1821" s="50" t="s">
        <v>778</v>
      </c>
      <c r="B1821" s="51" t="s">
        <v>2172</v>
      </c>
      <c r="C1821" s="51" t="s">
        <v>143</v>
      </c>
      <c r="D1821" s="51" t="s">
        <v>5356</v>
      </c>
      <c r="E1821" s="50">
        <v>5239</v>
      </c>
      <c r="F1821" s="50">
        <v>12229</v>
      </c>
      <c r="G1821" s="50" t="s">
        <v>3404</v>
      </c>
      <c r="H1821" s="50">
        <v>2024</v>
      </c>
      <c r="I1821" s="132">
        <v>45546</v>
      </c>
      <c r="J1821" s="50"/>
      <c r="K1821" s="50" t="s">
        <v>33</v>
      </c>
      <c r="L1821" s="50"/>
      <c r="M1821" s="50" t="s">
        <v>148</v>
      </c>
      <c r="N1821" s="50"/>
      <c r="O1821" s="50"/>
      <c r="P1821" s="50"/>
      <c r="Q1821" s="50"/>
      <c r="R1821" s="50"/>
      <c r="S1821" s="50" t="str">
        <f t="shared" si="161"/>
        <v/>
      </c>
      <c r="T1821" s="50" t="str">
        <f t="shared" si="165"/>
        <v/>
      </c>
      <c r="U1821" s="50" t="str">
        <f t="shared" si="164"/>
        <v/>
      </c>
      <c r="V1821" s="50" t="str">
        <f t="shared" si="162"/>
        <v/>
      </c>
      <c r="W1821" s="50"/>
      <c r="X1821" s="50" t="s">
        <v>4</v>
      </c>
      <c r="Y1821" s="50" t="s">
        <v>50</v>
      </c>
      <c r="Z1821" s="50" t="s">
        <v>3406</v>
      </c>
      <c r="AA1821" s="50"/>
    </row>
    <row r="1822" spans="1:27" ht="25.5" customHeight="1">
      <c r="A1822" s="50" t="s">
        <v>778</v>
      </c>
      <c r="B1822" s="51" t="s">
        <v>2172</v>
      </c>
      <c r="C1822" s="51" t="s">
        <v>143</v>
      </c>
      <c r="D1822" s="51" t="s">
        <v>1917</v>
      </c>
      <c r="E1822" s="50">
        <v>3186</v>
      </c>
      <c r="F1822" s="50">
        <v>5265</v>
      </c>
      <c r="G1822" s="50" t="s">
        <v>3404</v>
      </c>
      <c r="H1822" s="50">
        <v>2024</v>
      </c>
      <c r="I1822" s="132">
        <v>45506</v>
      </c>
      <c r="J1822" s="50"/>
      <c r="K1822" s="50" t="s">
        <v>33</v>
      </c>
      <c r="L1822" s="50"/>
      <c r="M1822" s="50" t="s">
        <v>148</v>
      </c>
      <c r="N1822" s="50"/>
      <c r="O1822" s="50"/>
      <c r="P1822" s="50"/>
      <c r="Q1822" s="50"/>
      <c r="R1822" s="50"/>
      <c r="S1822" s="50" t="str">
        <f t="shared" si="161"/>
        <v/>
      </c>
      <c r="T1822" s="50" t="str">
        <f t="shared" si="165"/>
        <v/>
      </c>
      <c r="U1822" s="50" t="str">
        <f t="shared" si="164"/>
        <v/>
      </c>
      <c r="V1822" s="50" t="str">
        <f t="shared" si="162"/>
        <v/>
      </c>
      <c r="W1822" s="50"/>
      <c r="X1822" s="50" t="s">
        <v>4</v>
      </c>
      <c r="Y1822" s="50" t="s">
        <v>50</v>
      </c>
      <c r="Z1822" s="50" t="s">
        <v>3406</v>
      </c>
      <c r="AA1822" s="50"/>
    </row>
    <row r="1823" spans="1:27" ht="25.5" customHeight="1">
      <c r="A1823" s="50" t="s">
        <v>778</v>
      </c>
      <c r="B1823" s="51" t="s">
        <v>2172</v>
      </c>
      <c r="C1823" s="51" t="s">
        <v>143</v>
      </c>
      <c r="D1823" s="51" t="s">
        <v>5357</v>
      </c>
      <c r="E1823" s="50">
        <v>11658</v>
      </c>
      <c r="F1823" s="50">
        <v>11337</v>
      </c>
      <c r="G1823" s="50" t="s">
        <v>3404</v>
      </c>
      <c r="H1823" s="50">
        <v>2024</v>
      </c>
      <c r="I1823" s="132">
        <v>45505</v>
      </c>
      <c r="J1823" s="50"/>
      <c r="K1823" s="50" t="s">
        <v>33</v>
      </c>
      <c r="L1823" s="50"/>
      <c r="M1823" s="50" t="s">
        <v>148</v>
      </c>
      <c r="N1823" s="50"/>
      <c r="O1823" s="50"/>
      <c r="P1823" s="50"/>
      <c r="Q1823" s="50"/>
      <c r="R1823" s="50"/>
      <c r="S1823" s="50" t="str">
        <f t="shared" si="161"/>
        <v/>
      </c>
      <c r="T1823" s="50" t="str">
        <f t="shared" si="165"/>
        <v/>
      </c>
      <c r="U1823" s="50" t="str">
        <f t="shared" si="164"/>
        <v/>
      </c>
      <c r="V1823" s="50" t="str">
        <f t="shared" si="162"/>
        <v/>
      </c>
      <c r="W1823" s="50"/>
      <c r="X1823" s="50" t="s">
        <v>4</v>
      </c>
      <c r="Y1823" s="50" t="s">
        <v>50</v>
      </c>
      <c r="Z1823" s="50" t="s">
        <v>3406</v>
      </c>
      <c r="AA1823" s="50"/>
    </row>
    <row r="1824" spans="1:27" ht="25.5" customHeight="1">
      <c r="A1824" s="50" t="s">
        <v>778</v>
      </c>
      <c r="B1824" s="51" t="s">
        <v>2172</v>
      </c>
      <c r="C1824" s="51" t="s">
        <v>143</v>
      </c>
      <c r="D1824" s="51" t="s">
        <v>2173</v>
      </c>
      <c r="E1824" s="50">
        <v>20419</v>
      </c>
      <c r="F1824" s="50">
        <v>24653</v>
      </c>
      <c r="G1824" s="50" t="s">
        <v>3404</v>
      </c>
      <c r="H1824" s="50">
        <v>2024</v>
      </c>
      <c r="I1824" s="132">
        <v>45546</v>
      </c>
      <c r="J1824" s="50"/>
      <c r="K1824" s="50" t="s">
        <v>33</v>
      </c>
      <c r="L1824" s="50"/>
      <c r="M1824" s="50" t="s">
        <v>148</v>
      </c>
      <c r="N1824" s="50"/>
      <c r="O1824" s="50"/>
      <c r="P1824" s="50"/>
      <c r="Q1824" s="50"/>
      <c r="R1824" s="50"/>
      <c r="S1824" s="50" t="str">
        <f t="shared" si="161"/>
        <v/>
      </c>
      <c r="T1824" s="50" t="str">
        <f t="shared" si="165"/>
        <v/>
      </c>
      <c r="U1824" s="50" t="str">
        <f t="shared" si="164"/>
        <v/>
      </c>
      <c r="V1824" s="50" t="str">
        <f t="shared" si="162"/>
        <v/>
      </c>
      <c r="W1824" s="50"/>
      <c r="X1824" s="50" t="s">
        <v>4</v>
      </c>
      <c r="Y1824" s="50" t="s">
        <v>50</v>
      </c>
      <c r="Z1824" s="50" t="s">
        <v>3406</v>
      </c>
      <c r="AA1824" s="50"/>
    </row>
    <row r="1825" spans="1:27" ht="25.5" customHeight="1">
      <c r="A1825" s="50" t="s">
        <v>778</v>
      </c>
      <c r="B1825" s="51" t="s">
        <v>2172</v>
      </c>
      <c r="C1825" s="51" t="s">
        <v>143</v>
      </c>
      <c r="D1825" s="51" t="s">
        <v>5358</v>
      </c>
      <c r="E1825" s="50">
        <v>20598</v>
      </c>
      <c r="F1825" s="50">
        <v>23928</v>
      </c>
      <c r="G1825" s="50" t="s">
        <v>3404</v>
      </c>
      <c r="H1825" s="50">
        <v>2024</v>
      </c>
      <c r="I1825" s="132">
        <v>45506</v>
      </c>
      <c r="J1825" s="50"/>
      <c r="K1825" s="50" t="s">
        <v>33</v>
      </c>
      <c r="L1825" s="50"/>
      <c r="M1825" s="50" t="s">
        <v>148</v>
      </c>
      <c r="N1825" s="50"/>
      <c r="O1825" s="50"/>
      <c r="P1825" s="50"/>
      <c r="Q1825" s="50"/>
      <c r="R1825" s="50"/>
      <c r="S1825" s="50" t="str">
        <f t="shared" si="161"/>
        <v/>
      </c>
      <c r="T1825" s="50" t="str">
        <f t="shared" si="165"/>
        <v/>
      </c>
      <c r="U1825" s="50" t="str">
        <f t="shared" si="164"/>
        <v/>
      </c>
      <c r="V1825" s="50" t="str">
        <f t="shared" si="162"/>
        <v/>
      </c>
      <c r="W1825" s="50"/>
      <c r="X1825" s="50" t="s">
        <v>4</v>
      </c>
      <c r="Y1825" s="50" t="s">
        <v>50</v>
      </c>
      <c r="Z1825" s="50" t="s">
        <v>3406</v>
      </c>
      <c r="AA1825" s="50"/>
    </row>
    <row r="1826" spans="1:27" ht="25.5" customHeight="1">
      <c r="A1826" s="517" t="s">
        <v>778</v>
      </c>
      <c r="B1826" s="51" t="s">
        <v>2172</v>
      </c>
      <c r="C1826" s="51" t="s">
        <v>143</v>
      </c>
      <c r="D1826" s="51" t="s">
        <v>5359</v>
      </c>
      <c r="E1826" s="50">
        <v>23891</v>
      </c>
      <c r="F1826" s="50">
        <v>25385</v>
      </c>
      <c r="G1826" s="50" t="s">
        <v>3955</v>
      </c>
      <c r="H1826" s="50"/>
      <c r="I1826" s="105"/>
      <c r="J1826" s="50"/>
      <c r="K1826" s="50" t="s">
        <v>33</v>
      </c>
      <c r="L1826" s="50"/>
      <c r="M1826" s="50" t="s">
        <v>148</v>
      </c>
      <c r="N1826" s="50"/>
      <c r="O1826" s="50"/>
      <c r="P1826" s="50"/>
      <c r="Q1826" s="50"/>
      <c r="R1826" s="50"/>
      <c r="S1826" s="50" t="str">
        <f t="shared" si="161"/>
        <v/>
      </c>
      <c r="T1826" s="50" t="str">
        <f t="shared" si="165"/>
        <v/>
      </c>
      <c r="U1826" s="50" t="str">
        <f t="shared" si="164"/>
        <v/>
      </c>
      <c r="V1826" s="50" t="str">
        <f t="shared" si="162"/>
        <v/>
      </c>
      <c r="W1826" s="50"/>
      <c r="X1826" s="50"/>
      <c r="Y1826" s="50"/>
      <c r="Z1826" s="50"/>
      <c r="AA1826" s="50"/>
    </row>
    <row r="1827" spans="1:27" ht="25.5" customHeight="1">
      <c r="A1827" s="517" t="s">
        <v>778</v>
      </c>
      <c r="B1827" s="51" t="s">
        <v>2172</v>
      </c>
      <c r="C1827" s="51" t="s">
        <v>143</v>
      </c>
      <c r="D1827" s="51" t="s">
        <v>5360</v>
      </c>
      <c r="E1827" s="50">
        <v>18067</v>
      </c>
      <c r="F1827" s="50">
        <v>20675</v>
      </c>
      <c r="G1827" s="50" t="s">
        <v>3955</v>
      </c>
      <c r="H1827" s="50"/>
      <c r="I1827" s="105"/>
      <c r="J1827" s="50"/>
      <c r="K1827" s="50" t="s">
        <v>33</v>
      </c>
      <c r="L1827" s="50"/>
      <c r="M1827" s="50" t="s">
        <v>148</v>
      </c>
      <c r="N1827" s="50"/>
      <c r="O1827" s="50"/>
      <c r="P1827" s="50"/>
      <c r="Q1827" s="50"/>
      <c r="R1827" s="50"/>
      <c r="S1827" s="50" t="str">
        <f t="shared" si="161"/>
        <v/>
      </c>
      <c r="T1827" s="50" t="str">
        <f t="shared" si="165"/>
        <v/>
      </c>
      <c r="U1827" s="50" t="str">
        <f t="shared" si="164"/>
        <v/>
      </c>
      <c r="V1827" s="50" t="str">
        <f t="shared" si="162"/>
        <v/>
      </c>
      <c r="W1827" s="50"/>
      <c r="X1827" s="50"/>
      <c r="Y1827" s="50"/>
      <c r="Z1827" s="50"/>
      <c r="AA1827" s="50"/>
    </row>
    <row r="1828" spans="1:27" s="110" customFormat="1" ht="25.5" customHeight="1">
      <c r="A1828" s="517" t="s">
        <v>778</v>
      </c>
      <c r="B1828" s="51" t="s">
        <v>2172</v>
      </c>
      <c r="C1828" s="51" t="s">
        <v>143</v>
      </c>
      <c r="D1828" s="51" t="s">
        <v>5361</v>
      </c>
      <c r="E1828" s="50">
        <v>12198</v>
      </c>
      <c r="F1828" s="50">
        <v>13025</v>
      </c>
      <c r="G1828" s="50" t="s">
        <v>3404</v>
      </c>
      <c r="H1828" s="50">
        <v>2025</v>
      </c>
      <c r="I1828" s="132">
        <v>45699</v>
      </c>
      <c r="J1828" s="50" t="s">
        <v>3458</v>
      </c>
      <c r="K1828" s="50" t="s">
        <v>33</v>
      </c>
      <c r="L1828" s="50"/>
      <c r="M1828" s="50" t="s">
        <v>148</v>
      </c>
      <c r="N1828" s="50" t="s">
        <v>5362</v>
      </c>
      <c r="O1828" s="60">
        <v>45705</v>
      </c>
      <c r="P1828" s="50"/>
      <c r="Q1828" s="60">
        <v>45706</v>
      </c>
      <c r="R1828" s="60">
        <v>45706</v>
      </c>
      <c r="S1828" s="50">
        <f t="shared" si="161"/>
        <v>4</v>
      </c>
      <c r="T1828" s="50" t="str">
        <f>IF(
    OR(ISBLANK(O1828), ISBLANK(P1828)),
    "",
    MAX(1, IF(
        NETWORKDAYS(O1828, P1828) &lt;= 0,
        1,
        NETWORKDAYS(O1828, P1828) - IF(O1828 = QP1828, 0, 1)
    ))
)</f>
        <v/>
      </c>
      <c r="U1828" s="50">
        <f>IF(
    OR(ISBLANK(1816), ISBLANK(Q1828)),
    "",
    MAX(1, IF(
        NETWORKDAYS(O1828, Q1828) &lt;= 0,
        1,
        NETWORKDAYS(O1828, Q1828) - IF(O1828 = Q1828, 0, 1)
    ))
)</f>
        <v>1</v>
      </c>
      <c r="V1828" s="50">
        <f t="shared" si="162"/>
        <v>1</v>
      </c>
      <c r="W1828" s="50" t="s">
        <v>150</v>
      </c>
      <c r="X1828" s="50" t="s">
        <v>4</v>
      </c>
      <c r="Y1828" s="50" t="s">
        <v>50</v>
      </c>
      <c r="Z1828" s="50" t="s">
        <v>3406</v>
      </c>
      <c r="AA1828" s="50"/>
    </row>
    <row r="1829" spans="1:27" ht="25.5" customHeight="1">
      <c r="A1829" s="517" t="s">
        <v>778</v>
      </c>
      <c r="B1829" s="51" t="s">
        <v>2172</v>
      </c>
      <c r="C1829" s="51" t="s">
        <v>143</v>
      </c>
      <c r="D1829" s="51" t="s">
        <v>4475</v>
      </c>
      <c r="E1829" s="50">
        <v>5443</v>
      </c>
      <c r="F1829" s="50">
        <v>5298</v>
      </c>
      <c r="G1829" s="50" t="s">
        <v>3955</v>
      </c>
      <c r="H1829" s="50"/>
      <c r="I1829" s="105"/>
      <c r="J1829" s="50"/>
      <c r="K1829" s="50" t="s">
        <v>33</v>
      </c>
      <c r="L1829" s="50"/>
      <c r="M1829" s="50" t="s">
        <v>148</v>
      </c>
      <c r="N1829" s="50"/>
      <c r="O1829" s="50"/>
      <c r="P1829" s="50"/>
      <c r="Q1829" s="50"/>
      <c r="R1829" s="50"/>
      <c r="S1829" s="50" t="str">
        <f t="shared" si="161"/>
        <v/>
      </c>
      <c r="T1829" s="50" t="str">
        <f>IF(
    OR(ISBLANK(O1829), ISBLANK(P1829)),
    "",
    MAX(1, IF(
        NETWORKDAYS(O1829, P1829) &lt;= 0,
        1,
        NETWORKDAYS(O1829, P1829) - IF(O1829 = P1829, 0, 1)
    ))
)</f>
        <v/>
      </c>
      <c r="U1829" s="50" t="str">
        <f>IF(
    OR(ISBLANK(P1829), ISBLANK(Q1829)),
    "",
    MAX(1, IF(
        NETWORKDAYS(P1829, Q1829) &lt;= 0,
        1,
        NETWORKDAYS(P1829, Q1829) - IF(P1829 = Q1829, 0, 1)
    ))
)</f>
        <v/>
      </c>
      <c r="V1829" s="50" t="str">
        <f t="shared" si="162"/>
        <v/>
      </c>
      <c r="W1829" s="50"/>
      <c r="X1829" s="50"/>
      <c r="Y1829" s="50"/>
      <c r="Z1829" s="50"/>
      <c r="AA1829" s="50"/>
    </row>
    <row r="1830" spans="1:27" ht="25.5" customHeight="1">
      <c r="A1830" s="517" t="s">
        <v>778</v>
      </c>
      <c r="B1830" s="51" t="s">
        <v>2172</v>
      </c>
      <c r="C1830" s="51" t="s">
        <v>143</v>
      </c>
      <c r="D1830" s="51" t="s">
        <v>858</v>
      </c>
      <c r="E1830" s="50">
        <v>5579</v>
      </c>
      <c r="F1830" s="50">
        <v>7187</v>
      </c>
      <c r="G1830" s="50" t="s">
        <v>3404</v>
      </c>
      <c r="H1830" s="50">
        <v>2025</v>
      </c>
      <c r="I1830" s="132">
        <v>45790</v>
      </c>
      <c r="J1830" s="50" t="s">
        <v>3532</v>
      </c>
      <c r="K1830" s="50" t="s">
        <v>33</v>
      </c>
      <c r="L1830" s="50"/>
      <c r="M1830" s="50" t="s">
        <v>148</v>
      </c>
      <c r="N1830" s="50" t="s">
        <v>5363</v>
      </c>
      <c r="O1830" s="60">
        <v>45792</v>
      </c>
      <c r="P1830" s="50"/>
      <c r="Q1830" s="60">
        <v>45793</v>
      </c>
      <c r="R1830" s="60">
        <v>45793</v>
      </c>
      <c r="S1830" s="50">
        <f t="shared" si="161"/>
        <v>2</v>
      </c>
      <c r="T1830" s="50" t="str">
        <f>IF(
    OR(ISBLANK(O1830), ISBLANK(P1830)),
    "",
    MAX(1, IF(
        NETWORKDAYS(O1830, P1830) &lt;= 0,
        1,
        NETWORKDAYS(O1830, P1830) - IF(O1830 = QP1830, 0, 1)
    ))
)</f>
        <v/>
      </c>
      <c r="U1830" s="50">
        <f>IF(
    OR(ISBLANK(1816), ISBLANK(Q1830)),
    "",
    MAX(1, IF(
        NETWORKDAYS(O1830, Q1830) &lt;= 0,
        1,
        NETWORKDAYS(O1830, Q1830) - IF(O1830 = Q1830, 0, 1)
    ))
)</f>
        <v>1</v>
      </c>
      <c r="V1830" s="50">
        <f t="shared" si="162"/>
        <v>1</v>
      </c>
      <c r="W1830" s="50" t="s">
        <v>150</v>
      </c>
      <c r="X1830" s="50" t="s">
        <v>1078</v>
      </c>
      <c r="Y1830" s="50" t="s">
        <v>50</v>
      </c>
      <c r="Z1830" s="50" t="s">
        <v>3406</v>
      </c>
      <c r="AA1830" s="50"/>
    </row>
    <row r="1831" spans="1:27" s="110" customFormat="1" ht="25.5" customHeight="1">
      <c r="A1831" s="50" t="s">
        <v>778</v>
      </c>
      <c r="B1831" s="51" t="s">
        <v>2172</v>
      </c>
      <c r="C1831" s="51" t="s">
        <v>143</v>
      </c>
      <c r="D1831" s="51" t="s">
        <v>1439</v>
      </c>
      <c r="E1831" s="50">
        <v>3424</v>
      </c>
      <c r="F1831" s="50">
        <v>4811</v>
      </c>
      <c r="G1831" s="50" t="s">
        <v>3404</v>
      </c>
      <c r="H1831" s="50">
        <v>2024</v>
      </c>
      <c r="I1831" s="132">
        <v>45575</v>
      </c>
      <c r="J1831" s="50"/>
      <c r="K1831" s="50" t="s">
        <v>33</v>
      </c>
      <c r="L1831" s="50"/>
      <c r="M1831" s="50" t="s">
        <v>148</v>
      </c>
      <c r="N1831" s="50"/>
      <c r="O1831" s="50"/>
      <c r="P1831" s="50"/>
      <c r="Q1831" s="50"/>
      <c r="R1831" s="50"/>
      <c r="S1831" s="50" t="str">
        <f t="shared" si="161"/>
        <v/>
      </c>
      <c r="T1831" s="50" t="str">
        <f t="shared" ref="T1831:U1834" si="166">IF(
    OR(ISBLANK(O1831), ISBLANK(P1831)),
    "",
    MAX(1, IF(
        NETWORKDAYS(O1831, P1831) &lt;= 0,
        1,
        NETWORKDAYS(O1831, P1831) - IF(O1831 = P1831, 0, 1)
    ))
)</f>
        <v/>
      </c>
      <c r="U1831" s="50" t="str">
        <f t="shared" si="166"/>
        <v/>
      </c>
      <c r="V1831" s="50" t="str">
        <f t="shared" si="162"/>
        <v/>
      </c>
      <c r="W1831" s="50"/>
      <c r="X1831" s="50" t="s">
        <v>4</v>
      </c>
      <c r="Y1831" s="50" t="s">
        <v>50</v>
      </c>
      <c r="Z1831" s="50" t="s">
        <v>3406</v>
      </c>
      <c r="AA1831" s="50"/>
    </row>
    <row r="1832" spans="1:27" ht="25.5" customHeight="1">
      <c r="A1832" s="50" t="s">
        <v>778</v>
      </c>
      <c r="B1832" s="51" t="s">
        <v>2172</v>
      </c>
      <c r="C1832" s="51" t="s">
        <v>143</v>
      </c>
      <c r="D1832" s="51" t="s">
        <v>5180</v>
      </c>
      <c r="E1832" s="50">
        <v>8402</v>
      </c>
      <c r="F1832" s="50">
        <v>9164</v>
      </c>
      <c r="G1832" s="50" t="s">
        <v>3404</v>
      </c>
      <c r="H1832" s="50">
        <v>2024</v>
      </c>
      <c r="I1832" s="132">
        <v>45575</v>
      </c>
      <c r="J1832" s="50"/>
      <c r="K1832" s="50" t="s">
        <v>33</v>
      </c>
      <c r="L1832" s="50"/>
      <c r="M1832" s="50" t="s">
        <v>148</v>
      </c>
      <c r="N1832" s="50"/>
      <c r="O1832" s="50"/>
      <c r="P1832" s="50"/>
      <c r="Q1832" s="50"/>
      <c r="R1832" s="50"/>
      <c r="S1832" s="50" t="str">
        <f t="shared" si="161"/>
        <v/>
      </c>
      <c r="T1832" s="50" t="str">
        <f t="shared" si="166"/>
        <v/>
      </c>
      <c r="U1832" s="50" t="str">
        <f t="shared" si="166"/>
        <v/>
      </c>
      <c r="V1832" s="50" t="str">
        <f t="shared" si="162"/>
        <v/>
      </c>
      <c r="W1832" s="50"/>
      <c r="X1832" s="50" t="s">
        <v>1078</v>
      </c>
      <c r="Y1832" s="50" t="s">
        <v>50</v>
      </c>
      <c r="Z1832" s="50" t="s">
        <v>3406</v>
      </c>
      <c r="AA1832" s="50"/>
    </row>
    <row r="1833" spans="1:27" ht="25.5" customHeight="1">
      <c r="A1833" s="517" t="s">
        <v>778</v>
      </c>
      <c r="B1833" s="51" t="s">
        <v>2172</v>
      </c>
      <c r="C1833" s="51" t="s">
        <v>143</v>
      </c>
      <c r="D1833" s="51" t="s">
        <v>5364</v>
      </c>
      <c r="E1833" s="50">
        <v>5036</v>
      </c>
      <c r="F1833" s="50">
        <v>6208</v>
      </c>
      <c r="G1833" s="50" t="s">
        <v>3955</v>
      </c>
      <c r="H1833" s="50"/>
      <c r="I1833" s="105"/>
      <c r="J1833" s="50"/>
      <c r="K1833" s="50" t="s">
        <v>33</v>
      </c>
      <c r="L1833" s="50"/>
      <c r="M1833" s="50" t="s">
        <v>148</v>
      </c>
      <c r="N1833" s="50"/>
      <c r="O1833" s="50"/>
      <c r="P1833" s="50"/>
      <c r="Q1833" s="50"/>
      <c r="R1833" s="50"/>
      <c r="S1833" s="50" t="str">
        <f t="shared" si="161"/>
        <v/>
      </c>
      <c r="T1833" s="50" t="str">
        <f t="shared" si="166"/>
        <v/>
      </c>
      <c r="U1833" s="50" t="str">
        <f t="shared" si="166"/>
        <v/>
      </c>
      <c r="V1833" s="50" t="str">
        <f t="shared" si="162"/>
        <v/>
      </c>
      <c r="W1833" s="50"/>
      <c r="X1833" s="50"/>
      <c r="Y1833" s="50"/>
      <c r="Z1833" s="50"/>
      <c r="AA1833" s="50"/>
    </row>
    <row r="1834" spans="1:27" s="110" customFormat="1" ht="25.5" customHeight="1">
      <c r="A1834" s="50" t="s">
        <v>778</v>
      </c>
      <c r="B1834" s="51" t="s">
        <v>2172</v>
      </c>
      <c r="C1834" s="51" t="s">
        <v>143</v>
      </c>
      <c r="D1834" s="51" t="s">
        <v>3977</v>
      </c>
      <c r="E1834" s="50">
        <v>4222</v>
      </c>
      <c r="F1834" s="50">
        <v>4060</v>
      </c>
      <c r="G1834" s="50" t="s">
        <v>3404</v>
      </c>
      <c r="H1834" s="50">
        <v>2024</v>
      </c>
      <c r="I1834" s="132">
        <v>45546</v>
      </c>
      <c r="J1834" s="50"/>
      <c r="K1834" s="50" t="s">
        <v>33</v>
      </c>
      <c r="L1834" s="50"/>
      <c r="M1834" s="50" t="s">
        <v>148</v>
      </c>
      <c r="N1834" s="50"/>
      <c r="O1834" s="50"/>
      <c r="P1834" s="50"/>
      <c r="Q1834" s="50"/>
      <c r="R1834" s="50"/>
      <c r="S1834" s="50" t="str">
        <f t="shared" si="161"/>
        <v/>
      </c>
      <c r="T1834" s="50" t="str">
        <f t="shared" si="166"/>
        <v/>
      </c>
      <c r="U1834" s="50" t="str">
        <f t="shared" si="166"/>
        <v/>
      </c>
      <c r="V1834" s="50" t="str">
        <f t="shared" si="162"/>
        <v/>
      </c>
      <c r="W1834" s="50"/>
      <c r="X1834" s="50" t="s">
        <v>4</v>
      </c>
      <c r="Y1834" s="50" t="s">
        <v>50</v>
      </c>
      <c r="Z1834" s="50" t="s">
        <v>3406</v>
      </c>
      <c r="AA1834" s="50"/>
    </row>
    <row r="1835" spans="1:27" ht="25.5" customHeight="1">
      <c r="A1835" s="517" t="s">
        <v>778</v>
      </c>
      <c r="B1835" s="51" t="s">
        <v>2172</v>
      </c>
      <c r="C1835" s="51" t="s">
        <v>143</v>
      </c>
      <c r="D1835" s="51" t="s">
        <v>3133</v>
      </c>
      <c r="E1835" s="50">
        <v>17693</v>
      </c>
      <c r="F1835" s="50">
        <v>18672</v>
      </c>
      <c r="G1835" s="50" t="s">
        <v>3404</v>
      </c>
      <c r="H1835" s="50">
        <v>2025</v>
      </c>
      <c r="I1835" s="132">
        <v>45819</v>
      </c>
      <c r="J1835" s="50" t="s">
        <v>3689</v>
      </c>
      <c r="K1835" s="50" t="s">
        <v>33</v>
      </c>
      <c r="L1835" s="50" t="s">
        <v>28</v>
      </c>
      <c r="M1835" s="50" t="s">
        <v>148</v>
      </c>
      <c r="N1835" s="50" t="s">
        <v>5365</v>
      </c>
      <c r="O1835" s="60">
        <v>45823</v>
      </c>
      <c r="P1835" s="60">
        <v>45826</v>
      </c>
      <c r="Q1835" s="60">
        <v>45826</v>
      </c>
      <c r="R1835" s="60">
        <v>45826</v>
      </c>
      <c r="S1835" s="50">
        <f t="shared" si="161"/>
        <v>2</v>
      </c>
      <c r="T1835" s="50">
        <f>IF(
    OR(ISBLANK(1811), ISBLANK(P1835)),
    "",
    MAX(1, IF(
        NETWORKDAYS(O1835, P1835) &lt;= 0,
        1,
        NETWORKDAYS(O1835, P1835) - IF(O1835 = P1835, 0, 1)
    ))
)</f>
        <v>2</v>
      </c>
      <c r="U1835" s="50">
        <f t="shared" ref="U1835:U1840" si="167">IF(
    OR(ISBLANK(P1835), ISBLANK(Q1835)),
    "",
    MAX(1, IF(
        NETWORKDAYS(P1835, Q1835) &lt;= 0,
        1,
        NETWORKDAYS(P1835, Q1835) - IF(P1835 = Q1835, 0, 1)
    ))
)</f>
        <v>1</v>
      </c>
      <c r="V1835" s="50">
        <f t="shared" si="162"/>
        <v>1</v>
      </c>
      <c r="W1835" s="50" t="s">
        <v>150</v>
      </c>
      <c r="X1835" s="50" t="s">
        <v>4</v>
      </c>
      <c r="Y1835" s="50" t="s">
        <v>50</v>
      </c>
      <c r="Z1835" s="50" t="s">
        <v>3406</v>
      </c>
      <c r="AA1835" s="50"/>
    </row>
    <row r="1836" spans="1:27" ht="25.5" customHeight="1">
      <c r="A1836" s="517" t="s">
        <v>778</v>
      </c>
      <c r="B1836" s="51" t="s">
        <v>2172</v>
      </c>
      <c r="C1836" s="51" t="s">
        <v>143</v>
      </c>
      <c r="D1836" s="51" t="s">
        <v>4132</v>
      </c>
      <c r="E1836" s="50">
        <v>4902</v>
      </c>
      <c r="F1836" s="50">
        <v>5835</v>
      </c>
      <c r="G1836" s="50" t="s">
        <v>3955</v>
      </c>
      <c r="H1836" s="50"/>
      <c r="I1836" s="105"/>
      <c r="J1836" s="50"/>
      <c r="K1836" s="50" t="s">
        <v>33</v>
      </c>
      <c r="L1836" s="50"/>
      <c r="M1836" s="50" t="s">
        <v>148</v>
      </c>
      <c r="N1836" s="50"/>
      <c r="O1836" s="50"/>
      <c r="P1836" s="50"/>
      <c r="Q1836" s="50"/>
      <c r="R1836" s="50"/>
      <c r="S1836" s="50" t="str">
        <f t="shared" si="161"/>
        <v/>
      </c>
      <c r="T1836" s="50" t="str">
        <f>IF(
    OR(ISBLANK(O1836), ISBLANK(P1836)),
    "",
    MAX(1, IF(
        NETWORKDAYS(O1836, P1836) &lt;= 0,
        1,
        NETWORKDAYS(O1836, P1836) - IF(O1836 = P1836, 0, 1)
    ))
)</f>
        <v/>
      </c>
      <c r="U1836" s="50" t="str">
        <f t="shared" si="167"/>
        <v/>
      </c>
      <c r="V1836" s="50" t="str">
        <f t="shared" si="162"/>
        <v/>
      </c>
      <c r="W1836" s="50"/>
      <c r="X1836" s="50"/>
      <c r="Y1836" s="50"/>
      <c r="Z1836" s="50"/>
      <c r="AA1836" s="50"/>
    </row>
    <row r="1837" spans="1:27" ht="25.5" customHeight="1">
      <c r="A1837" s="50" t="s">
        <v>778</v>
      </c>
      <c r="B1837" s="51" t="s">
        <v>2172</v>
      </c>
      <c r="C1837" s="51" t="s">
        <v>143</v>
      </c>
      <c r="D1837" s="51" t="s">
        <v>5366</v>
      </c>
      <c r="E1837" s="50">
        <v>12698</v>
      </c>
      <c r="F1837" s="50">
        <v>14280</v>
      </c>
      <c r="G1837" s="50" t="s">
        <v>3404</v>
      </c>
      <c r="H1837" s="50">
        <v>2024</v>
      </c>
      <c r="I1837" s="132">
        <v>45505</v>
      </c>
      <c r="J1837" s="50"/>
      <c r="K1837" s="50" t="s">
        <v>33</v>
      </c>
      <c r="L1837" s="50"/>
      <c r="M1837" s="50" t="s">
        <v>148</v>
      </c>
      <c r="N1837" s="50"/>
      <c r="O1837" s="50"/>
      <c r="P1837" s="50"/>
      <c r="Q1837" s="50"/>
      <c r="R1837" s="50"/>
      <c r="S1837" s="50" t="str">
        <f t="shared" si="161"/>
        <v/>
      </c>
      <c r="T1837" s="50" t="str">
        <f>IF(
    OR(ISBLANK(O1837), ISBLANK(P1837)),
    "",
    MAX(1, IF(
        NETWORKDAYS(O1837, P1837) &lt;= 0,
        1,
        NETWORKDAYS(O1837, P1837) - IF(O1837 = P1837, 0, 1)
    ))
)</f>
        <v/>
      </c>
      <c r="U1837" s="50" t="str">
        <f t="shared" si="167"/>
        <v/>
      </c>
      <c r="V1837" s="50" t="str">
        <f t="shared" si="162"/>
        <v/>
      </c>
      <c r="W1837" s="50"/>
      <c r="X1837" s="50" t="s">
        <v>4</v>
      </c>
      <c r="Y1837" s="50" t="s">
        <v>57</v>
      </c>
      <c r="Z1837" s="50" t="s">
        <v>3406</v>
      </c>
      <c r="AA1837" s="50"/>
    </row>
    <row r="1838" spans="1:27" ht="25.5" customHeight="1">
      <c r="A1838" s="517" t="s">
        <v>778</v>
      </c>
      <c r="B1838" s="51" t="s">
        <v>2172</v>
      </c>
      <c r="C1838" s="51" t="s">
        <v>143</v>
      </c>
      <c r="D1838" s="51" t="s">
        <v>5367</v>
      </c>
      <c r="E1838" s="50">
        <v>10965</v>
      </c>
      <c r="F1838" s="50">
        <v>13912</v>
      </c>
      <c r="G1838" s="50" t="s">
        <v>3955</v>
      </c>
      <c r="H1838" s="50"/>
      <c r="I1838" s="105"/>
      <c r="J1838" s="50"/>
      <c r="K1838" s="50" t="s">
        <v>33</v>
      </c>
      <c r="L1838" s="50"/>
      <c r="M1838" s="50" t="s">
        <v>148</v>
      </c>
      <c r="N1838" s="50"/>
      <c r="O1838" s="50"/>
      <c r="P1838" s="50"/>
      <c r="Q1838" s="50"/>
      <c r="R1838" s="50"/>
      <c r="S1838" s="50" t="str">
        <f t="shared" si="161"/>
        <v/>
      </c>
      <c r="T1838" s="50" t="str">
        <f>IF(
    OR(ISBLANK(O1838), ISBLANK(P1838)),
    "",
    MAX(1, IF(
        NETWORKDAYS(O1838, P1838) &lt;= 0,
        1,
        NETWORKDAYS(O1838, P1838) - IF(O1838 = P1838, 0, 1)
    ))
)</f>
        <v/>
      </c>
      <c r="U1838" s="50" t="str">
        <f t="shared" si="167"/>
        <v/>
      </c>
      <c r="V1838" s="50" t="str">
        <f t="shared" si="162"/>
        <v/>
      </c>
      <c r="W1838" s="50"/>
      <c r="X1838" s="50"/>
      <c r="Y1838" s="50"/>
      <c r="Z1838" s="50"/>
      <c r="AA1838" s="50"/>
    </row>
    <row r="1839" spans="1:27" s="110" customFormat="1" ht="25.5" customHeight="1">
      <c r="A1839" s="517" t="s">
        <v>778</v>
      </c>
      <c r="B1839" s="51" t="s">
        <v>2172</v>
      </c>
      <c r="C1839" s="51" t="s">
        <v>143</v>
      </c>
      <c r="D1839" s="51" t="s">
        <v>5368</v>
      </c>
      <c r="E1839" s="50">
        <v>10914</v>
      </c>
      <c r="F1839" s="50">
        <v>13656</v>
      </c>
      <c r="G1839" s="50" t="s">
        <v>3955</v>
      </c>
      <c r="H1839" s="50"/>
      <c r="I1839" s="105"/>
      <c r="J1839" s="50"/>
      <c r="K1839" s="50" t="s">
        <v>33</v>
      </c>
      <c r="L1839" s="50"/>
      <c r="M1839" s="50" t="s">
        <v>148</v>
      </c>
      <c r="N1839" s="50"/>
      <c r="O1839" s="50"/>
      <c r="P1839" s="50"/>
      <c r="Q1839" s="50"/>
      <c r="R1839" s="50"/>
      <c r="S1839" s="50" t="str">
        <f t="shared" si="161"/>
        <v/>
      </c>
      <c r="T1839" s="50" t="str">
        <f>IF(
    OR(ISBLANK(O1839), ISBLANK(P1839)),
    "",
    MAX(1, IF(
        NETWORKDAYS(O1839, P1839) &lt;= 0,
        1,
        NETWORKDAYS(O1839, P1839) - IF(O1839 = P1839, 0, 1)
    ))
)</f>
        <v/>
      </c>
      <c r="U1839" s="50" t="str">
        <f t="shared" si="167"/>
        <v/>
      </c>
      <c r="V1839" s="50" t="str">
        <f t="shared" si="162"/>
        <v/>
      </c>
      <c r="W1839" s="50"/>
      <c r="X1839" s="50"/>
      <c r="Y1839" s="50"/>
      <c r="Z1839" s="50"/>
      <c r="AA1839" s="50"/>
    </row>
    <row r="1840" spans="1:27" ht="25.5" customHeight="1">
      <c r="A1840" s="517" t="s">
        <v>778</v>
      </c>
      <c r="B1840" s="51" t="s">
        <v>2172</v>
      </c>
      <c r="C1840" s="51" t="s">
        <v>143</v>
      </c>
      <c r="D1840" s="51" t="s">
        <v>5369</v>
      </c>
      <c r="E1840" s="50">
        <v>1651</v>
      </c>
      <c r="F1840" s="50">
        <v>1175</v>
      </c>
      <c r="G1840" s="50" t="s">
        <v>3955</v>
      </c>
      <c r="H1840" s="50"/>
      <c r="I1840" s="105"/>
      <c r="J1840" s="50"/>
      <c r="K1840" s="50" t="s">
        <v>33</v>
      </c>
      <c r="L1840" s="50"/>
      <c r="M1840" s="50" t="s">
        <v>148</v>
      </c>
      <c r="N1840" s="50"/>
      <c r="O1840" s="50"/>
      <c r="P1840" s="50"/>
      <c r="Q1840" s="50"/>
      <c r="R1840" s="50"/>
      <c r="S1840" s="50" t="str">
        <f t="shared" si="161"/>
        <v/>
      </c>
      <c r="T1840" s="50" t="str">
        <f>IF(
    OR(ISBLANK(O1840), ISBLANK(P1840)),
    "",
    MAX(1, IF(
        NETWORKDAYS(O1840, P1840) &lt;= 0,
        1,
        NETWORKDAYS(O1840, P1840) - IF(O1840 = P1840, 0, 1)
    ))
)</f>
        <v/>
      </c>
      <c r="U1840" s="50" t="str">
        <f t="shared" si="167"/>
        <v/>
      </c>
      <c r="V1840" s="50" t="str">
        <f t="shared" si="162"/>
        <v/>
      </c>
      <c r="W1840" s="50"/>
      <c r="X1840" s="50"/>
      <c r="Y1840" s="50"/>
      <c r="Z1840" s="50"/>
      <c r="AA1840" s="50"/>
    </row>
    <row r="1841" spans="1:27" ht="25.5" customHeight="1">
      <c r="A1841" s="517" t="s">
        <v>778</v>
      </c>
      <c r="B1841" s="51" t="s">
        <v>1343</v>
      </c>
      <c r="C1841" s="51" t="s">
        <v>143</v>
      </c>
      <c r="D1841" s="51" t="s">
        <v>1166</v>
      </c>
      <c r="E1841" s="50">
        <v>22580</v>
      </c>
      <c r="F1841" s="50">
        <v>23686</v>
      </c>
      <c r="G1841" s="50" t="s">
        <v>3404</v>
      </c>
      <c r="H1841" s="50">
        <v>2025</v>
      </c>
      <c r="I1841" s="132">
        <v>45911</v>
      </c>
      <c r="J1841" s="50" t="s">
        <v>3127</v>
      </c>
      <c r="K1841" s="50" t="s">
        <v>1345</v>
      </c>
      <c r="L1841" s="50"/>
      <c r="M1841" s="50" t="s">
        <v>148</v>
      </c>
      <c r="N1841" s="50" t="s">
        <v>5370</v>
      </c>
      <c r="O1841" s="60">
        <v>45917</v>
      </c>
      <c r="P1841" s="50"/>
      <c r="Q1841" s="60">
        <v>45917</v>
      </c>
      <c r="R1841" s="60">
        <v>45918</v>
      </c>
      <c r="S1841" s="50">
        <f t="shared" si="161"/>
        <v>4</v>
      </c>
      <c r="T1841" s="50" t="str">
        <f>IF(
    OR(ISBLANK(O1841), ISBLANK(P1841)),
    "",
    MAX(1, IF(
        NETWORKDAYS(O1841, P1841) &lt;= 0,
        1,
        NETWORKDAYS(O1841, P1841) - IF(O1841 = QP1841, 0, 1)
    ))
)</f>
        <v/>
      </c>
      <c r="U1841" s="50">
        <f>IF(
    OR(ISBLANK(1816), ISBLANK(Q1841)),
    "",
    MAX(1, IF(
        NETWORKDAYS(O1841, Q1841) &lt;= 0,
        1,
        NETWORKDAYS(O1841, Q1841) - IF(O1841 = Q1841, 0, 1)
    ))
)</f>
        <v>1</v>
      </c>
      <c r="V1841" s="50">
        <f t="shared" si="162"/>
        <v>1</v>
      </c>
      <c r="W1841" s="50" t="s">
        <v>150</v>
      </c>
      <c r="X1841" s="50" t="s">
        <v>4</v>
      </c>
      <c r="Y1841" s="50" t="s">
        <v>50</v>
      </c>
      <c r="Z1841" s="50" t="s">
        <v>3406</v>
      </c>
      <c r="AA1841" s="50"/>
    </row>
    <row r="1842" spans="1:27" ht="25.5" customHeight="1">
      <c r="A1842" s="517" t="s">
        <v>778</v>
      </c>
      <c r="B1842" s="51" t="s">
        <v>1343</v>
      </c>
      <c r="C1842" s="51" t="s">
        <v>143</v>
      </c>
      <c r="D1842" s="51" t="s">
        <v>5371</v>
      </c>
      <c r="E1842" s="50">
        <v>10104</v>
      </c>
      <c r="F1842" s="50">
        <v>10867</v>
      </c>
      <c r="G1842" s="50" t="s">
        <v>3404</v>
      </c>
      <c r="H1842" s="50">
        <v>2025</v>
      </c>
      <c r="I1842" s="132">
        <v>45757</v>
      </c>
      <c r="J1842" s="50" t="s">
        <v>3470</v>
      </c>
      <c r="K1842" s="50" t="s">
        <v>1345</v>
      </c>
      <c r="L1842" s="50"/>
      <c r="M1842" s="50" t="s">
        <v>148</v>
      </c>
      <c r="N1842" s="50" t="s">
        <v>5372</v>
      </c>
      <c r="O1842" s="60">
        <v>45761</v>
      </c>
      <c r="P1842" s="50"/>
      <c r="Q1842" s="60">
        <v>45762</v>
      </c>
      <c r="R1842" s="60">
        <v>45762</v>
      </c>
      <c r="S1842" s="50">
        <f t="shared" si="161"/>
        <v>2</v>
      </c>
      <c r="T1842" s="50" t="str">
        <f>IF(
    OR(ISBLANK(O1842), ISBLANK(P1842)),
    "",
    MAX(1, IF(
        NETWORKDAYS(O1842, P1842) &lt;= 0,
        1,
        NETWORKDAYS(O1842, P1842) - IF(O1842 = QP1842, 0, 1)
    ))
)</f>
        <v/>
      </c>
      <c r="U1842" s="50">
        <f>IF(
    OR(ISBLANK(1816), ISBLANK(Q1842)),
    "",
    MAX(1, IF(
        NETWORKDAYS(O1842, Q1842) &lt;= 0,
        1,
        NETWORKDAYS(O1842, Q1842) - IF(O1842 = Q1842, 0, 1)
    ))
)</f>
        <v>1</v>
      </c>
      <c r="V1842" s="50">
        <f t="shared" si="162"/>
        <v>1</v>
      </c>
      <c r="W1842" s="50" t="s">
        <v>150</v>
      </c>
      <c r="X1842" s="50" t="s">
        <v>3527</v>
      </c>
      <c r="Y1842" s="50" t="s">
        <v>3528</v>
      </c>
      <c r="Z1842" s="50" t="s">
        <v>3406</v>
      </c>
      <c r="AA1842" s="50"/>
    </row>
    <row r="1843" spans="1:27" s="110" customFormat="1" ht="25.5" customHeight="1">
      <c r="A1843" s="517" t="s">
        <v>778</v>
      </c>
      <c r="B1843" s="51" t="s">
        <v>1343</v>
      </c>
      <c r="C1843" s="51" t="s">
        <v>143</v>
      </c>
      <c r="D1843" s="51" t="s">
        <v>5373</v>
      </c>
      <c r="E1843" s="50">
        <v>3883</v>
      </c>
      <c r="F1843" s="50">
        <v>3998</v>
      </c>
      <c r="G1843" s="50" t="s">
        <v>3404</v>
      </c>
      <c r="H1843" s="50">
        <v>2025</v>
      </c>
      <c r="I1843" s="132">
        <v>45757</v>
      </c>
      <c r="J1843" s="50" t="s">
        <v>3470</v>
      </c>
      <c r="K1843" s="50" t="s">
        <v>1345</v>
      </c>
      <c r="L1843" s="50"/>
      <c r="M1843" s="50" t="s">
        <v>148</v>
      </c>
      <c r="N1843" s="50" t="s">
        <v>5374</v>
      </c>
      <c r="O1843" s="60">
        <v>45761</v>
      </c>
      <c r="P1843" s="50"/>
      <c r="Q1843" s="60">
        <v>45762</v>
      </c>
      <c r="R1843" s="60">
        <v>45762</v>
      </c>
      <c r="S1843" s="50">
        <f t="shared" si="161"/>
        <v>2</v>
      </c>
      <c r="T1843" s="50" t="str">
        <f>IF(
    OR(ISBLANK(O1843), ISBLANK(P1843)),
    "",
    MAX(1, IF(
        NETWORKDAYS(O1843, P1843) &lt;= 0,
        1,
        NETWORKDAYS(O1843, P1843) - IF(O1843 = QP1843, 0, 1)
    ))
)</f>
        <v/>
      </c>
      <c r="U1843" s="50">
        <f>IF(
    OR(ISBLANK(1816), ISBLANK(Q1843)),
    "",
    MAX(1, IF(
        NETWORKDAYS(O1843, Q1843) &lt;= 0,
        1,
        NETWORKDAYS(O1843, Q1843) - IF(O1843 = Q1843, 0, 1)
    ))
)</f>
        <v>1</v>
      </c>
      <c r="V1843" s="50">
        <f t="shared" si="162"/>
        <v>1</v>
      </c>
      <c r="W1843" s="50" t="s">
        <v>150</v>
      </c>
      <c r="X1843" s="50" t="s">
        <v>3527</v>
      </c>
      <c r="Y1843" s="50" t="s">
        <v>3528</v>
      </c>
      <c r="Z1843" s="50" t="s">
        <v>3406</v>
      </c>
      <c r="AA1843" s="50"/>
    </row>
    <row r="1844" spans="1:27" ht="25.5" customHeight="1">
      <c r="A1844" s="517" t="s">
        <v>778</v>
      </c>
      <c r="B1844" s="51" t="s">
        <v>1343</v>
      </c>
      <c r="C1844" s="51" t="s">
        <v>143</v>
      </c>
      <c r="D1844" s="51" t="s">
        <v>5375</v>
      </c>
      <c r="E1844" s="50">
        <v>7329</v>
      </c>
      <c r="F1844" s="50">
        <v>7856</v>
      </c>
      <c r="G1844" s="50" t="s">
        <v>3404</v>
      </c>
      <c r="H1844" s="50">
        <v>2025</v>
      </c>
      <c r="I1844" s="132">
        <v>45701</v>
      </c>
      <c r="J1844" s="50" t="s">
        <v>3458</v>
      </c>
      <c r="K1844" s="50" t="s">
        <v>1345</v>
      </c>
      <c r="L1844" s="50"/>
      <c r="M1844" s="50" t="s">
        <v>148</v>
      </c>
      <c r="N1844" s="50" t="s">
        <v>5376</v>
      </c>
      <c r="O1844" s="60">
        <v>45701</v>
      </c>
      <c r="P1844" s="50"/>
      <c r="Q1844" s="60">
        <v>45706</v>
      </c>
      <c r="R1844" s="60">
        <v>45707</v>
      </c>
      <c r="S1844" s="50">
        <f t="shared" si="161"/>
        <v>1</v>
      </c>
      <c r="T1844" s="50" t="str">
        <f>IF(
    OR(ISBLANK(O1844), ISBLANK(P1844)),
    "",
    MAX(1, IF(
        NETWORKDAYS(O1844, P1844) &lt;= 0,
        1,
        NETWORKDAYS(O1844, P1844) - IF(O1844 = QP1844, 0, 1)
    ))
)</f>
        <v/>
      </c>
      <c r="U1844" s="50">
        <f>IF(
    OR(ISBLANK(1816), ISBLANK(Q1844)),
    "",
    MAX(1, IF(
        NETWORKDAYS(O1844, Q1844) &lt;= 0,
        1,
        NETWORKDAYS(O1844, Q1844) - IF(O1844 = Q1844, 0, 1)
    ))
)</f>
        <v>3</v>
      </c>
      <c r="V1844" s="50">
        <f t="shared" si="162"/>
        <v>1</v>
      </c>
      <c r="W1844" s="50" t="s">
        <v>150</v>
      </c>
      <c r="X1844" s="50" t="s">
        <v>1078</v>
      </c>
      <c r="Y1844" s="50" t="s">
        <v>50</v>
      </c>
      <c r="Z1844" s="50" t="s">
        <v>3406</v>
      </c>
      <c r="AA1844" s="50"/>
    </row>
    <row r="1845" spans="1:27" ht="25.5" customHeight="1">
      <c r="A1845" s="50" t="s">
        <v>778</v>
      </c>
      <c r="B1845" s="51" t="s">
        <v>1343</v>
      </c>
      <c r="C1845" s="51" t="s">
        <v>143</v>
      </c>
      <c r="D1845" s="51" t="s">
        <v>2119</v>
      </c>
      <c r="E1845" s="50">
        <v>7121</v>
      </c>
      <c r="F1845" s="50">
        <v>7394</v>
      </c>
      <c r="G1845" s="50" t="s">
        <v>3404</v>
      </c>
      <c r="H1845" s="50">
        <v>2024</v>
      </c>
      <c r="I1845" s="132">
        <v>45604</v>
      </c>
      <c r="J1845" s="50"/>
      <c r="K1845" s="50" t="s">
        <v>1345</v>
      </c>
      <c r="L1845" s="50"/>
      <c r="M1845" s="50" t="s">
        <v>148</v>
      </c>
      <c r="N1845" s="50"/>
      <c r="O1845" s="50"/>
      <c r="P1845" s="50"/>
      <c r="Q1845" s="50"/>
      <c r="R1845" s="50"/>
      <c r="S1845" s="50" t="str">
        <f t="shared" si="161"/>
        <v/>
      </c>
      <c r="T1845" s="50" t="str">
        <f>IF(
    OR(ISBLANK(O1845), ISBLANK(P1845)),
    "",
    MAX(1, IF(
        NETWORKDAYS(O1845, P1845) &lt;= 0,
        1,
        NETWORKDAYS(O1845, P1845) - IF(O1845 = P1845, 0, 1)
    ))
)</f>
        <v/>
      </c>
      <c r="U1845" s="50" t="str">
        <f>IF(
    OR(ISBLANK(P1845), ISBLANK(Q1845)),
    "",
    MAX(1, IF(
        NETWORKDAYS(P1845, Q1845) &lt;= 0,
        1,
        NETWORKDAYS(P1845, Q1845) - IF(P1845 = Q1845, 0, 1)
    ))
)</f>
        <v/>
      </c>
      <c r="V1845" s="50" t="str">
        <f t="shared" si="162"/>
        <v/>
      </c>
      <c r="W1845" s="50"/>
      <c r="X1845" s="50" t="s">
        <v>1078</v>
      </c>
      <c r="Y1845" s="50" t="s">
        <v>3528</v>
      </c>
      <c r="Z1845" s="50" t="s">
        <v>3406</v>
      </c>
      <c r="AA1845" s="50"/>
    </row>
    <row r="1846" spans="1:27" s="110" customFormat="1" ht="25.5" customHeight="1">
      <c r="A1846" s="517" t="s">
        <v>778</v>
      </c>
      <c r="B1846" s="51" t="s">
        <v>1343</v>
      </c>
      <c r="C1846" s="51" t="s">
        <v>143</v>
      </c>
      <c r="D1846" s="51" t="s">
        <v>5377</v>
      </c>
      <c r="E1846" s="50">
        <v>7090</v>
      </c>
      <c r="F1846" s="50">
        <v>8307</v>
      </c>
      <c r="G1846" s="50" t="s">
        <v>3404</v>
      </c>
      <c r="H1846" s="50">
        <v>2025</v>
      </c>
      <c r="I1846" s="132">
        <v>45849</v>
      </c>
      <c r="J1846" s="50" t="s">
        <v>3125</v>
      </c>
      <c r="K1846" s="50" t="s">
        <v>1345</v>
      </c>
      <c r="L1846" s="50" t="s">
        <v>28</v>
      </c>
      <c r="M1846" s="50" t="s">
        <v>148</v>
      </c>
      <c r="N1846" s="50" t="s">
        <v>5378</v>
      </c>
      <c r="O1846" s="60">
        <v>45854</v>
      </c>
      <c r="P1846" s="60">
        <v>45856</v>
      </c>
      <c r="Q1846" s="60">
        <v>45856</v>
      </c>
      <c r="R1846" s="60">
        <v>45856</v>
      </c>
      <c r="S1846" s="50">
        <f t="shared" si="161"/>
        <v>3</v>
      </c>
      <c r="T1846" s="50">
        <f>IF(
    OR(ISBLANK(1811), ISBLANK(P1846)),
    "",
    MAX(1, IF(
        NETWORKDAYS(O1846, P1846) &lt;= 0,
        1,
        NETWORKDAYS(O1846, P1846) - IF(O1846 = P1846, 0, 1)
    ))
)</f>
        <v>2</v>
      </c>
      <c r="U1846" s="50">
        <f>IF(
    OR(ISBLANK(P1846), ISBLANK(Q1846)),
    "",
    MAX(1, IF(
        NETWORKDAYS(P1846, Q1846) &lt;= 0,
        1,
        NETWORKDAYS(P1846, Q1846) - IF(P1846 = Q1846, 0, 1)
    ))
)</f>
        <v>1</v>
      </c>
      <c r="V1846" s="50">
        <f t="shared" si="162"/>
        <v>1</v>
      </c>
      <c r="W1846" s="50" t="s">
        <v>150</v>
      </c>
      <c r="X1846" s="50" t="s">
        <v>3527</v>
      </c>
      <c r="Y1846" s="50" t="s">
        <v>3528</v>
      </c>
      <c r="Z1846" s="50" t="s">
        <v>3406</v>
      </c>
      <c r="AA1846" s="50"/>
    </row>
    <row r="1847" spans="1:27" ht="25.5" customHeight="1">
      <c r="A1847" s="517" t="s">
        <v>778</v>
      </c>
      <c r="B1847" s="51" t="s">
        <v>1343</v>
      </c>
      <c r="C1847" s="51" t="s">
        <v>143</v>
      </c>
      <c r="D1847" s="51" t="s">
        <v>5379</v>
      </c>
      <c r="E1847" s="50">
        <v>2701</v>
      </c>
      <c r="F1847" s="50">
        <v>3925</v>
      </c>
      <c r="G1847" s="50" t="s">
        <v>3404</v>
      </c>
      <c r="H1847" s="50">
        <v>2025</v>
      </c>
      <c r="I1847" s="132">
        <v>46158</v>
      </c>
      <c r="J1847" s="50" t="s">
        <v>3532</v>
      </c>
      <c r="K1847" s="50" t="s">
        <v>1345</v>
      </c>
      <c r="L1847" s="50"/>
      <c r="M1847" s="50" t="s">
        <v>148</v>
      </c>
      <c r="N1847" s="50" t="s">
        <v>5380</v>
      </c>
      <c r="O1847" s="60">
        <v>45794</v>
      </c>
      <c r="P1847" s="50"/>
      <c r="Q1847" s="60">
        <v>45796</v>
      </c>
      <c r="R1847" s="60">
        <v>45797</v>
      </c>
      <c r="S1847" s="50">
        <f t="shared" si="161"/>
        <v>1</v>
      </c>
      <c r="T1847" s="50" t="str">
        <f>IF(
    OR(ISBLANK(O1847), ISBLANK(P1847)),
    "",
    MAX(1, IF(
        NETWORKDAYS(O1847, P1847) &lt;= 0,
        1,
        NETWORKDAYS(O1847, P1847) - IF(O1847 = QP1847, 0, 1)
    ))
)</f>
        <v/>
      </c>
      <c r="U1847" s="50">
        <f>IF(
    OR(ISBLANK(1816), ISBLANK(Q1847)),
    "",
    MAX(1, IF(
        NETWORKDAYS(O1847, Q1847) &lt;= 0,
        1,
        NETWORKDAYS(O1847, Q1847) - IF(O1847 = Q1847, 0, 1)
    ))
)</f>
        <v>1</v>
      </c>
      <c r="V1847" s="50">
        <f t="shared" si="162"/>
        <v>1</v>
      </c>
      <c r="W1847" s="50" t="s">
        <v>150</v>
      </c>
      <c r="X1847" s="50" t="s">
        <v>3527</v>
      </c>
      <c r="Y1847" s="50" t="s">
        <v>3528</v>
      </c>
      <c r="Z1847" s="50" t="s">
        <v>3406</v>
      </c>
      <c r="AA1847" s="50"/>
    </row>
    <row r="1848" spans="1:27" ht="25.5" customHeight="1">
      <c r="A1848" s="50" t="s">
        <v>778</v>
      </c>
      <c r="B1848" s="51" t="s">
        <v>1343</v>
      </c>
      <c r="C1848" s="51" t="s">
        <v>143</v>
      </c>
      <c r="D1848" s="51" t="s">
        <v>4476</v>
      </c>
      <c r="E1848" s="50">
        <v>11891</v>
      </c>
      <c r="F1848" s="50">
        <v>13408</v>
      </c>
      <c r="G1848" s="50" t="s">
        <v>3404</v>
      </c>
      <c r="H1848" s="50">
        <v>2024</v>
      </c>
      <c r="I1848" s="132">
        <v>45484</v>
      </c>
      <c r="J1848" s="50" t="s">
        <v>3125</v>
      </c>
      <c r="K1848" s="50" t="s">
        <v>32</v>
      </c>
      <c r="L1848" s="50"/>
      <c r="M1848" s="50" t="s">
        <v>148</v>
      </c>
      <c r="N1848" s="50"/>
      <c r="O1848" s="60"/>
      <c r="P1848" s="50"/>
      <c r="Q1848" s="60"/>
      <c r="R1848" s="60"/>
      <c r="S1848" s="50" t="str">
        <f t="shared" si="161"/>
        <v/>
      </c>
      <c r="T1848" s="50" t="str">
        <f>IF(
    OR(ISBLANK(O1848), ISBLANK(P1848)),
    "",
    MAX(1, IF(
        NETWORKDAYS(O1848, P1848) &lt;= 0,
        1,
        NETWORKDAYS(O1848, P1848) - IF(O1848 = P1848, 0, 1)
    ))
)</f>
        <v/>
      </c>
      <c r="U1848" s="50" t="str">
        <f>IF(
    OR(ISBLANK(P1848), ISBLANK(Q1848)),
    "",
    MAX(1, IF(
        NETWORKDAYS(P1848, Q1848) &lt;= 0,
        1,
        NETWORKDAYS(P1848, Q1848) - IF(P1848 = Q1848, 0, 1)
    ))
)</f>
        <v/>
      </c>
      <c r="V1848" s="50" t="str">
        <f t="shared" si="162"/>
        <v/>
      </c>
      <c r="W1848" s="50"/>
      <c r="X1848" s="50" t="s">
        <v>4</v>
      </c>
      <c r="Y1848" s="50" t="s">
        <v>50</v>
      </c>
      <c r="Z1848" s="50" t="s">
        <v>3406</v>
      </c>
      <c r="AA1848" s="50"/>
    </row>
    <row r="1849" spans="1:27" s="110" customFormat="1" ht="25.5" customHeight="1">
      <c r="A1849" s="517" t="s">
        <v>778</v>
      </c>
      <c r="B1849" s="51" t="s">
        <v>1343</v>
      </c>
      <c r="C1849" s="51" t="s">
        <v>143</v>
      </c>
      <c r="D1849" s="51" t="s">
        <v>3913</v>
      </c>
      <c r="E1849" s="50">
        <v>8932</v>
      </c>
      <c r="F1849" s="50">
        <v>8861</v>
      </c>
      <c r="G1849" s="50" t="s">
        <v>3404</v>
      </c>
      <c r="H1849" s="50">
        <v>2025</v>
      </c>
      <c r="I1849" s="132">
        <v>45855</v>
      </c>
      <c r="J1849" s="50" t="s">
        <v>3125</v>
      </c>
      <c r="K1849" s="50" t="s">
        <v>1345</v>
      </c>
      <c r="L1849" s="50" t="s">
        <v>28</v>
      </c>
      <c r="M1849" s="50" t="s">
        <v>148</v>
      </c>
      <c r="N1849" s="50" t="s">
        <v>5381</v>
      </c>
      <c r="O1849" s="60">
        <v>45855</v>
      </c>
      <c r="P1849" s="60">
        <v>45856</v>
      </c>
      <c r="Q1849" s="60">
        <v>45856</v>
      </c>
      <c r="R1849" s="60">
        <v>45856</v>
      </c>
      <c r="S1849" s="50">
        <f t="shared" si="161"/>
        <v>1</v>
      </c>
      <c r="T1849" s="50">
        <f>IF(
    OR(ISBLANK(1811), ISBLANK(P1849)),
    "",
    MAX(1, IF(
        NETWORKDAYS(O1849, P1849) &lt;= 0,
        1,
        NETWORKDAYS(O1849, P1849) - IF(O1849 = P1849, 0, 1)
    ))
)</f>
        <v>1</v>
      </c>
      <c r="U1849" s="50">
        <f t="shared" ref="U1849:U1858" si="168">IF(
    OR(ISBLANK(P1849), ISBLANK(Q1849)),
    "",
    MAX(1, IF(
        NETWORKDAYS(P1849, Q1849) &lt;= 0,
        1,
        NETWORKDAYS(P1849, Q1849) - IF(P1849 = Q1849, 0, 1)
    ))
)</f>
        <v>1</v>
      </c>
      <c r="V1849" s="50">
        <f t="shared" si="162"/>
        <v>1</v>
      </c>
      <c r="W1849" s="50" t="s">
        <v>150</v>
      </c>
      <c r="X1849" s="50" t="s">
        <v>3527</v>
      </c>
      <c r="Y1849" s="50" t="s">
        <v>3528</v>
      </c>
      <c r="Z1849" s="50" t="s">
        <v>3406</v>
      </c>
      <c r="AA1849" s="50"/>
    </row>
    <row r="1850" spans="1:27" ht="25.5" customHeight="1">
      <c r="A1850" s="50" t="s">
        <v>778</v>
      </c>
      <c r="B1850" s="51" t="s">
        <v>1343</v>
      </c>
      <c r="C1850" s="51" t="s">
        <v>143</v>
      </c>
      <c r="D1850" s="51" t="s">
        <v>5382</v>
      </c>
      <c r="E1850" s="50">
        <v>7246</v>
      </c>
      <c r="F1850" s="50">
        <v>7775</v>
      </c>
      <c r="G1850" s="50" t="s">
        <v>3404</v>
      </c>
      <c r="H1850" s="50">
        <v>2024</v>
      </c>
      <c r="I1850" s="132">
        <v>45604</v>
      </c>
      <c r="J1850" s="50"/>
      <c r="K1850" s="50" t="s">
        <v>1345</v>
      </c>
      <c r="L1850" s="50"/>
      <c r="M1850" s="50" t="s">
        <v>148</v>
      </c>
      <c r="N1850" s="50"/>
      <c r="O1850" s="50"/>
      <c r="P1850" s="50"/>
      <c r="Q1850" s="50"/>
      <c r="R1850" s="50"/>
      <c r="S1850" s="50" t="str">
        <f t="shared" si="161"/>
        <v/>
      </c>
      <c r="T1850" s="50" t="str">
        <f>IF(
    OR(ISBLANK(O1850), ISBLANK(P1850)),
    "",
    MAX(1, IF(
        NETWORKDAYS(O1850, P1850) &lt;= 0,
        1,
        NETWORKDAYS(O1850, P1850) - IF(O1850 = P1850, 0, 1)
    ))
)</f>
        <v/>
      </c>
      <c r="U1850" s="50" t="str">
        <f t="shared" si="168"/>
        <v/>
      </c>
      <c r="V1850" s="50" t="str">
        <f t="shared" si="162"/>
        <v/>
      </c>
      <c r="W1850" s="50"/>
      <c r="X1850" s="50" t="s">
        <v>1078</v>
      </c>
      <c r="Y1850" s="50" t="s">
        <v>3528</v>
      </c>
      <c r="Z1850" s="50" t="s">
        <v>3406</v>
      </c>
      <c r="AA1850" s="50"/>
    </row>
    <row r="1851" spans="1:27" ht="25.5" customHeight="1">
      <c r="A1851" s="50" t="s">
        <v>778</v>
      </c>
      <c r="B1851" s="51" t="s">
        <v>1343</v>
      </c>
      <c r="C1851" s="51" t="s">
        <v>143</v>
      </c>
      <c r="D1851" s="51" t="s">
        <v>1344</v>
      </c>
      <c r="E1851" s="50">
        <v>9269</v>
      </c>
      <c r="F1851" s="50">
        <v>11693</v>
      </c>
      <c r="G1851" s="50" t="s">
        <v>3404</v>
      </c>
      <c r="H1851" s="50">
        <v>2024</v>
      </c>
      <c r="I1851" s="132">
        <v>45604</v>
      </c>
      <c r="J1851" s="50"/>
      <c r="K1851" s="50" t="s">
        <v>1345</v>
      </c>
      <c r="L1851" s="50"/>
      <c r="M1851" s="50" t="s">
        <v>148</v>
      </c>
      <c r="N1851" s="50"/>
      <c r="O1851" s="50"/>
      <c r="P1851" s="50"/>
      <c r="Q1851" s="50"/>
      <c r="R1851" s="50"/>
      <c r="S1851" s="50" t="str">
        <f t="shared" si="161"/>
        <v/>
      </c>
      <c r="T1851" s="50" t="str">
        <f>IF(
    OR(ISBLANK(O1851), ISBLANK(P1851)),
    "",
    MAX(1, IF(
        NETWORKDAYS(O1851, P1851) &lt;= 0,
        1,
        NETWORKDAYS(O1851, P1851) - IF(O1851 = P1851, 0, 1)
    ))
)</f>
        <v/>
      </c>
      <c r="U1851" s="50" t="str">
        <f t="shared" si="168"/>
        <v/>
      </c>
      <c r="V1851" s="50" t="str">
        <f t="shared" si="162"/>
        <v/>
      </c>
      <c r="W1851" s="50"/>
      <c r="X1851" s="50" t="s">
        <v>1078</v>
      </c>
      <c r="Y1851" s="50" t="s">
        <v>3528</v>
      </c>
      <c r="Z1851" s="50" t="s">
        <v>3406</v>
      </c>
      <c r="AA1851" s="50"/>
    </row>
    <row r="1852" spans="1:27" ht="25.5" customHeight="1">
      <c r="A1852" s="50" t="s">
        <v>778</v>
      </c>
      <c r="B1852" s="51" t="s">
        <v>1343</v>
      </c>
      <c r="C1852" s="51" t="s">
        <v>143</v>
      </c>
      <c r="D1852" s="51" t="s">
        <v>5383</v>
      </c>
      <c r="E1852" s="50">
        <v>9819</v>
      </c>
      <c r="F1852" s="50">
        <v>9390</v>
      </c>
      <c r="G1852" s="50" t="s">
        <v>3404</v>
      </c>
      <c r="H1852" s="50">
        <v>2024</v>
      </c>
      <c r="I1852" s="132">
        <v>45580</v>
      </c>
      <c r="J1852" s="50"/>
      <c r="K1852" s="50" t="s">
        <v>1345</v>
      </c>
      <c r="L1852" s="50"/>
      <c r="M1852" s="50" t="s">
        <v>148</v>
      </c>
      <c r="N1852" s="50"/>
      <c r="O1852" s="50"/>
      <c r="P1852" s="50"/>
      <c r="Q1852" s="50"/>
      <c r="R1852" s="50"/>
      <c r="S1852" s="50" t="str">
        <f t="shared" si="161"/>
        <v/>
      </c>
      <c r="T1852" s="50" t="str">
        <f>IF(
    OR(ISBLANK(O1852), ISBLANK(P1852)),
    "",
    MAX(1, IF(
        NETWORKDAYS(O1852, P1852) &lt;= 0,
        1,
        NETWORKDAYS(O1852, P1852) - IF(O1852 = P1852, 0, 1)
    ))
)</f>
        <v/>
      </c>
      <c r="U1852" s="50" t="str">
        <f t="shared" si="168"/>
        <v/>
      </c>
      <c r="V1852" s="50" t="str">
        <f t="shared" si="162"/>
        <v/>
      </c>
      <c r="W1852" s="50"/>
      <c r="X1852" s="50" t="s">
        <v>1078</v>
      </c>
      <c r="Y1852" s="50" t="s">
        <v>3528</v>
      </c>
      <c r="Z1852" s="50" t="s">
        <v>3406</v>
      </c>
      <c r="AA1852" s="50"/>
    </row>
    <row r="1853" spans="1:27" ht="25.5" customHeight="1">
      <c r="A1853" s="517" t="s">
        <v>778</v>
      </c>
      <c r="B1853" s="51" t="s">
        <v>1349</v>
      </c>
      <c r="C1853" s="51" t="s">
        <v>143</v>
      </c>
      <c r="D1853" s="51" t="s">
        <v>5384</v>
      </c>
      <c r="E1853" s="50">
        <v>4133</v>
      </c>
      <c r="F1853" s="50">
        <v>4429</v>
      </c>
      <c r="G1853" s="50" t="s">
        <v>3955</v>
      </c>
      <c r="H1853" s="50"/>
      <c r="I1853" s="105"/>
      <c r="J1853" s="50"/>
      <c r="K1853" s="50" t="s">
        <v>32</v>
      </c>
      <c r="L1853" s="50"/>
      <c r="M1853" s="50" t="s">
        <v>148</v>
      </c>
      <c r="N1853" s="50"/>
      <c r="O1853" s="50"/>
      <c r="P1853" s="50"/>
      <c r="Q1853" s="50"/>
      <c r="R1853" s="50"/>
      <c r="S1853" s="50" t="str">
        <f t="shared" si="161"/>
        <v/>
      </c>
      <c r="T1853" s="50" t="str">
        <f>IF(
    OR(ISBLANK(O1853), ISBLANK(P1853)),
    "",
    MAX(1, IF(
        NETWORKDAYS(O1853, P1853) &lt;= 0,
        1,
        NETWORKDAYS(O1853, P1853) - IF(O1853 = P1853, 0, 1)
    ))
)</f>
        <v/>
      </c>
      <c r="U1853" s="50" t="str">
        <f t="shared" si="168"/>
        <v/>
      </c>
      <c r="V1853" s="50" t="str">
        <f t="shared" si="162"/>
        <v/>
      </c>
      <c r="W1853" s="50"/>
      <c r="X1853" s="50"/>
      <c r="Y1853" s="50"/>
      <c r="Z1853" s="50"/>
      <c r="AA1853" s="50"/>
    </row>
    <row r="1854" spans="1:27" ht="25.5" customHeight="1">
      <c r="A1854" s="517" t="s">
        <v>778</v>
      </c>
      <c r="B1854" s="51" t="s">
        <v>1349</v>
      </c>
      <c r="C1854" s="51" t="s">
        <v>143</v>
      </c>
      <c r="D1854" s="51" t="s">
        <v>5385</v>
      </c>
      <c r="E1854" s="50">
        <v>2582</v>
      </c>
      <c r="F1854" s="50">
        <v>2849</v>
      </c>
      <c r="G1854" s="50" t="s">
        <v>3404</v>
      </c>
      <c r="H1854" s="50">
        <v>2025</v>
      </c>
      <c r="I1854" s="132">
        <v>45811</v>
      </c>
      <c r="J1854" s="50" t="s">
        <v>3689</v>
      </c>
      <c r="K1854" s="50" t="s">
        <v>32</v>
      </c>
      <c r="L1854" s="50" t="s">
        <v>28</v>
      </c>
      <c r="M1854" s="50" t="s">
        <v>148</v>
      </c>
      <c r="N1854" s="50" t="s">
        <v>5386</v>
      </c>
      <c r="O1854" s="60">
        <v>45813</v>
      </c>
      <c r="P1854" s="60">
        <v>45818</v>
      </c>
      <c r="Q1854" s="60">
        <v>45826</v>
      </c>
      <c r="R1854" s="60">
        <v>45826</v>
      </c>
      <c r="S1854" s="50">
        <f t="shared" si="161"/>
        <v>2</v>
      </c>
      <c r="T1854" s="50">
        <f>IF(
    OR(ISBLANK(1811), ISBLANK(P1854)),
    "",
    MAX(1, IF(
        NETWORKDAYS(O1854, P1854) &lt;= 0,
        1,
        NETWORKDAYS(O1854, P1854) - IF(O1854 = P1854, 0, 1)
    ))
)</f>
        <v>3</v>
      </c>
      <c r="U1854" s="50">
        <f t="shared" si="168"/>
        <v>6</v>
      </c>
      <c r="V1854" s="50">
        <f t="shared" si="162"/>
        <v>1</v>
      </c>
      <c r="W1854" s="50" t="s">
        <v>150</v>
      </c>
      <c r="X1854" s="50" t="s">
        <v>4</v>
      </c>
      <c r="Y1854" s="50" t="s">
        <v>50</v>
      </c>
      <c r="Z1854" s="50" t="s">
        <v>3406</v>
      </c>
      <c r="AA1854" s="50"/>
    </row>
    <row r="1855" spans="1:27" s="110" customFormat="1" ht="25.5" customHeight="1">
      <c r="A1855" s="517" t="s">
        <v>778</v>
      </c>
      <c r="B1855" s="51" t="s">
        <v>1349</v>
      </c>
      <c r="C1855" s="51" t="s">
        <v>143</v>
      </c>
      <c r="D1855" s="51" t="s">
        <v>5387</v>
      </c>
      <c r="E1855" s="50">
        <v>2493</v>
      </c>
      <c r="F1855" s="50">
        <v>2882</v>
      </c>
      <c r="G1855" s="50" t="s">
        <v>3955</v>
      </c>
      <c r="H1855" s="50"/>
      <c r="I1855" s="105"/>
      <c r="J1855" s="50"/>
      <c r="K1855" s="50" t="s">
        <v>32</v>
      </c>
      <c r="L1855" s="50"/>
      <c r="M1855" s="50" t="s">
        <v>148</v>
      </c>
      <c r="N1855" s="50"/>
      <c r="O1855" s="50"/>
      <c r="P1855" s="50"/>
      <c r="Q1855" s="50"/>
      <c r="R1855" s="50"/>
      <c r="S1855" s="50" t="str">
        <f t="shared" si="161"/>
        <v/>
      </c>
      <c r="T1855" s="50" t="str">
        <f>IF(
    OR(ISBLANK(O1855), ISBLANK(P1855)),
    "",
    MAX(1, IF(
        NETWORKDAYS(O1855, P1855) &lt;= 0,
        1,
        NETWORKDAYS(O1855, P1855) - IF(O1855 = P1855, 0, 1)
    ))
)</f>
        <v/>
      </c>
      <c r="U1855" s="50" t="str">
        <f t="shared" si="168"/>
        <v/>
      </c>
      <c r="V1855" s="50" t="str">
        <f t="shared" si="162"/>
        <v/>
      </c>
      <c r="W1855" s="50"/>
      <c r="X1855" s="50"/>
      <c r="Y1855" s="50"/>
      <c r="Z1855" s="50"/>
      <c r="AA1855" s="50"/>
    </row>
    <row r="1856" spans="1:27" ht="25.5" customHeight="1">
      <c r="A1856" s="50" t="s">
        <v>778</v>
      </c>
      <c r="B1856" s="51" t="s">
        <v>1349</v>
      </c>
      <c r="C1856" s="51" t="s">
        <v>143</v>
      </c>
      <c r="D1856" s="51" t="s">
        <v>5388</v>
      </c>
      <c r="E1856" s="50">
        <v>4322</v>
      </c>
      <c r="F1856" s="50">
        <v>5023</v>
      </c>
      <c r="G1856" s="50" t="s">
        <v>3404</v>
      </c>
      <c r="H1856" s="50">
        <v>2024</v>
      </c>
      <c r="I1856" s="132">
        <v>45539</v>
      </c>
      <c r="J1856" s="50"/>
      <c r="K1856" s="50" t="s">
        <v>32</v>
      </c>
      <c r="L1856" s="50"/>
      <c r="M1856" s="50" t="s">
        <v>148</v>
      </c>
      <c r="N1856" s="50"/>
      <c r="O1856" s="50"/>
      <c r="P1856" s="50"/>
      <c r="Q1856" s="50"/>
      <c r="R1856" s="50"/>
      <c r="S1856" s="50" t="str">
        <f t="shared" si="161"/>
        <v/>
      </c>
      <c r="T1856" s="50" t="str">
        <f>IF(
    OR(ISBLANK(O1856), ISBLANK(P1856)),
    "",
    MAX(1, IF(
        NETWORKDAYS(O1856, P1856) &lt;= 0,
        1,
        NETWORKDAYS(O1856, P1856) - IF(O1856 = P1856, 0, 1)
    ))
)</f>
        <v/>
      </c>
      <c r="U1856" s="50" t="str">
        <f t="shared" si="168"/>
        <v/>
      </c>
      <c r="V1856" s="50" t="str">
        <f t="shared" si="162"/>
        <v/>
      </c>
      <c r="W1856" s="50"/>
      <c r="X1856" s="50" t="s">
        <v>4</v>
      </c>
      <c r="Y1856" s="50" t="s">
        <v>50</v>
      </c>
      <c r="Z1856" s="50" t="s">
        <v>3406</v>
      </c>
      <c r="AA1856" s="50"/>
    </row>
    <row r="1857" spans="1:27" ht="25.5" customHeight="1">
      <c r="A1857" s="517" t="s">
        <v>778</v>
      </c>
      <c r="B1857" s="51" t="s">
        <v>1349</v>
      </c>
      <c r="C1857" s="51" t="s">
        <v>143</v>
      </c>
      <c r="D1857" s="51" t="s">
        <v>5389</v>
      </c>
      <c r="E1857" s="50">
        <v>5029</v>
      </c>
      <c r="F1857" s="50">
        <v>5588</v>
      </c>
      <c r="G1857" s="50" t="s">
        <v>3955</v>
      </c>
      <c r="H1857" s="50"/>
      <c r="I1857" s="105"/>
      <c r="J1857" s="50"/>
      <c r="K1857" s="50" t="s">
        <v>32</v>
      </c>
      <c r="L1857" s="50"/>
      <c r="M1857" s="50" t="s">
        <v>148</v>
      </c>
      <c r="N1857" s="50"/>
      <c r="O1857" s="50"/>
      <c r="P1857" s="50"/>
      <c r="Q1857" s="50"/>
      <c r="R1857" s="50"/>
      <c r="S1857" s="50" t="str">
        <f t="shared" si="161"/>
        <v/>
      </c>
      <c r="T1857" s="50" t="str">
        <f>IF(
    OR(ISBLANK(O1857), ISBLANK(P1857)),
    "",
    MAX(1, IF(
        NETWORKDAYS(O1857, P1857) &lt;= 0,
        1,
        NETWORKDAYS(O1857, P1857) - IF(O1857 = P1857, 0, 1)
    ))
)</f>
        <v/>
      </c>
      <c r="U1857" s="50" t="str">
        <f t="shared" si="168"/>
        <v/>
      </c>
      <c r="V1857" s="50" t="str">
        <f t="shared" si="162"/>
        <v/>
      </c>
      <c r="W1857" s="50"/>
      <c r="X1857" s="50"/>
      <c r="Y1857" s="50"/>
      <c r="Z1857" s="50"/>
      <c r="AA1857" s="50"/>
    </row>
    <row r="1858" spans="1:27" ht="25.5" customHeight="1">
      <c r="A1858" s="517" t="s">
        <v>778</v>
      </c>
      <c r="B1858" s="51" t="s">
        <v>1349</v>
      </c>
      <c r="C1858" s="51" t="s">
        <v>143</v>
      </c>
      <c r="D1858" s="51" t="s">
        <v>4313</v>
      </c>
      <c r="E1858" s="50">
        <v>3763</v>
      </c>
      <c r="F1858" s="50">
        <v>4344</v>
      </c>
      <c r="G1858" s="50" t="s">
        <v>3955</v>
      </c>
      <c r="H1858" s="50"/>
      <c r="I1858" s="105"/>
      <c r="J1858" s="50"/>
      <c r="K1858" s="50" t="s">
        <v>32</v>
      </c>
      <c r="L1858" s="50"/>
      <c r="M1858" s="50" t="s">
        <v>148</v>
      </c>
      <c r="N1858" s="50"/>
      <c r="O1858" s="50"/>
      <c r="P1858" s="50"/>
      <c r="Q1858" s="50"/>
      <c r="R1858" s="50"/>
      <c r="S1858" s="50" t="str">
        <f t="shared" si="161"/>
        <v/>
      </c>
      <c r="T1858" s="50" t="str">
        <f>IF(
    OR(ISBLANK(O1858), ISBLANK(P1858)),
    "",
    MAX(1, IF(
        NETWORKDAYS(O1858, P1858) &lt;= 0,
        1,
        NETWORKDAYS(O1858, P1858) - IF(O1858 = P1858, 0, 1)
    ))
)</f>
        <v/>
      </c>
      <c r="U1858" s="50" t="str">
        <f t="shared" si="168"/>
        <v/>
      </c>
      <c r="V1858" s="50" t="str">
        <f t="shared" si="162"/>
        <v/>
      </c>
      <c r="W1858" s="50"/>
      <c r="X1858" s="50"/>
      <c r="Y1858" s="50"/>
      <c r="Z1858" s="50"/>
      <c r="AA1858" s="50"/>
    </row>
    <row r="1859" spans="1:27" ht="25.5" customHeight="1">
      <c r="A1859" s="517" t="s">
        <v>778</v>
      </c>
      <c r="B1859" s="51" t="s">
        <v>1349</v>
      </c>
      <c r="C1859" s="51" t="s">
        <v>143</v>
      </c>
      <c r="D1859" s="51" t="s">
        <v>5390</v>
      </c>
      <c r="E1859" s="50">
        <v>6323</v>
      </c>
      <c r="F1859" s="50">
        <v>7121</v>
      </c>
      <c r="G1859" s="50" t="s">
        <v>3404</v>
      </c>
      <c r="H1859" s="50">
        <v>2025</v>
      </c>
      <c r="I1859" s="132">
        <v>45700</v>
      </c>
      <c r="J1859" s="50" t="s">
        <v>3458</v>
      </c>
      <c r="K1859" s="50" t="s">
        <v>32</v>
      </c>
      <c r="L1859" s="50"/>
      <c r="M1859" s="50" t="s">
        <v>148</v>
      </c>
      <c r="N1859" s="50" t="s">
        <v>5391</v>
      </c>
      <c r="O1859" s="60">
        <v>45702</v>
      </c>
      <c r="P1859" s="50"/>
      <c r="Q1859" s="60">
        <v>45705</v>
      </c>
      <c r="R1859" s="60">
        <v>45706</v>
      </c>
      <c r="S1859" s="50">
        <f t="shared" si="161"/>
        <v>2</v>
      </c>
      <c r="T1859" s="50" t="str">
        <f>IF(
    OR(ISBLANK(O1859), ISBLANK(P1859)),
    "",
    MAX(1, IF(
        NETWORKDAYS(O1859, P1859) &lt;= 0,
        1,
        NETWORKDAYS(O1859, P1859) - IF(O1859 = QP1859, 0, 1)
    ))
)</f>
        <v/>
      </c>
      <c r="U1859" s="50">
        <f>IF(
    OR(ISBLANK(1816), ISBLANK(Q1859)),
    "",
    MAX(1, IF(
        NETWORKDAYS(O1859, Q1859) &lt;= 0,
        1,
        NETWORKDAYS(O1859, Q1859) - IF(O1859 = Q1859, 0, 1)
    ))
)</f>
        <v>1</v>
      </c>
      <c r="V1859" s="50">
        <f t="shared" si="162"/>
        <v>1</v>
      </c>
      <c r="W1859" s="50" t="s">
        <v>150</v>
      </c>
      <c r="X1859" s="50" t="s">
        <v>4</v>
      </c>
      <c r="Y1859" s="50" t="s">
        <v>57</v>
      </c>
      <c r="Z1859" s="50" t="s">
        <v>3406</v>
      </c>
      <c r="AA1859" s="50"/>
    </row>
    <row r="1860" spans="1:27" ht="25.5" customHeight="1">
      <c r="A1860" s="517" t="s">
        <v>778</v>
      </c>
      <c r="B1860" s="51" t="s">
        <v>1349</v>
      </c>
      <c r="C1860" s="51" t="s">
        <v>143</v>
      </c>
      <c r="D1860" s="51" t="s">
        <v>5392</v>
      </c>
      <c r="E1860" s="50">
        <v>4118</v>
      </c>
      <c r="F1860" s="50">
        <v>4170</v>
      </c>
      <c r="G1860" s="50" t="s">
        <v>3404</v>
      </c>
      <c r="H1860" s="50">
        <v>2025</v>
      </c>
      <c r="I1860" s="132">
        <v>45882</v>
      </c>
      <c r="J1860" s="50" t="s">
        <v>3126</v>
      </c>
      <c r="K1860" s="50" t="s">
        <v>32</v>
      </c>
      <c r="L1860" s="50" t="s">
        <v>28</v>
      </c>
      <c r="M1860" s="50" t="s">
        <v>148</v>
      </c>
      <c r="N1860" s="50" t="s">
        <v>5393</v>
      </c>
      <c r="O1860" s="60">
        <v>45883</v>
      </c>
      <c r="P1860" s="60">
        <v>45884</v>
      </c>
      <c r="Q1860" s="60">
        <v>45888</v>
      </c>
      <c r="R1860" s="60">
        <v>45888</v>
      </c>
      <c r="S1860" s="50">
        <f t="shared" si="161"/>
        <v>1</v>
      </c>
      <c r="T1860" s="50">
        <f>IF(
    OR(ISBLANK(1811), ISBLANK(P1860)),
    "",
    MAX(1, IF(
        NETWORKDAYS(O1860, P1860) &lt;= 0,
        1,
        NETWORKDAYS(O1860, P1860) - IF(O1860 = P1860, 0, 1)
    ))
)</f>
        <v>1</v>
      </c>
      <c r="U1860" s="50">
        <f t="shared" ref="U1860:U1877" si="169">IF(
    OR(ISBLANK(P1860), ISBLANK(Q1860)),
    "",
    MAX(1, IF(
        NETWORKDAYS(P1860, Q1860) &lt;= 0,
        1,
        NETWORKDAYS(P1860, Q1860) - IF(P1860 = Q1860, 0, 1)
    ))
)</f>
        <v>2</v>
      </c>
      <c r="V1860" s="50">
        <f t="shared" si="162"/>
        <v>1</v>
      </c>
      <c r="W1860" s="50" t="s">
        <v>150</v>
      </c>
      <c r="X1860" s="50" t="s">
        <v>4</v>
      </c>
      <c r="Y1860" s="50" t="s">
        <v>57</v>
      </c>
      <c r="Z1860" s="50" t="s">
        <v>3406</v>
      </c>
      <c r="AA1860" s="50"/>
    </row>
    <row r="1861" spans="1:27" ht="25.5" customHeight="1">
      <c r="A1861" s="517" t="s">
        <v>778</v>
      </c>
      <c r="B1861" s="51" t="s">
        <v>1349</v>
      </c>
      <c r="C1861" s="51" t="s">
        <v>143</v>
      </c>
      <c r="D1861" s="51" t="s">
        <v>5394</v>
      </c>
      <c r="E1861" s="50">
        <v>5423</v>
      </c>
      <c r="F1861" s="50">
        <v>5755</v>
      </c>
      <c r="G1861" s="50" t="s">
        <v>3404</v>
      </c>
      <c r="H1861" s="50">
        <v>2025</v>
      </c>
      <c r="I1861" s="132">
        <v>45847</v>
      </c>
      <c r="J1861" s="50" t="s">
        <v>3125</v>
      </c>
      <c r="K1861" s="50" t="s">
        <v>32</v>
      </c>
      <c r="L1861" s="50" t="s">
        <v>28</v>
      </c>
      <c r="M1861" s="50" t="s">
        <v>148</v>
      </c>
      <c r="N1861" s="50" t="s">
        <v>5395</v>
      </c>
      <c r="O1861" s="60">
        <v>45849</v>
      </c>
      <c r="P1861" s="60">
        <v>45856</v>
      </c>
      <c r="Q1861" s="60">
        <v>45856</v>
      </c>
      <c r="R1861" s="60">
        <v>45856</v>
      </c>
      <c r="S1861" s="50">
        <f t="shared" si="161"/>
        <v>2</v>
      </c>
      <c r="T1861" s="50">
        <f>IF(
    OR(ISBLANK(1811), ISBLANK(P1861)),
    "",
    MAX(1, IF(
        NETWORKDAYS(O1861, P1861) &lt;= 0,
        1,
        NETWORKDAYS(O1861, P1861) - IF(O1861 = P1861, 0, 1)
    ))
)</f>
        <v>5</v>
      </c>
      <c r="U1861" s="50">
        <f t="shared" si="169"/>
        <v>1</v>
      </c>
      <c r="V1861" s="50">
        <f t="shared" si="162"/>
        <v>1</v>
      </c>
      <c r="W1861" s="50" t="s">
        <v>150</v>
      </c>
      <c r="X1861" s="50" t="s">
        <v>4</v>
      </c>
      <c r="Y1861" s="50" t="s">
        <v>57</v>
      </c>
      <c r="Z1861" s="50" t="s">
        <v>3406</v>
      </c>
      <c r="AA1861" s="50"/>
    </row>
    <row r="1862" spans="1:27" s="110" customFormat="1" ht="25.5" customHeight="1">
      <c r="A1862" s="517" t="s">
        <v>778</v>
      </c>
      <c r="B1862" s="51" t="s">
        <v>1349</v>
      </c>
      <c r="C1862" s="51" t="s">
        <v>143</v>
      </c>
      <c r="D1862" s="51" t="s">
        <v>5396</v>
      </c>
      <c r="E1862" s="50">
        <v>1059</v>
      </c>
      <c r="F1862" s="50">
        <v>964</v>
      </c>
      <c r="G1862" s="50" t="s">
        <v>3955</v>
      </c>
      <c r="H1862" s="50"/>
      <c r="I1862" s="105"/>
      <c r="J1862" s="50"/>
      <c r="K1862" s="50" t="s">
        <v>32</v>
      </c>
      <c r="L1862" s="50"/>
      <c r="M1862" s="50" t="s">
        <v>148</v>
      </c>
      <c r="N1862" s="50"/>
      <c r="O1862" s="50"/>
      <c r="P1862" s="50"/>
      <c r="Q1862" s="50"/>
      <c r="R1862" s="50"/>
      <c r="S1862" s="50" t="str">
        <f t="shared" si="161"/>
        <v/>
      </c>
      <c r="T1862" s="50" t="str">
        <f t="shared" ref="T1862:T1868" si="170">IF(
    OR(ISBLANK(O1862), ISBLANK(P1862)),
    "",
    MAX(1, IF(
        NETWORKDAYS(O1862, P1862) &lt;= 0,
        1,
        NETWORKDAYS(O1862, P1862) - IF(O1862 = P1862, 0, 1)
    ))
)</f>
        <v/>
      </c>
      <c r="U1862" s="50" t="str">
        <f t="shared" si="169"/>
        <v/>
      </c>
      <c r="V1862" s="50" t="str">
        <f t="shared" si="162"/>
        <v/>
      </c>
      <c r="W1862" s="50"/>
      <c r="X1862" s="50"/>
      <c r="Y1862" s="50"/>
      <c r="Z1862" s="50"/>
      <c r="AA1862" s="50"/>
    </row>
    <row r="1863" spans="1:27" ht="25.5" customHeight="1">
      <c r="A1863" s="517" t="s">
        <v>778</v>
      </c>
      <c r="B1863" s="51" t="s">
        <v>1349</v>
      </c>
      <c r="C1863" s="51" t="s">
        <v>143</v>
      </c>
      <c r="D1863" s="51" t="s">
        <v>5397</v>
      </c>
      <c r="E1863" s="50">
        <v>5124</v>
      </c>
      <c r="F1863" s="50">
        <v>5197</v>
      </c>
      <c r="G1863" s="50" t="s">
        <v>3955</v>
      </c>
      <c r="H1863" s="50"/>
      <c r="I1863" s="105"/>
      <c r="J1863" s="50"/>
      <c r="K1863" s="50" t="s">
        <v>32</v>
      </c>
      <c r="L1863" s="50"/>
      <c r="M1863" s="50" t="s">
        <v>148</v>
      </c>
      <c r="N1863" s="50"/>
      <c r="O1863" s="50"/>
      <c r="P1863" s="50"/>
      <c r="Q1863" s="50"/>
      <c r="R1863" s="50"/>
      <c r="S1863" s="50" t="str">
        <f t="shared" si="161"/>
        <v/>
      </c>
      <c r="T1863" s="50" t="str">
        <f t="shared" si="170"/>
        <v/>
      </c>
      <c r="U1863" s="50" t="str">
        <f t="shared" si="169"/>
        <v/>
      </c>
      <c r="V1863" s="50" t="str">
        <f t="shared" si="162"/>
        <v/>
      </c>
      <c r="W1863" s="50"/>
      <c r="X1863" s="50"/>
      <c r="Y1863" s="50"/>
      <c r="Z1863" s="50"/>
      <c r="AA1863" s="50"/>
    </row>
    <row r="1864" spans="1:27" s="110" customFormat="1" ht="25.5" customHeight="1">
      <c r="A1864" s="517" t="s">
        <v>778</v>
      </c>
      <c r="B1864" s="51" t="s">
        <v>1349</v>
      </c>
      <c r="C1864" s="51" t="s">
        <v>143</v>
      </c>
      <c r="D1864" s="51" t="s">
        <v>5398</v>
      </c>
      <c r="E1864" s="50">
        <v>3698</v>
      </c>
      <c r="F1864" s="50">
        <v>3736</v>
      </c>
      <c r="G1864" s="50" t="s">
        <v>3955</v>
      </c>
      <c r="H1864" s="50"/>
      <c r="I1864" s="105"/>
      <c r="J1864" s="50"/>
      <c r="K1864" s="50" t="s">
        <v>32</v>
      </c>
      <c r="L1864" s="50"/>
      <c r="M1864" s="50" t="s">
        <v>148</v>
      </c>
      <c r="N1864" s="50"/>
      <c r="O1864" s="50"/>
      <c r="P1864" s="50"/>
      <c r="Q1864" s="50"/>
      <c r="R1864" s="50"/>
      <c r="S1864" s="50" t="str">
        <f t="shared" si="161"/>
        <v/>
      </c>
      <c r="T1864" s="50" t="str">
        <f t="shared" si="170"/>
        <v/>
      </c>
      <c r="U1864" s="50" t="str">
        <f t="shared" si="169"/>
        <v/>
      </c>
      <c r="V1864" s="50" t="str">
        <f t="shared" si="162"/>
        <v/>
      </c>
      <c r="W1864" s="50"/>
      <c r="X1864" s="50"/>
      <c r="Y1864" s="50"/>
      <c r="Z1864" s="50"/>
      <c r="AA1864" s="50"/>
    </row>
    <row r="1865" spans="1:27" ht="25.5" customHeight="1">
      <c r="A1865" s="50" t="s">
        <v>778</v>
      </c>
      <c r="B1865" s="51" t="s">
        <v>1349</v>
      </c>
      <c r="C1865" s="51" t="s">
        <v>143</v>
      </c>
      <c r="D1865" s="51" t="s">
        <v>5399</v>
      </c>
      <c r="E1865" s="50">
        <v>10133</v>
      </c>
      <c r="F1865" s="50">
        <v>10996</v>
      </c>
      <c r="G1865" s="50" t="s">
        <v>3404</v>
      </c>
      <c r="H1865" s="50">
        <v>2024</v>
      </c>
      <c r="I1865" s="132">
        <v>45447</v>
      </c>
      <c r="J1865" s="50"/>
      <c r="K1865" s="50" t="s">
        <v>32</v>
      </c>
      <c r="L1865" s="50"/>
      <c r="M1865" s="50" t="s">
        <v>148</v>
      </c>
      <c r="N1865" s="50"/>
      <c r="O1865" s="50"/>
      <c r="P1865" s="50"/>
      <c r="Q1865" s="50"/>
      <c r="R1865" s="50"/>
      <c r="S1865" s="50" t="str">
        <f t="shared" si="161"/>
        <v/>
      </c>
      <c r="T1865" s="50" t="str">
        <f t="shared" si="170"/>
        <v/>
      </c>
      <c r="U1865" s="50" t="str">
        <f t="shared" si="169"/>
        <v/>
      </c>
      <c r="V1865" s="50" t="str">
        <f t="shared" si="162"/>
        <v/>
      </c>
      <c r="W1865" s="50"/>
      <c r="X1865" s="50"/>
      <c r="Y1865" s="50"/>
      <c r="Z1865" s="50" t="s">
        <v>3406</v>
      </c>
      <c r="AA1865" s="50"/>
    </row>
    <row r="1866" spans="1:27" ht="25.5" customHeight="1">
      <c r="A1866" s="517" t="s">
        <v>778</v>
      </c>
      <c r="B1866" s="51" t="s">
        <v>1349</v>
      </c>
      <c r="C1866" s="51" t="s">
        <v>143</v>
      </c>
      <c r="D1866" s="51" t="s">
        <v>3474</v>
      </c>
      <c r="E1866" s="50">
        <v>3735</v>
      </c>
      <c r="F1866" s="50">
        <v>3955</v>
      </c>
      <c r="G1866" s="50" t="s">
        <v>3955</v>
      </c>
      <c r="H1866" s="50"/>
      <c r="I1866" s="105"/>
      <c r="J1866" s="50"/>
      <c r="K1866" s="50" t="s">
        <v>32</v>
      </c>
      <c r="L1866" s="50"/>
      <c r="M1866" s="50" t="s">
        <v>148</v>
      </c>
      <c r="N1866" s="50"/>
      <c r="O1866" s="50"/>
      <c r="P1866" s="50"/>
      <c r="Q1866" s="50"/>
      <c r="R1866" s="50"/>
      <c r="S1866" s="50" t="str">
        <f t="shared" si="161"/>
        <v/>
      </c>
      <c r="T1866" s="50" t="str">
        <f t="shared" si="170"/>
        <v/>
      </c>
      <c r="U1866" s="50" t="str">
        <f t="shared" si="169"/>
        <v/>
      </c>
      <c r="V1866" s="50" t="str">
        <f t="shared" si="162"/>
        <v/>
      </c>
      <c r="W1866" s="50"/>
      <c r="X1866" s="50"/>
      <c r="Y1866" s="50"/>
      <c r="Z1866" s="50"/>
      <c r="AA1866" s="50"/>
    </row>
    <row r="1867" spans="1:27" ht="25.5" customHeight="1">
      <c r="A1867" s="517" t="s">
        <v>778</v>
      </c>
      <c r="B1867" s="51" t="s">
        <v>1349</v>
      </c>
      <c r="C1867" s="51" t="s">
        <v>143</v>
      </c>
      <c r="D1867" s="51" t="s">
        <v>5400</v>
      </c>
      <c r="E1867" s="50">
        <v>3554</v>
      </c>
      <c r="F1867" s="50">
        <v>3820</v>
      </c>
      <c r="G1867" s="50" t="s">
        <v>3955</v>
      </c>
      <c r="H1867" s="50"/>
      <c r="I1867" s="105"/>
      <c r="J1867" s="50"/>
      <c r="K1867" s="50" t="s">
        <v>32</v>
      </c>
      <c r="L1867" s="50"/>
      <c r="M1867" s="50" t="s">
        <v>148</v>
      </c>
      <c r="N1867" s="50"/>
      <c r="O1867" s="50"/>
      <c r="P1867" s="50"/>
      <c r="Q1867" s="50"/>
      <c r="R1867" s="50"/>
      <c r="S1867" s="50" t="str">
        <f t="shared" si="161"/>
        <v/>
      </c>
      <c r="T1867" s="50" t="str">
        <f t="shared" si="170"/>
        <v/>
      </c>
      <c r="U1867" s="50" t="str">
        <f t="shared" si="169"/>
        <v/>
      </c>
      <c r="V1867" s="50" t="str">
        <f t="shared" si="162"/>
        <v/>
      </c>
      <c r="W1867" s="50"/>
      <c r="X1867" s="50"/>
      <c r="Y1867" s="50"/>
      <c r="Z1867" s="50"/>
      <c r="AA1867" s="50"/>
    </row>
    <row r="1868" spans="1:27" ht="25.5" customHeight="1">
      <c r="A1868" s="50" t="s">
        <v>778</v>
      </c>
      <c r="B1868" s="51" t="s">
        <v>1349</v>
      </c>
      <c r="C1868" s="51" t="s">
        <v>143</v>
      </c>
      <c r="D1868" s="51" t="s">
        <v>5401</v>
      </c>
      <c r="E1868" s="50">
        <v>3214</v>
      </c>
      <c r="F1868" s="50">
        <v>3411</v>
      </c>
      <c r="G1868" s="50" t="s">
        <v>3404</v>
      </c>
      <c r="H1868" s="50">
        <v>2024</v>
      </c>
      <c r="I1868" s="132">
        <v>45485</v>
      </c>
      <c r="J1868" s="50"/>
      <c r="K1868" s="50" t="s">
        <v>32</v>
      </c>
      <c r="L1868" s="50"/>
      <c r="M1868" s="50" t="s">
        <v>148</v>
      </c>
      <c r="N1868" s="50"/>
      <c r="O1868" s="50"/>
      <c r="P1868" s="50"/>
      <c r="Q1868" s="50"/>
      <c r="R1868" s="50"/>
      <c r="S1868" s="50" t="str">
        <f t="shared" si="161"/>
        <v/>
      </c>
      <c r="T1868" s="50" t="str">
        <f t="shared" si="170"/>
        <v/>
      </c>
      <c r="U1868" s="50" t="str">
        <f t="shared" si="169"/>
        <v/>
      </c>
      <c r="V1868" s="50" t="str">
        <f t="shared" si="162"/>
        <v/>
      </c>
      <c r="W1868" s="50"/>
      <c r="X1868" s="381"/>
      <c r="Y1868" s="19"/>
      <c r="Z1868" s="19"/>
      <c r="AA1868" s="50"/>
    </row>
    <row r="1869" spans="1:27" ht="25.5" customHeight="1">
      <c r="A1869" s="517" t="s">
        <v>778</v>
      </c>
      <c r="B1869" s="51" t="s">
        <v>1349</v>
      </c>
      <c r="C1869" s="51" t="s">
        <v>143</v>
      </c>
      <c r="D1869" s="51" t="s">
        <v>5402</v>
      </c>
      <c r="E1869" s="50">
        <v>1913</v>
      </c>
      <c r="F1869" s="50">
        <v>2026</v>
      </c>
      <c r="G1869" s="50" t="s">
        <v>3404</v>
      </c>
      <c r="H1869" s="50">
        <v>2025</v>
      </c>
      <c r="I1869" s="132">
        <v>45882</v>
      </c>
      <c r="J1869" s="50" t="s">
        <v>3126</v>
      </c>
      <c r="K1869" s="50" t="s">
        <v>32</v>
      </c>
      <c r="L1869" s="50" t="s">
        <v>28</v>
      </c>
      <c r="M1869" s="50" t="s">
        <v>148</v>
      </c>
      <c r="N1869" s="50" t="s">
        <v>5403</v>
      </c>
      <c r="O1869" s="60">
        <v>45883</v>
      </c>
      <c r="P1869" s="60">
        <v>45884</v>
      </c>
      <c r="Q1869" s="60">
        <v>45888</v>
      </c>
      <c r="R1869" s="60">
        <v>45888</v>
      </c>
      <c r="S1869" s="50">
        <f t="shared" si="161"/>
        <v>1</v>
      </c>
      <c r="T1869" s="50">
        <f>IF(
    OR(ISBLANK(1811), ISBLANK(P1869)),
    "",
    MAX(1, IF(
        NETWORKDAYS(O1869, P1869) &lt;= 0,
        1,
        NETWORKDAYS(O1869, P1869) - IF(O1869 = P1869, 0, 1)
    ))
)</f>
        <v>1</v>
      </c>
      <c r="U1869" s="50">
        <f t="shared" si="169"/>
        <v>2</v>
      </c>
      <c r="V1869" s="50">
        <f t="shared" si="162"/>
        <v>1</v>
      </c>
      <c r="W1869" s="50" t="s">
        <v>150</v>
      </c>
      <c r="X1869" s="50" t="s">
        <v>4</v>
      </c>
      <c r="Y1869" s="50" t="s">
        <v>57</v>
      </c>
      <c r="Z1869" s="50" t="s">
        <v>3406</v>
      </c>
      <c r="AA1869" s="50"/>
    </row>
    <row r="1870" spans="1:27" ht="25.5" customHeight="1">
      <c r="A1870" s="517" t="s">
        <v>778</v>
      </c>
      <c r="B1870" s="51" t="s">
        <v>1349</v>
      </c>
      <c r="C1870" s="51" t="s">
        <v>143</v>
      </c>
      <c r="D1870" s="51" t="s">
        <v>5404</v>
      </c>
      <c r="E1870" s="50">
        <v>5330</v>
      </c>
      <c r="F1870" s="50">
        <v>5362</v>
      </c>
      <c r="G1870" s="50" t="s">
        <v>3404</v>
      </c>
      <c r="H1870" s="50">
        <v>2025</v>
      </c>
      <c r="I1870" s="132">
        <v>45882</v>
      </c>
      <c r="J1870" s="50" t="s">
        <v>3126</v>
      </c>
      <c r="K1870" s="50" t="s">
        <v>32</v>
      </c>
      <c r="L1870" s="50" t="s">
        <v>28</v>
      </c>
      <c r="M1870" s="50" t="s">
        <v>148</v>
      </c>
      <c r="N1870" s="50" t="s">
        <v>5405</v>
      </c>
      <c r="O1870" s="60">
        <v>45883</v>
      </c>
      <c r="P1870" s="60">
        <v>45884</v>
      </c>
      <c r="Q1870" s="60">
        <v>45888</v>
      </c>
      <c r="R1870" s="60">
        <v>45888</v>
      </c>
      <c r="S1870" s="50">
        <f t="shared" si="161"/>
        <v>1</v>
      </c>
      <c r="T1870" s="50">
        <f>IF(
    OR(ISBLANK(1811), ISBLANK(P1870)),
    "",
    MAX(1, IF(
        NETWORKDAYS(O1870, P1870) &lt;= 0,
        1,
        NETWORKDAYS(O1870, P1870) - IF(O1870 = P1870, 0, 1)
    ))
)</f>
        <v>1</v>
      </c>
      <c r="U1870" s="50">
        <f t="shared" si="169"/>
        <v>2</v>
      </c>
      <c r="V1870" s="50">
        <f t="shared" si="162"/>
        <v>1</v>
      </c>
      <c r="W1870" s="50" t="s">
        <v>150</v>
      </c>
      <c r="X1870" s="50" t="s">
        <v>4</v>
      </c>
      <c r="Y1870" s="50" t="s">
        <v>50</v>
      </c>
      <c r="Z1870" s="50" t="s">
        <v>3406</v>
      </c>
      <c r="AA1870" s="50"/>
    </row>
    <row r="1871" spans="1:27" ht="25.5" customHeight="1">
      <c r="A1871" s="517" t="s">
        <v>778</v>
      </c>
      <c r="B1871" s="51" t="s">
        <v>1349</v>
      </c>
      <c r="C1871" s="51" t="s">
        <v>143</v>
      </c>
      <c r="D1871" s="51" t="s">
        <v>1056</v>
      </c>
      <c r="E1871" s="50">
        <v>3167</v>
      </c>
      <c r="F1871" s="50">
        <v>2197</v>
      </c>
      <c r="G1871" s="50" t="s">
        <v>3955</v>
      </c>
      <c r="H1871" s="50"/>
      <c r="I1871" s="105"/>
      <c r="J1871" s="50"/>
      <c r="K1871" s="50" t="s">
        <v>32</v>
      </c>
      <c r="L1871" s="50"/>
      <c r="M1871" s="50" t="s">
        <v>148</v>
      </c>
      <c r="N1871" s="50"/>
      <c r="O1871" s="50"/>
      <c r="P1871" s="50"/>
      <c r="Q1871" s="50"/>
      <c r="R1871" s="50"/>
      <c r="S1871" s="50" t="str">
        <f t="shared" si="161"/>
        <v/>
      </c>
      <c r="T1871" s="50" t="str">
        <f>IF(
    OR(ISBLANK(O1871), ISBLANK(P1871)),
    "",
    MAX(1, IF(
        NETWORKDAYS(O1871, P1871) &lt;= 0,
        1,
        NETWORKDAYS(O1871, P1871) - IF(O1871 = P1871, 0, 1)
    ))
)</f>
        <v/>
      </c>
      <c r="U1871" s="50" t="str">
        <f t="shared" si="169"/>
        <v/>
      </c>
      <c r="V1871" s="50" t="str">
        <f t="shared" si="162"/>
        <v/>
      </c>
      <c r="W1871" s="50"/>
      <c r="X1871" s="50"/>
      <c r="Y1871" s="50"/>
      <c r="Z1871" s="50"/>
      <c r="AA1871" s="50"/>
    </row>
    <row r="1872" spans="1:27" s="110" customFormat="1" ht="25.5" customHeight="1">
      <c r="A1872" s="517" t="s">
        <v>778</v>
      </c>
      <c r="B1872" s="51" t="s">
        <v>1349</v>
      </c>
      <c r="C1872" s="51" t="s">
        <v>143</v>
      </c>
      <c r="D1872" s="51" t="s">
        <v>5406</v>
      </c>
      <c r="E1872" s="50">
        <v>3593</v>
      </c>
      <c r="F1872" s="50">
        <v>3627</v>
      </c>
      <c r="G1872" s="50" t="s">
        <v>3955</v>
      </c>
      <c r="H1872" s="50"/>
      <c r="I1872" s="105"/>
      <c r="J1872" s="50"/>
      <c r="K1872" s="50" t="s">
        <v>32</v>
      </c>
      <c r="L1872" s="50"/>
      <c r="M1872" s="50" t="s">
        <v>148</v>
      </c>
      <c r="N1872" s="50"/>
      <c r="O1872" s="50"/>
      <c r="P1872" s="50"/>
      <c r="Q1872" s="50"/>
      <c r="R1872" s="50"/>
      <c r="S1872" s="50" t="str">
        <f t="shared" si="161"/>
        <v/>
      </c>
      <c r="T1872" s="50" t="str">
        <f>IF(
    OR(ISBLANK(O1872), ISBLANK(P1872)),
    "",
    MAX(1, IF(
        NETWORKDAYS(O1872, P1872) &lt;= 0,
        1,
        NETWORKDAYS(O1872, P1872) - IF(O1872 = P1872, 0, 1)
    ))
)</f>
        <v/>
      </c>
      <c r="U1872" s="50" t="str">
        <f t="shared" si="169"/>
        <v/>
      </c>
      <c r="V1872" s="50" t="str">
        <f t="shared" si="162"/>
        <v/>
      </c>
      <c r="W1872" s="50"/>
      <c r="X1872" s="50"/>
      <c r="Y1872" s="50"/>
      <c r="Z1872" s="50"/>
      <c r="AA1872" s="50"/>
    </row>
    <row r="1873" spans="1:27" ht="25.5" customHeight="1">
      <c r="A1873" s="517" t="s">
        <v>778</v>
      </c>
      <c r="B1873" s="51" t="s">
        <v>1349</v>
      </c>
      <c r="C1873" s="51" t="s">
        <v>143</v>
      </c>
      <c r="D1873" s="51" t="s">
        <v>5407</v>
      </c>
      <c r="E1873" s="50">
        <v>1772</v>
      </c>
      <c r="F1873" s="50">
        <v>2011</v>
      </c>
      <c r="G1873" s="50" t="s">
        <v>3404</v>
      </c>
      <c r="H1873" s="50">
        <v>2025</v>
      </c>
      <c r="I1873" s="132">
        <v>45882</v>
      </c>
      <c r="J1873" s="50" t="s">
        <v>3126</v>
      </c>
      <c r="K1873" s="50" t="s">
        <v>32</v>
      </c>
      <c r="L1873" s="50" t="s">
        <v>28</v>
      </c>
      <c r="M1873" s="50" t="s">
        <v>148</v>
      </c>
      <c r="N1873" s="50" t="s">
        <v>5408</v>
      </c>
      <c r="O1873" s="60">
        <v>45883</v>
      </c>
      <c r="P1873" s="60">
        <v>45884</v>
      </c>
      <c r="Q1873" s="60">
        <v>45888</v>
      </c>
      <c r="R1873" s="60">
        <v>45888</v>
      </c>
      <c r="S1873" s="50">
        <f t="shared" si="161"/>
        <v>1</v>
      </c>
      <c r="T1873" s="50">
        <f>IF(
    OR(ISBLANK(1811), ISBLANK(P1873)),
    "",
    MAX(1, IF(
        NETWORKDAYS(O1873, P1873) &lt;= 0,
        1,
        NETWORKDAYS(O1873, P1873) - IF(O1873 = P1873, 0, 1)
    ))
)</f>
        <v>1</v>
      </c>
      <c r="U1873" s="50">
        <f t="shared" si="169"/>
        <v>2</v>
      </c>
      <c r="V1873" s="50">
        <f t="shared" si="162"/>
        <v>1</v>
      </c>
      <c r="W1873" s="50" t="s">
        <v>150</v>
      </c>
      <c r="X1873" s="50" t="s">
        <v>4</v>
      </c>
      <c r="Y1873" s="50" t="s">
        <v>57</v>
      </c>
      <c r="Z1873" s="50" t="s">
        <v>3406</v>
      </c>
      <c r="AA1873" s="50"/>
    </row>
    <row r="1874" spans="1:27" ht="25.5" customHeight="1">
      <c r="A1874" s="517" t="s">
        <v>778</v>
      </c>
      <c r="B1874" s="51" t="s">
        <v>1349</v>
      </c>
      <c r="C1874" s="51" t="s">
        <v>143</v>
      </c>
      <c r="D1874" s="51" t="s">
        <v>914</v>
      </c>
      <c r="E1874" s="50">
        <v>3361</v>
      </c>
      <c r="F1874" s="50">
        <v>3351</v>
      </c>
      <c r="G1874" s="50" t="s">
        <v>3955</v>
      </c>
      <c r="H1874" s="50"/>
      <c r="I1874" s="105"/>
      <c r="J1874" s="50"/>
      <c r="K1874" s="50" t="s">
        <v>32</v>
      </c>
      <c r="L1874" s="50"/>
      <c r="M1874" s="50" t="s">
        <v>148</v>
      </c>
      <c r="N1874" s="19"/>
      <c r="O1874" s="50"/>
      <c r="P1874" s="50"/>
      <c r="Q1874" s="50"/>
      <c r="R1874" s="50"/>
      <c r="S1874" s="50" t="str">
        <f t="shared" si="161"/>
        <v/>
      </c>
      <c r="T1874" s="50" t="str">
        <f>IF(
    OR(ISBLANK(O1874), ISBLANK(P1874)),
    "",
    MAX(1, IF(
        NETWORKDAYS(O1874, P1874) &lt;= 0,
        1,
        NETWORKDAYS(O1874, P1874) - IF(O1874 = P1874, 0, 1)
    ))
)</f>
        <v/>
      </c>
      <c r="U1874" s="50" t="str">
        <f t="shared" si="169"/>
        <v/>
      </c>
      <c r="V1874" s="50" t="str">
        <f t="shared" si="162"/>
        <v/>
      </c>
      <c r="W1874" s="50"/>
      <c r="X1874" s="50"/>
      <c r="Y1874" s="50"/>
      <c r="Z1874" s="50"/>
      <c r="AA1874" s="50"/>
    </row>
    <row r="1875" spans="1:27" ht="25.5" customHeight="1">
      <c r="A1875" s="517" t="s">
        <v>778</v>
      </c>
      <c r="B1875" s="51" t="s">
        <v>1349</v>
      </c>
      <c r="C1875" s="51" t="s">
        <v>143</v>
      </c>
      <c r="D1875" s="51" t="s">
        <v>5409</v>
      </c>
      <c r="E1875" s="50">
        <v>5004</v>
      </c>
      <c r="F1875" s="50">
        <v>5388</v>
      </c>
      <c r="G1875" s="50" t="s">
        <v>3404</v>
      </c>
      <c r="H1875" s="50">
        <v>2025</v>
      </c>
      <c r="I1875" s="132">
        <v>45882</v>
      </c>
      <c r="J1875" s="50" t="s">
        <v>3126</v>
      </c>
      <c r="K1875" s="50" t="s">
        <v>32</v>
      </c>
      <c r="L1875" s="50" t="s">
        <v>28</v>
      </c>
      <c r="M1875" s="50" t="s">
        <v>148</v>
      </c>
      <c r="N1875" s="50" t="s">
        <v>5410</v>
      </c>
      <c r="O1875" s="60">
        <v>45883</v>
      </c>
      <c r="P1875" s="60">
        <v>45884</v>
      </c>
      <c r="Q1875" s="60">
        <v>45888</v>
      </c>
      <c r="R1875" s="60">
        <v>45888</v>
      </c>
      <c r="S1875" s="50">
        <f t="shared" ref="S1875:S1887" si="171">IF(
    OR(ISBLANK(I1875), ISBLANK(O1875)),
    "",
    MAX(1, IF(
        NETWORKDAYS(I1875, O1875) &lt;= 0,
        1,
        NETWORKDAYS(I1875, O1875) - IF(I1875 = O1875, 0, 1)
    ))
)</f>
        <v>1</v>
      </c>
      <c r="T1875" s="50">
        <f>IF(
    OR(ISBLANK(1811), ISBLANK(P1875)),
    "",
    MAX(1, IF(
        NETWORKDAYS(O1875, P1875) &lt;= 0,
        1,
        NETWORKDAYS(O1875, P1875) - IF(O1875 = P1875, 0, 1)
    ))
)</f>
        <v>1</v>
      </c>
      <c r="U1875" s="50">
        <f t="shared" si="169"/>
        <v>2</v>
      </c>
      <c r="V1875" s="50">
        <f t="shared" ref="V1875:V1887" si="172">IF(
    OR(ISBLANK(Q1875), ISBLANK(R1875)),
    "",
    MAX(1, IF(
        NETWORKDAYS(Q1875, R1875) &lt;= 0,
        1,
        NETWORKDAYS(Q1875, R1875) - IF(Q1875 = R1875, 0, 1)
    ))
)</f>
        <v>1</v>
      </c>
      <c r="W1875" s="50" t="s">
        <v>150</v>
      </c>
      <c r="X1875" s="50" t="s">
        <v>4</v>
      </c>
      <c r="Y1875" s="50" t="s">
        <v>57</v>
      </c>
      <c r="Z1875" s="50" t="s">
        <v>3406</v>
      </c>
      <c r="AA1875" s="50"/>
    </row>
    <row r="1876" spans="1:27" ht="25.5" customHeight="1">
      <c r="A1876" s="50" t="s">
        <v>778</v>
      </c>
      <c r="B1876" s="51" t="s">
        <v>1349</v>
      </c>
      <c r="C1876" s="51" t="s">
        <v>143</v>
      </c>
      <c r="D1876" s="51" t="s">
        <v>5411</v>
      </c>
      <c r="E1876" s="50">
        <v>9065</v>
      </c>
      <c r="F1876" s="50">
        <v>10476</v>
      </c>
      <c r="G1876" s="50" t="s">
        <v>3404</v>
      </c>
      <c r="H1876" s="50">
        <v>2024</v>
      </c>
      <c r="I1876" s="132">
        <v>45447</v>
      </c>
      <c r="J1876" s="50"/>
      <c r="K1876" s="50" t="s">
        <v>32</v>
      </c>
      <c r="L1876" s="50"/>
      <c r="M1876" s="50" t="s">
        <v>148</v>
      </c>
      <c r="N1876" s="50"/>
      <c r="O1876" s="50"/>
      <c r="P1876" s="50"/>
      <c r="Q1876" s="50"/>
      <c r="R1876" s="50"/>
      <c r="S1876" s="50" t="str">
        <f t="shared" si="171"/>
        <v/>
      </c>
      <c r="T1876" s="50" t="str">
        <f>IF(
    OR(ISBLANK(O1876), ISBLANK(P1876)),
    "",
    MAX(1, IF(
        NETWORKDAYS(O1876, P1876) &lt;= 0,
        1,
        NETWORKDAYS(O1876, P1876) - IF(O1876 = P1876, 0, 1)
    ))
)</f>
        <v/>
      </c>
      <c r="U1876" s="50" t="str">
        <f t="shared" si="169"/>
        <v/>
      </c>
      <c r="V1876" s="50" t="str">
        <f t="shared" si="172"/>
        <v/>
      </c>
      <c r="W1876" s="50"/>
      <c r="X1876" s="50"/>
      <c r="Y1876" s="50"/>
      <c r="Z1876" s="50" t="s">
        <v>3406</v>
      </c>
      <c r="AA1876" s="50"/>
    </row>
    <row r="1877" spans="1:27" ht="25.5" customHeight="1">
      <c r="A1877" s="517" t="s">
        <v>778</v>
      </c>
      <c r="B1877" s="51" t="s">
        <v>1349</v>
      </c>
      <c r="C1877" s="51" t="s">
        <v>143</v>
      </c>
      <c r="D1877" s="51" t="s">
        <v>4294</v>
      </c>
      <c r="E1877" s="50">
        <v>6382</v>
      </c>
      <c r="F1877" s="50">
        <v>6611</v>
      </c>
      <c r="G1877" s="50" t="s">
        <v>3404</v>
      </c>
      <c r="H1877" s="50">
        <v>2025</v>
      </c>
      <c r="I1877" s="132">
        <v>45847</v>
      </c>
      <c r="J1877" s="50" t="s">
        <v>3125</v>
      </c>
      <c r="K1877" s="50" t="s">
        <v>32</v>
      </c>
      <c r="L1877" s="60" t="s">
        <v>28</v>
      </c>
      <c r="M1877" s="50" t="s">
        <v>148</v>
      </c>
      <c r="N1877" s="50" t="s">
        <v>5412</v>
      </c>
      <c r="O1877" s="60">
        <v>45849</v>
      </c>
      <c r="P1877" s="60">
        <v>45854</v>
      </c>
      <c r="Q1877" s="60">
        <v>45856</v>
      </c>
      <c r="R1877" s="60">
        <v>45856</v>
      </c>
      <c r="S1877" s="50">
        <f t="shared" si="171"/>
        <v>2</v>
      </c>
      <c r="T1877" s="50">
        <f>IF(
    OR(ISBLANK(1811), ISBLANK(P1877)),
    "",
    MAX(1, IF(
        NETWORKDAYS(O1877, P1877) &lt;= 0,
        1,
        NETWORKDAYS(O1877, P1877) - IF(O1877 = P1877, 0, 1)
    ))
)</f>
        <v>3</v>
      </c>
      <c r="U1877" s="50">
        <f t="shared" si="169"/>
        <v>2</v>
      </c>
      <c r="V1877" s="50">
        <f t="shared" si="172"/>
        <v>1</v>
      </c>
      <c r="W1877" s="50" t="s">
        <v>150</v>
      </c>
      <c r="X1877" s="50" t="s">
        <v>4</v>
      </c>
      <c r="Y1877" s="50" t="s">
        <v>57</v>
      </c>
      <c r="Z1877" s="50" t="s">
        <v>3406</v>
      </c>
      <c r="AA1877" s="50"/>
    </row>
    <row r="1878" spans="1:27" ht="25.5" customHeight="1">
      <c r="A1878" s="517" t="s">
        <v>778</v>
      </c>
      <c r="B1878" s="51" t="s">
        <v>1349</v>
      </c>
      <c r="C1878" s="51" t="s">
        <v>143</v>
      </c>
      <c r="D1878" s="51" t="s">
        <v>1439</v>
      </c>
      <c r="E1878" s="50">
        <v>8227</v>
      </c>
      <c r="F1878" s="50">
        <v>8832</v>
      </c>
      <c r="G1878" s="50" t="s">
        <v>3404</v>
      </c>
      <c r="H1878" s="50">
        <v>2025</v>
      </c>
      <c r="I1878" s="132">
        <v>45939</v>
      </c>
      <c r="J1878" s="50" t="s">
        <v>3128</v>
      </c>
      <c r="K1878" s="50" t="s">
        <v>32</v>
      </c>
      <c r="L1878" s="50"/>
      <c r="M1878" s="50" t="s">
        <v>148</v>
      </c>
      <c r="N1878" s="50" t="s">
        <v>5413</v>
      </c>
      <c r="O1878" s="60">
        <v>45942</v>
      </c>
      <c r="P1878" s="50"/>
      <c r="Q1878" s="60">
        <v>45945</v>
      </c>
      <c r="R1878" s="60">
        <v>45950</v>
      </c>
      <c r="S1878" s="50">
        <f t="shared" si="171"/>
        <v>1</v>
      </c>
      <c r="T1878" s="50" t="str">
        <f>IF(
    OR(ISBLANK(O1878), ISBLANK(P1878)),
    "",
    MAX(1, IF(
        NETWORKDAYS(O1878, P1878) &lt;= 0,
        1,
        NETWORKDAYS(O1878, P1878) - IF(O1878 = QP1878, 0, 1)
    ))
)</f>
        <v/>
      </c>
      <c r="U1878" s="50">
        <f>IF(
    OR(ISBLANK(1816), ISBLANK(Q1878)),
    "",
    MAX(1, IF(
        NETWORKDAYS(O1878, Q1878) &lt;= 0,
        1,
        NETWORKDAYS(O1878, Q1878) - IF(O1878 = Q1878, 0, 1)
    ))
)</f>
        <v>2</v>
      </c>
      <c r="V1878" s="50">
        <f t="shared" si="172"/>
        <v>3</v>
      </c>
      <c r="W1878" s="50" t="s">
        <v>150</v>
      </c>
      <c r="X1878" s="50" t="s">
        <v>4</v>
      </c>
      <c r="Y1878" s="50" t="s">
        <v>57</v>
      </c>
      <c r="Z1878" s="50" t="s">
        <v>3406</v>
      </c>
      <c r="AA1878" s="50"/>
    </row>
    <row r="1879" spans="1:27" ht="25.5" customHeight="1">
      <c r="A1879" s="517" t="s">
        <v>778</v>
      </c>
      <c r="B1879" s="51" t="s">
        <v>1349</v>
      </c>
      <c r="C1879" s="51" t="s">
        <v>143</v>
      </c>
      <c r="D1879" s="51" t="s">
        <v>5414</v>
      </c>
      <c r="E1879" s="50">
        <v>5389</v>
      </c>
      <c r="F1879" s="50">
        <v>6389</v>
      </c>
      <c r="G1879" s="50" t="s">
        <v>3955</v>
      </c>
      <c r="H1879" s="50"/>
      <c r="I1879" s="105"/>
      <c r="J1879" s="50"/>
      <c r="K1879" s="50" t="s">
        <v>32</v>
      </c>
      <c r="L1879" s="50"/>
      <c r="M1879" s="50" t="s">
        <v>148</v>
      </c>
      <c r="N1879" s="50"/>
      <c r="O1879" s="50"/>
      <c r="P1879" s="50"/>
      <c r="Q1879" s="50"/>
      <c r="R1879" s="50"/>
      <c r="S1879" s="50" t="str">
        <f t="shared" si="171"/>
        <v/>
      </c>
      <c r="T1879" s="50" t="str">
        <f t="shared" ref="T1879:U1881" si="173">IF(
    OR(ISBLANK(O1879), ISBLANK(P1879)),
    "",
    MAX(1, IF(
        NETWORKDAYS(O1879, P1879) &lt;= 0,
        1,
        NETWORKDAYS(O1879, P1879) - IF(O1879 = P1879, 0, 1)
    ))
)</f>
        <v/>
      </c>
      <c r="U1879" s="50" t="str">
        <f t="shared" si="173"/>
        <v/>
      </c>
      <c r="V1879" s="50" t="str">
        <f t="shared" si="172"/>
        <v/>
      </c>
      <c r="W1879" s="50"/>
      <c r="X1879" s="50"/>
      <c r="Y1879" s="50"/>
      <c r="Z1879" s="50"/>
      <c r="AA1879" s="50"/>
    </row>
    <row r="1880" spans="1:27" ht="25.5" customHeight="1">
      <c r="A1880" s="517" t="s">
        <v>778</v>
      </c>
      <c r="B1880" s="51" t="s">
        <v>1349</v>
      </c>
      <c r="C1880" s="51" t="s">
        <v>143</v>
      </c>
      <c r="D1880" s="51" t="s">
        <v>5415</v>
      </c>
      <c r="E1880" s="50">
        <v>2725</v>
      </c>
      <c r="F1880" s="50">
        <v>3171</v>
      </c>
      <c r="G1880" s="50" t="s">
        <v>3955</v>
      </c>
      <c r="H1880" s="50"/>
      <c r="I1880" s="105"/>
      <c r="J1880" s="50"/>
      <c r="K1880" s="50" t="s">
        <v>32</v>
      </c>
      <c r="L1880" s="50"/>
      <c r="M1880" s="50" t="s">
        <v>148</v>
      </c>
      <c r="N1880" s="50"/>
      <c r="O1880" s="50"/>
      <c r="P1880" s="50"/>
      <c r="Q1880" s="50"/>
      <c r="R1880" s="50"/>
      <c r="S1880" s="50" t="str">
        <f t="shared" si="171"/>
        <v/>
      </c>
      <c r="T1880" s="50" t="str">
        <f t="shared" si="173"/>
        <v/>
      </c>
      <c r="U1880" s="50" t="str">
        <f t="shared" si="173"/>
        <v/>
      </c>
      <c r="V1880" s="50" t="str">
        <f t="shared" si="172"/>
        <v/>
      </c>
      <c r="W1880" s="50"/>
      <c r="X1880" s="50"/>
      <c r="Y1880" s="50"/>
      <c r="Z1880" s="50"/>
      <c r="AA1880" s="50"/>
    </row>
    <row r="1881" spans="1:27" ht="25.5" customHeight="1">
      <c r="A1881" s="517" t="s">
        <v>778</v>
      </c>
      <c r="B1881" s="51" t="s">
        <v>1349</v>
      </c>
      <c r="C1881" s="51" t="s">
        <v>143</v>
      </c>
      <c r="D1881" s="51" t="s">
        <v>3423</v>
      </c>
      <c r="E1881" s="50">
        <v>3291</v>
      </c>
      <c r="F1881" s="50">
        <v>3445</v>
      </c>
      <c r="G1881" s="50" t="s">
        <v>3955</v>
      </c>
      <c r="H1881" s="50"/>
      <c r="I1881" s="105"/>
      <c r="J1881" s="50"/>
      <c r="K1881" s="50" t="s">
        <v>32</v>
      </c>
      <c r="L1881" s="50"/>
      <c r="M1881" s="50" t="s">
        <v>148</v>
      </c>
      <c r="N1881" s="50"/>
      <c r="O1881" s="50"/>
      <c r="P1881" s="50"/>
      <c r="Q1881" s="50"/>
      <c r="R1881" s="50"/>
      <c r="S1881" s="50" t="str">
        <f t="shared" si="171"/>
        <v/>
      </c>
      <c r="T1881" s="50" t="str">
        <f t="shared" si="173"/>
        <v/>
      </c>
      <c r="U1881" s="50" t="str">
        <f t="shared" si="173"/>
        <v/>
      </c>
      <c r="V1881" s="50" t="str">
        <f t="shared" si="172"/>
        <v/>
      </c>
      <c r="W1881" s="50"/>
      <c r="X1881" s="50"/>
      <c r="Y1881" s="50"/>
      <c r="Z1881" s="50"/>
      <c r="AA1881" s="50"/>
    </row>
    <row r="1882" spans="1:27" s="110" customFormat="1" ht="25.5" customHeight="1">
      <c r="A1882" s="517" t="s">
        <v>778</v>
      </c>
      <c r="B1882" s="51" t="s">
        <v>1349</v>
      </c>
      <c r="C1882" s="51" t="s">
        <v>143</v>
      </c>
      <c r="D1882" s="51" t="s">
        <v>5416</v>
      </c>
      <c r="E1882" s="50">
        <v>5570</v>
      </c>
      <c r="F1882" s="50">
        <v>7749</v>
      </c>
      <c r="G1882" s="50" t="s">
        <v>3404</v>
      </c>
      <c r="H1882" s="50">
        <v>2025</v>
      </c>
      <c r="I1882" s="132">
        <v>45700</v>
      </c>
      <c r="J1882" s="50" t="s">
        <v>3458</v>
      </c>
      <c r="K1882" s="50" t="s">
        <v>32</v>
      </c>
      <c r="L1882" s="50"/>
      <c r="M1882" s="50" t="s">
        <v>148</v>
      </c>
      <c r="N1882" s="50" t="s">
        <v>5417</v>
      </c>
      <c r="O1882" s="60">
        <v>45702</v>
      </c>
      <c r="P1882" s="50"/>
      <c r="Q1882" s="60">
        <v>45705</v>
      </c>
      <c r="R1882" s="60">
        <v>45706</v>
      </c>
      <c r="S1882" s="50">
        <f t="shared" si="171"/>
        <v>2</v>
      </c>
      <c r="T1882" s="50" t="str">
        <f>IF(
    OR(ISBLANK(O1882), ISBLANK(P1882)),
    "",
    MAX(1, IF(
        NETWORKDAYS(O1882, P1882) &lt;= 0,
        1,
        NETWORKDAYS(O1882, P1882) - IF(O1882 = QP1882, 0, 1)
    ))
)</f>
        <v/>
      </c>
      <c r="U1882" s="50">
        <f>IF(
    OR(ISBLANK(1816), ISBLANK(Q1882)),
    "",
    MAX(1, IF(
        NETWORKDAYS(O1882, Q1882) &lt;= 0,
        1,
        NETWORKDAYS(O1882, Q1882) - IF(O1882 = Q1882, 0, 1)
    ))
)</f>
        <v>1</v>
      </c>
      <c r="V1882" s="50">
        <f t="shared" si="172"/>
        <v>1</v>
      </c>
      <c r="W1882" s="50" t="s">
        <v>150</v>
      </c>
      <c r="X1882" s="50" t="s">
        <v>4</v>
      </c>
      <c r="Y1882" s="50" t="s">
        <v>57</v>
      </c>
      <c r="Z1882" s="50" t="s">
        <v>3406</v>
      </c>
      <c r="AA1882" s="50"/>
    </row>
    <row r="1883" spans="1:27" ht="25.5" customHeight="1">
      <c r="A1883" s="50" t="s">
        <v>778</v>
      </c>
      <c r="B1883" s="51" t="s">
        <v>1353</v>
      </c>
      <c r="C1883" s="51" t="s">
        <v>143</v>
      </c>
      <c r="D1883" s="51" t="s">
        <v>5418</v>
      </c>
      <c r="E1883" s="50">
        <v>239</v>
      </c>
      <c r="F1883" s="50">
        <v>554</v>
      </c>
      <c r="G1883" s="50" t="s">
        <v>3404</v>
      </c>
      <c r="H1883" s="50">
        <v>2024</v>
      </c>
      <c r="I1883" s="132">
        <v>45608</v>
      </c>
      <c r="J1883" s="50"/>
      <c r="K1883" s="50" t="s">
        <v>35</v>
      </c>
      <c r="L1883" s="50"/>
      <c r="M1883" s="50" t="s">
        <v>148</v>
      </c>
      <c r="N1883" s="50"/>
      <c r="O1883" s="50"/>
      <c r="P1883" s="50"/>
      <c r="Q1883" s="50"/>
      <c r="R1883" s="50"/>
      <c r="S1883" s="50" t="str">
        <f t="shared" si="171"/>
        <v/>
      </c>
      <c r="T1883" s="50" t="str">
        <f>IF(
    OR(ISBLANK(O1883), ISBLANK(P1883)),
    "",
    MAX(1, IF(
        NETWORKDAYS(O1883, P1883) &lt;= 0,
        1,
        NETWORKDAYS(O1883, P1883) - IF(O1883 = P1883, 0, 1)
    ))
)</f>
        <v/>
      </c>
      <c r="U1883" s="50" t="str">
        <f>IF(
    OR(ISBLANK(P1883), ISBLANK(Q1883)),
    "",
    MAX(1, IF(
        NETWORKDAYS(P1883, Q1883) &lt;= 0,
        1,
        NETWORKDAYS(P1883, Q1883) - IF(P1883 = Q1883, 0, 1)
    ))
)</f>
        <v/>
      </c>
      <c r="V1883" s="50" t="str">
        <f t="shared" si="172"/>
        <v/>
      </c>
      <c r="W1883" s="50"/>
      <c r="X1883" s="50" t="s">
        <v>4</v>
      </c>
      <c r="Y1883" s="50" t="s">
        <v>50</v>
      </c>
      <c r="Z1883" s="50" t="s">
        <v>3406</v>
      </c>
      <c r="AA1883" s="50"/>
    </row>
    <row r="1884" spans="1:27" ht="25.5" customHeight="1">
      <c r="A1884" s="50" t="s">
        <v>778</v>
      </c>
      <c r="B1884" s="51" t="s">
        <v>1353</v>
      </c>
      <c r="C1884" s="51" t="s">
        <v>143</v>
      </c>
      <c r="D1884" s="51" t="s">
        <v>5419</v>
      </c>
      <c r="E1884" s="50">
        <v>4466</v>
      </c>
      <c r="F1884" s="50">
        <v>6126</v>
      </c>
      <c r="G1884" s="50" t="s">
        <v>3404</v>
      </c>
      <c r="H1884" s="50">
        <v>2024</v>
      </c>
      <c r="I1884" s="132">
        <v>45541</v>
      </c>
      <c r="J1884" s="50"/>
      <c r="K1884" s="50" t="s">
        <v>35</v>
      </c>
      <c r="L1884" s="50"/>
      <c r="M1884" s="50" t="s">
        <v>148</v>
      </c>
      <c r="N1884" s="50"/>
      <c r="O1884" s="50"/>
      <c r="P1884" s="50"/>
      <c r="Q1884" s="50"/>
      <c r="R1884" s="50"/>
      <c r="S1884" s="50" t="str">
        <f t="shared" si="171"/>
        <v/>
      </c>
      <c r="T1884" s="50" t="str">
        <f>IF(
    OR(ISBLANK(O1884), ISBLANK(P1884)),
    "",
    MAX(1, IF(
        NETWORKDAYS(O1884, P1884) &lt;= 0,
        1,
        NETWORKDAYS(O1884, P1884) - IF(O1884 = P1884, 0, 1)
    ))
)</f>
        <v/>
      </c>
      <c r="U1884" s="50" t="str">
        <f>IF(
    OR(ISBLANK(P1884), ISBLANK(Q1884)),
    "",
    MAX(1, IF(
        NETWORKDAYS(P1884, Q1884) &lt;= 0,
        1,
        NETWORKDAYS(P1884, Q1884) - IF(P1884 = Q1884, 0, 1)
    ))
)</f>
        <v/>
      </c>
      <c r="V1884" s="50" t="str">
        <f t="shared" si="172"/>
        <v/>
      </c>
      <c r="W1884" s="50"/>
      <c r="X1884" s="50" t="s">
        <v>4</v>
      </c>
      <c r="Y1884" s="50" t="s">
        <v>50</v>
      </c>
      <c r="Z1884" s="50" t="s">
        <v>3406</v>
      </c>
      <c r="AA1884" s="50"/>
    </row>
    <row r="1885" spans="1:27" s="110" customFormat="1" ht="25.5" customHeight="1">
      <c r="A1885" s="517" t="s">
        <v>778</v>
      </c>
      <c r="B1885" s="51" t="s">
        <v>1353</v>
      </c>
      <c r="C1885" s="51" t="s">
        <v>143</v>
      </c>
      <c r="D1885" s="51" t="s">
        <v>5420</v>
      </c>
      <c r="E1885" s="50">
        <v>615</v>
      </c>
      <c r="F1885" s="50">
        <v>509</v>
      </c>
      <c r="G1885" s="50" t="s">
        <v>3404</v>
      </c>
      <c r="H1885" s="50">
        <v>2025</v>
      </c>
      <c r="I1885" s="132">
        <v>45968</v>
      </c>
      <c r="J1885" s="50" t="s">
        <v>3129</v>
      </c>
      <c r="K1885" s="50" t="s">
        <v>35</v>
      </c>
      <c r="L1885" s="50"/>
      <c r="M1885" s="50" t="s">
        <v>148</v>
      </c>
      <c r="N1885" s="50" t="s">
        <v>5421</v>
      </c>
      <c r="O1885" s="60">
        <v>45969</v>
      </c>
      <c r="P1885" s="50"/>
      <c r="Q1885" s="60">
        <v>45978</v>
      </c>
      <c r="R1885" s="60">
        <v>45979</v>
      </c>
      <c r="S1885" s="50">
        <f t="shared" si="171"/>
        <v>1</v>
      </c>
      <c r="T1885" s="50" t="str">
        <f>IF(
    OR(ISBLANK(O1885), ISBLANK(P1885)),
    "",
    MAX(1, IF(
        NETWORKDAYS(O1885, P1885) &lt;= 0,
        1,
        NETWORKDAYS(O1885, P1885) - IF(O1885 = QP1885, 0, 1)
    ))
)</f>
        <v/>
      </c>
      <c r="U1885" s="50">
        <f>IF(
    OR(ISBLANK(1816), ISBLANK(Q1885)),
    "",
    MAX(1, IF(
        NETWORKDAYS(O1885, Q1885) &lt;= 0,
        1,
        NETWORKDAYS(O1885, Q1885) - IF(O1885 = Q1885, 0, 1)
    ))
)</f>
        <v>5</v>
      </c>
      <c r="V1885" s="50">
        <f t="shared" si="172"/>
        <v>1</v>
      </c>
      <c r="W1885" s="50" t="s">
        <v>150</v>
      </c>
      <c r="X1885" s="50" t="s">
        <v>1078</v>
      </c>
      <c r="Y1885" s="50" t="s">
        <v>50</v>
      </c>
      <c r="Z1885" s="50" t="s">
        <v>3406</v>
      </c>
      <c r="AA1885" s="50"/>
    </row>
    <row r="1886" spans="1:27" ht="25.5" customHeight="1">
      <c r="A1886" s="50" t="s">
        <v>778</v>
      </c>
      <c r="B1886" s="51" t="s">
        <v>1353</v>
      </c>
      <c r="C1886" s="51" t="s">
        <v>143</v>
      </c>
      <c r="D1886" s="51" t="s">
        <v>5422</v>
      </c>
      <c r="E1886" s="50">
        <v>3486</v>
      </c>
      <c r="F1886" s="50">
        <v>3510</v>
      </c>
      <c r="G1886" s="50" t="s">
        <v>3404</v>
      </c>
      <c r="H1886" s="50">
        <v>2024</v>
      </c>
      <c r="I1886" s="132">
        <v>45541</v>
      </c>
      <c r="J1886" s="50"/>
      <c r="K1886" s="50" t="s">
        <v>35</v>
      </c>
      <c r="L1886" s="50"/>
      <c r="M1886" s="50" t="s">
        <v>148</v>
      </c>
      <c r="N1886" s="50"/>
      <c r="O1886" s="50"/>
      <c r="P1886" s="50"/>
      <c r="Q1886" s="50"/>
      <c r="R1886" s="50"/>
      <c r="S1886" s="50" t="str">
        <f t="shared" si="171"/>
        <v/>
      </c>
      <c r="T1886" s="50" t="str">
        <f>IF(
    OR(ISBLANK(O1886), ISBLANK(P1886)),
    "",
    MAX(1, IF(
        NETWORKDAYS(O1886, P1886) &lt;= 0,
        1,
        NETWORKDAYS(O1886, P1886) - IF(O1886 = P1886, 0, 1)
    ))
)</f>
        <v/>
      </c>
      <c r="U1886" s="50" t="str">
        <f>IF(
    OR(ISBLANK(P1886), ISBLANK(Q1886)),
    "",
    MAX(1, IF(
        NETWORKDAYS(P1886, Q1886) &lt;= 0,
        1,
        NETWORKDAYS(P1886, Q1886) - IF(P1886 = Q1886, 0, 1)
    ))
)</f>
        <v/>
      </c>
      <c r="V1886" s="50" t="str">
        <f t="shared" si="172"/>
        <v/>
      </c>
      <c r="W1886" s="50"/>
      <c r="X1886" s="50" t="s">
        <v>4</v>
      </c>
      <c r="Y1886" s="50" t="s">
        <v>50</v>
      </c>
      <c r="Z1886" s="50" t="s">
        <v>3406</v>
      </c>
      <c r="AA1886" s="50"/>
    </row>
    <row r="1887" spans="1:27" s="110" customFormat="1" ht="25.5" customHeight="1">
      <c r="A1887" s="517" t="s">
        <v>778</v>
      </c>
      <c r="B1887" s="51" t="s">
        <v>1353</v>
      </c>
      <c r="C1887" s="51" t="s">
        <v>143</v>
      </c>
      <c r="D1887" s="51" t="s">
        <v>5423</v>
      </c>
      <c r="E1887" s="50">
        <v>12048</v>
      </c>
      <c r="F1887" s="50">
        <v>12701</v>
      </c>
      <c r="G1887" s="50" t="s">
        <v>3404</v>
      </c>
      <c r="H1887" s="50">
        <v>2025</v>
      </c>
      <c r="I1887" s="132">
        <v>45818</v>
      </c>
      <c r="J1887" s="50" t="s">
        <v>3689</v>
      </c>
      <c r="K1887" s="50" t="s">
        <v>35</v>
      </c>
      <c r="L1887" s="50" t="s">
        <v>28</v>
      </c>
      <c r="M1887" s="50" t="s">
        <v>148</v>
      </c>
      <c r="N1887" s="50" t="s">
        <v>5424</v>
      </c>
      <c r="O1887" s="60">
        <v>45819</v>
      </c>
      <c r="P1887" s="60">
        <v>45826</v>
      </c>
      <c r="Q1887" s="60">
        <v>45826</v>
      </c>
      <c r="R1887" s="60">
        <v>45826</v>
      </c>
      <c r="S1887" s="50">
        <f t="shared" si="171"/>
        <v>1</v>
      </c>
      <c r="T1887" s="50">
        <f>IF(
    OR(ISBLANK(1811), ISBLANK(P1887)),
    "",
    MAX(1, IF(
        NETWORKDAYS(O1887, P1887) &lt;= 0,
        1,
        NETWORKDAYS(O1887, P1887) - IF(O1887 = P1887, 0, 1)
    ))
)</f>
        <v>5</v>
      </c>
      <c r="U1887" s="50">
        <f>IF(
    OR(ISBLANK(P1887), ISBLANK(Q1887)),
    "",
    MAX(1, IF(
        NETWORKDAYS(P1887, Q1887) &lt;= 0,
        1,
        NETWORKDAYS(P1887, Q1887) - IF(P1887 = Q1887, 0, 1)
    ))
)</f>
        <v>1</v>
      </c>
      <c r="V1887" s="50">
        <f t="shared" si="172"/>
        <v>1</v>
      </c>
      <c r="W1887" s="50" t="s">
        <v>150</v>
      </c>
      <c r="X1887" s="50" t="s">
        <v>4</v>
      </c>
      <c r="Y1887" s="50" t="s">
        <v>50</v>
      </c>
      <c r="Z1887" s="50" t="s">
        <v>3406</v>
      </c>
      <c r="AA1887" s="50"/>
    </row>
    <row r="1888" spans="1:27" ht="25.5" customHeight="1">
      <c r="A1888" s="50" t="s">
        <v>778</v>
      </c>
      <c r="B1888" s="51" t="s">
        <v>1353</v>
      </c>
      <c r="C1888" s="51" t="s">
        <v>143</v>
      </c>
      <c r="D1888" s="51" t="s">
        <v>1185</v>
      </c>
      <c r="E1888" s="50">
        <v>160</v>
      </c>
      <c r="F1888" s="50">
        <v>223</v>
      </c>
      <c r="G1888" s="50" t="s">
        <v>3404</v>
      </c>
      <c r="H1888" s="50" t="s">
        <v>3449</v>
      </c>
      <c r="I1888" s="132" t="s">
        <v>5425</v>
      </c>
      <c r="J1888" s="50" t="s">
        <v>3458</v>
      </c>
      <c r="K1888" s="50" t="s">
        <v>35</v>
      </c>
      <c r="L1888" s="50"/>
      <c r="M1888" s="50" t="s">
        <v>148</v>
      </c>
      <c r="N1888" s="50" t="s">
        <v>5426</v>
      </c>
      <c r="O1888" s="132" t="s">
        <v>5427</v>
      </c>
      <c r="P1888" s="50"/>
      <c r="Q1888" s="132" t="s">
        <v>5428</v>
      </c>
      <c r="R1888" s="132" t="s">
        <v>5429</v>
      </c>
      <c r="S1888" s="50"/>
      <c r="T1888" s="50" t="str">
        <f>IF(
    OR(ISBLANK(P1888), ISBLANK(Q1888)),
    "",
    MAX(1, IF(
        NETWORKDAYS(P1888, Q1888) &lt;= 0,
        1,
        NETWORKDAYS(P1888, Q1888) - IF(P1888 = Q1888, 0, 1)
    ))
)</f>
        <v/>
      </c>
      <c r="U1888" s="50"/>
      <c r="V1888" s="50"/>
      <c r="W1888" s="50" t="s">
        <v>150</v>
      </c>
      <c r="X1888" s="50" t="s">
        <v>4</v>
      </c>
      <c r="Y1888" s="50" t="s">
        <v>50</v>
      </c>
      <c r="Z1888" s="50" t="s">
        <v>3406</v>
      </c>
      <c r="AA1888" s="50"/>
    </row>
    <row r="1889" spans="1:27" ht="25.5" customHeight="1">
      <c r="A1889" s="50" t="s">
        <v>778</v>
      </c>
      <c r="B1889" s="51" t="s">
        <v>1353</v>
      </c>
      <c r="C1889" s="51" t="s">
        <v>143</v>
      </c>
      <c r="D1889" s="51" t="s">
        <v>5197</v>
      </c>
      <c r="E1889" s="50">
        <v>544</v>
      </c>
      <c r="F1889" s="50">
        <v>724</v>
      </c>
      <c r="G1889" s="50" t="s">
        <v>3404</v>
      </c>
      <c r="H1889" s="50">
        <v>2024</v>
      </c>
      <c r="I1889" s="132">
        <v>45541</v>
      </c>
      <c r="J1889" s="50"/>
      <c r="K1889" s="50" t="s">
        <v>35</v>
      </c>
      <c r="L1889" s="50"/>
      <c r="M1889" s="50" t="s">
        <v>148</v>
      </c>
      <c r="N1889" s="50"/>
      <c r="O1889" s="50"/>
      <c r="P1889" s="50"/>
      <c r="Q1889" s="50"/>
      <c r="R1889" s="50"/>
      <c r="S1889" s="50" t="str">
        <f>IF(
    OR(ISBLANK(I1889), ISBLANK(O1889)),
    "",
    MAX(1, IF(
        NETWORKDAYS(I1889, O1889) &lt;= 0,
        1,
        NETWORKDAYS(I1889, O1889) - IF(I1889 = O1889, 0, 1)
    ))
)</f>
        <v/>
      </c>
      <c r="T1889" s="50" t="str">
        <f>IF(
    OR(ISBLANK(O1889), ISBLANK(P1889)),
    "",
    MAX(1, IF(
        NETWORKDAYS(O1889, P1889) &lt;= 0,
        1,
        NETWORKDAYS(O1889, P1889) - IF(O1889 = P1889, 0, 1)
    ))
)</f>
        <v/>
      </c>
      <c r="U1889" s="50" t="str">
        <f>IF(
    OR(ISBLANK(P1889), ISBLANK(Q1889)),
    "",
    MAX(1, IF(
        NETWORKDAYS(P1889, Q1889) &lt;= 0,
        1,
        NETWORKDAYS(P1889, Q1889) - IF(P1889 = Q1889, 0, 1)
    ))
)</f>
        <v/>
      </c>
      <c r="V1889" s="50" t="str">
        <f>IF(
    OR(ISBLANK(Q1889), ISBLANK(R1889)),
    "",
    MAX(1, IF(
        NETWORKDAYS(Q1889, R1889) &lt;= 0,
        1,
        NETWORKDAYS(Q1889, R1889) - IF(Q1889 = R1889, 0, 1)
    ))
)</f>
        <v/>
      </c>
      <c r="W1889" s="50"/>
      <c r="X1889" s="50" t="s">
        <v>4</v>
      </c>
      <c r="Y1889" s="50" t="s">
        <v>50</v>
      </c>
      <c r="Z1889" s="50" t="s">
        <v>3406</v>
      </c>
      <c r="AA1889" s="50"/>
    </row>
    <row r="1890" spans="1:27" ht="25.5" customHeight="1">
      <c r="A1890" s="50" t="s">
        <v>778</v>
      </c>
      <c r="B1890" s="51" t="s">
        <v>1353</v>
      </c>
      <c r="C1890" s="51" t="s">
        <v>143</v>
      </c>
      <c r="D1890" s="51" t="s">
        <v>5430</v>
      </c>
      <c r="E1890" s="50">
        <v>210</v>
      </c>
      <c r="F1890" s="50">
        <v>358</v>
      </c>
      <c r="G1890" s="50" t="s">
        <v>3404</v>
      </c>
      <c r="H1890" s="50" t="s">
        <v>3449</v>
      </c>
      <c r="I1890" s="132" t="s">
        <v>5431</v>
      </c>
      <c r="J1890" s="50" t="s">
        <v>3458</v>
      </c>
      <c r="K1890" s="50" t="s">
        <v>35</v>
      </c>
      <c r="L1890" s="50"/>
      <c r="M1890" s="50" t="s">
        <v>148</v>
      </c>
      <c r="N1890" s="50" t="s">
        <v>5432</v>
      </c>
      <c r="O1890" s="132" t="s">
        <v>5433</v>
      </c>
      <c r="P1890" s="50"/>
      <c r="Q1890" s="132" t="s">
        <v>5434</v>
      </c>
      <c r="R1890" s="132" t="s">
        <v>5435</v>
      </c>
      <c r="S1890" s="50"/>
      <c r="T1890" s="50" t="str">
        <f>IF(
    OR(ISBLANK(P1890), ISBLANK(Q1890)),
    "",
    MAX(1, IF(
        NETWORKDAYS(P1890, Q1890) &lt;= 0,
        1,
        NETWORKDAYS(P1890, Q1890) - IF(P1890 = Q1890, 0, 1)
    ))
)</f>
        <v/>
      </c>
      <c r="U1890" s="50"/>
      <c r="V1890" s="50"/>
      <c r="W1890" s="50" t="s">
        <v>150</v>
      </c>
      <c r="X1890" s="50" t="s">
        <v>4</v>
      </c>
      <c r="Y1890" s="50" t="s">
        <v>50</v>
      </c>
      <c r="Z1890" s="50" t="s">
        <v>3406</v>
      </c>
      <c r="AA1890" s="50"/>
    </row>
    <row r="1891" spans="1:27" ht="25.5" customHeight="1">
      <c r="A1891" s="50" t="s">
        <v>778</v>
      </c>
      <c r="B1891" s="51" t="s">
        <v>1353</v>
      </c>
      <c r="C1891" s="51" t="s">
        <v>143</v>
      </c>
      <c r="D1891" s="51" t="s">
        <v>5436</v>
      </c>
      <c r="E1891" s="50">
        <v>780</v>
      </c>
      <c r="F1891" s="50">
        <v>1001</v>
      </c>
      <c r="G1891" s="50" t="s">
        <v>3404</v>
      </c>
      <c r="H1891" s="50">
        <v>2024</v>
      </c>
      <c r="I1891" s="132">
        <v>45608</v>
      </c>
      <c r="J1891" s="50"/>
      <c r="K1891" s="50" t="s">
        <v>35</v>
      </c>
      <c r="L1891" s="50"/>
      <c r="M1891" s="50" t="s">
        <v>148</v>
      </c>
      <c r="N1891" s="50"/>
      <c r="O1891" s="50"/>
      <c r="P1891" s="50"/>
      <c r="Q1891" s="50"/>
      <c r="R1891" s="50"/>
      <c r="S1891" s="50" t="str">
        <f t="shared" ref="S1891:S1902" si="174">IF(
    OR(ISBLANK(I1891), ISBLANK(O1891)),
    "",
    MAX(1, IF(
        NETWORKDAYS(I1891, O1891) &lt;= 0,
        1,
        NETWORKDAYS(I1891, O1891) - IF(I1891 = O1891, 0, 1)
    ))
)</f>
        <v/>
      </c>
      <c r="T1891" s="50" t="str">
        <f t="shared" ref="T1891:V1893" si="175">IF(
    OR(ISBLANK(O1891), ISBLANK(P1891)),
    "",
    MAX(1, IF(
        NETWORKDAYS(O1891, P1891) &lt;= 0,
        1,
        NETWORKDAYS(O1891, P1891) - IF(O1891 = P1891, 0, 1)
    ))
)</f>
        <v/>
      </c>
      <c r="U1891" s="50" t="str">
        <f t="shared" si="175"/>
        <v/>
      </c>
      <c r="V1891" s="50" t="str">
        <f t="shared" si="175"/>
        <v/>
      </c>
      <c r="W1891" s="50"/>
      <c r="X1891" s="50" t="s">
        <v>4</v>
      </c>
      <c r="Y1891" s="50" t="s">
        <v>50</v>
      </c>
      <c r="Z1891" s="50" t="s">
        <v>3406</v>
      </c>
      <c r="AA1891" s="50"/>
    </row>
    <row r="1892" spans="1:27" ht="25.5" customHeight="1">
      <c r="A1892" s="50" t="s">
        <v>778</v>
      </c>
      <c r="B1892" s="51" t="s">
        <v>1353</v>
      </c>
      <c r="C1892" s="51" t="s">
        <v>143</v>
      </c>
      <c r="D1892" s="51" t="s">
        <v>5437</v>
      </c>
      <c r="E1892" s="50">
        <v>2156</v>
      </c>
      <c r="F1892" s="50">
        <v>2461</v>
      </c>
      <c r="G1892" s="50" t="s">
        <v>3404</v>
      </c>
      <c r="H1892" s="50">
        <v>2024</v>
      </c>
      <c r="I1892" s="132">
        <v>45541</v>
      </c>
      <c r="J1892" s="50"/>
      <c r="K1892" s="50" t="s">
        <v>35</v>
      </c>
      <c r="L1892" s="50"/>
      <c r="M1892" s="50" t="s">
        <v>148</v>
      </c>
      <c r="N1892" s="50"/>
      <c r="O1892" s="50"/>
      <c r="P1892" s="50"/>
      <c r="Q1892" s="50"/>
      <c r="R1892" s="50"/>
      <c r="S1892" s="50" t="str">
        <f t="shared" si="174"/>
        <v/>
      </c>
      <c r="T1892" s="50" t="str">
        <f t="shared" si="175"/>
        <v/>
      </c>
      <c r="U1892" s="50" t="str">
        <f t="shared" si="175"/>
        <v/>
      </c>
      <c r="V1892" s="50" t="str">
        <f t="shared" si="175"/>
        <v/>
      </c>
      <c r="W1892" s="50"/>
      <c r="X1892" s="50" t="s">
        <v>4</v>
      </c>
      <c r="Y1892" s="50" t="s">
        <v>50</v>
      </c>
      <c r="Z1892" s="50" t="s">
        <v>3406</v>
      </c>
      <c r="AA1892" s="50"/>
    </row>
    <row r="1893" spans="1:27" ht="25.5" customHeight="1">
      <c r="A1893" s="50" t="s">
        <v>778</v>
      </c>
      <c r="B1893" s="51" t="s">
        <v>1353</v>
      </c>
      <c r="C1893" s="51" t="s">
        <v>143</v>
      </c>
      <c r="D1893" s="51" t="s">
        <v>5438</v>
      </c>
      <c r="E1893" s="50">
        <v>1203</v>
      </c>
      <c r="F1893" s="50">
        <v>1438</v>
      </c>
      <c r="G1893" s="50" t="s">
        <v>3404</v>
      </c>
      <c r="H1893" s="50">
        <v>2024</v>
      </c>
      <c r="I1893" s="132">
        <v>45482</v>
      </c>
      <c r="J1893" s="50"/>
      <c r="K1893" s="50" t="s">
        <v>35</v>
      </c>
      <c r="L1893" s="50"/>
      <c r="M1893" s="50" t="s">
        <v>148</v>
      </c>
      <c r="N1893" s="50"/>
      <c r="O1893" s="50"/>
      <c r="P1893" s="50"/>
      <c r="Q1893" s="50"/>
      <c r="R1893" s="50"/>
      <c r="S1893" s="50" t="str">
        <f t="shared" si="174"/>
        <v/>
      </c>
      <c r="T1893" s="50" t="str">
        <f t="shared" si="175"/>
        <v/>
      </c>
      <c r="U1893" s="50" t="str">
        <f t="shared" si="175"/>
        <v/>
      </c>
      <c r="V1893" s="50" t="str">
        <f t="shared" si="175"/>
        <v/>
      </c>
      <c r="W1893" s="50"/>
      <c r="X1893" s="50" t="s">
        <v>4</v>
      </c>
      <c r="Y1893" s="50" t="s">
        <v>50</v>
      </c>
      <c r="Z1893" s="50" t="s">
        <v>3406</v>
      </c>
      <c r="AA1893" s="50"/>
    </row>
    <row r="1894" spans="1:27" ht="25.5" customHeight="1">
      <c r="A1894" s="517" t="s">
        <v>778</v>
      </c>
      <c r="B1894" s="51" t="s">
        <v>1353</v>
      </c>
      <c r="C1894" s="51" t="s">
        <v>143</v>
      </c>
      <c r="D1894" s="51" t="s">
        <v>5439</v>
      </c>
      <c r="E1894" s="50">
        <v>191</v>
      </c>
      <c r="F1894" s="50">
        <v>75</v>
      </c>
      <c r="G1894" s="50" t="s">
        <v>3404</v>
      </c>
      <c r="H1894" s="50">
        <v>2025</v>
      </c>
      <c r="I1894" s="132">
        <v>45940</v>
      </c>
      <c r="J1894" s="50" t="s">
        <v>3128</v>
      </c>
      <c r="K1894" s="50" t="s">
        <v>35</v>
      </c>
      <c r="L1894" s="50"/>
      <c r="M1894" s="50" t="s">
        <v>148</v>
      </c>
      <c r="N1894" s="50" t="s">
        <v>5440</v>
      </c>
      <c r="O1894" s="60">
        <v>45939</v>
      </c>
      <c r="P1894" s="50"/>
      <c r="Q1894" s="60">
        <v>45945</v>
      </c>
      <c r="R1894" s="60">
        <v>45947</v>
      </c>
      <c r="S1894" s="50">
        <f t="shared" si="174"/>
        <v>1</v>
      </c>
      <c r="T1894" s="50" t="str">
        <f>IF(
    OR(ISBLANK(O1894), ISBLANK(P1894)),
    "",
    MAX(1, IF(
        NETWORKDAYS(O1894, P1894) &lt;= 0,
        1,
        NETWORKDAYS(O1894, P1894) - IF(O1894 = QP1894, 0, 1)
    ))
)</f>
        <v/>
      </c>
      <c r="U1894" s="50">
        <f>IF(
    OR(ISBLANK(1816), ISBLANK(Q1894)),
    "",
    MAX(1, IF(
        NETWORKDAYS(O1894, Q1894) &lt;= 0,
        1,
        NETWORKDAYS(O1894, Q1894) - IF(O1894 = Q1894, 0, 1)
    ))
)</f>
        <v>4</v>
      </c>
      <c r="V1894" s="50">
        <f t="shared" ref="V1894:V1902" si="176">IF(
    OR(ISBLANK(Q1894), ISBLANK(R1894)),
    "",
    MAX(1, IF(
        NETWORKDAYS(Q1894, R1894) &lt;= 0,
        1,
        NETWORKDAYS(Q1894, R1894) - IF(Q1894 = R1894, 0, 1)
    ))
)</f>
        <v>2</v>
      </c>
      <c r="W1894" s="50" t="s">
        <v>150</v>
      </c>
      <c r="X1894" s="50" t="s">
        <v>1078</v>
      </c>
      <c r="Y1894" s="50" t="s">
        <v>50</v>
      </c>
      <c r="Z1894" s="50" t="s">
        <v>3406</v>
      </c>
      <c r="AA1894" s="50"/>
    </row>
    <row r="1895" spans="1:27" s="110" customFormat="1" ht="25.5" customHeight="1">
      <c r="A1895" s="517" t="s">
        <v>778</v>
      </c>
      <c r="B1895" s="51" t="s">
        <v>1353</v>
      </c>
      <c r="C1895" s="51" t="s">
        <v>143</v>
      </c>
      <c r="D1895" s="51" t="s">
        <v>5441</v>
      </c>
      <c r="E1895" s="50">
        <v>656</v>
      </c>
      <c r="F1895" s="50">
        <v>967</v>
      </c>
      <c r="G1895" s="50" t="s">
        <v>3404</v>
      </c>
      <c r="H1895" s="50">
        <v>2025</v>
      </c>
      <c r="I1895" s="132">
        <v>45846</v>
      </c>
      <c r="J1895" s="50" t="s">
        <v>3125</v>
      </c>
      <c r="K1895" s="50" t="s">
        <v>35</v>
      </c>
      <c r="L1895" s="50" t="s">
        <v>28</v>
      </c>
      <c r="M1895" s="50" t="s">
        <v>148</v>
      </c>
      <c r="N1895" s="50" t="s">
        <v>5442</v>
      </c>
      <c r="O1895" s="60">
        <v>45850</v>
      </c>
      <c r="P1895" s="60">
        <v>45856</v>
      </c>
      <c r="Q1895" s="60">
        <v>45856</v>
      </c>
      <c r="R1895" s="60">
        <v>45856</v>
      </c>
      <c r="S1895" s="50">
        <f t="shared" si="174"/>
        <v>3</v>
      </c>
      <c r="T1895" s="50">
        <f>IF(
    OR(ISBLANK(1811), ISBLANK(P1895)),
    "",
    MAX(1, IF(
        NETWORKDAYS(O1895, P1895) &lt;= 0,
        1,
        NETWORKDAYS(O1895, P1895) - IF(O1895 = P1895, 0, 1)
    ))
)</f>
        <v>4</v>
      </c>
      <c r="U1895" s="50">
        <f>IF(
    OR(ISBLANK(P1895), ISBLANK(Q1895)),
    "",
    MAX(1, IF(
        NETWORKDAYS(P1895, Q1895) &lt;= 0,
        1,
        NETWORKDAYS(P1895, Q1895) - IF(P1895 = Q1895, 0, 1)
    ))
)</f>
        <v>1</v>
      </c>
      <c r="V1895" s="50">
        <f t="shared" si="176"/>
        <v>1</v>
      </c>
      <c r="W1895" s="50" t="s">
        <v>150</v>
      </c>
      <c r="X1895" s="50" t="s">
        <v>1078</v>
      </c>
      <c r="Y1895" s="50" t="s">
        <v>50</v>
      </c>
      <c r="Z1895" s="50" t="s">
        <v>3406</v>
      </c>
      <c r="AA1895" s="50"/>
    </row>
    <row r="1896" spans="1:27" ht="25.5" customHeight="1">
      <c r="A1896" s="50" t="s">
        <v>778</v>
      </c>
      <c r="B1896" s="51" t="s">
        <v>1353</v>
      </c>
      <c r="C1896" s="51" t="s">
        <v>143</v>
      </c>
      <c r="D1896" s="51" t="s">
        <v>5443</v>
      </c>
      <c r="E1896" s="50">
        <v>350</v>
      </c>
      <c r="F1896" s="50">
        <v>804</v>
      </c>
      <c r="G1896" s="50" t="s">
        <v>3404</v>
      </c>
      <c r="H1896" s="50">
        <v>2024</v>
      </c>
      <c r="I1896" s="132">
        <v>45545</v>
      </c>
      <c r="J1896" s="50"/>
      <c r="K1896" s="50" t="s">
        <v>35</v>
      </c>
      <c r="L1896" s="50"/>
      <c r="M1896" s="50" t="s">
        <v>148</v>
      </c>
      <c r="N1896" s="50"/>
      <c r="O1896" s="50"/>
      <c r="P1896" s="50"/>
      <c r="Q1896" s="50"/>
      <c r="R1896" s="50"/>
      <c r="S1896" s="50" t="str">
        <f t="shared" si="174"/>
        <v/>
      </c>
      <c r="T1896" s="50" t="str">
        <f>IF(
    OR(ISBLANK(O1896), ISBLANK(P1896)),
    "",
    MAX(1, IF(
        NETWORKDAYS(O1896, P1896) &lt;= 0,
        1,
        NETWORKDAYS(O1896, P1896) - IF(O1896 = P1896, 0, 1)
    ))
)</f>
        <v/>
      </c>
      <c r="U1896" s="50" t="str">
        <f>IF(
    OR(ISBLANK(P1896), ISBLANK(Q1896)),
    "",
    MAX(1, IF(
        NETWORKDAYS(P1896, Q1896) &lt;= 0,
        1,
        NETWORKDAYS(P1896, Q1896) - IF(P1896 = Q1896, 0, 1)
    ))
)</f>
        <v/>
      </c>
      <c r="V1896" s="50" t="str">
        <f t="shared" si="176"/>
        <v/>
      </c>
      <c r="W1896" s="50"/>
      <c r="X1896" s="50" t="s">
        <v>4</v>
      </c>
      <c r="Y1896" s="50" t="s">
        <v>50</v>
      </c>
      <c r="Z1896" s="50" t="s">
        <v>3406</v>
      </c>
      <c r="AA1896" s="50"/>
    </row>
    <row r="1897" spans="1:27" s="110" customFormat="1" ht="25.5" customHeight="1">
      <c r="A1897" s="517" t="s">
        <v>778</v>
      </c>
      <c r="B1897" s="51" t="s">
        <v>1353</v>
      </c>
      <c r="C1897" s="51" t="s">
        <v>143</v>
      </c>
      <c r="D1897" s="51" t="s">
        <v>914</v>
      </c>
      <c r="E1897" s="50">
        <v>747</v>
      </c>
      <c r="F1897" s="50">
        <v>1231</v>
      </c>
      <c r="G1897" s="50" t="s">
        <v>3404</v>
      </c>
      <c r="H1897" s="50">
        <v>2025</v>
      </c>
      <c r="I1897" s="132">
        <v>45846</v>
      </c>
      <c r="J1897" s="50" t="s">
        <v>3125</v>
      </c>
      <c r="K1897" s="50" t="s">
        <v>35</v>
      </c>
      <c r="L1897" s="50" t="s">
        <v>28</v>
      </c>
      <c r="M1897" s="50" t="s">
        <v>148</v>
      </c>
      <c r="N1897" s="50" t="s">
        <v>5444</v>
      </c>
      <c r="O1897" s="60">
        <v>45846</v>
      </c>
      <c r="P1897" s="60">
        <v>45856</v>
      </c>
      <c r="Q1897" s="60">
        <v>45856</v>
      </c>
      <c r="R1897" s="60">
        <v>45856</v>
      </c>
      <c r="S1897" s="50">
        <f t="shared" si="174"/>
        <v>1</v>
      </c>
      <c r="T1897" s="50">
        <f>IF(
    OR(ISBLANK(1811), ISBLANK(P1897)),
    "",
    MAX(1, IF(
        NETWORKDAYS(O1897, P1897) &lt;= 0,
        1,
        NETWORKDAYS(O1897, P1897) - IF(O1897 = P1897, 0, 1)
    ))
)</f>
        <v>8</v>
      </c>
      <c r="U1897" s="50">
        <f>IF(
    OR(ISBLANK(P1897), ISBLANK(Q1897)),
    "",
    MAX(1, IF(
        NETWORKDAYS(P1897, Q1897) &lt;= 0,
        1,
        NETWORKDAYS(P1897, Q1897) - IF(P1897 = Q1897, 0, 1)
    ))
)</f>
        <v>1</v>
      </c>
      <c r="V1897" s="50">
        <f t="shared" si="176"/>
        <v>1</v>
      </c>
      <c r="W1897" s="50" t="s">
        <v>150</v>
      </c>
      <c r="X1897" s="50" t="s">
        <v>4</v>
      </c>
      <c r="Y1897" s="50" t="s">
        <v>50</v>
      </c>
      <c r="Z1897" s="50" t="s">
        <v>3406</v>
      </c>
      <c r="AA1897" s="50"/>
    </row>
    <row r="1898" spans="1:27" ht="25.5" customHeight="1">
      <c r="A1898" s="50" t="s">
        <v>778</v>
      </c>
      <c r="B1898" s="51" t="s">
        <v>1353</v>
      </c>
      <c r="C1898" s="51" t="s">
        <v>143</v>
      </c>
      <c r="D1898" s="51" t="s">
        <v>1180</v>
      </c>
      <c r="E1898" s="50">
        <v>5703</v>
      </c>
      <c r="F1898" s="50">
        <v>6865</v>
      </c>
      <c r="G1898" s="50" t="s">
        <v>3404</v>
      </c>
      <c r="H1898" s="50">
        <v>2024</v>
      </c>
      <c r="I1898" s="132">
        <v>45546</v>
      </c>
      <c r="J1898" s="50"/>
      <c r="K1898" s="50" t="s">
        <v>35</v>
      </c>
      <c r="L1898" s="50"/>
      <c r="M1898" s="50" t="s">
        <v>148</v>
      </c>
      <c r="N1898" s="50"/>
      <c r="O1898" s="50"/>
      <c r="P1898" s="50"/>
      <c r="Q1898" s="50"/>
      <c r="R1898" s="50"/>
      <c r="S1898" s="50" t="str">
        <f t="shared" si="174"/>
        <v/>
      </c>
      <c r="T1898" s="50" t="str">
        <f>IF(
    OR(ISBLANK(O1898), ISBLANK(P1898)),
    "",
    MAX(1, IF(
        NETWORKDAYS(O1898, P1898) &lt;= 0,
        1,
        NETWORKDAYS(O1898, P1898) - IF(O1898 = P1898, 0, 1)
    ))
)</f>
        <v/>
      </c>
      <c r="U1898" s="50" t="str">
        <f>IF(
    OR(ISBLANK(P1898), ISBLANK(Q1898)),
    "",
    MAX(1, IF(
        NETWORKDAYS(P1898, Q1898) &lt;= 0,
        1,
        NETWORKDAYS(P1898, Q1898) - IF(P1898 = Q1898, 0, 1)
    ))
)</f>
        <v/>
      </c>
      <c r="V1898" s="50" t="str">
        <f t="shared" si="176"/>
        <v/>
      </c>
      <c r="W1898" s="50"/>
      <c r="X1898" s="50" t="s">
        <v>4</v>
      </c>
      <c r="Y1898" s="50" t="s">
        <v>50</v>
      </c>
      <c r="Z1898" s="50" t="s">
        <v>3406</v>
      </c>
      <c r="AA1898" s="50"/>
    </row>
    <row r="1899" spans="1:27" ht="25.5" customHeight="1">
      <c r="A1899" s="517" t="s">
        <v>778</v>
      </c>
      <c r="B1899" s="51" t="s">
        <v>1353</v>
      </c>
      <c r="C1899" s="51" t="s">
        <v>143</v>
      </c>
      <c r="D1899" s="51" t="s">
        <v>1166</v>
      </c>
      <c r="E1899" s="50">
        <v>2643</v>
      </c>
      <c r="F1899" s="50">
        <v>2905</v>
      </c>
      <c r="G1899" s="50" t="s">
        <v>3404</v>
      </c>
      <c r="H1899" s="50">
        <v>2025</v>
      </c>
      <c r="I1899" s="132">
        <v>45701</v>
      </c>
      <c r="J1899" s="50" t="s">
        <v>3458</v>
      </c>
      <c r="K1899" s="50" t="s">
        <v>35</v>
      </c>
      <c r="L1899" s="50"/>
      <c r="M1899" s="50" t="s">
        <v>148</v>
      </c>
      <c r="N1899" s="50" t="s">
        <v>5445</v>
      </c>
      <c r="O1899" s="60">
        <v>45705</v>
      </c>
      <c r="P1899" s="50"/>
      <c r="Q1899" s="60">
        <v>45706</v>
      </c>
      <c r="R1899" s="60">
        <v>45706</v>
      </c>
      <c r="S1899" s="50">
        <f t="shared" si="174"/>
        <v>2</v>
      </c>
      <c r="T1899" s="50" t="str">
        <f>IF(
    OR(ISBLANK(O1899), ISBLANK(P1899)),
    "",
    MAX(1, IF(
        NETWORKDAYS(O1899, P1899) &lt;= 0,
        1,
        NETWORKDAYS(O1899, P1899) - IF(O1899 = QP1899, 0, 1)
    ))
)</f>
        <v/>
      </c>
      <c r="U1899" s="50">
        <f>IF(
    OR(ISBLANK(1816), ISBLANK(Q1899)),
    "",
    MAX(1, IF(
        NETWORKDAYS(O1899, Q1899) &lt;= 0,
        1,
        NETWORKDAYS(O1899, Q1899) - IF(O1899 = Q1899, 0, 1)
    ))
)</f>
        <v>1</v>
      </c>
      <c r="V1899" s="50">
        <f t="shared" si="176"/>
        <v>1</v>
      </c>
      <c r="W1899" s="50" t="s">
        <v>150</v>
      </c>
      <c r="X1899" s="50" t="s">
        <v>4</v>
      </c>
      <c r="Y1899" s="50" t="s">
        <v>50</v>
      </c>
      <c r="Z1899" s="50" t="s">
        <v>3406</v>
      </c>
      <c r="AA1899" s="50"/>
    </row>
    <row r="1900" spans="1:27" ht="25.5" customHeight="1">
      <c r="A1900" s="517" t="s">
        <v>778</v>
      </c>
      <c r="B1900" s="51" t="s">
        <v>1353</v>
      </c>
      <c r="C1900" s="51" t="s">
        <v>143</v>
      </c>
      <c r="D1900" s="51" t="s">
        <v>3975</v>
      </c>
      <c r="E1900" s="50">
        <v>1061</v>
      </c>
      <c r="F1900" s="50">
        <v>1514</v>
      </c>
      <c r="G1900" s="50" t="s">
        <v>3404</v>
      </c>
      <c r="H1900" s="50">
        <v>2025</v>
      </c>
      <c r="I1900" s="132">
        <v>45968</v>
      </c>
      <c r="J1900" s="50" t="s">
        <v>3129</v>
      </c>
      <c r="K1900" s="50" t="s">
        <v>35</v>
      </c>
      <c r="L1900" s="50"/>
      <c r="M1900" s="50" t="s">
        <v>148</v>
      </c>
      <c r="N1900" s="50" t="s">
        <v>5446</v>
      </c>
      <c r="O1900" s="60">
        <v>45969</v>
      </c>
      <c r="P1900" s="50"/>
      <c r="Q1900" s="60">
        <v>45978</v>
      </c>
      <c r="R1900" s="60">
        <v>45979</v>
      </c>
      <c r="S1900" s="50">
        <f t="shared" si="174"/>
        <v>1</v>
      </c>
      <c r="T1900" s="50" t="str">
        <f>IF(
    OR(ISBLANK(O1900), ISBLANK(P1900)),
    "",
    MAX(1, IF(
        NETWORKDAYS(O1900, P1900) &lt;= 0,
        1,
        NETWORKDAYS(O1900, P1900) - IF(O1900 = QP1900, 0, 1)
    ))
)</f>
        <v/>
      </c>
      <c r="U1900" s="50">
        <f>IF(
    OR(ISBLANK(1816), ISBLANK(Q1900)),
    "",
    MAX(1, IF(
        NETWORKDAYS(O1900, Q1900) &lt;= 0,
        1,
        NETWORKDAYS(O1900, Q1900) - IF(O1900 = Q1900, 0, 1)
    ))
)</f>
        <v>5</v>
      </c>
      <c r="V1900" s="50">
        <f t="shared" si="176"/>
        <v>1</v>
      </c>
      <c r="W1900" s="50" t="s">
        <v>150</v>
      </c>
      <c r="X1900" s="50" t="s">
        <v>1078</v>
      </c>
      <c r="Y1900" s="50" t="s">
        <v>50</v>
      </c>
      <c r="Z1900" s="50" t="s">
        <v>3406</v>
      </c>
      <c r="AA1900" s="50"/>
    </row>
    <row r="1901" spans="1:27" s="110" customFormat="1" ht="25.5" customHeight="1">
      <c r="A1901" s="517" t="s">
        <v>778</v>
      </c>
      <c r="B1901" s="51" t="s">
        <v>1353</v>
      </c>
      <c r="C1901" s="51" t="s">
        <v>143</v>
      </c>
      <c r="D1901" s="51" t="s">
        <v>4027</v>
      </c>
      <c r="E1901" s="50">
        <v>1112</v>
      </c>
      <c r="F1901" s="50">
        <v>1400</v>
      </c>
      <c r="G1901" s="50" t="s">
        <v>3404</v>
      </c>
      <c r="H1901" s="50">
        <v>2025</v>
      </c>
      <c r="I1901" s="132">
        <v>45945</v>
      </c>
      <c r="J1901" s="50" t="s">
        <v>3128</v>
      </c>
      <c r="K1901" s="50" t="s">
        <v>35</v>
      </c>
      <c r="L1901" s="50"/>
      <c r="M1901" s="50" t="s">
        <v>148</v>
      </c>
      <c r="N1901" s="50" t="s">
        <v>5447</v>
      </c>
      <c r="O1901" s="60">
        <v>45945</v>
      </c>
      <c r="P1901" s="50"/>
      <c r="Q1901" s="60">
        <v>45946</v>
      </c>
      <c r="R1901" s="60">
        <v>45950</v>
      </c>
      <c r="S1901" s="50">
        <f t="shared" si="174"/>
        <v>1</v>
      </c>
      <c r="T1901" s="50" t="str">
        <f>IF(
    OR(ISBLANK(O1901), ISBLANK(P1901)),
    "",
    MAX(1, IF(
        NETWORKDAYS(O1901, P1901) &lt;= 0,
        1,
        NETWORKDAYS(O1901, P1901) - IF(O1901 = QP1901, 0, 1)
    ))
)</f>
        <v/>
      </c>
      <c r="U1901" s="50">
        <f>IF(
    OR(ISBLANK(1816), ISBLANK(Q1901)),
    "",
    MAX(1, IF(
        NETWORKDAYS(O1901, Q1901) &lt;= 0,
        1,
        NETWORKDAYS(O1901, Q1901) - IF(O1901 = Q1901, 0, 1)
    ))
)</f>
        <v>1</v>
      </c>
      <c r="V1901" s="50">
        <f t="shared" si="176"/>
        <v>2</v>
      </c>
      <c r="W1901" s="50" t="s">
        <v>150</v>
      </c>
      <c r="X1901" s="50" t="s">
        <v>1078</v>
      </c>
      <c r="Y1901" s="50" t="s">
        <v>50</v>
      </c>
      <c r="Z1901" s="50" t="s">
        <v>3406</v>
      </c>
      <c r="AA1901" s="50"/>
    </row>
    <row r="1902" spans="1:27" ht="25.5" customHeight="1">
      <c r="A1902" s="50" t="s">
        <v>778</v>
      </c>
      <c r="B1902" s="51" t="s">
        <v>1353</v>
      </c>
      <c r="C1902" s="51" t="s">
        <v>143</v>
      </c>
      <c r="D1902" s="51" t="s">
        <v>1354</v>
      </c>
      <c r="E1902" s="50">
        <v>135</v>
      </c>
      <c r="F1902" s="50">
        <v>168</v>
      </c>
      <c r="G1902" s="50" t="s">
        <v>3404</v>
      </c>
      <c r="H1902" s="50">
        <v>2024</v>
      </c>
      <c r="I1902" s="132">
        <v>45608</v>
      </c>
      <c r="J1902" s="50"/>
      <c r="K1902" s="50" t="s">
        <v>35</v>
      </c>
      <c r="L1902" s="50"/>
      <c r="M1902" s="50" t="s">
        <v>148</v>
      </c>
      <c r="N1902" s="50"/>
      <c r="O1902" s="50"/>
      <c r="P1902" s="50"/>
      <c r="Q1902" s="50"/>
      <c r="R1902" s="50"/>
      <c r="S1902" s="50" t="str">
        <f t="shared" si="174"/>
        <v/>
      </c>
      <c r="T1902" s="50" t="str">
        <f>IF(
    OR(ISBLANK(O1902), ISBLANK(P1902)),
    "",
    MAX(1, IF(
        NETWORKDAYS(O1902, P1902) &lt;= 0,
        1,
        NETWORKDAYS(O1902, P1902) - IF(O1902 = P1902, 0, 1)
    ))
)</f>
        <v/>
      </c>
      <c r="U1902" s="50" t="str">
        <f>IF(
    OR(ISBLANK(P1902), ISBLANK(Q1902)),
    "",
    MAX(1, IF(
        NETWORKDAYS(P1902, Q1902) &lt;= 0,
        1,
        NETWORKDAYS(P1902, Q1902) - IF(P1902 = Q1902, 0, 1)
    ))
)</f>
        <v/>
      </c>
      <c r="V1902" s="50" t="str">
        <f t="shared" si="176"/>
        <v/>
      </c>
      <c r="W1902" s="50"/>
      <c r="X1902" s="50" t="s">
        <v>4</v>
      </c>
      <c r="Y1902" s="50" t="s">
        <v>50</v>
      </c>
      <c r="Z1902" s="50" t="s">
        <v>3406</v>
      </c>
      <c r="AA1902" s="50"/>
    </row>
    <row r="1903" spans="1:27" ht="25.5" customHeight="1">
      <c r="A1903" s="50" t="s">
        <v>778</v>
      </c>
      <c r="B1903" s="51" t="s">
        <v>1353</v>
      </c>
      <c r="C1903" s="51" t="s">
        <v>143</v>
      </c>
      <c r="D1903" s="51" t="s">
        <v>5448</v>
      </c>
      <c r="E1903" s="50">
        <v>955</v>
      </c>
      <c r="F1903" s="50">
        <v>2532</v>
      </c>
      <c r="G1903" s="50" t="s">
        <v>3404</v>
      </c>
      <c r="H1903" s="50" t="s">
        <v>3449</v>
      </c>
      <c r="I1903" s="132" t="s">
        <v>5425</v>
      </c>
      <c r="J1903" s="50" t="s">
        <v>3458</v>
      </c>
      <c r="K1903" s="50" t="s">
        <v>35</v>
      </c>
      <c r="L1903" s="50"/>
      <c r="M1903" s="50" t="s">
        <v>148</v>
      </c>
      <c r="N1903" s="50" t="s">
        <v>5449</v>
      </c>
      <c r="O1903" s="50" t="s">
        <v>5427</v>
      </c>
      <c r="P1903" s="50"/>
      <c r="Q1903" s="50" t="s">
        <v>5428</v>
      </c>
      <c r="R1903" s="50" t="s">
        <v>5429</v>
      </c>
      <c r="S1903" s="50"/>
      <c r="T1903" s="50" t="str">
        <f>IF(
    OR(ISBLANK(P1903), ISBLANK(Q1903)),
    "",
    MAX(1, IF(
        NETWORKDAYS(P1903, Q1903) &lt;= 0,
        1,
        NETWORKDAYS(P1903, Q1903) - IF(P1903 = Q1903, 0, 1)
    ))
)</f>
        <v/>
      </c>
      <c r="U1903" s="50"/>
      <c r="V1903" s="50"/>
      <c r="W1903" s="50" t="s">
        <v>150</v>
      </c>
      <c r="X1903" s="50" t="s">
        <v>4</v>
      </c>
      <c r="Y1903" s="50" t="s">
        <v>50</v>
      </c>
      <c r="Z1903" s="50" t="s">
        <v>3406</v>
      </c>
      <c r="AA1903" s="50"/>
    </row>
    <row r="1904" spans="1:27" s="110" customFormat="1" ht="25.5" customHeight="1">
      <c r="A1904" s="517" t="s">
        <v>778</v>
      </c>
      <c r="B1904" s="51" t="s">
        <v>1357</v>
      </c>
      <c r="C1904" s="51" t="s">
        <v>143</v>
      </c>
      <c r="D1904" s="51" t="s">
        <v>5450</v>
      </c>
      <c r="E1904" s="50">
        <v>5374</v>
      </c>
      <c r="F1904" s="50">
        <v>5318</v>
      </c>
      <c r="G1904" s="50" t="s">
        <v>3404</v>
      </c>
      <c r="H1904" s="50">
        <v>2025</v>
      </c>
      <c r="I1904" s="132">
        <v>45897</v>
      </c>
      <c r="J1904" s="50" t="s">
        <v>3127</v>
      </c>
      <c r="K1904" s="50" t="s">
        <v>32</v>
      </c>
      <c r="L1904" s="50"/>
      <c r="M1904" s="50" t="s">
        <v>148</v>
      </c>
      <c r="N1904" s="50" t="s">
        <v>5451</v>
      </c>
      <c r="O1904" s="614">
        <v>45917</v>
      </c>
      <c r="P1904" s="19"/>
      <c r="Q1904" s="614">
        <v>45917</v>
      </c>
      <c r="R1904" s="614">
        <v>45918</v>
      </c>
      <c r="S1904" s="50">
        <f t="shared" ref="S1904:S1967" si="177">IF(
    OR(ISBLANK(I1904), ISBLANK(O1904)),
    "",
    MAX(1, IF(
        NETWORKDAYS(I1904, O1904) &lt;= 0,
        1,
        NETWORKDAYS(I1904, O1904) - IF(I1904 = O1904, 0, 1)
    ))
)</f>
        <v>14</v>
      </c>
      <c r="T1904" s="50" t="str">
        <f>IF(
    OR(ISBLANK(O1904), ISBLANK(P1904)),
    "",
    MAX(1, IF(
        NETWORKDAYS(O1904, P1904) &lt;= 0,
        1,
        NETWORKDAYS(O1904, P1904) - IF(O1904 = QP1904, 0, 1)
    ))
)</f>
        <v/>
      </c>
      <c r="U1904" s="50">
        <f>IF(
    OR(ISBLANK(1816), ISBLANK(Q1904)),
    "",
    MAX(1, IF(
        NETWORKDAYS(O1904, Q1904) &lt;= 0,
        1,
        NETWORKDAYS(O1904, Q1904) - IF(O1904 = Q1904, 0, 1)
    ))
)</f>
        <v>1</v>
      </c>
      <c r="V1904" s="50">
        <f t="shared" ref="V1904:V1967" si="178">IF(
    OR(ISBLANK(Q1904), ISBLANK(R1904)),
    "",
    MAX(1, IF(
        NETWORKDAYS(Q1904, R1904) &lt;= 0,
        1,
        NETWORKDAYS(Q1904, R1904) - IF(Q1904 = R1904, 0, 1)
    ))
)</f>
        <v>1</v>
      </c>
      <c r="W1904" s="50" t="s">
        <v>150</v>
      </c>
      <c r="X1904" s="50" t="s">
        <v>4</v>
      </c>
      <c r="Y1904" s="50" t="s">
        <v>50</v>
      </c>
      <c r="Z1904" s="50" t="s">
        <v>3406</v>
      </c>
      <c r="AA1904" s="50"/>
    </row>
    <row r="1905" spans="1:27" ht="25.5" customHeight="1">
      <c r="A1905" s="517" t="s">
        <v>778</v>
      </c>
      <c r="B1905" s="51" t="s">
        <v>1357</v>
      </c>
      <c r="C1905" s="51" t="s">
        <v>143</v>
      </c>
      <c r="D1905" s="51" t="s">
        <v>4142</v>
      </c>
      <c r="E1905" s="50">
        <v>11179</v>
      </c>
      <c r="F1905" s="50">
        <v>12159</v>
      </c>
      <c r="G1905" s="50" t="s">
        <v>3955</v>
      </c>
      <c r="H1905" s="50"/>
      <c r="I1905" s="105"/>
      <c r="J1905" s="50"/>
      <c r="K1905" s="50" t="s">
        <v>32</v>
      </c>
      <c r="L1905" s="50"/>
      <c r="M1905" s="50" t="s">
        <v>148</v>
      </c>
      <c r="N1905" s="50"/>
      <c r="O1905" s="50"/>
      <c r="P1905" s="50"/>
      <c r="Q1905" s="50"/>
      <c r="R1905" s="50"/>
      <c r="S1905" s="50" t="str">
        <f t="shared" si="177"/>
        <v/>
      </c>
      <c r="T1905" s="50" t="str">
        <f t="shared" ref="T1905:U1907" si="179">IF(
    OR(ISBLANK(O1905), ISBLANK(P1905)),
    "",
    MAX(1, IF(
        NETWORKDAYS(O1905, P1905) &lt;= 0,
        1,
        NETWORKDAYS(O1905, P1905) - IF(O1905 = P1905, 0, 1)
    ))
)</f>
        <v/>
      </c>
      <c r="U1905" s="50" t="str">
        <f t="shared" si="179"/>
        <v/>
      </c>
      <c r="V1905" s="50" t="str">
        <f t="shared" si="178"/>
        <v/>
      </c>
      <c r="W1905" s="50"/>
      <c r="X1905" s="50"/>
      <c r="Y1905" s="50"/>
      <c r="Z1905" s="50"/>
      <c r="AA1905" s="50"/>
    </row>
    <row r="1906" spans="1:27" ht="25.5" customHeight="1">
      <c r="A1906" s="50" t="s">
        <v>778</v>
      </c>
      <c r="B1906" s="51" t="s">
        <v>1357</v>
      </c>
      <c r="C1906" s="51" t="s">
        <v>143</v>
      </c>
      <c r="D1906" s="51" t="s">
        <v>3991</v>
      </c>
      <c r="E1906" s="50">
        <v>3084</v>
      </c>
      <c r="F1906" s="50">
        <v>3151</v>
      </c>
      <c r="G1906" s="50" t="s">
        <v>3404</v>
      </c>
      <c r="H1906" s="50">
        <v>2024</v>
      </c>
      <c r="I1906" s="132">
        <v>45610</v>
      </c>
      <c r="J1906" s="50"/>
      <c r="K1906" s="50" t="s">
        <v>32</v>
      </c>
      <c r="L1906" s="50"/>
      <c r="M1906" s="50" t="s">
        <v>148</v>
      </c>
      <c r="N1906" s="50"/>
      <c r="O1906" s="50"/>
      <c r="P1906" s="50"/>
      <c r="Q1906" s="50"/>
      <c r="R1906" s="50"/>
      <c r="S1906" s="50" t="str">
        <f t="shared" si="177"/>
        <v/>
      </c>
      <c r="T1906" s="50" t="str">
        <f t="shared" si="179"/>
        <v/>
      </c>
      <c r="U1906" s="50" t="str">
        <f t="shared" si="179"/>
        <v/>
      </c>
      <c r="V1906" s="50" t="str">
        <f t="shared" si="178"/>
        <v/>
      </c>
      <c r="W1906" s="50"/>
      <c r="X1906" s="50" t="s">
        <v>4</v>
      </c>
      <c r="Y1906" s="50" t="s">
        <v>57</v>
      </c>
      <c r="Z1906" s="50" t="s">
        <v>3406</v>
      </c>
      <c r="AA1906" s="50"/>
    </row>
    <row r="1907" spans="1:27" ht="25.5" customHeight="1">
      <c r="A1907" s="517" t="s">
        <v>778</v>
      </c>
      <c r="B1907" s="51" t="s">
        <v>1357</v>
      </c>
      <c r="C1907" s="51" t="s">
        <v>143</v>
      </c>
      <c r="D1907" s="51" t="s">
        <v>3956</v>
      </c>
      <c r="E1907" s="50">
        <v>1895</v>
      </c>
      <c r="F1907" s="50">
        <v>2148</v>
      </c>
      <c r="G1907" s="50" t="s">
        <v>3955</v>
      </c>
      <c r="H1907" s="50"/>
      <c r="I1907" s="105"/>
      <c r="J1907" s="50"/>
      <c r="K1907" s="50" t="s">
        <v>32</v>
      </c>
      <c r="L1907" s="50"/>
      <c r="M1907" s="50" t="s">
        <v>148</v>
      </c>
      <c r="N1907" s="50"/>
      <c r="O1907" s="50"/>
      <c r="P1907" s="50"/>
      <c r="Q1907" s="50"/>
      <c r="R1907" s="50"/>
      <c r="S1907" s="50" t="str">
        <f t="shared" si="177"/>
        <v/>
      </c>
      <c r="T1907" s="50" t="str">
        <f t="shared" si="179"/>
        <v/>
      </c>
      <c r="U1907" s="50" t="str">
        <f t="shared" si="179"/>
        <v/>
      </c>
      <c r="V1907" s="50" t="str">
        <f t="shared" si="178"/>
        <v/>
      </c>
      <c r="W1907" s="50"/>
      <c r="X1907" s="50"/>
      <c r="Y1907" s="50"/>
      <c r="Z1907" s="50"/>
      <c r="AA1907" s="50"/>
    </row>
    <row r="1908" spans="1:27" ht="25.5" customHeight="1">
      <c r="A1908" s="517" t="s">
        <v>778</v>
      </c>
      <c r="B1908" s="51" t="s">
        <v>1357</v>
      </c>
      <c r="C1908" s="51" t="s">
        <v>143</v>
      </c>
      <c r="D1908" s="51" t="s">
        <v>5452</v>
      </c>
      <c r="E1908" s="50">
        <v>2163</v>
      </c>
      <c r="F1908" s="50">
        <v>2743</v>
      </c>
      <c r="G1908" s="50" t="s">
        <v>3404</v>
      </c>
      <c r="H1908" s="50">
        <v>2025</v>
      </c>
      <c r="I1908" s="132">
        <v>45923</v>
      </c>
      <c r="J1908" s="50" t="s">
        <v>3128</v>
      </c>
      <c r="K1908" s="50" t="s">
        <v>32</v>
      </c>
      <c r="L1908" s="50"/>
      <c r="M1908" s="50" t="s">
        <v>148</v>
      </c>
      <c r="N1908" s="50" t="s">
        <v>5453</v>
      </c>
      <c r="O1908" s="60">
        <v>45946</v>
      </c>
      <c r="P1908" s="50"/>
      <c r="Q1908" s="60">
        <v>45947</v>
      </c>
      <c r="R1908" s="60">
        <v>45950</v>
      </c>
      <c r="S1908" s="50">
        <f t="shared" si="177"/>
        <v>17</v>
      </c>
      <c r="T1908" s="50" t="str">
        <f>IF(
    OR(ISBLANK(O1908), ISBLANK(P1908)),
    "",
    MAX(1, IF(
        NETWORKDAYS(O1908, P1908) &lt;= 0,
        1,
        NETWORKDAYS(O1908, P1908) - IF(O1908 = QP1908, 0, 1)
    ))
)</f>
        <v/>
      </c>
      <c r="U1908" s="50">
        <f>IF(
    OR(ISBLANK(1816), ISBLANK(Q1908)),
    "",
    MAX(1, IF(
        NETWORKDAYS(O1908, Q1908) &lt;= 0,
        1,
        NETWORKDAYS(O1908, Q1908) - IF(O1908 = Q1908, 0, 1)
    ))
)</f>
        <v>1</v>
      </c>
      <c r="V1908" s="50">
        <f t="shared" si="178"/>
        <v>1</v>
      </c>
      <c r="W1908" s="50" t="s">
        <v>150</v>
      </c>
      <c r="X1908" s="50" t="s">
        <v>4</v>
      </c>
      <c r="Y1908" s="50" t="s">
        <v>50</v>
      </c>
      <c r="Z1908" s="50" t="s">
        <v>3406</v>
      </c>
      <c r="AA1908" s="50"/>
    </row>
    <row r="1909" spans="1:27" ht="25.5" customHeight="1">
      <c r="A1909" s="517" t="s">
        <v>778</v>
      </c>
      <c r="B1909" s="51" t="s">
        <v>1357</v>
      </c>
      <c r="C1909" s="51" t="s">
        <v>143</v>
      </c>
      <c r="D1909" s="51" t="s">
        <v>5454</v>
      </c>
      <c r="E1909" s="50">
        <v>1797</v>
      </c>
      <c r="F1909" s="50">
        <v>1609</v>
      </c>
      <c r="G1909" s="50" t="s">
        <v>3955</v>
      </c>
      <c r="H1909" s="50"/>
      <c r="I1909" s="105"/>
      <c r="J1909" s="50"/>
      <c r="K1909" s="50" t="s">
        <v>32</v>
      </c>
      <c r="L1909" s="50"/>
      <c r="M1909" s="50" t="s">
        <v>148</v>
      </c>
      <c r="N1909" s="50"/>
      <c r="O1909" s="50"/>
      <c r="P1909" s="50"/>
      <c r="Q1909" s="50"/>
      <c r="R1909" s="50"/>
      <c r="S1909" s="50" t="str">
        <f t="shared" si="177"/>
        <v/>
      </c>
      <c r="T1909" s="50" t="str">
        <f t="shared" ref="T1909:U1914" si="180">IF(
    OR(ISBLANK(O1909), ISBLANK(P1909)),
    "",
    MAX(1, IF(
        NETWORKDAYS(O1909, P1909) &lt;= 0,
        1,
        NETWORKDAYS(O1909, P1909) - IF(O1909 = P1909, 0, 1)
    ))
)</f>
        <v/>
      </c>
      <c r="U1909" s="50" t="str">
        <f t="shared" si="180"/>
        <v/>
      </c>
      <c r="V1909" s="50" t="str">
        <f t="shared" si="178"/>
        <v/>
      </c>
      <c r="W1909" s="50"/>
      <c r="X1909" s="50"/>
      <c r="Y1909" s="50"/>
      <c r="Z1909" s="50"/>
      <c r="AA1909" s="50"/>
    </row>
    <row r="1910" spans="1:27" ht="25.5" customHeight="1">
      <c r="A1910" s="517" t="s">
        <v>778</v>
      </c>
      <c r="B1910" s="51" t="s">
        <v>1357</v>
      </c>
      <c r="C1910" s="51" t="s">
        <v>143</v>
      </c>
      <c r="D1910" s="51" t="s">
        <v>5455</v>
      </c>
      <c r="E1910" s="50">
        <v>1975</v>
      </c>
      <c r="F1910" s="50">
        <v>2113</v>
      </c>
      <c r="G1910" s="50" t="s">
        <v>3955</v>
      </c>
      <c r="H1910" s="50"/>
      <c r="I1910" s="105"/>
      <c r="J1910" s="50"/>
      <c r="K1910" s="50" t="s">
        <v>32</v>
      </c>
      <c r="L1910" s="50"/>
      <c r="M1910" s="50" t="s">
        <v>148</v>
      </c>
      <c r="N1910" s="50"/>
      <c r="O1910" s="50"/>
      <c r="P1910" s="50"/>
      <c r="Q1910" s="50"/>
      <c r="R1910" s="50"/>
      <c r="S1910" s="50" t="str">
        <f t="shared" si="177"/>
        <v/>
      </c>
      <c r="T1910" s="50" t="str">
        <f t="shared" si="180"/>
        <v/>
      </c>
      <c r="U1910" s="50" t="str">
        <f t="shared" si="180"/>
        <v/>
      </c>
      <c r="V1910" s="50" t="str">
        <f t="shared" si="178"/>
        <v/>
      </c>
      <c r="W1910" s="50"/>
      <c r="X1910" s="50"/>
      <c r="Y1910" s="50"/>
      <c r="Z1910" s="50"/>
      <c r="AA1910" s="50"/>
    </row>
    <row r="1911" spans="1:27" s="110" customFormat="1" ht="25.5" customHeight="1">
      <c r="A1911" s="517" t="s">
        <v>778</v>
      </c>
      <c r="B1911" s="51" t="s">
        <v>1357</v>
      </c>
      <c r="C1911" s="51" t="s">
        <v>143</v>
      </c>
      <c r="D1911" s="51" t="s">
        <v>5456</v>
      </c>
      <c r="E1911" s="50">
        <v>2086</v>
      </c>
      <c r="F1911" s="50">
        <v>2480</v>
      </c>
      <c r="G1911" s="50" t="s">
        <v>3955</v>
      </c>
      <c r="H1911" s="50"/>
      <c r="I1911" s="105"/>
      <c r="J1911" s="50"/>
      <c r="K1911" s="50" t="s">
        <v>32</v>
      </c>
      <c r="L1911" s="50"/>
      <c r="M1911" s="50" t="s">
        <v>148</v>
      </c>
      <c r="N1911" s="50"/>
      <c r="O1911" s="50"/>
      <c r="P1911" s="50"/>
      <c r="Q1911" s="50"/>
      <c r="R1911" s="50"/>
      <c r="S1911" s="50" t="str">
        <f t="shared" si="177"/>
        <v/>
      </c>
      <c r="T1911" s="50" t="str">
        <f t="shared" si="180"/>
        <v/>
      </c>
      <c r="U1911" s="50" t="str">
        <f t="shared" si="180"/>
        <v/>
      </c>
      <c r="V1911" s="50" t="str">
        <f t="shared" si="178"/>
        <v/>
      </c>
      <c r="W1911" s="50"/>
      <c r="X1911" s="50"/>
      <c r="Y1911" s="50"/>
      <c r="Z1911" s="50"/>
      <c r="AA1911" s="50"/>
    </row>
    <row r="1912" spans="1:27" ht="25.5" customHeight="1">
      <c r="A1912" s="517" t="s">
        <v>778</v>
      </c>
      <c r="B1912" s="51" t="s">
        <v>1357</v>
      </c>
      <c r="C1912" s="51" t="s">
        <v>143</v>
      </c>
      <c r="D1912" s="51" t="s">
        <v>5457</v>
      </c>
      <c r="E1912" s="50">
        <v>4532</v>
      </c>
      <c r="F1912" s="50">
        <v>4790</v>
      </c>
      <c r="G1912" s="50" t="s">
        <v>3955</v>
      </c>
      <c r="H1912" s="50"/>
      <c r="I1912" s="105"/>
      <c r="J1912" s="50"/>
      <c r="K1912" s="50" t="s">
        <v>32</v>
      </c>
      <c r="L1912" s="50"/>
      <c r="M1912" s="50" t="s">
        <v>148</v>
      </c>
      <c r="N1912" s="50"/>
      <c r="O1912" s="50"/>
      <c r="P1912" s="50"/>
      <c r="Q1912" s="50"/>
      <c r="R1912" s="50"/>
      <c r="S1912" s="50" t="str">
        <f t="shared" si="177"/>
        <v/>
      </c>
      <c r="T1912" s="50" t="str">
        <f t="shared" si="180"/>
        <v/>
      </c>
      <c r="U1912" s="50" t="str">
        <f t="shared" si="180"/>
        <v/>
      </c>
      <c r="V1912" s="50" t="str">
        <f t="shared" si="178"/>
        <v/>
      </c>
      <c r="W1912" s="50"/>
      <c r="X1912" s="50"/>
      <c r="Y1912" s="50"/>
      <c r="Z1912" s="50"/>
      <c r="AA1912" s="50"/>
    </row>
    <row r="1913" spans="1:27" ht="25.5" customHeight="1">
      <c r="A1913" s="50" t="s">
        <v>778</v>
      </c>
      <c r="B1913" s="51" t="s">
        <v>1357</v>
      </c>
      <c r="C1913" s="51" t="s">
        <v>143</v>
      </c>
      <c r="D1913" s="51" t="s">
        <v>5458</v>
      </c>
      <c r="E1913" s="50">
        <v>4408</v>
      </c>
      <c r="F1913" s="50">
        <v>4910</v>
      </c>
      <c r="G1913" s="50" t="s">
        <v>3404</v>
      </c>
      <c r="H1913" s="50">
        <v>2024</v>
      </c>
      <c r="I1913" s="132">
        <v>45390</v>
      </c>
      <c r="J1913" s="50"/>
      <c r="K1913" s="50" t="s">
        <v>32</v>
      </c>
      <c r="L1913" s="50"/>
      <c r="M1913" s="50" t="s">
        <v>148</v>
      </c>
      <c r="N1913" s="50"/>
      <c r="O1913" s="50"/>
      <c r="P1913" s="50"/>
      <c r="Q1913" s="50"/>
      <c r="R1913" s="50"/>
      <c r="S1913" s="50" t="str">
        <f t="shared" si="177"/>
        <v/>
      </c>
      <c r="T1913" s="50" t="str">
        <f t="shared" si="180"/>
        <v/>
      </c>
      <c r="U1913" s="50" t="str">
        <f t="shared" si="180"/>
        <v/>
      </c>
      <c r="V1913" s="50" t="str">
        <f t="shared" si="178"/>
        <v/>
      </c>
      <c r="W1913" s="50"/>
      <c r="X1913" s="50"/>
      <c r="Y1913" s="50"/>
      <c r="Z1913" s="50" t="s">
        <v>3406</v>
      </c>
      <c r="AA1913" s="50"/>
    </row>
    <row r="1914" spans="1:27" ht="25.5" customHeight="1">
      <c r="A1914" s="50" t="s">
        <v>778</v>
      </c>
      <c r="B1914" s="51" t="s">
        <v>1357</v>
      </c>
      <c r="C1914" s="51" t="s">
        <v>143</v>
      </c>
      <c r="D1914" s="51" t="s">
        <v>5459</v>
      </c>
      <c r="E1914" s="50">
        <v>3326</v>
      </c>
      <c r="F1914" s="50">
        <v>3352</v>
      </c>
      <c r="G1914" s="50" t="s">
        <v>3404</v>
      </c>
      <c r="H1914" s="50">
        <v>2024</v>
      </c>
      <c r="I1914" s="132">
        <v>45610</v>
      </c>
      <c r="J1914" s="50"/>
      <c r="K1914" s="50" t="s">
        <v>32</v>
      </c>
      <c r="L1914" s="50"/>
      <c r="M1914" s="50" t="s">
        <v>148</v>
      </c>
      <c r="N1914" s="50"/>
      <c r="O1914" s="50"/>
      <c r="P1914" s="50"/>
      <c r="Q1914" s="50"/>
      <c r="R1914" s="50"/>
      <c r="S1914" s="50" t="str">
        <f t="shared" si="177"/>
        <v/>
      </c>
      <c r="T1914" s="50" t="str">
        <f t="shared" si="180"/>
        <v/>
      </c>
      <c r="U1914" s="50" t="str">
        <f t="shared" si="180"/>
        <v/>
      </c>
      <c r="V1914" s="50" t="str">
        <f t="shared" si="178"/>
        <v/>
      </c>
      <c r="W1914" s="50"/>
      <c r="X1914" s="50" t="s">
        <v>4</v>
      </c>
      <c r="Y1914" s="50" t="s">
        <v>57</v>
      </c>
      <c r="Z1914" s="50" t="s">
        <v>3406</v>
      </c>
      <c r="AA1914" s="50"/>
    </row>
    <row r="1915" spans="1:27" s="110" customFormat="1" ht="25.5" customHeight="1">
      <c r="A1915" s="517" t="s">
        <v>778</v>
      </c>
      <c r="B1915" s="51" t="s">
        <v>1357</v>
      </c>
      <c r="C1915" s="51" t="s">
        <v>143</v>
      </c>
      <c r="D1915" s="51" t="s">
        <v>4613</v>
      </c>
      <c r="E1915" s="50">
        <v>2474</v>
      </c>
      <c r="F1915" s="50">
        <v>2809</v>
      </c>
      <c r="G1915" s="50" t="s">
        <v>3404</v>
      </c>
      <c r="H1915" s="50">
        <v>2025</v>
      </c>
      <c r="I1915" s="132">
        <v>45925</v>
      </c>
      <c r="J1915" s="50" t="s">
        <v>3128</v>
      </c>
      <c r="K1915" s="50" t="s">
        <v>32</v>
      </c>
      <c r="L1915" s="50"/>
      <c r="M1915" s="50" t="s">
        <v>148</v>
      </c>
      <c r="N1915" s="50" t="s">
        <v>5460</v>
      </c>
      <c r="O1915" s="60">
        <v>45946</v>
      </c>
      <c r="P1915" s="50"/>
      <c r="Q1915" s="60">
        <v>45947</v>
      </c>
      <c r="R1915" s="60">
        <v>45950</v>
      </c>
      <c r="S1915" s="50">
        <f t="shared" si="177"/>
        <v>15</v>
      </c>
      <c r="T1915" s="50" t="str">
        <f>IF(
    OR(ISBLANK(O1915), ISBLANK(P1915)),
    "",
    MAX(1, IF(
        NETWORKDAYS(O1915, P1915) &lt;= 0,
        1,
        NETWORKDAYS(O1915, P1915) - IF(O1915 = QP1915, 0, 1)
    ))
)</f>
        <v/>
      </c>
      <c r="U1915" s="50">
        <f>IF(
    OR(ISBLANK(1816), ISBLANK(Q1915)),
    "",
    MAX(1, IF(
        NETWORKDAYS(O1915, Q1915) &lt;= 0,
        1,
        NETWORKDAYS(O1915, Q1915) - IF(O1915 = Q1915, 0, 1)
    ))
)</f>
        <v>1</v>
      </c>
      <c r="V1915" s="50">
        <f t="shared" si="178"/>
        <v>1</v>
      </c>
      <c r="W1915" s="50" t="s">
        <v>150</v>
      </c>
      <c r="X1915" s="50" t="s">
        <v>1078</v>
      </c>
      <c r="Y1915" s="50" t="s">
        <v>50</v>
      </c>
      <c r="Z1915" s="50" t="s">
        <v>3406</v>
      </c>
      <c r="AA1915" s="50"/>
    </row>
    <row r="1916" spans="1:27" ht="25.5" customHeight="1">
      <c r="A1916" s="517" t="s">
        <v>778</v>
      </c>
      <c r="B1916" s="51" t="s">
        <v>1357</v>
      </c>
      <c r="C1916" s="51" t="s">
        <v>143</v>
      </c>
      <c r="D1916" s="51" t="s">
        <v>5461</v>
      </c>
      <c r="E1916" s="50">
        <v>2166</v>
      </c>
      <c r="F1916" s="50">
        <v>2414</v>
      </c>
      <c r="G1916" s="50" t="s">
        <v>3955</v>
      </c>
      <c r="H1916" s="50"/>
      <c r="I1916" s="105"/>
      <c r="J1916" s="50"/>
      <c r="K1916" s="50" t="s">
        <v>32</v>
      </c>
      <c r="L1916" s="50"/>
      <c r="M1916" s="50" t="s">
        <v>148</v>
      </c>
      <c r="N1916" s="50"/>
      <c r="O1916" s="50"/>
      <c r="P1916" s="50"/>
      <c r="Q1916" s="50"/>
      <c r="R1916" s="50"/>
      <c r="S1916" s="50" t="str">
        <f t="shared" si="177"/>
        <v/>
      </c>
      <c r="T1916" s="50" t="str">
        <f t="shared" ref="T1916:U1919" si="181">IF(
    OR(ISBLANK(O1916), ISBLANK(P1916)),
    "",
    MAX(1, IF(
        NETWORKDAYS(O1916, P1916) &lt;= 0,
        1,
        NETWORKDAYS(O1916, P1916) - IF(O1916 = P1916, 0, 1)
    ))
)</f>
        <v/>
      </c>
      <c r="U1916" s="50" t="str">
        <f t="shared" si="181"/>
        <v/>
      </c>
      <c r="V1916" s="50" t="str">
        <f t="shared" si="178"/>
        <v/>
      </c>
      <c r="W1916" s="50"/>
      <c r="X1916" s="50"/>
      <c r="Y1916" s="50"/>
      <c r="Z1916" s="50"/>
      <c r="AA1916" s="50"/>
    </row>
    <row r="1917" spans="1:27" ht="25.5" customHeight="1">
      <c r="A1917" s="50" t="s">
        <v>778</v>
      </c>
      <c r="B1917" s="51" t="s">
        <v>1357</v>
      </c>
      <c r="C1917" s="51" t="s">
        <v>143</v>
      </c>
      <c r="D1917" s="51" t="s">
        <v>1928</v>
      </c>
      <c r="E1917" s="50">
        <v>4891</v>
      </c>
      <c r="F1917" s="50">
        <v>4837</v>
      </c>
      <c r="G1917" s="50" t="s">
        <v>3404</v>
      </c>
      <c r="H1917" s="50">
        <v>2024</v>
      </c>
      <c r="I1917" s="132">
        <v>45610</v>
      </c>
      <c r="J1917" s="50"/>
      <c r="K1917" s="50" t="s">
        <v>32</v>
      </c>
      <c r="L1917" s="50"/>
      <c r="M1917" s="50" t="s">
        <v>148</v>
      </c>
      <c r="N1917" s="50"/>
      <c r="O1917" s="50"/>
      <c r="P1917" s="50"/>
      <c r="Q1917" s="50"/>
      <c r="R1917" s="50"/>
      <c r="S1917" s="50" t="str">
        <f t="shared" si="177"/>
        <v/>
      </c>
      <c r="T1917" s="50" t="str">
        <f t="shared" si="181"/>
        <v/>
      </c>
      <c r="U1917" s="50" t="str">
        <f t="shared" si="181"/>
        <v/>
      </c>
      <c r="V1917" s="50" t="str">
        <f t="shared" si="178"/>
        <v/>
      </c>
      <c r="W1917" s="50"/>
      <c r="X1917" s="50" t="s">
        <v>4</v>
      </c>
      <c r="Y1917" s="50" t="s">
        <v>50</v>
      </c>
      <c r="Z1917" s="50" t="s">
        <v>3406</v>
      </c>
      <c r="AA1917" s="50"/>
    </row>
    <row r="1918" spans="1:27" ht="25.5" customHeight="1">
      <c r="A1918" s="517" t="s">
        <v>778</v>
      </c>
      <c r="B1918" s="51" t="s">
        <v>1357</v>
      </c>
      <c r="C1918" s="51" t="s">
        <v>143</v>
      </c>
      <c r="D1918" s="51" t="s">
        <v>5462</v>
      </c>
      <c r="E1918" s="50">
        <v>5136</v>
      </c>
      <c r="F1918" s="50">
        <v>5462</v>
      </c>
      <c r="G1918" s="50" t="s">
        <v>3955</v>
      </c>
      <c r="H1918" s="50"/>
      <c r="I1918" s="105"/>
      <c r="J1918" s="50"/>
      <c r="K1918" s="50" t="s">
        <v>32</v>
      </c>
      <c r="L1918" s="50"/>
      <c r="M1918" s="50" t="s">
        <v>148</v>
      </c>
      <c r="N1918" s="50"/>
      <c r="O1918" s="50"/>
      <c r="P1918" s="50"/>
      <c r="Q1918" s="50"/>
      <c r="R1918" s="50"/>
      <c r="S1918" s="50" t="str">
        <f t="shared" si="177"/>
        <v/>
      </c>
      <c r="T1918" s="50" t="str">
        <f t="shared" si="181"/>
        <v/>
      </c>
      <c r="U1918" s="50" t="str">
        <f t="shared" si="181"/>
        <v/>
      </c>
      <c r="V1918" s="50" t="str">
        <f t="shared" si="178"/>
        <v/>
      </c>
      <c r="W1918" s="50"/>
      <c r="X1918" s="50"/>
      <c r="Y1918" s="50"/>
      <c r="Z1918" s="50"/>
      <c r="AA1918" s="50"/>
    </row>
    <row r="1919" spans="1:27" ht="25.5" customHeight="1">
      <c r="A1919" s="517" t="s">
        <v>778</v>
      </c>
      <c r="B1919" s="51" t="s">
        <v>1357</v>
      </c>
      <c r="C1919" s="51" t="s">
        <v>143</v>
      </c>
      <c r="D1919" s="51" t="s">
        <v>5103</v>
      </c>
      <c r="E1919" s="50">
        <v>3322</v>
      </c>
      <c r="F1919" s="50">
        <v>4037</v>
      </c>
      <c r="G1919" s="50" t="s">
        <v>3955</v>
      </c>
      <c r="H1919" s="50"/>
      <c r="I1919" s="105"/>
      <c r="J1919" s="50"/>
      <c r="K1919" s="50" t="s">
        <v>32</v>
      </c>
      <c r="L1919" s="50"/>
      <c r="M1919" s="50" t="s">
        <v>148</v>
      </c>
      <c r="N1919" s="50"/>
      <c r="O1919" s="50"/>
      <c r="P1919" s="50"/>
      <c r="Q1919" s="50"/>
      <c r="R1919" s="50"/>
      <c r="S1919" s="50" t="str">
        <f t="shared" si="177"/>
        <v/>
      </c>
      <c r="T1919" s="50" t="str">
        <f t="shared" si="181"/>
        <v/>
      </c>
      <c r="U1919" s="50" t="str">
        <f t="shared" si="181"/>
        <v/>
      </c>
      <c r="V1919" s="50" t="str">
        <f t="shared" si="178"/>
        <v/>
      </c>
      <c r="W1919" s="50"/>
      <c r="X1919" s="50"/>
      <c r="Y1919" s="50"/>
      <c r="Z1919" s="50"/>
      <c r="AA1919" s="50"/>
    </row>
    <row r="1920" spans="1:27" ht="25.5" customHeight="1">
      <c r="A1920" s="517" t="s">
        <v>778</v>
      </c>
      <c r="B1920" s="51" t="s">
        <v>1357</v>
      </c>
      <c r="C1920" s="51" t="s">
        <v>143</v>
      </c>
      <c r="D1920" s="51" t="s">
        <v>5463</v>
      </c>
      <c r="E1920" s="50">
        <v>4836</v>
      </c>
      <c r="F1920" s="50">
        <v>5395</v>
      </c>
      <c r="G1920" s="50" t="s">
        <v>3404</v>
      </c>
      <c r="H1920" s="50">
        <v>2025</v>
      </c>
      <c r="I1920" s="132">
        <v>45927</v>
      </c>
      <c r="J1920" s="50" t="s">
        <v>3128</v>
      </c>
      <c r="K1920" s="50" t="s">
        <v>32</v>
      </c>
      <c r="L1920" s="50"/>
      <c r="M1920" s="50" t="s">
        <v>148</v>
      </c>
      <c r="N1920" s="50" t="s">
        <v>5464</v>
      </c>
      <c r="O1920" s="60">
        <v>45946</v>
      </c>
      <c r="P1920" s="50"/>
      <c r="Q1920" s="60">
        <v>45947</v>
      </c>
      <c r="R1920" s="60">
        <v>45950</v>
      </c>
      <c r="S1920" s="50">
        <f t="shared" si="177"/>
        <v>13</v>
      </c>
      <c r="T1920" s="50" t="str">
        <f>IF(
    OR(ISBLANK(O1920), ISBLANK(P1920)),
    "",
    MAX(1, IF(
        NETWORKDAYS(O1920, P1920) &lt;= 0,
        1,
        NETWORKDAYS(O1920, P1920) - IF(O1920 = QP1920, 0, 1)
    ))
)</f>
        <v/>
      </c>
      <c r="U1920" s="50">
        <f>IF(
    OR(ISBLANK(1816), ISBLANK(Q1920)),
    "",
    MAX(1, IF(
        NETWORKDAYS(O1920, Q1920) &lt;= 0,
        1,
        NETWORKDAYS(O1920, Q1920) - IF(O1920 = Q1920, 0, 1)
    ))
)</f>
        <v>1</v>
      </c>
      <c r="V1920" s="50">
        <f t="shared" si="178"/>
        <v>1</v>
      </c>
      <c r="W1920" s="50" t="s">
        <v>150</v>
      </c>
      <c r="X1920" s="50" t="s">
        <v>1078</v>
      </c>
      <c r="Y1920" s="50" t="s">
        <v>50</v>
      </c>
      <c r="Z1920" s="50" t="s">
        <v>3406</v>
      </c>
      <c r="AA1920" s="50"/>
    </row>
    <row r="1921" spans="1:27" ht="25.5" customHeight="1">
      <c r="A1921" s="517" t="s">
        <v>778</v>
      </c>
      <c r="B1921" s="51" t="s">
        <v>1357</v>
      </c>
      <c r="C1921" s="51" t="s">
        <v>143</v>
      </c>
      <c r="D1921" s="51" t="s">
        <v>5379</v>
      </c>
      <c r="E1921" s="50">
        <v>1553</v>
      </c>
      <c r="F1921" s="50">
        <v>1631</v>
      </c>
      <c r="G1921" s="50" t="s">
        <v>3955</v>
      </c>
      <c r="H1921" s="50"/>
      <c r="I1921" s="105"/>
      <c r="J1921" s="50"/>
      <c r="K1921" s="50" t="s">
        <v>32</v>
      </c>
      <c r="L1921" s="50"/>
      <c r="M1921" s="50" t="s">
        <v>148</v>
      </c>
      <c r="N1921" s="50"/>
      <c r="O1921" s="50"/>
      <c r="P1921" s="50"/>
      <c r="Q1921" s="50"/>
      <c r="R1921" s="50"/>
      <c r="S1921" s="50" t="str">
        <f t="shared" si="177"/>
        <v/>
      </c>
      <c r="T1921" s="50" t="str">
        <f t="shared" ref="T1921:T1931" si="182">IF(
    OR(ISBLANK(O1921), ISBLANK(P1921)),
    "",
    MAX(1, IF(
        NETWORKDAYS(O1921, P1921) &lt;= 0,
        1,
        NETWORKDAYS(O1921, P1921) - IF(O1921 = P1921, 0, 1)
    ))
)</f>
        <v/>
      </c>
      <c r="U1921" s="50" t="str">
        <f t="shared" ref="U1921:U1931" si="183">IF(
    OR(ISBLANK(P1921), ISBLANK(Q1921)),
    "",
    MAX(1, IF(
        NETWORKDAYS(P1921, Q1921) &lt;= 0,
        1,
        NETWORKDAYS(P1921, Q1921) - IF(P1921 = Q1921, 0, 1)
    ))
)</f>
        <v/>
      </c>
      <c r="V1921" s="50" t="str">
        <f t="shared" si="178"/>
        <v/>
      </c>
      <c r="W1921" s="50"/>
      <c r="X1921" s="50"/>
      <c r="Y1921" s="50"/>
      <c r="Z1921" s="50"/>
      <c r="AA1921" s="50"/>
    </row>
    <row r="1922" spans="1:27" ht="25.5" customHeight="1">
      <c r="A1922" s="517" t="s">
        <v>778</v>
      </c>
      <c r="B1922" s="51" t="s">
        <v>1357</v>
      </c>
      <c r="C1922" s="51" t="s">
        <v>143</v>
      </c>
      <c r="D1922" s="51" t="s">
        <v>5465</v>
      </c>
      <c r="E1922" s="50">
        <v>1587</v>
      </c>
      <c r="F1922" s="50">
        <v>1679</v>
      </c>
      <c r="G1922" s="50" t="s">
        <v>3955</v>
      </c>
      <c r="H1922" s="50"/>
      <c r="I1922" s="105"/>
      <c r="J1922" s="50"/>
      <c r="K1922" s="50" t="s">
        <v>32</v>
      </c>
      <c r="L1922" s="50"/>
      <c r="M1922" s="50" t="s">
        <v>148</v>
      </c>
      <c r="N1922" s="50"/>
      <c r="O1922" s="50"/>
      <c r="P1922" s="50"/>
      <c r="Q1922" s="50"/>
      <c r="R1922" s="50"/>
      <c r="S1922" s="50" t="str">
        <f t="shared" si="177"/>
        <v/>
      </c>
      <c r="T1922" s="50" t="str">
        <f t="shared" si="182"/>
        <v/>
      </c>
      <c r="U1922" s="50" t="str">
        <f t="shared" si="183"/>
        <v/>
      </c>
      <c r="V1922" s="50" t="str">
        <f t="shared" si="178"/>
        <v/>
      </c>
      <c r="W1922" s="50"/>
      <c r="X1922" s="50"/>
      <c r="Y1922" s="50"/>
      <c r="Z1922" s="50"/>
      <c r="AA1922" s="50"/>
    </row>
    <row r="1923" spans="1:27" ht="25.5" customHeight="1">
      <c r="A1923" s="517" t="s">
        <v>778</v>
      </c>
      <c r="B1923" s="51" t="s">
        <v>1357</v>
      </c>
      <c r="C1923" s="51" t="s">
        <v>143</v>
      </c>
      <c r="D1923" s="51" t="s">
        <v>2105</v>
      </c>
      <c r="E1923" s="50">
        <v>3295</v>
      </c>
      <c r="F1923" s="50">
        <v>3815</v>
      </c>
      <c r="G1923" s="50" t="s">
        <v>3955</v>
      </c>
      <c r="H1923" s="50"/>
      <c r="I1923" s="105"/>
      <c r="J1923" s="50"/>
      <c r="K1923" s="50" t="s">
        <v>32</v>
      </c>
      <c r="L1923" s="50"/>
      <c r="M1923" s="50" t="s">
        <v>148</v>
      </c>
      <c r="N1923" s="50"/>
      <c r="O1923" s="50"/>
      <c r="P1923" s="50"/>
      <c r="Q1923" s="50"/>
      <c r="R1923" s="50"/>
      <c r="S1923" s="50" t="str">
        <f t="shared" si="177"/>
        <v/>
      </c>
      <c r="T1923" s="50" t="str">
        <f t="shared" si="182"/>
        <v/>
      </c>
      <c r="U1923" s="50" t="str">
        <f t="shared" si="183"/>
        <v/>
      </c>
      <c r="V1923" s="50" t="str">
        <f t="shared" si="178"/>
        <v/>
      </c>
      <c r="W1923" s="50"/>
      <c r="X1923" s="50"/>
      <c r="Y1923" s="50"/>
      <c r="Z1923" s="50"/>
      <c r="AA1923" s="50"/>
    </row>
    <row r="1924" spans="1:27" s="110" customFormat="1" ht="25.5" customHeight="1">
      <c r="A1924" s="517" t="s">
        <v>778</v>
      </c>
      <c r="B1924" s="51" t="s">
        <v>1357</v>
      </c>
      <c r="C1924" s="51" t="s">
        <v>143</v>
      </c>
      <c r="D1924" s="51" t="s">
        <v>5466</v>
      </c>
      <c r="E1924" s="50">
        <v>5383</v>
      </c>
      <c r="F1924" s="50">
        <v>5591</v>
      </c>
      <c r="G1924" s="50" t="s">
        <v>3955</v>
      </c>
      <c r="H1924" s="50"/>
      <c r="I1924" s="105"/>
      <c r="J1924" s="50"/>
      <c r="K1924" s="50" t="s">
        <v>32</v>
      </c>
      <c r="L1924" s="50"/>
      <c r="M1924" s="50" t="s">
        <v>148</v>
      </c>
      <c r="N1924" s="50"/>
      <c r="O1924" s="50"/>
      <c r="P1924" s="50"/>
      <c r="Q1924" s="50"/>
      <c r="R1924" s="50"/>
      <c r="S1924" s="50" t="str">
        <f t="shared" si="177"/>
        <v/>
      </c>
      <c r="T1924" s="50" t="str">
        <f t="shared" si="182"/>
        <v/>
      </c>
      <c r="U1924" s="50" t="str">
        <f t="shared" si="183"/>
        <v/>
      </c>
      <c r="V1924" s="50" t="str">
        <f t="shared" si="178"/>
        <v/>
      </c>
      <c r="W1924" s="50"/>
      <c r="X1924" s="50"/>
      <c r="Y1924" s="50"/>
      <c r="Z1924" s="50"/>
      <c r="AA1924" s="50"/>
    </row>
    <row r="1925" spans="1:27" ht="25.5" customHeight="1">
      <c r="A1925" s="50" t="s">
        <v>778</v>
      </c>
      <c r="B1925" s="51" t="s">
        <v>1357</v>
      </c>
      <c r="C1925" s="51" t="s">
        <v>143</v>
      </c>
      <c r="D1925" s="51" t="s">
        <v>5467</v>
      </c>
      <c r="E1925" s="50">
        <v>1753</v>
      </c>
      <c r="F1925" s="50">
        <v>1872</v>
      </c>
      <c r="G1925" s="50" t="s">
        <v>3404</v>
      </c>
      <c r="H1925" s="50">
        <v>2024</v>
      </c>
      <c r="I1925" s="132">
        <v>45610</v>
      </c>
      <c r="J1925" s="50"/>
      <c r="K1925" s="50" t="s">
        <v>32</v>
      </c>
      <c r="L1925" s="50"/>
      <c r="M1925" s="50" t="s">
        <v>148</v>
      </c>
      <c r="N1925" s="50"/>
      <c r="O1925" s="50"/>
      <c r="P1925" s="50"/>
      <c r="Q1925" s="50"/>
      <c r="R1925" s="50"/>
      <c r="S1925" s="50" t="str">
        <f t="shared" si="177"/>
        <v/>
      </c>
      <c r="T1925" s="50" t="str">
        <f t="shared" si="182"/>
        <v/>
      </c>
      <c r="U1925" s="50" t="str">
        <f t="shared" si="183"/>
        <v/>
      </c>
      <c r="V1925" s="50" t="str">
        <f t="shared" si="178"/>
        <v/>
      </c>
      <c r="W1925" s="50"/>
      <c r="X1925" s="50" t="s">
        <v>4</v>
      </c>
      <c r="Y1925" s="50" t="s">
        <v>57</v>
      </c>
      <c r="Z1925" s="50" t="s">
        <v>3406</v>
      </c>
      <c r="AA1925" s="50"/>
    </row>
    <row r="1926" spans="1:27" ht="25.5" customHeight="1">
      <c r="A1926" s="517" t="s">
        <v>778</v>
      </c>
      <c r="B1926" s="51" t="s">
        <v>1357</v>
      </c>
      <c r="C1926" s="51" t="s">
        <v>143</v>
      </c>
      <c r="D1926" s="51" t="s">
        <v>3952</v>
      </c>
      <c r="E1926" s="50">
        <v>2009</v>
      </c>
      <c r="F1926" s="50">
        <v>2134</v>
      </c>
      <c r="G1926" s="50" t="s">
        <v>3955</v>
      </c>
      <c r="H1926" s="50"/>
      <c r="I1926" s="105"/>
      <c r="J1926" s="50"/>
      <c r="K1926" s="50" t="s">
        <v>32</v>
      </c>
      <c r="L1926" s="50"/>
      <c r="M1926" s="50" t="s">
        <v>148</v>
      </c>
      <c r="N1926" s="50"/>
      <c r="O1926" s="50"/>
      <c r="P1926" s="50"/>
      <c r="Q1926" s="50"/>
      <c r="R1926" s="50"/>
      <c r="S1926" s="50" t="str">
        <f t="shared" si="177"/>
        <v/>
      </c>
      <c r="T1926" s="50" t="str">
        <f t="shared" si="182"/>
        <v/>
      </c>
      <c r="U1926" s="50" t="str">
        <f t="shared" si="183"/>
        <v/>
      </c>
      <c r="V1926" s="50" t="str">
        <f t="shared" si="178"/>
        <v/>
      </c>
      <c r="W1926" s="50"/>
      <c r="X1926" s="50"/>
      <c r="Y1926" s="50"/>
      <c r="Z1926" s="50"/>
      <c r="AA1926" s="50"/>
    </row>
    <row r="1927" spans="1:27" ht="25.5" customHeight="1">
      <c r="A1927" s="517" t="s">
        <v>778</v>
      </c>
      <c r="B1927" s="51" t="s">
        <v>1357</v>
      </c>
      <c r="C1927" s="51" t="s">
        <v>143</v>
      </c>
      <c r="D1927" s="51" t="s">
        <v>5468</v>
      </c>
      <c r="E1927" s="50">
        <v>3471</v>
      </c>
      <c r="F1927" s="50">
        <v>3864</v>
      </c>
      <c r="G1927" s="50" t="s">
        <v>3955</v>
      </c>
      <c r="H1927" s="50"/>
      <c r="I1927" s="105"/>
      <c r="J1927" s="50"/>
      <c r="K1927" s="50" t="s">
        <v>32</v>
      </c>
      <c r="L1927" s="50"/>
      <c r="M1927" s="50" t="s">
        <v>148</v>
      </c>
      <c r="N1927" s="50"/>
      <c r="O1927" s="50"/>
      <c r="P1927" s="50"/>
      <c r="Q1927" s="50"/>
      <c r="R1927" s="50"/>
      <c r="S1927" s="50" t="str">
        <f t="shared" si="177"/>
        <v/>
      </c>
      <c r="T1927" s="50" t="str">
        <f t="shared" si="182"/>
        <v/>
      </c>
      <c r="U1927" s="50" t="str">
        <f t="shared" si="183"/>
        <v/>
      </c>
      <c r="V1927" s="50" t="str">
        <f t="shared" si="178"/>
        <v/>
      </c>
      <c r="W1927" s="50"/>
      <c r="X1927" s="50"/>
      <c r="Y1927" s="50"/>
      <c r="Z1927" s="50"/>
      <c r="AA1927" s="50"/>
    </row>
    <row r="1928" spans="1:27" s="110" customFormat="1" ht="25.5" customHeight="1">
      <c r="A1928" s="517" t="s">
        <v>778</v>
      </c>
      <c r="B1928" s="51" t="s">
        <v>1357</v>
      </c>
      <c r="C1928" s="51" t="s">
        <v>143</v>
      </c>
      <c r="D1928" s="51" t="s">
        <v>4475</v>
      </c>
      <c r="E1928" s="50">
        <v>5579</v>
      </c>
      <c r="F1928" s="50">
        <v>5019</v>
      </c>
      <c r="G1928" s="50" t="s">
        <v>3955</v>
      </c>
      <c r="H1928" s="50"/>
      <c r="I1928" s="105"/>
      <c r="J1928" s="50"/>
      <c r="K1928" s="50" t="s">
        <v>32</v>
      </c>
      <c r="L1928" s="50"/>
      <c r="M1928" s="50" t="s">
        <v>148</v>
      </c>
      <c r="N1928" s="50"/>
      <c r="O1928" s="50"/>
      <c r="P1928" s="50"/>
      <c r="Q1928" s="50"/>
      <c r="R1928" s="50"/>
      <c r="S1928" s="50" t="str">
        <f t="shared" si="177"/>
        <v/>
      </c>
      <c r="T1928" s="50" t="str">
        <f t="shared" si="182"/>
        <v/>
      </c>
      <c r="U1928" s="50" t="str">
        <f t="shared" si="183"/>
        <v/>
      </c>
      <c r="V1928" s="50" t="str">
        <f t="shared" si="178"/>
        <v/>
      </c>
      <c r="W1928" s="50"/>
      <c r="X1928" s="50"/>
      <c r="Y1928" s="50"/>
      <c r="Z1928" s="50"/>
      <c r="AA1928" s="50"/>
    </row>
    <row r="1929" spans="1:27" ht="25.5" customHeight="1">
      <c r="A1929" s="50" t="s">
        <v>778</v>
      </c>
      <c r="B1929" s="51" t="s">
        <v>1357</v>
      </c>
      <c r="C1929" s="51" t="s">
        <v>143</v>
      </c>
      <c r="D1929" s="51" t="s">
        <v>5469</v>
      </c>
      <c r="E1929" s="50">
        <v>5068</v>
      </c>
      <c r="F1929" s="50">
        <v>5293</v>
      </c>
      <c r="G1929" s="50" t="s">
        <v>3404</v>
      </c>
      <c r="H1929" s="50">
        <v>2024</v>
      </c>
      <c r="I1929" s="132">
        <v>45610</v>
      </c>
      <c r="J1929" s="50"/>
      <c r="K1929" s="50" t="s">
        <v>32</v>
      </c>
      <c r="L1929" s="50"/>
      <c r="M1929" s="50" t="s">
        <v>148</v>
      </c>
      <c r="N1929" s="50"/>
      <c r="O1929" s="50"/>
      <c r="P1929" s="50"/>
      <c r="Q1929" s="50"/>
      <c r="R1929" s="50"/>
      <c r="S1929" s="50" t="str">
        <f t="shared" si="177"/>
        <v/>
      </c>
      <c r="T1929" s="50" t="str">
        <f t="shared" si="182"/>
        <v/>
      </c>
      <c r="U1929" s="50" t="str">
        <f t="shared" si="183"/>
        <v/>
      </c>
      <c r="V1929" s="50" t="str">
        <f t="shared" si="178"/>
        <v/>
      </c>
      <c r="W1929" s="50"/>
      <c r="X1929" s="50" t="s">
        <v>4</v>
      </c>
      <c r="Y1929" s="50" t="s">
        <v>50</v>
      </c>
      <c r="Z1929" s="50" t="s">
        <v>3406</v>
      </c>
      <c r="AA1929" s="50"/>
    </row>
    <row r="1930" spans="1:27" ht="25.5" customHeight="1">
      <c r="A1930" s="517" t="s">
        <v>778</v>
      </c>
      <c r="B1930" s="51" t="s">
        <v>1357</v>
      </c>
      <c r="C1930" s="51" t="s">
        <v>143</v>
      </c>
      <c r="D1930" s="51" t="s">
        <v>4261</v>
      </c>
      <c r="E1930" s="50">
        <v>1157</v>
      </c>
      <c r="F1930" s="50">
        <v>1338</v>
      </c>
      <c r="G1930" s="50" t="s">
        <v>3955</v>
      </c>
      <c r="H1930" s="50"/>
      <c r="I1930" s="105"/>
      <c r="J1930" s="50"/>
      <c r="K1930" s="50" t="s">
        <v>32</v>
      </c>
      <c r="L1930" s="50"/>
      <c r="M1930" s="50" t="s">
        <v>148</v>
      </c>
      <c r="N1930" s="50"/>
      <c r="O1930" s="50"/>
      <c r="P1930" s="50"/>
      <c r="Q1930" s="50"/>
      <c r="R1930" s="50"/>
      <c r="S1930" s="50" t="str">
        <f t="shared" si="177"/>
        <v/>
      </c>
      <c r="T1930" s="50" t="str">
        <f t="shared" si="182"/>
        <v/>
      </c>
      <c r="U1930" s="50" t="str">
        <f t="shared" si="183"/>
        <v/>
      </c>
      <c r="V1930" s="50" t="str">
        <f t="shared" si="178"/>
        <v/>
      </c>
      <c r="W1930" s="50"/>
      <c r="X1930" s="50"/>
      <c r="Y1930" s="50"/>
      <c r="Z1930" s="50"/>
      <c r="AA1930" s="50"/>
    </row>
    <row r="1931" spans="1:27" ht="25.5" customHeight="1">
      <c r="A1931" s="517" t="s">
        <v>778</v>
      </c>
      <c r="B1931" s="51" t="s">
        <v>1357</v>
      </c>
      <c r="C1931" s="51" t="s">
        <v>143</v>
      </c>
      <c r="D1931" s="51" t="s">
        <v>5470</v>
      </c>
      <c r="E1931" s="50">
        <v>2510</v>
      </c>
      <c r="F1931" s="50">
        <v>2570</v>
      </c>
      <c r="G1931" s="50" t="s">
        <v>3955</v>
      </c>
      <c r="H1931" s="50"/>
      <c r="I1931" s="105"/>
      <c r="J1931" s="50"/>
      <c r="K1931" s="50" t="s">
        <v>32</v>
      </c>
      <c r="L1931" s="50"/>
      <c r="M1931" s="50" t="s">
        <v>148</v>
      </c>
      <c r="N1931" s="50"/>
      <c r="O1931" s="50"/>
      <c r="P1931" s="50"/>
      <c r="Q1931" s="50"/>
      <c r="R1931" s="50"/>
      <c r="S1931" s="50" t="str">
        <f t="shared" si="177"/>
        <v/>
      </c>
      <c r="T1931" s="50" t="str">
        <f t="shared" si="182"/>
        <v/>
      </c>
      <c r="U1931" s="50" t="str">
        <f t="shared" si="183"/>
        <v/>
      </c>
      <c r="V1931" s="50" t="str">
        <f t="shared" si="178"/>
        <v/>
      </c>
      <c r="W1931" s="50"/>
      <c r="X1931" s="50"/>
      <c r="Y1931" s="50"/>
      <c r="Z1931" s="50"/>
      <c r="AA1931" s="50"/>
    </row>
    <row r="1932" spans="1:27" ht="25.5" customHeight="1">
      <c r="A1932" s="517" t="s">
        <v>778</v>
      </c>
      <c r="B1932" s="51" t="s">
        <v>1357</v>
      </c>
      <c r="C1932" s="51" t="s">
        <v>143</v>
      </c>
      <c r="D1932" s="51" t="s">
        <v>5471</v>
      </c>
      <c r="E1932" s="50">
        <v>3107</v>
      </c>
      <c r="F1932" s="50">
        <v>3713</v>
      </c>
      <c r="G1932" s="50" t="s">
        <v>3404</v>
      </c>
      <c r="H1932" s="50">
        <v>2025</v>
      </c>
      <c r="I1932" s="132">
        <v>45923</v>
      </c>
      <c r="J1932" s="50" t="s">
        <v>3128</v>
      </c>
      <c r="K1932" s="50" t="s">
        <v>32</v>
      </c>
      <c r="L1932" s="50"/>
      <c r="M1932" s="50" t="s">
        <v>148</v>
      </c>
      <c r="N1932" s="50" t="s">
        <v>5472</v>
      </c>
      <c r="O1932" s="60">
        <v>45946</v>
      </c>
      <c r="P1932" s="50"/>
      <c r="Q1932" s="60">
        <v>45947</v>
      </c>
      <c r="R1932" s="60">
        <v>45950</v>
      </c>
      <c r="S1932" s="50">
        <f t="shared" si="177"/>
        <v>17</v>
      </c>
      <c r="T1932" s="50" t="str">
        <f>IF(
    OR(ISBLANK(O1932), ISBLANK(P1932)),
    "",
    MAX(1, IF(
        NETWORKDAYS(O1932, P1932) &lt;= 0,
        1,
        NETWORKDAYS(O1932, P1932) - IF(O1932 = QP1932, 0, 1)
    ))
)</f>
        <v/>
      </c>
      <c r="U1932" s="50">
        <f>IF(
    OR(ISBLANK(1816), ISBLANK(Q1932)),
    "",
    MAX(1, IF(
        NETWORKDAYS(O1932, Q1932) &lt;= 0,
        1,
        NETWORKDAYS(O1932, Q1932) - IF(O1932 = Q1932, 0, 1)
    ))
)</f>
        <v>1</v>
      </c>
      <c r="V1932" s="50">
        <f t="shared" si="178"/>
        <v>1</v>
      </c>
      <c r="W1932" s="50" t="s">
        <v>150</v>
      </c>
      <c r="X1932" s="50" t="s">
        <v>4</v>
      </c>
      <c r="Y1932" s="50" t="s">
        <v>50</v>
      </c>
      <c r="Z1932" s="50" t="s">
        <v>3406</v>
      </c>
      <c r="AA1932" s="50"/>
    </row>
    <row r="1933" spans="1:27" ht="25.5" customHeight="1">
      <c r="A1933" s="517" t="s">
        <v>778</v>
      </c>
      <c r="B1933" s="51" t="s">
        <v>1357</v>
      </c>
      <c r="C1933" s="51" t="s">
        <v>143</v>
      </c>
      <c r="D1933" s="51" t="s">
        <v>3659</v>
      </c>
      <c r="E1933" s="50">
        <v>2848</v>
      </c>
      <c r="F1933" s="50">
        <v>3266</v>
      </c>
      <c r="G1933" s="50" t="s">
        <v>3955</v>
      </c>
      <c r="H1933" s="50"/>
      <c r="I1933" s="105"/>
      <c r="J1933" s="50"/>
      <c r="K1933" s="50" t="s">
        <v>32</v>
      </c>
      <c r="L1933" s="50"/>
      <c r="M1933" s="50" t="s">
        <v>148</v>
      </c>
      <c r="N1933" s="50"/>
      <c r="O1933" s="50"/>
      <c r="P1933" s="50"/>
      <c r="Q1933" s="50"/>
      <c r="R1933" s="50"/>
      <c r="S1933" s="50" t="str">
        <f t="shared" si="177"/>
        <v/>
      </c>
      <c r="T1933" s="50" t="str">
        <f>IF(
    OR(ISBLANK(O1933), ISBLANK(P1933)),
    "",
    MAX(1, IF(
        NETWORKDAYS(O1933, P1933) &lt;= 0,
        1,
        NETWORKDAYS(O1933, P1933) - IF(O1933 = P1933, 0, 1)
    ))
)</f>
        <v/>
      </c>
      <c r="U1933" s="50" t="str">
        <f>IF(
    OR(ISBLANK(P1933), ISBLANK(Q1933)),
    "",
    MAX(1, IF(
        NETWORKDAYS(P1933, Q1933) &lt;= 0,
        1,
        NETWORKDAYS(P1933, Q1933) - IF(P1933 = Q1933, 0, 1)
    ))
)</f>
        <v/>
      </c>
      <c r="V1933" s="50" t="str">
        <f t="shared" si="178"/>
        <v/>
      </c>
      <c r="W1933" s="50"/>
      <c r="X1933" s="50"/>
      <c r="Y1933" s="50"/>
      <c r="Z1933" s="50"/>
      <c r="AA1933" s="50"/>
    </row>
    <row r="1934" spans="1:27" ht="25.5" customHeight="1">
      <c r="A1934" s="517" t="s">
        <v>778</v>
      </c>
      <c r="B1934" s="51" t="s">
        <v>1357</v>
      </c>
      <c r="C1934" s="51" t="s">
        <v>143</v>
      </c>
      <c r="D1934" s="51" t="s">
        <v>5473</v>
      </c>
      <c r="E1934" s="50">
        <v>2565</v>
      </c>
      <c r="F1934" s="50">
        <v>2824</v>
      </c>
      <c r="G1934" s="50" t="s">
        <v>3404</v>
      </c>
      <c r="H1934" s="50">
        <v>2025</v>
      </c>
      <c r="I1934" s="132">
        <v>45924</v>
      </c>
      <c r="J1934" s="50" t="s">
        <v>3128</v>
      </c>
      <c r="K1934" s="50" t="s">
        <v>32</v>
      </c>
      <c r="L1934" s="50"/>
      <c r="M1934" s="50" t="s">
        <v>148</v>
      </c>
      <c r="N1934" s="50" t="s">
        <v>5474</v>
      </c>
      <c r="O1934" s="60">
        <v>45946</v>
      </c>
      <c r="P1934" s="50"/>
      <c r="Q1934" s="60">
        <v>45947</v>
      </c>
      <c r="R1934" s="60">
        <v>45950</v>
      </c>
      <c r="S1934" s="50">
        <f t="shared" si="177"/>
        <v>16</v>
      </c>
      <c r="T1934" s="50" t="str">
        <f>IF(
    OR(ISBLANK(O1934), ISBLANK(P1934)),
    "",
    MAX(1, IF(
        NETWORKDAYS(O1934, P1934) &lt;= 0,
        1,
        NETWORKDAYS(O1934, P1934) - IF(O1934 = QP1934, 0, 1)
    ))
)</f>
        <v/>
      </c>
      <c r="U1934" s="50">
        <f>IF(
    OR(ISBLANK(1816), ISBLANK(Q1934)),
    "",
    MAX(1, IF(
        NETWORKDAYS(O1934, Q1934) &lt;= 0,
        1,
        NETWORKDAYS(O1934, Q1934) - IF(O1934 = Q1934, 0, 1)
    ))
)</f>
        <v>1</v>
      </c>
      <c r="V1934" s="50">
        <f t="shared" si="178"/>
        <v>1</v>
      </c>
      <c r="W1934" s="50" t="s">
        <v>150</v>
      </c>
      <c r="X1934" s="50" t="s">
        <v>1078</v>
      </c>
      <c r="Y1934" s="50" t="s">
        <v>50</v>
      </c>
      <c r="Z1934" s="50" t="s">
        <v>3406</v>
      </c>
      <c r="AA1934" s="50"/>
    </row>
    <row r="1935" spans="1:27" ht="25.5" customHeight="1">
      <c r="A1935" s="517" t="s">
        <v>778</v>
      </c>
      <c r="B1935" s="51" t="s">
        <v>1357</v>
      </c>
      <c r="C1935" s="51" t="s">
        <v>143</v>
      </c>
      <c r="D1935" s="51" t="s">
        <v>5475</v>
      </c>
      <c r="E1935" s="50">
        <v>2309</v>
      </c>
      <c r="F1935" s="50">
        <v>2461</v>
      </c>
      <c r="G1935" s="50" t="s">
        <v>3955</v>
      </c>
      <c r="H1935" s="50"/>
      <c r="I1935" s="105"/>
      <c r="J1935" s="50"/>
      <c r="K1935" s="50" t="s">
        <v>32</v>
      </c>
      <c r="L1935" s="50"/>
      <c r="M1935" s="50" t="s">
        <v>148</v>
      </c>
      <c r="N1935" s="50"/>
      <c r="O1935" s="50"/>
      <c r="P1935" s="50"/>
      <c r="Q1935" s="50"/>
      <c r="R1935" s="50"/>
      <c r="S1935" s="50" t="str">
        <f t="shared" si="177"/>
        <v/>
      </c>
      <c r="T1935" s="50" t="str">
        <f>IF(
    OR(ISBLANK(O1935), ISBLANK(P1935)),
    "",
    MAX(1, IF(
        NETWORKDAYS(O1935, P1935) &lt;= 0,
        1,
        NETWORKDAYS(O1935, P1935) - IF(O1935 = P1935, 0, 1)
    ))
)</f>
        <v/>
      </c>
      <c r="U1935" s="50" t="str">
        <f>IF(
    OR(ISBLANK(P1935), ISBLANK(Q1935)),
    "",
    MAX(1, IF(
        NETWORKDAYS(P1935, Q1935) &lt;= 0,
        1,
        NETWORKDAYS(P1935, Q1935) - IF(P1935 = Q1935, 0, 1)
    ))
)</f>
        <v/>
      </c>
      <c r="V1935" s="50" t="str">
        <f t="shared" si="178"/>
        <v/>
      </c>
      <c r="W1935" s="50"/>
      <c r="X1935" s="50"/>
      <c r="Y1935" s="50"/>
      <c r="Z1935" s="50"/>
      <c r="AA1935" s="50"/>
    </row>
    <row r="1936" spans="1:27" ht="25.5" customHeight="1">
      <c r="A1936" s="517" t="s">
        <v>778</v>
      </c>
      <c r="B1936" s="51" t="s">
        <v>1357</v>
      </c>
      <c r="C1936" s="51" t="s">
        <v>143</v>
      </c>
      <c r="D1936" s="51" t="s">
        <v>5476</v>
      </c>
      <c r="E1936" s="50">
        <v>2748</v>
      </c>
      <c r="F1936" s="50">
        <v>2700</v>
      </c>
      <c r="G1936" s="50" t="s">
        <v>3955</v>
      </c>
      <c r="H1936" s="50"/>
      <c r="I1936" s="105"/>
      <c r="J1936" s="50"/>
      <c r="K1936" s="50" t="s">
        <v>32</v>
      </c>
      <c r="L1936" s="50"/>
      <c r="M1936" s="50" t="s">
        <v>148</v>
      </c>
      <c r="N1936" s="50"/>
      <c r="O1936" s="50"/>
      <c r="P1936" s="50"/>
      <c r="Q1936" s="50"/>
      <c r="R1936" s="50"/>
      <c r="S1936" s="50" t="str">
        <f t="shared" si="177"/>
        <v/>
      </c>
      <c r="T1936" s="50" t="str">
        <f>IF(
    OR(ISBLANK(O1936), ISBLANK(P1936)),
    "",
    MAX(1, IF(
        NETWORKDAYS(O1936, P1936) &lt;= 0,
        1,
        NETWORKDAYS(O1936, P1936) - IF(O1936 = P1936, 0, 1)
    ))
)</f>
        <v/>
      </c>
      <c r="U1936" s="50" t="str">
        <f>IF(
    OR(ISBLANK(P1936), ISBLANK(Q1936)),
    "",
    MAX(1, IF(
        NETWORKDAYS(P1936, Q1936) &lt;= 0,
        1,
        NETWORKDAYS(P1936, Q1936) - IF(P1936 = Q1936, 0, 1)
    ))
)</f>
        <v/>
      </c>
      <c r="V1936" s="50" t="str">
        <f t="shared" si="178"/>
        <v/>
      </c>
      <c r="W1936" s="50"/>
      <c r="X1936" s="50"/>
      <c r="Y1936" s="50"/>
      <c r="Z1936" s="50"/>
      <c r="AA1936" s="50"/>
    </row>
    <row r="1937" spans="1:27" s="110" customFormat="1" ht="25.5" customHeight="1">
      <c r="A1937" s="517" t="s">
        <v>778</v>
      </c>
      <c r="B1937" s="51" t="s">
        <v>2091</v>
      </c>
      <c r="C1937" s="51" t="s">
        <v>143</v>
      </c>
      <c r="D1937" s="51" t="s">
        <v>5063</v>
      </c>
      <c r="E1937" s="50">
        <v>9260</v>
      </c>
      <c r="F1937" s="50">
        <v>10832</v>
      </c>
      <c r="G1937" s="50" t="s">
        <v>3404</v>
      </c>
      <c r="H1937" s="50">
        <v>2025</v>
      </c>
      <c r="I1937" s="132">
        <v>45909</v>
      </c>
      <c r="J1937" s="50" t="s">
        <v>3127</v>
      </c>
      <c r="K1937" s="50" t="s">
        <v>33</v>
      </c>
      <c r="L1937" s="50" t="s">
        <v>28</v>
      </c>
      <c r="M1937" s="50" t="s">
        <v>148</v>
      </c>
      <c r="N1937" s="50" t="s">
        <v>5477</v>
      </c>
      <c r="O1937" s="60">
        <v>45913</v>
      </c>
      <c r="P1937" s="60">
        <v>45917</v>
      </c>
      <c r="Q1937" s="60">
        <v>45917</v>
      </c>
      <c r="R1937" s="60">
        <v>45918</v>
      </c>
      <c r="S1937" s="50">
        <f t="shared" si="177"/>
        <v>3</v>
      </c>
      <c r="T1937" s="50">
        <f>IF(
    OR(ISBLANK(1811), ISBLANK(P1937)),
    "",
    MAX(1, IF(
        NETWORKDAYS(O1937, P1937) &lt;= 0,
        1,
        NETWORKDAYS(O1937, P1937) - IF(O1937 = P1937, 0, 1)
    ))
)</f>
        <v>2</v>
      </c>
      <c r="U1937" s="50">
        <f t="shared" ref="U1937:U1955" si="184">IF(
    OR(ISBLANK(P1937), ISBLANK(Q1937)),
    "",
    MAX(1, IF(
        NETWORKDAYS(P1937, Q1937) &lt;= 0,
        1,
        NETWORKDAYS(P1937, Q1937) - IF(P1937 = Q1937, 0, 1)
    ))
)</f>
        <v>1</v>
      </c>
      <c r="V1937" s="50">
        <f t="shared" si="178"/>
        <v>1</v>
      </c>
      <c r="W1937" s="50" t="s">
        <v>150</v>
      </c>
      <c r="X1937" s="50" t="s">
        <v>4</v>
      </c>
      <c r="Y1937" s="50" t="s">
        <v>50</v>
      </c>
      <c r="Z1937" s="50" t="s">
        <v>3406</v>
      </c>
      <c r="AA1937" s="50"/>
    </row>
    <row r="1938" spans="1:27" ht="25.5" customHeight="1">
      <c r="A1938" s="517" t="s">
        <v>778</v>
      </c>
      <c r="B1938" s="51" t="s">
        <v>2091</v>
      </c>
      <c r="C1938" s="51" t="s">
        <v>143</v>
      </c>
      <c r="D1938" s="51" t="s">
        <v>1991</v>
      </c>
      <c r="E1938" s="50">
        <v>4089</v>
      </c>
      <c r="F1938" s="50">
        <v>7026</v>
      </c>
      <c r="G1938" s="50" t="s">
        <v>3404</v>
      </c>
      <c r="H1938" s="50">
        <v>2025</v>
      </c>
      <c r="I1938" s="132">
        <v>45882</v>
      </c>
      <c r="J1938" s="50" t="s">
        <v>3126</v>
      </c>
      <c r="K1938" s="50" t="s">
        <v>33</v>
      </c>
      <c r="L1938" s="50" t="s">
        <v>28</v>
      </c>
      <c r="M1938" s="50" t="s">
        <v>148</v>
      </c>
      <c r="N1938" s="50" t="s">
        <v>5478</v>
      </c>
      <c r="O1938" s="60">
        <v>45883</v>
      </c>
      <c r="P1938" s="60">
        <v>45884</v>
      </c>
      <c r="Q1938" s="60">
        <v>45888</v>
      </c>
      <c r="R1938" s="60">
        <v>45888</v>
      </c>
      <c r="S1938" s="50">
        <f t="shared" si="177"/>
        <v>1</v>
      </c>
      <c r="T1938" s="50">
        <f>IF(
    OR(ISBLANK(1811), ISBLANK(P1938)),
    "",
    MAX(1, IF(
        NETWORKDAYS(O1938, P1938) &lt;= 0,
        1,
        NETWORKDAYS(O1938, P1938) - IF(O1938 = P1938, 0, 1)
    ))
)</f>
        <v>1</v>
      </c>
      <c r="U1938" s="50">
        <f t="shared" si="184"/>
        <v>2</v>
      </c>
      <c r="V1938" s="50">
        <f t="shared" si="178"/>
        <v>1</v>
      </c>
      <c r="W1938" s="50" t="s">
        <v>150</v>
      </c>
      <c r="X1938" s="50" t="s">
        <v>4</v>
      </c>
      <c r="Y1938" s="50" t="s">
        <v>50</v>
      </c>
      <c r="Z1938" s="50" t="s">
        <v>3406</v>
      </c>
      <c r="AA1938" s="50"/>
    </row>
    <row r="1939" spans="1:27" s="110" customFormat="1" ht="25.5" customHeight="1">
      <c r="A1939" s="50" t="s">
        <v>778</v>
      </c>
      <c r="B1939" s="51" t="s">
        <v>2091</v>
      </c>
      <c r="C1939" s="51" t="s">
        <v>143</v>
      </c>
      <c r="D1939" s="51" t="s">
        <v>5385</v>
      </c>
      <c r="E1939" s="50">
        <v>5454</v>
      </c>
      <c r="F1939" s="50">
        <v>6894</v>
      </c>
      <c r="G1939" s="50" t="s">
        <v>3404</v>
      </c>
      <c r="H1939" s="50">
        <v>2024</v>
      </c>
      <c r="I1939" s="132">
        <v>45420</v>
      </c>
      <c r="J1939" s="50"/>
      <c r="K1939" s="50" t="s">
        <v>33</v>
      </c>
      <c r="L1939" s="50"/>
      <c r="M1939" s="50" t="s">
        <v>148</v>
      </c>
      <c r="N1939" s="50"/>
      <c r="O1939" s="50"/>
      <c r="P1939" s="50"/>
      <c r="Q1939" s="50"/>
      <c r="R1939" s="50"/>
      <c r="S1939" s="50" t="str">
        <f t="shared" si="177"/>
        <v/>
      </c>
      <c r="T1939" s="50" t="str">
        <f>IF(
    OR(ISBLANK(O1939), ISBLANK(P1939)),
    "",
    MAX(1, IF(
        NETWORKDAYS(O1939, P1939) &lt;= 0,
        1,
        NETWORKDAYS(O1939, P1939) - IF(O1939 = P1939, 0, 1)
    ))
)</f>
        <v/>
      </c>
      <c r="U1939" s="50" t="str">
        <f t="shared" si="184"/>
        <v/>
      </c>
      <c r="V1939" s="50" t="str">
        <f t="shared" si="178"/>
        <v/>
      </c>
      <c r="W1939" s="50"/>
      <c r="X1939" s="50"/>
      <c r="Y1939" s="50"/>
      <c r="Z1939" s="50" t="s">
        <v>3406</v>
      </c>
      <c r="AA1939" s="50"/>
    </row>
    <row r="1940" spans="1:27" ht="25.5" customHeight="1">
      <c r="A1940" s="517" t="s">
        <v>778</v>
      </c>
      <c r="B1940" s="51" t="s">
        <v>2091</v>
      </c>
      <c r="C1940" s="51" t="s">
        <v>143</v>
      </c>
      <c r="D1940" s="51" t="s">
        <v>5479</v>
      </c>
      <c r="E1940" s="50">
        <v>24685</v>
      </c>
      <c r="F1940" s="50">
        <v>27506</v>
      </c>
      <c r="G1940" s="50" t="s">
        <v>3955</v>
      </c>
      <c r="H1940" s="50"/>
      <c r="I1940" s="105"/>
      <c r="J1940" s="50"/>
      <c r="K1940" s="50" t="s">
        <v>33</v>
      </c>
      <c r="L1940" s="50"/>
      <c r="M1940" s="50" t="s">
        <v>148</v>
      </c>
      <c r="N1940" s="50"/>
      <c r="O1940" s="50"/>
      <c r="P1940" s="50"/>
      <c r="Q1940" s="50"/>
      <c r="R1940" s="50"/>
      <c r="S1940" s="50" t="str">
        <f t="shared" si="177"/>
        <v/>
      </c>
      <c r="T1940" s="50" t="str">
        <f>IF(
    OR(ISBLANK(O1940), ISBLANK(P1940)),
    "",
    MAX(1, IF(
        NETWORKDAYS(O1940, P1940) &lt;= 0,
        1,
        NETWORKDAYS(O1940, P1940) - IF(O1940 = P1940, 0, 1)
    ))
)</f>
        <v/>
      </c>
      <c r="U1940" s="50" t="str">
        <f t="shared" si="184"/>
        <v/>
      </c>
      <c r="V1940" s="50" t="str">
        <f t="shared" si="178"/>
        <v/>
      </c>
      <c r="W1940" s="50"/>
      <c r="X1940" s="50"/>
      <c r="Y1940" s="50"/>
      <c r="Z1940" s="50"/>
      <c r="AA1940" s="50"/>
    </row>
    <row r="1941" spans="1:27" ht="25.5" customHeight="1">
      <c r="A1941" s="517" t="s">
        <v>778</v>
      </c>
      <c r="B1941" s="51" t="s">
        <v>2091</v>
      </c>
      <c r="C1941" s="51" t="s">
        <v>143</v>
      </c>
      <c r="D1941" s="51" t="s">
        <v>5480</v>
      </c>
      <c r="E1941" s="50">
        <v>37741</v>
      </c>
      <c r="F1941" s="50">
        <v>42528</v>
      </c>
      <c r="G1941" s="50" t="s">
        <v>3955</v>
      </c>
      <c r="H1941" s="50"/>
      <c r="I1941" s="105"/>
      <c r="J1941" s="50"/>
      <c r="K1941" s="50" t="s">
        <v>33</v>
      </c>
      <c r="L1941" s="50"/>
      <c r="M1941" s="50" t="s">
        <v>148</v>
      </c>
      <c r="N1941" s="50"/>
      <c r="O1941" s="50"/>
      <c r="P1941" s="50"/>
      <c r="Q1941" s="50"/>
      <c r="R1941" s="50"/>
      <c r="S1941" s="50" t="str">
        <f t="shared" si="177"/>
        <v/>
      </c>
      <c r="T1941" s="50" t="str">
        <f>IF(
    OR(ISBLANK(O1941), ISBLANK(P1941)),
    "",
    MAX(1, IF(
        NETWORKDAYS(O1941, P1941) &lt;= 0,
        1,
        NETWORKDAYS(O1941, P1941) - IF(O1941 = P1941, 0, 1)
    ))
)</f>
        <v/>
      </c>
      <c r="U1941" s="50" t="str">
        <f t="shared" si="184"/>
        <v/>
      </c>
      <c r="V1941" s="50" t="str">
        <f t="shared" si="178"/>
        <v/>
      </c>
      <c r="W1941" s="50"/>
      <c r="X1941" s="50"/>
      <c r="Y1941" s="50"/>
      <c r="Z1941" s="50"/>
      <c r="AA1941" s="50"/>
    </row>
    <row r="1942" spans="1:27" ht="25.5" customHeight="1">
      <c r="A1942" s="50" t="s">
        <v>778</v>
      </c>
      <c r="B1942" s="51" t="s">
        <v>2091</v>
      </c>
      <c r="C1942" s="51" t="s">
        <v>143</v>
      </c>
      <c r="D1942" s="51" t="s">
        <v>5481</v>
      </c>
      <c r="E1942" s="50">
        <v>5879</v>
      </c>
      <c r="F1942" s="50">
        <v>6846</v>
      </c>
      <c r="G1942" s="50" t="s">
        <v>3404</v>
      </c>
      <c r="H1942" s="50">
        <v>2024</v>
      </c>
      <c r="I1942" s="132">
        <v>45385</v>
      </c>
      <c r="J1942" s="50"/>
      <c r="K1942" s="50" t="s">
        <v>33</v>
      </c>
      <c r="L1942" s="50"/>
      <c r="M1942" s="50" t="s">
        <v>148</v>
      </c>
      <c r="N1942" s="50"/>
      <c r="O1942" s="50"/>
      <c r="P1942" s="50"/>
      <c r="Q1942" s="50"/>
      <c r="R1942" s="50"/>
      <c r="S1942" s="50" t="str">
        <f t="shared" si="177"/>
        <v/>
      </c>
      <c r="T1942" s="50" t="str">
        <f>IF(
    OR(ISBLANK(O1942), ISBLANK(P1942)),
    "",
    MAX(1, IF(
        NETWORKDAYS(O1942, P1942) &lt;= 0,
        1,
        NETWORKDAYS(O1942, P1942) - IF(O1942 = P1942, 0, 1)
    ))
)</f>
        <v/>
      </c>
      <c r="U1942" s="50" t="str">
        <f t="shared" si="184"/>
        <v/>
      </c>
      <c r="V1942" s="50" t="str">
        <f t="shared" si="178"/>
        <v/>
      </c>
      <c r="W1942" s="50"/>
      <c r="X1942" s="50"/>
      <c r="Y1942" s="50"/>
      <c r="Z1942" s="50" t="s">
        <v>3406</v>
      </c>
      <c r="AA1942" s="50"/>
    </row>
    <row r="1943" spans="1:27" ht="25.5" customHeight="1">
      <c r="A1943" s="517" t="s">
        <v>778</v>
      </c>
      <c r="B1943" s="51" t="s">
        <v>2091</v>
      </c>
      <c r="C1943" s="51" t="s">
        <v>143</v>
      </c>
      <c r="D1943" s="51" t="s">
        <v>918</v>
      </c>
      <c r="E1943" s="50">
        <v>4587</v>
      </c>
      <c r="F1943" s="50">
        <v>5712</v>
      </c>
      <c r="G1943" s="50" t="s">
        <v>3404</v>
      </c>
      <c r="H1943" s="50">
        <v>2025</v>
      </c>
      <c r="I1943" s="132">
        <v>45909</v>
      </c>
      <c r="J1943" s="50" t="s">
        <v>3127</v>
      </c>
      <c r="K1943" s="50" t="s">
        <v>33</v>
      </c>
      <c r="L1943" s="50" t="s">
        <v>28</v>
      </c>
      <c r="M1943" s="50" t="s">
        <v>148</v>
      </c>
      <c r="N1943" s="50" t="s">
        <v>5482</v>
      </c>
      <c r="O1943" s="60">
        <v>45913</v>
      </c>
      <c r="P1943" s="60">
        <v>45917</v>
      </c>
      <c r="Q1943" s="60">
        <v>45917</v>
      </c>
      <c r="R1943" s="60">
        <v>45918</v>
      </c>
      <c r="S1943" s="50">
        <f t="shared" si="177"/>
        <v>3</v>
      </c>
      <c r="T1943" s="50">
        <f>IF(
    OR(ISBLANK(1811), ISBLANK(P1943)),
    "",
    MAX(1, IF(
        NETWORKDAYS(O1943, P1943) &lt;= 0,
        1,
        NETWORKDAYS(O1943, P1943) - IF(O1943 = P1943, 0, 1)
    ))
)</f>
        <v>2</v>
      </c>
      <c r="U1943" s="50">
        <f t="shared" si="184"/>
        <v>1</v>
      </c>
      <c r="V1943" s="50">
        <f t="shared" si="178"/>
        <v>1</v>
      </c>
      <c r="W1943" s="50" t="s">
        <v>150</v>
      </c>
      <c r="X1943" s="50" t="s">
        <v>4</v>
      </c>
      <c r="Y1943" s="50" t="s">
        <v>50</v>
      </c>
      <c r="Z1943" s="50" t="s">
        <v>3406</v>
      </c>
      <c r="AA1943" s="50"/>
    </row>
    <row r="1944" spans="1:27" s="110" customFormat="1" ht="25.5" customHeight="1">
      <c r="A1944" s="517" t="s">
        <v>778</v>
      </c>
      <c r="B1944" s="51" t="s">
        <v>2091</v>
      </c>
      <c r="C1944" s="51" t="s">
        <v>143</v>
      </c>
      <c r="D1944" s="51" t="s">
        <v>1364</v>
      </c>
      <c r="E1944" s="50">
        <v>6885</v>
      </c>
      <c r="F1944" s="50">
        <v>8105</v>
      </c>
      <c r="G1944" s="50" t="s">
        <v>3955</v>
      </c>
      <c r="H1944" s="50"/>
      <c r="I1944" s="105"/>
      <c r="J1944" s="50"/>
      <c r="K1944" s="50" t="s">
        <v>33</v>
      </c>
      <c r="L1944" s="50"/>
      <c r="M1944" s="50" t="s">
        <v>148</v>
      </c>
      <c r="N1944" s="50"/>
      <c r="O1944" s="50"/>
      <c r="P1944" s="50"/>
      <c r="Q1944" s="50"/>
      <c r="R1944" s="50"/>
      <c r="S1944" s="50" t="str">
        <f t="shared" si="177"/>
        <v/>
      </c>
      <c r="T1944" s="50" t="str">
        <f t="shared" ref="T1944:T1955" si="185">IF(
    OR(ISBLANK(O1944), ISBLANK(P1944)),
    "",
    MAX(1, IF(
        NETWORKDAYS(O1944, P1944) &lt;= 0,
        1,
        NETWORKDAYS(O1944, P1944) - IF(O1944 = P1944, 0, 1)
    ))
)</f>
        <v/>
      </c>
      <c r="U1944" s="50" t="str">
        <f t="shared" si="184"/>
        <v/>
      </c>
      <c r="V1944" s="50" t="str">
        <f t="shared" si="178"/>
        <v/>
      </c>
      <c r="W1944" s="50"/>
      <c r="X1944" s="50"/>
      <c r="Y1944" s="50"/>
      <c r="Z1944" s="50"/>
      <c r="AA1944" s="50"/>
    </row>
    <row r="1945" spans="1:27" ht="25.5" customHeight="1">
      <c r="A1945" s="517" t="s">
        <v>778</v>
      </c>
      <c r="B1945" s="51" t="s">
        <v>2091</v>
      </c>
      <c r="C1945" s="51" t="s">
        <v>143</v>
      </c>
      <c r="D1945" s="51" t="s">
        <v>5483</v>
      </c>
      <c r="E1945" s="50">
        <v>4397</v>
      </c>
      <c r="F1945" s="50">
        <v>5768</v>
      </c>
      <c r="G1945" s="50" t="s">
        <v>3955</v>
      </c>
      <c r="H1945" s="50"/>
      <c r="I1945" s="105"/>
      <c r="J1945" s="50"/>
      <c r="K1945" s="50" t="s">
        <v>33</v>
      </c>
      <c r="L1945" s="50"/>
      <c r="M1945" s="50" t="s">
        <v>148</v>
      </c>
      <c r="N1945" s="50"/>
      <c r="O1945" s="50"/>
      <c r="P1945" s="50"/>
      <c r="Q1945" s="50"/>
      <c r="R1945" s="50"/>
      <c r="S1945" s="50" t="str">
        <f t="shared" si="177"/>
        <v/>
      </c>
      <c r="T1945" s="50" t="str">
        <f t="shared" si="185"/>
        <v/>
      </c>
      <c r="U1945" s="50" t="str">
        <f t="shared" si="184"/>
        <v/>
      </c>
      <c r="V1945" s="50" t="str">
        <f t="shared" si="178"/>
        <v/>
      </c>
      <c r="W1945" s="50"/>
      <c r="X1945" s="50"/>
      <c r="Y1945" s="50"/>
      <c r="Z1945" s="50"/>
      <c r="AA1945" s="50"/>
    </row>
    <row r="1946" spans="1:27" ht="25.5" customHeight="1">
      <c r="A1946" s="517" t="s">
        <v>778</v>
      </c>
      <c r="B1946" s="51" t="s">
        <v>2091</v>
      </c>
      <c r="C1946" s="51" t="s">
        <v>143</v>
      </c>
      <c r="D1946" s="51" t="s">
        <v>5484</v>
      </c>
      <c r="E1946" s="50">
        <v>3036</v>
      </c>
      <c r="F1946" s="50">
        <v>3029</v>
      </c>
      <c r="G1946" s="50" t="s">
        <v>3955</v>
      </c>
      <c r="H1946" s="50"/>
      <c r="I1946" s="105"/>
      <c r="J1946" s="50"/>
      <c r="K1946" s="50" t="s">
        <v>33</v>
      </c>
      <c r="L1946" s="50"/>
      <c r="M1946" s="50" t="s">
        <v>148</v>
      </c>
      <c r="N1946" s="50"/>
      <c r="O1946" s="50"/>
      <c r="P1946" s="50"/>
      <c r="Q1946" s="50"/>
      <c r="R1946" s="50"/>
      <c r="S1946" s="50" t="str">
        <f t="shared" si="177"/>
        <v/>
      </c>
      <c r="T1946" s="50" t="str">
        <f t="shared" si="185"/>
        <v/>
      </c>
      <c r="U1946" s="50" t="str">
        <f t="shared" si="184"/>
        <v/>
      </c>
      <c r="V1946" s="50" t="str">
        <f t="shared" si="178"/>
        <v/>
      </c>
      <c r="W1946" s="50"/>
      <c r="X1946" s="50"/>
      <c r="Y1946" s="50"/>
      <c r="Z1946" s="50"/>
      <c r="AA1946" s="50"/>
    </row>
    <row r="1947" spans="1:27" ht="25.5" customHeight="1">
      <c r="A1947" s="517" t="s">
        <v>778</v>
      </c>
      <c r="B1947" s="51" t="s">
        <v>2091</v>
      </c>
      <c r="C1947" s="51" t="s">
        <v>143</v>
      </c>
      <c r="D1947" s="51" t="s">
        <v>5197</v>
      </c>
      <c r="E1947" s="50">
        <v>19582</v>
      </c>
      <c r="F1947" s="50">
        <v>20542</v>
      </c>
      <c r="G1947" s="50" t="s">
        <v>3955</v>
      </c>
      <c r="H1947" s="50"/>
      <c r="I1947" s="105"/>
      <c r="J1947" s="50"/>
      <c r="K1947" s="50" t="s">
        <v>33</v>
      </c>
      <c r="L1947" s="50"/>
      <c r="M1947" s="50" t="s">
        <v>148</v>
      </c>
      <c r="N1947" s="50"/>
      <c r="O1947" s="50"/>
      <c r="P1947" s="50"/>
      <c r="Q1947" s="50"/>
      <c r="R1947" s="50"/>
      <c r="S1947" s="50" t="str">
        <f t="shared" si="177"/>
        <v/>
      </c>
      <c r="T1947" s="50" t="str">
        <f t="shared" si="185"/>
        <v/>
      </c>
      <c r="U1947" s="50" t="str">
        <f t="shared" si="184"/>
        <v/>
      </c>
      <c r="V1947" s="50" t="str">
        <f t="shared" si="178"/>
        <v/>
      </c>
      <c r="W1947" s="50"/>
      <c r="X1947" s="50"/>
      <c r="Y1947" s="50"/>
      <c r="Z1947" s="50"/>
      <c r="AA1947" s="50"/>
    </row>
    <row r="1948" spans="1:27" ht="25.5" customHeight="1">
      <c r="A1948" s="517" t="s">
        <v>778</v>
      </c>
      <c r="B1948" s="51" t="s">
        <v>2091</v>
      </c>
      <c r="C1948" s="51" t="s">
        <v>143</v>
      </c>
      <c r="D1948" s="51" t="s">
        <v>5485</v>
      </c>
      <c r="E1948" s="50">
        <v>2899</v>
      </c>
      <c r="F1948" s="50">
        <v>4048</v>
      </c>
      <c r="G1948" s="50" t="s">
        <v>3955</v>
      </c>
      <c r="H1948" s="50"/>
      <c r="I1948" s="105"/>
      <c r="J1948" s="50"/>
      <c r="K1948" s="50" t="s">
        <v>33</v>
      </c>
      <c r="L1948" s="50"/>
      <c r="M1948" s="50" t="s">
        <v>148</v>
      </c>
      <c r="N1948" s="50"/>
      <c r="O1948" s="50"/>
      <c r="P1948" s="50"/>
      <c r="Q1948" s="50"/>
      <c r="R1948" s="50"/>
      <c r="S1948" s="50" t="str">
        <f t="shared" si="177"/>
        <v/>
      </c>
      <c r="T1948" s="50" t="str">
        <f t="shared" si="185"/>
        <v/>
      </c>
      <c r="U1948" s="50" t="str">
        <f t="shared" si="184"/>
        <v/>
      </c>
      <c r="V1948" s="50" t="str">
        <f t="shared" si="178"/>
        <v/>
      </c>
      <c r="W1948" s="50"/>
      <c r="X1948" s="50"/>
      <c r="Y1948" s="50"/>
      <c r="Z1948" s="50"/>
      <c r="AA1948" s="50"/>
    </row>
    <row r="1949" spans="1:27" s="110" customFormat="1" ht="25.5" customHeight="1">
      <c r="A1949" s="517" t="s">
        <v>778</v>
      </c>
      <c r="B1949" s="51" t="s">
        <v>2091</v>
      </c>
      <c r="C1949" s="51" t="s">
        <v>143</v>
      </c>
      <c r="D1949" s="51" t="s">
        <v>1369</v>
      </c>
      <c r="E1949" s="50">
        <v>3128</v>
      </c>
      <c r="F1949" s="50">
        <v>3793</v>
      </c>
      <c r="G1949" s="50" t="s">
        <v>3955</v>
      </c>
      <c r="H1949" s="50"/>
      <c r="I1949" s="105"/>
      <c r="J1949" s="50"/>
      <c r="K1949" s="50" t="s">
        <v>33</v>
      </c>
      <c r="L1949" s="50"/>
      <c r="M1949" s="50" t="s">
        <v>148</v>
      </c>
      <c r="N1949" s="50"/>
      <c r="O1949" s="50"/>
      <c r="P1949" s="50"/>
      <c r="Q1949" s="50"/>
      <c r="R1949" s="50"/>
      <c r="S1949" s="50" t="str">
        <f t="shared" si="177"/>
        <v/>
      </c>
      <c r="T1949" s="50" t="str">
        <f t="shared" si="185"/>
        <v/>
      </c>
      <c r="U1949" s="50" t="str">
        <f t="shared" si="184"/>
        <v/>
      </c>
      <c r="V1949" s="50" t="str">
        <f t="shared" si="178"/>
        <v/>
      </c>
      <c r="W1949" s="50"/>
      <c r="X1949" s="50"/>
      <c r="Y1949" s="50"/>
      <c r="Z1949" s="50"/>
      <c r="AA1949" s="50"/>
    </row>
    <row r="1950" spans="1:27" ht="25.5" customHeight="1">
      <c r="A1950" s="517" t="s">
        <v>778</v>
      </c>
      <c r="B1950" s="51" t="s">
        <v>2091</v>
      </c>
      <c r="C1950" s="51" t="s">
        <v>143</v>
      </c>
      <c r="D1950" s="51" t="s">
        <v>4613</v>
      </c>
      <c r="E1950" s="50">
        <v>4256</v>
      </c>
      <c r="F1950" s="50">
        <v>4045</v>
      </c>
      <c r="G1950" s="50" t="s">
        <v>3955</v>
      </c>
      <c r="H1950" s="50"/>
      <c r="I1950" s="105"/>
      <c r="J1950" s="50"/>
      <c r="K1950" s="50" t="s">
        <v>33</v>
      </c>
      <c r="L1950" s="50"/>
      <c r="M1950" s="50" t="s">
        <v>148</v>
      </c>
      <c r="N1950" s="50"/>
      <c r="O1950" s="50"/>
      <c r="P1950" s="50"/>
      <c r="Q1950" s="50"/>
      <c r="R1950" s="50"/>
      <c r="S1950" s="50" t="str">
        <f t="shared" si="177"/>
        <v/>
      </c>
      <c r="T1950" s="50" t="str">
        <f t="shared" si="185"/>
        <v/>
      </c>
      <c r="U1950" s="50" t="str">
        <f t="shared" si="184"/>
        <v/>
      </c>
      <c r="V1950" s="50" t="str">
        <f t="shared" si="178"/>
        <v/>
      </c>
      <c r="W1950" s="50"/>
      <c r="X1950" s="50"/>
      <c r="Y1950" s="50"/>
      <c r="Z1950" s="50"/>
      <c r="AA1950" s="50"/>
    </row>
    <row r="1951" spans="1:27" ht="25.5" customHeight="1">
      <c r="A1951" s="50" t="s">
        <v>778</v>
      </c>
      <c r="B1951" s="51" t="s">
        <v>2091</v>
      </c>
      <c r="C1951" s="51" t="s">
        <v>143</v>
      </c>
      <c r="D1951" s="51" t="s">
        <v>5437</v>
      </c>
      <c r="E1951" s="50">
        <v>4913</v>
      </c>
      <c r="F1951" s="50">
        <v>6666</v>
      </c>
      <c r="G1951" s="50" t="s">
        <v>3404</v>
      </c>
      <c r="H1951" s="50">
        <v>2024</v>
      </c>
      <c r="I1951" s="132">
        <v>45573</v>
      </c>
      <c r="J1951" s="50"/>
      <c r="K1951" s="50" t="s">
        <v>33</v>
      </c>
      <c r="L1951" s="50"/>
      <c r="M1951" s="50" t="s">
        <v>148</v>
      </c>
      <c r="N1951" s="50"/>
      <c r="O1951" s="50"/>
      <c r="P1951" s="50"/>
      <c r="Q1951" s="50"/>
      <c r="R1951" s="50"/>
      <c r="S1951" s="50" t="str">
        <f t="shared" si="177"/>
        <v/>
      </c>
      <c r="T1951" s="50" t="str">
        <f t="shared" si="185"/>
        <v/>
      </c>
      <c r="U1951" s="50" t="str">
        <f t="shared" si="184"/>
        <v/>
      </c>
      <c r="V1951" s="50" t="str">
        <f t="shared" si="178"/>
        <v/>
      </c>
      <c r="W1951" s="50"/>
      <c r="X1951" s="50" t="s">
        <v>4</v>
      </c>
      <c r="Y1951" s="50" t="s">
        <v>50</v>
      </c>
      <c r="Z1951" s="50" t="s">
        <v>3406</v>
      </c>
      <c r="AA1951" s="50"/>
    </row>
    <row r="1952" spans="1:27" ht="25.5" customHeight="1">
      <c r="A1952" s="517" t="s">
        <v>778</v>
      </c>
      <c r="B1952" s="51" t="s">
        <v>2091</v>
      </c>
      <c r="C1952" s="51" t="s">
        <v>143</v>
      </c>
      <c r="D1952" s="51" t="s">
        <v>5486</v>
      </c>
      <c r="E1952" s="50">
        <v>9441</v>
      </c>
      <c r="F1952" s="50">
        <v>12847</v>
      </c>
      <c r="G1952" s="50" t="s">
        <v>3955</v>
      </c>
      <c r="H1952" s="50"/>
      <c r="I1952" s="105"/>
      <c r="J1952" s="50"/>
      <c r="K1952" s="50" t="s">
        <v>33</v>
      </c>
      <c r="L1952" s="50"/>
      <c r="M1952" s="50" t="s">
        <v>148</v>
      </c>
      <c r="N1952" s="50"/>
      <c r="O1952" s="50"/>
      <c r="P1952" s="50"/>
      <c r="Q1952" s="50"/>
      <c r="R1952" s="50"/>
      <c r="S1952" s="50" t="str">
        <f t="shared" si="177"/>
        <v/>
      </c>
      <c r="T1952" s="50" t="str">
        <f t="shared" si="185"/>
        <v/>
      </c>
      <c r="U1952" s="50" t="str">
        <f t="shared" si="184"/>
        <v/>
      </c>
      <c r="V1952" s="50" t="str">
        <f t="shared" si="178"/>
        <v/>
      </c>
      <c r="W1952" s="50"/>
      <c r="X1952" s="50"/>
      <c r="Y1952" s="50"/>
      <c r="Z1952" s="50"/>
      <c r="AA1952" s="50"/>
    </row>
    <row r="1953" spans="1:27" ht="25.5" customHeight="1">
      <c r="A1953" s="517" t="s">
        <v>778</v>
      </c>
      <c r="B1953" s="51" t="s">
        <v>2091</v>
      </c>
      <c r="C1953" s="51" t="s">
        <v>143</v>
      </c>
      <c r="D1953" s="51" t="s">
        <v>5487</v>
      </c>
      <c r="E1953" s="50">
        <v>4487</v>
      </c>
      <c r="F1953" s="50">
        <v>5082</v>
      </c>
      <c r="G1953" s="50" t="s">
        <v>3955</v>
      </c>
      <c r="H1953" s="50"/>
      <c r="I1953" s="105"/>
      <c r="J1953" s="50"/>
      <c r="K1953" s="50" t="s">
        <v>33</v>
      </c>
      <c r="L1953" s="50"/>
      <c r="M1953" s="50" t="s">
        <v>148</v>
      </c>
      <c r="N1953" s="50"/>
      <c r="O1953" s="50"/>
      <c r="P1953" s="50"/>
      <c r="Q1953" s="50"/>
      <c r="R1953" s="50"/>
      <c r="S1953" s="50" t="str">
        <f t="shared" si="177"/>
        <v/>
      </c>
      <c r="T1953" s="50" t="str">
        <f t="shared" si="185"/>
        <v/>
      </c>
      <c r="U1953" s="50" t="str">
        <f t="shared" si="184"/>
        <v/>
      </c>
      <c r="V1953" s="50" t="str">
        <f t="shared" si="178"/>
        <v/>
      </c>
      <c r="W1953" s="50"/>
      <c r="X1953" s="50"/>
      <c r="Y1953" s="50"/>
      <c r="Z1953" s="50"/>
      <c r="AA1953" s="50"/>
    </row>
    <row r="1954" spans="1:27" s="110" customFormat="1" ht="25.5" customHeight="1">
      <c r="A1954" s="517" t="s">
        <v>778</v>
      </c>
      <c r="B1954" s="51" t="s">
        <v>2091</v>
      </c>
      <c r="C1954" s="51" t="s">
        <v>143</v>
      </c>
      <c r="D1954" s="51" t="s">
        <v>5488</v>
      </c>
      <c r="E1954" s="50">
        <v>7048</v>
      </c>
      <c r="F1954" s="50">
        <v>7509</v>
      </c>
      <c r="G1954" s="50" t="s">
        <v>3955</v>
      </c>
      <c r="H1954" s="50"/>
      <c r="I1954" s="105"/>
      <c r="J1954" s="50"/>
      <c r="K1954" s="50" t="s">
        <v>33</v>
      </c>
      <c r="L1954" s="50"/>
      <c r="M1954" s="50" t="s">
        <v>148</v>
      </c>
      <c r="N1954" s="50"/>
      <c r="O1954" s="50"/>
      <c r="P1954" s="50"/>
      <c r="Q1954" s="50"/>
      <c r="R1954" s="50"/>
      <c r="S1954" s="50" t="str">
        <f t="shared" si="177"/>
        <v/>
      </c>
      <c r="T1954" s="50" t="str">
        <f t="shared" si="185"/>
        <v/>
      </c>
      <c r="U1954" s="50" t="str">
        <f t="shared" si="184"/>
        <v/>
      </c>
      <c r="V1954" s="50" t="str">
        <f t="shared" si="178"/>
        <v/>
      </c>
      <c r="W1954" s="50"/>
      <c r="X1954" s="50"/>
      <c r="Y1954" s="50"/>
      <c r="Z1954" s="50"/>
      <c r="AA1954" s="50"/>
    </row>
    <row r="1955" spans="1:27" ht="25.5" customHeight="1">
      <c r="A1955" s="517" t="s">
        <v>778</v>
      </c>
      <c r="B1955" s="51" t="s">
        <v>2091</v>
      </c>
      <c r="C1955" s="51" t="s">
        <v>143</v>
      </c>
      <c r="D1955" s="51" t="s">
        <v>5489</v>
      </c>
      <c r="E1955" s="50">
        <v>1404</v>
      </c>
      <c r="F1955" s="50">
        <v>1601</v>
      </c>
      <c r="G1955" s="50" t="s">
        <v>3955</v>
      </c>
      <c r="H1955" s="50"/>
      <c r="I1955" s="105"/>
      <c r="J1955" s="50"/>
      <c r="K1955" s="50" t="s">
        <v>33</v>
      </c>
      <c r="L1955" s="50"/>
      <c r="M1955" s="50" t="s">
        <v>148</v>
      </c>
      <c r="N1955" s="50"/>
      <c r="O1955" s="50"/>
      <c r="P1955" s="50"/>
      <c r="Q1955" s="50"/>
      <c r="R1955" s="50"/>
      <c r="S1955" s="50" t="str">
        <f t="shared" si="177"/>
        <v/>
      </c>
      <c r="T1955" s="50" t="str">
        <f t="shared" si="185"/>
        <v/>
      </c>
      <c r="U1955" s="50" t="str">
        <f t="shared" si="184"/>
        <v/>
      </c>
      <c r="V1955" s="50" t="str">
        <f t="shared" si="178"/>
        <v/>
      </c>
      <c r="W1955" s="50"/>
      <c r="X1955" s="50"/>
      <c r="Y1955" s="50"/>
      <c r="Z1955" s="50"/>
      <c r="AA1955" s="50"/>
    </row>
    <row r="1956" spans="1:27" ht="25.5" customHeight="1">
      <c r="A1956" s="517" t="s">
        <v>778</v>
      </c>
      <c r="B1956" s="51" t="s">
        <v>2091</v>
      </c>
      <c r="C1956" s="51" t="s">
        <v>143</v>
      </c>
      <c r="D1956" s="51" t="s">
        <v>5490</v>
      </c>
      <c r="E1956" s="50">
        <v>7259</v>
      </c>
      <c r="F1956" s="50">
        <v>8254</v>
      </c>
      <c r="G1956" s="50" t="s">
        <v>3404</v>
      </c>
      <c r="H1956" s="50">
        <v>2025</v>
      </c>
      <c r="I1956" s="132">
        <v>45730</v>
      </c>
      <c r="J1956" s="50" t="s">
        <v>3416</v>
      </c>
      <c r="K1956" s="50" t="s">
        <v>33</v>
      </c>
      <c r="L1956" s="50"/>
      <c r="M1956" s="50" t="s">
        <v>148</v>
      </c>
      <c r="N1956" s="50" t="s">
        <v>5491</v>
      </c>
      <c r="O1956" s="60">
        <v>45730</v>
      </c>
      <c r="P1956" s="50"/>
      <c r="Q1956" s="60">
        <v>45733</v>
      </c>
      <c r="R1956" s="60">
        <v>45734</v>
      </c>
      <c r="S1956" s="50">
        <f t="shared" si="177"/>
        <v>1</v>
      </c>
      <c r="T1956" s="50" t="str">
        <f>IF(
    OR(ISBLANK(O1956), ISBLANK(P1956)),
    "",
    MAX(1, IF(
        NETWORKDAYS(O1956, P1956) &lt;= 0,
        1,
        NETWORKDAYS(O1956, P1956) - IF(O1956 = QP1956, 0, 1)
    ))
)</f>
        <v/>
      </c>
      <c r="U1956" s="50">
        <f>IF(
    OR(ISBLANK(1816), ISBLANK(Q1956)),
    "",
    MAX(1, IF(
        NETWORKDAYS(O1956, Q1956) &lt;= 0,
        1,
        NETWORKDAYS(O1956, Q1956) - IF(O1956 = Q1956, 0, 1)
    ))
)</f>
        <v>1</v>
      </c>
      <c r="V1956" s="50">
        <f t="shared" si="178"/>
        <v>1</v>
      </c>
      <c r="W1956" s="50" t="s">
        <v>150</v>
      </c>
      <c r="X1956" s="50" t="s">
        <v>1078</v>
      </c>
      <c r="Y1956" s="50" t="s">
        <v>50</v>
      </c>
      <c r="Z1956" s="50" t="s">
        <v>3406</v>
      </c>
      <c r="AA1956" s="50"/>
    </row>
    <row r="1957" spans="1:27" ht="25.5" customHeight="1">
      <c r="A1957" s="517" t="s">
        <v>778</v>
      </c>
      <c r="B1957" s="51" t="s">
        <v>2091</v>
      </c>
      <c r="C1957" s="51" t="s">
        <v>143</v>
      </c>
      <c r="D1957" s="51" t="s">
        <v>5492</v>
      </c>
      <c r="E1957" s="50">
        <v>3115</v>
      </c>
      <c r="F1957" s="50">
        <v>6448</v>
      </c>
      <c r="G1957" s="50" t="s">
        <v>3955</v>
      </c>
      <c r="H1957" s="50"/>
      <c r="I1957" s="105"/>
      <c r="J1957" s="50"/>
      <c r="K1957" s="50" t="s">
        <v>33</v>
      </c>
      <c r="L1957" s="50"/>
      <c r="M1957" s="50" t="s">
        <v>148</v>
      </c>
      <c r="N1957" s="50"/>
      <c r="O1957" s="50"/>
      <c r="P1957" s="50"/>
      <c r="Q1957" s="50"/>
      <c r="R1957" s="50"/>
      <c r="S1957" s="50" t="str">
        <f t="shared" si="177"/>
        <v/>
      </c>
      <c r="T1957" s="50" t="str">
        <f>IF(
    OR(ISBLANK(O1957), ISBLANK(P1957)),
    "",
    MAX(1, IF(
        NETWORKDAYS(O1957, P1957) &lt;= 0,
        1,
        NETWORKDAYS(O1957, P1957) - IF(O1957 = P1957, 0, 1)
    ))
)</f>
        <v/>
      </c>
      <c r="U1957" s="50" t="str">
        <f>IF(
    OR(ISBLANK(P1957), ISBLANK(Q1957)),
    "",
    MAX(1, IF(
        NETWORKDAYS(P1957, Q1957) &lt;= 0,
        1,
        NETWORKDAYS(P1957, Q1957) - IF(P1957 = Q1957, 0, 1)
    ))
)</f>
        <v/>
      </c>
      <c r="V1957" s="50" t="str">
        <f t="shared" si="178"/>
        <v/>
      </c>
      <c r="W1957" s="50"/>
      <c r="X1957" s="50"/>
      <c r="Y1957" s="50"/>
      <c r="Z1957" s="50"/>
      <c r="AA1957" s="50"/>
    </row>
    <row r="1958" spans="1:27" s="110" customFormat="1" ht="25.5" customHeight="1">
      <c r="A1958" s="517" t="s">
        <v>778</v>
      </c>
      <c r="B1958" s="51" t="s">
        <v>2091</v>
      </c>
      <c r="C1958" s="51" t="s">
        <v>143</v>
      </c>
      <c r="D1958" s="51" t="s">
        <v>5493</v>
      </c>
      <c r="E1958" s="50">
        <v>9893</v>
      </c>
      <c r="F1958" s="50">
        <v>11002</v>
      </c>
      <c r="G1958" s="50" t="s">
        <v>3955</v>
      </c>
      <c r="H1958" s="50"/>
      <c r="I1958" s="105"/>
      <c r="J1958" s="50"/>
      <c r="K1958" s="50" t="s">
        <v>33</v>
      </c>
      <c r="L1958" s="50"/>
      <c r="M1958" s="50" t="s">
        <v>148</v>
      </c>
      <c r="N1958" s="50"/>
      <c r="O1958" s="50"/>
      <c r="P1958" s="50"/>
      <c r="Q1958" s="50"/>
      <c r="R1958" s="50"/>
      <c r="S1958" s="50" t="str">
        <f t="shared" si="177"/>
        <v/>
      </c>
      <c r="T1958" s="50" t="str">
        <f>IF(
    OR(ISBLANK(O1958), ISBLANK(P1958)),
    "",
    MAX(1, IF(
        NETWORKDAYS(O1958, P1958) &lt;= 0,
        1,
        NETWORKDAYS(O1958, P1958) - IF(O1958 = P1958, 0, 1)
    ))
)</f>
        <v/>
      </c>
      <c r="U1958" s="50" t="str">
        <f>IF(
    OR(ISBLANK(P1958), ISBLANK(Q1958)),
    "",
    MAX(1, IF(
        NETWORKDAYS(P1958, Q1958) &lt;= 0,
        1,
        NETWORKDAYS(P1958, Q1958) - IF(P1958 = Q1958, 0, 1)
    ))
)</f>
        <v/>
      </c>
      <c r="V1958" s="50" t="str">
        <f t="shared" si="178"/>
        <v/>
      </c>
      <c r="W1958" s="50"/>
      <c r="X1958" s="50"/>
      <c r="Y1958" s="50"/>
      <c r="Z1958" s="50"/>
      <c r="AA1958" s="50"/>
    </row>
    <row r="1959" spans="1:27" ht="25.5" customHeight="1">
      <c r="A1959" s="517" t="s">
        <v>778</v>
      </c>
      <c r="B1959" s="51" t="s">
        <v>2091</v>
      </c>
      <c r="C1959" s="51" t="s">
        <v>143</v>
      </c>
      <c r="D1959" s="51" t="s">
        <v>5494</v>
      </c>
      <c r="E1959" s="50">
        <v>6987</v>
      </c>
      <c r="F1959" s="50">
        <v>8256</v>
      </c>
      <c r="G1959" s="50" t="s">
        <v>3404</v>
      </c>
      <c r="H1959" s="50">
        <v>2025</v>
      </c>
      <c r="I1959" s="132">
        <v>45779</v>
      </c>
      <c r="J1959" s="50" t="s">
        <v>3532</v>
      </c>
      <c r="K1959" s="50" t="s">
        <v>33</v>
      </c>
      <c r="L1959" s="50"/>
      <c r="M1959" s="50" t="s">
        <v>148</v>
      </c>
      <c r="N1959" s="50" t="s">
        <v>5495</v>
      </c>
      <c r="O1959" s="60">
        <v>45792</v>
      </c>
      <c r="P1959" s="50"/>
      <c r="Q1959" s="60">
        <v>45793</v>
      </c>
      <c r="R1959" s="60">
        <v>45793</v>
      </c>
      <c r="S1959" s="50">
        <f t="shared" si="177"/>
        <v>9</v>
      </c>
      <c r="T1959" s="50" t="str">
        <f>IF(
    OR(ISBLANK(O1959), ISBLANK(P1959)),
    "",
    MAX(1, IF(
        NETWORKDAYS(O1959, P1959) &lt;= 0,
        1,
        NETWORKDAYS(O1959, P1959) - IF(O1959 = QP1959, 0, 1)
    ))
)</f>
        <v/>
      </c>
      <c r="U1959" s="50">
        <f>IF(
    OR(ISBLANK(1816), ISBLANK(Q1959)),
    "",
    MAX(1, IF(
        NETWORKDAYS(O1959, Q1959) &lt;= 0,
        1,
        NETWORKDAYS(O1959, Q1959) - IF(O1959 = Q1959, 0, 1)
    ))
)</f>
        <v>1</v>
      </c>
      <c r="V1959" s="50">
        <f t="shared" si="178"/>
        <v>1</v>
      </c>
      <c r="W1959" s="50" t="s">
        <v>150</v>
      </c>
      <c r="X1959" s="50" t="s">
        <v>1078</v>
      </c>
      <c r="Y1959" s="50" t="s">
        <v>50</v>
      </c>
      <c r="Z1959" s="50" t="s">
        <v>3406</v>
      </c>
      <c r="AA1959" s="50"/>
    </row>
    <row r="1960" spans="1:27" ht="25.5" customHeight="1">
      <c r="A1960" s="517" t="s">
        <v>778</v>
      </c>
      <c r="B1960" s="51" t="s">
        <v>2091</v>
      </c>
      <c r="C1960" s="51" t="s">
        <v>143</v>
      </c>
      <c r="D1960" s="51" t="s">
        <v>4126</v>
      </c>
      <c r="E1960" s="50">
        <v>20166</v>
      </c>
      <c r="F1960" s="50">
        <v>22539</v>
      </c>
      <c r="G1960" s="50" t="s">
        <v>3955</v>
      </c>
      <c r="H1960" s="50"/>
      <c r="I1960" s="105"/>
      <c r="J1960" s="50"/>
      <c r="K1960" s="50" t="s">
        <v>33</v>
      </c>
      <c r="L1960" s="50"/>
      <c r="M1960" s="50" t="s">
        <v>148</v>
      </c>
      <c r="N1960" s="50"/>
      <c r="O1960" s="50"/>
      <c r="P1960" s="50"/>
      <c r="Q1960" s="50"/>
      <c r="R1960" s="50"/>
      <c r="S1960" s="50" t="str">
        <f t="shared" si="177"/>
        <v/>
      </c>
      <c r="T1960" s="50" t="str">
        <f>IF(
    OR(ISBLANK(O1960), ISBLANK(P1960)),
    "",
    MAX(1, IF(
        NETWORKDAYS(O1960, P1960) &lt;= 0,
        1,
        NETWORKDAYS(O1960, P1960) - IF(O1960 = P1960, 0, 1)
    ))
)</f>
        <v/>
      </c>
      <c r="U1960" s="50" t="str">
        <f>IF(
    OR(ISBLANK(P1960), ISBLANK(Q1960)),
    "",
    MAX(1, IF(
        NETWORKDAYS(P1960, Q1960) &lt;= 0,
        1,
        NETWORKDAYS(P1960, Q1960) - IF(P1960 = Q1960, 0, 1)
    ))
)</f>
        <v/>
      </c>
      <c r="V1960" s="50" t="str">
        <f t="shared" si="178"/>
        <v/>
      </c>
      <c r="W1960" s="50"/>
      <c r="X1960" s="50"/>
      <c r="Y1960" s="50"/>
      <c r="Z1960" s="50"/>
      <c r="AA1960" s="50"/>
    </row>
    <row r="1961" spans="1:27" s="110" customFormat="1" ht="25.5" customHeight="1">
      <c r="A1961" s="517" t="s">
        <v>778</v>
      </c>
      <c r="B1961" s="51" t="s">
        <v>2091</v>
      </c>
      <c r="C1961" s="51" t="s">
        <v>143</v>
      </c>
      <c r="D1961" s="51" t="s">
        <v>1225</v>
      </c>
      <c r="E1961" s="50">
        <v>4280</v>
      </c>
      <c r="F1961" s="50">
        <v>6035</v>
      </c>
      <c r="G1961" s="50" t="s">
        <v>3955</v>
      </c>
      <c r="H1961" s="50"/>
      <c r="I1961" s="105"/>
      <c r="J1961" s="50"/>
      <c r="K1961" s="50" t="s">
        <v>33</v>
      </c>
      <c r="L1961" s="50"/>
      <c r="M1961" s="50" t="s">
        <v>148</v>
      </c>
      <c r="N1961" s="50"/>
      <c r="O1961" s="50"/>
      <c r="P1961" s="50"/>
      <c r="Q1961" s="50"/>
      <c r="R1961" s="50"/>
      <c r="S1961" s="50" t="str">
        <f t="shared" si="177"/>
        <v/>
      </c>
      <c r="T1961" s="50" t="str">
        <f>IF(
    OR(ISBLANK(O1961), ISBLANK(P1961)),
    "",
    MAX(1, IF(
        NETWORKDAYS(O1961, P1961) &lt;= 0,
        1,
        NETWORKDAYS(O1961, P1961) - IF(O1961 = P1961, 0, 1)
    ))
)</f>
        <v/>
      </c>
      <c r="U1961" s="50" t="str">
        <f>IF(
    OR(ISBLANK(P1961), ISBLANK(Q1961)),
    "",
    MAX(1, IF(
        NETWORKDAYS(P1961, Q1961) &lt;= 0,
        1,
        NETWORKDAYS(P1961, Q1961) - IF(P1961 = Q1961, 0, 1)
    ))
)</f>
        <v/>
      </c>
      <c r="V1961" s="50" t="str">
        <f t="shared" si="178"/>
        <v/>
      </c>
      <c r="W1961" s="50"/>
      <c r="X1961" s="50"/>
      <c r="Y1961" s="50"/>
      <c r="Z1961" s="50"/>
      <c r="AA1961" s="50"/>
    </row>
    <row r="1962" spans="1:27" ht="25.5" customHeight="1">
      <c r="A1962" s="517" t="s">
        <v>778</v>
      </c>
      <c r="B1962" s="51" t="s">
        <v>2091</v>
      </c>
      <c r="C1962" s="51" t="s">
        <v>143</v>
      </c>
      <c r="D1962" s="51" t="s">
        <v>1180</v>
      </c>
      <c r="E1962" s="50">
        <v>4280</v>
      </c>
      <c r="F1962" s="50">
        <v>9616</v>
      </c>
      <c r="G1962" s="50" t="s">
        <v>3404</v>
      </c>
      <c r="H1962" s="50">
        <v>2025</v>
      </c>
      <c r="I1962" s="132">
        <v>45839</v>
      </c>
      <c r="J1962" s="50" t="s">
        <v>3125</v>
      </c>
      <c r="K1962" s="50" t="s">
        <v>33</v>
      </c>
      <c r="L1962" s="50" t="s">
        <v>28</v>
      </c>
      <c r="M1962" s="50" t="s">
        <v>148</v>
      </c>
      <c r="N1962" s="50" t="s">
        <v>5496</v>
      </c>
      <c r="O1962" s="60">
        <v>45844</v>
      </c>
      <c r="P1962" s="60">
        <v>45847</v>
      </c>
      <c r="Q1962" s="60">
        <v>45854</v>
      </c>
      <c r="R1962" s="60">
        <v>45855</v>
      </c>
      <c r="S1962" s="50">
        <f t="shared" si="177"/>
        <v>3</v>
      </c>
      <c r="T1962" s="50">
        <f>IF(
    OR(ISBLANK(1811), ISBLANK(P1962)),
    "",
    MAX(1, IF(
        NETWORKDAYS(O1962, P1962) &lt;= 0,
        1,
        NETWORKDAYS(O1962, P1962) - IF(O1962 = P1962, 0, 1)
    ))
)</f>
        <v>2</v>
      </c>
      <c r="U1962" s="50">
        <f t="shared" ref="U1962:U1967" si="186">IF(
    OR(ISBLANK(P1962), ISBLANK(Q1962)),
    "",
    MAX(1, IF(
        NETWORKDAYS(P1962, Q1962) &lt;= 0,
        1,
        NETWORKDAYS(P1962, Q1962) - IF(P1962 = Q1962, 0, 1)
    ))
)</f>
        <v>5</v>
      </c>
      <c r="V1962" s="50">
        <f t="shared" si="178"/>
        <v>1</v>
      </c>
      <c r="W1962" s="50" t="s">
        <v>150</v>
      </c>
      <c r="X1962" s="50" t="s">
        <v>4</v>
      </c>
      <c r="Y1962" s="50" t="s">
        <v>50</v>
      </c>
      <c r="Z1962" s="50" t="s">
        <v>3406</v>
      </c>
      <c r="AA1962" s="50"/>
    </row>
    <row r="1963" spans="1:27" ht="25.5" customHeight="1">
      <c r="A1963" s="50" t="s">
        <v>778</v>
      </c>
      <c r="B1963" s="51" t="s">
        <v>2091</v>
      </c>
      <c r="C1963" s="51" t="s">
        <v>143</v>
      </c>
      <c r="D1963" s="51" t="s">
        <v>858</v>
      </c>
      <c r="E1963" s="50">
        <v>15313</v>
      </c>
      <c r="F1963" s="50">
        <v>16164</v>
      </c>
      <c r="G1963" s="50" t="s">
        <v>3404</v>
      </c>
      <c r="H1963" s="50">
        <v>2024</v>
      </c>
      <c r="I1963" s="132">
        <v>45545</v>
      </c>
      <c r="J1963" s="50"/>
      <c r="K1963" s="50" t="s">
        <v>33</v>
      </c>
      <c r="L1963" s="50"/>
      <c r="M1963" s="50" t="s">
        <v>148</v>
      </c>
      <c r="N1963" s="50"/>
      <c r="O1963" s="50"/>
      <c r="P1963" s="50"/>
      <c r="Q1963" s="50"/>
      <c r="R1963" s="50"/>
      <c r="S1963" s="50" t="str">
        <f t="shared" si="177"/>
        <v/>
      </c>
      <c r="T1963" s="50" t="str">
        <f>IF(
    OR(ISBLANK(O1963), ISBLANK(P1963)),
    "",
    MAX(1, IF(
        NETWORKDAYS(O1963, P1963) &lt;= 0,
        1,
        NETWORKDAYS(O1963, P1963) - IF(O1963 = P1963, 0, 1)
    ))
)</f>
        <v/>
      </c>
      <c r="U1963" s="50" t="str">
        <f t="shared" si="186"/>
        <v/>
      </c>
      <c r="V1963" s="50" t="str">
        <f t="shared" si="178"/>
        <v/>
      </c>
      <c r="W1963" s="50"/>
      <c r="X1963" s="50" t="s">
        <v>4</v>
      </c>
      <c r="Y1963" s="50" t="s">
        <v>50</v>
      </c>
      <c r="Z1963" s="50" t="s">
        <v>3406</v>
      </c>
      <c r="AA1963" s="50"/>
    </row>
    <row r="1964" spans="1:27" ht="25.5" customHeight="1">
      <c r="A1964" s="517" t="s">
        <v>778</v>
      </c>
      <c r="B1964" s="51" t="s">
        <v>2091</v>
      </c>
      <c r="C1964" s="51" t="s">
        <v>143</v>
      </c>
      <c r="D1964" s="51" t="s">
        <v>3565</v>
      </c>
      <c r="E1964" s="50">
        <v>7474</v>
      </c>
      <c r="F1964" s="50">
        <v>10090</v>
      </c>
      <c r="G1964" s="50" t="s">
        <v>3404</v>
      </c>
      <c r="H1964" s="50">
        <v>2025</v>
      </c>
      <c r="I1964" s="132">
        <v>45909</v>
      </c>
      <c r="J1964" s="50" t="s">
        <v>3127</v>
      </c>
      <c r="K1964" s="50" t="s">
        <v>33</v>
      </c>
      <c r="L1964" s="50" t="s">
        <v>28</v>
      </c>
      <c r="M1964" s="50" t="s">
        <v>148</v>
      </c>
      <c r="N1964" s="50" t="s">
        <v>5497</v>
      </c>
      <c r="O1964" s="60">
        <v>45913</v>
      </c>
      <c r="P1964" s="60">
        <v>45917</v>
      </c>
      <c r="Q1964" s="60">
        <v>45917</v>
      </c>
      <c r="R1964" s="60">
        <v>45918</v>
      </c>
      <c r="S1964" s="50">
        <f t="shared" si="177"/>
        <v>3</v>
      </c>
      <c r="T1964" s="50">
        <f>IF(
    OR(ISBLANK(1811), ISBLANK(P1964)),
    "",
    MAX(1, IF(
        NETWORKDAYS(O1964, P1964) &lt;= 0,
        1,
        NETWORKDAYS(O1964, P1964) - IF(O1964 = P1964, 0, 1)
    ))
)</f>
        <v>2</v>
      </c>
      <c r="U1964" s="50">
        <f t="shared" si="186"/>
        <v>1</v>
      </c>
      <c r="V1964" s="50">
        <f t="shared" si="178"/>
        <v>1</v>
      </c>
      <c r="W1964" s="50" t="s">
        <v>150</v>
      </c>
      <c r="X1964" s="50" t="s">
        <v>4</v>
      </c>
      <c r="Y1964" s="50" t="s">
        <v>62</v>
      </c>
      <c r="Z1964" s="50" t="s">
        <v>3406</v>
      </c>
      <c r="AA1964" s="50"/>
    </row>
    <row r="1965" spans="1:27" ht="25.5" customHeight="1">
      <c r="A1965" s="517" t="s">
        <v>778</v>
      </c>
      <c r="B1965" s="51" t="s">
        <v>2091</v>
      </c>
      <c r="C1965" s="51" t="s">
        <v>143</v>
      </c>
      <c r="D1965" s="51" t="s">
        <v>1439</v>
      </c>
      <c r="E1965" s="50">
        <v>9927</v>
      </c>
      <c r="F1965" s="50">
        <v>9899</v>
      </c>
      <c r="G1965" s="50" t="s">
        <v>3955</v>
      </c>
      <c r="H1965" s="50"/>
      <c r="I1965" s="105"/>
      <c r="J1965" s="50"/>
      <c r="K1965" s="50" t="s">
        <v>33</v>
      </c>
      <c r="L1965" s="50"/>
      <c r="M1965" s="50" t="s">
        <v>148</v>
      </c>
      <c r="N1965" s="50"/>
      <c r="O1965" s="50"/>
      <c r="P1965" s="50"/>
      <c r="Q1965" s="50"/>
      <c r="R1965" s="50"/>
      <c r="S1965" s="50" t="str">
        <f t="shared" si="177"/>
        <v/>
      </c>
      <c r="T1965" s="50" t="str">
        <f>IF(
    OR(ISBLANK(O1965), ISBLANK(P1965)),
    "",
    MAX(1, IF(
        NETWORKDAYS(O1965, P1965) &lt;= 0,
        1,
        NETWORKDAYS(O1965, P1965) - IF(O1965 = P1965, 0, 1)
    ))
)</f>
        <v/>
      </c>
      <c r="U1965" s="50" t="str">
        <f t="shared" si="186"/>
        <v/>
      </c>
      <c r="V1965" s="50" t="str">
        <f t="shared" si="178"/>
        <v/>
      </c>
      <c r="W1965" s="50"/>
      <c r="X1965" s="50"/>
      <c r="Y1965" s="50"/>
      <c r="Z1965" s="50"/>
      <c r="AA1965" s="50"/>
    </row>
    <row r="1966" spans="1:27" s="110" customFormat="1" ht="25.5" customHeight="1">
      <c r="A1966" s="517" t="s">
        <v>778</v>
      </c>
      <c r="B1966" s="51" t="s">
        <v>2091</v>
      </c>
      <c r="C1966" s="51" t="s">
        <v>143</v>
      </c>
      <c r="D1966" s="51" t="s">
        <v>1253</v>
      </c>
      <c r="E1966" s="50">
        <v>12219</v>
      </c>
      <c r="F1966" s="50">
        <v>12049</v>
      </c>
      <c r="G1966" s="50" t="s">
        <v>3955</v>
      </c>
      <c r="H1966" s="50"/>
      <c r="I1966" s="105"/>
      <c r="J1966" s="50"/>
      <c r="K1966" s="50" t="s">
        <v>33</v>
      </c>
      <c r="L1966" s="50"/>
      <c r="M1966" s="50" t="s">
        <v>148</v>
      </c>
      <c r="N1966" s="50"/>
      <c r="O1966" s="50"/>
      <c r="P1966" s="50"/>
      <c r="Q1966" s="50"/>
      <c r="R1966" s="50"/>
      <c r="S1966" s="50" t="str">
        <f t="shared" si="177"/>
        <v/>
      </c>
      <c r="T1966" s="50" t="str">
        <f>IF(
    OR(ISBLANK(O1966), ISBLANK(P1966)),
    "",
    MAX(1, IF(
        NETWORKDAYS(O1966, P1966) &lt;= 0,
        1,
        NETWORKDAYS(O1966, P1966) - IF(O1966 = P1966, 0, 1)
    ))
)</f>
        <v/>
      </c>
      <c r="U1966" s="50" t="str">
        <f t="shared" si="186"/>
        <v/>
      </c>
      <c r="V1966" s="50" t="str">
        <f t="shared" si="178"/>
        <v/>
      </c>
      <c r="W1966" s="50"/>
      <c r="X1966" s="50"/>
      <c r="Y1966" s="50"/>
      <c r="Z1966" s="50"/>
      <c r="AA1966" s="50"/>
    </row>
    <row r="1967" spans="1:27" ht="25.5" customHeight="1">
      <c r="A1967" s="517" t="s">
        <v>778</v>
      </c>
      <c r="B1967" s="51" t="s">
        <v>2091</v>
      </c>
      <c r="C1967" s="51" t="s">
        <v>143</v>
      </c>
      <c r="D1967" s="51" t="s">
        <v>5180</v>
      </c>
      <c r="E1967" s="50">
        <v>1270</v>
      </c>
      <c r="F1967" s="50">
        <v>1385</v>
      </c>
      <c r="G1967" s="50" t="s">
        <v>3955</v>
      </c>
      <c r="H1967" s="50"/>
      <c r="I1967" s="105"/>
      <c r="J1967" s="50"/>
      <c r="K1967" s="50" t="s">
        <v>33</v>
      </c>
      <c r="L1967" s="50"/>
      <c r="M1967" s="50" t="s">
        <v>148</v>
      </c>
      <c r="N1967" s="50"/>
      <c r="O1967" s="50"/>
      <c r="P1967" s="50"/>
      <c r="Q1967" s="50"/>
      <c r="R1967" s="50"/>
      <c r="S1967" s="50" t="str">
        <f t="shared" si="177"/>
        <v/>
      </c>
      <c r="T1967" s="50" t="str">
        <f>IF(
    OR(ISBLANK(O1967), ISBLANK(P1967)),
    "",
    MAX(1, IF(
        NETWORKDAYS(O1967, P1967) &lt;= 0,
        1,
        NETWORKDAYS(O1967, P1967) - IF(O1967 = P1967, 0, 1)
    ))
)</f>
        <v/>
      </c>
      <c r="U1967" s="50" t="str">
        <f t="shared" si="186"/>
        <v/>
      </c>
      <c r="V1967" s="50" t="str">
        <f t="shared" si="178"/>
        <v/>
      </c>
      <c r="W1967" s="50"/>
      <c r="X1967" s="50"/>
      <c r="Y1967" s="50"/>
      <c r="Z1967" s="50"/>
      <c r="AA1967" s="50"/>
    </row>
    <row r="1968" spans="1:27" ht="25.5" customHeight="1">
      <c r="A1968" s="517" t="s">
        <v>778</v>
      </c>
      <c r="B1968" s="51" t="s">
        <v>2091</v>
      </c>
      <c r="C1968" s="51" t="s">
        <v>143</v>
      </c>
      <c r="D1968" s="51" t="s">
        <v>3727</v>
      </c>
      <c r="E1968" s="50">
        <v>8804</v>
      </c>
      <c r="F1968" s="50">
        <v>11208</v>
      </c>
      <c r="G1968" s="50" t="s">
        <v>3404</v>
      </c>
      <c r="H1968" s="50">
        <v>2025</v>
      </c>
      <c r="I1968" s="132">
        <v>45679</v>
      </c>
      <c r="J1968" s="50" t="s">
        <v>3424</v>
      </c>
      <c r="K1968" s="50" t="s">
        <v>33</v>
      </c>
      <c r="L1968" s="50"/>
      <c r="M1968" s="50" t="s">
        <v>148</v>
      </c>
      <c r="N1968" s="50" t="s">
        <v>5498</v>
      </c>
      <c r="O1968" s="60">
        <v>45679</v>
      </c>
      <c r="P1968" s="50"/>
      <c r="Q1968" s="60">
        <v>45681</v>
      </c>
      <c r="R1968" s="60">
        <v>45681</v>
      </c>
      <c r="S1968" s="50">
        <f t="shared" ref="S1968:S2031" si="187">IF(
    OR(ISBLANK(I1968), ISBLANK(O1968)),
    "",
    MAX(1, IF(
        NETWORKDAYS(I1968, O1968) &lt;= 0,
        1,
        NETWORKDAYS(I1968, O1968) - IF(I1968 = O1968, 0, 1)
    ))
)</f>
        <v>1</v>
      </c>
      <c r="T1968" s="50" t="str">
        <f>IF(
    OR(ISBLANK(O1968), ISBLANK(P1968)),
    "",
    MAX(1, IF(
        NETWORKDAYS(O1968, P1968) &lt;= 0,
        1,
        NETWORKDAYS(O1968, P1968) - IF(O1968 = QP1968, 0, 1)
    ))
)</f>
        <v/>
      </c>
      <c r="U1968" s="50">
        <f>IF(
    OR(ISBLANK(1816), ISBLANK(Q1968)),
    "",
    MAX(1, IF(
        NETWORKDAYS(O1968, Q1968) &lt;= 0,
        1,
        NETWORKDAYS(O1968, Q1968) - IF(O1968 = Q1968, 0, 1)
    ))
)</f>
        <v>2</v>
      </c>
      <c r="V1968" s="50">
        <f t="shared" ref="V1968:V2031" si="188">IF(
    OR(ISBLANK(Q1968), ISBLANK(R1968)),
    "",
    MAX(1, IF(
        NETWORKDAYS(Q1968, R1968) &lt;= 0,
        1,
        NETWORKDAYS(Q1968, R1968) - IF(Q1968 = R1968, 0, 1)
    ))
)</f>
        <v>1</v>
      </c>
      <c r="W1968" s="50" t="s">
        <v>150</v>
      </c>
      <c r="X1968" s="50" t="s">
        <v>4</v>
      </c>
      <c r="Y1968" s="50" t="s">
        <v>50</v>
      </c>
      <c r="Z1968" s="50" t="s">
        <v>3406</v>
      </c>
      <c r="AA1968" s="50"/>
    </row>
    <row r="1969" spans="1:27" ht="25.5" customHeight="1">
      <c r="A1969" s="517" t="s">
        <v>778</v>
      </c>
      <c r="B1969" s="51" t="s">
        <v>2091</v>
      </c>
      <c r="C1969" s="51" t="s">
        <v>143</v>
      </c>
      <c r="D1969" s="51" t="s">
        <v>4132</v>
      </c>
      <c r="E1969" s="50">
        <v>674</v>
      </c>
      <c r="F1969" s="50">
        <v>727</v>
      </c>
      <c r="G1969" s="50" t="s">
        <v>3955</v>
      </c>
      <c r="H1969" s="50"/>
      <c r="I1969" s="105"/>
      <c r="J1969" s="50"/>
      <c r="K1969" s="50" t="s">
        <v>33</v>
      </c>
      <c r="L1969" s="50"/>
      <c r="M1969" s="50" t="s">
        <v>148</v>
      </c>
      <c r="N1969" s="50"/>
      <c r="O1969" s="50"/>
      <c r="P1969" s="50"/>
      <c r="Q1969" s="50"/>
      <c r="R1969" s="50"/>
      <c r="S1969" s="50" t="str">
        <f t="shared" si="187"/>
        <v/>
      </c>
      <c r="T1969" s="50" t="str">
        <f>IF(
    OR(ISBLANK(O1969), ISBLANK(P1969)),
    "",
    MAX(1, IF(
        NETWORKDAYS(O1969, P1969) &lt;= 0,
        1,
        NETWORKDAYS(O1969, P1969) - IF(O1969 = P1969, 0, 1)
    ))
)</f>
        <v/>
      </c>
      <c r="U1969" s="50" t="str">
        <f>IF(
    OR(ISBLANK(P1969), ISBLANK(Q1969)),
    "",
    MAX(1, IF(
        NETWORKDAYS(P1969, Q1969) &lt;= 0,
        1,
        NETWORKDAYS(P1969, Q1969) - IF(P1969 = Q1969, 0, 1)
    ))
)</f>
        <v/>
      </c>
      <c r="V1969" s="50" t="str">
        <f t="shared" si="188"/>
        <v/>
      </c>
      <c r="W1969" s="50"/>
      <c r="X1969" s="50"/>
      <c r="Y1969" s="50"/>
      <c r="Z1969" s="50"/>
      <c r="AA1969" s="50"/>
    </row>
    <row r="1970" spans="1:27" ht="25.5" customHeight="1">
      <c r="A1970" s="517" t="s">
        <v>778</v>
      </c>
      <c r="B1970" s="51" t="s">
        <v>2091</v>
      </c>
      <c r="C1970" s="51" t="s">
        <v>143</v>
      </c>
      <c r="D1970" s="51" t="s">
        <v>5499</v>
      </c>
      <c r="E1970" s="50">
        <v>14188</v>
      </c>
      <c r="F1970" s="50">
        <v>14997</v>
      </c>
      <c r="G1970" s="50" t="s">
        <v>3404</v>
      </c>
      <c r="H1970" s="50">
        <v>2025</v>
      </c>
      <c r="I1970" s="132">
        <v>45700</v>
      </c>
      <c r="J1970" s="50" t="s">
        <v>3458</v>
      </c>
      <c r="K1970" s="50" t="s">
        <v>33</v>
      </c>
      <c r="L1970" s="50"/>
      <c r="M1970" s="50" t="s">
        <v>148</v>
      </c>
      <c r="N1970" s="50" t="s">
        <v>5500</v>
      </c>
      <c r="O1970" s="60">
        <v>45705</v>
      </c>
      <c r="P1970" s="50"/>
      <c r="Q1970" s="60">
        <v>45706</v>
      </c>
      <c r="R1970" s="60">
        <v>45706</v>
      </c>
      <c r="S1970" s="50">
        <f t="shared" si="187"/>
        <v>3</v>
      </c>
      <c r="T1970" s="50" t="str">
        <f>IF(
    OR(ISBLANK(O1970), ISBLANK(P1970)),
    "",
    MAX(1, IF(
        NETWORKDAYS(O1970, P1970) &lt;= 0,
        1,
        NETWORKDAYS(O1970, P1970) - IF(O1970 = QP1970, 0, 1)
    ))
)</f>
        <v/>
      </c>
      <c r="U1970" s="50">
        <f>IF(
    OR(ISBLANK(1816), ISBLANK(Q1970)),
    "",
    MAX(1, IF(
        NETWORKDAYS(O1970, Q1970) &lt;= 0,
        1,
        NETWORKDAYS(O1970, Q1970) - IF(O1970 = Q1970, 0, 1)
    ))
)</f>
        <v>1</v>
      </c>
      <c r="V1970" s="50">
        <f t="shared" si="188"/>
        <v>1</v>
      </c>
      <c r="W1970" s="50" t="s">
        <v>150</v>
      </c>
      <c r="X1970" s="50" t="s">
        <v>4</v>
      </c>
      <c r="Y1970" s="50" t="s">
        <v>50</v>
      </c>
      <c r="Z1970" s="50" t="s">
        <v>3406</v>
      </c>
      <c r="AA1970" s="50"/>
    </row>
    <row r="1971" spans="1:27" ht="25.5" customHeight="1">
      <c r="A1971" s="517" t="s">
        <v>778</v>
      </c>
      <c r="B1971" s="51" t="s">
        <v>2091</v>
      </c>
      <c r="C1971" s="51" t="s">
        <v>143</v>
      </c>
      <c r="D1971" s="51" t="s">
        <v>5501</v>
      </c>
      <c r="E1971" s="50">
        <v>13009</v>
      </c>
      <c r="F1971" s="50">
        <v>15618</v>
      </c>
      <c r="G1971" s="50" t="s">
        <v>3955</v>
      </c>
      <c r="H1971" s="50"/>
      <c r="I1971" s="105"/>
      <c r="J1971" s="50"/>
      <c r="K1971" s="50" t="s">
        <v>33</v>
      </c>
      <c r="L1971" s="50"/>
      <c r="M1971" s="50" t="s">
        <v>148</v>
      </c>
      <c r="N1971" s="50"/>
      <c r="O1971" s="50"/>
      <c r="P1971" s="50"/>
      <c r="Q1971" s="50"/>
      <c r="R1971" s="50"/>
      <c r="S1971" s="50" t="str">
        <f t="shared" si="187"/>
        <v/>
      </c>
      <c r="T1971" s="50" t="str">
        <f>IF(
    OR(ISBLANK(O1971), ISBLANK(P1971)),
    "",
    MAX(1, IF(
        NETWORKDAYS(O1971, P1971) &lt;= 0,
        1,
        NETWORKDAYS(O1971, P1971) - IF(O1971 = P1971, 0, 1)
    ))
)</f>
        <v/>
      </c>
      <c r="U1971" s="50" t="str">
        <f>IF(
    OR(ISBLANK(P1971), ISBLANK(Q1971)),
    "",
    MAX(1, IF(
        NETWORKDAYS(P1971, Q1971) &lt;= 0,
        1,
        NETWORKDAYS(P1971, Q1971) - IF(P1971 = Q1971, 0, 1)
    ))
)</f>
        <v/>
      </c>
      <c r="V1971" s="50" t="str">
        <f t="shared" si="188"/>
        <v/>
      </c>
      <c r="W1971" s="50"/>
      <c r="X1971" s="50"/>
      <c r="Y1971" s="50"/>
      <c r="Z1971" s="50"/>
      <c r="AA1971" s="50"/>
    </row>
    <row r="1972" spans="1:27" ht="25.5" customHeight="1">
      <c r="A1972" s="517" t="s">
        <v>778</v>
      </c>
      <c r="B1972" s="51" t="s">
        <v>1373</v>
      </c>
      <c r="C1972" s="51" t="s">
        <v>143</v>
      </c>
      <c r="D1972" s="51" t="s">
        <v>5502</v>
      </c>
      <c r="E1972" s="50">
        <v>2954</v>
      </c>
      <c r="F1972" s="50">
        <v>3252</v>
      </c>
      <c r="G1972" s="50" t="s">
        <v>3404</v>
      </c>
      <c r="H1972" s="50">
        <v>2025</v>
      </c>
      <c r="I1972" s="132">
        <v>45940</v>
      </c>
      <c r="J1972" s="50" t="s">
        <v>3128</v>
      </c>
      <c r="K1972" s="50" t="s">
        <v>33</v>
      </c>
      <c r="L1972" s="50"/>
      <c r="M1972" s="50" t="s">
        <v>148</v>
      </c>
      <c r="N1972" s="50" t="s">
        <v>5503</v>
      </c>
      <c r="O1972" s="132">
        <v>45942</v>
      </c>
      <c r="P1972" s="50"/>
      <c r="Q1972" s="60">
        <v>45945</v>
      </c>
      <c r="R1972" s="60">
        <v>45950</v>
      </c>
      <c r="S1972" s="50">
        <f t="shared" si="187"/>
        <v>1</v>
      </c>
      <c r="T1972" s="50" t="str">
        <f>IF(
    OR(ISBLANK(O1972), ISBLANK(P1972)),
    "",
    MAX(1, IF(
        NETWORKDAYS(O1972, P1972) &lt;= 0,
        1,
        NETWORKDAYS(O1972, P1972) - IF(O1972 = QP1972, 0, 1)
    ))
)</f>
        <v/>
      </c>
      <c r="U1972" s="50">
        <f>IF(
    OR(ISBLANK(1816), ISBLANK(Q1972)),
    "",
    MAX(1, IF(
        NETWORKDAYS(O1972, Q1972) &lt;= 0,
        1,
        NETWORKDAYS(O1972, Q1972) - IF(O1972 = Q1972, 0, 1)
    ))
)</f>
        <v>2</v>
      </c>
      <c r="V1972" s="50">
        <f t="shared" si="188"/>
        <v>3</v>
      </c>
      <c r="W1972" s="50" t="s">
        <v>150</v>
      </c>
      <c r="X1972" s="50" t="s">
        <v>4</v>
      </c>
      <c r="Y1972" s="50" t="s">
        <v>50</v>
      </c>
      <c r="Z1972" s="50" t="s">
        <v>3406</v>
      </c>
      <c r="AA1972" s="50"/>
    </row>
    <row r="1973" spans="1:27" ht="25.5" customHeight="1">
      <c r="A1973" s="50" t="s">
        <v>778</v>
      </c>
      <c r="B1973" s="51" t="s">
        <v>1373</v>
      </c>
      <c r="C1973" s="51" t="s">
        <v>143</v>
      </c>
      <c r="D1973" s="51" t="s">
        <v>1343</v>
      </c>
      <c r="E1973" s="50">
        <v>9068</v>
      </c>
      <c r="F1973" s="50">
        <v>9298</v>
      </c>
      <c r="G1973" s="50" t="s">
        <v>3404</v>
      </c>
      <c r="H1973" s="50">
        <v>2024</v>
      </c>
      <c r="I1973" s="132">
        <v>45428</v>
      </c>
      <c r="J1973" s="50"/>
      <c r="K1973" s="50" t="s">
        <v>33</v>
      </c>
      <c r="L1973" s="50"/>
      <c r="M1973" s="50" t="s">
        <v>148</v>
      </c>
      <c r="N1973" s="50"/>
      <c r="O1973" s="50"/>
      <c r="P1973" s="50"/>
      <c r="Q1973" s="50"/>
      <c r="R1973" s="50"/>
      <c r="S1973" s="50" t="str">
        <f t="shared" si="187"/>
        <v/>
      </c>
      <c r="T1973" s="50" t="str">
        <f>IF(
    OR(ISBLANK(O1973), ISBLANK(P1973)),
    "",
    MAX(1, IF(
        NETWORKDAYS(O1973, P1973) &lt;= 0,
        1,
        NETWORKDAYS(O1973, P1973) - IF(O1973 = P1973, 0, 1)
    ))
)</f>
        <v/>
      </c>
      <c r="U1973" s="50" t="str">
        <f>IF(
    OR(ISBLANK(P1973), ISBLANK(Q1973)),
    "",
    MAX(1, IF(
        NETWORKDAYS(P1973, Q1973) &lt;= 0,
        1,
        NETWORKDAYS(P1973, Q1973) - IF(P1973 = Q1973, 0, 1)
    ))
)</f>
        <v/>
      </c>
      <c r="V1973" s="50" t="str">
        <f t="shared" si="188"/>
        <v/>
      </c>
      <c r="W1973" s="50"/>
      <c r="X1973" s="50" t="s">
        <v>4</v>
      </c>
      <c r="Y1973" s="50" t="s">
        <v>50</v>
      </c>
      <c r="Z1973" s="50" t="s">
        <v>3406</v>
      </c>
      <c r="AA1973" s="50"/>
    </row>
    <row r="1974" spans="1:27" ht="25.5" customHeight="1">
      <c r="A1974" s="517" t="s">
        <v>778</v>
      </c>
      <c r="B1974" s="51" t="s">
        <v>1373</v>
      </c>
      <c r="C1974" s="51" t="s">
        <v>143</v>
      </c>
      <c r="D1974" s="51" t="s">
        <v>5504</v>
      </c>
      <c r="E1974" s="50">
        <v>2840</v>
      </c>
      <c r="F1974" s="50">
        <v>2504</v>
      </c>
      <c r="G1974" s="50" t="s">
        <v>3404</v>
      </c>
      <c r="H1974" s="50">
        <v>2025</v>
      </c>
      <c r="I1974" s="132">
        <v>45940</v>
      </c>
      <c r="J1974" s="50" t="s">
        <v>3128</v>
      </c>
      <c r="K1974" s="50" t="s">
        <v>33</v>
      </c>
      <c r="L1974" s="50"/>
      <c r="M1974" s="50" t="s">
        <v>148</v>
      </c>
      <c r="N1974" s="50" t="s">
        <v>5505</v>
      </c>
      <c r="O1974" s="132">
        <v>45942</v>
      </c>
      <c r="P1974" s="50"/>
      <c r="Q1974" s="60">
        <v>45945</v>
      </c>
      <c r="R1974" s="60">
        <v>45950</v>
      </c>
      <c r="S1974" s="50">
        <f t="shared" si="187"/>
        <v>1</v>
      </c>
      <c r="T1974" s="50" t="str">
        <f>IF(
    OR(ISBLANK(O1974), ISBLANK(P1974)),
    "",
    MAX(1, IF(
        NETWORKDAYS(O1974, P1974) &lt;= 0,
        1,
        NETWORKDAYS(O1974, P1974) - IF(O1974 = QP1974, 0, 1)
    ))
)</f>
        <v/>
      </c>
      <c r="U1974" s="50">
        <f>IF(
    OR(ISBLANK(1816), ISBLANK(Q1974)),
    "",
    MAX(1, IF(
        NETWORKDAYS(O1974, Q1974) &lt;= 0,
        1,
        NETWORKDAYS(O1974, Q1974) - IF(O1974 = Q1974, 0, 1)
    ))
)</f>
        <v>2</v>
      </c>
      <c r="V1974" s="50">
        <f t="shared" si="188"/>
        <v>3</v>
      </c>
      <c r="W1974" s="50" t="s">
        <v>150</v>
      </c>
      <c r="X1974" s="50" t="s">
        <v>4</v>
      </c>
      <c r="Y1974" s="50" t="s">
        <v>50</v>
      </c>
      <c r="Z1974" s="50" t="s">
        <v>3406</v>
      </c>
      <c r="AA1974" s="50"/>
    </row>
    <row r="1975" spans="1:27" ht="25.5" customHeight="1">
      <c r="A1975" s="50" t="s">
        <v>778</v>
      </c>
      <c r="B1975" s="51" t="s">
        <v>1373</v>
      </c>
      <c r="C1975" s="51" t="s">
        <v>143</v>
      </c>
      <c r="D1975" s="51" t="s">
        <v>5506</v>
      </c>
      <c r="E1975" s="50">
        <v>1655</v>
      </c>
      <c r="F1975" s="50">
        <v>1877</v>
      </c>
      <c r="G1975" s="50" t="s">
        <v>3404</v>
      </c>
      <c r="H1975" s="50">
        <v>2024</v>
      </c>
      <c r="I1975" s="132">
        <v>45428</v>
      </c>
      <c r="J1975" s="50"/>
      <c r="K1975" s="50" t="s">
        <v>33</v>
      </c>
      <c r="L1975" s="50"/>
      <c r="M1975" s="50" t="s">
        <v>148</v>
      </c>
      <c r="N1975" s="50"/>
      <c r="O1975" s="50"/>
      <c r="P1975" s="50"/>
      <c r="Q1975" s="50"/>
      <c r="R1975" s="50"/>
      <c r="S1975" s="50" t="str">
        <f t="shared" si="187"/>
        <v/>
      </c>
      <c r="T1975" s="50" t="str">
        <f>IF(
    OR(ISBLANK(O1975), ISBLANK(P1975)),
    "",
    MAX(1, IF(
        NETWORKDAYS(O1975, P1975) &lt;= 0,
        1,
        NETWORKDAYS(O1975, P1975) - IF(O1975 = P1975, 0, 1)
    ))
)</f>
        <v/>
      </c>
      <c r="U1975" s="50" t="str">
        <f>IF(
    OR(ISBLANK(P1975), ISBLANK(Q1975)),
    "",
    MAX(1, IF(
        NETWORKDAYS(P1975, Q1975) &lt;= 0,
        1,
        NETWORKDAYS(P1975, Q1975) - IF(P1975 = Q1975, 0, 1)
    ))
)</f>
        <v/>
      </c>
      <c r="V1975" s="50" t="str">
        <f t="shared" si="188"/>
        <v/>
      </c>
      <c r="W1975" s="50"/>
      <c r="X1975" s="50" t="s">
        <v>4</v>
      </c>
      <c r="Y1975" s="50" t="s">
        <v>50</v>
      </c>
      <c r="Z1975" s="50" t="s">
        <v>3406</v>
      </c>
      <c r="AA1975" s="50"/>
    </row>
    <row r="1976" spans="1:27" ht="25.5" customHeight="1">
      <c r="A1976" s="50" t="s">
        <v>778</v>
      </c>
      <c r="B1976" s="51" t="s">
        <v>1373</v>
      </c>
      <c r="C1976" s="51" t="s">
        <v>143</v>
      </c>
      <c r="D1976" s="51" t="s">
        <v>5507</v>
      </c>
      <c r="E1976" s="50">
        <v>3812</v>
      </c>
      <c r="F1976" s="50">
        <v>3663</v>
      </c>
      <c r="G1976" s="50" t="s">
        <v>3404</v>
      </c>
      <c r="H1976" s="50">
        <v>2024</v>
      </c>
      <c r="I1976" s="132">
        <v>45428</v>
      </c>
      <c r="J1976" s="50"/>
      <c r="K1976" s="50" t="s">
        <v>33</v>
      </c>
      <c r="L1976" s="50"/>
      <c r="M1976" s="50" t="s">
        <v>148</v>
      </c>
      <c r="N1976" s="50"/>
      <c r="O1976" s="50"/>
      <c r="P1976" s="50"/>
      <c r="Q1976" s="50"/>
      <c r="R1976" s="50"/>
      <c r="S1976" s="50" t="str">
        <f t="shared" si="187"/>
        <v/>
      </c>
      <c r="T1976" s="50" t="str">
        <f>IF(
    OR(ISBLANK(O1976), ISBLANK(P1976)),
    "",
    MAX(1, IF(
        NETWORKDAYS(O1976, P1976) &lt;= 0,
        1,
        NETWORKDAYS(O1976, P1976) - IF(O1976 = P1976, 0, 1)
    ))
)</f>
        <v/>
      </c>
      <c r="U1976" s="50" t="str">
        <f>IF(
    OR(ISBLANK(P1976), ISBLANK(Q1976)),
    "",
    MAX(1, IF(
        NETWORKDAYS(P1976, Q1976) &lt;= 0,
        1,
        NETWORKDAYS(P1976, Q1976) - IF(P1976 = Q1976, 0, 1)
    ))
)</f>
        <v/>
      </c>
      <c r="V1976" s="50" t="str">
        <f t="shared" si="188"/>
        <v/>
      </c>
      <c r="W1976" s="50"/>
      <c r="X1976" s="50" t="s">
        <v>1078</v>
      </c>
      <c r="Y1976" s="50" t="s">
        <v>50</v>
      </c>
      <c r="Z1976" s="50" t="s">
        <v>3406</v>
      </c>
      <c r="AA1976" s="50"/>
    </row>
    <row r="1977" spans="1:27" ht="25.5" customHeight="1">
      <c r="A1977" s="517" t="s">
        <v>778</v>
      </c>
      <c r="B1977" s="51" t="s">
        <v>1373</v>
      </c>
      <c r="C1977" s="51" t="s">
        <v>143</v>
      </c>
      <c r="D1977" s="51" t="s">
        <v>5508</v>
      </c>
      <c r="E1977" s="50">
        <v>1904</v>
      </c>
      <c r="F1977" s="50">
        <v>2196</v>
      </c>
      <c r="G1977" s="50" t="s">
        <v>3404</v>
      </c>
      <c r="H1977" s="50">
        <v>2025</v>
      </c>
      <c r="I1977" s="132">
        <v>45932</v>
      </c>
      <c r="J1977" s="50" t="s">
        <v>3128</v>
      </c>
      <c r="K1977" s="50" t="s">
        <v>33</v>
      </c>
      <c r="L1977" s="50" t="s">
        <v>28</v>
      </c>
      <c r="M1977" s="50" t="s">
        <v>148</v>
      </c>
      <c r="N1977" s="50" t="s">
        <v>5509</v>
      </c>
      <c r="O1977" s="60">
        <v>45932</v>
      </c>
      <c r="P1977" s="60">
        <v>45944</v>
      </c>
      <c r="Q1977" s="60">
        <v>45945</v>
      </c>
      <c r="R1977" s="60">
        <v>45950</v>
      </c>
      <c r="S1977" s="50">
        <f t="shared" si="187"/>
        <v>1</v>
      </c>
      <c r="T1977" s="50">
        <f>IF(
    OR(ISBLANK(1811), ISBLANK(P1977)),
    "",
    MAX(1, IF(
        NETWORKDAYS(O1977, P1977) &lt;= 0,
        1,
        NETWORKDAYS(O1977, P1977) - IF(O1977 = P1977, 0, 1)
    ))
)</f>
        <v>8</v>
      </c>
      <c r="U1977" s="50">
        <f>IF(
    OR(ISBLANK(P1977), ISBLANK(Q1977)),
    "",
    MAX(1, IF(
        NETWORKDAYS(P1977, Q1977) &lt;= 0,
        1,
        NETWORKDAYS(P1977, Q1977) - IF(P1977 = Q1977, 0, 1)
    ))
)</f>
        <v>1</v>
      </c>
      <c r="V1977" s="50">
        <f t="shared" si="188"/>
        <v>3</v>
      </c>
      <c r="W1977" s="50" t="s">
        <v>150</v>
      </c>
      <c r="X1977" s="50" t="s">
        <v>3527</v>
      </c>
      <c r="Y1977" s="50" t="s">
        <v>3528</v>
      </c>
      <c r="Z1977" s="50" t="s">
        <v>3406</v>
      </c>
      <c r="AA1977" s="50"/>
    </row>
    <row r="1978" spans="1:27" ht="25.5" customHeight="1">
      <c r="A1978" s="517" t="s">
        <v>778</v>
      </c>
      <c r="B1978" s="51" t="s">
        <v>1373</v>
      </c>
      <c r="C1978" s="51" t="s">
        <v>143</v>
      </c>
      <c r="D1978" s="51" t="s">
        <v>970</v>
      </c>
      <c r="E1978" s="50">
        <v>6719</v>
      </c>
      <c r="F1978" s="50">
        <v>6828</v>
      </c>
      <c r="G1978" s="50" t="s">
        <v>3404</v>
      </c>
      <c r="H1978" s="50">
        <v>2025</v>
      </c>
      <c r="I1978" s="132">
        <v>45702</v>
      </c>
      <c r="J1978" s="50" t="s">
        <v>3458</v>
      </c>
      <c r="K1978" s="50" t="s">
        <v>33</v>
      </c>
      <c r="L1978" s="50"/>
      <c r="M1978" s="50" t="s">
        <v>148</v>
      </c>
      <c r="N1978" s="50" t="s">
        <v>5510</v>
      </c>
      <c r="O1978" s="60">
        <v>45705</v>
      </c>
      <c r="P1978" s="50"/>
      <c r="Q1978" s="60">
        <v>45706</v>
      </c>
      <c r="R1978" s="60">
        <v>45706</v>
      </c>
      <c r="S1978" s="50">
        <f t="shared" si="187"/>
        <v>1</v>
      </c>
      <c r="T1978" s="50" t="str">
        <f>IF(
    OR(ISBLANK(O1978), ISBLANK(P1978)),
    "",
    MAX(1, IF(
        NETWORKDAYS(O1978, P1978) &lt;= 0,
        1,
        NETWORKDAYS(O1978, P1978) - IF(O1978 = QP1978, 0, 1)
    ))
)</f>
        <v/>
      </c>
      <c r="U1978" s="50">
        <f>IF(
    OR(ISBLANK(1816), ISBLANK(Q1978)),
    "",
    MAX(1, IF(
        NETWORKDAYS(O1978, Q1978) &lt;= 0,
        1,
        NETWORKDAYS(O1978, Q1978) - IF(O1978 = Q1978, 0, 1)
    ))
)</f>
        <v>1</v>
      </c>
      <c r="V1978" s="50">
        <f t="shared" si="188"/>
        <v>1</v>
      </c>
      <c r="W1978" s="50" t="s">
        <v>150</v>
      </c>
      <c r="X1978" s="50" t="s">
        <v>4</v>
      </c>
      <c r="Y1978" s="50" t="s">
        <v>50</v>
      </c>
      <c r="Z1978" s="50" t="s">
        <v>3406</v>
      </c>
      <c r="AA1978" s="50"/>
    </row>
    <row r="1979" spans="1:27" s="110" customFormat="1" ht="25.5" customHeight="1">
      <c r="A1979" s="517" t="s">
        <v>778</v>
      </c>
      <c r="B1979" s="51" t="s">
        <v>1373</v>
      </c>
      <c r="C1979" s="51" t="s">
        <v>143</v>
      </c>
      <c r="D1979" s="51" t="s">
        <v>1374</v>
      </c>
      <c r="E1979" s="50">
        <v>2307</v>
      </c>
      <c r="F1979" s="50">
        <v>2654</v>
      </c>
      <c r="G1979" s="50" t="s">
        <v>3955</v>
      </c>
      <c r="H1979" s="50"/>
      <c r="I1979" s="105"/>
      <c r="J1979" s="50"/>
      <c r="K1979" s="50" t="s">
        <v>33</v>
      </c>
      <c r="L1979" s="50"/>
      <c r="M1979" s="50" t="s">
        <v>148</v>
      </c>
      <c r="N1979" s="50"/>
      <c r="O1979" s="50"/>
      <c r="P1979" s="50"/>
      <c r="Q1979" s="50"/>
      <c r="R1979" s="50"/>
      <c r="S1979" s="50" t="str">
        <f t="shared" si="187"/>
        <v/>
      </c>
      <c r="T1979" s="50" t="str">
        <f t="shared" ref="T1979:U1982" si="189">IF(
    OR(ISBLANK(O1979), ISBLANK(P1979)),
    "",
    MAX(1, IF(
        NETWORKDAYS(O1979, P1979) &lt;= 0,
        1,
        NETWORKDAYS(O1979, P1979) - IF(O1979 = P1979, 0, 1)
    ))
)</f>
        <v/>
      </c>
      <c r="U1979" s="50" t="str">
        <f t="shared" si="189"/>
        <v/>
      </c>
      <c r="V1979" s="50" t="str">
        <f t="shared" si="188"/>
        <v/>
      </c>
      <c r="W1979" s="50"/>
      <c r="X1979" s="50" t="s">
        <v>4</v>
      </c>
      <c r="Y1979" s="50" t="s">
        <v>50</v>
      </c>
      <c r="Z1979" s="50"/>
      <c r="AA1979" s="50"/>
    </row>
    <row r="1980" spans="1:27" ht="25.5" customHeight="1">
      <c r="A1980" s="50" t="s">
        <v>778</v>
      </c>
      <c r="B1980" s="51" t="s">
        <v>1373</v>
      </c>
      <c r="C1980" s="51" t="s">
        <v>143</v>
      </c>
      <c r="D1980" s="51" t="s">
        <v>4859</v>
      </c>
      <c r="E1980" s="50">
        <v>2997</v>
      </c>
      <c r="F1980" s="50">
        <v>3609</v>
      </c>
      <c r="G1980" s="50" t="s">
        <v>3404</v>
      </c>
      <c r="H1980" s="50">
        <v>2024</v>
      </c>
      <c r="I1980" s="132">
        <v>45485</v>
      </c>
      <c r="J1980" s="50"/>
      <c r="K1980" s="50" t="s">
        <v>33</v>
      </c>
      <c r="L1980" s="50"/>
      <c r="M1980" s="50" t="s">
        <v>148</v>
      </c>
      <c r="N1980" s="50"/>
      <c r="O1980" s="50"/>
      <c r="P1980" s="50"/>
      <c r="Q1980" s="50"/>
      <c r="R1980" s="50"/>
      <c r="S1980" s="50" t="str">
        <f t="shared" si="187"/>
        <v/>
      </c>
      <c r="T1980" s="50" t="str">
        <f t="shared" si="189"/>
        <v/>
      </c>
      <c r="U1980" s="50" t="str">
        <f t="shared" si="189"/>
        <v/>
      </c>
      <c r="V1980" s="50" t="str">
        <f t="shared" si="188"/>
        <v/>
      </c>
      <c r="W1980" s="50"/>
      <c r="X1980" s="50" t="s">
        <v>4</v>
      </c>
      <c r="Y1980" s="50" t="s">
        <v>50</v>
      </c>
      <c r="Z1980" s="50" t="s">
        <v>3406</v>
      </c>
      <c r="AA1980" s="50"/>
    </row>
    <row r="1981" spans="1:27" ht="25.5" customHeight="1">
      <c r="A1981" s="50" t="s">
        <v>778</v>
      </c>
      <c r="B1981" s="51" t="s">
        <v>1373</v>
      </c>
      <c r="C1981" s="51" t="s">
        <v>143</v>
      </c>
      <c r="D1981" s="51" t="s">
        <v>5511</v>
      </c>
      <c r="E1981" s="50">
        <v>3052</v>
      </c>
      <c r="F1981" s="50">
        <v>3268</v>
      </c>
      <c r="G1981" s="50" t="s">
        <v>3404</v>
      </c>
      <c r="H1981" s="50">
        <v>2024</v>
      </c>
      <c r="I1981" s="132">
        <v>45485</v>
      </c>
      <c r="J1981" s="50"/>
      <c r="K1981" s="50" t="s">
        <v>33</v>
      </c>
      <c r="L1981" s="50"/>
      <c r="M1981" s="50" t="s">
        <v>148</v>
      </c>
      <c r="N1981" s="50"/>
      <c r="O1981" s="50"/>
      <c r="P1981" s="50"/>
      <c r="Q1981" s="50"/>
      <c r="R1981" s="50"/>
      <c r="S1981" s="50" t="str">
        <f t="shared" si="187"/>
        <v/>
      </c>
      <c r="T1981" s="50" t="str">
        <f t="shared" si="189"/>
        <v/>
      </c>
      <c r="U1981" s="50" t="str">
        <f t="shared" si="189"/>
        <v/>
      </c>
      <c r="V1981" s="50" t="str">
        <f t="shared" si="188"/>
        <v/>
      </c>
      <c r="W1981" s="50"/>
      <c r="X1981" s="50" t="s">
        <v>1078</v>
      </c>
      <c r="Y1981" s="50" t="s">
        <v>50</v>
      </c>
      <c r="Z1981" s="50" t="s">
        <v>3406</v>
      </c>
      <c r="AA1981" s="50"/>
    </row>
    <row r="1982" spans="1:27" ht="25.5" customHeight="1">
      <c r="A1982" s="50" t="s">
        <v>778</v>
      </c>
      <c r="B1982" s="51" t="s">
        <v>1373</v>
      </c>
      <c r="C1982" s="51" t="s">
        <v>143</v>
      </c>
      <c r="D1982" s="51" t="s">
        <v>5481</v>
      </c>
      <c r="E1982" s="50">
        <v>3089</v>
      </c>
      <c r="F1982" s="50">
        <v>3152</v>
      </c>
      <c r="G1982" s="50" t="s">
        <v>3404</v>
      </c>
      <c r="H1982" s="50">
        <v>2024</v>
      </c>
      <c r="I1982" s="132">
        <v>45457</v>
      </c>
      <c r="J1982" s="50"/>
      <c r="K1982" s="50" t="s">
        <v>33</v>
      </c>
      <c r="L1982" s="50"/>
      <c r="M1982" s="50" t="s">
        <v>148</v>
      </c>
      <c r="N1982" s="50"/>
      <c r="O1982" s="50"/>
      <c r="P1982" s="50"/>
      <c r="Q1982" s="50"/>
      <c r="R1982" s="50"/>
      <c r="S1982" s="50" t="str">
        <f t="shared" si="187"/>
        <v/>
      </c>
      <c r="T1982" s="50" t="str">
        <f t="shared" si="189"/>
        <v/>
      </c>
      <c r="U1982" s="50" t="str">
        <f t="shared" si="189"/>
        <v/>
      </c>
      <c r="V1982" s="50" t="str">
        <f t="shared" si="188"/>
        <v/>
      </c>
      <c r="W1982" s="50"/>
      <c r="X1982" s="50" t="s">
        <v>4</v>
      </c>
      <c r="Y1982" s="50" t="s">
        <v>50</v>
      </c>
      <c r="Z1982" s="50" t="s">
        <v>3406</v>
      </c>
      <c r="AA1982" s="50"/>
    </row>
    <row r="1983" spans="1:27" ht="25.5" customHeight="1">
      <c r="A1983" s="517" t="s">
        <v>778</v>
      </c>
      <c r="B1983" s="51" t="s">
        <v>1373</v>
      </c>
      <c r="C1983" s="51" t="s">
        <v>143</v>
      </c>
      <c r="D1983" s="51" t="s">
        <v>5512</v>
      </c>
      <c r="E1983" s="50">
        <v>4377</v>
      </c>
      <c r="F1983" s="50">
        <v>5414</v>
      </c>
      <c r="G1983" s="50" t="s">
        <v>3404</v>
      </c>
      <c r="H1983" s="50">
        <v>2025</v>
      </c>
      <c r="I1983" s="132">
        <v>45728</v>
      </c>
      <c r="J1983" s="50" t="s">
        <v>3416</v>
      </c>
      <c r="K1983" s="50" t="s">
        <v>33</v>
      </c>
      <c r="L1983" s="50"/>
      <c r="M1983" s="50" t="s">
        <v>148</v>
      </c>
      <c r="N1983" s="50" t="s">
        <v>5513</v>
      </c>
      <c r="O1983" s="60">
        <v>45728</v>
      </c>
      <c r="P1983" s="50"/>
      <c r="Q1983" s="60">
        <v>45733</v>
      </c>
      <c r="R1983" s="60">
        <v>45734</v>
      </c>
      <c r="S1983" s="50">
        <f t="shared" si="187"/>
        <v>1</v>
      </c>
      <c r="T1983" s="50" t="str">
        <f>IF(
    OR(ISBLANK(O1983), ISBLANK(P1983)),
    "",
    MAX(1, IF(
        NETWORKDAYS(O1983, P1983) &lt;= 0,
        1,
        NETWORKDAYS(O1983, P1983) - IF(O1983 = QP1983, 0, 1)
    ))
)</f>
        <v/>
      </c>
      <c r="U1983" s="50">
        <f>IF(
    OR(ISBLANK(1816), ISBLANK(Q1983)),
    "",
    MAX(1, IF(
        NETWORKDAYS(O1983, Q1983) &lt;= 0,
        1,
        NETWORKDAYS(O1983, Q1983) - IF(O1983 = Q1983, 0, 1)
    ))
)</f>
        <v>3</v>
      </c>
      <c r="V1983" s="50">
        <f t="shared" si="188"/>
        <v>1</v>
      </c>
      <c r="W1983" s="50" t="s">
        <v>150</v>
      </c>
      <c r="X1983" s="50" t="s">
        <v>3527</v>
      </c>
      <c r="Y1983" s="50" t="s">
        <v>3528</v>
      </c>
      <c r="Z1983" s="50" t="s">
        <v>3406</v>
      </c>
      <c r="AA1983" s="50"/>
    </row>
    <row r="1984" spans="1:27" ht="25.5" customHeight="1">
      <c r="A1984" s="517" t="s">
        <v>778</v>
      </c>
      <c r="B1984" s="51" t="s">
        <v>1373</v>
      </c>
      <c r="C1984" s="51" t="s">
        <v>143</v>
      </c>
      <c r="D1984" s="51" t="s">
        <v>5514</v>
      </c>
      <c r="E1984" s="50">
        <v>3656</v>
      </c>
      <c r="F1984" s="50">
        <v>4559</v>
      </c>
      <c r="G1984" s="50" t="s">
        <v>3404</v>
      </c>
      <c r="H1984" s="50">
        <v>2025</v>
      </c>
      <c r="I1984" s="132">
        <v>45940</v>
      </c>
      <c r="J1984" s="50" t="s">
        <v>3128</v>
      </c>
      <c r="K1984" s="50" t="s">
        <v>33</v>
      </c>
      <c r="L1984" s="50"/>
      <c r="M1984" s="50" t="s">
        <v>148</v>
      </c>
      <c r="N1984" s="50" t="s">
        <v>5515</v>
      </c>
      <c r="O1984" s="132">
        <v>45942</v>
      </c>
      <c r="P1984" s="50"/>
      <c r="Q1984" s="60">
        <v>45945</v>
      </c>
      <c r="R1984" s="60">
        <v>45950</v>
      </c>
      <c r="S1984" s="50">
        <f t="shared" si="187"/>
        <v>1</v>
      </c>
      <c r="T1984" s="50" t="str">
        <f>IF(
    OR(ISBLANK(O1984), ISBLANK(P1984)),
    "",
    MAX(1, IF(
        NETWORKDAYS(O1984, P1984) &lt;= 0,
        1,
        NETWORKDAYS(O1984, P1984) - IF(O1984 = QP1984, 0, 1)
    ))
)</f>
        <v/>
      </c>
      <c r="U1984" s="50">
        <f>IF(
    OR(ISBLANK(1816), ISBLANK(Q1984)),
    "",
    MAX(1, IF(
        NETWORKDAYS(O1984, Q1984) &lt;= 0,
        1,
        NETWORKDAYS(O1984, Q1984) - IF(O1984 = Q1984, 0, 1)
    ))
)</f>
        <v>2</v>
      </c>
      <c r="V1984" s="50">
        <f t="shared" si="188"/>
        <v>3</v>
      </c>
      <c r="W1984" s="50" t="s">
        <v>150</v>
      </c>
      <c r="X1984" s="50" t="s">
        <v>4</v>
      </c>
      <c r="Y1984" s="50" t="s">
        <v>50</v>
      </c>
      <c r="Z1984" s="50" t="s">
        <v>3406</v>
      </c>
      <c r="AA1984" s="50"/>
    </row>
    <row r="1985" spans="1:27" ht="25.5" customHeight="1">
      <c r="A1985" s="50" t="s">
        <v>778</v>
      </c>
      <c r="B1985" s="51" t="s">
        <v>1373</v>
      </c>
      <c r="C1985" s="51" t="s">
        <v>143</v>
      </c>
      <c r="D1985" s="51" t="s">
        <v>1931</v>
      </c>
      <c r="E1985" s="50">
        <v>3171</v>
      </c>
      <c r="F1985" s="50">
        <v>3195</v>
      </c>
      <c r="G1985" s="50" t="s">
        <v>3404</v>
      </c>
      <c r="H1985" s="50">
        <v>2024</v>
      </c>
      <c r="I1985" s="132">
        <v>45457</v>
      </c>
      <c r="J1985" s="50"/>
      <c r="K1985" s="50" t="s">
        <v>33</v>
      </c>
      <c r="L1985" s="50"/>
      <c r="M1985" s="50" t="s">
        <v>148</v>
      </c>
      <c r="N1985" s="50"/>
      <c r="O1985" s="50"/>
      <c r="P1985" s="50"/>
      <c r="Q1985" s="50"/>
      <c r="R1985" s="50"/>
      <c r="S1985" s="50" t="str">
        <f t="shared" si="187"/>
        <v/>
      </c>
      <c r="T1985" s="50" t="str">
        <f>IF(
    OR(ISBLANK(O1985), ISBLANK(P1985)),
    "",
    MAX(1, IF(
        NETWORKDAYS(O1985, P1985) &lt;= 0,
        1,
        NETWORKDAYS(O1985, P1985) - IF(O1985 = P1985, 0, 1)
    ))
)</f>
        <v/>
      </c>
      <c r="U1985" s="50" t="str">
        <f>IF(
    OR(ISBLANK(P1985), ISBLANK(Q1985)),
    "",
    MAX(1, IF(
        NETWORKDAYS(P1985, Q1985) &lt;= 0,
        1,
        NETWORKDAYS(P1985, Q1985) - IF(P1985 = Q1985, 0, 1)
    ))
)</f>
        <v/>
      </c>
      <c r="V1985" s="50" t="str">
        <f t="shared" si="188"/>
        <v/>
      </c>
      <c r="W1985" s="50"/>
      <c r="X1985" s="50" t="s">
        <v>4</v>
      </c>
      <c r="Y1985" s="50" t="s">
        <v>50</v>
      </c>
      <c r="Z1985" s="50" t="s">
        <v>3406</v>
      </c>
      <c r="AA1985" s="50"/>
    </row>
    <row r="1986" spans="1:27" ht="25.5" customHeight="1">
      <c r="A1986" s="517" t="s">
        <v>778</v>
      </c>
      <c r="B1986" s="51" t="s">
        <v>1373</v>
      </c>
      <c r="C1986" s="51" t="s">
        <v>143</v>
      </c>
      <c r="D1986" s="51" t="s">
        <v>1245</v>
      </c>
      <c r="E1986" s="50">
        <v>969</v>
      </c>
      <c r="F1986" s="50">
        <v>996</v>
      </c>
      <c r="G1986" s="50" t="s">
        <v>3404</v>
      </c>
      <c r="H1986" s="50">
        <v>2025</v>
      </c>
      <c r="I1986" s="132">
        <v>45940</v>
      </c>
      <c r="J1986" s="50" t="s">
        <v>3128</v>
      </c>
      <c r="K1986" s="50" t="s">
        <v>33</v>
      </c>
      <c r="L1986" s="50"/>
      <c r="M1986" s="50" t="s">
        <v>148</v>
      </c>
      <c r="N1986" s="50" t="s">
        <v>5516</v>
      </c>
      <c r="O1986" s="132">
        <v>45942</v>
      </c>
      <c r="P1986" s="50"/>
      <c r="Q1986" s="60">
        <v>45945</v>
      </c>
      <c r="R1986" s="60">
        <v>45950</v>
      </c>
      <c r="S1986" s="50">
        <f t="shared" si="187"/>
        <v>1</v>
      </c>
      <c r="T1986" s="50" t="str">
        <f>IF(
    OR(ISBLANK(O1986), ISBLANK(P1986)),
    "",
    MAX(1, IF(
        NETWORKDAYS(O1986, P1986) &lt;= 0,
        1,
        NETWORKDAYS(O1986, P1986) - IF(O1986 = QP1986, 0, 1)
    ))
)</f>
        <v/>
      </c>
      <c r="U1986" s="50">
        <f>IF(
    OR(ISBLANK(1816), ISBLANK(Q1986)),
    "",
    MAX(1, IF(
        NETWORKDAYS(O1986, Q1986) &lt;= 0,
        1,
        NETWORKDAYS(O1986, Q1986) - IF(O1986 = Q1986, 0, 1)
    ))
)</f>
        <v>2</v>
      </c>
      <c r="V1986" s="50">
        <f t="shared" si="188"/>
        <v>3</v>
      </c>
      <c r="W1986" s="50" t="s">
        <v>150</v>
      </c>
      <c r="X1986" s="50" t="s">
        <v>1078</v>
      </c>
      <c r="Y1986" s="50" t="s">
        <v>50</v>
      </c>
      <c r="Z1986" s="50" t="s">
        <v>3406</v>
      </c>
      <c r="AA1986" s="50"/>
    </row>
    <row r="1987" spans="1:27" ht="25.5" customHeight="1">
      <c r="A1987" s="517" t="s">
        <v>778</v>
      </c>
      <c r="B1987" s="51" t="s">
        <v>1373</v>
      </c>
      <c r="C1987" s="51" t="s">
        <v>143</v>
      </c>
      <c r="D1987" s="51" t="s">
        <v>5517</v>
      </c>
      <c r="E1987" s="50">
        <v>1556</v>
      </c>
      <c r="F1987" s="50">
        <v>1727</v>
      </c>
      <c r="G1987" s="50" t="s">
        <v>3404</v>
      </c>
      <c r="H1987" s="50">
        <v>2025</v>
      </c>
      <c r="I1987" s="132">
        <v>45940</v>
      </c>
      <c r="J1987" s="50" t="s">
        <v>3128</v>
      </c>
      <c r="K1987" s="50" t="s">
        <v>33</v>
      </c>
      <c r="L1987" s="50"/>
      <c r="M1987" s="50" t="s">
        <v>148</v>
      </c>
      <c r="N1987" s="50" t="s">
        <v>5518</v>
      </c>
      <c r="O1987" s="132">
        <v>45942</v>
      </c>
      <c r="P1987" s="50"/>
      <c r="Q1987" s="60">
        <v>45945</v>
      </c>
      <c r="R1987" s="60">
        <v>45950</v>
      </c>
      <c r="S1987" s="50">
        <f t="shared" si="187"/>
        <v>1</v>
      </c>
      <c r="T1987" s="50" t="str">
        <f>IF(
    OR(ISBLANK(O1987), ISBLANK(P1987)),
    "",
    MAX(1, IF(
        NETWORKDAYS(O1987, P1987) &lt;= 0,
        1,
        NETWORKDAYS(O1987, P1987) - IF(O1987 = QP1987, 0, 1)
    ))
)</f>
        <v/>
      </c>
      <c r="U1987" s="50">
        <f>IF(
    OR(ISBLANK(1816), ISBLANK(Q1987)),
    "",
    MAX(1, IF(
        NETWORKDAYS(O1987, Q1987) &lt;= 0,
        1,
        NETWORKDAYS(O1987, Q1987) - IF(O1987 = Q1987, 0, 1)
    ))
)</f>
        <v>2</v>
      </c>
      <c r="V1987" s="50">
        <f t="shared" si="188"/>
        <v>3</v>
      </c>
      <c r="W1987" s="50" t="s">
        <v>150</v>
      </c>
      <c r="X1987" s="50" t="s">
        <v>1078</v>
      </c>
      <c r="Y1987" s="50" t="s">
        <v>50</v>
      </c>
      <c r="Z1987" s="50" t="s">
        <v>3406</v>
      </c>
      <c r="AA1987" s="50"/>
    </row>
    <row r="1988" spans="1:27" ht="25.5" customHeight="1">
      <c r="A1988" s="517" t="s">
        <v>778</v>
      </c>
      <c r="B1988" s="51" t="s">
        <v>1373</v>
      </c>
      <c r="C1988" s="51" t="s">
        <v>143</v>
      </c>
      <c r="D1988" s="51" t="s">
        <v>5519</v>
      </c>
      <c r="E1988" s="50">
        <v>4020</v>
      </c>
      <c r="F1988" s="50">
        <v>4413</v>
      </c>
      <c r="G1988" s="50" t="s">
        <v>3404</v>
      </c>
      <c r="H1988" s="50">
        <v>2025</v>
      </c>
      <c r="I1988" s="132">
        <v>45940</v>
      </c>
      <c r="J1988" s="50" t="s">
        <v>3128</v>
      </c>
      <c r="K1988" s="50" t="s">
        <v>33</v>
      </c>
      <c r="L1988" s="50"/>
      <c r="M1988" s="50" t="s">
        <v>148</v>
      </c>
      <c r="N1988" s="50" t="s">
        <v>5520</v>
      </c>
      <c r="O1988" s="132">
        <v>45942</v>
      </c>
      <c r="P1988" s="50"/>
      <c r="Q1988" s="60">
        <v>45945</v>
      </c>
      <c r="R1988" s="60">
        <v>45950</v>
      </c>
      <c r="S1988" s="50">
        <f t="shared" si="187"/>
        <v>1</v>
      </c>
      <c r="T1988" s="50" t="str">
        <f>IF(
    OR(ISBLANK(O1988), ISBLANK(P1988)),
    "",
    MAX(1, IF(
        NETWORKDAYS(O1988, P1988) &lt;= 0,
        1,
        NETWORKDAYS(O1988, P1988) - IF(O1988 = QP1988, 0, 1)
    ))
)</f>
        <v/>
      </c>
      <c r="U1988" s="50">
        <f>IF(
    OR(ISBLANK(1816), ISBLANK(Q1988)),
    "",
    MAX(1, IF(
        NETWORKDAYS(O1988, Q1988) &lt;= 0,
        1,
        NETWORKDAYS(O1988, Q1988) - IF(O1988 = Q1988, 0, 1)
    ))
)</f>
        <v>2</v>
      </c>
      <c r="V1988" s="50">
        <f t="shared" si="188"/>
        <v>3</v>
      </c>
      <c r="W1988" s="50" t="s">
        <v>150</v>
      </c>
      <c r="X1988" s="50" t="s">
        <v>1078</v>
      </c>
      <c r="Y1988" s="50" t="s">
        <v>57</v>
      </c>
      <c r="Z1988" s="50" t="s">
        <v>3406</v>
      </c>
      <c r="AA1988" s="50"/>
    </row>
    <row r="1989" spans="1:27" ht="25.5" customHeight="1">
      <c r="A1989" s="517" t="s">
        <v>778</v>
      </c>
      <c r="B1989" s="51" t="s">
        <v>1373</v>
      </c>
      <c r="C1989" s="51" t="s">
        <v>143</v>
      </c>
      <c r="D1989" s="51" t="s">
        <v>1377</v>
      </c>
      <c r="E1989" s="50">
        <v>1828</v>
      </c>
      <c r="F1989" s="50">
        <v>3347</v>
      </c>
      <c r="G1989" s="50" t="s">
        <v>3404</v>
      </c>
      <c r="H1989" s="50">
        <v>2025</v>
      </c>
      <c r="I1989" s="132">
        <v>45940</v>
      </c>
      <c r="J1989" s="50" t="s">
        <v>3128</v>
      </c>
      <c r="K1989" s="50" t="s">
        <v>33</v>
      </c>
      <c r="L1989" s="50"/>
      <c r="M1989" s="50" t="s">
        <v>148</v>
      </c>
      <c r="N1989" s="50" t="s">
        <v>5521</v>
      </c>
      <c r="O1989" s="132">
        <v>45942</v>
      </c>
      <c r="P1989" s="50"/>
      <c r="Q1989" s="60">
        <v>45945</v>
      </c>
      <c r="R1989" s="60">
        <v>45950</v>
      </c>
      <c r="S1989" s="50">
        <f t="shared" si="187"/>
        <v>1</v>
      </c>
      <c r="T1989" s="50" t="str">
        <f>IF(
    OR(ISBLANK(O1989), ISBLANK(P1989)),
    "",
    MAX(1, IF(
        NETWORKDAYS(O1989, P1989) &lt;= 0,
        1,
        NETWORKDAYS(O1989, P1989) - IF(O1989 = QP1989, 0, 1)
    ))
)</f>
        <v/>
      </c>
      <c r="U1989" s="50">
        <f>IF(
    OR(ISBLANK(1816), ISBLANK(Q1989)),
    "",
    MAX(1, IF(
        NETWORKDAYS(O1989, Q1989) &lt;= 0,
        1,
        NETWORKDAYS(O1989, Q1989) - IF(O1989 = Q1989, 0, 1)
    ))
)</f>
        <v>2</v>
      </c>
      <c r="V1989" s="50">
        <f t="shared" si="188"/>
        <v>3</v>
      </c>
      <c r="W1989" s="50" t="s">
        <v>150</v>
      </c>
      <c r="X1989" s="50" t="s">
        <v>1078</v>
      </c>
      <c r="Y1989" s="50" t="s">
        <v>50</v>
      </c>
      <c r="Z1989" s="50" t="s">
        <v>3406</v>
      </c>
      <c r="AA1989" s="50"/>
    </row>
    <row r="1990" spans="1:27" ht="25.5" customHeight="1">
      <c r="A1990" s="50" t="s">
        <v>778</v>
      </c>
      <c r="B1990" s="51" t="s">
        <v>1373</v>
      </c>
      <c r="C1990" s="51" t="s">
        <v>143</v>
      </c>
      <c r="D1990" s="51" t="s">
        <v>5522</v>
      </c>
      <c r="E1990" s="50">
        <v>6833</v>
      </c>
      <c r="F1990" s="50">
        <v>6907</v>
      </c>
      <c r="G1990" s="50" t="s">
        <v>3404</v>
      </c>
      <c r="H1990" s="50">
        <v>2024</v>
      </c>
      <c r="I1990" s="132">
        <v>45569</v>
      </c>
      <c r="J1990" s="50"/>
      <c r="K1990" s="50" t="s">
        <v>33</v>
      </c>
      <c r="L1990" s="50"/>
      <c r="M1990" s="50" t="s">
        <v>148</v>
      </c>
      <c r="N1990" s="50"/>
      <c r="O1990" s="50"/>
      <c r="P1990" s="50"/>
      <c r="Q1990" s="50"/>
      <c r="R1990" s="50"/>
      <c r="S1990" s="50" t="str">
        <f t="shared" si="187"/>
        <v/>
      </c>
      <c r="T1990" s="50" t="str">
        <f t="shared" ref="T1990:U1992" si="190">IF(
    OR(ISBLANK(O1990), ISBLANK(P1990)),
    "",
    MAX(1, IF(
        NETWORKDAYS(O1990, P1990) &lt;= 0,
        1,
        NETWORKDAYS(O1990, P1990) - IF(O1990 = P1990, 0, 1)
    ))
)</f>
        <v/>
      </c>
      <c r="U1990" s="50" t="str">
        <f t="shared" si="190"/>
        <v/>
      </c>
      <c r="V1990" s="50" t="str">
        <f t="shared" si="188"/>
        <v/>
      </c>
      <c r="W1990" s="50"/>
      <c r="X1990" s="50" t="s">
        <v>1078</v>
      </c>
      <c r="Y1990" s="50" t="s">
        <v>50</v>
      </c>
      <c r="Z1990" s="50" t="s">
        <v>3406</v>
      </c>
      <c r="AA1990" s="50"/>
    </row>
    <row r="1991" spans="1:27" ht="25.5" customHeight="1">
      <c r="A1991" s="50" t="s">
        <v>778</v>
      </c>
      <c r="B1991" s="51" t="s">
        <v>1373</v>
      </c>
      <c r="C1991" s="51" t="s">
        <v>143</v>
      </c>
      <c r="D1991" s="51" t="s">
        <v>5523</v>
      </c>
      <c r="E1991" s="50">
        <v>6025</v>
      </c>
      <c r="F1991" s="50">
        <v>6655</v>
      </c>
      <c r="G1991" s="50" t="s">
        <v>3404</v>
      </c>
      <c r="H1991" s="50">
        <v>2024</v>
      </c>
      <c r="I1991" s="132">
        <v>45457</v>
      </c>
      <c r="J1991" s="50"/>
      <c r="K1991" s="50" t="s">
        <v>33</v>
      </c>
      <c r="L1991" s="50"/>
      <c r="M1991" s="50" t="s">
        <v>148</v>
      </c>
      <c r="N1991" s="50"/>
      <c r="O1991" s="50"/>
      <c r="P1991" s="50"/>
      <c r="Q1991" s="50"/>
      <c r="R1991" s="50"/>
      <c r="S1991" s="50" t="str">
        <f t="shared" si="187"/>
        <v/>
      </c>
      <c r="T1991" s="50" t="str">
        <f t="shared" si="190"/>
        <v/>
      </c>
      <c r="U1991" s="50" t="str">
        <f t="shared" si="190"/>
        <v/>
      </c>
      <c r="V1991" s="50" t="str">
        <f t="shared" si="188"/>
        <v/>
      </c>
      <c r="W1991" s="50"/>
      <c r="X1991" s="50" t="s">
        <v>4</v>
      </c>
      <c r="Y1991" s="50" t="s">
        <v>50</v>
      </c>
      <c r="Z1991" s="50" t="s">
        <v>3406</v>
      </c>
      <c r="AA1991" s="50"/>
    </row>
    <row r="1992" spans="1:27" ht="25.5" customHeight="1">
      <c r="A1992" s="517" t="s">
        <v>778</v>
      </c>
      <c r="B1992" s="51" t="s">
        <v>1373</v>
      </c>
      <c r="C1992" s="51" t="s">
        <v>143</v>
      </c>
      <c r="D1992" s="51" t="s">
        <v>5524</v>
      </c>
      <c r="E1992" s="50">
        <v>3293</v>
      </c>
      <c r="F1992" s="50">
        <v>3578</v>
      </c>
      <c r="G1992" s="50" t="s">
        <v>3955</v>
      </c>
      <c r="H1992" s="50"/>
      <c r="I1992" s="105"/>
      <c r="J1992" s="50"/>
      <c r="K1992" s="50" t="s">
        <v>33</v>
      </c>
      <c r="L1992" s="50"/>
      <c r="M1992" s="50" t="s">
        <v>148</v>
      </c>
      <c r="N1992" s="50"/>
      <c r="O1992" s="50"/>
      <c r="P1992" s="50"/>
      <c r="Q1992" s="50"/>
      <c r="R1992" s="50"/>
      <c r="S1992" s="50" t="str">
        <f t="shared" si="187"/>
        <v/>
      </c>
      <c r="T1992" s="50" t="str">
        <f t="shared" si="190"/>
        <v/>
      </c>
      <c r="U1992" s="50" t="str">
        <f t="shared" si="190"/>
        <v/>
      </c>
      <c r="V1992" s="50" t="str">
        <f t="shared" si="188"/>
        <v/>
      </c>
      <c r="W1992" s="50"/>
      <c r="X1992" s="381"/>
      <c r="Y1992" s="50"/>
      <c r="Z1992" s="50"/>
      <c r="AA1992" s="50"/>
    </row>
    <row r="1993" spans="1:27" ht="25.5" customHeight="1">
      <c r="A1993" s="517" t="s">
        <v>778</v>
      </c>
      <c r="B1993" s="51" t="s">
        <v>1373</v>
      </c>
      <c r="C1993" s="51" t="s">
        <v>143</v>
      </c>
      <c r="D1993" s="51" t="s">
        <v>1056</v>
      </c>
      <c r="E1993" s="50">
        <v>3337</v>
      </c>
      <c r="F1993" s="50">
        <v>3535</v>
      </c>
      <c r="G1993" s="50" t="s">
        <v>3404</v>
      </c>
      <c r="H1993" s="50">
        <v>2025</v>
      </c>
      <c r="I1993" s="132">
        <v>45840</v>
      </c>
      <c r="J1993" s="50" t="s">
        <v>3125</v>
      </c>
      <c r="K1993" s="50" t="s">
        <v>33</v>
      </c>
      <c r="L1993" s="50" t="s">
        <v>28</v>
      </c>
      <c r="M1993" s="50" t="s">
        <v>148</v>
      </c>
      <c r="N1993" s="50" t="s">
        <v>5525</v>
      </c>
      <c r="O1993" s="60">
        <v>45844</v>
      </c>
      <c r="P1993" s="60">
        <v>45847</v>
      </c>
      <c r="Q1993" s="60">
        <v>45854</v>
      </c>
      <c r="R1993" s="60">
        <v>45855</v>
      </c>
      <c r="S1993" s="50">
        <f t="shared" si="187"/>
        <v>2</v>
      </c>
      <c r="T1993" s="50">
        <f>IF(
    OR(ISBLANK(1811), ISBLANK(P1993)),
    "",
    MAX(1, IF(
        NETWORKDAYS(O1993, P1993) &lt;= 0,
        1,
        NETWORKDAYS(O1993, P1993) - IF(O1993 = P1993, 0, 1)
    ))
)</f>
        <v>2</v>
      </c>
      <c r="U1993" s="50">
        <f>IF(
    OR(ISBLANK(P1993), ISBLANK(Q1993)),
    "",
    MAX(1, IF(
        NETWORKDAYS(P1993, Q1993) &lt;= 0,
        1,
        NETWORKDAYS(P1993, Q1993) - IF(P1993 = Q1993, 0, 1)
    ))
)</f>
        <v>5</v>
      </c>
      <c r="V1993" s="50">
        <f t="shared" si="188"/>
        <v>1</v>
      </c>
      <c r="W1993" s="50" t="s">
        <v>150</v>
      </c>
      <c r="X1993" s="50" t="s">
        <v>3527</v>
      </c>
      <c r="Y1993" s="50" t="s">
        <v>3528</v>
      </c>
      <c r="Z1993" s="50" t="s">
        <v>3406</v>
      </c>
      <c r="AA1993" s="50"/>
    </row>
    <row r="1994" spans="1:27" ht="25.5" customHeight="1">
      <c r="A1994" s="50" t="s">
        <v>778</v>
      </c>
      <c r="B1994" s="51" t="s">
        <v>1373</v>
      </c>
      <c r="C1994" s="51" t="s">
        <v>143</v>
      </c>
      <c r="D1994" s="51" t="s">
        <v>914</v>
      </c>
      <c r="E1994" s="50">
        <v>3126</v>
      </c>
      <c r="F1994" s="50">
        <v>3575</v>
      </c>
      <c r="G1994" s="50" t="s">
        <v>3404</v>
      </c>
      <c r="H1994" s="50">
        <v>2024</v>
      </c>
      <c r="I1994" s="132">
        <v>45603</v>
      </c>
      <c r="J1994" s="50"/>
      <c r="K1994" s="50" t="s">
        <v>33</v>
      </c>
      <c r="L1994" s="50"/>
      <c r="M1994" s="50" t="s">
        <v>148</v>
      </c>
      <c r="N1994" s="50"/>
      <c r="O1994" s="50"/>
      <c r="P1994" s="50"/>
      <c r="Q1994" s="50"/>
      <c r="R1994" s="50"/>
      <c r="S1994" s="50" t="str">
        <f t="shared" si="187"/>
        <v/>
      </c>
      <c r="T1994" s="50" t="str">
        <f>IF(
    OR(ISBLANK(O1994), ISBLANK(P1994)),
    "",
    MAX(1, IF(
        NETWORKDAYS(O1994, P1994) &lt;= 0,
        1,
        NETWORKDAYS(O1994, P1994) - IF(O1994 = P1994, 0, 1)
    ))
)</f>
        <v/>
      </c>
      <c r="U1994" s="50" t="str">
        <f>IF(
    OR(ISBLANK(P1994), ISBLANK(Q1994)),
    "",
    MAX(1, IF(
        NETWORKDAYS(P1994, Q1994) &lt;= 0,
        1,
        NETWORKDAYS(P1994, Q1994) - IF(P1994 = Q1994, 0, 1)
    ))
)</f>
        <v/>
      </c>
      <c r="V1994" s="50" t="str">
        <f t="shared" si="188"/>
        <v/>
      </c>
      <c r="W1994" s="50"/>
      <c r="X1994" s="50" t="s">
        <v>1078</v>
      </c>
      <c r="Y1994" s="50" t="s">
        <v>50</v>
      </c>
      <c r="Z1994" s="50" t="s">
        <v>3406</v>
      </c>
      <c r="AA1994" s="50"/>
    </row>
    <row r="1995" spans="1:27" ht="25.5" customHeight="1">
      <c r="A1995" s="50" t="s">
        <v>778</v>
      </c>
      <c r="B1995" s="51" t="s">
        <v>1373</v>
      </c>
      <c r="C1995" s="51" t="s">
        <v>143</v>
      </c>
      <c r="D1995" s="51" t="s">
        <v>1180</v>
      </c>
      <c r="E1995" s="50">
        <v>2424</v>
      </c>
      <c r="F1995" s="50">
        <v>2504</v>
      </c>
      <c r="G1995" s="50" t="s">
        <v>3404</v>
      </c>
      <c r="H1995" s="50">
        <v>2024</v>
      </c>
      <c r="I1995" s="132">
        <v>45457</v>
      </c>
      <c r="J1995" s="50"/>
      <c r="K1995" s="50" t="s">
        <v>33</v>
      </c>
      <c r="L1995" s="50"/>
      <c r="M1995" s="50" t="s">
        <v>148</v>
      </c>
      <c r="N1995" s="50"/>
      <c r="O1995" s="50"/>
      <c r="P1995" s="50"/>
      <c r="Q1995" s="50"/>
      <c r="R1995" s="50"/>
      <c r="S1995" s="50" t="str">
        <f t="shared" si="187"/>
        <v/>
      </c>
      <c r="T1995" s="50" t="str">
        <f>IF(
    OR(ISBLANK(O1995), ISBLANK(P1995)),
    "",
    MAX(1, IF(
        NETWORKDAYS(O1995, P1995) &lt;= 0,
        1,
        NETWORKDAYS(O1995, P1995) - IF(O1995 = P1995, 0, 1)
    ))
)</f>
        <v/>
      </c>
      <c r="U1995" s="50" t="str">
        <f>IF(
    OR(ISBLANK(P1995), ISBLANK(Q1995)),
    "",
    MAX(1, IF(
        NETWORKDAYS(P1995, Q1995) &lt;= 0,
        1,
        NETWORKDAYS(P1995, Q1995) - IF(P1995 = Q1995, 0, 1)
    ))
)</f>
        <v/>
      </c>
      <c r="V1995" s="50" t="str">
        <f t="shared" si="188"/>
        <v/>
      </c>
      <c r="W1995" s="50"/>
      <c r="X1995" s="50" t="s">
        <v>1078</v>
      </c>
      <c r="Y1995" s="50" t="s">
        <v>50</v>
      </c>
      <c r="Z1995" s="50"/>
      <c r="AA1995" s="50"/>
    </row>
    <row r="1996" spans="1:27" ht="25.5" customHeight="1">
      <c r="A1996" s="517" t="s">
        <v>778</v>
      </c>
      <c r="B1996" s="51" t="s">
        <v>1373</v>
      </c>
      <c r="C1996" s="51" t="s">
        <v>143</v>
      </c>
      <c r="D1996" s="51" t="s">
        <v>858</v>
      </c>
      <c r="E1996" s="50">
        <v>7656</v>
      </c>
      <c r="F1996" s="50">
        <v>8812</v>
      </c>
      <c r="G1996" s="50" t="s">
        <v>3404</v>
      </c>
      <c r="H1996" s="50">
        <v>2025</v>
      </c>
      <c r="I1996" s="132">
        <v>45751</v>
      </c>
      <c r="J1996" s="50" t="s">
        <v>3470</v>
      </c>
      <c r="K1996" s="50" t="s">
        <v>33</v>
      </c>
      <c r="L1996" s="50"/>
      <c r="M1996" s="50" t="s">
        <v>148</v>
      </c>
      <c r="N1996" s="50" t="s">
        <v>5526</v>
      </c>
      <c r="O1996" s="60">
        <v>45755</v>
      </c>
      <c r="P1996" s="50"/>
      <c r="Q1996" s="60">
        <v>45768</v>
      </c>
      <c r="R1996" s="60">
        <v>45769</v>
      </c>
      <c r="S1996" s="50">
        <f t="shared" si="187"/>
        <v>2</v>
      </c>
      <c r="T1996" s="50" t="str">
        <f>IF(
    OR(ISBLANK(O1996), ISBLANK(P1996)),
    "",
    MAX(1, IF(
        NETWORKDAYS(O1996, P1996) &lt;= 0,
        1,
        NETWORKDAYS(O1996, P1996) - IF(O1996 = QP1996, 0, 1)
    ))
)</f>
        <v/>
      </c>
      <c r="U1996" s="50">
        <f>IF(
    OR(ISBLANK(1816), ISBLANK(Q1996)),
    "",
    MAX(1, IF(
        NETWORKDAYS(O1996, Q1996) &lt;= 0,
        1,
        NETWORKDAYS(O1996, Q1996) - IF(O1996 = Q1996, 0, 1)
    ))
)</f>
        <v>9</v>
      </c>
      <c r="V1996" s="50">
        <f t="shared" si="188"/>
        <v>1</v>
      </c>
      <c r="W1996" s="50" t="s">
        <v>150</v>
      </c>
      <c r="X1996" s="50" t="s">
        <v>1078</v>
      </c>
      <c r="Y1996" s="50" t="s">
        <v>50</v>
      </c>
      <c r="Z1996" s="50" t="s">
        <v>3406</v>
      </c>
      <c r="AA1996" s="50"/>
    </row>
    <row r="1997" spans="1:27" ht="25.5" customHeight="1">
      <c r="A1997" s="50" t="s">
        <v>778</v>
      </c>
      <c r="B1997" s="51" t="s">
        <v>1373</v>
      </c>
      <c r="C1997" s="51" t="s">
        <v>143</v>
      </c>
      <c r="D1997" s="51" t="s">
        <v>1439</v>
      </c>
      <c r="E1997" s="50">
        <v>6053</v>
      </c>
      <c r="F1997" s="50">
        <v>5885</v>
      </c>
      <c r="G1997" s="50" t="s">
        <v>3404</v>
      </c>
      <c r="H1997" s="50">
        <v>2024</v>
      </c>
      <c r="I1997" s="132">
        <v>45603</v>
      </c>
      <c r="J1997" s="50"/>
      <c r="K1997" s="50" t="s">
        <v>33</v>
      </c>
      <c r="L1997" s="50"/>
      <c r="M1997" s="50" t="s">
        <v>148</v>
      </c>
      <c r="N1997" s="50"/>
      <c r="O1997" s="50"/>
      <c r="P1997" s="50"/>
      <c r="Q1997" s="50"/>
      <c r="R1997" s="50"/>
      <c r="S1997" s="50" t="str">
        <f t="shared" si="187"/>
        <v/>
      </c>
      <c r="T1997" s="50" t="str">
        <f>IF(
    OR(ISBLANK(O1997), ISBLANK(P1997)),
    "",
    MAX(1, IF(
        NETWORKDAYS(O1997, P1997) &lt;= 0,
        1,
        NETWORKDAYS(O1997, P1997) - IF(O1997 = P1997, 0, 1)
    ))
)</f>
        <v/>
      </c>
      <c r="U1997" s="50" t="str">
        <f>IF(
    OR(ISBLANK(P1997), ISBLANK(Q1997)),
    "",
    MAX(1, IF(
        NETWORKDAYS(P1997, Q1997) &lt;= 0,
        1,
        NETWORKDAYS(P1997, Q1997) - IF(P1997 = Q1997, 0, 1)
    ))
)</f>
        <v/>
      </c>
      <c r="V1997" s="50" t="str">
        <f t="shared" si="188"/>
        <v/>
      </c>
      <c r="W1997" s="50"/>
      <c r="X1997" s="50" t="s">
        <v>1078</v>
      </c>
      <c r="Y1997" s="50" t="s">
        <v>50</v>
      </c>
      <c r="Z1997" s="50"/>
      <c r="AA1997" s="50"/>
    </row>
    <row r="1998" spans="1:27" ht="25.5" customHeight="1">
      <c r="A1998" s="517" t="s">
        <v>778</v>
      </c>
      <c r="B1998" s="51" t="s">
        <v>1373</v>
      </c>
      <c r="C1998" s="51" t="s">
        <v>143</v>
      </c>
      <c r="D1998" s="51" t="s">
        <v>1253</v>
      </c>
      <c r="E1998" s="50">
        <v>4186</v>
      </c>
      <c r="F1998" s="50">
        <v>4118</v>
      </c>
      <c r="G1998" s="50" t="s">
        <v>3955</v>
      </c>
      <c r="H1998" s="50"/>
      <c r="I1998" s="105"/>
      <c r="J1998" s="50"/>
      <c r="K1998" s="50" t="s">
        <v>33</v>
      </c>
      <c r="L1998" s="50"/>
      <c r="M1998" s="50" t="s">
        <v>148</v>
      </c>
      <c r="N1998" s="50"/>
      <c r="O1998" s="50"/>
      <c r="P1998" s="50"/>
      <c r="Q1998" s="50"/>
      <c r="R1998" s="50"/>
      <c r="S1998" s="50" t="str">
        <f t="shared" si="187"/>
        <v/>
      </c>
      <c r="T1998" s="50" t="str">
        <f>IF(
    OR(ISBLANK(O1998), ISBLANK(P1998)),
    "",
    MAX(1, IF(
        NETWORKDAYS(O1998, P1998) &lt;= 0,
        1,
        NETWORKDAYS(O1998, P1998) - IF(O1998 = P1998, 0, 1)
    ))
)</f>
        <v/>
      </c>
      <c r="U1998" s="50" t="str">
        <f>IF(
    OR(ISBLANK(P1998), ISBLANK(Q1998)),
    "",
    MAX(1, IF(
        NETWORKDAYS(P1998, Q1998) &lt;= 0,
        1,
        NETWORKDAYS(P1998, Q1998) - IF(P1998 = Q1998, 0, 1)
    ))
)</f>
        <v/>
      </c>
      <c r="V1998" s="50" t="str">
        <f t="shared" si="188"/>
        <v/>
      </c>
      <c r="W1998" s="50"/>
      <c r="X1998" s="50"/>
      <c r="Y1998" s="50"/>
      <c r="Z1998" s="50"/>
      <c r="AA1998" s="50"/>
    </row>
    <row r="1999" spans="1:27" ht="25.5" customHeight="1">
      <c r="A1999" s="517" t="s">
        <v>778</v>
      </c>
      <c r="B1999" s="51" t="s">
        <v>1373</v>
      </c>
      <c r="C1999" s="51" t="s">
        <v>143</v>
      </c>
      <c r="D1999" s="51" t="s">
        <v>3724</v>
      </c>
      <c r="E1999" s="50">
        <v>2089</v>
      </c>
      <c r="F1999" s="50">
        <v>2241</v>
      </c>
      <c r="G1999" s="50" t="s">
        <v>3404</v>
      </c>
      <c r="H1999" s="50">
        <v>2025</v>
      </c>
      <c r="I1999" s="132">
        <v>45967</v>
      </c>
      <c r="J1999" s="50" t="s">
        <v>3129</v>
      </c>
      <c r="K1999" s="50" t="s">
        <v>33</v>
      </c>
      <c r="L1999" s="50"/>
      <c r="M1999" s="50" t="s">
        <v>148</v>
      </c>
      <c r="N1999" s="50" t="s">
        <v>5527</v>
      </c>
      <c r="O1999" s="60">
        <v>45969</v>
      </c>
      <c r="P1999" s="50"/>
      <c r="Q1999" s="60">
        <v>45972</v>
      </c>
      <c r="R1999" s="60">
        <v>45978</v>
      </c>
      <c r="S1999" s="50">
        <f t="shared" si="187"/>
        <v>1</v>
      </c>
      <c r="T1999" s="50" t="str">
        <f>IF(
    OR(ISBLANK(O1999), ISBLANK(P1999)),
    "",
    MAX(1, IF(
        NETWORKDAYS(O1999, P1999) &lt;= 0,
        1,
        NETWORKDAYS(O1999, P1999) - IF(O1999 = QP1999, 0, 1)
    ))
)</f>
        <v/>
      </c>
      <c r="U1999" s="50">
        <f>IF(
    OR(ISBLANK(1816), ISBLANK(Q1999)),
    "",
    MAX(1, IF(
        NETWORKDAYS(O1999, Q1999) &lt;= 0,
        1,
        NETWORKDAYS(O1999, Q1999) - IF(O1999 = Q1999, 0, 1)
    ))
)</f>
        <v>1</v>
      </c>
      <c r="V1999" s="50">
        <f t="shared" si="188"/>
        <v>4</v>
      </c>
      <c r="W1999" s="50" t="s">
        <v>150</v>
      </c>
      <c r="X1999" s="50" t="s">
        <v>1078</v>
      </c>
      <c r="Y1999" s="50" t="s">
        <v>50</v>
      </c>
      <c r="Z1999" s="50" t="s">
        <v>3406</v>
      </c>
      <c r="AA1999" s="50"/>
    </row>
    <row r="2000" spans="1:27" ht="25.5" customHeight="1">
      <c r="A2000" s="517" t="s">
        <v>778</v>
      </c>
      <c r="B2000" s="51" t="s">
        <v>1373</v>
      </c>
      <c r="C2000" s="51" t="s">
        <v>143</v>
      </c>
      <c r="D2000" s="51" t="s">
        <v>3974</v>
      </c>
      <c r="E2000" s="50">
        <v>2127</v>
      </c>
      <c r="F2000" s="50">
        <v>2257</v>
      </c>
      <c r="G2000" s="50" t="s">
        <v>3955</v>
      </c>
      <c r="H2000" s="50"/>
      <c r="I2000" s="105"/>
      <c r="J2000" s="50"/>
      <c r="K2000" s="50" t="s">
        <v>33</v>
      </c>
      <c r="L2000" s="50"/>
      <c r="M2000" s="50" t="s">
        <v>148</v>
      </c>
      <c r="N2000" s="50"/>
      <c r="O2000" s="50"/>
      <c r="P2000" s="50"/>
      <c r="Q2000" s="50"/>
      <c r="R2000" s="50"/>
      <c r="S2000" s="50" t="str">
        <f t="shared" si="187"/>
        <v/>
      </c>
      <c r="T2000" s="50" t="str">
        <f t="shared" ref="T2000:U2004" si="191">IF(
    OR(ISBLANK(O2000), ISBLANK(P2000)),
    "",
    MAX(1, IF(
        NETWORKDAYS(O2000, P2000) &lt;= 0,
        1,
        NETWORKDAYS(O2000, P2000) - IF(O2000 = P2000, 0, 1)
    ))
)</f>
        <v/>
      </c>
      <c r="U2000" s="50" t="str">
        <f t="shared" si="191"/>
        <v/>
      </c>
      <c r="V2000" s="50" t="str">
        <f t="shared" si="188"/>
        <v/>
      </c>
      <c r="W2000" s="50"/>
      <c r="X2000" s="50"/>
      <c r="Y2000" s="50"/>
      <c r="Z2000" s="50"/>
      <c r="AA2000" s="50"/>
    </row>
    <row r="2001" spans="1:27" ht="25.5" customHeight="1">
      <c r="A2001" s="517" t="s">
        <v>778</v>
      </c>
      <c r="B2001" s="51" t="s">
        <v>1373</v>
      </c>
      <c r="C2001" s="51" t="s">
        <v>143</v>
      </c>
      <c r="D2001" s="51" t="s">
        <v>1424</v>
      </c>
      <c r="E2001" s="50">
        <v>3403</v>
      </c>
      <c r="F2001" s="50">
        <v>3920</v>
      </c>
      <c r="G2001" s="50" t="s">
        <v>3955</v>
      </c>
      <c r="H2001" s="50"/>
      <c r="I2001" s="105"/>
      <c r="J2001" s="50"/>
      <c r="K2001" s="50" t="s">
        <v>33</v>
      </c>
      <c r="L2001" s="50"/>
      <c r="M2001" s="50" t="s">
        <v>148</v>
      </c>
      <c r="N2001" s="50"/>
      <c r="O2001" s="50"/>
      <c r="P2001" s="50"/>
      <c r="Q2001" s="50"/>
      <c r="R2001" s="50"/>
      <c r="S2001" s="50" t="str">
        <f t="shared" si="187"/>
        <v/>
      </c>
      <c r="T2001" s="50" t="str">
        <f t="shared" si="191"/>
        <v/>
      </c>
      <c r="U2001" s="50" t="str">
        <f t="shared" si="191"/>
        <v/>
      </c>
      <c r="V2001" s="50" t="str">
        <f t="shared" si="188"/>
        <v/>
      </c>
      <c r="W2001" s="50"/>
      <c r="X2001" s="50"/>
      <c r="Y2001" s="50"/>
      <c r="Z2001" s="50"/>
      <c r="AA2001" s="50"/>
    </row>
    <row r="2002" spans="1:27" ht="25.5" customHeight="1">
      <c r="A2002" s="50" t="s">
        <v>778</v>
      </c>
      <c r="B2002" s="51" t="s">
        <v>1373</v>
      </c>
      <c r="C2002" s="51" t="s">
        <v>143</v>
      </c>
      <c r="D2002" s="51" t="s">
        <v>4261</v>
      </c>
      <c r="E2002" s="50">
        <v>2090</v>
      </c>
      <c r="F2002" s="50">
        <v>2097</v>
      </c>
      <c r="G2002" s="50" t="s">
        <v>3404</v>
      </c>
      <c r="H2002" s="50">
        <v>2024</v>
      </c>
      <c r="I2002" s="132">
        <v>45604</v>
      </c>
      <c r="J2002" s="50"/>
      <c r="K2002" s="50" t="s">
        <v>33</v>
      </c>
      <c r="L2002" s="50"/>
      <c r="M2002" s="50" t="s">
        <v>148</v>
      </c>
      <c r="N2002" s="50"/>
      <c r="O2002" s="50"/>
      <c r="P2002" s="50"/>
      <c r="Q2002" s="50"/>
      <c r="R2002" s="50"/>
      <c r="S2002" s="50" t="str">
        <f t="shared" si="187"/>
        <v/>
      </c>
      <c r="T2002" s="50" t="str">
        <f t="shared" si="191"/>
        <v/>
      </c>
      <c r="U2002" s="50" t="str">
        <f t="shared" si="191"/>
        <v/>
      </c>
      <c r="V2002" s="50" t="str">
        <f t="shared" si="188"/>
        <v/>
      </c>
      <c r="W2002" s="50"/>
      <c r="X2002" s="50" t="s">
        <v>1078</v>
      </c>
      <c r="Y2002" s="50" t="s">
        <v>50</v>
      </c>
      <c r="Z2002" s="50" t="s">
        <v>3406</v>
      </c>
      <c r="AA2002" s="50"/>
    </row>
    <row r="2003" spans="1:27" ht="25.5" customHeight="1">
      <c r="A2003" s="50" t="s">
        <v>778</v>
      </c>
      <c r="B2003" s="51" t="s">
        <v>1373</v>
      </c>
      <c r="C2003" s="51" t="s">
        <v>143</v>
      </c>
      <c r="D2003" s="51" t="s">
        <v>5528</v>
      </c>
      <c r="E2003" s="50">
        <v>4825</v>
      </c>
      <c r="F2003" s="50">
        <v>5615</v>
      </c>
      <c r="G2003" s="50" t="s">
        <v>3404</v>
      </c>
      <c r="H2003" s="50">
        <v>2024</v>
      </c>
      <c r="I2003" s="132">
        <v>45603</v>
      </c>
      <c r="J2003" s="50"/>
      <c r="K2003" s="50" t="s">
        <v>33</v>
      </c>
      <c r="L2003" s="50"/>
      <c r="M2003" s="50" t="s">
        <v>148</v>
      </c>
      <c r="N2003" s="50"/>
      <c r="O2003" s="50"/>
      <c r="P2003" s="50"/>
      <c r="Q2003" s="50"/>
      <c r="R2003" s="50"/>
      <c r="S2003" s="50" t="str">
        <f t="shared" si="187"/>
        <v/>
      </c>
      <c r="T2003" s="50" t="str">
        <f t="shared" si="191"/>
        <v/>
      </c>
      <c r="U2003" s="50" t="str">
        <f t="shared" si="191"/>
        <v/>
      </c>
      <c r="V2003" s="50" t="str">
        <f t="shared" si="188"/>
        <v/>
      </c>
      <c r="W2003" s="50"/>
      <c r="X2003" s="50" t="s">
        <v>1078</v>
      </c>
      <c r="Y2003" s="50" t="s">
        <v>50</v>
      </c>
      <c r="Z2003" s="50" t="s">
        <v>3406</v>
      </c>
      <c r="AA2003" s="50"/>
    </row>
    <row r="2004" spans="1:27" s="110" customFormat="1" ht="25.5" customHeight="1">
      <c r="A2004" s="50" t="s">
        <v>778</v>
      </c>
      <c r="B2004" s="51" t="s">
        <v>1373</v>
      </c>
      <c r="C2004" s="51" t="s">
        <v>143</v>
      </c>
      <c r="D2004" s="51" t="s">
        <v>5529</v>
      </c>
      <c r="E2004" s="50">
        <v>7722</v>
      </c>
      <c r="F2004" s="50">
        <v>7891</v>
      </c>
      <c r="G2004" s="50" t="s">
        <v>3404</v>
      </c>
      <c r="H2004" s="50">
        <v>2024</v>
      </c>
      <c r="I2004" s="132">
        <v>45603</v>
      </c>
      <c r="J2004" s="50"/>
      <c r="K2004" s="50" t="s">
        <v>33</v>
      </c>
      <c r="L2004" s="50"/>
      <c r="M2004" s="50" t="s">
        <v>148</v>
      </c>
      <c r="N2004" s="50"/>
      <c r="O2004" s="50"/>
      <c r="P2004" s="50"/>
      <c r="Q2004" s="50"/>
      <c r="R2004" s="50"/>
      <c r="S2004" s="50" t="str">
        <f t="shared" si="187"/>
        <v/>
      </c>
      <c r="T2004" s="50" t="str">
        <f t="shared" si="191"/>
        <v/>
      </c>
      <c r="U2004" s="50" t="str">
        <f t="shared" si="191"/>
        <v/>
      </c>
      <c r="V2004" s="50" t="str">
        <f t="shared" si="188"/>
        <v/>
      </c>
      <c r="W2004" s="50"/>
      <c r="X2004" s="50" t="s">
        <v>4</v>
      </c>
      <c r="Y2004" s="50" t="s">
        <v>57</v>
      </c>
      <c r="Z2004" s="50" t="s">
        <v>3406</v>
      </c>
      <c r="AA2004" s="50"/>
    </row>
    <row r="2005" spans="1:27" ht="25.5" customHeight="1">
      <c r="A2005" s="517" t="s">
        <v>778</v>
      </c>
      <c r="B2005" s="51" t="s">
        <v>1381</v>
      </c>
      <c r="C2005" s="51" t="s">
        <v>143</v>
      </c>
      <c r="D2005" s="51" t="s">
        <v>5530</v>
      </c>
      <c r="E2005" s="50">
        <v>269</v>
      </c>
      <c r="F2005" s="50">
        <v>296</v>
      </c>
      <c r="G2005" s="50" t="s">
        <v>3404</v>
      </c>
      <c r="H2005" s="50">
        <v>2025</v>
      </c>
      <c r="I2005" s="132">
        <v>45916</v>
      </c>
      <c r="J2005" s="50" t="s">
        <v>3127</v>
      </c>
      <c r="K2005" s="50" t="s">
        <v>35</v>
      </c>
      <c r="L2005" s="50"/>
      <c r="M2005" s="50" t="s">
        <v>148</v>
      </c>
      <c r="N2005" s="50" t="s">
        <v>5531</v>
      </c>
      <c r="O2005" s="60">
        <v>45916</v>
      </c>
      <c r="P2005" s="50"/>
      <c r="Q2005" s="60">
        <v>45917</v>
      </c>
      <c r="R2005" s="60">
        <v>45918</v>
      </c>
      <c r="S2005" s="50">
        <f t="shared" si="187"/>
        <v>1</v>
      </c>
      <c r="T2005" s="50" t="str">
        <f>IF(
    OR(ISBLANK(O2005), ISBLANK(P2005)),
    "",
    MAX(1, IF(
        NETWORKDAYS(O2005, P2005) &lt;= 0,
        1,
        NETWORKDAYS(O2005, P2005) - IF(O2005 = QP2005, 0, 1)
    ))
)</f>
        <v/>
      </c>
      <c r="U2005" s="50">
        <f>IF(
    OR(ISBLANK(1816), ISBLANK(Q2005)),
    "",
    MAX(1, IF(
        NETWORKDAYS(O2005, Q2005) &lt;= 0,
        1,
        NETWORKDAYS(O2005, Q2005) - IF(O2005 = Q2005, 0, 1)
    ))
)</f>
        <v>1</v>
      </c>
      <c r="V2005" s="50">
        <f t="shared" si="188"/>
        <v>1</v>
      </c>
      <c r="W2005" s="50" t="s">
        <v>150</v>
      </c>
      <c r="X2005" s="50" t="s">
        <v>3527</v>
      </c>
      <c r="Y2005" s="50" t="s">
        <v>3528</v>
      </c>
      <c r="Z2005" s="50" t="s">
        <v>3406</v>
      </c>
      <c r="AA2005" s="50"/>
    </row>
    <row r="2006" spans="1:27" ht="25.5" customHeight="1">
      <c r="A2006" s="517" t="s">
        <v>778</v>
      </c>
      <c r="B2006" s="51" t="s">
        <v>1381</v>
      </c>
      <c r="C2006" s="51" t="s">
        <v>143</v>
      </c>
      <c r="D2006" s="51" t="s">
        <v>5532</v>
      </c>
      <c r="E2006" s="50">
        <v>3210</v>
      </c>
      <c r="F2006" s="50">
        <v>3998</v>
      </c>
      <c r="G2006" s="50" t="s">
        <v>3955</v>
      </c>
      <c r="H2006" s="50"/>
      <c r="I2006" s="105"/>
      <c r="J2006" s="50"/>
      <c r="K2006" s="50" t="s">
        <v>35</v>
      </c>
      <c r="L2006" s="50"/>
      <c r="M2006" s="50" t="s">
        <v>148</v>
      </c>
      <c r="N2006" s="50"/>
      <c r="O2006" s="50"/>
      <c r="P2006" s="50"/>
      <c r="Q2006" s="50"/>
      <c r="R2006" s="50"/>
      <c r="S2006" s="50" t="str">
        <f t="shared" si="187"/>
        <v/>
      </c>
      <c r="T2006" s="50" t="str">
        <f>IF(
    OR(ISBLANK(O2006), ISBLANK(P2006)),
    "",
    MAX(1, IF(
        NETWORKDAYS(O2006, P2006) &lt;= 0,
        1,
        NETWORKDAYS(O2006, P2006) - IF(O2006 = P2006, 0, 1)
    ))
)</f>
        <v/>
      </c>
      <c r="U2006" s="50" t="str">
        <f>IF(
    OR(ISBLANK(P2006), ISBLANK(Q2006)),
    "",
    MAX(1, IF(
        NETWORKDAYS(P2006, Q2006) &lt;= 0,
        1,
        NETWORKDAYS(P2006, Q2006) - IF(P2006 = Q2006, 0, 1)
    ))
)</f>
        <v/>
      </c>
      <c r="V2006" s="50" t="str">
        <f t="shared" si="188"/>
        <v/>
      </c>
      <c r="W2006" s="50"/>
      <c r="X2006" s="50"/>
      <c r="Y2006" s="50"/>
      <c r="Z2006" s="50"/>
      <c r="AA2006" s="50"/>
    </row>
    <row r="2007" spans="1:27" ht="25.5" customHeight="1">
      <c r="A2007" s="517" t="s">
        <v>778</v>
      </c>
      <c r="B2007" s="51" t="s">
        <v>1381</v>
      </c>
      <c r="C2007" s="51" t="s">
        <v>143</v>
      </c>
      <c r="D2007" s="51" t="s">
        <v>4143</v>
      </c>
      <c r="E2007" s="50">
        <v>6675</v>
      </c>
      <c r="F2007" s="50">
        <v>6777</v>
      </c>
      <c r="G2007" s="50" t="s">
        <v>3955</v>
      </c>
      <c r="H2007" s="50"/>
      <c r="I2007" s="105"/>
      <c r="J2007" s="50"/>
      <c r="K2007" s="50" t="s">
        <v>35</v>
      </c>
      <c r="L2007" s="50"/>
      <c r="M2007" s="50" t="s">
        <v>148</v>
      </c>
      <c r="N2007" s="50"/>
      <c r="O2007" s="50"/>
      <c r="P2007" s="50"/>
      <c r="Q2007" s="50"/>
      <c r="R2007" s="50"/>
      <c r="S2007" s="50" t="str">
        <f t="shared" si="187"/>
        <v/>
      </c>
      <c r="T2007" s="50" t="str">
        <f>IF(
    OR(ISBLANK(O2007), ISBLANK(P2007)),
    "",
    MAX(1, IF(
        NETWORKDAYS(O2007, P2007) &lt;= 0,
        1,
        NETWORKDAYS(O2007, P2007) - IF(O2007 = P2007, 0, 1)
    ))
)</f>
        <v/>
      </c>
      <c r="U2007" s="50" t="str">
        <f>IF(
    OR(ISBLANK(P2007), ISBLANK(Q2007)),
    "",
    MAX(1, IF(
        NETWORKDAYS(P2007, Q2007) &lt;= 0,
        1,
        NETWORKDAYS(P2007, Q2007) - IF(P2007 = Q2007, 0, 1)
    ))
)</f>
        <v/>
      </c>
      <c r="V2007" s="50" t="str">
        <f t="shared" si="188"/>
        <v/>
      </c>
      <c r="W2007" s="50"/>
      <c r="X2007" s="50"/>
      <c r="Y2007" s="50"/>
      <c r="Z2007" s="50"/>
      <c r="AA2007" s="50"/>
    </row>
    <row r="2008" spans="1:27" ht="25.5" customHeight="1">
      <c r="A2008" s="517" t="s">
        <v>778</v>
      </c>
      <c r="B2008" s="51" t="s">
        <v>1381</v>
      </c>
      <c r="C2008" s="51" t="s">
        <v>143</v>
      </c>
      <c r="D2008" s="51" t="s">
        <v>5533</v>
      </c>
      <c r="E2008" s="50">
        <v>2103</v>
      </c>
      <c r="F2008" s="50">
        <v>2297</v>
      </c>
      <c r="G2008" s="50" t="s">
        <v>3404</v>
      </c>
      <c r="H2008" s="50">
        <v>2025</v>
      </c>
      <c r="I2008" s="132">
        <v>45721</v>
      </c>
      <c r="J2008" s="50" t="s">
        <v>3416</v>
      </c>
      <c r="K2008" s="50" t="s">
        <v>35</v>
      </c>
      <c r="L2008" s="50"/>
      <c r="M2008" s="50" t="s">
        <v>148</v>
      </c>
      <c r="N2008" s="50" t="s">
        <v>5534</v>
      </c>
      <c r="O2008" s="60">
        <v>45734</v>
      </c>
      <c r="P2008" s="50"/>
      <c r="Q2008" s="60">
        <v>45734</v>
      </c>
      <c r="R2008" s="60">
        <v>45734</v>
      </c>
      <c r="S2008" s="50">
        <f t="shared" si="187"/>
        <v>9</v>
      </c>
      <c r="T2008" s="50" t="str">
        <f>IF(
    OR(ISBLANK(O2008), ISBLANK(P2008)),
    "",
    MAX(1, IF(
        NETWORKDAYS(O2008, P2008) &lt;= 0,
        1,
        NETWORKDAYS(O2008, P2008) - IF(O2008 = QP2008, 0, 1)
    ))
)</f>
        <v/>
      </c>
      <c r="U2008" s="50">
        <f>IF(
    OR(ISBLANK(1816), ISBLANK(Q2008)),
    "",
    MAX(1, IF(
        NETWORKDAYS(O2008, Q2008) &lt;= 0,
        1,
        NETWORKDAYS(O2008, Q2008) - IF(O2008 = Q2008, 0, 1)
    ))
)</f>
        <v>1</v>
      </c>
      <c r="V2008" s="50">
        <f t="shared" si="188"/>
        <v>1</v>
      </c>
      <c r="W2008" s="50" t="s">
        <v>150</v>
      </c>
      <c r="X2008" s="50" t="s">
        <v>3527</v>
      </c>
      <c r="Y2008" s="50" t="s">
        <v>3528</v>
      </c>
      <c r="Z2008" s="50" t="s">
        <v>3406</v>
      </c>
      <c r="AA2008" s="50"/>
    </row>
    <row r="2009" spans="1:27" ht="25.5" customHeight="1">
      <c r="A2009" s="517" t="s">
        <v>778</v>
      </c>
      <c r="B2009" s="51" t="s">
        <v>1381</v>
      </c>
      <c r="C2009" s="51" t="s">
        <v>143</v>
      </c>
      <c r="D2009" s="51" t="s">
        <v>5535</v>
      </c>
      <c r="E2009" s="50">
        <v>3377</v>
      </c>
      <c r="F2009" s="50">
        <v>3588</v>
      </c>
      <c r="G2009" s="50" t="s">
        <v>3955</v>
      </c>
      <c r="H2009" s="50"/>
      <c r="I2009" s="105"/>
      <c r="J2009" s="50"/>
      <c r="K2009" s="50" t="s">
        <v>35</v>
      </c>
      <c r="L2009" s="50"/>
      <c r="M2009" s="50" t="s">
        <v>148</v>
      </c>
      <c r="N2009" s="50"/>
      <c r="O2009" s="50"/>
      <c r="P2009" s="50"/>
      <c r="Q2009" s="50"/>
      <c r="R2009" s="50"/>
      <c r="S2009" s="50" t="str">
        <f t="shared" si="187"/>
        <v/>
      </c>
      <c r="T2009" s="50" t="str">
        <f t="shared" ref="T2009:U2012" si="192">IF(
    OR(ISBLANK(O2009), ISBLANK(P2009)),
    "",
    MAX(1, IF(
        NETWORKDAYS(O2009, P2009) &lt;= 0,
        1,
        NETWORKDAYS(O2009, P2009) - IF(O2009 = P2009, 0, 1)
    ))
)</f>
        <v/>
      </c>
      <c r="U2009" s="50" t="str">
        <f t="shared" si="192"/>
        <v/>
      </c>
      <c r="V2009" s="50" t="str">
        <f t="shared" si="188"/>
        <v/>
      </c>
      <c r="W2009" s="50"/>
      <c r="X2009" s="50"/>
      <c r="Y2009" s="50"/>
      <c r="Z2009" s="50"/>
      <c r="AA2009" s="50"/>
    </row>
    <row r="2010" spans="1:27" ht="25.5" customHeight="1">
      <c r="A2010" s="517" t="s">
        <v>778</v>
      </c>
      <c r="B2010" s="51" t="s">
        <v>1381</v>
      </c>
      <c r="C2010" s="51" t="s">
        <v>143</v>
      </c>
      <c r="D2010" s="51" t="s">
        <v>3699</v>
      </c>
      <c r="E2010" s="50">
        <v>3319</v>
      </c>
      <c r="F2010" s="50">
        <v>3568</v>
      </c>
      <c r="G2010" s="50" t="s">
        <v>3955</v>
      </c>
      <c r="H2010" s="50"/>
      <c r="I2010" s="105"/>
      <c r="J2010" s="50"/>
      <c r="K2010" s="50" t="s">
        <v>35</v>
      </c>
      <c r="L2010" s="50"/>
      <c r="M2010" s="50" t="s">
        <v>148</v>
      </c>
      <c r="N2010" s="50"/>
      <c r="O2010" s="50"/>
      <c r="P2010" s="50"/>
      <c r="Q2010" s="50"/>
      <c r="R2010" s="50"/>
      <c r="S2010" s="50" t="str">
        <f t="shared" si="187"/>
        <v/>
      </c>
      <c r="T2010" s="50" t="str">
        <f t="shared" si="192"/>
        <v/>
      </c>
      <c r="U2010" s="50" t="str">
        <f t="shared" si="192"/>
        <v/>
      </c>
      <c r="V2010" s="50" t="str">
        <f t="shared" si="188"/>
        <v/>
      </c>
      <c r="W2010" s="50"/>
      <c r="X2010" s="50"/>
      <c r="Y2010" s="50"/>
      <c r="Z2010" s="50"/>
      <c r="AA2010" s="50"/>
    </row>
    <row r="2011" spans="1:27" ht="25.5" customHeight="1">
      <c r="A2011" s="517" t="s">
        <v>778</v>
      </c>
      <c r="B2011" s="51" t="s">
        <v>1381</v>
      </c>
      <c r="C2011" s="51" t="s">
        <v>143</v>
      </c>
      <c r="D2011" s="51" t="s">
        <v>5536</v>
      </c>
      <c r="E2011" s="50">
        <v>3378</v>
      </c>
      <c r="F2011" s="50">
        <v>3974</v>
      </c>
      <c r="G2011" s="50" t="s">
        <v>3955</v>
      </c>
      <c r="H2011" s="50"/>
      <c r="I2011" s="105"/>
      <c r="J2011" s="50"/>
      <c r="K2011" s="50" t="s">
        <v>35</v>
      </c>
      <c r="L2011" s="50"/>
      <c r="M2011" s="50" t="s">
        <v>148</v>
      </c>
      <c r="N2011" s="50"/>
      <c r="O2011" s="50"/>
      <c r="P2011" s="50"/>
      <c r="Q2011" s="50"/>
      <c r="R2011" s="50"/>
      <c r="S2011" s="50" t="str">
        <f t="shared" si="187"/>
        <v/>
      </c>
      <c r="T2011" s="50" t="str">
        <f t="shared" si="192"/>
        <v/>
      </c>
      <c r="U2011" s="50" t="str">
        <f t="shared" si="192"/>
        <v/>
      </c>
      <c r="V2011" s="50" t="str">
        <f t="shared" si="188"/>
        <v/>
      </c>
      <c r="W2011" s="50"/>
      <c r="X2011" s="50"/>
      <c r="Y2011" s="50"/>
      <c r="Z2011" s="50"/>
      <c r="AA2011" s="50"/>
    </row>
    <row r="2012" spans="1:27" ht="25.5" customHeight="1">
      <c r="A2012" s="517" t="s">
        <v>778</v>
      </c>
      <c r="B2012" s="51" t="s">
        <v>1381</v>
      </c>
      <c r="C2012" s="51" t="s">
        <v>143</v>
      </c>
      <c r="D2012" s="51" t="s">
        <v>5537</v>
      </c>
      <c r="E2012" s="50">
        <v>6151</v>
      </c>
      <c r="F2012" s="50">
        <v>8005</v>
      </c>
      <c r="G2012" s="50" t="s">
        <v>3955</v>
      </c>
      <c r="H2012" s="50"/>
      <c r="I2012" s="105"/>
      <c r="J2012" s="50"/>
      <c r="K2012" s="50" t="s">
        <v>35</v>
      </c>
      <c r="L2012" s="50"/>
      <c r="M2012" s="50" t="s">
        <v>148</v>
      </c>
      <c r="N2012" s="50"/>
      <c r="O2012" s="50"/>
      <c r="P2012" s="50"/>
      <c r="Q2012" s="50"/>
      <c r="R2012" s="50"/>
      <c r="S2012" s="50" t="str">
        <f t="shared" si="187"/>
        <v/>
      </c>
      <c r="T2012" s="50" t="str">
        <f t="shared" si="192"/>
        <v/>
      </c>
      <c r="U2012" s="50" t="str">
        <f t="shared" si="192"/>
        <v/>
      </c>
      <c r="V2012" s="50" t="str">
        <f t="shared" si="188"/>
        <v/>
      </c>
      <c r="W2012" s="50"/>
      <c r="X2012" s="50"/>
      <c r="Y2012" s="50"/>
      <c r="Z2012" s="50"/>
      <c r="AA2012" s="50"/>
    </row>
    <row r="2013" spans="1:27" ht="25.5" customHeight="1">
      <c r="A2013" s="517" t="s">
        <v>778</v>
      </c>
      <c r="B2013" s="51" t="s">
        <v>1381</v>
      </c>
      <c r="C2013" s="51" t="s">
        <v>143</v>
      </c>
      <c r="D2013" s="51" t="s">
        <v>1180</v>
      </c>
      <c r="E2013" s="50">
        <v>1346</v>
      </c>
      <c r="F2013" s="50">
        <v>1463</v>
      </c>
      <c r="G2013" s="50" t="s">
        <v>3404</v>
      </c>
      <c r="H2013" s="50">
        <v>2025</v>
      </c>
      <c r="I2013" s="132">
        <v>45916</v>
      </c>
      <c r="J2013" s="50" t="s">
        <v>3127</v>
      </c>
      <c r="K2013" s="50" t="s">
        <v>35</v>
      </c>
      <c r="L2013" s="50"/>
      <c r="M2013" s="50" t="s">
        <v>148</v>
      </c>
      <c r="N2013" s="50" t="s">
        <v>5538</v>
      </c>
      <c r="O2013" s="60">
        <v>45916</v>
      </c>
      <c r="P2013" s="50"/>
      <c r="Q2013" s="60">
        <v>45917</v>
      </c>
      <c r="R2013" s="60">
        <v>45918</v>
      </c>
      <c r="S2013" s="50">
        <f t="shared" si="187"/>
        <v>1</v>
      </c>
      <c r="T2013" s="50" t="str">
        <f>IF(
    OR(ISBLANK(O2013), ISBLANK(P2013)),
    "",
    MAX(1, IF(
        NETWORKDAYS(O2013, P2013) &lt;= 0,
        1,
        NETWORKDAYS(O2013, P2013) - IF(O2013 = QP2013, 0, 1)
    ))
)</f>
        <v/>
      </c>
      <c r="U2013" s="50">
        <f>IF(
    OR(ISBLANK(1816), ISBLANK(Q2013)),
    "",
    MAX(1, IF(
        NETWORKDAYS(O2013, Q2013) &lt;= 0,
        1,
        NETWORKDAYS(O2013, Q2013) - IF(O2013 = Q2013, 0, 1)
    ))
)</f>
        <v>1</v>
      </c>
      <c r="V2013" s="50">
        <f t="shared" si="188"/>
        <v>1</v>
      </c>
      <c r="W2013" s="50" t="s">
        <v>150</v>
      </c>
      <c r="X2013" s="50" t="s">
        <v>3527</v>
      </c>
      <c r="Y2013" s="50" t="s">
        <v>3528</v>
      </c>
      <c r="Z2013" s="50" t="s">
        <v>3406</v>
      </c>
      <c r="AA2013" s="50"/>
    </row>
    <row r="2014" spans="1:27" ht="25.5" customHeight="1">
      <c r="A2014" s="517" t="s">
        <v>778</v>
      </c>
      <c r="B2014" s="51" t="s">
        <v>1381</v>
      </c>
      <c r="C2014" s="51" t="s">
        <v>143</v>
      </c>
      <c r="D2014" s="51" t="s">
        <v>5539</v>
      </c>
      <c r="E2014" s="50">
        <v>9359</v>
      </c>
      <c r="F2014" s="50">
        <v>10105</v>
      </c>
      <c r="G2014" s="50" t="s">
        <v>3955</v>
      </c>
      <c r="H2014" s="50"/>
      <c r="I2014" s="105"/>
      <c r="J2014" s="50"/>
      <c r="K2014" s="50" t="s">
        <v>35</v>
      </c>
      <c r="L2014" s="50"/>
      <c r="M2014" s="50" t="s">
        <v>148</v>
      </c>
      <c r="N2014" s="50"/>
      <c r="O2014" s="50"/>
      <c r="P2014" s="50"/>
      <c r="Q2014" s="50"/>
      <c r="R2014" s="50"/>
      <c r="S2014" s="50" t="str">
        <f t="shared" si="187"/>
        <v/>
      </c>
      <c r="T2014" s="50" t="str">
        <f>IF(
    OR(ISBLANK(O2014), ISBLANK(P2014)),
    "",
    MAX(1, IF(
        NETWORKDAYS(O2014, P2014) &lt;= 0,
        1,
        NETWORKDAYS(O2014, P2014) - IF(O2014 = P2014, 0, 1)
    ))
)</f>
        <v/>
      </c>
      <c r="U2014" s="50" t="str">
        <f>IF(
    OR(ISBLANK(P2014), ISBLANK(Q2014)),
    "",
    MAX(1, IF(
        NETWORKDAYS(P2014, Q2014) &lt;= 0,
        1,
        NETWORKDAYS(P2014, Q2014) - IF(P2014 = Q2014, 0, 1)
    ))
)</f>
        <v/>
      </c>
      <c r="V2014" s="50" t="str">
        <f t="shared" si="188"/>
        <v/>
      </c>
      <c r="W2014" s="50"/>
      <c r="X2014" s="50"/>
      <c r="Y2014" s="50"/>
      <c r="Z2014" s="50"/>
      <c r="AA2014" s="50"/>
    </row>
    <row r="2015" spans="1:27" ht="25.5" customHeight="1">
      <c r="A2015" s="517" t="s">
        <v>778</v>
      </c>
      <c r="B2015" s="51" t="s">
        <v>1381</v>
      </c>
      <c r="C2015" s="51" t="s">
        <v>143</v>
      </c>
      <c r="D2015" s="51" t="s">
        <v>1299</v>
      </c>
      <c r="E2015" s="50">
        <v>3943</v>
      </c>
      <c r="F2015" s="50">
        <v>4241</v>
      </c>
      <c r="G2015" s="50" t="s">
        <v>3404</v>
      </c>
      <c r="H2015" s="50">
        <v>2025</v>
      </c>
      <c r="I2015" s="132">
        <v>45729</v>
      </c>
      <c r="J2015" s="50" t="s">
        <v>3416</v>
      </c>
      <c r="K2015" s="50" t="s">
        <v>35</v>
      </c>
      <c r="L2015" s="50"/>
      <c r="M2015" s="50" t="s">
        <v>148</v>
      </c>
      <c r="N2015" s="50" t="s">
        <v>5540</v>
      </c>
      <c r="O2015" s="60">
        <v>45734</v>
      </c>
      <c r="P2015" s="50"/>
      <c r="Q2015" s="60">
        <v>45734</v>
      </c>
      <c r="R2015" s="60">
        <v>45734</v>
      </c>
      <c r="S2015" s="50">
        <f t="shared" si="187"/>
        <v>3</v>
      </c>
      <c r="T2015" s="50" t="str">
        <f>IF(
    OR(ISBLANK(O2015), ISBLANK(P2015)),
    "",
    MAX(1, IF(
        NETWORKDAYS(O2015, P2015) &lt;= 0,
        1,
        NETWORKDAYS(O2015, P2015) - IF(O2015 = QP2015, 0, 1)
    ))
)</f>
        <v/>
      </c>
      <c r="U2015" s="50">
        <f>IF(
    OR(ISBLANK(1816), ISBLANK(Q2015)),
    "",
    MAX(1, IF(
        NETWORKDAYS(O2015, Q2015) &lt;= 0,
        1,
        NETWORKDAYS(O2015, Q2015) - IF(O2015 = Q2015, 0, 1)
    ))
)</f>
        <v>1</v>
      </c>
      <c r="V2015" s="50">
        <f t="shared" si="188"/>
        <v>1</v>
      </c>
      <c r="W2015" s="50" t="s">
        <v>150</v>
      </c>
      <c r="X2015" s="50" t="s">
        <v>3527</v>
      </c>
      <c r="Y2015" s="50" t="s">
        <v>3528</v>
      </c>
      <c r="Z2015" s="50" t="s">
        <v>3406</v>
      </c>
      <c r="AA2015" s="50"/>
    </row>
    <row r="2016" spans="1:27" ht="25.5" customHeight="1">
      <c r="A2016" s="517" t="s">
        <v>778</v>
      </c>
      <c r="B2016" s="51" t="s">
        <v>1381</v>
      </c>
      <c r="C2016" s="51" t="s">
        <v>143</v>
      </c>
      <c r="D2016" s="51" t="s">
        <v>4126</v>
      </c>
      <c r="E2016" s="50">
        <v>5792</v>
      </c>
      <c r="F2016" s="50">
        <v>6863</v>
      </c>
      <c r="G2016" s="50" t="s">
        <v>3404</v>
      </c>
      <c r="H2016" s="50">
        <v>2025</v>
      </c>
      <c r="I2016" s="132">
        <v>45944</v>
      </c>
      <c r="J2016" s="50" t="s">
        <v>3128</v>
      </c>
      <c r="K2016" s="50" t="s">
        <v>35</v>
      </c>
      <c r="L2016" s="50"/>
      <c r="M2016" s="50" t="s">
        <v>148</v>
      </c>
      <c r="N2016" s="50" t="s">
        <v>5541</v>
      </c>
      <c r="O2016" s="60">
        <v>45945</v>
      </c>
      <c r="P2016" s="50"/>
      <c r="Q2016" s="60">
        <v>45946</v>
      </c>
      <c r="R2016" s="60">
        <v>45950</v>
      </c>
      <c r="S2016" s="50">
        <f t="shared" si="187"/>
        <v>1</v>
      </c>
      <c r="T2016" s="50" t="str">
        <f>IF(
    OR(ISBLANK(O2016), ISBLANK(P2016)),
    "",
    MAX(1, IF(
        NETWORKDAYS(O2016, P2016) &lt;= 0,
        1,
        NETWORKDAYS(O2016, P2016) - IF(O2016 = QP2016, 0, 1)
    ))
)</f>
        <v/>
      </c>
      <c r="U2016" s="50">
        <f>IF(
    OR(ISBLANK(1816), ISBLANK(Q2016)),
    "",
    MAX(1, IF(
        NETWORKDAYS(O2016, Q2016) &lt;= 0,
        1,
        NETWORKDAYS(O2016, Q2016) - IF(O2016 = Q2016, 0, 1)
    ))
)</f>
        <v>1</v>
      </c>
      <c r="V2016" s="50">
        <f t="shared" si="188"/>
        <v>2</v>
      </c>
      <c r="W2016" s="50" t="s">
        <v>150</v>
      </c>
      <c r="X2016" s="50" t="s">
        <v>3527</v>
      </c>
      <c r="Y2016" s="50" t="s">
        <v>3528</v>
      </c>
      <c r="Z2016" s="50" t="s">
        <v>3406</v>
      </c>
      <c r="AA2016" s="50"/>
    </row>
    <row r="2017" spans="1:27" ht="25.5" customHeight="1">
      <c r="A2017" s="50" t="s">
        <v>778</v>
      </c>
      <c r="B2017" s="51" t="s">
        <v>1381</v>
      </c>
      <c r="C2017" s="51" t="s">
        <v>143</v>
      </c>
      <c r="D2017" s="51" t="s">
        <v>914</v>
      </c>
      <c r="E2017" s="50">
        <v>4436</v>
      </c>
      <c r="F2017" s="50">
        <v>4886</v>
      </c>
      <c r="G2017" s="50" t="s">
        <v>3404</v>
      </c>
      <c r="H2017" s="50">
        <v>2024</v>
      </c>
      <c r="I2017" s="132">
        <v>45581</v>
      </c>
      <c r="J2017" s="50"/>
      <c r="K2017" s="50" t="s">
        <v>35</v>
      </c>
      <c r="L2017" s="50"/>
      <c r="M2017" s="50" t="s">
        <v>148</v>
      </c>
      <c r="N2017" s="50"/>
      <c r="O2017" s="50"/>
      <c r="P2017" s="50"/>
      <c r="Q2017" s="50"/>
      <c r="R2017" s="50"/>
      <c r="S2017" s="50" t="str">
        <f t="shared" si="187"/>
        <v/>
      </c>
      <c r="T2017" s="50" t="str">
        <f>IF(
    OR(ISBLANK(O2017), ISBLANK(P2017)),
    "",
    MAX(1, IF(
        NETWORKDAYS(O2017, P2017) &lt;= 0,
        1,
        NETWORKDAYS(O2017, P2017) - IF(O2017 = P2017, 0, 1)
    ))
)</f>
        <v/>
      </c>
      <c r="U2017" s="50" t="str">
        <f>IF(
    OR(ISBLANK(P2017), ISBLANK(Q2017)),
    "",
    MAX(1, IF(
        NETWORKDAYS(P2017, Q2017) &lt;= 0,
        1,
        NETWORKDAYS(P2017, Q2017) - IF(P2017 = Q2017, 0, 1)
    ))
)</f>
        <v/>
      </c>
      <c r="V2017" s="50" t="str">
        <f t="shared" si="188"/>
        <v/>
      </c>
      <c r="W2017" s="50"/>
      <c r="X2017" s="50" t="s">
        <v>1078</v>
      </c>
      <c r="Y2017" s="50" t="s">
        <v>50</v>
      </c>
      <c r="Z2017" s="50" t="s">
        <v>3406</v>
      </c>
      <c r="AA2017" s="50"/>
    </row>
    <row r="2018" spans="1:27" s="110" customFormat="1" ht="25.5" customHeight="1">
      <c r="A2018" s="517" t="s">
        <v>778</v>
      </c>
      <c r="B2018" s="51" t="s">
        <v>1381</v>
      </c>
      <c r="C2018" s="51" t="s">
        <v>143</v>
      </c>
      <c r="D2018" s="51" t="s">
        <v>918</v>
      </c>
      <c r="E2018" s="50">
        <v>2509</v>
      </c>
      <c r="F2018" s="50">
        <v>2738</v>
      </c>
      <c r="G2018" s="50" t="s">
        <v>3404</v>
      </c>
      <c r="H2018" s="50">
        <v>2025</v>
      </c>
      <c r="I2018" s="132">
        <v>45916</v>
      </c>
      <c r="J2018" s="50" t="s">
        <v>3127</v>
      </c>
      <c r="K2018" s="50" t="s">
        <v>35</v>
      </c>
      <c r="L2018" s="50"/>
      <c r="M2018" s="50" t="s">
        <v>148</v>
      </c>
      <c r="N2018" s="50" t="s">
        <v>5542</v>
      </c>
      <c r="O2018" s="60">
        <v>45916</v>
      </c>
      <c r="P2018" s="50"/>
      <c r="Q2018" s="60">
        <v>45917</v>
      </c>
      <c r="R2018" s="60">
        <v>45917</v>
      </c>
      <c r="S2018" s="50">
        <f t="shared" si="187"/>
        <v>1</v>
      </c>
      <c r="T2018" s="50" t="str">
        <f>IF(
    OR(ISBLANK(O2018), ISBLANK(P2018)),
    "",
    MAX(1, IF(
        NETWORKDAYS(O2018, P2018) &lt;= 0,
        1,
        NETWORKDAYS(O2018, P2018) - IF(O2018 = QP2018, 0, 1)
    ))
)</f>
        <v/>
      </c>
      <c r="U2018" s="50">
        <f>IF(
    OR(ISBLANK(1816), ISBLANK(Q2018)),
    "",
    MAX(1, IF(
        NETWORKDAYS(O2018, Q2018) &lt;= 0,
        1,
        NETWORKDAYS(O2018, Q2018) - IF(O2018 = Q2018, 0, 1)
    ))
)</f>
        <v>1</v>
      </c>
      <c r="V2018" s="50">
        <f t="shared" si="188"/>
        <v>1</v>
      </c>
      <c r="W2018" s="50" t="s">
        <v>150</v>
      </c>
      <c r="X2018" s="50" t="s">
        <v>3527</v>
      </c>
      <c r="Y2018" s="50" t="s">
        <v>3528</v>
      </c>
      <c r="Z2018" s="50" t="s">
        <v>3406</v>
      </c>
      <c r="AA2018" s="50"/>
    </row>
    <row r="2019" spans="1:27" ht="25.5" customHeight="1">
      <c r="A2019" s="517" t="s">
        <v>778</v>
      </c>
      <c r="B2019" s="51" t="s">
        <v>1381</v>
      </c>
      <c r="C2019" s="51" t="s">
        <v>143</v>
      </c>
      <c r="D2019" s="51" t="s">
        <v>858</v>
      </c>
      <c r="E2019" s="50">
        <v>2076</v>
      </c>
      <c r="F2019" s="50">
        <v>2256</v>
      </c>
      <c r="G2019" s="50" t="s">
        <v>3404</v>
      </c>
      <c r="H2019" s="50">
        <v>2025</v>
      </c>
      <c r="I2019" s="132">
        <v>45757</v>
      </c>
      <c r="J2019" s="50" t="s">
        <v>3470</v>
      </c>
      <c r="K2019" s="50" t="s">
        <v>35</v>
      </c>
      <c r="L2019" s="50"/>
      <c r="M2019" s="50" t="s">
        <v>148</v>
      </c>
      <c r="N2019" s="53" t="s">
        <v>5543</v>
      </c>
      <c r="O2019" s="60">
        <v>45759</v>
      </c>
      <c r="P2019" s="50"/>
      <c r="Q2019" s="60">
        <v>45768</v>
      </c>
      <c r="R2019" s="60">
        <v>45769</v>
      </c>
      <c r="S2019" s="50">
        <f t="shared" si="187"/>
        <v>1</v>
      </c>
      <c r="T2019" s="50" t="str">
        <f>IF(
    OR(ISBLANK(O2019), ISBLANK(P2019)),
    "",
    MAX(1, IF(
        NETWORKDAYS(O2019, P2019) &lt;= 0,
        1,
        NETWORKDAYS(O2019, P2019) - IF(O2019 = QP2019, 0, 1)
    ))
)</f>
        <v/>
      </c>
      <c r="U2019" s="50">
        <f>IF(
    OR(ISBLANK(1816), ISBLANK(Q2019)),
    "",
    MAX(1, IF(
        NETWORKDAYS(O2019, Q2019) &lt;= 0,
        1,
        NETWORKDAYS(O2019, Q2019) - IF(O2019 = Q2019, 0, 1)
    ))
)</f>
        <v>5</v>
      </c>
      <c r="V2019" s="50">
        <f t="shared" si="188"/>
        <v>1</v>
      </c>
      <c r="W2019" s="50" t="s">
        <v>150</v>
      </c>
      <c r="X2019" s="50" t="s">
        <v>3527</v>
      </c>
      <c r="Y2019" s="50" t="s">
        <v>3528</v>
      </c>
      <c r="Z2019" s="50" t="s">
        <v>3406</v>
      </c>
      <c r="AA2019" s="50"/>
    </row>
    <row r="2020" spans="1:27" s="110" customFormat="1" ht="25.5" customHeight="1">
      <c r="A2020" s="517" t="s">
        <v>778</v>
      </c>
      <c r="B2020" s="51" t="s">
        <v>1381</v>
      </c>
      <c r="C2020" s="51" t="s">
        <v>143</v>
      </c>
      <c r="D2020" s="51" t="s">
        <v>3723</v>
      </c>
      <c r="E2020" s="50">
        <v>2966</v>
      </c>
      <c r="F2020" s="50">
        <v>3209</v>
      </c>
      <c r="G2020" s="50" t="s">
        <v>3404</v>
      </c>
      <c r="H2020" s="50">
        <v>2025</v>
      </c>
      <c r="I2020" s="132">
        <v>45916</v>
      </c>
      <c r="J2020" s="50" t="s">
        <v>3127</v>
      </c>
      <c r="K2020" s="50" t="s">
        <v>35</v>
      </c>
      <c r="L2020" s="50"/>
      <c r="M2020" s="50" t="s">
        <v>148</v>
      </c>
      <c r="N2020" s="50" t="s">
        <v>5544</v>
      </c>
      <c r="O2020" s="60">
        <v>45916</v>
      </c>
      <c r="P2020" s="50"/>
      <c r="Q2020" s="60">
        <v>45917</v>
      </c>
      <c r="R2020" s="60">
        <v>45918</v>
      </c>
      <c r="S2020" s="50">
        <f t="shared" si="187"/>
        <v>1</v>
      </c>
      <c r="T2020" s="50" t="str">
        <f>IF(
    OR(ISBLANK(O2020), ISBLANK(P2020)),
    "",
    MAX(1, IF(
        NETWORKDAYS(O2020, P2020) &lt;= 0,
        1,
        NETWORKDAYS(O2020, P2020) - IF(O2020 = QP2020, 0, 1)
    ))
)</f>
        <v/>
      </c>
      <c r="U2020" s="50">
        <f>IF(
    OR(ISBLANK(1816), ISBLANK(Q2020)),
    "",
    MAX(1, IF(
        NETWORKDAYS(O2020, Q2020) &lt;= 0,
        1,
        NETWORKDAYS(O2020, Q2020) - IF(O2020 = Q2020, 0, 1)
    ))
)</f>
        <v>1</v>
      </c>
      <c r="V2020" s="50">
        <f t="shared" si="188"/>
        <v>1</v>
      </c>
      <c r="W2020" s="50" t="s">
        <v>150</v>
      </c>
      <c r="X2020" s="50" t="s">
        <v>3527</v>
      </c>
      <c r="Y2020" s="50" t="s">
        <v>3528</v>
      </c>
      <c r="Z2020" s="50" t="s">
        <v>3406</v>
      </c>
      <c r="AA2020" s="50"/>
    </row>
    <row r="2021" spans="1:27" ht="25.5" customHeight="1">
      <c r="A2021" s="517" t="s">
        <v>778</v>
      </c>
      <c r="B2021" s="51" t="s">
        <v>1381</v>
      </c>
      <c r="C2021" s="51" t="s">
        <v>143</v>
      </c>
      <c r="D2021" s="51" t="s">
        <v>5545</v>
      </c>
      <c r="E2021" s="50">
        <v>2537</v>
      </c>
      <c r="F2021" s="50">
        <v>2657</v>
      </c>
      <c r="G2021" s="50" t="s">
        <v>3404</v>
      </c>
      <c r="H2021" s="50">
        <v>2025</v>
      </c>
      <c r="I2021" s="132">
        <v>45944</v>
      </c>
      <c r="J2021" s="50" t="s">
        <v>3128</v>
      </c>
      <c r="K2021" s="50" t="s">
        <v>35</v>
      </c>
      <c r="L2021" s="50"/>
      <c r="M2021" s="50" t="s">
        <v>148</v>
      </c>
      <c r="N2021" s="50" t="s">
        <v>5546</v>
      </c>
      <c r="O2021" s="60">
        <v>45945</v>
      </c>
      <c r="P2021" s="50"/>
      <c r="Q2021" s="60">
        <v>45946</v>
      </c>
      <c r="R2021" s="60">
        <v>45950</v>
      </c>
      <c r="S2021" s="50">
        <f t="shared" si="187"/>
        <v>1</v>
      </c>
      <c r="T2021" s="50" t="str">
        <f>IF(
    OR(ISBLANK(O2021), ISBLANK(P2021)),
    "",
    MAX(1, IF(
        NETWORKDAYS(O2021, P2021) &lt;= 0,
        1,
        NETWORKDAYS(O2021, P2021) - IF(O2021 = QP2021, 0, 1)
    ))
)</f>
        <v/>
      </c>
      <c r="U2021" s="50">
        <f>IF(
    OR(ISBLANK(1816), ISBLANK(Q2021)),
    "",
    MAX(1, IF(
        NETWORKDAYS(O2021, Q2021) &lt;= 0,
        1,
        NETWORKDAYS(O2021, Q2021) - IF(O2021 = Q2021, 0, 1)
    ))
)</f>
        <v>1</v>
      </c>
      <c r="V2021" s="50">
        <f t="shared" si="188"/>
        <v>2</v>
      </c>
      <c r="W2021" s="50" t="s">
        <v>150</v>
      </c>
      <c r="X2021" s="50" t="s">
        <v>3527</v>
      </c>
      <c r="Y2021" s="50" t="s">
        <v>3528</v>
      </c>
      <c r="Z2021" s="50" t="s">
        <v>3406</v>
      </c>
      <c r="AA2021" s="50"/>
    </row>
    <row r="2022" spans="1:27" ht="25.5" customHeight="1">
      <c r="A2022" s="517" t="s">
        <v>778</v>
      </c>
      <c r="B2022" s="51" t="s">
        <v>1381</v>
      </c>
      <c r="C2022" s="51" t="s">
        <v>143</v>
      </c>
      <c r="D2022" s="51" t="s">
        <v>5547</v>
      </c>
      <c r="E2022" s="50">
        <v>6060</v>
      </c>
      <c r="F2022" s="50">
        <v>6640</v>
      </c>
      <c r="G2022" s="50" t="s">
        <v>3955</v>
      </c>
      <c r="H2022" s="50"/>
      <c r="I2022" s="105"/>
      <c r="J2022" s="50"/>
      <c r="K2022" s="50" t="s">
        <v>35</v>
      </c>
      <c r="L2022" s="50"/>
      <c r="M2022" s="50" t="s">
        <v>148</v>
      </c>
      <c r="N2022" s="50"/>
      <c r="O2022" s="50"/>
      <c r="P2022" s="50"/>
      <c r="Q2022" s="50"/>
      <c r="R2022" s="50"/>
      <c r="S2022" s="50" t="str">
        <f t="shared" si="187"/>
        <v/>
      </c>
      <c r="T2022" s="50" t="str">
        <f>IF(
    OR(ISBLANK(O2022), ISBLANK(P2022)),
    "",
    MAX(1, IF(
        NETWORKDAYS(O2022, P2022) &lt;= 0,
        1,
        NETWORKDAYS(O2022, P2022) - IF(O2022 = P2022, 0, 1)
    ))
)</f>
        <v/>
      </c>
      <c r="U2022" s="50" t="str">
        <f>IF(
    OR(ISBLANK(P2022), ISBLANK(Q2022)),
    "",
    MAX(1, IF(
        NETWORKDAYS(P2022, Q2022) &lt;= 0,
        1,
        NETWORKDAYS(P2022, Q2022) - IF(P2022 = Q2022, 0, 1)
    ))
)</f>
        <v/>
      </c>
      <c r="V2022" s="50" t="str">
        <f t="shared" si="188"/>
        <v/>
      </c>
      <c r="W2022" s="50"/>
      <c r="X2022" s="50"/>
      <c r="Y2022" s="50"/>
      <c r="Z2022" s="50"/>
      <c r="AA2022" s="50"/>
    </row>
    <row r="2023" spans="1:27" ht="25.5" customHeight="1">
      <c r="A2023" s="517" t="s">
        <v>778</v>
      </c>
      <c r="B2023" s="51" t="s">
        <v>1381</v>
      </c>
      <c r="C2023" s="51" t="s">
        <v>143</v>
      </c>
      <c r="D2023" s="51" t="s">
        <v>5548</v>
      </c>
      <c r="E2023" s="50">
        <v>3500</v>
      </c>
      <c r="F2023" s="50">
        <v>4240</v>
      </c>
      <c r="G2023" s="50" t="s">
        <v>3404</v>
      </c>
      <c r="H2023" s="50">
        <v>2025</v>
      </c>
      <c r="I2023" s="132">
        <v>45854</v>
      </c>
      <c r="J2023" s="50" t="s">
        <v>3125</v>
      </c>
      <c r="K2023" s="50" t="s">
        <v>35</v>
      </c>
      <c r="L2023" s="50" t="s">
        <v>28</v>
      </c>
      <c r="M2023" s="50" t="s">
        <v>148</v>
      </c>
      <c r="N2023" s="50" t="s">
        <v>5549</v>
      </c>
      <c r="O2023" s="60">
        <v>45854</v>
      </c>
      <c r="P2023" s="60">
        <v>45856</v>
      </c>
      <c r="Q2023" s="60">
        <v>45856</v>
      </c>
      <c r="R2023" s="60">
        <v>45856</v>
      </c>
      <c r="S2023" s="50">
        <f t="shared" si="187"/>
        <v>1</v>
      </c>
      <c r="T2023" s="50">
        <f>IF(
    OR(ISBLANK(1811), ISBLANK(P2023)),
    "",
    MAX(1, IF(
        NETWORKDAYS(O2023, P2023) &lt;= 0,
        1,
        NETWORKDAYS(O2023, P2023) - IF(O2023 = P2023, 0, 1)
    ))
)</f>
        <v>2</v>
      </c>
      <c r="U2023" s="50">
        <f>IF(
    OR(ISBLANK(P2023), ISBLANK(Q2023)),
    "",
    MAX(1, IF(
        NETWORKDAYS(P2023, Q2023) &lt;= 0,
        1,
        NETWORKDAYS(P2023, Q2023) - IF(P2023 = Q2023, 0, 1)
    ))
)</f>
        <v>1</v>
      </c>
      <c r="V2023" s="50">
        <f t="shared" si="188"/>
        <v>1</v>
      </c>
      <c r="W2023" s="50" t="s">
        <v>150</v>
      </c>
      <c r="X2023" s="50" t="s">
        <v>3527</v>
      </c>
      <c r="Y2023" s="50" t="s">
        <v>3528</v>
      </c>
      <c r="Z2023" s="50" t="s">
        <v>3406</v>
      </c>
      <c r="AA2023" s="50"/>
    </row>
    <row r="2024" spans="1:27" ht="25.5" customHeight="1">
      <c r="A2024" s="517" t="s">
        <v>778</v>
      </c>
      <c r="B2024" s="51" t="s">
        <v>1381</v>
      </c>
      <c r="C2024" s="51" t="s">
        <v>143</v>
      </c>
      <c r="D2024" s="51" t="s">
        <v>1151</v>
      </c>
      <c r="E2024" s="50">
        <v>4710</v>
      </c>
      <c r="F2024" s="50">
        <v>5108</v>
      </c>
      <c r="G2024" s="50" t="s">
        <v>3404</v>
      </c>
      <c r="H2024" s="50">
        <v>2025</v>
      </c>
      <c r="I2024" s="132">
        <v>45944</v>
      </c>
      <c r="J2024" s="50" t="s">
        <v>3128</v>
      </c>
      <c r="K2024" s="50" t="s">
        <v>35</v>
      </c>
      <c r="L2024" s="50"/>
      <c r="M2024" s="50" t="s">
        <v>148</v>
      </c>
      <c r="N2024" s="50" t="s">
        <v>5550</v>
      </c>
      <c r="O2024" s="60">
        <v>45945</v>
      </c>
      <c r="P2024" s="50"/>
      <c r="Q2024" s="60">
        <v>45946</v>
      </c>
      <c r="R2024" s="60">
        <v>45950</v>
      </c>
      <c r="S2024" s="50">
        <f t="shared" si="187"/>
        <v>1</v>
      </c>
      <c r="T2024" s="50" t="str">
        <f>IF(
    OR(ISBLANK(O2024), ISBLANK(P2024)),
    "",
    MAX(1, IF(
        NETWORKDAYS(O2024, P2024) &lt;= 0,
        1,
        NETWORKDAYS(O2024, P2024) - IF(O2024 = QP2024, 0, 1)
    ))
)</f>
        <v/>
      </c>
      <c r="U2024" s="50">
        <f>IF(
    OR(ISBLANK(1816), ISBLANK(Q2024)),
    "",
    MAX(1, IF(
        NETWORKDAYS(O2024, Q2024) &lt;= 0,
        1,
        NETWORKDAYS(O2024, Q2024) - IF(O2024 = Q2024, 0, 1)
    ))
)</f>
        <v>1</v>
      </c>
      <c r="V2024" s="50">
        <f t="shared" si="188"/>
        <v>2</v>
      </c>
      <c r="W2024" s="50" t="s">
        <v>150</v>
      </c>
      <c r="X2024" s="50" t="s">
        <v>3527</v>
      </c>
      <c r="Y2024" s="50" t="s">
        <v>3528</v>
      </c>
      <c r="Z2024" s="50" t="s">
        <v>3406</v>
      </c>
      <c r="AA2024" s="50"/>
    </row>
    <row r="2025" spans="1:27" ht="25.5" customHeight="1">
      <c r="A2025" s="517" t="s">
        <v>778</v>
      </c>
      <c r="B2025" s="51" t="s">
        <v>1381</v>
      </c>
      <c r="C2025" s="51" t="s">
        <v>143</v>
      </c>
      <c r="D2025" s="51" t="s">
        <v>5551</v>
      </c>
      <c r="E2025" s="50">
        <v>1632</v>
      </c>
      <c r="F2025" s="50">
        <v>1822</v>
      </c>
      <c r="G2025" s="50" t="s">
        <v>3955</v>
      </c>
      <c r="H2025" s="50"/>
      <c r="I2025" s="105"/>
      <c r="J2025" s="50"/>
      <c r="K2025" s="50" t="s">
        <v>35</v>
      </c>
      <c r="L2025" s="50"/>
      <c r="M2025" s="50" t="s">
        <v>148</v>
      </c>
      <c r="N2025" s="50"/>
      <c r="O2025" s="50"/>
      <c r="P2025" s="50"/>
      <c r="Q2025" s="50"/>
      <c r="R2025" s="50"/>
      <c r="S2025" s="50" t="str">
        <f t="shared" si="187"/>
        <v/>
      </c>
      <c r="T2025" s="50" t="str">
        <f>IF(
    OR(ISBLANK(O2025), ISBLANK(P2025)),
    "",
    MAX(1, IF(
        NETWORKDAYS(O2025, P2025) &lt;= 0,
        1,
        NETWORKDAYS(O2025, P2025) - IF(O2025 = P2025, 0, 1)
    ))
)</f>
        <v/>
      </c>
      <c r="U2025" s="50" t="str">
        <f>IF(
    OR(ISBLANK(P2025), ISBLANK(Q2025)),
    "",
    MAX(1, IF(
        NETWORKDAYS(P2025, Q2025) &lt;= 0,
        1,
        NETWORKDAYS(P2025, Q2025) - IF(P2025 = Q2025, 0, 1)
    ))
)</f>
        <v/>
      </c>
      <c r="V2025" s="50" t="str">
        <f t="shared" si="188"/>
        <v/>
      </c>
      <c r="W2025" s="50"/>
      <c r="X2025" s="50"/>
      <c r="Y2025" s="50"/>
      <c r="Z2025" s="50"/>
      <c r="AA2025" s="50"/>
    </row>
    <row r="2026" spans="1:27" ht="25.5" customHeight="1">
      <c r="A2026" s="517" t="s">
        <v>778</v>
      </c>
      <c r="B2026" s="51" t="s">
        <v>1381</v>
      </c>
      <c r="C2026" s="51" t="s">
        <v>143</v>
      </c>
      <c r="D2026" s="51" t="s">
        <v>5552</v>
      </c>
      <c r="E2026" s="50">
        <v>2611</v>
      </c>
      <c r="F2026" s="50">
        <v>3275</v>
      </c>
      <c r="G2026" s="50" t="s">
        <v>3955</v>
      </c>
      <c r="H2026" s="50"/>
      <c r="I2026" s="105"/>
      <c r="J2026" s="50"/>
      <c r="K2026" s="50" t="s">
        <v>35</v>
      </c>
      <c r="L2026" s="50"/>
      <c r="M2026" s="50" t="s">
        <v>148</v>
      </c>
      <c r="N2026" s="50"/>
      <c r="O2026" s="50"/>
      <c r="P2026" s="50"/>
      <c r="Q2026" s="50"/>
      <c r="R2026" s="50"/>
      <c r="S2026" s="50" t="str">
        <f t="shared" si="187"/>
        <v/>
      </c>
      <c r="T2026" s="50" t="str">
        <f>IF(
    OR(ISBLANK(O2026), ISBLANK(P2026)),
    "",
    MAX(1, IF(
        NETWORKDAYS(O2026, P2026) &lt;= 0,
        1,
        NETWORKDAYS(O2026, P2026) - IF(O2026 = P2026, 0, 1)
    ))
)</f>
        <v/>
      </c>
      <c r="U2026" s="50" t="str">
        <f>IF(
    OR(ISBLANK(P2026), ISBLANK(Q2026)),
    "",
    MAX(1, IF(
        NETWORKDAYS(P2026, Q2026) &lt;= 0,
        1,
        NETWORKDAYS(P2026, Q2026) - IF(P2026 = Q2026, 0, 1)
    ))
)</f>
        <v/>
      </c>
      <c r="V2026" s="50" t="str">
        <f t="shared" si="188"/>
        <v/>
      </c>
      <c r="W2026" s="50"/>
      <c r="X2026" s="50"/>
      <c r="Y2026" s="50"/>
      <c r="Z2026" s="50"/>
      <c r="AA2026" s="50"/>
    </row>
    <row r="2027" spans="1:27" ht="25.5" customHeight="1">
      <c r="A2027" s="517" t="s">
        <v>778</v>
      </c>
      <c r="B2027" s="51" t="s">
        <v>1381</v>
      </c>
      <c r="C2027" s="51" t="s">
        <v>143</v>
      </c>
      <c r="D2027" s="51" t="s">
        <v>1253</v>
      </c>
      <c r="E2027" s="50">
        <v>5314</v>
      </c>
      <c r="F2027" s="50">
        <v>5447</v>
      </c>
      <c r="G2027" s="50" t="s">
        <v>3404</v>
      </c>
      <c r="H2027" s="50">
        <v>2025</v>
      </c>
      <c r="I2027" s="132">
        <v>45916</v>
      </c>
      <c r="J2027" s="50" t="s">
        <v>3127</v>
      </c>
      <c r="K2027" s="50" t="s">
        <v>35</v>
      </c>
      <c r="L2027" s="50"/>
      <c r="M2027" s="50" t="s">
        <v>148</v>
      </c>
      <c r="N2027" s="50" t="s">
        <v>5553</v>
      </c>
      <c r="O2027" s="60">
        <v>45916</v>
      </c>
      <c r="P2027" s="50"/>
      <c r="Q2027" s="60">
        <v>45917</v>
      </c>
      <c r="R2027" s="60">
        <v>45918</v>
      </c>
      <c r="S2027" s="50">
        <f t="shared" si="187"/>
        <v>1</v>
      </c>
      <c r="T2027" s="50" t="str">
        <f>IF(
    OR(ISBLANK(O2027), ISBLANK(P2027)),
    "",
    MAX(1, IF(
        NETWORKDAYS(O2027, P2027) &lt;= 0,
        1,
        NETWORKDAYS(O2027, P2027) - IF(O2027 = QP2027, 0, 1)
    ))
)</f>
        <v/>
      </c>
      <c r="U2027" s="50">
        <f>IF(
    OR(ISBLANK(1816), ISBLANK(Q2027)),
    "",
    MAX(1, IF(
        NETWORKDAYS(O2027, Q2027) &lt;= 0,
        1,
        NETWORKDAYS(O2027, Q2027) - IF(O2027 = Q2027, 0, 1)
    ))
)</f>
        <v>1</v>
      </c>
      <c r="V2027" s="50">
        <f t="shared" si="188"/>
        <v>1</v>
      </c>
      <c r="W2027" s="50" t="s">
        <v>150</v>
      </c>
      <c r="X2027" s="50" t="s">
        <v>3527</v>
      </c>
      <c r="Y2027" s="50" t="s">
        <v>3528</v>
      </c>
      <c r="Z2027" s="50" t="s">
        <v>3406</v>
      </c>
      <c r="AA2027" s="50"/>
    </row>
    <row r="2028" spans="1:27" s="110" customFormat="1" ht="25.5" customHeight="1">
      <c r="A2028" s="517" t="s">
        <v>778</v>
      </c>
      <c r="B2028" s="51" t="s">
        <v>1381</v>
      </c>
      <c r="C2028" s="51" t="s">
        <v>143</v>
      </c>
      <c r="D2028" s="51" t="s">
        <v>1155</v>
      </c>
      <c r="E2028" s="50">
        <v>3943</v>
      </c>
      <c r="F2028" s="50">
        <v>4251</v>
      </c>
      <c r="G2028" s="50" t="s">
        <v>3404</v>
      </c>
      <c r="H2028" s="50">
        <v>2025</v>
      </c>
      <c r="I2028" s="132">
        <v>45916</v>
      </c>
      <c r="J2028" s="50" t="s">
        <v>3127</v>
      </c>
      <c r="K2028" s="50" t="s">
        <v>35</v>
      </c>
      <c r="L2028" s="50"/>
      <c r="M2028" s="50" t="s">
        <v>148</v>
      </c>
      <c r="N2028" s="50" t="s">
        <v>5554</v>
      </c>
      <c r="O2028" s="60">
        <v>45916</v>
      </c>
      <c r="P2028" s="50"/>
      <c r="Q2028" s="60">
        <v>45917</v>
      </c>
      <c r="R2028" s="60">
        <v>45918</v>
      </c>
      <c r="S2028" s="50">
        <f t="shared" si="187"/>
        <v>1</v>
      </c>
      <c r="T2028" s="50" t="str">
        <f>IF(
    OR(ISBLANK(O2028), ISBLANK(P2028)),
    "",
    MAX(1, IF(
        NETWORKDAYS(O2028, P2028) &lt;= 0,
        1,
        NETWORKDAYS(O2028, P2028) - IF(O2028 = QP2028, 0, 1)
    ))
)</f>
        <v/>
      </c>
      <c r="U2028" s="50">
        <f>IF(
    OR(ISBLANK(1816), ISBLANK(Q2028)),
    "",
    MAX(1, IF(
        NETWORKDAYS(O2028, Q2028) &lt;= 0,
        1,
        NETWORKDAYS(O2028, Q2028) - IF(O2028 = Q2028, 0, 1)
    ))
)</f>
        <v>1</v>
      </c>
      <c r="V2028" s="50">
        <f t="shared" si="188"/>
        <v>1</v>
      </c>
      <c r="W2028" s="50" t="s">
        <v>150</v>
      </c>
      <c r="X2028" s="50" t="s">
        <v>3527</v>
      </c>
      <c r="Y2028" s="50" t="s">
        <v>3528</v>
      </c>
      <c r="Z2028" s="50" t="s">
        <v>3406</v>
      </c>
      <c r="AA2028" s="50"/>
    </row>
    <row r="2029" spans="1:27" ht="25.5" customHeight="1">
      <c r="A2029" s="517" t="s">
        <v>778</v>
      </c>
      <c r="B2029" s="51" t="s">
        <v>1381</v>
      </c>
      <c r="C2029" s="51" t="s">
        <v>143</v>
      </c>
      <c r="D2029" s="51" t="s">
        <v>5555</v>
      </c>
      <c r="E2029" s="50">
        <v>1888</v>
      </c>
      <c r="F2029" s="50">
        <v>1741</v>
      </c>
      <c r="G2029" s="50" t="s">
        <v>3404</v>
      </c>
      <c r="H2029" s="50">
        <v>2025</v>
      </c>
      <c r="I2029" s="132">
        <v>45916</v>
      </c>
      <c r="J2029" s="50" t="s">
        <v>3127</v>
      </c>
      <c r="K2029" s="50" t="s">
        <v>35</v>
      </c>
      <c r="L2029" s="50"/>
      <c r="M2029" s="50" t="s">
        <v>148</v>
      </c>
      <c r="N2029" s="50" t="s">
        <v>5556</v>
      </c>
      <c r="O2029" s="60">
        <v>45916</v>
      </c>
      <c r="P2029" s="50"/>
      <c r="Q2029" s="60">
        <v>45917</v>
      </c>
      <c r="R2029" s="60">
        <v>45918</v>
      </c>
      <c r="S2029" s="50">
        <f t="shared" si="187"/>
        <v>1</v>
      </c>
      <c r="T2029" s="50" t="str">
        <f>IF(
    OR(ISBLANK(O2029), ISBLANK(P2029)),
    "",
    MAX(1, IF(
        NETWORKDAYS(O2029, P2029) &lt;= 0,
        1,
        NETWORKDAYS(O2029, P2029) - IF(O2029 = QP2029, 0, 1)
    ))
)</f>
        <v/>
      </c>
      <c r="U2029" s="50">
        <f>IF(
    OR(ISBLANK(1816), ISBLANK(Q2029)),
    "",
    MAX(1, IF(
        NETWORKDAYS(O2029, Q2029) &lt;= 0,
        1,
        NETWORKDAYS(O2029, Q2029) - IF(O2029 = Q2029, 0, 1)
    ))
)</f>
        <v>1</v>
      </c>
      <c r="V2029" s="50">
        <f t="shared" si="188"/>
        <v>1</v>
      </c>
      <c r="W2029" s="50" t="s">
        <v>150</v>
      </c>
      <c r="X2029" s="50" t="s">
        <v>3527</v>
      </c>
      <c r="Y2029" s="50" t="s">
        <v>3528</v>
      </c>
      <c r="Z2029" s="50"/>
      <c r="AA2029" s="50"/>
    </row>
    <row r="2030" spans="1:27" ht="25.5" customHeight="1">
      <c r="A2030" s="517" t="s">
        <v>778</v>
      </c>
      <c r="B2030" s="51" t="s">
        <v>1381</v>
      </c>
      <c r="C2030" s="51" t="s">
        <v>143</v>
      </c>
      <c r="D2030" s="51" t="s">
        <v>3974</v>
      </c>
      <c r="E2030" s="50">
        <v>3251</v>
      </c>
      <c r="F2030" s="50">
        <v>3474</v>
      </c>
      <c r="G2030" s="50" t="s">
        <v>3404</v>
      </c>
      <c r="H2030" s="50">
        <v>2025</v>
      </c>
      <c r="I2030" s="132">
        <v>45729</v>
      </c>
      <c r="J2030" s="50" t="s">
        <v>3416</v>
      </c>
      <c r="K2030" s="50" t="s">
        <v>35</v>
      </c>
      <c r="L2030" s="50"/>
      <c r="M2030" s="50" t="s">
        <v>148</v>
      </c>
      <c r="N2030" s="50" t="s">
        <v>5557</v>
      </c>
      <c r="O2030" s="60">
        <v>45734</v>
      </c>
      <c r="P2030" s="50"/>
      <c r="Q2030" s="60">
        <v>45734</v>
      </c>
      <c r="R2030" s="60">
        <v>45734</v>
      </c>
      <c r="S2030" s="50">
        <f t="shared" si="187"/>
        <v>3</v>
      </c>
      <c r="T2030" s="50" t="str">
        <f>IF(
    OR(ISBLANK(O2030), ISBLANK(P2030)),
    "",
    MAX(1, IF(
        NETWORKDAYS(O2030, P2030) &lt;= 0,
        1,
        NETWORKDAYS(O2030, P2030) - IF(O2030 = QP2030, 0, 1)
    ))
)</f>
        <v/>
      </c>
      <c r="U2030" s="50">
        <f>IF(
    OR(ISBLANK(1816), ISBLANK(Q2030)),
    "",
    MAX(1, IF(
        NETWORKDAYS(O2030, Q2030) &lt;= 0,
        1,
        NETWORKDAYS(O2030, Q2030) - IF(O2030 = Q2030, 0, 1)
    ))
)</f>
        <v>1</v>
      </c>
      <c r="V2030" s="50">
        <f t="shared" si="188"/>
        <v>1</v>
      </c>
      <c r="W2030" s="50" t="s">
        <v>150</v>
      </c>
      <c r="X2030" s="50" t="s">
        <v>3527</v>
      </c>
      <c r="Y2030" s="50" t="s">
        <v>3528</v>
      </c>
      <c r="Z2030" s="50" t="s">
        <v>3406</v>
      </c>
      <c r="AA2030" s="50"/>
    </row>
    <row r="2031" spans="1:27" ht="25.5" customHeight="1">
      <c r="A2031" s="517" t="s">
        <v>778</v>
      </c>
      <c r="B2031" s="51" t="s">
        <v>1381</v>
      </c>
      <c r="C2031" s="51" t="s">
        <v>143</v>
      </c>
      <c r="D2031" s="51" t="s">
        <v>1166</v>
      </c>
      <c r="E2031" s="50">
        <v>5972</v>
      </c>
      <c r="F2031" s="50">
        <v>6098</v>
      </c>
      <c r="G2031" s="50" t="s">
        <v>3955</v>
      </c>
      <c r="H2031" s="50"/>
      <c r="I2031" s="105"/>
      <c r="J2031" s="50"/>
      <c r="K2031" s="50" t="s">
        <v>35</v>
      </c>
      <c r="L2031" s="50"/>
      <c r="M2031" s="50" t="s">
        <v>148</v>
      </c>
      <c r="N2031" s="50"/>
      <c r="O2031" s="50"/>
      <c r="P2031" s="50"/>
      <c r="Q2031" s="50"/>
      <c r="R2031" s="50"/>
      <c r="S2031" s="50" t="str">
        <f t="shared" si="187"/>
        <v/>
      </c>
      <c r="T2031" s="50" t="str">
        <f t="shared" ref="T2031:U2033" si="193">IF(
    OR(ISBLANK(O2031), ISBLANK(P2031)),
    "",
    MAX(1, IF(
        NETWORKDAYS(O2031, P2031) &lt;= 0,
        1,
        NETWORKDAYS(O2031, P2031) - IF(O2031 = P2031, 0, 1)
    ))
)</f>
        <v/>
      </c>
      <c r="U2031" s="50" t="str">
        <f t="shared" si="193"/>
        <v/>
      </c>
      <c r="V2031" s="50" t="str">
        <f t="shared" si="188"/>
        <v/>
      </c>
      <c r="W2031" s="50"/>
      <c r="X2031" s="50"/>
      <c r="Y2031" s="50"/>
      <c r="Z2031" s="50"/>
      <c r="AA2031" s="50"/>
    </row>
    <row r="2032" spans="1:27" ht="25.5" customHeight="1">
      <c r="A2032" s="517" t="s">
        <v>778</v>
      </c>
      <c r="B2032" s="51" t="s">
        <v>1381</v>
      </c>
      <c r="C2032" s="51" t="s">
        <v>143</v>
      </c>
      <c r="D2032" s="51" t="s">
        <v>4027</v>
      </c>
      <c r="E2032" s="50">
        <v>3438</v>
      </c>
      <c r="F2032" s="50">
        <v>3920</v>
      </c>
      <c r="G2032" s="50" t="s">
        <v>3955</v>
      </c>
      <c r="H2032" s="50"/>
      <c r="I2032" s="105"/>
      <c r="J2032" s="50"/>
      <c r="K2032" s="50" t="s">
        <v>35</v>
      </c>
      <c r="L2032" s="50"/>
      <c r="M2032" s="50" t="s">
        <v>148</v>
      </c>
      <c r="N2032" s="50"/>
      <c r="O2032" s="50"/>
      <c r="P2032" s="50"/>
      <c r="Q2032" s="50"/>
      <c r="R2032" s="50"/>
      <c r="S2032" s="50" t="str">
        <f t="shared" ref="S2032:S2095" si="194">IF(
    OR(ISBLANK(I2032), ISBLANK(O2032)),
    "",
    MAX(1, IF(
        NETWORKDAYS(I2032, O2032) &lt;= 0,
        1,
        NETWORKDAYS(I2032, O2032) - IF(I2032 = O2032, 0, 1)
    ))
)</f>
        <v/>
      </c>
      <c r="T2032" s="50" t="str">
        <f t="shared" si="193"/>
        <v/>
      </c>
      <c r="U2032" s="50" t="str">
        <f t="shared" si="193"/>
        <v/>
      </c>
      <c r="V2032" s="50" t="str">
        <f t="shared" ref="V2032:V2095" si="195">IF(
    OR(ISBLANK(Q2032), ISBLANK(R2032)),
    "",
    MAX(1, IF(
        NETWORKDAYS(Q2032, R2032) &lt;= 0,
        1,
        NETWORKDAYS(Q2032, R2032) - IF(Q2032 = R2032, 0, 1)
    ))
)</f>
        <v/>
      </c>
      <c r="W2032" s="50"/>
      <c r="X2032" s="50"/>
      <c r="Y2032" s="50"/>
      <c r="Z2032" s="50"/>
      <c r="AA2032" s="50"/>
    </row>
    <row r="2033" spans="1:27" ht="25.5" customHeight="1">
      <c r="A2033" s="517" t="s">
        <v>778</v>
      </c>
      <c r="B2033" s="51" t="s">
        <v>1381</v>
      </c>
      <c r="C2033" s="51" t="s">
        <v>143</v>
      </c>
      <c r="D2033" s="51" t="s">
        <v>5558</v>
      </c>
      <c r="E2033" s="50">
        <v>5961</v>
      </c>
      <c r="F2033" s="50">
        <v>6014</v>
      </c>
      <c r="G2033" s="50" t="s">
        <v>3955</v>
      </c>
      <c r="H2033" s="50"/>
      <c r="I2033" s="105"/>
      <c r="J2033" s="50"/>
      <c r="K2033" s="50" t="s">
        <v>35</v>
      </c>
      <c r="L2033" s="50"/>
      <c r="M2033" s="50" t="s">
        <v>148</v>
      </c>
      <c r="N2033" s="50"/>
      <c r="O2033" s="50"/>
      <c r="P2033" s="50"/>
      <c r="Q2033" s="50"/>
      <c r="R2033" s="50"/>
      <c r="S2033" s="50" t="str">
        <f t="shared" si="194"/>
        <v/>
      </c>
      <c r="T2033" s="50" t="str">
        <f t="shared" si="193"/>
        <v/>
      </c>
      <c r="U2033" s="50" t="str">
        <f t="shared" si="193"/>
        <v/>
      </c>
      <c r="V2033" s="50" t="str">
        <f t="shared" si="195"/>
        <v/>
      </c>
      <c r="W2033" s="50"/>
      <c r="X2033" s="50"/>
      <c r="Y2033" s="50"/>
      <c r="Z2033" s="50"/>
      <c r="AA2033" s="50"/>
    </row>
    <row r="2034" spans="1:27" ht="25.5" customHeight="1">
      <c r="A2034" s="517" t="s">
        <v>778</v>
      </c>
      <c r="B2034" s="51" t="s">
        <v>1381</v>
      </c>
      <c r="C2034" s="51" t="s">
        <v>143</v>
      </c>
      <c r="D2034" s="51" t="s">
        <v>3977</v>
      </c>
      <c r="E2034" s="50">
        <v>3605</v>
      </c>
      <c r="F2034" s="50">
        <v>3767</v>
      </c>
      <c r="G2034" s="50" t="s">
        <v>3404</v>
      </c>
      <c r="H2034" s="50">
        <v>2025</v>
      </c>
      <c r="I2034" s="132">
        <v>45944</v>
      </c>
      <c r="J2034" s="50" t="s">
        <v>3128</v>
      </c>
      <c r="K2034" s="50" t="s">
        <v>35</v>
      </c>
      <c r="L2034" s="50"/>
      <c r="M2034" s="50" t="s">
        <v>148</v>
      </c>
      <c r="N2034" s="50" t="s">
        <v>5559</v>
      </c>
      <c r="O2034" s="60">
        <v>45945</v>
      </c>
      <c r="P2034" s="50"/>
      <c r="Q2034" s="60">
        <v>45946</v>
      </c>
      <c r="R2034" s="60">
        <v>45950</v>
      </c>
      <c r="S2034" s="50">
        <f t="shared" si="194"/>
        <v>1</v>
      </c>
      <c r="T2034" s="50" t="str">
        <f>IF(
    OR(ISBLANK(O2034), ISBLANK(P2034)),
    "",
    MAX(1, IF(
        NETWORKDAYS(O2034, P2034) &lt;= 0,
        1,
        NETWORKDAYS(O2034, P2034) - IF(O2034 = QP2034, 0, 1)
    ))
)</f>
        <v/>
      </c>
      <c r="U2034" s="50">
        <f>IF(
    OR(ISBLANK(1816), ISBLANK(Q2034)),
    "",
    MAX(1, IF(
        NETWORKDAYS(O2034, Q2034) &lt;= 0,
        1,
        NETWORKDAYS(O2034, Q2034) - IF(O2034 = Q2034, 0, 1)
    ))
)</f>
        <v>1</v>
      </c>
      <c r="V2034" s="50">
        <f t="shared" si="195"/>
        <v>2</v>
      </c>
      <c r="W2034" s="50" t="s">
        <v>150</v>
      </c>
      <c r="X2034" s="50" t="s">
        <v>3527</v>
      </c>
      <c r="Y2034" s="50" t="s">
        <v>3528</v>
      </c>
      <c r="Z2034" s="50" t="s">
        <v>3406</v>
      </c>
      <c r="AA2034" s="50"/>
    </row>
    <row r="2035" spans="1:27" s="110" customFormat="1" ht="25.5" customHeight="1">
      <c r="A2035" s="517" t="s">
        <v>778</v>
      </c>
      <c r="B2035" s="51" t="s">
        <v>1381</v>
      </c>
      <c r="C2035" s="51" t="s">
        <v>143</v>
      </c>
      <c r="D2035" s="51" t="s">
        <v>4130</v>
      </c>
      <c r="E2035" s="50">
        <v>2099</v>
      </c>
      <c r="F2035" s="50">
        <v>2175</v>
      </c>
      <c r="G2035" s="50" t="s">
        <v>3404</v>
      </c>
      <c r="H2035" s="50">
        <v>2025</v>
      </c>
      <c r="I2035" s="132">
        <v>45944</v>
      </c>
      <c r="J2035" s="50" t="s">
        <v>3128</v>
      </c>
      <c r="K2035" s="50" t="s">
        <v>35</v>
      </c>
      <c r="L2035" s="50"/>
      <c r="M2035" s="50" t="s">
        <v>148</v>
      </c>
      <c r="N2035" s="50" t="s">
        <v>5560</v>
      </c>
      <c r="O2035" s="60">
        <v>45945</v>
      </c>
      <c r="P2035" s="50"/>
      <c r="Q2035" s="60">
        <v>45946</v>
      </c>
      <c r="R2035" s="60">
        <v>45950</v>
      </c>
      <c r="S2035" s="50">
        <f t="shared" si="194"/>
        <v>1</v>
      </c>
      <c r="T2035" s="50" t="str">
        <f>IF(
    OR(ISBLANK(O2035), ISBLANK(P2035)),
    "",
    MAX(1, IF(
        NETWORKDAYS(O2035, P2035) &lt;= 0,
        1,
        NETWORKDAYS(O2035, P2035) - IF(O2035 = QP2035, 0, 1)
    ))
)</f>
        <v/>
      </c>
      <c r="U2035" s="50">
        <f>IF(
    OR(ISBLANK(1816), ISBLANK(Q2035)),
    "",
    MAX(1, IF(
        NETWORKDAYS(O2035, Q2035) &lt;= 0,
        1,
        NETWORKDAYS(O2035, Q2035) - IF(O2035 = Q2035, 0, 1)
    ))
)</f>
        <v>1</v>
      </c>
      <c r="V2035" s="50">
        <f t="shared" si="195"/>
        <v>2</v>
      </c>
      <c r="W2035" s="50" t="s">
        <v>150</v>
      </c>
      <c r="X2035" s="50" t="s">
        <v>3527</v>
      </c>
      <c r="Y2035" s="50" t="s">
        <v>3528</v>
      </c>
      <c r="Z2035" s="50" t="s">
        <v>3406</v>
      </c>
      <c r="AA2035" s="50"/>
    </row>
    <row r="2036" spans="1:27" ht="25.5" customHeight="1">
      <c r="A2036" s="50" t="s">
        <v>778</v>
      </c>
      <c r="B2036" s="51" t="s">
        <v>1383</v>
      </c>
      <c r="C2036" s="51" t="s">
        <v>143</v>
      </c>
      <c r="D2036" s="51" t="s">
        <v>5561</v>
      </c>
      <c r="E2036" s="50">
        <v>12061</v>
      </c>
      <c r="F2036" s="50">
        <v>12955</v>
      </c>
      <c r="G2036" s="50" t="s">
        <v>3404</v>
      </c>
      <c r="H2036" s="50">
        <v>2024</v>
      </c>
      <c r="I2036" s="132">
        <v>45540</v>
      </c>
      <c r="J2036" s="50"/>
      <c r="K2036" s="50" t="s">
        <v>35</v>
      </c>
      <c r="L2036" s="50"/>
      <c r="M2036" s="50" t="s">
        <v>148</v>
      </c>
      <c r="N2036" s="50"/>
      <c r="O2036" s="60"/>
      <c r="P2036" s="50"/>
      <c r="Q2036" s="60"/>
      <c r="R2036" s="60"/>
      <c r="S2036" s="50" t="str">
        <f t="shared" si="194"/>
        <v/>
      </c>
      <c r="T2036" s="50" t="str">
        <f t="shared" ref="T2036:T2045" si="196">IF(
    OR(ISBLANK(O2036), ISBLANK(P2036)),
    "",
    MAX(1, IF(
        NETWORKDAYS(O2036, P2036) &lt;= 0,
        1,
        NETWORKDAYS(O2036, P2036) - IF(O2036 = P2036, 0, 1)
    ))
)</f>
        <v/>
      </c>
      <c r="U2036" s="50" t="str">
        <f t="shared" ref="U2036:U2045" si="197">IF(
    OR(ISBLANK(P2036), ISBLANK(Q2036)),
    "",
    MAX(1, IF(
        NETWORKDAYS(P2036, Q2036) &lt;= 0,
        1,
        NETWORKDAYS(P2036, Q2036) - IF(P2036 = Q2036, 0, 1)
    ))
)</f>
        <v/>
      </c>
      <c r="V2036" s="50" t="str">
        <f t="shared" si="195"/>
        <v/>
      </c>
      <c r="W2036" s="50"/>
      <c r="X2036" s="50" t="s">
        <v>4</v>
      </c>
      <c r="Y2036" s="50" t="s">
        <v>50</v>
      </c>
      <c r="Z2036" s="50" t="s">
        <v>3406</v>
      </c>
      <c r="AA2036" s="50"/>
    </row>
    <row r="2037" spans="1:27" ht="25.5" customHeight="1">
      <c r="A2037" s="517" t="s">
        <v>778</v>
      </c>
      <c r="B2037" s="51" t="s">
        <v>1383</v>
      </c>
      <c r="C2037" s="51" t="s">
        <v>143</v>
      </c>
      <c r="D2037" s="51" t="s">
        <v>5562</v>
      </c>
      <c r="E2037" s="50">
        <v>2165</v>
      </c>
      <c r="F2037" s="50">
        <v>2492</v>
      </c>
      <c r="G2037" s="50" t="s">
        <v>3955</v>
      </c>
      <c r="H2037" s="50"/>
      <c r="I2037" s="105"/>
      <c r="J2037" s="50"/>
      <c r="K2037" s="50" t="s">
        <v>35</v>
      </c>
      <c r="L2037" s="50"/>
      <c r="M2037" s="50" t="s">
        <v>148</v>
      </c>
      <c r="N2037" s="50"/>
      <c r="O2037" s="50"/>
      <c r="P2037" s="50"/>
      <c r="Q2037" s="50"/>
      <c r="R2037" s="50"/>
      <c r="S2037" s="50" t="str">
        <f t="shared" si="194"/>
        <v/>
      </c>
      <c r="T2037" s="50" t="str">
        <f t="shared" si="196"/>
        <v/>
      </c>
      <c r="U2037" s="50" t="str">
        <f t="shared" si="197"/>
        <v/>
      </c>
      <c r="V2037" s="50" t="str">
        <f t="shared" si="195"/>
        <v/>
      </c>
      <c r="W2037" s="50"/>
      <c r="X2037" s="50"/>
      <c r="Y2037" s="50"/>
      <c r="Z2037" s="50"/>
      <c r="AA2037" s="50"/>
    </row>
    <row r="2038" spans="1:27" ht="25.5" customHeight="1">
      <c r="A2038" s="517" t="s">
        <v>778</v>
      </c>
      <c r="B2038" s="51" t="s">
        <v>1383</v>
      </c>
      <c r="C2038" s="51" t="s">
        <v>143</v>
      </c>
      <c r="D2038" s="51" t="s">
        <v>5563</v>
      </c>
      <c r="E2038" s="50">
        <v>839</v>
      </c>
      <c r="F2038" s="50">
        <v>1374</v>
      </c>
      <c r="G2038" s="50" t="s">
        <v>3955</v>
      </c>
      <c r="H2038" s="50"/>
      <c r="I2038" s="105"/>
      <c r="J2038" s="50"/>
      <c r="K2038" s="50" t="s">
        <v>35</v>
      </c>
      <c r="L2038" s="50"/>
      <c r="M2038" s="50" t="s">
        <v>148</v>
      </c>
      <c r="N2038" s="50"/>
      <c r="O2038" s="50"/>
      <c r="P2038" s="50"/>
      <c r="Q2038" s="50"/>
      <c r="R2038" s="50"/>
      <c r="S2038" s="50" t="str">
        <f t="shared" si="194"/>
        <v/>
      </c>
      <c r="T2038" s="50" t="str">
        <f t="shared" si="196"/>
        <v/>
      </c>
      <c r="U2038" s="50" t="str">
        <f t="shared" si="197"/>
        <v/>
      </c>
      <c r="V2038" s="50" t="str">
        <f t="shared" si="195"/>
        <v/>
      </c>
      <c r="W2038" s="50"/>
      <c r="X2038" s="50"/>
      <c r="Y2038" s="50"/>
      <c r="Z2038" s="50"/>
      <c r="AA2038" s="50"/>
    </row>
    <row r="2039" spans="1:27" ht="25.5" customHeight="1">
      <c r="A2039" s="517" t="s">
        <v>778</v>
      </c>
      <c r="B2039" s="51" t="s">
        <v>1383</v>
      </c>
      <c r="C2039" s="51" t="s">
        <v>143</v>
      </c>
      <c r="D2039" s="51" t="s">
        <v>5564</v>
      </c>
      <c r="E2039" s="50">
        <v>758</v>
      </c>
      <c r="F2039" s="50">
        <v>800</v>
      </c>
      <c r="G2039" s="50" t="s">
        <v>3955</v>
      </c>
      <c r="H2039" s="50"/>
      <c r="I2039" s="105"/>
      <c r="J2039" s="50"/>
      <c r="K2039" s="50" t="s">
        <v>35</v>
      </c>
      <c r="L2039" s="50"/>
      <c r="M2039" s="50" t="s">
        <v>148</v>
      </c>
      <c r="N2039" s="50"/>
      <c r="O2039" s="50"/>
      <c r="P2039" s="50"/>
      <c r="Q2039" s="50"/>
      <c r="R2039" s="50"/>
      <c r="S2039" s="50" t="str">
        <f t="shared" si="194"/>
        <v/>
      </c>
      <c r="T2039" s="50" t="str">
        <f t="shared" si="196"/>
        <v/>
      </c>
      <c r="U2039" s="50" t="str">
        <f t="shared" si="197"/>
        <v/>
      </c>
      <c r="V2039" s="50" t="str">
        <f t="shared" si="195"/>
        <v/>
      </c>
      <c r="W2039" s="50"/>
      <c r="X2039" s="50"/>
      <c r="Y2039" s="50"/>
      <c r="Z2039" s="50"/>
      <c r="AA2039" s="50"/>
    </row>
    <row r="2040" spans="1:27" s="110" customFormat="1" ht="25.5" customHeight="1">
      <c r="A2040" s="517" t="s">
        <v>778</v>
      </c>
      <c r="B2040" s="51" t="s">
        <v>1383</v>
      </c>
      <c r="C2040" s="51" t="s">
        <v>143</v>
      </c>
      <c r="D2040" s="51" t="s">
        <v>5565</v>
      </c>
      <c r="E2040" s="50">
        <v>4548</v>
      </c>
      <c r="F2040" s="50">
        <v>4425</v>
      </c>
      <c r="G2040" s="50" t="s">
        <v>3955</v>
      </c>
      <c r="H2040" s="50"/>
      <c r="I2040" s="105"/>
      <c r="J2040" s="50"/>
      <c r="K2040" s="50" t="s">
        <v>35</v>
      </c>
      <c r="L2040" s="50"/>
      <c r="M2040" s="50" t="s">
        <v>148</v>
      </c>
      <c r="N2040" s="50"/>
      <c r="O2040" s="50"/>
      <c r="P2040" s="50"/>
      <c r="Q2040" s="50"/>
      <c r="R2040" s="50"/>
      <c r="S2040" s="50" t="str">
        <f t="shared" si="194"/>
        <v/>
      </c>
      <c r="T2040" s="50" t="str">
        <f t="shared" si="196"/>
        <v/>
      </c>
      <c r="U2040" s="50" t="str">
        <f t="shared" si="197"/>
        <v/>
      </c>
      <c r="V2040" s="50" t="str">
        <f t="shared" si="195"/>
        <v/>
      </c>
      <c r="W2040" s="50"/>
      <c r="X2040" s="50"/>
      <c r="Y2040" s="50"/>
      <c r="Z2040" s="50"/>
      <c r="AA2040" s="50"/>
    </row>
    <row r="2041" spans="1:27" ht="25.5" customHeight="1">
      <c r="A2041" s="50" t="s">
        <v>778</v>
      </c>
      <c r="B2041" s="51" t="s">
        <v>1383</v>
      </c>
      <c r="C2041" s="51" t="s">
        <v>143</v>
      </c>
      <c r="D2041" s="51" t="s">
        <v>5566</v>
      </c>
      <c r="E2041" s="50">
        <v>2784</v>
      </c>
      <c r="F2041" s="50">
        <v>2975</v>
      </c>
      <c r="G2041" s="50" t="s">
        <v>3404</v>
      </c>
      <c r="H2041" s="50">
        <v>2024</v>
      </c>
      <c r="I2041" s="132">
        <v>45485</v>
      </c>
      <c r="J2041" s="50"/>
      <c r="K2041" s="50" t="s">
        <v>35</v>
      </c>
      <c r="L2041" s="50"/>
      <c r="M2041" s="50" t="s">
        <v>148</v>
      </c>
      <c r="N2041" s="50"/>
      <c r="O2041" s="50"/>
      <c r="P2041" s="50"/>
      <c r="Q2041" s="50"/>
      <c r="R2041" s="50"/>
      <c r="S2041" s="50" t="str">
        <f t="shared" si="194"/>
        <v/>
      </c>
      <c r="T2041" s="50" t="str">
        <f t="shared" si="196"/>
        <v/>
      </c>
      <c r="U2041" s="50" t="str">
        <f t="shared" si="197"/>
        <v/>
      </c>
      <c r="V2041" s="50" t="str">
        <f t="shared" si="195"/>
        <v/>
      </c>
      <c r="W2041" s="50"/>
      <c r="X2041" s="50" t="s">
        <v>4</v>
      </c>
      <c r="Y2041" s="50" t="s">
        <v>50</v>
      </c>
      <c r="Z2041" s="50" t="s">
        <v>3406</v>
      </c>
      <c r="AA2041" s="50"/>
    </row>
    <row r="2042" spans="1:27" ht="25.5" customHeight="1">
      <c r="A2042" s="517" t="s">
        <v>778</v>
      </c>
      <c r="B2042" s="51" t="s">
        <v>1383</v>
      </c>
      <c r="C2042" s="51" t="s">
        <v>143</v>
      </c>
      <c r="D2042" s="51" t="s">
        <v>1185</v>
      </c>
      <c r="E2042" s="50">
        <v>7493</v>
      </c>
      <c r="F2042" s="50">
        <v>8473</v>
      </c>
      <c r="G2042" s="50" t="s">
        <v>3955</v>
      </c>
      <c r="H2042" s="50"/>
      <c r="I2042" s="105"/>
      <c r="J2042" s="50"/>
      <c r="K2042" s="50" t="s">
        <v>35</v>
      </c>
      <c r="L2042" s="50"/>
      <c r="M2042" s="50" t="s">
        <v>148</v>
      </c>
      <c r="N2042" s="50"/>
      <c r="O2042" s="50"/>
      <c r="P2042" s="50"/>
      <c r="Q2042" s="50"/>
      <c r="R2042" s="50"/>
      <c r="S2042" s="50" t="str">
        <f t="shared" si="194"/>
        <v/>
      </c>
      <c r="T2042" s="50" t="str">
        <f t="shared" si="196"/>
        <v/>
      </c>
      <c r="U2042" s="50" t="str">
        <f t="shared" si="197"/>
        <v/>
      </c>
      <c r="V2042" s="50" t="str">
        <f t="shared" si="195"/>
        <v/>
      </c>
      <c r="W2042" s="50"/>
      <c r="X2042" s="50"/>
      <c r="Y2042" s="50"/>
      <c r="Z2042" s="50"/>
      <c r="AA2042" s="50"/>
    </row>
    <row r="2043" spans="1:27" ht="25.5" customHeight="1">
      <c r="A2043" s="517" t="s">
        <v>778</v>
      </c>
      <c r="B2043" s="51" t="s">
        <v>1383</v>
      </c>
      <c r="C2043" s="51" t="s">
        <v>143</v>
      </c>
      <c r="D2043" s="51" t="s">
        <v>5567</v>
      </c>
      <c r="E2043" s="50">
        <v>1564</v>
      </c>
      <c r="F2043" s="50">
        <v>1636</v>
      </c>
      <c r="G2043" s="50" t="s">
        <v>3955</v>
      </c>
      <c r="H2043" s="50"/>
      <c r="I2043" s="105"/>
      <c r="J2043" s="50"/>
      <c r="K2043" s="50" t="s">
        <v>35</v>
      </c>
      <c r="L2043" s="50"/>
      <c r="M2043" s="50" t="s">
        <v>148</v>
      </c>
      <c r="N2043" s="50"/>
      <c r="O2043" s="50"/>
      <c r="P2043" s="50"/>
      <c r="Q2043" s="50"/>
      <c r="R2043" s="50"/>
      <c r="S2043" s="50" t="str">
        <f t="shared" si="194"/>
        <v/>
      </c>
      <c r="T2043" s="50" t="str">
        <f t="shared" si="196"/>
        <v/>
      </c>
      <c r="U2043" s="50" t="str">
        <f t="shared" si="197"/>
        <v/>
      </c>
      <c r="V2043" s="50" t="str">
        <f t="shared" si="195"/>
        <v/>
      </c>
      <c r="W2043" s="50"/>
      <c r="X2043" s="50"/>
      <c r="Y2043" s="50"/>
      <c r="Z2043" s="50" t="s">
        <v>3406</v>
      </c>
      <c r="AA2043" s="50"/>
    </row>
    <row r="2044" spans="1:27" ht="25.5" customHeight="1">
      <c r="A2044" s="517" t="s">
        <v>778</v>
      </c>
      <c r="B2044" s="51" t="s">
        <v>1383</v>
      </c>
      <c r="C2044" s="51" t="s">
        <v>143</v>
      </c>
      <c r="D2044" s="51" t="s">
        <v>5481</v>
      </c>
      <c r="E2044" s="50">
        <v>1936</v>
      </c>
      <c r="F2044" s="50">
        <v>2312</v>
      </c>
      <c r="G2044" s="50" t="s">
        <v>3955</v>
      </c>
      <c r="H2044" s="50"/>
      <c r="I2044" s="105"/>
      <c r="J2044" s="50"/>
      <c r="K2044" s="50" t="s">
        <v>35</v>
      </c>
      <c r="L2044" s="50"/>
      <c r="M2044" s="50" t="s">
        <v>148</v>
      </c>
      <c r="N2044" s="50"/>
      <c r="O2044" s="50"/>
      <c r="P2044" s="50"/>
      <c r="Q2044" s="50"/>
      <c r="R2044" s="50"/>
      <c r="S2044" s="50" t="str">
        <f t="shared" si="194"/>
        <v/>
      </c>
      <c r="T2044" s="50" t="str">
        <f t="shared" si="196"/>
        <v/>
      </c>
      <c r="U2044" s="50" t="str">
        <f t="shared" si="197"/>
        <v/>
      </c>
      <c r="V2044" s="50" t="str">
        <f t="shared" si="195"/>
        <v/>
      </c>
      <c r="W2044" s="50"/>
      <c r="X2044" s="50"/>
      <c r="Y2044" s="50"/>
      <c r="Z2044" s="50"/>
      <c r="AA2044" s="50"/>
    </row>
    <row r="2045" spans="1:27" ht="25.5" customHeight="1">
      <c r="A2045" s="517" t="s">
        <v>778</v>
      </c>
      <c r="B2045" s="51" t="s">
        <v>1383</v>
      </c>
      <c r="C2045" s="51" t="s">
        <v>143</v>
      </c>
      <c r="D2045" s="51" t="s">
        <v>5568</v>
      </c>
      <c r="E2045" s="50">
        <v>4629</v>
      </c>
      <c r="F2045" s="50">
        <v>5703</v>
      </c>
      <c r="G2045" s="50" t="s">
        <v>3955</v>
      </c>
      <c r="H2045" s="50"/>
      <c r="I2045" s="105"/>
      <c r="J2045" s="50"/>
      <c r="K2045" s="50" t="s">
        <v>35</v>
      </c>
      <c r="L2045" s="50"/>
      <c r="M2045" s="50" t="s">
        <v>148</v>
      </c>
      <c r="N2045" s="50"/>
      <c r="O2045" s="50"/>
      <c r="P2045" s="50"/>
      <c r="Q2045" s="50"/>
      <c r="R2045" s="50"/>
      <c r="S2045" s="50" t="str">
        <f t="shared" si="194"/>
        <v/>
      </c>
      <c r="T2045" s="50" t="str">
        <f t="shared" si="196"/>
        <v/>
      </c>
      <c r="U2045" s="50" t="str">
        <f t="shared" si="197"/>
        <v/>
      </c>
      <c r="V2045" s="50" t="str">
        <f t="shared" si="195"/>
        <v/>
      </c>
      <c r="W2045" s="50"/>
      <c r="X2045" s="50"/>
      <c r="Y2045" s="50"/>
      <c r="Z2045" s="50"/>
      <c r="AA2045" s="50"/>
    </row>
    <row r="2046" spans="1:27" ht="25.5" customHeight="1">
      <c r="A2046" s="517" t="s">
        <v>778</v>
      </c>
      <c r="B2046" s="51" t="s">
        <v>1383</v>
      </c>
      <c r="C2046" s="51" t="s">
        <v>143</v>
      </c>
      <c r="D2046" s="51" t="s">
        <v>4613</v>
      </c>
      <c r="E2046" s="50">
        <v>6344</v>
      </c>
      <c r="F2046" s="50">
        <v>7084</v>
      </c>
      <c r="G2046" s="50" t="s">
        <v>3404</v>
      </c>
      <c r="H2046" s="50">
        <v>2025</v>
      </c>
      <c r="I2046" s="132">
        <v>45791</v>
      </c>
      <c r="J2046" s="50" t="s">
        <v>3532</v>
      </c>
      <c r="K2046" s="50" t="s">
        <v>35</v>
      </c>
      <c r="L2046" s="50"/>
      <c r="M2046" s="50" t="s">
        <v>148</v>
      </c>
      <c r="N2046" s="50" t="s">
        <v>5569</v>
      </c>
      <c r="O2046" s="60">
        <v>45792</v>
      </c>
      <c r="P2046" s="50"/>
      <c r="Q2046" s="60">
        <v>45793</v>
      </c>
      <c r="R2046" s="60">
        <v>45793</v>
      </c>
      <c r="S2046" s="50">
        <f t="shared" si="194"/>
        <v>1</v>
      </c>
      <c r="T2046" s="50" t="str">
        <f>IF(
    OR(ISBLANK(O2046), ISBLANK(P2046)),
    "",
    MAX(1, IF(
        NETWORKDAYS(O2046, P2046) &lt;= 0,
        1,
        NETWORKDAYS(O2046, P2046) - IF(O2046 = QP2046, 0, 1)
    ))
)</f>
        <v/>
      </c>
      <c r="U2046" s="50">
        <f>IF(
    OR(ISBLANK(1816), ISBLANK(Q2046)),
    "",
    MAX(1, IF(
        NETWORKDAYS(O2046, Q2046) &lt;= 0,
        1,
        NETWORKDAYS(O2046, Q2046) - IF(O2046 = Q2046, 0, 1)
    ))
)</f>
        <v>1</v>
      </c>
      <c r="V2046" s="50">
        <f t="shared" si="195"/>
        <v>1</v>
      </c>
      <c r="W2046" s="50" t="s">
        <v>150</v>
      </c>
      <c r="X2046" s="50" t="s">
        <v>3527</v>
      </c>
      <c r="Y2046" s="50" t="s">
        <v>3528</v>
      </c>
      <c r="Z2046" s="50" t="s">
        <v>3406</v>
      </c>
      <c r="AA2046" s="50"/>
    </row>
    <row r="2047" spans="1:27" ht="25.5" customHeight="1">
      <c r="A2047" s="517" t="s">
        <v>778</v>
      </c>
      <c r="B2047" s="51" t="s">
        <v>1383</v>
      </c>
      <c r="C2047" s="51" t="s">
        <v>143</v>
      </c>
      <c r="D2047" s="51" t="s">
        <v>5570</v>
      </c>
      <c r="E2047" s="50">
        <v>4333</v>
      </c>
      <c r="F2047" s="50">
        <v>4440</v>
      </c>
      <c r="G2047" s="50" t="s">
        <v>3404</v>
      </c>
      <c r="H2047" s="50">
        <v>2025</v>
      </c>
      <c r="I2047" s="132">
        <v>45791</v>
      </c>
      <c r="J2047" s="50" t="s">
        <v>3532</v>
      </c>
      <c r="K2047" s="50" t="s">
        <v>35</v>
      </c>
      <c r="L2047" s="50"/>
      <c r="M2047" s="50" t="s">
        <v>148</v>
      </c>
      <c r="N2047" s="50" t="s">
        <v>5571</v>
      </c>
      <c r="O2047" s="60">
        <v>45792</v>
      </c>
      <c r="P2047" s="50"/>
      <c r="Q2047" s="60">
        <v>45793</v>
      </c>
      <c r="R2047" s="60">
        <v>45793</v>
      </c>
      <c r="S2047" s="50">
        <f t="shared" si="194"/>
        <v>1</v>
      </c>
      <c r="T2047" s="50" t="str">
        <f>IF(
    OR(ISBLANK(O2047), ISBLANK(P2047)),
    "",
    MAX(1, IF(
        NETWORKDAYS(O2047, P2047) &lt;= 0,
        1,
        NETWORKDAYS(O2047, P2047) - IF(O2047 = QP2047, 0, 1)
    ))
)</f>
        <v/>
      </c>
      <c r="U2047" s="50">
        <f>IF(
    OR(ISBLANK(1816), ISBLANK(Q2047)),
    "",
    MAX(1, IF(
        NETWORKDAYS(O2047, Q2047) &lt;= 0,
        1,
        NETWORKDAYS(O2047, Q2047) - IF(O2047 = Q2047, 0, 1)
    ))
)</f>
        <v>1</v>
      </c>
      <c r="V2047" s="50">
        <f t="shared" si="195"/>
        <v>1</v>
      </c>
      <c r="W2047" s="50" t="s">
        <v>150</v>
      </c>
      <c r="X2047" s="50" t="s">
        <v>3527</v>
      </c>
      <c r="Y2047" s="50" t="s">
        <v>3528</v>
      </c>
      <c r="Z2047" s="50" t="s">
        <v>3406</v>
      </c>
      <c r="AA2047" s="50"/>
    </row>
    <row r="2048" spans="1:27" ht="25.5" customHeight="1">
      <c r="A2048" s="517" t="s">
        <v>778</v>
      </c>
      <c r="B2048" s="51" t="s">
        <v>1383</v>
      </c>
      <c r="C2048" s="51" t="s">
        <v>143</v>
      </c>
      <c r="D2048" s="51" t="s">
        <v>5572</v>
      </c>
      <c r="E2048" s="50">
        <v>4222</v>
      </c>
      <c r="F2048" s="50">
        <v>4481</v>
      </c>
      <c r="G2048" s="50" t="s">
        <v>3955</v>
      </c>
      <c r="H2048" s="50"/>
      <c r="I2048" s="105"/>
      <c r="J2048" s="50"/>
      <c r="K2048" s="50" t="s">
        <v>35</v>
      </c>
      <c r="L2048" s="50"/>
      <c r="M2048" s="50" t="s">
        <v>148</v>
      </c>
      <c r="N2048" s="50"/>
      <c r="O2048" s="50"/>
      <c r="P2048" s="50"/>
      <c r="Q2048" s="50"/>
      <c r="R2048" s="50"/>
      <c r="S2048" s="50" t="str">
        <f t="shared" si="194"/>
        <v/>
      </c>
      <c r="T2048" s="50" t="str">
        <f t="shared" ref="T2048:U2051" si="198">IF(
    OR(ISBLANK(O2048), ISBLANK(P2048)),
    "",
    MAX(1, IF(
        NETWORKDAYS(O2048, P2048) &lt;= 0,
        1,
        NETWORKDAYS(O2048, P2048) - IF(O2048 = P2048, 0, 1)
    ))
)</f>
        <v/>
      </c>
      <c r="U2048" s="50" t="str">
        <f t="shared" si="198"/>
        <v/>
      </c>
      <c r="V2048" s="50" t="str">
        <f t="shared" si="195"/>
        <v/>
      </c>
      <c r="W2048" s="50"/>
      <c r="X2048" s="50"/>
      <c r="Y2048" s="50"/>
      <c r="Z2048" s="50"/>
      <c r="AA2048" s="50"/>
    </row>
    <row r="2049" spans="1:27" ht="25.5" customHeight="1">
      <c r="A2049" s="517" t="s">
        <v>778</v>
      </c>
      <c r="B2049" s="51" t="s">
        <v>1383</v>
      </c>
      <c r="C2049" s="51" t="s">
        <v>143</v>
      </c>
      <c r="D2049" s="51" t="s">
        <v>4126</v>
      </c>
      <c r="E2049" s="50">
        <v>2798</v>
      </c>
      <c r="F2049" s="50">
        <v>2796</v>
      </c>
      <c r="G2049" s="50" t="s">
        <v>3955</v>
      </c>
      <c r="H2049" s="50"/>
      <c r="I2049" s="105"/>
      <c r="J2049" s="50"/>
      <c r="K2049" s="50" t="s">
        <v>35</v>
      </c>
      <c r="L2049" s="50"/>
      <c r="M2049" s="50" t="s">
        <v>148</v>
      </c>
      <c r="N2049" s="50"/>
      <c r="O2049" s="50"/>
      <c r="P2049" s="50"/>
      <c r="Q2049" s="50"/>
      <c r="R2049" s="50"/>
      <c r="S2049" s="50" t="str">
        <f t="shared" si="194"/>
        <v/>
      </c>
      <c r="T2049" s="50" t="str">
        <f t="shared" si="198"/>
        <v/>
      </c>
      <c r="U2049" s="50" t="str">
        <f t="shared" si="198"/>
        <v/>
      </c>
      <c r="V2049" s="50" t="str">
        <f t="shared" si="195"/>
        <v/>
      </c>
      <c r="W2049" s="50"/>
      <c r="X2049" s="50"/>
      <c r="Y2049" s="50"/>
      <c r="Z2049" s="50"/>
      <c r="AA2049" s="50"/>
    </row>
    <row r="2050" spans="1:27" ht="25.5" customHeight="1">
      <c r="A2050" s="517" t="s">
        <v>778</v>
      </c>
      <c r="B2050" s="51" t="s">
        <v>1383</v>
      </c>
      <c r="C2050" s="51" t="s">
        <v>143</v>
      </c>
      <c r="D2050" s="51" t="s">
        <v>914</v>
      </c>
      <c r="E2050" s="50">
        <v>3230</v>
      </c>
      <c r="F2050" s="50">
        <v>3127</v>
      </c>
      <c r="G2050" s="50" t="s">
        <v>3955</v>
      </c>
      <c r="H2050" s="50"/>
      <c r="I2050" s="105"/>
      <c r="J2050" s="50"/>
      <c r="K2050" s="50" t="s">
        <v>35</v>
      </c>
      <c r="L2050" s="50"/>
      <c r="M2050" s="50" t="s">
        <v>148</v>
      </c>
      <c r="N2050" s="50"/>
      <c r="O2050" s="50"/>
      <c r="P2050" s="50"/>
      <c r="Q2050" s="50"/>
      <c r="R2050" s="50"/>
      <c r="S2050" s="50" t="str">
        <f t="shared" si="194"/>
        <v/>
      </c>
      <c r="T2050" s="50" t="str">
        <f t="shared" si="198"/>
        <v/>
      </c>
      <c r="U2050" s="50" t="str">
        <f t="shared" si="198"/>
        <v/>
      </c>
      <c r="V2050" s="50" t="str">
        <f t="shared" si="195"/>
        <v/>
      </c>
      <c r="W2050" s="50"/>
      <c r="X2050" s="50"/>
      <c r="Y2050" s="50"/>
      <c r="Z2050" s="50"/>
      <c r="AA2050" s="50"/>
    </row>
    <row r="2051" spans="1:27" ht="25.5" customHeight="1">
      <c r="A2051" s="517" t="s">
        <v>778</v>
      </c>
      <c r="B2051" s="51" t="s">
        <v>1383</v>
      </c>
      <c r="C2051" s="51" t="s">
        <v>143</v>
      </c>
      <c r="D2051" s="51" t="s">
        <v>4024</v>
      </c>
      <c r="E2051" s="50">
        <v>4929</v>
      </c>
      <c r="F2051" s="50">
        <v>5643</v>
      </c>
      <c r="G2051" s="50" t="s">
        <v>3955</v>
      </c>
      <c r="H2051" s="50"/>
      <c r="I2051" s="105"/>
      <c r="J2051" s="50"/>
      <c r="K2051" s="50" t="s">
        <v>35</v>
      </c>
      <c r="L2051" s="50"/>
      <c r="M2051" s="50" t="s">
        <v>148</v>
      </c>
      <c r="N2051" s="50"/>
      <c r="O2051" s="50"/>
      <c r="P2051" s="50"/>
      <c r="Q2051" s="50"/>
      <c r="R2051" s="50"/>
      <c r="S2051" s="50" t="str">
        <f t="shared" si="194"/>
        <v/>
      </c>
      <c r="T2051" s="50" t="str">
        <f t="shared" si="198"/>
        <v/>
      </c>
      <c r="U2051" s="50" t="str">
        <f t="shared" si="198"/>
        <v/>
      </c>
      <c r="V2051" s="50" t="str">
        <f t="shared" si="195"/>
        <v/>
      </c>
      <c r="W2051" s="50"/>
      <c r="X2051" s="50"/>
      <c r="Y2051" s="50"/>
      <c r="Z2051" s="50"/>
      <c r="AA2051" s="50"/>
    </row>
    <row r="2052" spans="1:27" ht="25.5" customHeight="1">
      <c r="A2052" s="517" t="s">
        <v>778</v>
      </c>
      <c r="B2052" s="51" t="s">
        <v>1383</v>
      </c>
      <c r="C2052" s="51" t="s">
        <v>143</v>
      </c>
      <c r="D2052" s="51" t="s">
        <v>1180</v>
      </c>
      <c r="E2052" s="50">
        <v>3289</v>
      </c>
      <c r="F2052" s="50">
        <v>4197</v>
      </c>
      <c r="G2052" s="50" t="s">
        <v>3404</v>
      </c>
      <c r="H2052" s="50">
        <v>2025</v>
      </c>
      <c r="I2052" s="132">
        <v>45792</v>
      </c>
      <c r="J2052" s="50" t="s">
        <v>3532</v>
      </c>
      <c r="K2052" s="50" t="s">
        <v>35</v>
      </c>
      <c r="L2052" s="50"/>
      <c r="M2052" s="50" t="s">
        <v>148</v>
      </c>
      <c r="N2052" s="50" t="s">
        <v>5573</v>
      </c>
      <c r="O2052" s="60">
        <v>45792</v>
      </c>
      <c r="P2052" s="19"/>
      <c r="Q2052" s="60">
        <v>45793</v>
      </c>
      <c r="R2052" s="60">
        <v>45793</v>
      </c>
      <c r="S2052" s="50">
        <f t="shared" si="194"/>
        <v>1</v>
      </c>
      <c r="T2052" s="50" t="str">
        <f>IF(
    OR(ISBLANK(O2052), ISBLANK(P2052)),
    "",
    MAX(1, IF(
        NETWORKDAYS(O2052, P2052) &lt;= 0,
        1,
        NETWORKDAYS(O2052, P2052) - IF(O2052 = QP2052, 0, 1)
    ))
)</f>
        <v/>
      </c>
      <c r="U2052" s="50">
        <f>IF(
    OR(ISBLANK(1816), ISBLANK(Q2052)),
    "",
    MAX(1, IF(
        NETWORKDAYS(O2052, Q2052) &lt;= 0,
        1,
        NETWORKDAYS(O2052, Q2052) - IF(O2052 = Q2052, 0, 1)
    ))
)</f>
        <v>1</v>
      </c>
      <c r="V2052" s="50">
        <f t="shared" si="195"/>
        <v>1</v>
      </c>
      <c r="W2052" s="50" t="s">
        <v>150</v>
      </c>
      <c r="X2052" s="50" t="s">
        <v>4</v>
      </c>
      <c r="Y2052" s="50" t="s">
        <v>50</v>
      </c>
      <c r="Z2052" s="50" t="s">
        <v>3406</v>
      </c>
      <c r="AA2052" s="50"/>
    </row>
    <row r="2053" spans="1:27" ht="25.5" customHeight="1">
      <c r="A2053" s="517" t="s">
        <v>778</v>
      </c>
      <c r="B2053" s="51" t="s">
        <v>1383</v>
      </c>
      <c r="C2053" s="51" t="s">
        <v>143</v>
      </c>
      <c r="D2053" s="51" t="s">
        <v>5574</v>
      </c>
      <c r="E2053" s="50">
        <v>1342</v>
      </c>
      <c r="F2053" s="50">
        <v>1138</v>
      </c>
      <c r="G2053" s="50" t="s">
        <v>3955</v>
      </c>
      <c r="H2053" s="50"/>
      <c r="I2053" s="105"/>
      <c r="J2053" s="50"/>
      <c r="K2053" s="50" t="s">
        <v>35</v>
      </c>
      <c r="L2053" s="50"/>
      <c r="M2053" s="50" t="s">
        <v>148</v>
      </c>
      <c r="N2053" s="50"/>
      <c r="O2053" s="50"/>
      <c r="P2053" s="50"/>
      <c r="Q2053" s="50"/>
      <c r="R2053" s="50"/>
      <c r="S2053" s="50" t="str">
        <f t="shared" si="194"/>
        <v/>
      </c>
      <c r="T2053" s="50" t="str">
        <f t="shared" ref="T2053:T2063" si="199">IF(
    OR(ISBLANK(O2053), ISBLANK(P2053)),
    "",
    MAX(1, IF(
        NETWORKDAYS(O2053, P2053) &lt;= 0,
        1,
        NETWORKDAYS(O2053, P2053) - IF(O2053 = P2053, 0, 1)
    ))
)</f>
        <v/>
      </c>
      <c r="U2053" s="50" t="str">
        <f t="shared" ref="U2053:U2063" si="200">IF(
    OR(ISBLANK(P2053), ISBLANK(Q2053)),
    "",
    MAX(1, IF(
        NETWORKDAYS(P2053, Q2053) &lt;= 0,
        1,
        NETWORKDAYS(P2053, Q2053) - IF(P2053 = Q2053, 0, 1)
    ))
)</f>
        <v/>
      </c>
      <c r="V2053" s="50" t="str">
        <f t="shared" si="195"/>
        <v/>
      </c>
      <c r="W2053" s="50"/>
      <c r="X2053" s="50"/>
      <c r="Y2053" s="50"/>
      <c r="Z2053" s="50"/>
      <c r="AA2053" s="50"/>
    </row>
    <row r="2054" spans="1:27" ht="25.5" customHeight="1">
      <c r="A2054" s="517" t="s">
        <v>778</v>
      </c>
      <c r="B2054" s="51" t="s">
        <v>1383</v>
      </c>
      <c r="C2054" s="51" t="s">
        <v>143</v>
      </c>
      <c r="D2054" s="51" t="s">
        <v>5575</v>
      </c>
      <c r="E2054" s="50">
        <v>2176</v>
      </c>
      <c r="F2054" s="50">
        <v>2334</v>
      </c>
      <c r="G2054" s="50" t="s">
        <v>3955</v>
      </c>
      <c r="H2054" s="50"/>
      <c r="I2054" s="105"/>
      <c r="J2054" s="50"/>
      <c r="K2054" s="50" t="s">
        <v>35</v>
      </c>
      <c r="L2054" s="50"/>
      <c r="M2054" s="50" t="s">
        <v>148</v>
      </c>
      <c r="N2054" s="50"/>
      <c r="O2054" s="50"/>
      <c r="P2054" s="50"/>
      <c r="Q2054" s="50"/>
      <c r="R2054" s="50"/>
      <c r="S2054" s="50" t="str">
        <f t="shared" si="194"/>
        <v/>
      </c>
      <c r="T2054" s="50" t="str">
        <f t="shared" si="199"/>
        <v/>
      </c>
      <c r="U2054" s="50" t="str">
        <f t="shared" si="200"/>
        <v/>
      </c>
      <c r="V2054" s="50" t="str">
        <f t="shared" si="195"/>
        <v/>
      </c>
      <c r="W2054" s="50"/>
      <c r="X2054" s="50"/>
      <c r="Y2054" s="50"/>
      <c r="Z2054" s="50"/>
      <c r="AA2054" s="50"/>
    </row>
    <row r="2055" spans="1:27" ht="25.5" customHeight="1">
      <c r="A2055" s="50" t="s">
        <v>778</v>
      </c>
      <c r="B2055" s="51" t="s">
        <v>1383</v>
      </c>
      <c r="C2055" s="51" t="s">
        <v>143</v>
      </c>
      <c r="D2055" s="51" t="s">
        <v>3913</v>
      </c>
      <c r="E2055" s="50">
        <v>2423</v>
      </c>
      <c r="F2055" s="50">
        <v>2586</v>
      </c>
      <c r="G2055" s="50" t="s">
        <v>3404</v>
      </c>
      <c r="H2055" s="50">
        <v>2024</v>
      </c>
      <c r="I2055" s="132">
        <v>45485</v>
      </c>
      <c r="J2055" s="50"/>
      <c r="K2055" s="50" t="s">
        <v>35</v>
      </c>
      <c r="L2055" s="50"/>
      <c r="M2055" s="50" t="s">
        <v>148</v>
      </c>
      <c r="N2055" s="50"/>
      <c r="O2055" s="50"/>
      <c r="P2055" s="50"/>
      <c r="Q2055" s="50"/>
      <c r="R2055" s="50"/>
      <c r="S2055" s="50" t="str">
        <f t="shared" si="194"/>
        <v/>
      </c>
      <c r="T2055" s="50" t="str">
        <f t="shared" si="199"/>
        <v/>
      </c>
      <c r="U2055" s="50" t="str">
        <f t="shared" si="200"/>
        <v/>
      </c>
      <c r="V2055" s="50" t="str">
        <f t="shared" si="195"/>
        <v/>
      </c>
      <c r="W2055" s="50"/>
      <c r="X2055" s="50" t="s">
        <v>4</v>
      </c>
      <c r="Y2055" s="50" t="s">
        <v>50</v>
      </c>
      <c r="Z2055" s="50" t="s">
        <v>3406</v>
      </c>
      <c r="AA2055" s="50"/>
    </row>
    <row r="2056" spans="1:27" ht="25.5" customHeight="1">
      <c r="A2056" s="517" t="s">
        <v>778</v>
      </c>
      <c r="B2056" s="51" t="s">
        <v>1383</v>
      </c>
      <c r="C2056" s="51" t="s">
        <v>143</v>
      </c>
      <c r="D2056" s="51" t="s">
        <v>5548</v>
      </c>
      <c r="E2056" s="50">
        <v>1259</v>
      </c>
      <c r="F2056" s="50">
        <v>1369</v>
      </c>
      <c r="G2056" s="50" t="s">
        <v>3955</v>
      </c>
      <c r="H2056" s="50"/>
      <c r="I2056" s="105"/>
      <c r="J2056" s="50"/>
      <c r="K2056" s="50" t="s">
        <v>35</v>
      </c>
      <c r="L2056" s="50"/>
      <c r="M2056" s="50" t="s">
        <v>148</v>
      </c>
      <c r="N2056" s="50"/>
      <c r="O2056" s="50"/>
      <c r="P2056" s="50"/>
      <c r="Q2056" s="50"/>
      <c r="R2056" s="50"/>
      <c r="S2056" s="50" t="str">
        <f t="shared" si="194"/>
        <v/>
      </c>
      <c r="T2056" s="50" t="str">
        <f t="shared" si="199"/>
        <v/>
      </c>
      <c r="U2056" s="50" t="str">
        <f t="shared" si="200"/>
        <v/>
      </c>
      <c r="V2056" s="50" t="str">
        <f t="shared" si="195"/>
        <v/>
      </c>
      <c r="W2056" s="50"/>
      <c r="X2056" s="50"/>
      <c r="Y2056" s="50"/>
      <c r="Z2056" s="50"/>
      <c r="AA2056" s="50"/>
    </row>
    <row r="2057" spans="1:27" ht="25.5" customHeight="1">
      <c r="A2057" s="50" t="s">
        <v>778</v>
      </c>
      <c r="B2057" s="51" t="s">
        <v>1383</v>
      </c>
      <c r="C2057" s="51" t="s">
        <v>143</v>
      </c>
      <c r="D2057" s="51" t="s">
        <v>1151</v>
      </c>
      <c r="E2057" s="50">
        <v>3540</v>
      </c>
      <c r="F2057" s="50">
        <v>2940</v>
      </c>
      <c r="G2057" s="50" t="s">
        <v>3404</v>
      </c>
      <c r="H2057" s="50">
        <v>2024</v>
      </c>
      <c r="I2057" s="132">
        <v>45393</v>
      </c>
      <c r="J2057" s="50"/>
      <c r="K2057" s="50" t="s">
        <v>35</v>
      </c>
      <c r="L2057" s="50"/>
      <c r="M2057" s="50" t="s">
        <v>148</v>
      </c>
      <c r="N2057" s="50"/>
      <c r="O2057" s="50"/>
      <c r="P2057" s="50"/>
      <c r="Q2057" s="50"/>
      <c r="R2057" s="50"/>
      <c r="S2057" s="50" t="str">
        <f t="shared" si="194"/>
        <v/>
      </c>
      <c r="T2057" s="50" t="str">
        <f t="shared" si="199"/>
        <v/>
      </c>
      <c r="U2057" s="50" t="str">
        <f t="shared" si="200"/>
        <v/>
      </c>
      <c r="V2057" s="50" t="str">
        <f t="shared" si="195"/>
        <v/>
      </c>
      <c r="W2057" s="50"/>
      <c r="X2057" s="50"/>
      <c r="Y2057" s="50"/>
      <c r="Z2057" s="50" t="s">
        <v>3406</v>
      </c>
      <c r="AA2057" s="50"/>
    </row>
    <row r="2058" spans="1:27" ht="25.5" customHeight="1">
      <c r="A2058" s="50" t="s">
        <v>778</v>
      </c>
      <c r="B2058" s="51" t="s">
        <v>1383</v>
      </c>
      <c r="C2058" s="51" t="s">
        <v>143</v>
      </c>
      <c r="D2058" s="51" t="s">
        <v>5576</v>
      </c>
      <c r="E2058" s="50">
        <v>2958</v>
      </c>
      <c r="F2058" s="50">
        <v>3242</v>
      </c>
      <c r="G2058" s="50" t="s">
        <v>3404</v>
      </c>
      <c r="H2058" s="50">
        <v>2024</v>
      </c>
      <c r="I2058" s="132">
        <v>45394</v>
      </c>
      <c r="J2058" s="50" t="s">
        <v>3470</v>
      </c>
      <c r="K2058" s="50" t="s">
        <v>35</v>
      </c>
      <c r="L2058" s="50"/>
      <c r="M2058" s="50" t="s">
        <v>148</v>
      </c>
      <c r="N2058" s="50"/>
      <c r="O2058" s="50"/>
      <c r="P2058" s="50"/>
      <c r="Q2058" s="50"/>
      <c r="R2058" s="50"/>
      <c r="S2058" s="50" t="str">
        <f t="shared" si="194"/>
        <v/>
      </c>
      <c r="T2058" s="50" t="str">
        <f t="shared" si="199"/>
        <v/>
      </c>
      <c r="U2058" s="50" t="str">
        <f t="shared" si="200"/>
        <v/>
      </c>
      <c r="V2058" s="50" t="str">
        <f t="shared" si="195"/>
        <v/>
      </c>
      <c r="W2058" s="50"/>
      <c r="X2058" s="50"/>
      <c r="Y2058" s="50"/>
      <c r="Z2058" s="50" t="s">
        <v>3406</v>
      </c>
      <c r="AA2058" s="50"/>
    </row>
    <row r="2059" spans="1:27" ht="25.5" customHeight="1">
      <c r="A2059" s="50" t="s">
        <v>778</v>
      </c>
      <c r="B2059" s="51" t="s">
        <v>1383</v>
      </c>
      <c r="C2059" s="51" t="s">
        <v>143</v>
      </c>
      <c r="D2059" s="51" t="s">
        <v>5552</v>
      </c>
      <c r="E2059" s="50">
        <v>2000</v>
      </c>
      <c r="F2059" s="50">
        <v>1860</v>
      </c>
      <c r="G2059" s="50" t="s">
        <v>3404</v>
      </c>
      <c r="H2059" s="50">
        <v>2024</v>
      </c>
      <c r="I2059" s="132">
        <v>45387</v>
      </c>
      <c r="J2059" s="50" t="s">
        <v>3470</v>
      </c>
      <c r="K2059" s="50" t="s">
        <v>35</v>
      </c>
      <c r="L2059" s="50"/>
      <c r="M2059" s="50" t="s">
        <v>148</v>
      </c>
      <c r="N2059" s="50"/>
      <c r="O2059" s="50"/>
      <c r="P2059" s="50"/>
      <c r="Q2059" s="50"/>
      <c r="R2059" s="50"/>
      <c r="S2059" s="50" t="str">
        <f t="shared" si="194"/>
        <v/>
      </c>
      <c r="T2059" s="50" t="str">
        <f t="shared" si="199"/>
        <v/>
      </c>
      <c r="U2059" s="50" t="str">
        <f t="shared" si="200"/>
        <v/>
      </c>
      <c r="V2059" s="50" t="str">
        <f t="shared" si="195"/>
        <v/>
      </c>
      <c r="W2059" s="50"/>
      <c r="X2059" s="50"/>
      <c r="Y2059" s="50"/>
      <c r="Z2059" s="50" t="s">
        <v>3406</v>
      </c>
      <c r="AA2059" s="50"/>
    </row>
    <row r="2060" spans="1:27" ht="25.5" customHeight="1">
      <c r="A2060" s="517" t="s">
        <v>778</v>
      </c>
      <c r="B2060" s="51" t="s">
        <v>1383</v>
      </c>
      <c r="C2060" s="51" t="s">
        <v>143</v>
      </c>
      <c r="D2060" s="51" t="s">
        <v>5577</v>
      </c>
      <c r="E2060" s="50">
        <v>1631</v>
      </c>
      <c r="F2060" s="50">
        <v>1575</v>
      </c>
      <c r="G2060" s="50" t="s">
        <v>3955</v>
      </c>
      <c r="H2060" s="50"/>
      <c r="I2060" s="105"/>
      <c r="J2060" s="50"/>
      <c r="K2060" s="50" t="s">
        <v>35</v>
      </c>
      <c r="L2060" s="50"/>
      <c r="M2060" s="50" t="s">
        <v>148</v>
      </c>
      <c r="N2060" s="50"/>
      <c r="O2060" s="50"/>
      <c r="P2060" s="50"/>
      <c r="Q2060" s="50"/>
      <c r="R2060" s="50"/>
      <c r="S2060" s="50" t="str">
        <f t="shared" si="194"/>
        <v/>
      </c>
      <c r="T2060" s="50" t="str">
        <f t="shared" si="199"/>
        <v/>
      </c>
      <c r="U2060" s="50" t="str">
        <f t="shared" si="200"/>
        <v/>
      </c>
      <c r="V2060" s="50" t="str">
        <f t="shared" si="195"/>
        <v/>
      </c>
      <c r="W2060" s="50"/>
      <c r="X2060" s="50"/>
      <c r="Y2060" s="50"/>
      <c r="Z2060" s="50"/>
      <c r="AA2060" s="50"/>
    </row>
    <row r="2061" spans="1:27" ht="25.5" customHeight="1">
      <c r="A2061" s="517" t="s">
        <v>778</v>
      </c>
      <c r="B2061" s="51" t="s">
        <v>1383</v>
      </c>
      <c r="C2061" s="51" t="s">
        <v>143</v>
      </c>
      <c r="D2061" s="51" t="s">
        <v>5578</v>
      </c>
      <c r="E2061" s="50">
        <v>5130</v>
      </c>
      <c r="F2061" s="50">
        <v>4340</v>
      </c>
      <c r="G2061" s="50" t="s">
        <v>3955</v>
      </c>
      <c r="H2061" s="50"/>
      <c r="I2061" s="105"/>
      <c r="J2061" s="50"/>
      <c r="K2061" s="50" t="s">
        <v>35</v>
      </c>
      <c r="L2061" s="50"/>
      <c r="M2061" s="50" t="s">
        <v>148</v>
      </c>
      <c r="N2061" s="50"/>
      <c r="O2061" s="50"/>
      <c r="P2061" s="50"/>
      <c r="Q2061" s="50"/>
      <c r="R2061" s="50"/>
      <c r="S2061" s="50" t="str">
        <f t="shared" si="194"/>
        <v/>
      </c>
      <c r="T2061" s="50" t="str">
        <f t="shared" si="199"/>
        <v/>
      </c>
      <c r="U2061" s="50" t="str">
        <f t="shared" si="200"/>
        <v/>
      </c>
      <c r="V2061" s="50" t="str">
        <f t="shared" si="195"/>
        <v/>
      </c>
      <c r="W2061" s="50"/>
      <c r="X2061" s="50"/>
      <c r="Y2061" s="50"/>
      <c r="Z2061" s="50"/>
      <c r="AA2061" s="50"/>
    </row>
    <row r="2062" spans="1:27" ht="25.5" customHeight="1">
      <c r="A2062" s="517" t="s">
        <v>778</v>
      </c>
      <c r="B2062" s="51" t="s">
        <v>1383</v>
      </c>
      <c r="C2062" s="51" t="s">
        <v>143</v>
      </c>
      <c r="D2062" s="51" t="s">
        <v>5579</v>
      </c>
      <c r="E2062" s="50">
        <v>3335</v>
      </c>
      <c r="F2062" s="50">
        <v>4002</v>
      </c>
      <c r="G2062" s="50" t="s">
        <v>3955</v>
      </c>
      <c r="H2062" s="50"/>
      <c r="I2062" s="105"/>
      <c r="J2062" s="50"/>
      <c r="K2062" s="50" t="s">
        <v>35</v>
      </c>
      <c r="L2062" s="50"/>
      <c r="M2062" s="50" t="s">
        <v>148</v>
      </c>
      <c r="N2062" s="50"/>
      <c r="O2062" s="50"/>
      <c r="P2062" s="50"/>
      <c r="Q2062" s="50"/>
      <c r="R2062" s="50"/>
      <c r="S2062" s="50" t="str">
        <f t="shared" si="194"/>
        <v/>
      </c>
      <c r="T2062" s="50" t="str">
        <f t="shared" si="199"/>
        <v/>
      </c>
      <c r="U2062" s="50" t="str">
        <f t="shared" si="200"/>
        <v/>
      </c>
      <c r="V2062" s="50" t="str">
        <f t="shared" si="195"/>
        <v/>
      </c>
      <c r="W2062" s="50"/>
      <c r="X2062" s="50"/>
      <c r="Y2062" s="50"/>
      <c r="Z2062" s="50"/>
      <c r="AA2062" s="50"/>
    </row>
    <row r="2063" spans="1:27" ht="25.5" customHeight="1">
      <c r="A2063" s="517" t="s">
        <v>778</v>
      </c>
      <c r="B2063" s="51" t="s">
        <v>1383</v>
      </c>
      <c r="C2063" s="51" t="s">
        <v>143</v>
      </c>
      <c r="D2063" s="51" t="s">
        <v>5580</v>
      </c>
      <c r="E2063" s="50">
        <v>1565</v>
      </c>
      <c r="F2063" s="50">
        <v>1811</v>
      </c>
      <c r="G2063" s="50" t="s">
        <v>3955</v>
      </c>
      <c r="H2063" s="50"/>
      <c r="I2063" s="105"/>
      <c r="J2063" s="50"/>
      <c r="K2063" s="50" t="s">
        <v>35</v>
      </c>
      <c r="L2063" s="50"/>
      <c r="M2063" s="50" t="s">
        <v>148</v>
      </c>
      <c r="N2063" s="50"/>
      <c r="O2063" s="50"/>
      <c r="P2063" s="50"/>
      <c r="Q2063" s="50"/>
      <c r="R2063" s="50"/>
      <c r="S2063" s="50" t="str">
        <f t="shared" si="194"/>
        <v/>
      </c>
      <c r="T2063" s="50" t="str">
        <f t="shared" si="199"/>
        <v/>
      </c>
      <c r="U2063" s="50" t="str">
        <f t="shared" si="200"/>
        <v/>
      </c>
      <c r="V2063" s="50" t="str">
        <f t="shared" si="195"/>
        <v/>
      </c>
      <c r="W2063" s="50"/>
      <c r="X2063" s="50"/>
      <c r="Y2063" s="50"/>
      <c r="Z2063" s="50"/>
      <c r="AA2063" s="50"/>
    </row>
    <row r="2064" spans="1:27" ht="25.5" customHeight="1">
      <c r="A2064" s="517" t="s">
        <v>778</v>
      </c>
      <c r="B2064" s="51" t="s">
        <v>1383</v>
      </c>
      <c r="C2064" s="51" t="s">
        <v>143</v>
      </c>
      <c r="D2064" s="51" t="s">
        <v>5581</v>
      </c>
      <c r="E2064" s="50">
        <v>3154</v>
      </c>
      <c r="F2064" s="50">
        <v>3405</v>
      </c>
      <c r="G2064" s="50" t="s">
        <v>3404</v>
      </c>
      <c r="H2064" s="50">
        <v>2025</v>
      </c>
      <c r="I2064" s="132">
        <v>45791</v>
      </c>
      <c r="J2064" s="50" t="s">
        <v>3532</v>
      </c>
      <c r="K2064" s="50" t="s">
        <v>35</v>
      </c>
      <c r="L2064" s="50"/>
      <c r="M2064" s="50" t="s">
        <v>148</v>
      </c>
      <c r="N2064" s="50" t="s">
        <v>5582</v>
      </c>
      <c r="O2064" s="60">
        <v>45792</v>
      </c>
      <c r="P2064" s="50"/>
      <c r="Q2064" s="60">
        <v>45793</v>
      </c>
      <c r="R2064" s="60">
        <v>45793</v>
      </c>
      <c r="S2064" s="50">
        <f t="shared" si="194"/>
        <v>1</v>
      </c>
      <c r="T2064" s="50" t="str">
        <f>IF(
    OR(ISBLANK(O2064), ISBLANK(P2064)),
    "",
    MAX(1, IF(
        NETWORKDAYS(O2064, P2064) &lt;= 0,
        1,
        NETWORKDAYS(O2064, P2064) - IF(O2064 = QP2064, 0, 1)
    ))
)</f>
        <v/>
      </c>
      <c r="U2064" s="50">
        <f>IF(
    OR(ISBLANK(1816), ISBLANK(Q2064)),
    "",
    MAX(1, IF(
        NETWORKDAYS(O2064, Q2064) &lt;= 0,
        1,
        NETWORKDAYS(O2064, Q2064) - IF(O2064 = Q2064, 0, 1)
    ))
)</f>
        <v>1</v>
      </c>
      <c r="V2064" s="50">
        <f t="shared" si="195"/>
        <v>1</v>
      </c>
      <c r="W2064" s="50" t="s">
        <v>150</v>
      </c>
      <c r="X2064" s="50" t="s">
        <v>4</v>
      </c>
      <c r="Y2064" s="50" t="s">
        <v>50</v>
      </c>
      <c r="Z2064" s="50" t="s">
        <v>3406</v>
      </c>
      <c r="AA2064" s="50"/>
    </row>
    <row r="2065" spans="1:27" ht="25.5" customHeight="1">
      <c r="A2065" s="50" t="s">
        <v>778</v>
      </c>
      <c r="B2065" s="51" t="s">
        <v>1383</v>
      </c>
      <c r="C2065" s="51" t="s">
        <v>143</v>
      </c>
      <c r="D2065" s="51" t="s">
        <v>1166</v>
      </c>
      <c r="E2065" s="50">
        <v>1751</v>
      </c>
      <c r="F2065" s="50">
        <v>1391</v>
      </c>
      <c r="G2065" s="50" t="s">
        <v>3404</v>
      </c>
      <c r="H2065" s="50">
        <v>2024</v>
      </c>
      <c r="I2065" s="132">
        <v>45386</v>
      </c>
      <c r="J2065" s="50" t="s">
        <v>3470</v>
      </c>
      <c r="K2065" s="50" t="s">
        <v>35</v>
      </c>
      <c r="L2065" s="50"/>
      <c r="M2065" s="50" t="s">
        <v>148</v>
      </c>
      <c r="N2065" s="50"/>
      <c r="O2065" s="50"/>
      <c r="P2065" s="50"/>
      <c r="Q2065" s="50"/>
      <c r="R2065" s="50"/>
      <c r="S2065" s="50" t="str">
        <f t="shared" si="194"/>
        <v/>
      </c>
      <c r="T2065" s="50" t="str">
        <f t="shared" ref="T2065:T2077" si="201">IF(
    OR(ISBLANK(O2065), ISBLANK(P2065)),
    "",
    MAX(1, IF(
        NETWORKDAYS(O2065, P2065) &lt;= 0,
        1,
        NETWORKDAYS(O2065, P2065) - IF(O2065 = P2065, 0, 1)
    ))
)</f>
        <v/>
      </c>
      <c r="U2065" s="50" t="str">
        <f t="shared" ref="U2065:U2077" si="202">IF(
    OR(ISBLANK(P2065), ISBLANK(Q2065)),
    "",
    MAX(1, IF(
        NETWORKDAYS(P2065, Q2065) &lt;= 0,
        1,
        NETWORKDAYS(P2065, Q2065) - IF(P2065 = Q2065, 0, 1)
    ))
)</f>
        <v/>
      </c>
      <c r="V2065" s="50" t="str">
        <f t="shared" si="195"/>
        <v/>
      </c>
      <c r="W2065" s="50"/>
      <c r="X2065" s="50"/>
      <c r="Y2065" s="50"/>
      <c r="Z2065" s="50" t="s">
        <v>3406</v>
      </c>
      <c r="AA2065" s="50"/>
    </row>
    <row r="2066" spans="1:27" ht="25.5" customHeight="1">
      <c r="A2066" s="50" t="s">
        <v>778</v>
      </c>
      <c r="B2066" s="51" t="s">
        <v>1383</v>
      </c>
      <c r="C2066" s="51" t="s">
        <v>143</v>
      </c>
      <c r="D2066" s="51" t="s">
        <v>3975</v>
      </c>
      <c r="E2066" s="50">
        <v>1902</v>
      </c>
      <c r="F2066" s="50">
        <v>2120</v>
      </c>
      <c r="G2066" s="50" t="s">
        <v>3404</v>
      </c>
      <c r="H2066" s="50">
        <v>2024</v>
      </c>
      <c r="I2066" s="132">
        <v>45573</v>
      </c>
      <c r="J2066" s="50" t="s">
        <v>3128</v>
      </c>
      <c r="K2066" s="50" t="s">
        <v>35</v>
      </c>
      <c r="L2066" s="50"/>
      <c r="M2066" s="50" t="s">
        <v>148</v>
      </c>
      <c r="N2066" s="50"/>
      <c r="O2066" s="50"/>
      <c r="P2066" s="50"/>
      <c r="Q2066" s="50"/>
      <c r="R2066" s="50"/>
      <c r="S2066" s="50" t="str">
        <f t="shared" si="194"/>
        <v/>
      </c>
      <c r="T2066" s="50" t="str">
        <f t="shared" si="201"/>
        <v/>
      </c>
      <c r="U2066" s="50" t="str">
        <f t="shared" si="202"/>
        <v/>
      </c>
      <c r="V2066" s="50" t="str">
        <f t="shared" si="195"/>
        <v/>
      </c>
      <c r="W2066" s="50"/>
      <c r="X2066" s="50" t="s">
        <v>1078</v>
      </c>
      <c r="Y2066" s="50" t="s">
        <v>50</v>
      </c>
      <c r="Z2066" s="50" t="s">
        <v>3406</v>
      </c>
      <c r="AA2066" s="50"/>
    </row>
    <row r="2067" spans="1:27" ht="25.5" customHeight="1">
      <c r="A2067" s="50" t="s">
        <v>778</v>
      </c>
      <c r="B2067" s="51" t="s">
        <v>1383</v>
      </c>
      <c r="C2067" s="51" t="s">
        <v>143</v>
      </c>
      <c r="D2067" s="51" t="s">
        <v>5319</v>
      </c>
      <c r="E2067" s="50">
        <v>4928</v>
      </c>
      <c r="F2067" s="50">
        <v>5648</v>
      </c>
      <c r="G2067" s="50" t="s">
        <v>3404</v>
      </c>
      <c r="H2067" s="50">
        <v>2024</v>
      </c>
      <c r="I2067" s="132">
        <v>45573</v>
      </c>
      <c r="J2067" s="50" t="s">
        <v>3128</v>
      </c>
      <c r="K2067" s="50" t="s">
        <v>35</v>
      </c>
      <c r="L2067" s="50"/>
      <c r="M2067" s="50" t="s">
        <v>148</v>
      </c>
      <c r="N2067" s="50"/>
      <c r="O2067" s="50"/>
      <c r="P2067" s="50"/>
      <c r="Q2067" s="50"/>
      <c r="R2067" s="50"/>
      <c r="S2067" s="50" t="str">
        <f t="shared" si="194"/>
        <v/>
      </c>
      <c r="T2067" s="50" t="str">
        <f t="shared" si="201"/>
        <v/>
      </c>
      <c r="U2067" s="50" t="str">
        <f t="shared" si="202"/>
        <v/>
      </c>
      <c r="V2067" s="50" t="str">
        <f t="shared" si="195"/>
        <v/>
      </c>
      <c r="W2067" s="50"/>
      <c r="X2067" s="50" t="s">
        <v>1078</v>
      </c>
      <c r="Y2067" s="50" t="s">
        <v>3528</v>
      </c>
      <c r="Z2067" s="50" t="s">
        <v>3406</v>
      </c>
      <c r="AA2067" s="50"/>
    </row>
    <row r="2068" spans="1:27" ht="25.5" customHeight="1">
      <c r="A2068" s="517" t="s">
        <v>778</v>
      </c>
      <c r="B2068" s="51" t="s">
        <v>1383</v>
      </c>
      <c r="C2068" s="51" t="s">
        <v>143</v>
      </c>
      <c r="D2068" s="51" t="s">
        <v>1899</v>
      </c>
      <c r="E2068" s="50">
        <v>16416</v>
      </c>
      <c r="F2068" s="50">
        <v>17700</v>
      </c>
      <c r="G2068" s="50" t="s">
        <v>3955</v>
      </c>
      <c r="H2068" s="50"/>
      <c r="I2068" s="105"/>
      <c r="J2068" s="50"/>
      <c r="K2068" s="50" t="s">
        <v>35</v>
      </c>
      <c r="L2068" s="50"/>
      <c r="M2068" s="50" t="s">
        <v>148</v>
      </c>
      <c r="N2068" s="50"/>
      <c r="O2068" s="50"/>
      <c r="P2068" s="50"/>
      <c r="Q2068" s="50"/>
      <c r="R2068" s="50"/>
      <c r="S2068" s="50" t="str">
        <f t="shared" si="194"/>
        <v/>
      </c>
      <c r="T2068" s="50" t="str">
        <f t="shared" si="201"/>
        <v/>
      </c>
      <c r="U2068" s="50" t="str">
        <f t="shared" si="202"/>
        <v/>
      </c>
      <c r="V2068" s="50" t="str">
        <f t="shared" si="195"/>
        <v/>
      </c>
      <c r="W2068" s="50"/>
      <c r="X2068" s="50"/>
      <c r="Y2068" s="50"/>
      <c r="Z2068" s="50"/>
      <c r="AA2068" s="50"/>
    </row>
    <row r="2069" spans="1:27" ht="25.5" customHeight="1">
      <c r="A2069" s="517" t="s">
        <v>778</v>
      </c>
      <c r="B2069" s="51" t="s">
        <v>1383</v>
      </c>
      <c r="C2069" s="51" t="s">
        <v>143</v>
      </c>
      <c r="D2069" s="51" t="s">
        <v>5583</v>
      </c>
      <c r="E2069" s="50">
        <v>2168</v>
      </c>
      <c r="F2069" s="50">
        <v>2535</v>
      </c>
      <c r="G2069" s="50" t="s">
        <v>3955</v>
      </c>
      <c r="H2069" s="50"/>
      <c r="I2069" s="105"/>
      <c r="J2069" s="50"/>
      <c r="K2069" s="50" t="s">
        <v>35</v>
      </c>
      <c r="L2069" s="50"/>
      <c r="M2069" s="50" t="s">
        <v>148</v>
      </c>
      <c r="N2069" s="50"/>
      <c r="O2069" s="50"/>
      <c r="P2069" s="50"/>
      <c r="Q2069" s="50"/>
      <c r="R2069" s="50"/>
      <c r="S2069" s="50" t="str">
        <f t="shared" si="194"/>
        <v/>
      </c>
      <c r="T2069" s="50" t="str">
        <f t="shared" si="201"/>
        <v/>
      </c>
      <c r="U2069" s="50" t="str">
        <f t="shared" si="202"/>
        <v/>
      </c>
      <c r="V2069" s="50" t="str">
        <f t="shared" si="195"/>
        <v/>
      </c>
      <c r="W2069" s="50"/>
      <c r="X2069" s="50"/>
      <c r="Y2069" s="50"/>
      <c r="Z2069" s="50"/>
      <c r="AA2069" s="50"/>
    </row>
    <row r="2070" spans="1:27" ht="25.5" customHeight="1">
      <c r="A2070" s="517" t="s">
        <v>778</v>
      </c>
      <c r="B2070" s="51" t="s">
        <v>1383</v>
      </c>
      <c r="C2070" s="51" t="s">
        <v>143</v>
      </c>
      <c r="D2070" s="51" t="s">
        <v>4950</v>
      </c>
      <c r="E2070" s="50">
        <v>1564</v>
      </c>
      <c r="F2070" s="50">
        <v>1698</v>
      </c>
      <c r="G2070" s="50" t="s">
        <v>3955</v>
      </c>
      <c r="H2070" s="50"/>
      <c r="I2070" s="105"/>
      <c r="J2070" s="50"/>
      <c r="K2070" s="50" t="s">
        <v>35</v>
      </c>
      <c r="L2070" s="50"/>
      <c r="M2070" s="50" t="s">
        <v>148</v>
      </c>
      <c r="N2070" s="50"/>
      <c r="O2070" s="50"/>
      <c r="P2070" s="50"/>
      <c r="Q2070" s="50"/>
      <c r="R2070" s="50"/>
      <c r="S2070" s="50" t="str">
        <f t="shared" si="194"/>
        <v/>
      </c>
      <c r="T2070" s="50" t="str">
        <f t="shared" si="201"/>
        <v/>
      </c>
      <c r="U2070" s="50" t="str">
        <f t="shared" si="202"/>
        <v/>
      </c>
      <c r="V2070" s="50" t="str">
        <f t="shared" si="195"/>
        <v/>
      </c>
      <c r="W2070" s="50"/>
      <c r="X2070" s="50"/>
      <c r="Y2070" s="50"/>
      <c r="Z2070" s="50"/>
      <c r="AA2070" s="50"/>
    </row>
    <row r="2071" spans="1:27" ht="25.5" customHeight="1">
      <c r="A2071" s="50" t="s">
        <v>778</v>
      </c>
      <c r="B2071" s="51" t="s">
        <v>1383</v>
      </c>
      <c r="C2071" s="51" t="s">
        <v>143</v>
      </c>
      <c r="D2071" s="51" t="s">
        <v>1424</v>
      </c>
      <c r="E2071" s="50">
        <v>5724</v>
      </c>
      <c r="F2071" s="50">
        <v>6006</v>
      </c>
      <c r="G2071" s="50" t="s">
        <v>3404</v>
      </c>
      <c r="H2071" s="50">
        <v>2024</v>
      </c>
      <c r="I2071" s="132">
        <v>45573</v>
      </c>
      <c r="J2071" s="50"/>
      <c r="K2071" s="50" t="s">
        <v>35</v>
      </c>
      <c r="L2071" s="50"/>
      <c r="M2071" s="50" t="s">
        <v>148</v>
      </c>
      <c r="N2071" s="50"/>
      <c r="O2071" s="50"/>
      <c r="P2071" s="50"/>
      <c r="Q2071" s="50"/>
      <c r="R2071" s="50"/>
      <c r="S2071" s="50" t="str">
        <f t="shared" si="194"/>
        <v/>
      </c>
      <c r="T2071" s="50" t="str">
        <f t="shared" si="201"/>
        <v/>
      </c>
      <c r="U2071" s="50" t="str">
        <f t="shared" si="202"/>
        <v/>
      </c>
      <c r="V2071" s="50" t="str">
        <f t="shared" si="195"/>
        <v/>
      </c>
      <c r="W2071" s="50"/>
      <c r="X2071" s="50" t="s">
        <v>1078</v>
      </c>
      <c r="Y2071" s="50" t="s">
        <v>3528</v>
      </c>
      <c r="Z2071" s="50" t="s">
        <v>3406</v>
      </c>
      <c r="AA2071" s="50"/>
    </row>
    <row r="2072" spans="1:27" s="110" customFormat="1" ht="25.5" customHeight="1">
      <c r="A2072" s="517" t="s">
        <v>778</v>
      </c>
      <c r="B2072" s="51" t="s">
        <v>1383</v>
      </c>
      <c r="C2072" s="51" t="s">
        <v>143</v>
      </c>
      <c r="D2072" s="51" t="s">
        <v>4242</v>
      </c>
      <c r="E2072" s="50">
        <v>3516</v>
      </c>
      <c r="F2072" s="50">
        <v>2956</v>
      </c>
      <c r="G2072" s="50" t="s">
        <v>3955</v>
      </c>
      <c r="H2072" s="50"/>
      <c r="I2072" s="105"/>
      <c r="J2072" s="50"/>
      <c r="K2072" s="50" t="s">
        <v>35</v>
      </c>
      <c r="L2072" s="50"/>
      <c r="M2072" s="50" t="s">
        <v>148</v>
      </c>
      <c r="N2072" s="50"/>
      <c r="O2072" s="50"/>
      <c r="P2072" s="50"/>
      <c r="Q2072" s="50"/>
      <c r="R2072" s="50"/>
      <c r="S2072" s="50" t="str">
        <f t="shared" si="194"/>
        <v/>
      </c>
      <c r="T2072" s="50" t="str">
        <f t="shared" si="201"/>
        <v/>
      </c>
      <c r="U2072" s="50" t="str">
        <f t="shared" si="202"/>
        <v/>
      </c>
      <c r="V2072" s="50" t="str">
        <f t="shared" si="195"/>
        <v/>
      </c>
      <c r="W2072" s="50"/>
      <c r="X2072" s="50"/>
      <c r="Y2072" s="50"/>
      <c r="Z2072" s="50"/>
      <c r="AA2072" s="50"/>
    </row>
    <row r="2073" spans="1:27" ht="25.5" customHeight="1">
      <c r="A2073" s="517" t="s">
        <v>778</v>
      </c>
      <c r="B2073" s="51" t="s">
        <v>1383</v>
      </c>
      <c r="C2073" s="51" t="s">
        <v>143</v>
      </c>
      <c r="D2073" s="51" t="s">
        <v>5584</v>
      </c>
      <c r="E2073" s="50">
        <v>2856</v>
      </c>
      <c r="F2073" s="50">
        <v>3606</v>
      </c>
      <c r="G2073" s="50" t="s">
        <v>3955</v>
      </c>
      <c r="H2073" s="50"/>
      <c r="I2073" s="105"/>
      <c r="J2073" s="50"/>
      <c r="K2073" s="50" t="s">
        <v>35</v>
      </c>
      <c r="L2073" s="50"/>
      <c r="M2073" s="50" t="s">
        <v>148</v>
      </c>
      <c r="N2073" s="50"/>
      <c r="O2073" s="50"/>
      <c r="P2073" s="50"/>
      <c r="Q2073" s="50"/>
      <c r="R2073" s="50"/>
      <c r="S2073" s="50" t="str">
        <f t="shared" si="194"/>
        <v/>
      </c>
      <c r="T2073" s="50" t="str">
        <f t="shared" si="201"/>
        <v/>
      </c>
      <c r="U2073" s="50" t="str">
        <f t="shared" si="202"/>
        <v/>
      </c>
      <c r="V2073" s="50" t="str">
        <f t="shared" si="195"/>
        <v/>
      </c>
      <c r="W2073" s="50"/>
      <c r="X2073" s="50"/>
      <c r="Y2073" s="50"/>
      <c r="Z2073" s="50"/>
      <c r="AA2073" s="50"/>
    </row>
    <row r="2074" spans="1:27" ht="25.5" customHeight="1">
      <c r="A2074" s="517" t="s">
        <v>778</v>
      </c>
      <c r="B2074" s="51" t="s">
        <v>1383</v>
      </c>
      <c r="C2074" s="51" t="s">
        <v>143</v>
      </c>
      <c r="D2074" s="51" t="s">
        <v>5585</v>
      </c>
      <c r="E2074" s="50">
        <v>3373</v>
      </c>
      <c r="F2074" s="50">
        <v>4255</v>
      </c>
      <c r="G2074" s="50" t="s">
        <v>3955</v>
      </c>
      <c r="H2074" s="50"/>
      <c r="I2074" s="105"/>
      <c r="J2074" s="50"/>
      <c r="K2074" s="50" t="s">
        <v>35</v>
      </c>
      <c r="L2074" s="50"/>
      <c r="M2074" s="50" t="s">
        <v>148</v>
      </c>
      <c r="N2074" s="50"/>
      <c r="O2074" s="50"/>
      <c r="P2074" s="50"/>
      <c r="Q2074" s="50"/>
      <c r="R2074" s="50"/>
      <c r="S2074" s="50" t="str">
        <f t="shared" si="194"/>
        <v/>
      </c>
      <c r="T2074" s="50" t="str">
        <f t="shared" si="201"/>
        <v/>
      </c>
      <c r="U2074" s="50" t="str">
        <f t="shared" si="202"/>
        <v/>
      </c>
      <c r="V2074" s="50" t="str">
        <f t="shared" si="195"/>
        <v/>
      </c>
      <c r="W2074" s="50"/>
      <c r="X2074" s="50"/>
      <c r="Y2074" s="50"/>
      <c r="Z2074" s="50"/>
      <c r="AA2074" s="50"/>
    </row>
    <row r="2075" spans="1:27" ht="25.5" customHeight="1">
      <c r="A2075" s="517" t="s">
        <v>778</v>
      </c>
      <c r="B2075" s="51" t="s">
        <v>1383</v>
      </c>
      <c r="C2075" s="51" t="s">
        <v>143</v>
      </c>
      <c r="D2075" s="51" t="s">
        <v>1170</v>
      </c>
      <c r="E2075" s="50">
        <v>3940</v>
      </c>
      <c r="F2075" s="50">
        <v>4575</v>
      </c>
      <c r="G2075" s="50" t="s">
        <v>3955</v>
      </c>
      <c r="H2075" s="50"/>
      <c r="I2075" s="105"/>
      <c r="J2075" s="50"/>
      <c r="K2075" s="50" t="s">
        <v>35</v>
      </c>
      <c r="L2075" s="50"/>
      <c r="M2075" s="50" t="s">
        <v>148</v>
      </c>
      <c r="N2075" s="50"/>
      <c r="O2075" s="50"/>
      <c r="P2075" s="50"/>
      <c r="Q2075" s="50"/>
      <c r="R2075" s="50"/>
      <c r="S2075" s="50" t="str">
        <f t="shared" si="194"/>
        <v/>
      </c>
      <c r="T2075" s="50" t="str">
        <f t="shared" si="201"/>
        <v/>
      </c>
      <c r="U2075" s="50" t="str">
        <f t="shared" si="202"/>
        <v/>
      </c>
      <c r="V2075" s="50" t="str">
        <f t="shared" si="195"/>
        <v/>
      </c>
      <c r="W2075" s="50"/>
      <c r="X2075" s="50"/>
      <c r="Y2075" s="50"/>
      <c r="Z2075" s="50"/>
      <c r="AA2075" s="50"/>
    </row>
    <row r="2076" spans="1:27" ht="25.5" customHeight="1">
      <c r="A2076" s="517" t="s">
        <v>778</v>
      </c>
      <c r="B2076" s="51" t="s">
        <v>1383</v>
      </c>
      <c r="C2076" s="51" t="s">
        <v>143</v>
      </c>
      <c r="D2076" s="51" t="s">
        <v>3977</v>
      </c>
      <c r="E2076" s="50">
        <v>1102</v>
      </c>
      <c r="F2076" s="50">
        <v>1137</v>
      </c>
      <c r="G2076" s="50" t="s">
        <v>3955</v>
      </c>
      <c r="H2076" s="50"/>
      <c r="I2076" s="105"/>
      <c r="J2076" s="50"/>
      <c r="K2076" s="50" t="s">
        <v>35</v>
      </c>
      <c r="L2076" s="50"/>
      <c r="M2076" s="50" t="s">
        <v>148</v>
      </c>
      <c r="N2076" s="50"/>
      <c r="O2076" s="50"/>
      <c r="P2076" s="50"/>
      <c r="Q2076" s="50"/>
      <c r="R2076" s="50"/>
      <c r="S2076" s="50" t="str">
        <f t="shared" si="194"/>
        <v/>
      </c>
      <c r="T2076" s="50" t="str">
        <f t="shared" si="201"/>
        <v/>
      </c>
      <c r="U2076" s="50" t="str">
        <f t="shared" si="202"/>
        <v/>
      </c>
      <c r="V2076" s="50" t="str">
        <f t="shared" si="195"/>
        <v/>
      </c>
      <c r="W2076" s="50"/>
      <c r="X2076" s="50"/>
      <c r="Y2076" s="50"/>
      <c r="Z2076" s="50"/>
      <c r="AA2076" s="50"/>
    </row>
    <row r="2077" spans="1:27" ht="25.5" customHeight="1">
      <c r="A2077" s="50" t="s">
        <v>778</v>
      </c>
      <c r="B2077" s="51" t="s">
        <v>1383</v>
      </c>
      <c r="C2077" s="51" t="s">
        <v>143</v>
      </c>
      <c r="D2077" s="51" t="s">
        <v>3133</v>
      </c>
      <c r="E2077" s="50">
        <v>3688</v>
      </c>
      <c r="F2077" s="50">
        <v>4525</v>
      </c>
      <c r="G2077" s="50" t="s">
        <v>3404</v>
      </c>
      <c r="H2077" s="50">
        <v>2024</v>
      </c>
      <c r="I2077" s="132">
        <v>45426</v>
      </c>
      <c r="J2077" s="50"/>
      <c r="K2077" s="50" t="s">
        <v>35</v>
      </c>
      <c r="L2077" s="50"/>
      <c r="M2077" s="50" t="s">
        <v>148</v>
      </c>
      <c r="N2077" s="50"/>
      <c r="O2077" s="50"/>
      <c r="P2077" s="50"/>
      <c r="Q2077" s="50"/>
      <c r="R2077" s="50"/>
      <c r="S2077" s="50" t="str">
        <f t="shared" si="194"/>
        <v/>
      </c>
      <c r="T2077" s="50" t="str">
        <f t="shared" si="201"/>
        <v/>
      </c>
      <c r="U2077" s="50" t="str">
        <f t="shared" si="202"/>
        <v/>
      </c>
      <c r="V2077" s="50" t="str">
        <f t="shared" si="195"/>
        <v/>
      </c>
      <c r="W2077" s="50"/>
      <c r="X2077" s="50"/>
      <c r="Y2077" s="50"/>
      <c r="Z2077" s="50" t="s">
        <v>3406</v>
      </c>
      <c r="AA2077" s="50"/>
    </row>
    <row r="2078" spans="1:27" ht="25.5" customHeight="1">
      <c r="A2078" s="517" t="s">
        <v>778</v>
      </c>
      <c r="B2078" s="51" t="s">
        <v>1383</v>
      </c>
      <c r="C2078" s="51" t="s">
        <v>143</v>
      </c>
      <c r="D2078" s="51" t="s">
        <v>3727</v>
      </c>
      <c r="E2078" s="50">
        <v>3110</v>
      </c>
      <c r="F2078" s="50">
        <v>3852</v>
      </c>
      <c r="G2078" s="50" t="s">
        <v>3404</v>
      </c>
      <c r="H2078" s="50">
        <v>2025</v>
      </c>
      <c r="I2078" s="132">
        <v>45791</v>
      </c>
      <c r="J2078" s="50" t="s">
        <v>3532</v>
      </c>
      <c r="K2078" s="50" t="s">
        <v>35</v>
      </c>
      <c r="L2078" s="50"/>
      <c r="M2078" s="50" t="s">
        <v>148</v>
      </c>
      <c r="N2078" s="50" t="s">
        <v>5586</v>
      </c>
      <c r="O2078" s="60">
        <v>45792</v>
      </c>
      <c r="P2078" s="50"/>
      <c r="Q2078" s="60">
        <v>45793</v>
      </c>
      <c r="R2078" s="60">
        <v>45793</v>
      </c>
      <c r="S2078" s="50">
        <f t="shared" si="194"/>
        <v>1</v>
      </c>
      <c r="T2078" s="50" t="str">
        <f>IF(
    OR(ISBLANK(O2078), ISBLANK(P2078)),
    "",
    MAX(1, IF(
        NETWORKDAYS(O2078, P2078) &lt;= 0,
        1,
        NETWORKDAYS(O2078, P2078) - IF(O2078 = QP2078, 0, 1)
    ))
)</f>
        <v/>
      </c>
      <c r="U2078" s="50">
        <f>IF(
    OR(ISBLANK(1816), ISBLANK(Q2078)),
    "",
    MAX(1, IF(
        NETWORKDAYS(O2078, Q2078) &lt;= 0,
        1,
        NETWORKDAYS(O2078, Q2078) - IF(O2078 = Q2078, 0, 1)
    ))
)</f>
        <v>1</v>
      </c>
      <c r="V2078" s="50">
        <f t="shared" si="195"/>
        <v>1</v>
      </c>
      <c r="W2078" s="50" t="s">
        <v>150</v>
      </c>
      <c r="X2078" s="50" t="s">
        <v>3527</v>
      </c>
      <c r="Y2078" s="50" t="s">
        <v>3528</v>
      </c>
      <c r="Z2078" s="50" t="s">
        <v>3406</v>
      </c>
      <c r="AA2078" s="50"/>
    </row>
    <row r="2079" spans="1:27" ht="25.5" customHeight="1">
      <c r="A2079" s="517" t="s">
        <v>778</v>
      </c>
      <c r="B2079" s="51" t="s">
        <v>1383</v>
      </c>
      <c r="C2079" s="51" t="s">
        <v>143</v>
      </c>
      <c r="D2079" s="51" t="s">
        <v>5587</v>
      </c>
      <c r="E2079" s="50">
        <v>6365</v>
      </c>
      <c r="F2079" s="50">
        <v>5983</v>
      </c>
      <c r="G2079" s="50" t="s">
        <v>3955</v>
      </c>
      <c r="H2079" s="50"/>
      <c r="I2079" s="105"/>
      <c r="J2079" s="50"/>
      <c r="K2079" s="50" t="s">
        <v>35</v>
      </c>
      <c r="L2079" s="50"/>
      <c r="M2079" s="50" t="s">
        <v>148</v>
      </c>
      <c r="N2079" s="50"/>
      <c r="O2079" s="50"/>
      <c r="P2079" s="50"/>
      <c r="Q2079" s="50"/>
      <c r="R2079" s="50"/>
      <c r="S2079" s="50" t="str">
        <f t="shared" si="194"/>
        <v/>
      </c>
      <c r="T2079" s="50" t="str">
        <f>IF(
    OR(ISBLANK(O2079), ISBLANK(P2079)),
    "",
    MAX(1, IF(
        NETWORKDAYS(O2079, P2079) &lt;= 0,
        1,
        NETWORKDAYS(O2079, P2079) - IF(O2079 = P2079, 0, 1)
    ))
)</f>
        <v/>
      </c>
      <c r="U2079" s="50" t="str">
        <f>IF(
    OR(ISBLANK(P2079), ISBLANK(Q2079)),
    "",
    MAX(1, IF(
        NETWORKDAYS(P2079, Q2079) &lt;= 0,
        1,
        NETWORKDAYS(P2079, Q2079) - IF(P2079 = Q2079, 0, 1)
    ))
)</f>
        <v/>
      </c>
      <c r="V2079" s="50" t="str">
        <f t="shared" si="195"/>
        <v/>
      </c>
      <c r="W2079" s="50"/>
      <c r="X2079" s="50"/>
      <c r="Y2079" s="50"/>
      <c r="Z2079" s="50"/>
      <c r="AA2079" s="50"/>
    </row>
    <row r="2080" spans="1:27" s="110" customFormat="1" ht="25.5" customHeight="1">
      <c r="A2080" s="517" t="s">
        <v>778</v>
      </c>
      <c r="B2080" s="51" t="s">
        <v>1387</v>
      </c>
      <c r="C2080" s="51" t="s">
        <v>143</v>
      </c>
      <c r="D2080" s="51" t="s">
        <v>5588</v>
      </c>
      <c r="E2080" s="50">
        <v>12268</v>
      </c>
      <c r="F2080" s="50">
        <v>13899</v>
      </c>
      <c r="G2080" s="50" t="s">
        <v>3404</v>
      </c>
      <c r="H2080" s="50">
        <v>2025</v>
      </c>
      <c r="I2080" s="132">
        <v>45916</v>
      </c>
      <c r="J2080" s="50" t="s">
        <v>3127</v>
      </c>
      <c r="K2080" s="50" t="s">
        <v>32</v>
      </c>
      <c r="L2080" s="50"/>
      <c r="M2080" s="50" t="s">
        <v>148</v>
      </c>
      <c r="N2080" s="50" t="s">
        <v>5589</v>
      </c>
      <c r="O2080" s="60">
        <v>45917</v>
      </c>
      <c r="P2080" s="50"/>
      <c r="Q2080" s="60">
        <v>45917</v>
      </c>
      <c r="R2080" s="60">
        <v>45918</v>
      </c>
      <c r="S2080" s="50">
        <f t="shared" si="194"/>
        <v>1</v>
      </c>
      <c r="T2080" s="50" t="str">
        <f>IF(
    OR(ISBLANK(O2080), ISBLANK(P2080)),
    "",
    MAX(1, IF(
        NETWORKDAYS(O2080, P2080) &lt;= 0,
        1,
        NETWORKDAYS(O2080, P2080) - IF(O2080 = QP2080, 0, 1)
    ))
)</f>
        <v/>
      </c>
      <c r="U2080" s="50">
        <f>IF(
    OR(ISBLANK(1816), ISBLANK(Q2080)),
    "",
    MAX(1, IF(
        NETWORKDAYS(O2080, Q2080) &lt;= 0,
        1,
        NETWORKDAYS(O2080, Q2080) - IF(O2080 = Q2080, 0, 1)
    ))
)</f>
        <v>1</v>
      </c>
      <c r="V2080" s="50">
        <f t="shared" si="195"/>
        <v>1</v>
      </c>
      <c r="W2080" s="50" t="s">
        <v>150</v>
      </c>
      <c r="X2080" s="50" t="s">
        <v>3527</v>
      </c>
      <c r="Y2080" s="50" t="s">
        <v>3528</v>
      </c>
      <c r="Z2080" s="50" t="s">
        <v>3406</v>
      </c>
      <c r="AA2080" s="50"/>
    </row>
    <row r="2081" spans="1:27" ht="25.5" customHeight="1">
      <c r="A2081" s="517" t="s">
        <v>778</v>
      </c>
      <c r="B2081" s="51" t="s">
        <v>1387</v>
      </c>
      <c r="C2081" s="51" t="s">
        <v>143</v>
      </c>
      <c r="D2081" s="51" t="s">
        <v>5590</v>
      </c>
      <c r="E2081" s="50">
        <v>9704</v>
      </c>
      <c r="F2081" s="50">
        <v>11411</v>
      </c>
      <c r="G2081" s="50" t="s">
        <v>3955</v>
      </c>
      <c r="H2081" s="50"/>
      <c r="I2081" s="105"/>
      <c r="J2081" s="50"/>
      <c r="K2081" s="50" t="s">
        <v>32</v>
      </c>
      <c r="L2081" s="50"/>
      <c r="M2081" s="50" t="s">
        <v>148</v>
      </c>
      <c r="N2081" s="50"/>
      <c r="O2081" s="50"/>
      <c r="P2081" s="50"/>
      <c r="Q2081" s="50"/>
      <c r="R2081" s="50"/>
      <c r="S2081" s="50" t="str">
        <f t="shared" si="194"/>
        <v/>
      </c>
      <c r="T2081" s="50" t="str">
        <f>IF(
    OR(ISBLANK(O2081), ISBLANK(P2081)),
    "",
    MAX(1, IF(
        NETWORKDAYS(O2081, P2081) &lt;= 0,
        1,
        NETWORKDAYS(O2081, P2081) - IF(O2081 = P2081, 0, 1)
    ))
)</f>
        <v/>
      </c>
      <c r="U2081" s="50" t="str">
        <f>IF(
    OR(ISBLANK(P2081), ISBLANK(Q2081)),
    "",
    MAX(1, IF(
        NETWORKDAYS(P2081, Q2081) &lt;= 0,
        1,
        NETWORKDAYS(P2081, Q2081) - IF(P2081 = Q2081, 0, 1)
    ))
)</f>
        <v/>
      </c>
      <c r="V2081" s="50" t="str">
        <f t="shared" si="195"/>
        <v/>
      </c>
      <c r="W2081" s="50"/>
      <c r="X2081" s="50"/>
      <c r="Y2081" s="50"/>
      <c r="Z2081" s="50"/>
      <c r="AA2081" s="50"/>
    </row>
    <row r="2082" spans="1:27" ht="25.5" customHeight="1">
      <c r="A2082" s="517" t="s">
        <v>778</v>
      </c>
      <c r="B2082" s="51" t="s">
        <v>1387</v>
      </c>
      <c r="C2082" s="51" t="s">
        <v>143</v>
      </c>
      <c r="D2082" s="51" t="s">
        <v>5210</v>
      </c>
      <c r="E2082" s="50">
        <v>3901</v>
      </c>
      <c r="F2082" s="50">
        <v>4786</v>
      </c>
      <c r="G2082" s="50" t="s">
        <v>3404</v>
      </c>
      <c r="H2082" s="50">
        <v>2025</v>
      </c>
      <c r="I2082" s="132">
        <v>45734</v>
      </c>
      <c r="J2082" s="50" t="s">
        <v>3416</v>
      </c>
      <c r="K2082" s="50" t="s">
        <v>32</v>
      </c>
      <c r="L2082" s="50"/>
      <c r="M2082" s="50" t="s">
        <v>148</v>
      </c>
      <c r="N2082" s="50" t="s">
        <v>5591</v>
      </c>
      <c r="O2082" s="132">
        <v>45734</v>
      </c>
      <c r="P2082" s="132"/>
      <c r="Q2082" s="132">
        <v>45734</v>
      </c>
      <c r="R2082" s="60">
        <v>45735</v>
      </c>
      <c r="S2082" s="50">
        <f t="shared" si="194"/>
        <v>1</v>
      </c>
      <c r="T2082" s="50" t="str">
        <f>IF(
    OR(ISBLANK(O2082), ISBLANK(P2082)),
    "",
    MAX(1, IF(
        NETWORKDAYS(O2082, P2082) &lt;= 0,
        1,
        NETWORKDAYS(O2082, P2082) - IF(O2082 = QP2082, 0, 1)
    ))
)</f>
        <v/>
      </c>
      <c r="U2082" s="50">
        <f>IF(
    OR(ISBLANK(1816), ISBLANK(Q2082)),
    "",
    MAX(1, IF(
        NETWORKDAYS(O2082, Q2082) &lt;= 0,
        1,
        NETWORKDAYS(O2082, Q2082) - IF(O2082 = Q2082, 0, 1)
    ))
)</f>
        <v>1</v>
      </c>
      <c r="V2082" s="50">
        <f t="shared" si="195"/>
        <v>1</v>
      </c>
      <c r="W2082" s="50" t="s">
        <v>150</v>
      </c>
      <c r="X2082" s="50" t="s">
        <v>3527</v>
      </c>
      <c r="Y2082" s="50" t="s">
        <v>3528</v>
      </c>
      <c r="Z2082" s="50" t="s">
        <v>3406</v>
      </c>
      <c r="AA2082" s="50"/>
    </row>
    <row r="2083" spans="1:27" ht="25.5" customHeight="1">
      <c r="A2083" s="517" t="s">
        <v>778</v>
      </c>
      <c r="B2083" s="51" t="s">
        <v>1387</v>
      </c>
      <c r="C2083" s="51" t="s">
        <v>143</v>
      </c>
      <c r="D2083" s="51" t="s">
        <v>5592</v>
      </c>
      <c r="E2083" s="50">
        <v>3151</v>
      </c>
      <c r="F2083" s="50">
        <v>3885</v>
      </c>
      <c r="G2083" s="50" t="s">
        <v>3404</v>
      </c>
      <c r="H2083" s="50">
        <v>2025</v>
      </c>
      <c r="I2083" s="132">
        <v>45727</v>
      </c>
      <c r="J2083" s="50" t="s">
        <v>3416</v>
      </c>
      <c r="K2083" s="50" t="s">
        <v>32</v>
      </c>
      <c r="L2083" s="50"/>
      <c r="M2083" s="50" t="s">
        <v>148</v>
      </c>
      <c r="N2083" s="50" t="s">
        <v>5593</v>
      </c>
      <c r="O2083" s="60">
        <v>45734</v>
      </c>
      <c r="P2083" s="60"/>
      <c r="Q2083" s="60">
        <v>45734</v>
      </c>
      <c r="R2083" s="60">
        <v>45735</v>
      </c>
      <c r="S2083" s="50">
        <f t="shared" si="194"/>
        <v>5</v>
      </c>
      <c r="T2083" s="50" t="str">
        <f>IF(
    OR(ISBLANK(O2083), ISBLANK(P2083)),
    "",
    MAX(1, IF(
        NETWORKDAYS(O2083, P2083) &lt;= 0,
        1,
        NETWORKDAYS(O2083, P2083) - IF(O2083 = QP2083, 0, 1)
    ))
)</f>
        <v/>
      </c>
      <c r="U2083" s="50">
        <f>IF(
    OR(ISBLANK(1816), ISBLANK(Q2083)),
    "",
    MAX(1, IF(
        NETWORKDAYS(O2083, Q2083) &lt;= 0,
        1,
        NETWORKDAYS(O2083, Q2083) - IF(O2083 = Q2083, 0, 1)
    ))
)</f>
        <v>1</v>
      </c>
      <c r="V2083" s="50">
        <f t="shared" si="195"/>
        <v>1</v>
      </c>
      <c r="W2083" s="50" t="s">
        <v>150</v>
      </c>
      <c r="X2083" s="50" t="s">
        <v>3527</v>
      </c>
      <c r="Y2083" s="50" t="s">
        <v>3528</v>
      </c>
      <c r="Z2083" s="50" t="s">
        <v>3406</v>
      </c>
      <c r="AA2083" s="50"/>
    </row>
    <row r="2084" spans="1:27" ht="25.5" customHeight="1">
      <c r="A2084" s="517" t="s">
        <v>778</v>
      </c>
      <c r="B2084" s="51" t="s">
        <v>1387</v>
      </c>
      <c r="C2084" s="51" t="s">
        <v>143</v>
      </c>
      <c r="D2084" s="51" t="s">
        <v>5594</v>
      </c>
      <c r="E2084" s="50">
        <v>1927</v>
      </c>
      <c r="F2084" s="50">
        <v>2997</v>
      </c>
      <c r="G2084" s="50" t="s">
        <v>3955</v>
      </c>
      <c r="H2084" s="50"/>
      <c r="I2084" s="105"/>
      <c r="J2084" s="50"/>
      <c r="K2084" s="50" t="s">
        <v>32</v>
      </c>
      <c r="L2084" s="50"/>
      <c r="M2084" s="50" t="s">
        <v>148</v>
      </c>
      <c r="N2084" s="50"/>
      <c r="O2084" s="50"/>
      <c r="P2084" s="50"/>
      <c r="Q2084" s="50"/>
      <c r="R2084" s="50"/>
      <c r="S2084" s="50" t="str">
        <f t="shared" si="194"/>
        <v/>
      </c>
      <c r="T2084" s="50" t="str">
        <f t="shared" ref="T2084:T2100" si="203">IF(
    OR(ISBLANK(O2084), ISBLANK(P2084)),
    "",
    MAX(1, IF(
        NETWORKDAYS(O2084, P2084) &lt;= 0,
        1,
        NETWORKDAYS(O2084, P2084) - IF(O2084 = P2084, 0, 1)
    ))
)</f>
        <v/>
      </c>
      <c r="U2084" s="50" t="str">
        <f t="shared" ref="U2084:U2100" si="204">IF(
    OR(ISBLANK(P2084), ISBLANK(Q2084)),
    "",
    MAX(1, IF(
        NETWORKDAYS(P2084, Q2084) &lt;= 0,
        1,
        NETWORKDAYS(P2084, Q2084) - IF(P2084 = Q2084, 0, 1)
    ))
)</f>
        <v/>
      </c>
      <c r="V2084" s="50" t="str">
        <f t="shared" si="195"/>
        <v/>
      </c>
      <c r="W2084" s="50"/>
      <c r="X2084" s="50"/>
      <c r="Y2084" s="50"/>
      <c r="Z2084" s="50"/>
      <c r="AA2084" s="50"/>
    </row>
    <row r="2085" spans="1:27" ht="25.5" customHeight="1">
      <c r="A2085" s="517" t="s">
        <v>778</v>
      </c>
      <c r="B2085" s="51" t="s">
        <v>1387</v>
      </c>
      <c r="C2085" s="51" t="s">
        <v>143</v>
      </c>
      <c r="D2085" s="51" t="s">
        <v>4051</v>
      </c>
      <c r="E2085" s="50">
        <v>1812</v>
      </c>
      <c r="F2085" s="50">
        <v>2017</v>
      </c>
      <c r="G2085" s="50" t="s">
        <v>3955</v>
      </c>
      <c r="H2085" s="50"/>
      <c r="I2085" s="105"/>
      <c r="J2085" s="50"/>
      <c r="K2085" s="50" t="s">
        <v>32</v>
      </c>
      <c r="L2085" s="50"/>
      <c r="M2085" s="50" t="s">
        <v>148</v>
      </c>
      <c r="N2085" s="50"/>
      <c r="O2085" s="50"/>
      <c r="P2085" s="50"/>
      <c r="Q2085" s="50"/>
      <c r="R2085" s="50"/>
      <c r="S2085" s="50" t="str">
        <f t="shared" si="194"/>
        <v/>
      </c>
      <c r="T2085" s="50" t="str">
        <f t="shared" si="203"/>
        <v/>
      </c>
      <c r="U2085" s="50" t="str">
        <f t="shared" si="204"/>
        <v/>
      </c>
      <c r="V2085" s="50" t="str">
        <f t="shared" si="195"/>
        <v/>
      </c>
      <c r="W2085" s="50"/>
      <c r="X2085" s="50"/>
      <c r="Y2085" s="50"/>
      <c r="Z2085" s="50"/>
      <c r="AA2085" s="50"/>
    </row>
    <row r="2086" spans="1:27" ht="25.5" customHeight="1">
      <c r="A2086" s="517" t="s">
        <v>778</v>
      </c>
      <c r="B2086" s="51" t="s">
        <v>1387</v>
      </c>
      <c r="C2086" s="51" t="s">
        <v>143</v>
      </c>
      <c r="D2086" s="51" t="s">
        <v>5595</v>
      </c>
      <c r="E2086" s="50">
        <v>11387</v>
      </c>
      <c r="F2086" s="50">
        <v>13063</v>
      </c>
      <c r="G2086" s="50" t="s">
        <v>3955</v>
      </c>
      <c r="H2086" s="50"/>
      <c r="I2086" s="105"/>
      <c r="J2086" s="50"/>
      <c r="K2086" s="50" t="s">
        <v>32</v>
      </c>
      <c r="L2086" s="50"/>
      <c r="M2086" s="50" t="s">
        <v>148</v>
      </c>
      <c r="N2086" s="50"/>
      <c r="O2086" s="50"/>
      <c r="P2086" s="50"/>
      <c r="Q2086" s="50"/>
      <c r="R2086" s="50"/>
      <c r="S2086" s="50" t="str">
        <f t="shared" si="194"/>
        <v/>
      </c>
      <c r="T2086" s="50" t="str">
        <f t="shared" si="203"/>
        <v/>
      </c>
      <c r="U2086" s="50" t="str">
        <f t="shared" si="204"/>
        <v/>
      </c>
      <c r="V2086" s="50" t="str">
        <f t="shared" si="195"/>
        <v/>
      </c>
      <c r="W2086" s="50"/>
      <c r="X2086" s="50"/>
      <c r="Y2086" s="50"/>
      <c r="Z2086" s="50"/>
      <c r="AA2086" s="50"/>
    </row>
    <row r="2087" spans="1:27" ht="25.5" customHeight="1">
      <c r="A2087" s="517" t="s">
        <v>778</v>
      </c>
      <c r="B2087" s="51" t="s">
        <v>1387</v>
      </c>
      <c r="C2087" s="51" t="s">
        <v>143</v>
      </c>
      <c r="D2087" s="51" t="s">
        <v>1494</v>
      </c>
      <c r="E2087" s="50">
        <v>37789</v>
      </c>
      <c r="F2087" s="50">
        <v>41695</v>
      </c>
      <c r="G2087" s="50" t="s">
        <v>3955</v>
      </c>
      <c r="H2087" s="50"/>
      <c r="I2087" s="105"/>
      <c r="J2087" s="50"/>
      <c r="K2087" s="50" t="s">
        <v>32</v>
      </c>
      <c r="L2087" s="50"/>
      <c r="M2087" s="50" t="s">
        <v>148</v>
      </c>
      <c r="N2087" s="50"/>
      <c r="O2087" s="50"/>
      <c r="P2087" s="50"/>
      <c r="Q2087" s="50"/>
      <c r="R2087" s="50"/>
      <c r="S2087" s="50" t="str">
        <f t="shared" si="194"/>
        <v/>
      </c>
      <c r="T2087" s="50" t="str">
        <f t="shared" si="203"/>
        <v/>
      </c>
      <c r="U2087" s="50" t="str">
        <f t="shared" si="204"/>
        <v/>
      </c>
      <c r="V2087" s="50" t="str">
        <f t="shared" si="195"/>
        <v/>
      </c>
      <c r="W2087" s="50"/>
      <c r="X2087" s="50"/>
      <c r="Y2087" s="50"/>
      <c r="Z2087" s="50"/>
      <c r="AA2087" s="50"/>
    </row>
    <row r="2088" spans="1:27" ht="25.5" customHeight="1">
      <c r="A2088" s="517" t="s">
        <v>778</v>
      </c>
      <c r="B2088" s="51" t="s">
        <v>1387</v>
      </c>
      <c r="C2088" s="51" t="s">
        <v>143</v>
      </c>
      <c r="D2088" s="51" t="s">
        <v>5596</v>
      </c>
      <c r="E2088" s="50">
        <v>54541</v>
      </c>
      <c r="F2088" s="50">
        <v>62378</v>
      </c>
      <c r="G2088" s="50" t="s">
        <v>3955</v>
      </c>
      <c r="H2088" s="50"/>
      <c r="I2088" s="105"/>
      <c r="J2088" s="50"/>
      <c r="K2088" s="50" t="s">
        <v>32</v>
      </c>
      <c r="L2088" s="50"/>
      <c r="M2088" s="50" t="s">
        <v>148</v>
      </c>
      <c r="N2088" s="50"/>
      <c r="O2088" s="50"/>
      <c r="P2088" s="50"/>
      <c r="Q2088" s="50"/>
      <c r="R2088" s="50"/>
      <c r="S2088" s="50" t="str">
        <f t="shared" si="194"/>
        <v/>
      </c>
      <c r="T2088" s="50" t="str">
        <f t="shared" si="203"/>
        <v/>
      </c>
      <c r="U2088" s="50" t="str">
        <f t="shared" si="204"/>
        <v/>
      </c>
      <c r="V2088" s="50" t="str">
        <f t="shared" si="195"/>
        <v/>
      </c>
      <c r="W2088" s="50"/>
      <c r="X2088" s="50"/>
      <c r="Y2088" s="50"/>
      <c r="Z2088" s="50"/>
      <c r="AA2088" s="50"/>
    </row>
    <row r="2089" spans="1:27" ht="25.5" customHeight="1">
      <c r="A2089" s="517" t="s">
        <v>778</v>
      </c>
      <c r="B2089" s="51" t="s">
        <v>1387</v>
      </c>
      <c r="C2089" s="51" t="s">
        <v>143</v>
      </c>
      <c r="D2089" s="51" t="s">
        <v>5197</v>
      </c>
      <c r="E2089" s="50">
        <v>2841</v>
      </c>
      <c r="F2089" s="50">
        <v>4305</v>
      </c>
      <c r="G2089" s="50" t="s">
        <v>3955</v>
      </c>
      <c r="H2089" s="50"/>
      <c r="I2089" s="105"/>
      <c r="J2089" s="50"/>
      <c r="K2089" s="50" t="s">
        <v>32</v>
      </c>
      <c r="L2089" s="50"/>
      <c r="M2089" s="50" t="s">
        <v>148</v>
      </c>
      <c r="N2089" s="50"/>
      <c r="O2089" s="50"/>
      <c r="P2089" s="50"/>
      <c r="Q2089" s="50"/>
      <c r="R2089" s="50"/>
      <c r="S2089" s="50" t="str">
        <f t="shared" si="194"/>
        <v/>
      </c>
      <c r="T2089" s="50" t="str">
        <f t="shared" si="203"/>
        <v/>
      </c>
      <c r="U2089" s="50" t="str">
        <f t="shared" si="204"/>
        <v/>
      </c>
      <c r="V2089" s="50" t="str">
        <f t="shared" si="195"/>
        <v/>
      </c>
      <c r="W2089" s="50"/>
      <c r="X2089" s="50"/>
      <c r="Y2089" s="50"/>
      <c r="Z2089" s="50"/>
      <c r="AA2089" s="50"/>
    </row>
    <row r="2090" spans="1:27" ht="25.5" customHeight="1">
      <c r="A2090" s="517" t="s">
        <v>778</v>
      </c>
      <c r="B2090" s="51" t="s">
        <v>1387</v>
      </c>
      <c r="C2090" s="51" t="s">
        <v>143</v>
      </c>
      <c r="D2090" s="51" t="s">
        <v>5597</v>
      </c>
      <c r="E2090" s="50">
        <v>6786</v>
      </c>
      <c r="F2090" s="50">
        <v>8387</v>
      </c>
      <c r="G2090" s="50" t="s">
        <v>3955</v>
      </c>
      <c r="H2090" s="50"/>
      <c r="I2090" s="105"/>
      <c r="J2090" s="50"/>
      <c r="K2090" s="50" t="s">
        <v>32</v>
      </c>
      <c r="L2090" s="50"/>
      <c r="M2090" s="50" t="s">
        <v>148</v>
      </c>
      <c r="N2090" s="50"/>
      <c r="O2090" s="50"/>
      <c r="P2090" s="50"/>
      <c r="Q2090" s="50"/>
      <c r="R2090" s="50"/>
      <c r="S2090" s="50" t="str">
        <f t="shared" si="194"/>
        <v/>
      </c>
      <c r="T2090" s="50" t="str">
        <f t="shared" si="203"/>
        <v/>
      </c>
      <c r="U2090" s="50" t="str">
        <f t="shared" si="204"/>
        <v/>
      </c>
      <c r="V2090" s="50" t="str">
        <f t="shared" si="195"/>
        <v/>
      </c>
      <c r="W2090" s="50"/>
      <c r="X2090" s="50"/>
      <c r="Y2090" s="50"/>
      <c r="Z2090" s="50"/>
      <c r="AA2090" s="50"/>
    </row>
    <row r="2091" spans="1:27" ht="25.5" customHeight="1">
      <c r="A2091" s="517" t="s">
        <v>778</v>
      </c>
      <c r="B2091" s="51" t="s">
        <v>1387</v>
      </c>
      <c r="C2091" s="51" t="s">
        <v>143</v>
      </c>
      <c r="D2091" s="51" t="s">
        <v>3753</v>
      </c>
      <c r="E2091" s="50">
        <v>19056</v>
      </c>
      <c r="F2091" s="50">
        <v>24042</v>
      </c>
      <c r="G2091" s="50" t="s">
        <v>3955</v>
      </c>
      <c r="H2091" s="50"/>
      <c r="I2091" s="105"/>
      <c r="J2091" s="50"/>
      <c r="K2091" s="50" t="s">
        <v>32</v>
      </c>
      <c r="L2091" s="50"/>
      <c r="M2091" s="50" t="s">
        <v>148</v>
      </c>
      <c r="N2091" s="50"/>
      <c r="O2091" s="50"/>
      <c r="P2091" s="50"/>
      <c r="Q2091" s="50"/>
      <c r="R2091" s="50"/>
      <c r="S2091" s="50" t="str">
        <f t="shared" si="194"/>
        <v/>
      </c>
      <c r="T2091" s="50" t="str">
        <f t="shared" si="203"/>
        <v/>
      </c>
      <c r="U2091" s="50" t="str">
        <f t="shared" si="204"/>
        <v/>
      </c>
      <c r="V2091" s="50" t="str">
        <f t="shared" si="195"/>
        <v/>
      </c>
      <c r="W2091" s="50"/>
      <c r="X2091" s="50"/>
      <c r="Y2091" s="50"/>
      <c r="Z2091" s="50"/>
      <c r="AA2091" s="50"/>
    </row>
    <row r="2092" spans="1:27" ht="25.5" customHeight="1">
      <c r="A2092" s="517" t="s">
        <v>778</v>
      </c>
      <c r="B2092" s="51" t="s">
        <v>1387</v>
      </c>
      <c r="C2092" s="51" t="s">
        <v>143</v>
      </c>
      <c r="D2092" s="51" t="s">
        <v>5598</v>
      </c>
      <c r="E2092" s="50">
        <v>3768</v>
      </c>
      <c r="F2092" s="50">
        <v>4202</v>
      </c>
      <c r="G2092" s="50" t="s">
        <v>3955</v>
      </c>
      <c r="H2092" s="50"/>
      <c r="I2092" s="105"/>
      <c r="J2092" s="50"/>
      <c r="K2092" s="50" t="s">
        <v>32</v>
      </c>
      <c r="L2092" s="50"/>
      <c r="M2092" s="50" t="s">
        <v>148</v>
      </c>
      <c r="N2092" s="50"/>
      <c r="O2092" s="50"/>
      <c r="P2092" s="50"/>
      <c r="Q2092" s="50"/>
      <c r="R2092" s="50"/>
      <c r="S2092" s="50" t="str">
        <f t="shared" si="194"/>
        <v/>
      </c>
      <c r="T2092" s="50" t="str">
        <f t="shared" si="203"/>
        <v/>
      </c>
      <c r="U2092" s="50" t="str">
        <f t="shared" si="204"/>
        <v/>
      </c>
      <c r="V2092" s="50" t="str">
        <f t="shared" si="195"/>
        <v/>
      </c>
      <c r="W2092" s="50"/>
      <c r="X2092" s="50"/>
      <c r="Y2092" s="50"/>
      <c r="Z2092" s="50"/>
      <c r="AA2092" s="50"/>
    </row>
    <row r="2093" spans="1:27" ht="25.5" customHeight="1">
      <c r="A2093" s="517" t="s">
        <v>778</v>
      </c>
      <c r="B2093" s="51" t="s">
        <v>1387</v>
      </c>
      <c r="C2093" s="51" t="s">
        <v>143</v>
      </c>
      <c r="D2093" s="51" t="s">
        <v>5599</v>
      </c>
      <c r="E2093" s="50">
        <v>2250</v>
      </c>
      <c r="F2093" s="50">
        <v>2284</v>
      </c>
      <c r="G2093" s="50" t="s">
        <v>3955</v>
      </c>
      <c r="H2093" s="50"/>
      <c r="I2093" s="105"/>
      <c r="J2093" s="50"/>
      <c r="K2093" s="50" t="s">
        <v>32</v>
      </c>
      <c r="L2093" s="50"/>
      <c r="M2093" s="50" t="s">
        <v>148</v>
      </c>
      <c r="N2093" s="50"/>
      <c r="O2093" s="50"/>
      <c r="P2093" s="50"/>
      <c r="Q2093" s="50"/>
      <c r="R2093" s="50"/>
      <c r="S2093" s="50" t="str">
        <f t="shared" si="194"/>
        <v/>
      </c>
      <c r="T2093" s="50" t="str">
        <f t="shared" si="203"/>
        <v/>
      </c>
      <c r="U2093" s="50" t="str">
        <f t="shared" si="204"/>
        <v/>
      </c>
      <c r="V2093" s="50" t="str">
        <f t="shared" si="195"/>
        <v/>
      </c>
      <c r="W2093" s="50"/>
      <c r="X2093" s="50"/>
      <c r="Y2093" s="50"/>
      <c r="Z2093" s="50"/>
      <c r="AA2093" s="50"/>
    </row>
    <row r="2094" spans="1:27" ht="25.5" customHeight="1">
      <c r="A2094" s="517" t="s">
        <v>778</v>
      </c>
      <c r="B2094" s="51" t="s">
        <v>1387</v>
      </c>
      <c r="C2094" s="51" t="s">
        <v>143</v>
      </c>
      <c r="D2094" s="51" t="s">
        <v>5600</v>
      </c>
      <c r="E2094" s="50">
        <v>940</v>
      </c>
      <c r="F2094" s="50">
        <v>954</v>
      </c>
      <c r="G2094" s="50" t="s">
        <v>3955</v>
      </c>
      <c r="H2094" s="50"/>
      <c r="I2094" s="105"/>
      <c r="J2094" s="50"/>
      <c r="K2094" s="50" t="s">
        <v>32</v>
      </c>
      <c r="L2094" s="50"/>
      <c r="M2094" s="50" t="s">
        <v>148</v>
      </c>
      <c r="N2094" s="50"/>
      <c r="O2094" s="50"/>
      <c r="P2094" s="50"/>
      <c r="Q2094" s="50"/>
      <c r="R2094" s="50"/>
      <c r="S2094" s="50" t="str">
        <f t="shared" si="194"/>
        <v/>
      </c>
      <c r="T2094" s="50" t="str">
        <f t="shared" si="203"/>
        <v/>
      </c>
      <c r="U2094" s="50" t="str">
        <f t="shared" si="204"/>
        <v/>
      </c>
      <c r="V2094" s="50" t="str">
        <f t="shared" si="195"/>
        <v/>
      </c>
      <c r="W2094" s="50"/>
      <c r="X2094" s="50"/>
      <c r="Y2094" s="50"/>
      <c r="Z2094" s="50"/>
      <c r="AA2094" s="50"/>
    </row>
    <row r="2095" spans="1:27" ht="25.5" customHeight="1">
      <c r="A2095" s="517" t="s">
        <v>778</v>
      </c>
      <c r="B2095" s="51" t="s">
        <v>1387</v>
      </c>
      <c r="C2095" s="51" t="s">
        <v>143</v>
      </c>
      <c r="D2095" s="51" t="s">
        <v>4738</v>
      </c>
      <c r="E2095" s="50">
        <v>2924</v>
      </c>
      <c r="F2095" s="50">
        <v>4957</v>
      </c>
      <c r="G2095" s="50" t="s">
        <v>3955</v>
      </c>
      <c r="H2095" s="50"/>
      <c r="I2095" s="105"/>
      <c r="J2095" s="50"/>
      <c r="K2095" s="50" t="s">
        <v>32</v>
      </c>
      <c r="L2095" s="50"/>
      <c r="M2095" s="50" t="s">
        <v>148</v>
      </c>
      <c r="N2095" s="50"/>
      <c r="O2095" s="50"/>
      <c r="P2095" s="50"/>
      <c r="Q2095" s="50"/>
      <c r="R2095" s="50"/>
      <c r="S2095" s="50" t="str">
        <f t="shared" si="194"/>
        <v/>
      </c>
      <c r="T2095" s="50" t="str">
        <f t="shared" si="203"/>
        <v/>
      </c>
      <c r="U2095" s="50" t="str">
        <f t="shared" si="204"/>
        <v/>
      </c>
      <c r="V2095" s="50" t="str">
        <f t="shared" si="195"/>
        <v/>
      </c>
      <c r="W2095" s="50"/>
      <c r="X2095" s="50"/>
      <c r="Y2095" s="50"/>
      <c r="Z2095" s="50"/>
      <c r="AA2095" s="50"/>
    </row>
    <row r="2096" spans="1:27" ht="25.5" customHeight="1">
      <c r="A2096" s="517" t="s">
        <v>778</v>
      </c>
      <c r="B2096" s="51" t="s">
        <v>1387</v>
      </c>
      <c r="C2096" s="51" t="s">
        <v>143</v>
      </c>
      <c r="D2096" s="51" t="s">
        <v>5601</v>
      </c>
      <c r="E2096" s="50">
        <v>3056</v>
      </c>
      <c r="F2096" s="50">
        <v>3692</v>
      </c>
      <c r="G2096" s="50" t="s">
        <v>3955</v>
      </c>
      <c r="H2096" s="50"/>
      <c r="I2096" s="105"/>
      <c r="J2096" s="50"/>
      <c r="K2096" s="50" t="s">
        <v>32</v>
      </c>
      <c r="L2096" s="50"/>
      <c r="M2096" s="50" t="s">
        <v>148</v>
      </c>
      <c r="N2096" s="50"/>
      <c r="O2096" s="50"/>
      <c r="P2096" s="50"/>
      <c r="Q2096" s="50"/>
      <c r="R2096" s="50"/>
      <c r="S2096" s="50" t="str">
        <f t="shared" ref="S2096:S2159" si="205">IF(
    OR(ISBLANK(I2096), ISBLANK(O2096)),
    "",
    MAX(1, IF(
        NETWORKDAYS(I2096, O2096) &lt;= 0,
        1,
        NETWORKDAYS(I2096, O2096) - IF(I2096 = O2096, 0, 1)
    ))
)</f>
        <v/>
      </c>
      <c r="T2096" s="50" t="str">
        <f t="shared" si="203"/>
        <v/>
      </c>
      <c r="U2096" s="50" t="str">
        <f t="shared" si="204"/>
        <v/>
      </c>
      <c r="V2096" s="50" t="str">
        <f t="shared" ref="V2096:V2159" si="206">IF(
    OR(ISBLANK(Q2096), ISBLANK(R2096)),
    "",
    MAX(1, IF(
        NETWORKDAYS(Q2096, R2096) &lt;= 0,
        1,
        NETWORKDAYS(Q2096, R2096) - IF(Q2096 = R2096, 0, 1)
    ))
)</f>
        <v/>
      </c>
      <c r="W2096" s="50"/>
      <c r="X2096" s="50"/>
      <c r="Y2096" s="50"/>
      <c r="Z2096" s="50"/>
      <c r="AA2096" s="50"/>
    </row>
    <row r="2097" spans="1:27" s="110" customFormat="1" ht="25.5" customHeight="1">
      <c r="A2097" s="517" t="s">
        <v>778</v>
      </c>
      <c r="B2097" s="51" t="s">
        <v>1387</v>
      </c>
      <c r="C2097" s="51" t="s">
        <v>143</v>
      </c>
      <c r="D2097" s="51" t="s">
        <v>5602</v>
      </c>
      <c r="E2097" s="50">
        <v>1588</v>
      </c>
      <c r="F2097" s="50">
        <v>1830</v>
      </c>
      <c r="G2097" s="50" t="s">
        <v>3955</v>
      </c>
      <c r="H2097" s="50"/>
      <c r="I2097" s="105"/>
      <c r="J2097" s="50"/>
      <c r="K2097" s="50" t="s">
        <v>32</v>
      </c>
      <c r="L2097" s="50"/>
      <c r="M2097" s="50" t="s">
        <v>148</v>
      </c>
      <c r="N2097" s="50"/>
      <c r="O2097" s="50"/>
      <c r="P2097" s="50"/>
      <c r="Q2097" s="50"/>
      <c r="R2097" s="50"/>
      <c r="S2097" s="50" t="str">
        <f t="shared" si="205"/>
        <v/>
      </c>
      <c r="T2097" s="50" t="str">
        <f t="shared" si="203"/>
        <v/>
      </c>
      <c r="U2097" s="50" t="str">
        <f t="shared" si="204"/>
        <v/>
      </c>
      <c r="V2097" s="50" t="str">
        <f t="shared" si="206"/>
        <v/>
      </c>
      <c r="W2097" s="50"/>
      <c r="X2097" s="50"/>
      <c r="Y2097" s="50"/>
      <c r="Z2097" s="50"/>
      <c r="AA2097" s="50"/>
    </row>
    <row r="2098" spans="1:27" ht="25.5" customHeight="1">
      <c r="A2098" s="517" t="s">
        <v>778</v>
      </c>
      <c r="B2098" s="51" t="s">
        <v>1387</v>
      </c>
      <c r="C2098" s="51" t="s">
        <v>143</v>
      </c>
      <c r="D2098" s="51" t="s">
        <v>1056</v>
      </c>
      <c r="E2098" s="50">
        <v>2782</v>
      </c>
      <c r="F2098" s="50">
        <v>2759</v>
      </c>
      <c r="G2098" s="50" t="s">
        <v>3955</v>
      </c>
      <c r="H2098" s="50"/>
      <c r="I2098" s="105"/>
      <c r="J2098" s="50"/>
      <c r="K2098" s="50" t="s">
        <v>32</v>
      </c>
      <c r="L2098" s="50"/>
      <c r="M2098" s="50" t="s">
        <v>148</v>
      </c>
      <c r="N2098" s="50"/>
      <c r="O2098" s="50"/>
      <c r="P2098" s="50"/>
      <c r="Q2098" s="50"/>
      <c r="R2098" s="50"/>
      <c r="S2098" s="50" t="str">
        <f t="shared" si="205"/>
        <v/>
      </c>
      <c r="T2098" s="50" t="str">
        <f t="shared" si="203"/>
        <v/>
      </c>
      <c r="U2098" s="50" t="str">
        <f t="shared" si="204"/>
        <v/>
      </c>
      <c r="V2098" s="50" t="str">
        <f t="shared" si="206"/>
        <v/>
      </c>
      <c r="W2098" s="50"/>
      <c r="X2098" s="50"/>
      <c r="Y2098" s="50"/>
      <c r="Z2098" s="50"/>
      <c r="AA2098" s="50"/>
    </row>
    <row r="2099" spans="1:27" ht="25.5" customHeight="1">
      <c r="A2099" s="517" t="s">
        <v>778</v>
      </c>
      <c r="B2099" s="51" t="s">
        <v>1387</v>
      </c>
      <c r="C2099" s="51" t="s">
        <v>143</v>
      </c>
      <c r="D2099" s="51" t="s">
        <v>4024</v>
      </c>
      <c r="E2099" s="50">
        <v>12354</v>
      </c>
      <c r="F2099" s="50">
        <v>14661</v>
      </c>
      <c r="G2099" s="50" t="s">
        <v>3955</v>
      </c>
      <c r="H2099" s="50"/>
      <c r="I2099" s="105"/>
      <c r="J2099" s="50"/>
      <c r="K2099" s="50" t="s">
        <v>32</v>
      </c>
      <c r="L2099" s="50"/>
      <c r="M2099" s="50" t="s">
        <v>148</v>
      </c>
      <c r="N2099" s="50"/>
      <c r="O2099" s="50"/>
      <c r="P2099" s="50"/>
      <c r="Q2099" s="50"/>
      <c r="R2099" s="50"/>
      <c r="S2099" s="50" t="str">
        <f t="shared" si="205"/>
        <v/>
      </c>
      <c r="T2099" s="50" t="str">
        <f t="shared" si="203"/>
        <v/>
      </c>
      <c r="U2099" s="50" t="str">
        <f t="shared" si="204"/>
        <v/>
      </c>
      <c r="V2099" s="50" t="str">
        <f t="shared" si="206"/>
        <v/>
      </c>
      <c r="W2099" s="50"/>
      <c r="X2099" s="50"/>
      <c r="Y2099" s="50"/>
      <c r="Z2099" s="50"/>
      <c r="AA2099" s="50"/>
    </row>
    <row r="2100" spans="1:27" s="110" customFormat="1" ht="25.5" customHeight="1">
      <c r="A2100" s="517" t="s">
        <v>778</v>
      </c>
      <c r="B2100" s="51" t="s">
        <v>1387</v>
      </c>
      <c r="C2100" s="51" t="s">
        <v>143</v>
      </c>
      <c r="D2100" s="51" t="s">
        <v>987</v>
      </c>
      <c r="E2100" s="50">
        <v>4977</v>
      </c>
      <c r="F2100" s="50">
        <v>5325</v>
      </c>
      <c r="G2100" s="50" t="s">
        <v>3955</v>
      </c>
      <c r="H2100" s="50"/>
      <c r="I2100" s="105"/>
      <c r="J2100" s="50"/>
      <c r="K2100" s="50" t="s">
        <v>32</v>
      </c>
      <c r="L2100" s="50"/>
      <c r="M2100" s="50" t="s">
        <v>148</v>
      </c>
      <c r="N2100" s="50"/>
      <c r="O2100" s="50"/>
      <c r="P2100" s="50"/>
      <c r="Q2100" s="50"/>
      <c r="R2100" s="50"/>
      <c r="S2100" s="50" t="str">
        <f t="shared" si="205"/>
        <v/>
      </c>
      <c r="T2100" s="50" t="str">
        <f t="shared" si="203"/>
        <v/>
      </c>
      <c r="U2100" s="50" t="str">
        <f t="shared" si="204"/>
        <v/>
      </c>
      <c r="V2100" s="50" t="str">
        <f t="shared" si="206"/>
        <v/>
      </c>
      <c r="W2100" s="50"/>
      <c r="X2100" s="50"/>
      <c r="Y2100" s="50"/>
      <c r="Z2100" s="50"/>
      <c r="AA2100" s="50"/>
    </row>
    <row r="2101" spans="1:27" ht="25.5" customHeight="1">
      <c r="A2101" s="517" t="s">
        <v>778</v>
      </c>
      <c r="B2101" s="51" t="s">
        <v>1387</v>
      </c>
      <c r="C2101" s="51" t="s">
        <v>143</v>
      </c>
      <c r="D2101" s="51" t="s">
        <v>4027</v>
      </c>
      <c r="E2101" s="50">
        <v>3476</v>
      </c>
      <c r="F2101" s="50">
        <v>4535</v>
      </c>
      <c r="G2101" s="50" t="s">
        <v>3404</v>
      </c>
      <c r="H2101" s="50">
        <v>2025</v>
      </c>
      <c r="I2101" s="132">
        <v>45846</v>
      </c>
      <c r="J2101" s="50" t="s">
        <v>3125</v>
      </c>
      <c r="K2101" s="50" t="s">
        <v>32</v>
      </c>
      <c r="L2101" s="50" t="s">
        <v>28</v>
      </c>
      <c r="M2101" s="50" t="s">
        <v>148</v>
      </c>
      <c r="N2101" s="50" t="s">
        <v>5603</v>
      </c>
      <c r="O2101" s="60">
        <v>45849</v>
      </c>
      <c r="P2101" s="60">
        <v>45854</v>
      </c>
      <c r="Q2101" s="60">
        <v>45854</v>
      </c>
      <c r="R2101" s="60">
        <v>45855</v>
      </c>
      <c r="S2101" s="50">
        <f t="shared" si="205"/>
        <v>3</v>
      </c>
      <c r="T2101" s="50">
        <f>IF(
    OR(ISBLANK(1811), ISBLANK(P2101)),
    "",
    MAX(1, IF(
        NETWORKDAYS(O2101, P2101) &lt;= 0,
        1,
        NETWORKDAYS(O2101, P2101) - IF(O2101 = P2101, 0, 1)
    ))
)</f>
        <v>3</v>
      </c>
      <c r="U2101" s="50">
        <f t="shared" ref="U2101:U2113" si="207">IF(
    OR(ISBLANK(P2101), ISBLANK(Q2101)),
    "",
    MAX(1, IF(
        NETWORKDAYS(P2101, Q2101) &lt;= 0,
        1,
        NETWORKDAYS(P2101, Q2101) - IF(P2101 = Q2101, 0, 1)
    ))
)</f>
        <v>1</v>
      </c>
      <c r="V2101" s="50">
        <f t="shared" si="206"/>
        <v>1</v>
      </c>
      <c r="W2101" s="50" t="s">
        <v>150</v>
      </c>
      <c r="X2101" s="50" t="s">
        <v>1078</v>
      </c>
      <c r="Y2101" s="50" t="s">
        <v>847</v>
      </c>
      <c r="Z2101" s="50" t="s">
        <v>3406</v>
      </c>
      <c r="AA2101" s="50"/>
    </row>
    <row r="2102" spans="1:27" ht="25.5" customHeight="1">
      <c r="A2102" s="517" t="s">
        <v>778</v>
      </c>
      <c r="B2102" s="51" t="s">
        <v>1387</v>
      </c>
      <c r="C2102" s="51" t="s">
        <v>143</v>
      </c>
      <c r="D2102" s="51" t="s">
        <v>4950</v>
      </c>
      <c r="E2102" s="50">
        <v>2091</v>
      </c>
      <c r="F2102" s="50">
        <v>3167</v>
      </c>
      <c r="G2102" s="50" t="s">
        <v>3955</v>
      </c>
      <c r="H2102" s="50"/>
      <c r="I2102" s="105"/>
      <c r="J2102" s="50"/>
      <c r="K2102" s="50" t="s">
        <v>32</v>
      </c>
      <c r="L2102" s="50"/>
      <c r="M2102" s="50" t="s">
        <v>148</v>
      </c>
      <c r="N2102" s="50"/>
      <c r="O2102" s="50"/>
      <c r="P2102" s="50"/>
      <c r="Q2102" s="50"/>
      <c r="R2102" s="50"/>
      <c r="S2102" s="50" t="str">
        <f t="shared" si="205"/>
        <v/>
      </c>
      <c r="T2102" s="50" t="str">
        <f t="shared" ref="T2102:T2113" si="208">IF(
    OR(ISBLANK(O2102), ISBLANK(P2102)),
    "",
    MAX(1, IF(
        NETWORKDAYS(O2102, P2102) &lt;= 0,
        1,
        NETWORKDAYS(O2102, P2102) - IF(O2102 = P2102, 0, 1)
    ))
)</f>
        <v/>
      </c>
      <c r="U2102" s="50" t="str">
        <f t="shared" si="207"/>
        <v/>
      </c>
      <c r="V2102" s="50" t="str">
        <f t="shared" si="206"/>
        <v/>
      </c>
      <c r="W2102" s="50"/>
      <c r="X2102" s="50"/>
      <c r="Y2102" s="50"/>
      <c r="Z2102" s="50"/>
      <c r="AA2102" s="50"/>
    </row>
    <row r="2103" spans="1:27" ht="25.5" customHeight="1">
      <c r="A2103" s="517" t="s">
        <v>778</v>
      </c>
      <c r="B2103" s="51" t="s">
        <v>1387</v>
      </c>
      <c r="C2103" s="51" t="s">
        <v>143</v>
      </c>
      <c r="D2103" s="51" t="s">
        <v>4261</v>
      </c>
      <c r="E2103" s="50">
        <v>2039</v>
      </c>
      <c r="F2103" s="50">
        <v>1675</v>
      </c>
      <c r="G2103" s="50" t="s">
        <v>3955</v>
      </c>
      <c r="H2103" s="50"/>
      <c r="I2103" s="105"/>
      <c r="J2103" s="50"/>
      <c r="K2103" s="50" t="s">
        <v>32</v>
      </c>
      <c r="L2103" s="50"/>
      <c r="M2103" s="50" t="s">
        <v>148</v>
      </c>
      <c r="N2103" s="50"/>
      <c r="O2103" s="50"/>
      <c r="P2103" s="50"/>
      <c r="Q2103" s="50"/>
      <c r="R2103" s="50"/>
      <c r="S2103" s="50" t="str">
        <f t="shared" si="205"/>
        <v/>
      </c>
      <c r="T2103" s="50" t="str">
        <f t="shared" si="208"/>
        <v/>
      </c>
      <c r="U2103" s="50" t="str">
        <f t="shared" si="207"/>
        <v/>
      </c>
      <c r="V2103" s="50" t="str">
        <f t="shared" si="206"/>
        <v/>
      </c>
      <c r="W2103" s="50"/>
      <c r="X2103" s="50"/>
      <c r="Y2103" s="50"/>
      <c r="Z2103" s="50"/>
      <c r="AA2103" s="50"/>
    </row>
    <row r="2104" spans="1:27" ht="25.5" customHeight="1">
      <c r="A2104" s="517" t="s">
        <v>778</v>
      </c>
      <c r="B2104" s="51" t="s">
        <v>1387</v>
      </c>
      <c r="C2104" s="51" t="s">
        <v>143</v>
      </c>
      <c r="D2104" s="51" t="s">
        <v>1388</v>
      </c>
      <c r="E2104" s="50">
        <v>168</v>
      </c>
      <c r="F2104" s="50">
        <v>275</v>
      </c>
      <c r="G2104" s="50" t="s">
        <v>3955</v>
      </c>
      <c r="H2104" s="50"/>
      <c r="I2104" s="105"/>
      <c r="J2104" s="50"/>
      <c r="K2104" s="50" t="s">
        <v>32</v>
      </c>
      <c r="L2104" s="50"/>
      <c r="M2104" s="50" t="s">
        <v>148</v>
      </c>
      <c r="N2104" s="50"/>
      <c r="O2104" s="50"/>
      <c r="P2104" s="50"/>
      <c r="Q2104" s="50"/>
      <c r="R2104" s="50"/>
      <c r="S2104" s="50" t="str">
        <f t="shared" si="205"/>
        <v/>
      </c>
      <c r="T2104" s="50" t="str">
        <f t="shared" si="208"/>
        <v/>
      </c>
      <c r="U2104" s="50" t="str">
        <f t="shared" si="207"/>
        <v/>
      </c>
      <c r="V2104" s="50" t="str">
        <f t="shared" si="206"/>
        <v/>
      </c>
      <c r="W2104" s="50"/>
      <c r="X2104" s="50"/>
      <c r="Y2104" s="50"/>
      <c r="Z2104" s="50"/>
      <c r="AA2104" s="50"/>
    </row>
    <row r="2105" spans="1:27" ht="25.5" customHeight="1">
      <c r="A2105" s="517" t="s">
        <v>778</v>
      </c>
      <c r="B2105" s="51" t="s">
        <v>1387</v>
      </c>
      <c r="C2105" s="51" t="s">
        <v>143</v>
      </c>
      <c r="D2105" s="51" t="s">
        <v>5604</v>
      </c>
      <c r="E2105" s="50">
        <v>28464</v>
      </c>
      <c r="F2105" s="50">
        <v>29096</v>
      </c>
      <c r="G2105" s="50" t="s">
        <v>3955</v>
      </c>
      <c r="H2105" s="50"/>
      <c r="I2105" s="105"/>
      <c r="J2105" s="50"/>
      <c r="K2105" s="50" t="s">
        <v>32</v>
      </c>
      <c r="L2105" s="50"/>
      <c r="M2105" s="50" t="s">
        <v>148</v>
      </c>
      <c r="N2105" s="50"/>
      <c r="O2105" s="50"/>
      <c r="P2105" s="50"/>
      <c r="Q2105" s="50"/>
      <c r="R2105" s="50"/>
      <c r="S2105" s="50" t="str">
        <f t="shared" si="205"/>
        <v/>
      </c>
      <c r="T2105" s="50" t="str">
        <f t="shared" si="208"/>
        <v/>
      </c>
      <c r="U2105" s="50" t="str">
        <f t="shared" si="207"/>
        <v/>
      </c>
      <c r="V2105" s="50" t="str">
        <f t="shared" si="206"/>
        <v/>
      </c>
      <c r="W2105" s="50"/>
      <c r="X2105" s="50"/>
      <c r="Y2105" s="50"/>
      <c r="Z2105" s="50"/>
      <c r="AA2105" s="50"/>
    </row>
    <row r="2106" spans="1:27" ht="25.5" customHeight="1">
      <c r="A2106" s="517" t="s">
        <v>778</v>
      </c>
      <c r="B2106" s="51" t="s">
        <v>1387</v>
      </c>
      <c r="C2106" s="51" t="s">
        <v>143</v>
      </c>
      <c r="D2106" s="51" t="s">
        <v>5368</v>
      </c>
      <c r="E2106" s="50">
        <v>14759</v>
      </c>
      <c r="F2106" s="50">
        <v>20967</v>
      </c>
      <c r="G2106" s="50" t="s">
        <v>3955</v>
      </c>
      <c r="H2106" s="50"/>
      <c r="I2106" s="105"/>
      <c r="J2106" s="50"/>
      <c r="K2106" s="50" t="s">
        <v>32</v>
      </c>
      <c r="L2106" s="50"/>
      <c r="M2106" s="50" t="s">
        <v>148</v>
      </c>
      <c r="N2106" s="50"/>
      <c r="O2106" s="50"/>
      <c r="P2106" s="50"/>
      <c r="Q2106" s="50"/>
      <c r="R2106" s="50"/>
      <c r="S2106" s="50" t="str">
        <f t="shared" si="205"/>
        <v/>
      </c>
      <c r="T2106" s="50" t="str">
        <f t="shared" si="208"/>
        <v/>
      </c>
      <c r="U2106" s="50" t="str">
        <f t="shared" si="207"/>
        <v/>
      </c>
      <c r="V2106" s="50" t="str">
        <f t="shared" si="206"/>
        <v/>
      </c>
      <c r="W2106" s="50"/>
      <c r="X2106" s="50"/>
      <c r="Y2106" s="50"/>
      <c r="Z2106" s="50"/>
      <c r="AA2106" s="50"/>
    </row>
    <row r="2107" spans="1:27" s="351" customFormat="1" ht="25.5" customHeight="1">
      <c r="A2107" s="141" t="s">
        <v>778</v>
      </c>
      <c r="B2107" s="141" t="s">
        <v>1392</v>
      </c>
      <c r="C2107" s="141" t="s">
        <v>143</v>
      </c>
      <c r="D2107" s="141" t="s">
        <v>5387</v>
      </c>
      <c r="E2107" s="141">
        <v>4494</v>
      </c>
      <c r="F2107" s="141">
        <v>4450</v>
      </c>
      <c r="G2107" s="141" t="s">
        <v>3955</v>
      </c>
      <c r="H2107" s="141"/>
      <c r="I2107" s="140"/>
      <c r="J2107" s="141"/>
      <c r="K2107" s="141" t="s">
        <v>1345</v>
      </c>
      <c r="L2107" s="141"/>
      <c r="M2107" s="141" t="s">
        <v>148</v>
      </c>
      <c r="N2107" s="141"/>
      <c r="O2107" s="141"/>
      <c r="P2107" s="141"/>
      <c r="Q2107" s="141"/>
      <c r="R2107" s="141"/>
      <c r="S2107" s="141" t="str">
        <f t="shared" si="205"/>
        <v/>
      </c>
      <c r="T2107" s="141" t="str">
        <f t="shared" si="208"/>
        <v/>
      </c>
      <c r="U2107" s="141" t="str">
        <f t="shared" si="207"/>
        <v/>
      </c>
      <c r="V2107" s="141" t="str">
        <f t="shared" si="206"/>
        <v/>
      </c>
      <c r="W2107" s="141"/>
      <c r="X2107" s="141"/>
      <c r="Y2107" s="141"/>
      <c r="Z2107" s="141"/>
      <c r="AA2107" s="141"/>
    </row>
    <row r="2108" spans="1:27" ht="25.5" customHeight="1">
      <c r="A2108" s="50" t="s">
        <v>778</v>
      </c>
      <c r="B2108" s="51" t="s">
        <v>1392</v>
      </c>
      <c r="C2108" s="51" t="s">
        <v>143</v>
      </c>
      <c r="D2108" s="51" t="s">
        <v>5605</v>
      </c>
      <c r="E2108" s="50">
        <v>6561</v>
      </c>
      <c r="F2108" s="50">
        <v>7104</v>
      </c>
      <c r="G2108" s="50" t="s">
        <v>3404</v>
      </c>
      <c r="H2108" s="50">
        <v>2024</v>
      </c>
      <c r="I2108" s="132">
        <v>45569</v>
      </c>
      <c r="J2108" s="50"/>
      <c r="K2108" s="50" t="s">
        <v>1345</v>
      </c>
      <c r="L2108" s="50"/>
      <c r="M2108" s="50" t="s">
        <v>148</v>
      </c>
      <c r="N2108" s="50"/>
      <c r="O2108" s="50"/>
      <c r="P2108" s="50"/>
      <c r="Q2108" s="50"/>
      <c r="R2108" s="50"/>
      <c r="S2108" s="50" t="str">
        <f t="shared" si="205"/>
        <v/>
      </c>
      <c r="T2108" s="50" t="str">
        <f t="shared" si="208"/>
        <v/>
      </c>
      <c r="U2108" s="50" t="str">
        <f t="shared" si="207"/>
        <v/>
      </c>
      <c r="V2108" s="50" t="str">
        <f t="shared" si="206"/>
        <v/>
      </c>
      <c r="W2108" s="50"/>
      <c r="X2108" s="50" t="s">
        <v>1078</v>
      </c>
      <c r="Y2108" s="50" t="s">
        <v>3528</v>
      </c>
      <c r="Z2108" s="50" t="s">
        <v>3406</v>
      </c>
      <c r="AA2108" s="50"/>
    </row>
    <row r="2109" spans="1:27" ht="25.5" customHeight="1">
      <c r="A2109" s="517" t="s">
        <v>778</v>
      </c>
      <c r="B2109" s="51" t="s">
        <v>1392</v>
      </c>
      <c r="C2109" s="51" t="s">
        <v>143</v>
      </c>
      <c r="D2109" s="51" t="s">
        <v>1531</v>
      </c>
      <c r="E2109" s="50">
        <v>2905</v>
      </c>
      <c r="F2109" s="50">
        <v>3030</v>
      </c>
      <c r="G2109" s="50" t="s">
        <v>3955</v>
      </c>
      <c r="H2109" s="50"/>
      <c r="I2109" s="105"/>
      <c r="J2109" s="50"/>
      <c r="K2109" s="50" t="s">
        <v>1345</v>
      </c>
      <c r="L2109" s="50"/>
      <c r="M2109" s="50" t="s">
        <v>148</v>
      </c>
      <c r="N2109" s="50"/>
      <c r="O2109" s="50"/>
      <c r="P2109" s="50"/>
      <c r="Q2109" s="50"/>
      <c r="R2109" s="50"/>
      <c r="S2109" s="50" t="str">
        <f t="shared" si="205"/>
        <v/>
      </c>
      <c r="T2109" s="50" t="str">
        <f t="shared" si="208"/>
        <v/>
      </c>
      <c r="U2109" s="50" t="str">
        <f t="shared" si="207"/>
        <v/>
      </c>
      <c r="V2109" s="50" t="str">
        <f t="shared" si="206"/>
        <v/>
      </c>
      <c r="W2109" s="50"/>
      <c r="X2109" s="50"/>
      <c r="Y2109" s="50"/>
      <c r="Z2109" s="50"/>
      <c r="AA2109" s="50"/>
    </row>
    <row r="2110" spans="1:27" s="110" customFormat="1" ht="25.5" customHeight="1">
      <c r="A2110" s="517" t="s">
        <v>778</v>
      </c>
      <c r="B2110" s="51" t="s">
        <v>1392</v>
      </c>
      <c r="C2110" s="51" t="s">
        <v>143</v>
      </c>
      <c r="D2110" s="51" t="s">
        <v>5606</v>
      </c>
      <c r="E2110" s="50">
        <v>1219</v>
      </c>
      <c r="F2110" s="50">
        <v>1081</v>
      </c>
      <c r="G2110" s="50" t="s">
        <v>3955</v>
      </c>
      <c r="H2110" s="50"/>
      <c r="I2110" s="105"/>
      <c r="J2110" s="50"/>
      <c r="K2110" s="50" t="s">
        <v>1345</v>
      </c>
      <c r="L2110" s="50"/>
      <c r="M2110" s="50" t="s">
        <v>148</v>
      </c>
      <c r="N2110" s="50"/>
      <c r="O2110" s="50"/>
      <c r="P2110" s="50"/>
      <c r="Q2110" s="50"/>
      <c r="R2110" s="50"/>
      <c r="S2110" s="50" t="str">
        <f t="shared" si="205"/>
        <v/>
      </c>
      <c r="T2110" s="50" t="str">
        <f t="shared" si="208"/>
        <v/>
      </c>
      <c r="U2110" s="50" t="str">
        <f t="shared" si="207"/>
        <v/>
      </c>
      <c r="V2110" s="50" t="str">
        <f t="shared" si="206"/>
        <v/>
      </c>
      <c r="W2110" s="50"/>
      <c r="X2110" s="50"/>
      <c r="Y2110" s="50"/>
      <c r="Z2110" s="50"/>
      <c r="AA2110" s="50"/>
    </row>
    <row r="2111" spans="1:27" ht="25.5" customHeight="1">
      <c r="A2111" s="517" t="s">
        <v>778</v>
      </c>
      <c r="B2111" s="51" t="s">
        <v>1392</v>
      </c>
      <c r="C2111" s="51" t="s">
        <v>143</v>
      </c>
      <c r="D2111" s="51" t="s">
        <v>4859</v>
      </c>
      <c r="E2111" s="50">
        <v>2720</v>
      </c>
      <c r="F2111" s="50">
        <v>2669</v>
      </c>
      <c r="G2111" s="50" t="s">
        <v>3955</v>
      </c>
      <c r="H2111" s="50"/>
      <c r="I2111" s="105"/>
      <c r="J2111" s="50"/>
      <c r="K2111" s="50" t="s">
        <v>1345</v>
      </c>
      <c r="L2111" s="50"/>
      <c r="M2111" s="50" t="s">
        <v>148</v>
      </c>
      <c r="N2111" s="50"/>
      <c r="O2111" s="50"/>
      <c r="P2111" s="50"/>
      <c r="Q2111" s="50"/>
      <c r="R2111" s="50"/>
      <c r="S2111" s="50" t="str">
        <f t="shared" si="205"/>
        <v/>
      </c>
      <c r="T2111" s="50" t="str">
        <f t="shared" si="208"/>
        <v/>
      </c>
      <c r="U2111" s="50" t="str">
        <f t="shared" si="207"/>
        <v/>
      </c>
      <c r="V2111" s="50" t="str">
        <f t="shared" si="206"/>
        <v/>
      </c>
      <c r="W2111" s="50"/>
      <c r="X2111" s="50"/>
      <c r="Y2111" s="50"/>
      <c r="Z2111" s="50"/>
      <c r="AA2111" s="50"/>
    </row>
    <row r="2112" spans="1:27" ht="25.5" customHeight="1">
      <c r="A2112" s="517" t="s">
        <v>778</v>
      </c>
      <c r="B2112" s="51" t="s">
        <v>1392</v>
      </c>
      <c r="C2112" s="51" t="s">
        <v>143</v>
      </c>
      <c r="D2112" s="51" t="s">
        <v>5456</v>
      </c>
      <c r="E2112" s="50">
        <v>2574</v>
      </c>
      <c r="F2112" s="50">
        <v>2668</v>
      </c>
      <c r="G2112" s="50" t="s">
        <v>3955</v>
      </c>
      <c r="H2112" s="50"/>
      <c r="I2112" s="105"/>
      <c r="J2112" s="50"/>
      <c r="K2112" s="50" t="s">
        <v>1345</v>
      </c>
      <c r="L2112" s="50"/>
      <c r="M2112" s="50" t="s">
        <v>148</v>
      </c>
      <c r="N2112" s="50"/>
      <c r="O2112" s="50"/>
      <c r="P2112" s="50"/>
      <c r="Q2112" s="50"/>
      <c r="R2112" s="50"/>
      <c r="S2112" s="50" t="str">
        <f t="shared" si="205"/>
        <v/>
      </c>
      <c r="T2112" s="50" t="str">
        <f t="shared" si="208"/>
        <v/>
      </c>
      <c r="U2112" s="50" t="str">
        <f t="shared" si="207"/>
        <v/>
      </c>
      <c r="V2112" s="50" t="str">
        <f t="shared" si="206"/>
        <v/>
      </c>
      <c r="W2112" s="50"/>
      <c r="X2112" s="50"/>
      <c r="Y2112" s="50"/>
      <c r="Z2112" s="50"/>
      <c r="AA2112" s="50"/>
    </row>
    <row r="2113" spans="1:27" s="110" customFormat="1" ht="25.5" customHeight="1">
      <c r="A2113" s="517" t="s">
        <v>778</v>
      </c>
      <c r="B2113" s="51" t="s">
        <v>1392</v>
      </c>
      <c r="C2113" s="51" t="s">
        <v>143</v>
      </c>
      <c r="D2113" s="51" t="s">
        <v>5607</v>
      </c>
      <c r="E2113" s="50">
        <v>819</v>
      </c>
      <c r="F2113" s="50">
        <v>1118</v>
      </c>
      <c r="G2113" s="50" t="s">
        <v>3955</v>
      </c>
      <c r="H2113" s="50"/>
      <c r="I2113" s="105"/>
      <c r="J2113" s="50"/>
      <c r="K2113" s="50" t="s">
        <v>1345</v>
      </c>
      <c r="L2113" s="50"/>
      <c r="M2113" s="50" t="s">
        <v>148</v>
      </c>
      <c r="N2113" s="50"/>
      <c r="O2113" s="50"/>
      <c r="P2113" s="50"/>
      <c r="Q2113" s="50"/>
      <c r="R2113" s="50"/>
      <c r="S2113" s="50" t="str">
        <f t="shared" si="205"/>
        <v/>
      </c>
      <c r="T2113" s="50" t="str">
        <f t="shared" si="208"/>
        <v/>
      </c>
      <c r="U2113" s="50" t="str">
        <f t="shared" si="207"/>
        <v/>
      </c>
      <c r="V2113" s="50" t="str">
        <f t="shared" si="206"/>
        <v/>
      </c>
      <c r="W2113" s="50"/>
      <c r="X2113" s="50"/>
      <c r="Y2113" s="50"/>
      <c r="Z2113" s="50"/>
      <c r="AA2113" s="50"/>
    </row>
    <row r="2114" spans="1:27" ht="25.5" customHeight="1">
      <c r="A2114" s="517" t="s">
        <v>778</v>
      </c>
      <c r="B2114" s="51" t="s">
        <v>1392</v>
      </c>
      <c r="C2114" s="51" t="s">
        <v>143</v>
      </c>
      <c r="D2114" s="51" t="s">
        <v>5065</v>
      </c>
      <c r="E2114" s="50">
        <v>5002</v>
      </c>
      <c r="F2114" s="50">
        <v>6553</v>
      </c>
      <c r="G2114" s="50" t="s">
        <v>3404</v>
      </c>
      <c r="H2114" s="50">
        <v>2025</v>
      </c>
      <c r="I2114" s="132">
        <v>45968</v>
      </c>
      <c r="J2114" s="50" t="s">
        <v>3129</v>
      </c>
      <c r="K2114" s="50" t="s">
        <v>1345</v>
      </c>
      <c r="L2114" s="50"/>
      <c r="M2114" s="50" t="s">
        <v>148</v>
      </c>
      <c r="N2114" s="50" t="s">
        <v>5608</v>
      </c>
      <c r="O2114" s="60">
        <v>45969</v>
      </c>
      <c r="P2114" s="50"/>
      <c r="Q2114" s="60">
        <v>45978</v>
      </c>
      <c r="R2114" s="60">
        <v>45979</v>
      </c>
      <c r="S2114" s="50">
        <f t="shared" si="205"/>
        <v>1</v>
      </c>
      <c r="T2114" s="50" t="str">
        <f>IF(
    OR(ISBLANK(O2114), ISBLANK(P2114)),
    "",
    MAX(1, IF(
        NETWORKDAYS(O2114, P2114) &lt;= 0,
        1,
        NETWORKDAYS(O2114, P2114) - IF(O2114 = QP2114, 0, 1)
    ))
)</f>
        <v/>
      </c>
      <c r="U2114" s="50">
        <f>IF(
    OR(ISBLANK(1816), ISBLANK(Q2114)),
    "",
    MAX(1, IF(
        NETWORKDAYS(O2114, Q2114) &lt;= 0,
        1,
        NETWORKDAYS(O2114, Q2114) - IF(O2114 = Q2114, 0, 1)
    ))
)</f>
        <v>5</v>
      </c>
      <c r="V2114" s="50">
        <f t="shared" si="206"/>
        <v>1</v>
      </c>
      <c r="W2114" s="50" t="s">
        <v>150</v>
      </c>
      <c r="X2114" s="50" t="s">
        <v>3527</v>
      </c>
      <c r="Y2114" s="50" t="s">
        <v>3528</v>
      </c>
      <c r="Z2114" s="50" t="s">
        <v>3406</v>
      </c>
      <c r="AA2114" s="50"/>
    </row>
    <row r="2115" spans="1:27" s="110" customFormat="1" ht="25.5" customHeight="1">
      <c r="A2115" s="517" t="s">
        <v>778</v>
      </c>
      <c r="B2115" s="51" t="s">
        <v>1392</v>
      </c>
      <c r="C2115" s="51" t="s">
        <v>143</v>
      </c>
      <c r="D2115" s="51" t="s">
        <v>4024</v>
      </c>
      <c r="E2115" s="50">
        <v>1820</v>
      </c>
      <c r="F2115" s="50">
        <v>2024</v>
      </c>
      <c r="G2115" s="50" t="s">
        <v>3955</v>
      </c>
      <c r="H2115" s="50"/>
      <c r="I2115" s="105"/>
      <c r="J2115" s="50"/>
      <c r="K2115" s="50" t="s">
        <v>1345</v>
      </c>
      <c r="L2115" s="50"/>
      <c r="M2115" s="50" t="s">
        <v>148</v>
      </c>
      <c r="N2115" s="50"/>
      <c r="O2115" s="50"/>
      <c r="P2115" s="50"/>
      <c r="Q2115" s="50"/>
      <c r="R2115" s="50"/>
      <c r="S2115" s="50" t="str">
        <f t="shared" si="205"/>
        <v/>
      </c>
      <c r="T2115" s="50" t="str">
        <f>IF(
    OR(ISBLANK(O2115), ISBLANK(P2115)),
    "",
    MAX(1, IF(
        NETWORKDAYS(O2115, P2115) &lt;= 0,
        1,
        NETWORKDAYS(O2115, P2115) - IF(O2115 = P2115, 0, 1)
    ))
)</f>
        <v/>
      </c>
      <c r="U2115" s="50" t="str">
        <f>IF(
    OR(ISBLANK(P2115), ISBLANK(Q2115)),
    "",
    MAX(1, IF(
        NETWORKDAYS(P2115, Q2115) &lt;= 0,
        1,
        NETWORKDAYS(P2115, Q2115) - IF(P2115 = Q2115, 0, 1)
    ))
)</f>
        <v/>
      </c>
      <c r="V2115" s="50" t="str">
        <f t="shared" si="206"/>
        <v/>
      </c>
      <c r="W2115" s="50"/>
      <c r="X2115" s="50"/>
      <c r="Y2115" s="50"/>
      <c r="Z2115" s="50"/>
      <c r="AA2115" s="50"/>
    </row>
    <row r="2116" spans="1:27" ht="25.5" customHeight="1">
      <c r="A2116" s="50" t="s">
        <v>778</v>
      </c>
      <c r="B2116" s="51" t="s">
        <v>1392</v>
      </c>
      <c r="C2116" s="51" t="s">
        <v>143</v>
      </c>
      <c r="D2116" s="51" t="s">
        <v>5609</v>
      </c>
      <c r="E2116" s="50">
        <v>3948</v>
      </c>
      <c r="F2116" s="50">
        <v>4025</v>
      </c>
      <c r="G2116" s="50" t="s">
        <v>3404</v>
      </c>
      <c r="H2116" s="50">
        <v>2024</v>
      </c>
      <c r="I2116" s="132">
        <v>45569</v>
      </c>
      <c r="J2116" s="50"/>
      <c r="K2116" s="50" t="s">
        <v>1345</v>
      </c>
      <c r="L2116" s="50"/>
      <c r="M2116" s="50" t="s">
        <v>148</v>
      </c>
      <c r="N2116" s="50"/>
      <c r="O2116" s="50"/>
      <c r="P2116" s="50"/>
      <c r="Q2116" s="50"/>
      <c r="R2116" s="50"/>
      <c r="S2116" s="50" t="str">
        <f t="shared" si="205"/>
        <v/>
      </c>
      <c r="T2116" s="50" t="str">
        <f>IF(
    OR(ISBLANK(O2116), ISBLANK(P2116)),
    "",
    MAX(1, IF(
        NETWORKDAYS(O2116, P2116) &lt;= 0,
        1,
        NETWORKDAYS(O2116, P2116) - IF(O2116 = P2116, 0, 1)
    ))
)</f>
        <v/>
      </c>
      <c r="U2116" s="50" t="str">
        <f>IF(
    OR(ISBLANK(P2116), ISBLANK(Q2116)),
    "",
    MAX(1, IF(
        NETWORKDAYS(P2116, Q2116) &lt;= 0,
        1,
        NETWORKDAYS(P2116, Q2116) - IF(P2116 = Q2116, 0, 1)
    ))
)</f>
        <v/>
      </c>
      <c r="V2116" s="50" t="str">
        <f t="shared" si="206"/>
        <v/>
      </c>
      <c r="W2116" s="50"/>
      <c r="X2116" s="50" t="s">
        <v>1078</v>
      </c>
      <c r="Y2116" s="50" t="s">
        <v>3528</v>
      </c>
      <c r="Z2116" s="50" t="s">
        <v>3406</v>
      </c>
      <c r="AA2116" s="50"/>
    </row>
    <row r="2117" spans="1:27" ht="25.5" customHeight="1">
      <c r="A2117" s="517" t="s">
        <v>778</v>
      </c>
      <c r="B2117" s="51" t="s">
        <v>1392</v>
      </c>
      <c r="C2117" s="51" t="s">
        <v>143</v>
      </c>
      <c r="D2117" s="51" t="s">
        <v>1180</v>
      </c>
      <c r="E2117" s="50">
        <v>2001</v>
      </c>
      <c r="F2117" s="50">
        <v>2412</v>
      </c>
      <c r="G2117" s="50" t="s">
        <v>3404</v>
      </c>
      <c r="H2117" s="50">
        <v>2025</v>
      </c>
      <c r="I2117" s="132">
        <v>45884</v>
      </c>
      <c r="J2117" s="50" t="s">
        <v>3126</v>
      </c>
      <c r="K2117" s="50" t="s">
        <v>1345</v>
      </c>
      <c r="L2117" s="50" t="s">
        <v>28</v>
      </c>
      <c r="M2117" s="50" t="s">
        <v>148</v>
      </c>
      <c r="N2117" s="50" t="s">
        <v>5610</v>
      </c>
      <c r="O2117" s="60">
        <v>45886</v>
      </c>
      <c r="P2117" s="60">
        <v>45887</v>
      </c>
      <c r="Q2117" s="60">
        <v>45888</v>
      </c>
      <c r="R2117" s="60">
        <v>45888</v>
      </c>
      <c r="S2117" s="50">
        <f t="shared" si="205"/>
        <v>1</v>
      </c>
      <c r="T2117" s="50">
        <f>IF(
    OR(ISBLANK(1811), ISBLANK(P2117)),
    "",
    MAX(1, IF(
        NETWORKDAYS(O2117, P2117) &lt;= 0,
        1,
        NETWORKDAYS(O2117, P2117) - IF(O2117 = P2117, 0, 1)
    ))
)</f>
        <v>1</v>
      </c>
      <c r="U2117" s="50">
        <f>IF(
    OR(ISBLANK(P2117), ISBLANK(Q2117)),
    "",
    MAX(1, IF(
        NETWORKDAYS(P2117, Q2117) &lt;= 0,
        1,
        NETWORKDAYS(P2117, Q2117) - IF(P2117 = Q2117, 0, 1)
    ))
)</f>
        <v>1</v>
      </c>
      <c r="V2117" s="50">
        <f t="shared" si="206"/>
        <v>1</v>
      </c>
      <c r="W2117" s="50" t="s">
        <v>150</v>
      </c>
      <c r="X2117" s="50" t="s">
        <v>3527</v>
      </c>
      <c r="Y2117" s="50" t="s">
        <v>3528</v>
      </c>
      <c r="Z2117" s="50" t="s">
        <v>3406</v>
      </c>
      <c r="AA2117" s="50"/>
    </row>
    <row r="2118" spans="1:27" s="110" customFormat="1" ht="25.5" customHeight="1">
      <c r="A2118" s="517" t="s">
        <v>778</v>
      </c>
      <c r="B2118" s="51" t="s">
        <v>1392</v>
      </c>
      <c r="C2118" s="51" t="s">
        <v>143</v>
      </c>
      <c r="D2118" s="51" t="s">
        <v>858</v>
      </c>
      <c r="E2118" s="50">
        <v>3751</v>
      </c>
      <c r="F2118" s="50">
        <v>3984</v>
      </c>
      <c r="G2118" s="50" t="s">
        <v>3404</v>
      </c>
      <c r="H2118" s="50">
        <v>2025</v>
      </c>
      <c r="I2118" s="132">
        <v>45940</v>
      </c>
      <c r="J2118" s="50" t="s">
        <v>3128</v>
      </c>
      <c r="K2118" s="50" t="s">
        <v>1345</v>
      </c>
      <c r="L2118" s="50"/>
      <c r="M2118" s="50" t="s">
        <v>148</v>
      </c>
      <c r="N2118" s="50" t="s">
        <v>5611</v>
      </c>
      <c r="O2118" s="60">
        <v>45943</v>
      </c>
      <c r="P2118" s="50"/>
      <c r="Q2118" s="60">
        <v>45945</v>
      </c>
      <c r="R2118" s="60">
        <v>45950</v>
      </c>
      <c r="S2118" s="50">
        <f t="shared" si="205"/>
        <v>1</v>
      </c>
      <c r="T2118" s="50" t="str">
        <f>IF(
    OR(ISBLANK(O2118), ISBLANK(P2118)),
    "",
    MAX(1, IF(
        NETWORKDAYS(O2118, P2118) &lt;= 0,
        1,
        NETWORKDAYS(O2118, P2118) - IF(O2118 = QP2118, 0, 1)
    ))
)</f>
        <v/>
      </c>
      <c r="U2118" s="50">
        <f>IF(
    OR(ISBLANK(1816), ISBLANK(Q2118)),
    "",
    MAX(1, IF(
        NETWORKDAYS(O2118, Q2118) &lt;= 0,
        1,
        NETWORKDAYS(O2118, Q2118) - IF(O2118 = Q2118, 0, 1)
    ))
)</f>
        <v>2</v>
      </c>
      <c r="V2118" s="50">
        <f t="shared" si="206"/>
        <v>3</v>
      </c>
      <c r="W2118" s="50" t="s">
        <v>150</v>
      </c>
      <c r="X2118" s="50" t="s">
        <v>3527</v>
      </c>
      <c r="Y2118" s="50" t="s">
        <v>3528</v>
      </c>
      <c r="Z2118" s="50" t="s">
        <v>3406</v>
      </c>
      <c r="AA2118" s="50"/>
    </row>
    <row r="2119" spans="1:27" ht="25.5" customHeight="1">
      <c r="A2119" s="517" t="s">
        <v>778</v>
      </c>
      <c r="B2119" s="51" t="s">
        <v>1392</v>
      </c>
      <c r="C2119" s="51" t="s">
        <v>143</v>
      </c>
      <c r="D2119" s="51" t="s">
        <v>918</v>
      </c>
      <c r="E2119" s="50">
        <v>2504</v>
      </c>
      <c r="F2119" s="50">
        <v>2827</v>
      </c>
      <c r="G2119" s="50" t="s">
        <v>3955</v>
      </c>
      <c r="H2119" s="50"/>
      <c r="I2119" s="105"/>
      <c r="J2119" s="50"/>
      <c r="K2119" s="50" t="s">
        <v>1345</v>
      </c>
      <c r="L2119" s="50"/>
      <c r="M2119" s="50" t="s">
        <v>148</v>
      </c>
      <c r="N2119" s="50"/>
      <c r="O2119" s="50"/>
      <c r="P2119" s="50"/>
      <c r="Q2119" s="50"/>
      <c r="R2119" s="50"/>
      <c r="S2119" s="50" t="str">
        <f t="shared" si="205"/>
        <v/>
      </c>
      <c r="T2119" s="50" t="str">
        <f>IF(
    OR(ISBLANK(O2119), ISBLANK(P2119)),
    "",
    MAX(1, IF(
        NETWORKDAYS(O2119, P2119) &lt;= 0,
        1,
        NETWORKDAYS(O2119, P2119) - IF(O2119 = P2119, 0, 1)
    ))
)</f>
        <v/>
      </c>
      <c r="U2119" s="50" t="str">
        <f>IF(
    OR(ISBLANK(P2119), ISBLANK(Q2119)),
    "",
    MAX(1, IF(
        NETWORKDAYS(P2119, Q2119) &lt;= 0,
        1,
        NETWORKDAYS(P2119, Q2119) - IF(P2119 = Q2119, 0, 1)
    ))
)</f>
        <v/>
      </c>
      <c r="V2119" s="50" t="str">
        <f t="shared" si="206"/>
        <v/>
      </c>
      <c r="W2119" s="50"/>
      <c r="X2119" s="50"/>
      <c r="Y2119" s="50"/>
      <c r="Z2119" s="50"/>
      <c r="AA2119" s="50"/>
    </row>
    <row r="2120" spans="1:27" ht="25.5" customHeight="1">
      <c r="A2120" s="517" t="s">
        <v>778</v>
      </c>
      <c r="B2120" s="51" t="s">
        <v>1392</v>
      </c>
      <c r="C2120" s="51" t="s">
        <v>143</v>
      </c>
      <c r="D2120" s="51" t="s">
        <v>1155</v>
      </c>
      <c r="E2120" s="50">
        <v>3411</v>
      </c>
      <c r="F2120" s="50">
        <v>3592</v>
      </c>
      <c r="G2120" s="50" t="s">
        <v>3404</v>
      </c>
      <c r="H2120" s="50">
        <v>2025</v>
      </c>
      <c r="I2120" s="132">
        <v>45940</v>
      </c>
      <c r="J2120" s="50" t="s">
        <v>3128</v>
      </c>
      <c r="K2120" s="50" t="s">
        <v>1345</v>
      </c>
      <c r="L2120" s="50"/>
      <c r="M2120" s="50" t="s">
        <v>148</v>
      </c>
      <c r="N2120" s="50" t="s">
        <v>5612</v>
      </c>
      <c r="O2120" s="60">
        <v>45943</v>
      </c>
      <c r="P2120" s="50"/>
      <c r="Q2120" s="60">
        <v>45945</v>
      </c>
      <c r="R2120" s="60">
        <v>45950</v>
      </c>
      <c r="S2120" s="50">
        <f t="shared" si="205"/>
        <v>1</v>
      </c>
      <c r="T2120" s="50" t="str">
        <f>IF(
    OR(ISBLANK(O2120), ISBLANK(P2120)),
    "",
    MAX(1, IF(
        NETWORKDAYS(O2120, P2120) &lt;= 0,
        1,
        NETWORKDAYS(O2120, P2120) - IF(O2120 = QP2120, 0, 1)
    ))
)</f>
        <v/>
      </c>
      <c r="U2120" s="50">
        <f>IF(
    OR(ISBLANK(1816), ISBLANK(Q2120)),
    "",
    MAX(1, IF(
        NETWORKDAYS(O2120, Q2120) &lt;= 0,
        1,
        NETWORKDAYS(O2120, Q2120) - IF(O2120 = Q2120, 0, 1)
    ))
)</f>
        <v>2</v>
      </c>
      <c r="V2120" s="50">
        <f t="shared" si="206"/>
        <v>3</v>
      </c>
      <c r="W2120" s="50" t="s">
        <v>150</v>
      </c>
      <c r="X2120" s="50" t="s">
        <v>3527</v>
      </c>
      <c r="Y2120" s="50" t="s">
        <v>3528</v>
      </c>
      <c r="Z2120" s="50" t="s">
        <v>3406</v>
      </c>
      <c r="AA2120" s="50"/>
    </row>
    <row r="2121" spans="1:27" ht="25.5" customHeight="1">
      <c r="A2121" s="517" t="s">
        <v>778</v>
      </c>
      <c r="B2121" s="51" t="s">
        <v>1392</v>
      </c>
      <c r="C2121" s="51" t="s">
        <v>143</v>
      </c>
      <c r="D2121" s="51" t="s">
        <v>3974</v>
      </c>
      <c r="E2121" s="50">
        <v>4304</v>
      </c>
      <c r="F2121" s="50">
        <v>4127</v>
      </c>
      <c r="G2121" s="50" t="s">
        <v>3955</v>
      </c>
      <c r="H2121" s="50"/>
      <c r="I2121" s="105"/>
      <c r="J2121" s="50"/>
      <c r="K2121" s="50" t="s">
        <v>1345</v>
      </c>
      <c r="L2121" s="50"/>
      <c r="M2121" s="50" t="s">
        <v>148</v>
      </c>
      <c r="N2121" s="50"/>
      <c r="O2121" s="50"/>
      <c r="P2121" s="50"/>
      <c r="Q2121" s="50"/>
      <c r="R2121" s="50"/>
      <c r="S2121" s="50" t="str">
        <f t="shared" si="205"/>
        <v/>
      </c>
      <c r="T2121" s="50" t="str">
        <f>IF(
    OR(ISBLANK(O2121), ISBLANK(P2121)),
    "",
    MAX(1, IF(
        NETWORKDAYS(O2121, P2121) &lt;= 0,
        1,
        NETWORKDAYS(O2121, P2121) - IF(O2121 = P2121, 0, 1)
    ))
)</f>
        <v/>
      </c>
      <c r="U2121" s="50" t="str">
        <f>IF(
    OR(ISBLANK(P2121), ISBLANK(Q2121)),
    "",
    MAX(1, IF(
        NETWORKDAYS(P2121, Q2121) &lt;= 0,
        1,
        NETWORKDAYS(P2121, Q2121) - IF(P2121 = Q2121, 0, 1)
    ))
)</f>
        <v/>
      </c>
      <c r="V2121" s="50" t="str">
        <f t="shared" si="206"/>
        <v/>
      </c>
      <c r="W2121" s="50"/>
      <c r="X2121" s="50"/>
      <c r="Y2121" s="50"/>
      <c r="Z2121" s="50"/>
      <c r="AA2121" s="50"/>
    </row>
    <row r="2122" spans="1:27" ht="25.5" customHeight="1">
      <c r="A2122" s="517" t="s">
        <v>778</v>
      </c>
      <c r="B2122" s="51" t="s">
        <v>1392</v>
      </c>
      <c r="C2122" s="51" t="s">
        <v>143</v>
      </c>
      <c r="D2122" s="51" t="s">
        <v>1166</v>
      </c>
      <c r="E2122" s="50">
        <v>2808</v>
      </c>
      <c r="F2122" s="50">
        <v>3281</v>
      </c>
      <c r="G2122" s="50" t="s">
        <v>3955</v>
      </c>
      <c r="H2122" s="50"/>
      <c r="I2122" s="105"/>
      <c r="J2122" s="50"/>
      <c r="K2122" s="50" t="s">
        <v>1345</v>
      </c>
      <c r="L2122" s="50"/>
      <c r="M2122" s="50" t="s">
        <v>148</v>
      </c>
      <c r="N2122" s="50"/>
      <c r="O2122" s="50"/>
      <c r="P2122" s="50"/>
      <c r="Q2122" s="50"/>
      <c r="R2122" s="50"/>
      <c r="S2122" s="50" t="str">
        <f t="shared" si="205"/>
        <v/>
      </c>
      <c r="T2122" s="50" t="str">
        <f>IF(
    OR(ISBLANK(O2122), ISBLANK(P2122)),
    "",
    MAX(1, IF(
        NETWORKDAYS(O2122, P2122) &lt;= 0,
        1,
        NETWORKDAYS(O2122, P2122) - IF(O2122 = P2122, 0, 1)
    ))
)</f>
        <v/>
      </c>
      <c r="U2122" s="50" t="str">
        <f>IF(
    OR(ISBLANK(P2122), ISBLANK(Q2122)),
    "",
    MAX(1, IF(
        NETWORKDAYS(P2122, Q2122) &lt;= 0,
        1,
        NETWORKDAYS(P2122, Q2122) - IF(P2122 = Q2122, 0, 1)
    ))
)</f>
        <v/>
      </c>
      <c r="V2122" s="50" t="str">
        <f t="shared" si="206"/>
        <v/>
      </c>
      <c r="W2122" s="50"/>
      <c r="X2122" s="50"/>
      <c r="Y2122" s="50"/>
      <c r="Z2122" s="50"/>
      <c r="AA2122" s="50"/>
    </row>
    <row r="2123" spans="1:27" ht="25.5" customHeight="1">
      <c r="A2123" s="517" t="s">
        <v>778</v>
      </c>
      <c r="B2123" s="51" t="s">
        <v>1392</v>
      </c>
      <c r="C2123" s="51" t="s">
        <v>143</v>
      </c>
      <c r="D2123" s="51" t="s">
        <v>3937</v>
      </c>
      <c r="E2123" s="50">
        <v>1208</v>
      </c>
      <c r="F2123" s="50">
        <v>442</v>
      </c>
      <c r="G2123" s="50" t="s">
        <v>3404</v>
      </c>
      <c r="H2123" s="50">
        <v>2025</v>
      </c>
      <c r="I2123" s="132">
        <v>45884</v>
      </c>
      <c r="J2123" s="50" t="s">
        <v>3126</v>
      </c>
      <c r="K2123" s="50" t="s">
        <v>1345</v>
      </c>
      <c r="L2123" s="50" t="s">
        <v>28</v>
      </c>
      <c r="M2123" s="50" t="s">
        <v>148</v>
      </c>
      <c r="N2123" s="50" t="s">
        <v>5613</v>
      </c>
      <c r="O2123" s="60">
        <v>45886</v>
      </c>
      <c r="P2123" s="60">
        <v>45887</v>
      </c>
      <c r="Q2123" s="60">
        <v>45888</v>
      </c>
      <c r="R2123" s="60">
        <v>45888</v>
      </c>
      <c r="S2123" s="50">
        <f t="shared" si="205"/>
        <v>1</v>
      </c>
      <c r="T2123" s="50">
        <f>IF(
    OR(ISBLANK(1811), ISBLANK(P2123)),
    "",
    MAX(1, IF(
        NETWORKDAYS(O2123, P2123) &lt;= 0,
        1,
        NETWORKDAYS(O2123, P2123) - IF(O2123 = P2123, 0, 1)
    ))
)</f>
        <v>1</v>
      </c>
      <c r="U2123" s="50">
        <f>IF(
    OR(ISBLANK(P2123), ISBLANK(Q2123)),
    "",
    MAX(1, IF(
        NETWORKDAYS(P2123, Q2123) &lt;= 0,
        1,
        NETWORKDAYS(P2123, Q2123) - IF(P2123 = Q2123, 0, 1)
    ))
)</f>
        <v>1</v>
      </c>
      <c r="V2123" s="50">
        <f t="shared" si="206"/>
        <v>1</v>
      </c>
      <c r="W2123" s="50" t="s">
        <v>150</v>
      </c>
      <c r="X2123" s="60" t="s">
        <v>3527</v>
      </c>
      <c r="Y2123" s="60" t="s">
        <v>3528</v>
      </c>
      <c r="Z2123" s="50" t="s">
        <v>3406</v>
      </c>
      <c r="AA2123" s="50"/>
    </row>
    <row r="2124" spans="1:27" s="110" customFormat="1" ht="25.5" customHeight="1">
      <c r="A2124" s="517" t="s">
        <v>778</v>
      </c>
      <c r="B2124" s="51" t="s">
        <v>1392</v>
      </c>
      <c r="C2124" s="51" t="s">
        <v>143</v>
      </c>
      <c r="D2124" s="51" t="s">
        <v>5614</v>
      </c>
      <c r="E2124" s="50">
        <v>991</v>
      </c>
      <c r="F2124" s="50">
        <v>1098</v>
      </c>
      <c r="G2124" s="50" t="s">
        <v>3404</v>
      </c>
      <c r="H2124" s="50">
        <v>2025</v>
      </c>
      <c r="I2124" s="132">
        <v>45940</v>
      </c>
      <c r="J2124" s="50" t="s">
        <v>3128</v>
      </c>
      <c r="K2124" s="50" t="s">
        <v>1345</v>
      </c>
      <c r="L2124" s="50"/>
      <c r="M2124" s="50" t="s">
        <v>148</v>
      </c>
      <c r="N2124" s="50" t="s">
        <v>5615</v>
      </c>
      <c r="O2124" s="60">
        <v>45943</v>
      </c>
      <c r="P2124" s="50"/>
      <c r="Q2124" s="60">
        <v>45945</v>
      </c>
      <c r="R2124" s="60">
        <v>45950</v>
      </c>
      <c r="S2124" s="50">
        <f t="shared" si="205"/>
        <v>1</v>
      </c>
      <c r="T2124" s="50" t="str">
        <f>IF(
    OR(ISBLANK(O2124), ISBLANK(P2124)),
    "",
    MAX(1, IF(
        NETWORKDAYS(O2124, P2124) &lt;= 0,
        1,
        NETWORKDAYS(O2124, P2124) - IF(O2124 = QP2124, 0, 1)
    ))
)</f>
        <v/>
      </c>
      <c r="U2124" s="50">
        <f>IF(
    OR(ISBLANK(1816), ISBLANK(Q2124)),
    "",
    MAX(1, IF(
        NETWORKDAYS(O2124, Q2124) &lt;= 0,
        1,
        NETWORKDAYS(O2124, Q2124) - IF(O2124 = Q2124, 0, 1)
    ))
)</f>
        <v>2</v>
      </c>
      <c r="V2124" s="50">
        <f t="shared" si="206"/>
        <v>3</v>
      </c>
      <c r="W2124" s="50" t="s">
        <v>150</v>
      </c>
      <c r="X2124" s="60" t="s">
        <v>3527</v>
      </c>
      <c r="Y2124" s="60" t="s">
        <v>3528</v>
      </c>
      <c r="Z2124" s="50" t="s">
        <v>3406</v>
      </c>
      <c r="AA2124" s="50"/>
    </row>
    <row r="2125" spans="1:27" ht="25.5" customHeight="1">
      <c r="A2125" s="517" t="s">
        <v>778</v>
      </c>
      <c r="B2125" s="51" t="s">
        <v>1392</v>
      </c>
      <c r="C2125" s="51" t="s">
        <v>143</v>
      </c>
      <c r="D2125" s="51" t="s">
        <v>4950</v>
      </c>
      <c r="E2125" s="50">
        <v>5756</v>
      </c>
      <c r="F2125" s="50">
        <v>5128</v>
      </c>
      <c r="G2125" s="50" t="s">
        <v>3404</v>
      </c>
      <c r="H2125" s="50">
        <v>2025</v>
      </c>
      <c r="I2125" s="132">
        <v>45940</v>
      </c>
      <c r="J2125" s="50" t="s">
        <v>3128</v>
      </c>
      <c r="K2125" s="50" t="s">
        <v>1345</v>
      </c>
      <c r="L2125" s="50"/>
      <c r="M2125" s="50" t="s">
        <v>148</v>
      </c>
      <c r="N2125" s="50" t="s">
        <v>5616</v>
      </c>
      <c r="O2125" s="60">
        <v>45943</v>
      </c>
      <c r="P2125" s="50"/>
      <c r="Q2125" s="60">
        <v>45945</v>
      </c>
      <c r="R2125" s="60">
        <v>45950</v>
      </c>
      <c r="S2125" s="50">
        <f t="shared" si="205"/>
        <v>1</v>
      </c>
      <c r="T2125" s="50" t="str">
        <f>IF(
    OR(ISBLANK(O2125), ISBLANK(P2125)),
    "",
    MAX(1, IF(
        NETWORKDAYS(O2125, P2125) &lt;= 0,
        1,
        NETWORKDAYS(O2125, P2125) - IF(O2125 = QP2125, 0, 1)
    ))
)</f>
        <v/>
      </c>
      <c r="U2125" s="50">
        <f>IF(
    OR(ISBLANK(1816), ISBLANK(Q2125)),
    "",
    MAX(1, IF(
        NETWORKDAYS(O2125, Q2125) &lt;= 0,
        1,
        NETWORKDAYS(O2125, Q2125) - IF(O2125 = Q2125, 0, 1)
    ))
)</f>
        <v>2</v>
      </c>
      <c r="V2125" s="50">
        <f t="shared" si="206"/>
        <v>3</v>
      </c>
      <c r="W2125" s="50" t="s">
        <v>150</v>
      </c>
      <c r="X2125" s="60" t="s">
        <v>3527</v>
      </c>
      <c r="Y2125" s="60" t="s">
        <v>3528</v>
      </c>
      <c r="Z2125" s="50" t="s">
        <v>3406</v>
      </c>
      <c r="AA2125" s="50"/>
    </row>
    <row r="2126" spans="1:27" ht="25.5" customHeight="1">
      <c r="A2126" s="517" t="s">
        <v>778</v>
      </c>
      <c r="B2126" s="51" t="s">
        <v>1392</v>
      </c>
      <c r="C2126" s="51" t="s">
        <v>143</v>
      </c>
      <c r="D2126" s="51" t="s">
        <v>5617</v>
      </c>
      <c r="E2126" s="50">
        <v>3470</v>
      </c>
      <c r="F2126" s="50">
        <v>3603</v>
      </c>
      <c r="G2126" s="50" t="s">
        <v>3404</v>
      </c>
      <c r="H2126" s="50">
        <v>2025</v>
      </c>
      <c r="I2126" s="132">
        <v>45884</v>
      </c>
      <c r="J2126" s="50" t="s">
        <v>3126</v>
      </c>
      <c r="K2126" s="50" t="s">
        <v>1345</v>
      </c>
      <c r="L2126" s="50" t="s">
        <v>28</v>
      </c>
      <c r="M2126" s="50" t="s">
        <v>148</v>
      </c>
      <c r="N2126" s="50" t="s">
        <v>5618</v>
      </c>
      <c r="O2126" s="60">
        <v>45886</v>
      </c>
      <c r="P2126" s="60">
        <v>45887</v>
      </c>
      <c r="Q2126" s="60">
        <v>45888</v>
      </c>
      <c r="R2126" s="60">
        <v>45888</v>
      </c>
      <c r="S2126" s="50">
        <f t="shared" si="205"/>
        <v>1</v>
      </c>
      <c r="T2126" s="50">
        <f>IF(
    OR(ISBLANK(1811), ISBLANK(P2126)),
    "",
    MAX(1, IF(
        NETWORKDAYS(O2126, P2126) &lt;= 0,
        1,
        NETWORKDAYS(O2126, P2126) - IF(O2126 = P2126, 0, 1)
    ))
)</f>
        <v>1</v>
      </c>
      <c r="U2126" s="50">
        <f>IF(
    OR(ISBLANK(P2126), ISBLANK(Q2126)),
    "",
    MAX(1, IF(
        NETWORKDAYS(P2126, Q2126) &lt;= 0,
        1,
        NETWORKDAYS(P2126, Q2126) - IF(P2126 = Q2126, 0, 1)
    ))
)</f>
        <v>1</v>
      </c>
      <c r="V2126" s="50">
        <f t="shared" si="206"/>
        <v>1</v>
      </c>
      <c r="W2126" s="50" t="s">
        <v>150</v>
      </c>
      <c r="X2126" s="60" t="s">
        <v>3527</v>
      </c>
      <c r="Y2126" s="60" t="s">
        <v>3528</v>
      </c>
      <c r="Z2126" s="50" t="s">
        <v>3406</v>
      </c>
      <c r="AA2126" s="50"/>
    </row>
    <row r="2127" spans="1:27" ht="25.5" customHeight="1">
      <c r="A2127" s="517" t="s">
        <v>778</v>
      </c>
      <c r="B2127" s="51" t="s">
        <v>1392</v>
      </c>
      <c r="C2127" s="51" t="s">
        <v>143</v>
      </c>
      <c r="D2127" s="51" t="s">
        <v>3727</v>
      </c>
      <c r="E2127" s="50">
        <v>2720</v>
      </c>
      <c r="F2127" s="50">
        <v>2625</v>
      </c>
      <c r="G2127" s="50" t="s">
        <v>3404</v>
      </c>
      <c r="H2127" s="50">
        <v>2025</v>
      </c>
      <c r="I2127" s="132">
        <v>45940</v>
      </c>
      <c r="J2127" s="50" t="s">
        <v>3128</v>
      </c>
      <c r="K2127" s="50" t="s">
        <v>1345</v>
      </c>
      <c r="L2127" s="50"/>
      <c r="M2127" s="50" t="s">
        <v>148</v>
      </c>
      <c r="N2127" s="50" t="s">
        <v>5619</v>
      </c>
      <c r="O2127" s="60">
        <v>45943</v>
      </c>
      <c r="P2127" s="60"/>
      <c r="Q2127" s="60">
        <v>45945</v>
      </c>
      <c r="R2127" s="60">
        <v>45950</v>
      </c>
      <c r="S2127" s="50">
        <f t="shared" si="205"/>
        <v>1</v>
      </c>
      <c r="T2127" s="50" t="str">
        <f>IF(
    OR(ISBLANK(O2127), ISBLANK(P2127)),
    "",
    MAX(1, IF(
        NETWORKDAYS(O2127, P2127) &lt;= 0,
        1,
        NETWORKDAYS(O2127, P2127) - IF(O2127 = QP2127, 0, 1)
    ))
)</f>
        <v/>
      </c>
      <c r="U2127" s="50">
        <f>IF(
    OR(ISBLANK(1816), ISBLANK(Q2127)),
    "",
    MAX(1, IF(
        NETWORKDAYS(O2127, Q2127) &lt;= 0,
        1,
        NETWORKDAYS(O2127, Q2127) - IF(O2127 = Q2127, 0, 1)
    ))
)</f>
        <v>2</v>
      </c>
      <c r="V2127" s="50">
        <f t="shared" si="206"/>
        <v>3</v>
      </c>
      <c r="W2127" s="50" t="s">
        <v>150</v>
      </c>
      <c r="X2127" s="50" t="s">
        <v>3527</v>
      </c>
      <c r="Y2127" s="50" t="s">
        <v>3528</v>
      </c>
      <c r="Z2127" s="50" t="s">
        <v>3406</v>
      </c>
      <c r="AA2127" s="50"/>
    </row>
    <row r="2128" spans="1:27" ht="25.5" customHeight="1">
      <c r="A2128" s="517" t="s">
        <v>778</v>
      </c>
      <c r="B2128" s="51" t="s">
        <v>1392</v>
      </c>
      <c r="C2128" s="51" t="s">
        <v>143</v>
      </c>
      <c r="D2128" s="51" t="s">
        <v>4132</v>
      </c>
      <c r="E2128" s="50">
        <v>3114</v>
      </c>
      <c r="F2128" s="50">
        <v>2561</v>
      </c>
      <c r="G2128" s="50" t="s">
        <v>3404</v>
      </c>
      <c r="H2128" s="50">
        <v>2025</v>
      </c>
      <c r="I2128" s="132">
        <v>45884</v>
      </c>
      <c r="J2128" s="50" t="s">
        <v>3126</v>
      </c>
      <c r="K2128" s="50" t="s">
        <v>1345</v>
      </c>
      <c r="L2128" s="50" t="s">
        <v>28</v>
      </c>
      <c r="M2128" s="50" t="s">
        <v>148</v>
      </c>
      <c r="N2128" s="50" t="s">
        <v>5620</v>
      </c>
      <c r="O2128" s="60">
        <v>45886</v>
      </c>
      <c r="P2128" s="60">
        <v>45887</v>
      </c>
      <c r="Q2128" s="60">
        <v>45888</v>
      </c>
      <c r="R2128" s="60">
        <v>45888</v>
      </c>
      <c r="S2128" s="50">
        <f t="shared" si="205"/>
        <v>1</v>
      </c>
      <c r="T2128" s="50">
        <f>IF(
    OR(ISBLANK(1811), ISBLANK(P2128)),
    "",
    MAX(1, IF(
        NETWORKDAYS(O2128, P2128) &lt;= 0,
        1,
        NETWORKDAYS(O2128, P2128) - IF(O2128 = P2128, 0, 1)
    ))
)</f>
        <v>1</v>
      </c>
      <c r="U2128" s="50">
        <f>IF(
    OR(ISBLANK(P2128), ISBLANK(Q2128)),
    "",
    MAX(1, IF(
        NETWORKDAYS(P2128, Q2128) &lt;= 0,
        1,
        NETWORKDAYS(P2128, Q2128) - IF(P2128 = Q2128, 0, 1)
    ))
)</f>
        <v>1</v>
      </c>
      <c r="V2128" s="50">
        <f t="shared" si="206"/>
        <v>1</v>
      </c>
      <c r="W2128" s="50" t="s">
        <v>150</v>
      </c>
      <c r="X2128" s="50" t="s">
        <v>3527</v>
      </c>
      <c r="Y2128" s="50" t="s">
        <v>3528</v>
      </c>
      <c r="Z2128" s="50" t="s">
        <v>3406</v>
      </c>
      <c r="AA2128" s="50"/>
    </row>
    <row r="2129" spans="1:27" ht="25.5" customHeight="1">
      <c r="A2129" s="517" t="s">
        <v>778</v>
      </c>
      <c r="B2129" s="51" t="s">
        <v>1392</v>
      </c>
      <c r="C2129" s="51" t="s">
        <v>143</v>
      </c>
      <c r="D2129" s="51" t="s">
        <v>5621</v>
      </c>
      <c r="E2129" s="50">
        <v>1516</v>
      </c>
      <c r="F2129" s="50">
        <v>1239</v>
      </c>
      <c r="G2129" s="50" t="s">
        <v>3955</v>
      </c>
      <c r="H2129" s="50"/>
      <c r="I2129" s="105"/>
      <c r="J2129" s="50"/>
      <c r="K2129" s="50" t="s">
        <v>1345</v>
      </c>
      <c r="L2129" s="50"/>
      <c r="M2129" s="50" t="s">
        <v>148</v>
      </c>
      <c r="N2129" s="50"/>
      <c r="O2129" s="50"/>
      <c r="P2129" s="50"/>
      <c r="Q2129" s="50"/>
      <c r="R2129" s="50"/>
      <c r="S2129" s="50" t="str">
        <f t="shared" si="205"/>
        <v/>
      </c>
      <c r="T2129" s="50" t="str">
        <f>IF(
    OR(ISBLANK(O2129), ISBLANK(P2129)),
    "",
    MAX(1, IF(
        NETWORKDAYS(O2129, P2129) &lt;= 0,
        1,
        NETWORKDAYS(O2129, P2129) - IF(O2129 = P2129, 0, 1)
    ))
)</f>
        <v/>
      </c>
      <c r="U2129" s="50" t="str">
        <f>IF(
    OR(ISBLANK(P2129), ISBLANK(Q2129)),
    "",
    MAX(1, IF(
        NETWORKDAYS(P2129, Q2129) &lt;= 0,
        1,
        NETWORKDAYS(P2129, Q2129) - IF(P2129 = Q2129, 0, 1)
    ))
)</f>
        <v/>
      </c>
      <c r="V2129" s="50" t="str">
        <f t="shared" si="206"/>
        <v/>
      </c>
      <c r="W2129" s="50"/>
      <c r="X2129" s="50"/>
      <c r="Y2129" s="50"/>
      <c r="Z2129" s="50"/>
      <c r="AA2129" s="50"/>
    </row>
    <row r="2130" spans="1:27" ht="25.5" customHeight="1">
      <c r="A2130" s="517" t="s">
        <v>778</v>
      </c>
      <c r="B2130" s="51" t="s">
        <v>1392</v>
      </c>
      <c r="C2130" s="51" t="s">
        <v>143</v>
      </c>
      <c r="D2130" s="51" t="s">
        <v>5622</v>
      </c>
      <c r="E2130" s="50">
        <v>2416</v>
      </c>
      <c r="F2130" s="50">
        <v>2453</v>
      </c>
      <c r="G2130" s="50" t="s">
        <v>3404</v>
      </c>
      <c r="H2130" s="50">
        <v>2025</v>
      </c>
      <c r="I2130" s="132">
        <v>45701</v>
      </c>
      <c r="J2130" s="50" t="s">
        <v>3458</v>
      </c>
      <c r="K2130" s="50" t="s">
        <v>1345</v>
      </c>
      <c r="L2130" s="50"/>
      <c r="M2130" s="50" t="s">
        <v>148</v>
      </c>
      <c r="N2130" s="50" t="s">
        <v>5623</v>
      </c>
      <c r="O2130" s="60">
        <v>45701</v>
      </c>
      <c r="P2130" s="60"/>
      <c r="Q2130" s="60">
        <v>45706</v>
      </c>
      <c r="R2130" s="60">
        <v>45707</v>
      </c>
      <c r="S2130" s="50">
        <f t="shared" si="205"/>
        <v>1</v>
      </c>
      <c r="T2130" s="50" t="str">
        <f>IF(
    OR(ISBLANK(O2130), ISBLANK(P2130)),
    "",
    MAX(1, IF(
        NETWORKDAYS(O2130, P2130) &lt;= 0,
        1,
        NETWORKDAYS(O2130, P2130) - IF(O2130 = QP2130, 0, 1)
    ))
)</f>
        <v/>
      </c>
      <c r="U2130" s="50">
        <f>IF(
    OR(ISBLANK(1816), ISBLANK(Q2130)),
    "",
    MAX(1, IF(
        NETWORKDAYS(O2130, Q2130) &lt;= 0,
        1,
        NETWORKDAYS(O2130, Q2130) - IF(O2130 = Q2130, 0, 1)
    ))
)</f>
        <v>3</v>
      </c>
      <c r="V2130" s="50">
        <f t="shared" si="206"/>
        <v>1</v>
      </c>
      <c r="W2130" s="50" t="s">
        <v>150</v>
      </c>
      <c r="X2130" s="50" t="s">
        <v>1078</v>
      </c>
      <c r="Y2130" s="50" t="s">
        <v>50</v>
      </c>
      <c r="Z2130" s="50" t="s">
        <v>3406</v>
      </c>
      <c r="AA2130" s="50"/>
    </row>
    <row r="2131" spans="1:27" s="110" customFormat="1" ht="25.5" customHeight="1">
      <c r="A2131" s="517" t="s">
        <v>778</v>
      </c>
      <c r="B2131" s="51" t="s">
        <v>1392</v>
      </c>
      <c r="C2131" s="51" t="s">
        <v>143</v>
      </c>
      <c r="D2131" s="51" t="s">
        <v>5624</v>
      </c>
      <c r="E2131" s="50">
        <v>3818</v>
      </c>
      <c r="F2131" s="50">
        <v>4057</v>
      </c>
      <c r="G2131" s="50" t="s">
        <v>3955</v>
      </c>
      <c r="H2131" s="50"/>
      <c r="I2131" s="105"/>
      <c r="J2131" s="50"/>
      <c r="K2131" s="50" t="s">
        <v>1345</v>
      </c>
      <c r="L2131" s="50"/>
      <c r="M2131" s="50" t="s">
        <v>148</v>
      </c>
      <c r="N2131" s="50"/>
      <c r="O2131" s="50"/>
      <c r="P2131" s="50"/>
      <c r="Q2131" s="50"/>
      <c r="R2131" s="50"/>
      <c r="S2131" s="50" t="str">
        <f t="shared" si="205"/>
        <v/>
      </c>
      <c r="T2131" s="50" t="str">
        <f>IF(
    OR(ISBLANK(O2131), ISBLANK(P2131)),
    "",
    MAX(1, IF(
        NETWORKDAYS(O2131, P2131) &lt;= 0,
        1,
        NETWORKDAYS(O2131, P2131) - IF(O2131 = P2131, 0, 1)
    ))
)</f>
        <v/>
      </c>
      <c r="U2131" s="50" t="str">
        <f>IF(
    OR(ISBLANK(P2131), ISBLANK(Q2131)),
    "",
    MAX(1, IF(
        NETWORKDAYS(P2131, Q2131) &lt;= 0,
        1,
        NETWORKDAYS(P2131, Q2131) - IF(P2131 = Q2131, 0, 1)
    ))
)</f>
        <v/>
      </c>
      <c r="V2131" s="50" t="str">
        <f t="shared" si="206"/>
        <v/>
      </c>
      <c r="W2131" s="50"/>
      <c r="X2131" s="50"/>
      <c r="Y2131" s="50"/>
      <c r="Z2131" s="50"/>
      <c r="AA2131" s="50"/>
    </row>
    <row r="2132" spans="1:27" ht="25.5" customHeight="1">
      <c r="A2132" s="517" t="s">
        <v>778</v>
      </c>
      <c r="B2132" s="51" t="s">
        <v>1395</v>
      </c>
      <c r="C2132" s="51" t="s">
        <v>143</v>
      </c>
      <c r="D2132" s="51" t="s">
        <v>5625</v>
      </c>
      <c r="E2132" s="50">
        <v>3270</v>
      </c>
      <c r="F2132" s="50">
        <v>3493</v>
      </c>
      <c r="G2132" s="50" t="s">
        <v>3404</v>
      </c>
      <c r="H2132" s="50">
        <v>2025</v>
      </c>
      <c r="I2132" s="132">
        <v>45913</v>
      </c>
      <c r="J2132" s="50" t="s">
        <v>3127</v>
      </c>
      <c r="K2132" s="50" t="s">
        <v>32</v>
      </c>
      <c r="L2132" s="50"/>
      <c r="M2132" s="50" t="s">
        <v>148</v>
      </c>
      <c r="N2132" s="50" t="s">
        <v>5626</v>
      </c>
      <c r="O2132" s="60">
        <v>45917</v>
      </c>
      <c r="P2132" s="50"/>
      <c r="Q2132" s="60">
        <v>45917</v>
      </c>
      <c r="R2132" s="60">
        <v>45918</v>
      </c>
      <c r="S2132" s="50">
        <f t="shared" si="205"/>
        <v>2</v>
      </c>
      <c r="T2132" s="50" t="str">
        <f>IF(
    OR(ISBLANK(O2132), ISBLANK(P2132)),
    "",
    MAX(1, IF(
        NETWORKDAYS(O2132, P2132) &lt;= 0,
        1,
        NETWORKDAYS(O2132, P2132) - IF(O2132 = QP2132, 0, 1)
    ))
)</f>
        <v/>
      </c>
      <c r="U2132" s="50">
        <f>IF(
    OR(ISBLANK(1816), ISBLANK(Q2132)),
    "",
    MAX(1, IF(
        NETWORKDAYS(O2132, Q2132) &lt;= 0,
        1,
        NETWORKDAYS(O2132, Q2132) - IF(O2132 = Q2132, 0, 1)
    ))
)</f>
        <v>1</v>
      </c>
      <c r="V2132" s="50">
        <f t="shared" si="206"/>
        <v>1</v>
      </c>
      <c r="W2132" s="50" t="s">
        <v>150</v>
      </c>
      <c r="X2132" s="50" t="s">
        <v>4</v>
      </c>
      <c r="Y2132" s="50" t="s">
        <v>50</v>
      </c>
      <c r="Z2132" s="50" t="s">
        <v>3406</v>
      </c>
      <c r="AA2132" s="50"/>
    </row>
    <row r="2133" spans="1:27" ht="25.5" customHeight="1">
      <c r="A2133" s="517" t="s">
        <v>778</v>
      </c>
      <c r="B2133" s="51" t="s">
        <v>1395</v>
      </c>
      <c r="C2133" s="51" t="s">
        <v>143</v>
      </c>
      <c r="D2133" s="51" t="s">
        <v>5396</v>
      </c>
      <c r="E2133" s="50">
        <v>2100</v>
      </c>
      <c r="F2133" s="50">
        <v>2472</v>
      </c>
      <c r="G2133" s="50" t="s">
        <v>3404</v>
      </c>
      <c r="H2133" s="50">
        <v>2025</v>
      </c>
      <c r="I2133" s="132">
        <v>45913</v>
      </c>
      <c r="J2133" s="50" t="s">
        <v>3127</v>
      </c>
      <c r="K2133" s="50" t="s">
        <v>32</v>
      </c>
      <c r="L2133" s="50"/>
      <c r="M2133" s="50" t="s">
        <v>148</v>
      </c>
      <c r="N2133" s="50" t="s">
        <v>5627</v>
      </c>
      <c r="O2133" s="60">
        <v>45917</v>
      </c>
      <c r="P2133" s="50"/>
      <c r="Q2133" s="60">
        <v>45917</v>
      </c>
      <c r="R2133" s="60">
        <v>45918</v>
      </c>
      <c r="S2133" s="50">
        <f t="shared" si="205"/>
        <v>2</v>
      </c>
      <c r="T2133" s="50" t="str">
        <f>IF(
    OR(ISBLANK(O2133), ISBLANK(P2133)),
    "",
    MAX(1, IF(
        NETWORKDAYS(O2133, P2133) &lt;= 0,
        1,
        NETWORKDAYS(O2133, P2133) - IF(O2133 = QP2133, 0, 1)
    ))
)</f>
        <v/>
      </c>
      <c r="U2133" s="50">
        <f>IF(
    OR(ISBLANK(1816), ISBLANK(Q2133)),
    "",
    MAX(1, IF(
        NETWORKDAYS(O2133, Q2133) &lt;= 0,
        1,
        NETWORKDAYS(O2133, Q2133) - IF(O2133 = Q2133, 0, 1)
    ))
)</f>
        <v>1</v>
      </c>
      <c r="V2133" s="50">
        <f t="shared" si="206"/>
        <v>1</v>
      </c>
      <c r="W2133" s="50" t="s">
        <v>150</v>
      </c>
      <c r="X2133" s="50" t="s">
        <v>4</v>
      </c>
      <c r="Y2133" s="50" t="s">
        <v>50</v>
      </c>
      <c r="Z2133" s="50" t="s">
        <v>3406</v>
      </c>
      <c r="AA2133" s="50"/>
    </row>
    <row r="2134" spans="1:27" ht="25.5" customHeight="1">
      <c r="A2134" s="517" t="s">
        <v>778</v>
      </c>
      <c r="B2134" s="51" t="s">
        <v>1395</v>
      </c>
      <c r="C2134" s="51" t="s">
        <v>143</v>
      </c>
      <c r="D2134" s="51" t="s">
        <v>5628</v>
      </c>
      <c r="E2134" s="50">
        <v>1703</v>
      </c>
      <c r="F2134" s="50">
        <v>2184</v>
      </c>
      <c r="G2134" s="50" t="s">
        <v>3955</v>
      </c>
      <c r="H2134" s="50"/>
      <c r="I2134" s="105"/>
      <c r="J2134" s="50"/>
      <c r="K2134" s="50" t="s">
        <v>32</v>
      </c>
      <c r="L2134" s="50"/>
      <c r="M2134" s="50" t="s">
        <v>148</v>
      </c>
      <c r="N2134" s="50"/>
      <c r="O2134" s="50"/>
      <c r="P2134" s="50"/>
      <c r="Q2134" s="50"/>
      <c r="R2134" s="50"/>
      <c r="S2134" s="50" t="str">
        <f t="shared" si="205"/>
        <v/>
      </c>
      <c r="T2134" s="50" t="str">
        <f t="shared" ref="T2134:U2137" si="209">IF(
    OR(ISBLANK(O2134), ISBLANK(P2134)),
    "",
    MAX(1, IF(
        NETWORKDAYS(O2134, P2134) &lt;= 0,
        1,
        NETWORKDAYS(O2134, P2134) - IF(O2134 = P2134, 0, 1)
    ))
)</f>
        <v/>
      </c>
      <c r="U2134" s="50" t="str">
        <f t="shared" si="209"/>
        <v/>
      </c>
      <c r="V2134" s="50" t="str">
        <f t="shared" si="206"/>
        <v/>
      </c>
      <c r="W2134" s="50"/>
      <c r="X2134" s="50"/>
      <c r="Y2134" s="50"/>
      <c r="Z2134" s="50"/>
      <c r="AA2134" s="50"/>
    </row>
    <row r="2135" spans="1:27" s="110" customFormat="1" ht="25.5" customHeight="1">
      <c r="A2135" s="517" t="s">
        <v>778</v>
      </c>
      <c r="B2135" s="51" t="s">
        <v>1395</v>
      </c>
      <c r="C2135" s="51" t="s">
        <v>143</v>
      </c>
      <c r="D2135" s="51" t="s">
        <v>4428</v>
      </c>
      <c r="E2135" s="50">
        <v>1963</v>
      </c>
      <c r="F2135" s="50">
        <v>2194</v>
      </c>
      <c r="G2135" s="50" t="s">
        <v>3955</v>
      </c>
      <c r="H2135" s="50"/>
      <c r="I2135" s="105"/>
      <c r="J2135" s="50"/>
      <c r="K2135" s="50" t="s">
        <v>32</v>
      </c>
      <c r="L2135" s="50"/>
      <c r="M2135" s="50" t="s">
        <v>148</v>
      </c>
      <c r="N2135" s="50"/>
      <c r="O2135" s="50"/>
      <c r="P2135" s="50"/>
      <c r="Q2135" s="50"/>
      <c r="R2135" s="50"/>
      <c r="S2135" s="50" t="str">
        <f t="shared" si="205"/>
        <v/>
      </c>
      <c r="T2135" s="50" t="str">
        <f t="shared" si="209"/>
        <v/>
      </c>
      <c r="U2135" s="50" t="str">
        <f t="shared" si="209"/>
        <v/>
      </c>
      <c r="V2135" s="50" t="str">
        <f t="shared" si="206"/>
        <v/>
      </c>
      <c r="W2135" s="50"/>
      <c r="X2135" s="50"/>
      <c r="Y2135" s="50"/>
      <c r="Z2135" s="50"/>
      <c r="AA2135" s="50"/>
    </row>
    <row r="2136" spans="1:27" ht="25.5" customHeight="1">
      <c r="A2136" s="50" t="s">
        <v>778</v>
      </c>
      <c r="B2136" s="51" t="s">
        <v>1395</v>
      </c>
      <c r="C2136" s="51" t="s">
        <v>143</v>
      </c>
      <c r="D2136" s="51" t="s">
        <v>5197</v>
      </c>
      <c r="E2136" s="50">
        <v>1717</v>
      </c>
      <c r="F2136" s="50">
        <v>1640</v>
      </c>
      <c r="G2136" s="50" t="s">
        <v>3404</v>
      </c>
      <c r="H2136" s="50">
        <v>2024</v>
      </c>
      <c r="I2136" s="132">
        <v>45576</v>
      </c>
      <c r="J2136" s="50"/>
      <c r="K2136" s="50" t="s">
        <v>32</v>
      </c>
      <c r="L2136" s="50"/>
      <c r="M2136" s="50" t="s">
        <v>148</v>
      </c>
      <c r="N2136" s="50"/>
      <c r="O2136" s="50"/>
      <c r="P2136" s="50"/>
      <c r="Q2136" s="50"/>
      <c r="R2136" s="50"/>
      <c r="S2136" s="50" t="str">
        <f t="shared" si="205"/>
        <v/>
      </c>
      <c r="T2136" s="50" t="str">
        <f t="shared" si="209"/>
        <v/>
      </c>
      <c r="U2136" s="50" t="str">
        <f t="shared" si="209"/>
        <v/>
      </c>
      <c r="V2136" s="50" t="str">
        <f t="shared" si="206"/>
        <v/>
      </c>
      <c r="W2136" s="50"/>
      <c r="X2136" s="50" t="s">
        <v>4</v>
      </c>
      <c r="Y2136" s="50" t="s">
        <v>50</v>
      </c>
      <c r="Z2136" s="50" t="s">
        <v>3406</v>
      </c>
      <c r="AA2136" s="50"/>
    </row>
    <row r="2137" spans="1:27" ht="25.5" customHeight="1">
      <c r="A2137" s="517" t="s">
        <v>778</v>
      </c>
      <c r="B2137" s="51" t="s">
        <v>1395</v>
      </c>
      <c r="C2137" s="51" t="s">
        <v>143</v>
      </c>
      <c r="D2137" s="51" t="s">
        <v>5629</v>
      </c>
      <c r="E2137" s="50">
        <v>1826</v>
      </c>
      <c r="F2137" s="50">
        <v>1952</v>
      </c>
      <c r="G2137" s="50" t="s">
        <v>3955</v>
      </c>
      <c r="H2137" s="50"/>
      <c r="I2137" s="105"/>
      <c r="J2137" s="50"/>
      <c r="K2137" s="50" t="s">
        <v>32</v>
      </c>
      <c r="L2137" s="50"/>
      <c r="M2137" s="50" t="s">
        <v>148</v>
      </c>
      <c r="N2137" s="53"/>
      <c r="O2137" s="50"/>
      <c r="P2137" s="50"/>
      <c r="Q2137" s="50"/>
      <c r="R2137" s="50"/>
      <c r="S2137" s="50" t="str">
        <f t="shared" si="205"/>
        <v/>
      </c>
      <c r="T2137" s="50" t="str">
        <f t="shared" si="209"/>
        <v/>
      </c>
      <c r="U2137" s="50" t="str">
        <f t="shared" si="209"/>
        <v/>
      </c>
      <c r="V2137" s="50" t="str">
        <f t="shared" si="206"/>
        <v/>
      </c>
      <c r="W2137" s="50"/>
      <c r="X2137" s="50"/>
      <c r="Y2137" s="50"/>
      <c r="Z2137" s="50"/>
      <c r="AA2137" s="50"/>
    </row>
    <row r="2138" spans="1:27" ht="25.5" customHeight="1">
      <c r="A2138" s="517" t="s">
        <v>778</v>
      </c>
      <c r="B2138" s="51" t="s">
        <v>1395</v>
      </c>
      <c r="C2138" s="51" t="s">
        <v>143</v>
      </c>
      <c r="D2138" s="51" t="s">
        <v>5630</v>
      </c>
      <c r="E2138" s="50">
        <v>5435</v>
      </c>
      <c r="F2138" s="50">
        <v>5392</v>
      </c>
      <c r="G2138" s="50" t="s">
        <v>3404</v>
      </c>
      <c r="H2138" s="50">
        <v>2025</v>
      </c>
      <c r="I2138" s="132">
        <v>45913</v>
      </c>
      <c r="J2138" s="50" t="s">
        <v>3127</v>
      </c>
      <c r="K2138" s="50" t="s">
        <v>32</v>
      </c>
      <c r="L2138" s="50"/>
      <c r="M2138" s="50" t="s">
        <v>148</v>
      </c>
      <c r="N2138" s="50" t="s">
        <v>5631</v>
      </c>
      <c r="O2138" s="60">
        <v>45917</v>
      </c>
      <c r="P2138" s="50"/>
      <c r="Q2138" s="60">
        <v>45917</v>
      </c>
      <c r="R2138" s="60">
        <v>45918</v>
      </c>
      <c r="S2138" s="50">
        <f t="shared" si="205"/>
        <v>2</v>
      </c>
      <c r="T2138" s="50" t="str">
        <f>IF(
    OR(ISBLANK(O2138), ISBLANK(P2138)),
    "",
    MAX(1, IF(
        NETWORKDAYS(O2138, P2138) &lt;= 0,
        1,
        NETWORKDAYS(O2138, P2138) - IF(O2138 = QP2138, 0, 1)
    ))
)</f>
        <v/>
      </c>
      <c r="U2138" s="50">
        <f>IF(
    OR(ISBLANK(1816), ISBLANK(Q2138)),
    "",
    MAX(1, IF(
        NETWORKDAYS(O2138, Q2138) &lt;= 0,
        1,
        NETWORKDAYS(O2138, Q2138) - IF(O2138 = Q2138, 0, 1)
    ))
)</f>
        <v>1</v>
      </c>
      <c r="V2138" s="50">
        <f t="shared" si="206"/>
        <v>1</v>
      </c>
      <c r="W2138" s="50" t="s">
        <v>150</v>
      </c>
      <c r="X2138" s="50" t="s">
        <v>4</v>
      </c>
      <c r="Y2138" s="50" t="s">
        <v>50</v>
      </c>
      <c r="Z2138" s="50" t="s">
        <v>3406</v>
      </c>
      <c r="AA2138" s="50"/>
    </row>
    <row r="2139" spans="1:27" ht="25.5" customHeight="1">
      <c r="A2139" s="50" t="s">
        <v>778</v>
      </c>
      <c r="B2139" s="51" t="s">
        <v>1395</v>
      </c>
      <c r="C2139" s="51" t="s">
        <v>143</v>
      </c>
      <c r="D2139" s="51" t="s">
        <v>5632</v>
      </c>
      <c r="E2139" s="50">
        <v>1522</v>
      </c>
      <c r="F2139" s="50">
        <v>1474</v>
      </c>
      <c r="G2139" s="50" t="s">
        <v>3404</v>
      </c>
      <c r="H2139" s="50">
        <v>2024</v>
      </c>
      <c r="I2139" s="132">
        <v>45576</v>
      </c>
      <c r="J2139" s="50"/>
      <c r="K2139" s="50" t="s">
        <v>32</v>
      </c>
      <c r="L2139" s="50"/>
      <c r="M2139" s="50" t="s">
        <v>148</v>
      </c>
      <c r="N2139" s="50"/>
      <c r="O2139" s="50"/>
      <c r="P2139" s="50"/>
      <c r="Q2139" s="50"/>
      <c r="R2139" s="50"/>
      <c r="S2139" s="50" t="str">
        <f t="shared" si="205"/>
        <v/>
      </c>
      <c r="T2139" s="50" t="str">
        <f>IF(
    OR(ISBLANK(O2139), ISBLANK(P2139)),
    "",
    MAX(1, IF(
        NETWORKDAYS(O2139, P2139) &lt;= 0,
        1,
        NETWORKDAYS(O2139, P2139) - IF(O2139 = P2139, 0, 1)
    ))
)</f>
        <v/>
      </c>
      <c r="U2139" s="50" t="str">
        <f>IF(
    OR(ISBLANK(P2139), ISBLANK(Q2139)),
    "",
    MAX(1, IF(
        NETWORKDAYS(P2139, Q2139) &lt;= 0,
        1,
        NETWORKDAYS(P2139, Q2139) - IF(P2139 = Q2139, 0, 1)
    ))
)</f>
        <v/>
      </c>
      <c r="V2139" s="50" t="str">
        <f t="shared" si="206"/>
        <v/>
      </c>
      <c r="W2139" s="50"/>
      <c r="X2139" s="50" t="s">
        <v>4</v>
      </c>
      <c r="Y2139" s="50" t="s">
        <v>50</v>
      </c>
      <c r="Z2139" s="50" t="s">
        <v>3406</v>
      </c>
      <c r="AA2139" s="50"/>
    </row>
    <row r="2140" spans="1:27" ht="25.5" customHeight="1">
      <c r="A2140" s="517" t="s">
        <v>778</v>
      </c>
      <c r="B2140" s="51" t="s">
        <v>1395</v>
      </c>
      <c r="C2140" s="51" t="s">
        <v>143</v>
      </c>
      <c r="D2140" s="51" t="s">
        <v>4126</v>
      </c>
      <c r="E2140" s="50">
        <v>3324</v>
      </c>
      <c r="F2140" s="50">
        <v>3820</v>
      </c>
      <c r="G2140" s="50" t="s">
        <v>3404</v>
      </c>
      <c r="H2140" s="50">
        <v>2025</v>
      </c>
      <c r="I2140" s="132">
        <v>45883</v>
      </c>
      <c r="J2140" s="50" t="s">
        <v>3126</v>
      </c>
      <c r="K2140" s="50" t="s">
        <v>32</v>
      </c>
      <c r="L2140" s="50" t="s">
        <v>28</v>
      </c>
      <c r="M2140" s="50" t="s">
        <v>148</v>
      </c>
      <c r="N2140" s="50" t="s">
        <v>5633</v>
      </c>
      <c r="O2140" s="60">
        <v>45884</v>
      </c>
      <c r="P2140" s="60">
        <v>45884</v>
      </c>
      <c r="Q2140" s="60">
        <v>45888</v>
      </c>
      <c r="R2140" s="60">
        <v>45888</v>
      </c>
      <c r="S2140" s="50">
        <f t="shared" si="205"/>
        <v>1</v>
      </c>
      <c r="T2140" s="50">
        <f>IF(
    OR(ISBLANK(1811), ISBLANK(P2140)),
    "",
    MAX(1, IF(
        NETWORKDAYS(O2140, P2140) &lt;= 0,
        1,
        NETWORKDAYS(O2140, P2140) - IF(O2140 = P2140, 0, 1)
    ))
)</f>
        <v>1</v>
      </c>
      <c r="U2140" s="50">
        <f>IF(
    OR(ISBLANK(P2140), ISBLANK(Q2140)),
    "",
    MAX(1, IF(
        NETWORKDAYS(P2140, Q2140) &lt;= 0,
        1,
        NETWORKDAYS(P2140, Q2140) - IF(P2140 = Q2140, 0, 1)
    ))
)</f>
        <v>2</v>
      </c>
      <c r="V2140" s="50">
        <f t="shared" si="206"/>
        <v>1</v>
      </c>
      <c r="W2140" s="50" t="s">
        <v>150</v>
      </c>
      <c r="X2140" s="50" t="s">
        <v>4</v>
      </c>
      <c r="Y2140" s="50" t="s">
        <v>57</v>
      </c>
      <c r="Z2140" s="50" t="s">
        <v>3406</v>
      </c>
      <c r="AA2140" s="50"/>
    </row>
    <row r="2141" spans="1:27" s="110" customFormat="1" ht="25.5" customHeight="1">
      <c r="A2141" s="517" t="s">
        <v>778</v>
      </c>
      <c r="B2141" s="51" t="s">
        <v>1395</v>
      </c>
      <c r="C2141" s="51" t="s">
        <v>143</v>
      </c>
      <c r="D2141" s="51" t="s">
        <v>914</v>
      </c>
      <c r="E2141" s="50">
        <v>1754</v>
      </c>
      <c r="F2141" s="50">
        <v>2083</v>
      </c>
      <c r="G2141" s="50" t="s">
        <v>3404</v>
      </c>
      <c r="H2141" s="50">
        <v>2025</v>
      </c>
      <c r="I2141" s="132">
        <v>45792</v>
      </c>
      <c r="J2141" s="50" t="s">
        <v>3532</v>
      </c>
      <c r="K2141" s="50" t="s">
        <v>32</v>
      </c>
      <c r="L2141" s="50"/>
      <c r="M2141" s="50" t="s">
        <v>148</v>
      </c>
      <c r="N2141" s="50" t="s">
        <v>5634</v>
      </c>
      <c r="O2141" s="60">
        <v>45792</v>
      </c>
      <c r="P2141" s="50"/>
      <c r="Q2141" s="60">
        <v>45793</v>
      </c>
      <c r="R2141" s="60">
        <v>45793</v>
      </c>
      <c r="S2141" s="50">
        <f t="shared" si="205"/>
        <v>1</v>
      </c>
      <c r="T2141" s="50" t="str">
        <f>IF(
    OR(ISBLANK(O2141), ISBLANK(P2141)),
    "",
    MAX(1, IF(
        NETWORKDAYS(O2141, P2141) &lt;= 0,
        1,
        NETWORKDAYS(O2141, P2141) - IF(O2141 = QP2141, 0, 1)
    ))
)</f>
        <v/>
      </c>
      <c r="U2141" s="50">
        <f>IF(
    OR(ISBLANK(1816), ISBLANK(Q2141)),
    "",
    MAX(1, IF(
        NETWORKDAYS(O2141, Q2141) &lt;= 0,
        1,
        NETWORKDAYS(O2141, Q2141) - IF(O2141 = Q2141, 0, 1)
    ))
)</f>
        <v>1</v>
      </c>
      <c r="V2141" s="50">
        <f t="shared" si="206"/>
        <v>1</v>
      </c>
      <c r="W2141" s="50" t="s">
        <v>150</v>
      </c>
      <c r="X2141" s="50" t="s">
        <v>3527</v>
      </c>
      <c r="Y2141" s="50" t="s">
        <v>3528</v>
      </c>
      <c r="Z2141" s="50" t="s">
        <v>3406</v>
      </c>
      <c r="AA2141" s="50"/>
    </row>
    <row r="2142" spans="1:27" ht="25.5" customHeight="1">
      <c r="A2142" s="517" t="s">
        <v>778</v>
      </c>
      <c r="B2142" s="51" t="s">
        <v>1395</v>
      </c>
      <c r="C2142" s="51" t="s">
        <v>143</v>
      </c>
      <c r="D2142" s="51" t="s">
        <v>5635</v>
      </c>
      <c r="E2142" s="50">
        <v>5077</v>
      </c>
      <c r="F2142" s="50">
        <v>4948</v>
      </c>
      <c r="G2142" s="50" t="s">
        <v>3955</v>
      </c>
      <c r="H2142" s="50"/>
      <c r="I2142" s="105"/>
      <c r="J2142" s="50"/>
      <c r="K2142" s="50" t="s">
        <v>32</v>
      </c>
      <c r="L2142" s="50"/>
      <c r="M2142" s="50" t="s">
        <v>148</v>
      </c>
      <c r="N2142" s="50"/>
      <c r="O2142" s="50"/>
      <c r="P2142" s="50"/>
      <c r="Q2142" s="50"/>
      <c r="R2142" s="50"/>
      <c r="S2142" s="50" t="str">
        <f t="shared" si="205"/>
        <v/>
      </c>
      <c r="T2142" s="50" t="str">
        <f>IF(
    OR(ISBLANK(O2142), ISBLANK(P2142)),
    "",
    MAX(1, IF(
        NETWORKDAYS(O2142, P2142) &lt;= 0,
        1,
        NETWORKDAYS(O2142, P2142) - IF(O2142 = P2142, 0, 1)
    ))
)</f>
        <v/>
      </c>
      <c r="U2142" s="50" t="str">
        <f>IF(
    OR(ISBLANK(P2142), ISBLANK(Q2142)),
    "",
    MAX(1, IF(
        NETWORKDAYS(P2142, Q2142) &lt;= 0,
        1,
        NETWORKDAYS(P2142, Q2142) - IF(P2142 = Q2142, 0, 1)
    ))
)</f>
        <v/>
      </c>
      <c r="V2142" s="50" t="str">
        <f t="shared" si="206"/>
        <v/>
      </c>
      <c r="W2142" s="50"/>
      <c r="X2142" s="50"/>
      <c r="Y2142" s="50"/>
      <c r="Z2142" s="50"/>
      <c r="AA2142" s="50"/>
    </row>
    <row r="2143" spans="1:27" ht="25.5" customHeight="1">
      <c r="A2143" s="517" t="s">
        <v>778</v>
      </c>
      <c r="B2143" s="51" t="s">
        <v>1395</v>
      </c>
      <c r="C2143" s="51" t="s">
        <v>143</v>
      </c>
      <c r="D2143" s="51" t="s">
        <v>1148</v>
      </c>
      <c r="E2143" s="50">
        <v>6752</v>
      </c>
      <c r="F2143" s="50">
        <v>7593</v>
      </c>
      <c r="G2143" s="50" t="s">
        <v>3955</v>
      </c>
      <c r="H2143" s="50"/>
      <c r="I2143" s="105"/>
      <c r="J2143" s="50"/>
      <c r="K2143" s="50" t="s">
        <v>32</v>
      </c>
      <c r="L2143" s="50"/>
      <c r="M2143" s="50" t="s">
        <v>148</v>
      </c>
      <c r="N2143" s="50"/>
      <c r="O2143" s="50"/>
      <c r="P2143" s="50"/>
      <c r="Q2143" s="50"/>
      <c r="R2143" s="50"/>
      <c r="S2143" s="50" t="str">
        <f t="shared" si="205"/>
        <v/>
      </c>
      <c r="T2143" s="50" t="str">
        <f>IF(
    OR(ISBLANK(O2143), ISBLANK(P2143)),
    "",
    MAX(1, IF(
        NETWORKDAYS(O2143, P2143) &lt;= 0,
        1,
        NETWORKDAYS(O2143, P2143) - IF(O2143 = P2143, 0, 1)
    ))
)</f>
        <v/>
      </c>
      <c r="U2143" s="50" t="str">
        <f>IF(
    OR(ISBLANK(P2143), ISBLANK(Q2143)),
    "",
    MAX(1, IF(
        NETWORKDAYS(P2143, Q2143) &lt;= 0,
        1,
        NETWORKDAYS(P2143, Q2143) - IF(P2143 = Q2143, 0, 1)
    ))
)</f>
        <v/>
      </c>
      <c r="V2143" s="50" t="str">
        <f t="shared" si="206"/>
        <v/>
      </c>
      <c r="W2143" s="50"/>
      <c r="X2143" s="50"/>
      <c r="Y2143" s="50"/>
      <c r="Z2143" s="50"/>
      <c r="AA2143" s="50"/>
    </row>
    <row r="2144" spans="1:27" ht="25.5" customHeight="1">
      <c r="A2144" s="517" t="s">
        <v>778</v>
      </c>
      <c r="B2144" s="51" t="s">
        <v>1395</v>
      </c>
      <c r="C2144" s="51" t="s">
        <v>143</v>
      </c>
      <c r="D2144" s="51" t="s">
        <v>1180</v>
      </c>
      <c r="E2144" s="50">
        <v>24786</v>
      </c>
      <c r="F2144" s="50">
        <v>26787</v>
      </c>
      <c r="G2144" s="50" t="s">
        <v>3404</v>
      </c>
      <c r="H2144" s="50">
        <v>2025</v>
      </c>
      <c r="I2144" s="132">
        <v>45792</v>
      </c>
      <c r="J2144" s="50" t="s">
        <v>3532</v>
      </c>
      <c r="K2144" s="50" t="s">
        <v>32</v>
      </c>
      <c r="L2144" s="50"/>
      <c r="M2144" s="50" t="s">
        <v>148</v>
      </c>
      <c r="N2144" s="50" t="s">
        <v>5636</v>
      </c>
      <c r="O2144" s="60">
        <v>45792</v>
      </c>
      <c r="P2144" s="50"/>
      <c r="Q2144" s="60">
        <v>45793</v>
      </c>
      <c r="R2144" s="60">
        <v>45793</v>
      </c>
      <c r="S2144" s="50">
        <f t="shared" si="205"/>
        <v>1</v>
      </c>
      <c r="T2144" s="50" t="str">
        <f>IF(
    OR(ISBLANK(O2144), ISBLANK(P2144)),
    "",
    MAX(1, IF(
        NETWORKDAYS(O2144, P2144) &lt;= 0,
        1,
        NETWORKDAYS(O2144, P2144) - IF(O2144 = QP2144, 0, 1)
    ))
)</f>
        <v/>
      </c>
      <c r="U2144" s="50">
        <f>IF(
    OR(ISBLANK(1816), ISBLANK(Q2144)),
    "",
    MAX(1, IF(
        NETWORKDAYS(O2144, Q2144) &lt;= 0,
        1,
        NETWORKDAYS(O2144, Q2144) - IF(O2144 = Q2144, 0, 1)
    ))
)</f>
        <v>1</v>
      </c>
      <c r="V2144" s="50">
        <f t="shared" si="206"/>
        <v>1</v>
      </c>
      <c r="W2144" s="50" t="s">
        <v>150</v>
      </c>
      <c r="X2144" s="50" t="s">
        <v>3527</v>
      </c>
      <c r="Y2144" s="50" t="s">
        <v>3528</v>
      </c>
      <c r="Z2144" s="50" t="s">
        <v>3406</v>
      </c>
      <c r="AA2144" s="50"/>
    </row>
    <row r="2145" spans="1:27" ht="25.5" customHeight="1">
      <c r="A2145" s="517" t="s">
        <v>778</v>
      </c>
      <c r="B2145" s="51" t="s">
        <v>1395</v>
      </c>
      <c r="C2145" s="51" t="s">
        <v>143</v>
      </c>
      <c r="D2145" s="51" t="s">
        <v>858</v>
      </c>
      <c r="E2145" s="50">
        <v>3579</v>
      </c>
      <c r="F2145" s="50">
        <v>3563</v>
      </c>
      <c r="G2145" s="50" t="s">
        <v>3955</v>
      </c>
      <c r="H2145" s="50"/>
      <c r="I2145" s="105"/>
      <c r="J2145" s="50"/>
      <c r="K2145" s="50" t="s">
        <v>32</v>
      </c>
      <c r="L2145" s="50"/>
      <c r="M2145" s="50" t="s">
        <v>148</v>
      </c>
      <c r="N2145" s="50"/>
      <c r="O2145" s="50"/>
      <c r="P2145" s="50"/>
      <c r="Q2145" s="50"/>
      <c r="R2145" s="50"/>
      <c r="S2145" s="50" t="str">
        <f t="shared" si="205"/>
        <v/>
      </c>
      <c r="T2145" s="50" t="str">
        <f>IF(
    OR(ISBLANK(O2145), ISBLANK(P2145)),
    "",
    MAX(1, IF(
        NETWORKDAYS(O2145, P2145) &lt;= 0,
        1,
        NETWORKDAYS(O2145, P2145) - IF(O2145 = P2145, 0, 1)
    ))
)</f>
        <v/>
      </c>
      <c r="U2145" s="50" t="str">
        <f>IF(
    OR(ISBLANK(P2145), ISBLANK(Q2145)),
    "",
    MAX(1, IF(
        NETWORKDAYS(P2145, Q2145) &lt;= 0,
        1,
        NETWORKDAYS(P2145, Q2145) - IF(P2145 = Q2145, 0, 1)
    ))
)</f>
        <v/>
      </c>
      <c r="V2145" s="50" t="str">
        <f t="shared" si="206"/>
        <v/>
      </c>
      <c r="W2145" s="50"/>
      <c r="X2145" s="50"/>
      <c r="Y2145" s="50"/>
      <c r="Z2145" s="50"/>
      <c r="AA2145" s="50"/>
    </row>
    <row r="2146" spans="1:27" ht="25.5" customHeight="1">
      <c r="A2146" s="50" t="s">
        <v>778</v>
      </c>
      <c r="B2146" s="51" t="s">
        <v>1395</v>
      </c>
      <c r="C2146" s="51" t="s">
        <v>143</v>
      </c>
      <c r="D2146" s="51" t="s">
        <v>1151</v>
      </c>
      <c r="E2146" s="50">
        <v>2714</v>
      </c>
      <c r="F2146" s="50">
        <v>2790</v>
      </c>
      <c r="G2146" s="50" t="s">
        <v>3404</v>
      </c>
      <c r="H2146" s="50">
        <v>2024</v>
      </c>
      <c r="I2146" s="132">
        <v>45539</v>
      </c>
      <c r="J2146" s="50"/>
      <c r="K2146" s="50" t="s">
        <v>32</v>
      </c>
      <c r="L2146" s="50"/>
      <c r="M2146" s="50" t="s">
        <v>148</v>
      </c>
      <c r="N2146" s="50"/>
      <c r="O2146" s="50"/>
      <c r="P2146" s="50"/>
      <c r="Q2146" s="50"/>
      <c r="R2146" s="50"/>
      <c r="S2146" s="50" t="str">
        <f t="shared" si="205"/>
        <v/>
      </c>
      <c r="T2146" s="50" t="str">
        <f>IF(
    OR(ISBLANK(O2146), ISBLANK(P2146)),
    "",
    MAX(1, IF(
        NETWORKDAYS(O2146, P2146) &lt;= 0,
        1,
        NETWORKDAYS(O2146, P2146) - IF(O2146 = P2146, 0, 1)
    ))
)</f>
        <v/>
      </c>
      <c r="U2146" s="50" t="str">
        <f>IF(
    OR(ISBLANK(P2146), ISBLANK(Q2146)),
    "",
    MAX(1, IF(
        NETWORKDAYS(P2146, Q2146) &lt;= 0,
        1,
        NETWORKDAYS(P2146, Q2146) - IF(P2146 = Q2146, 0, 1)
    ))
)</f>
        <v/>
      </c>
      <c r="V2146" s="50" t="str">
        <f t="shared" si="206"/>
        <v/>
      </c>
      <c r="W2146" s="50"/>
      <c r="X2146" s="50" t="s">
        <v>4</v>
      </c>
      <c r="Y2146" s="50" t="s">
        <v>50</v>
      </c>
      <c r="Z2146" s="50" t="s">
        <v>3406</v>
      </c>
      <c r="AA2146" s="50"/>
    </row>
    <row r="2147" spans="1:27" ht="25.5" customHeight="1">
      <c r="A2147" s="517" t="s">
        <v>778</v>
      </c>
      <c r="B2147" s="51" t="s">
        <v>1395</v>
      </c>
      <c r="C2147" s="51" t="s">
        <v>143</v>
      </c>
      <c r="D2147" s="51" t="s">
        <v>5576</v>
      </c>
      <c r="E2147" s="50">
        <v>3458</v>
      </c>
      <c r="F2147" s="50">
        <v>3576</v>
      </c>
      <c r="G2147" s="50" t="s">
        <v>3404</v>
      </c>
      <c r="H2147" s="50">
        <v>2025</v>
      </c>
      <c r="I2147" s="132">
        <v>45734</v>
      </c>
      <c r="J2147" s="50" t="s">
        <v>3416</v>
      </c>
      <c r="K2147" s="50" t="s">
        <v>32</v>
      </c>
      <c r="L2147" s="50"/>
      <c r="M2147" s="50" t="s">
        <v>148</v>
      </c>
      <c r="N2147" s="53" t="s">
        <v>5637</v>
      </c>
      <c r="O2147" s="60">
        <v>45734</v>
      </c>
      <c r="P2147" s="50"/>
      <c r="Q2147" s="60">
        <v>45734</v>
      </c>
      <c r="R2147" s="60">
        <v>45735</v>
      </c>
      <c r="S2147" s="50">
        <f t="shared" si="205"/>
        <v>1</v>
      </c>
      <c r="T2147" s="50" t="str">
        <f>IF(
    OR(ISBLANK(O2147), ISBLANK(P2147)),
    "",
    MAX(1, IF(
        NETWORKDAYS(O2147, P2147) &lt;= 0,
        1,
        NETWORKDAYS(O2147, P2147) - IF(O2147 = QP2147, 0, 1)
    ))
)</f>
        <v/>
      </c>
      <c r="U2147" s="50">
        <f>IF(
    OR(ISBLANK(1816), ISBLANK(Q2147)),
    "",
    MAX(1, IF(
        NETWORKDAYS(O2147, Q2147) &lt;= 0,
        1,
        NETWORKDAYS(O2147, Q2147) - IF(O2147 = Q2147, 0, 1)
    ))
)</f>
        <v>1</v>
      </c>
      <c r="V2147" s="50">
        <f t="shared" si="206"/>
        <v>1</v>
      </c>
      <c r="W2147" s="50" t="s">
        <v>150</v>
      </c>
      <c r="X2147" s="50" t="s">
        <v>3527</v>
      </c>
      <c r="Y2147" s="50" t="s">
        <v>3528</v>
      </c>
      <c r="Z2147" s="50" t="s">
        <v>3406</v>
      </c>
      <c r="AA2147" s="50"/>
    </row>
    <row r="2148" spans="1:27" ht="25.5" customHeight="1">
      <c r="A2148" s="517" t="s">
        <v>778</v>
      </c>
      <c r="B2148" s="51" t="s">
        <v>1395</v>
      </c>
      <c r="C2148" s="51" t="s">
        <v>143</v>
      </c>
      <c r="D2148" s="51" t="s">
        <v>5552</v>
      </c>
      <c r="E2148" s="50">
        <v>2856</v>
      </c>
      <c r="F2148" s="50">
        <v>4288</v>
      </c>
      <c r="G2148" s="50" t="s">
        <v>3955</v>
      </c>
      <c r="H2148" s="50"/>
      <c r="I2148" s="105"/>
      <c r="J2148" s="50"/>
      <c r="K2148" s="50" t="s">
        <v>32</v>
      </c>
      <c r="L2148" s="50"/>
      <c r="M2148" s="50" t="s">
        <v>148</v>
      </c>
      <c r="N2148" s="19"/>
      <c r="O2148" s="50"/>
      <c r="P2148" s="50"/>
      <c r="Q2148" s="50"/>
      <c r="R2148" s="50"/>
      <c r="S2148" s="50" t="str">
        <f t="shared" si="205"/>
        <v/>
      </c>
      <c r="T2148" s="50" t="str">
        <f t="shared" ref="T2148:U2150" si="210">IF(
    OR(ISBLANK(O2148), ISBLANK(P2148)),
    "",
    MAX(1, IF(
        NETWORKDAYS(O2148, P2148) &lt;= 0,
        1,
        NETWORKDAYS(O2148, P2148) - IF(O2148 = P2148, 0, 1)
    ))
)</f>
        <v/>
      </c>
      <c r="U2148" s="50" t="str">
        <f t="shared" si="210"/>
        <v/>
      </c>
      <c r="V2148" s="50" t="str">
        <f t="shared" si="206"/>
        <v/>
      </c>
      <c r="W2148" s="50"/>
      <c r="X2148" s="50"/>
      <c r="Y2148" s="50"/>
      <c r="Z2148" s="50"/>
      <c r="AA2148" s="50"/>
    </row>
    <row r="2149" spans="1:27" ht="25.5" customHeight="1">
      <c r="A2149" s="50" t="s">
        <v>778</v>
      </c>
      <c r="B2149" s="51" t="s">
        <v>1395</v>
      </c>
      <c r="C2149" s="51" t="s">
        <v>143</v>
      </c>
      <c r="D2149" s="51" t="s">
        <v>5638</v>
      </c>
      <c r="E2149" s="50">
        <v>3420</v>
      </c>
      <c r="F2149" s="50">
        <v>4389</v>
      </c>
      <c r="G2149" s="50" t="s">
        <v>3404</v>
      </c>
      <c r="H2149" s="50">
        <v>2024</v>
      </c>
      <c r="I2149" s="132">
        <v>45539</v>
      </c>
      <c r="J2149" s="50"/>
      <c r="K2149" s="50" t="s">
        <v>32</v>
      </c>
      <c r="L2149" s="50"/>
      <c r="M2149" s="50" t="s">
        <v>148</v>
      </c>
      <c r="N2149" s="50"/>
      <c r="O2149" s="50"/>
      <c r="P2149" s="50"/>
      <c r="Q2149" s="50"/>
      <c r="R2149" s="50"/>
      <c r="S2149" s="50" t="str">
        <f t="shared" si="205"/>
        <v/>
      </c>
      <c r="T2149" s="50" t="str">
        <f t="shared" si="210"/>
        <v/>
      </c>
      <c r="U2149" s="50" t="str">
        <f t="shared" si="210"/>
        <v/>
      </c>
      <c r="V2149" s="50" t="str">
        <f t="shared" si="206"/>
        <v/>
      </c>
      <c r="W2149" s="50"/>
      <c r="X2149" s="50" t="s">
        <v>4</v>
      </c>
      <c r="Y2149" s="50" t="s">
        <v>50</v>
      </c>
      <c r="Z2149" s="50" t="s">
        <v>3406</v>
      </c>
      <c r="AA2149" s="50"/>
    </row>
    <row r="2150" spans="1:27" ht="25.5" customHeight="1">
      <c r="A2150" s="50" t="s">
        <v>778</v>
      </c>
      <c r="B2150" s="51" t="s">
        <v>1395</v>
      </c>
      <c r="C2150" s="51" t="s">
        <v>143</v>
      </c>
      <c r="D2150" s="51" t="s">
        <v>5639</v>
      </c>
      <c r="E2150" s="50">
        <v>1760</v>
      </c>
      <c r="F2150" s="50">
        <v>1756</v>
      </c>
      <c r="G2150" s="50" t="s">
        <v>3404</v>
      </c>
      <c r="H2150" s="50">
        <v>2024</v>
      </c>
      <c r="I2150" s="132">
        <v>45576</v>
      </c>
      <c r="J2150" s="50"/>
      <c r="K2150" s="50" t="s">
        <v>32</v>
      </c>
      <c r="L2150" s="50"/>
      <c r="M2150" s="50" t="s">
        <v>148</v>
      </c>
      <c r="N2150" s="50"/>
      <c r="O2150" s="50"/>
      <c r="P2150" s="50"/>
      <c r="Q2150" s="50"/>
      <c r="R2150" s="50"/>
      <c r="S2150" s="50" t="str">
        <f t="shared" si="205"/>
        <v/>
      </c>
      <c r="T2150" s="50" t="str">
        <f t="shared" si="210"/>
        <v/>
      </c>
      <c r="U2150" s="50" t="str">
        <f t="shared" si="210"/>
        <v/>
      </c>
      <c r="V2150" s="50" t="str">
        <f t="shared" si="206"/>
        <v/>
      </c>
      <c r="W2150" s="50"/>
      <c r="X2150" s="50" t="s">
        <v>4</v>
      </c>
      <c r="Y2150" s="50" t="s">
        <v>50</v>
      </c>
      <c r="Z2150" s="50" t="s">
        <v>3406</v>
      </c>
      <c r="AA2150" s="50"/>
    </row>
    <row r="2151" spans="1:27" ht="25.5" customHeight="1">
      <c r="A2151" s="517" t="s">
        <v>778</v>
      </c>
      <c r="B2151" s="51" t="s">
        <v>1395</v>
      </c>
      <c r="C2151" s="51" t="s">
        <v>143</v>
      </c>
      <c r="D2151" s="51" t="s">
        <v>5640</v>
      </c>
      <c r="E2151" s="50">
        <v>2052</v>
      </c>
      <c r="F2151" s="50">
        <v>1962</v>
      </c>
      <c r="G2151" s="50" t="s">
        <v>3404</v>
      </c>
      <c r="H2151" s="50">
        <v>2025</v>
      </c>
      <c r="I2151" s="132">
        <v>45913</v>
      </c>
      <c r="J2151" s="50" t="s">
        <v>3127</v>
      </c>
      <c r="K2151" s="50" t="s">
        <v>32</v>
      </c>
      <c r="L2151" s="50"/>
      <c r="M2151" s="50" t="s">
        <v>148</v>
      </c>
      <c r="N2151" s="50" t="s">
        <v>5641</v>
      </c>
      <c r="O2151" s="60">
        <v>45917</v>
      </c>
      <c r="P2151" s="50"/>
      <c r="Q2151" s="60">
        <v>45917</v>
      </c>
      <c r="R2151" s="60">
        <v>45918</v>
      </c>
      <c r="S2151" s="50">
        <f t="shared" si="205"/>
        <v>2</v>
      </c>
      <c r="T2151" s="50" t="str">
        <f>IF(
    OR(ISBLANK(O2151), ISBLANK(P2151)),
    "",
    MAX(1, IF(
        NETWORKDAYS(O2151, P2151) &lt;= 0,
        1,
        NETWORKDAYS(O2151, P2151) - IF(O2151 = QP2151, 0, 1)
    ))
)</f>
        <v/>
      </c>
      <c r="U2151" s="50">
        <f>IF(
    OR(ISBLANK(1816), ISBLANK(Q2151)),
    "",
    MAX(1, IF(
        NETWORKDAYS(O2151, Q2151) &lt;= 0,
        1,
        NETWORKDAYS(O2151, Q2151) - IF(O2151 = Q2151, 0, 1)
    ))
)</f>
        <v>1</v>
      </c>
      <c r="V2151" s="50">
        <f t="shared" si="206"/>
        <v>1</v>
      </c>
      <c r="W2151" s="50" t="s">
        <v>150</v>
      </c>
      <c r="X2151" s="50" t="s">
        <v>4</v>
      </c>
      <c r="Y2151" s="50" t="s">
        <v>50</v>
      </c>
      <c r="Z2151" s="50" t="s">
        <v>3406</v>
      </c>
      <c r="AA2151" s="50"/>
    </row>
    <row r="2152" spans="1:27" ht="25.5" customHeight="1">
      <c r="A2152" s="50" t="s">
        <v>778</v>
      </c>
      <c r="B2152" s="51" t="s">
        <v>1395</v>
      </c>
      <c r="C2152" s="51" t="s">
        <v>143</v>
      </c>
      <c r="D2152" s="51" t="s">
        <v>3974</v>
      </c>
      <c r="E2152" s="50">
        <v>2525</v>
      </c>
      <c r="F2152" s="50">
        <v>2833</v>
      </c>
      <c r="G2152" s="50" t="s">
        <v>3404</v>
      </c>
      <c r="H2152" s="50">
        <v>2024</v>
      </c>
      <c r="I2152" s="132">
        <v>45576</v>
      </c>
      <c r="J2152" s="50"/>
      <c r="K2152" s="50" t="s">
        <v>32</v>
      </c>
      <c r="L2152" s="50"/>
      <c r="M2152" s="50" t="s">
        <v>148</v>
      </c>
      <c r="N2152" s="50"/>
      <c r="O2152" s="50"/>
      <c r="P2152" s="50"/>
      <c r="Q2152" s="50"/>
      <c r="R2152" s="50"/>
      <c r="S2152" s="50" t="str">
        <f t="shared" si="205"/>
        <v/>
      </c>
      <c r="T2152" s="50" t="str">
        <f>IF(
    OR(ISBLANK(O2152), ISBLANK(P2152)),
    "",
    MAX(1, IF(
        NETWORKDAYS(O2152, P2152) &lt;= 0,
        1,
        NETWORKDAYS(O2152, P2152) - IF(O2152 = P2152, 0, 1)
    ))
)</f>
        <v/>
      </c>
      <c r="U2152" s="50" t="str">
        <f>IF(
    OR(ISBLANK(P2152), ISBLANK(Q2152)),
    "",
    MAX(1, IF(
        NETWORKDAYS(P2152, Q2152) &lt;= 0,
        1,
        NETWORKDAYS(P2152, Q2152) - IF(P2152 = Q2152, 0, 1)
    ))
)</f>
        <v/>
      </c>
      <c r="V2152" s="50" t="str">
        <f t="shared" si="206"/>
        <v/>
      </c>
      <c r="W2152" s="50"/>
      <c r="X2152" s="50" t="s">
        <v>4</v>
      </c>
      <c r="Y2152" s="50" t="s">
        <v>50</v>
      </c>
      <c r="Z2152" s="50" t="s">
        <v>3406</v>
      </c>
      <c r="AA2152" s="50"/>
    </row>
    <row r="2153" spans="1:27" ht="25.5" customHeight="1">
      <c r="A2153" s="517" t="s">
        <v>778</v>
      </c>
      <c r="B2153" s="51" t="s">
        <v>1395</v>
      </c>
      <c r="C2153" s="51" t="s">
        <v>143</v>
      </c>
      <c r="D2153" s="51" t="s">
        <v>1166</v>
      </c>
      <c r="E2153" s="50">
        <v>3726</v>
      </c>
      <c r="F2153" s="50">
        <v>4305</v>
      </c>
      <c r="G2153" s="50" t="s">
        <v>3404</v>
      </c>
      <c r="H2153" s="50">
        <v>2025</v>
      </c>
      <c r="I2153" s="132">
        <v>45699</v>
      </c>
      <c r="J2153" s="50" t="s">
        <v>3458</v>
      </c>
      <c r="K2153" s="50" t="s">
        <v>32</v>
      </c>
      <c r="L2153" s="50"/>
      <c r="M2153" s="50" t="s">
        <v>148</v>
      </c>
      <c r="N2153" s="50" t="s">
        <v>5642</v>
      </c>
      <c r="O2153" s="60">
        <v>45702</v>
      </c>
      <c r="P2153" s="50"/>
      <c r="Q2153" s="60">
        <v>45705</v>
      </c>
      <c r="R2153" s="60">
        <v>45706</v>
      </c>
      <c r="S2153" s="50">
        <f t="shared" si="205"/>
        <v>3</v>
      </c>
      <c r="T2153" s="50" t="str">
        <f>IF(
    OR(ISBLANK(O2153), ISBLANK(P2153)),
    "",
    MAX(1, IF(
        NETWORKDAYS(O2153, P2153) &lt;= 0,
        1,
        NETWORKDAYS(O2153, P2153) - IF(O2153 = QP2153, 0, 1)
    ))
)</f>
        <v/>
      </c>
      <c r="U2153" s="50">
        <f>IF(
    OR(ISBLANK(1816), ISBLANK(Q2153)),
    "",
    MAX(1, IF(
        NETWORKDAYS(O2153, Q2153) &lt;= 0,
        1,
        NETWORKDAYS(O2153, Q2153) - IF(O2153 = Q2153, 0, 1)
    ))
)</f>
        <v>1</v>
      </c>
      <c r="V2153" s="50">
        <f t="shared" si="206"/>
        <v>1</v>
      </c>
      <c r="W2153" s="50" t="s">
        <v>150</v>
      </c>
      <c r="X2153" s="50" t="s">
        <v>4</v>
      </c>
      <c r="Y2153" s="50" t="s">
        <v>57</v>
      </c>
      <c r="Z2153" s="50" t="s">
        <v>3406</v>
      </c>
      <c r="AA2153" s="50"/>
    </row>
    <row r="2154" spans="1:27" ht="25.5" customHeight="1">
      <c r="A2154" s="50" t="s">
        <v>778</v>
      </c>
      <c r="B2154" s="51" t="s">
        <v>1395</v>
      </c>
      <c r="C2154" s="51" t="s">
        <v>143</v>
      </c>
      <c r="D2154" s="51" t="s">
        <v>3937</v>
      </c>
      <c r="E2154" s="50">
        <v>6396</v>
      </c>
      <c r="F2154" s="50">
        <v>7318</v>
      </c>
      <c r="G2154" s="50" t="s">
        <v>3404</v>
      </c>
      <c r="H2154" s="50">
        <v>2024</v>
      </c>
      <c r="I2154" s="132">
        <v>45576</v>
      </c>
      <c r="J2154" s="50"/>
      <c r="K2154" s="50" t="s">
        <v>32</v>
      </c>
      <c r="L2154" s="50"/>
      <c r="M2154" s="50" t="s">
        <v>148</v>
      </c>
      <c r="N2154" s="50"/>
      <c r="O2154" s="50"/>
      <c r="P2154" s="50"/>
      <c r="Q2154" s="50"/>
      <c r="R2154" s="50"/>
      <c r="S2154" s="50" t="str">
        <f t="shared" si="205"/>
        <v/>
      </c>
      <c r="T2154" s="50" t="str">
        <f t="shared" ref="T2154:U2157" si="211">IF(
    OR(ISBLANK(O2154), ISBLANK(P2154)),
    "",
    MAX(1, IF(
        NETWORKDAYS(O2154, P2154) &lt;= 0,
        1,
        NETWORKDAYS(O2154, P2154) - IF(O2154 = P2154, 0, 1)
    ))
)</f>
        <v/>
      </c>
      <c r="U2154" s="50" t="str">
        <f t="shared" si="211"/>
        <v/>
      </c>
      <c r="V2154" s="50" t="str">
        <f t="shared" si="206"/>
        <v/>
      </c>
      <c r="W2154" s="50"/>
      <c r="X2154" s="50" t="s">
        <v>4</v>
      </c>
      <c r="Y2154" s="50" t="s">
        <v>50</v>
      </c>
      <c r="Z2154" s="50" t="s">
        <v>3406</v>
      </c>
      <c r="AA2154" s="50"/>
    </row>
    <row r="2155" spans="1:27" ht="25.5" customHeight="1">
      <c r="A2155" s="50" t="s">
        <v>778</v>
      </c>
      <c r="B2155" s="51" t="s">
        <v>1395</v>
      </c>
      <c r="C2155" s="51" t="s">
        <v>143</v>
      </c>
      <c r="D2155" s="51" t="s">
        <v>3565</v>
      </c>
      <c r="E2155" s="50">
        <v>8883</v>
      </c>
      <c r="F2155" s="50">
        <v>9673</v>
      </c>
      <c r="G2155" s="50" t="s">
        <v>3404</v>
      </c>
      <c r="H2155" s="50">
        <v>2024</v>
      </c>
      <c r="I2155" s="132">
        <v>45482</v>
      </c>
      <c r="J2155" s="50"/>
      <c r="K2155" s="50" t="s">
        <v>32</v>
      </c>
      <c r="L2155" s="50"/>
      <c r="M2155" s="50" t="s">
        <v>148</v>
      </c>
      <c r="N2155" s="50"/>
      <c r="O2155" s="50"/>
      <c r="P2155" s="50"/>
      <c r="Q2155" s="50"/>
      <c r="R2155" s="50"/>
      <c r="S2155" s="50" t="str">
        <f t="shared" si="205"/>
        <v/>
      </c>
      <c r="T2155" s="50" t="str">
        <f t="shared" si="211"/>
        <v/>
      </c>
      <c r="U2155" s="50" t="str">
        <f t="shared" si="211"/>
        <v/>
      </c>
      <c r="V2155" s="50" t="str">
        <f t="shared" si="206"/>
        <v/>
      </c>
      <c r="W2155" s="50"/>
      <c r="X2155" s="50" t="s">
        <v>4</v>
      </c>
      <c r="Y2155" s="50" t="s">
        <v>57</v>
      </c>
      <c r="Z2155" s="50" t="s">
        <v>3406</v>
      </c>
      <c r="AA2155" s="50"/>
    </row>
    <row r="2156" spans="1:27" ht="25.5" customHeight="1">
      <c r="A2156" s="517" t="s">
        <v>778</v>
      </c>
      <c r="B2156" s="51" t="s">
        <v>1395</v>
      </c>
      <c r="C2156" s="51" t="s">
        <v>143</v>
      </c>
      <c r="D2156" s="51" t="s">
        <v>4950</v>
      </c>
      <c r="E2156" s="50">
        <v>2740</v>
      </c>
      <c r="F2156" s="50">
        <v>2974</v>
      </c>
      <c r="G2156" s="50" t="s">
        <v>3955</v>
      </c>
      <c r="H2156" s="50"/>
      <c r="I2156" s="105"/>
      <c r="J2156" s="50"/>
      <c r="K2156" s="50" t="s">
        <v>32</v>
      </c>
      <c r="L2156" s="50"/>
      <c r="M2156" s="50" t="s">
        <v>148</v>
      </c>
      <c r="N2156" s="50"/>
      <c r="O2156" s="50"/>
      <c r="P2156" s="50"/>
      <c r="Q2156" s="50"/>
      <c r="R2156" s="50"/>
      <c r="S2156" s="50" t="str">
        <f t="shared" si="205"/>
        <v/>
      </c>
      <c r="T2156" s="50" t="str">
        <f t="shared" si="211"/>
        <v/>
      </c>
      <c r="U2156" s="50" t="str">
        <f t="shared" si="211"/>
        <v/>
      </c>
      <c r="V2156" s="50" t="str">
        <f t="shared" si="206"/>
        <v/>
      </c>
      <c r="W2156" s="50"/>
      <c r="X2156" s="50"/>
      <c r="Y2156" s="50"/>
      <c r="Z2156" s="50"/>
      <c r="AA2156" s="50"/>
    </row>
    <row r="2157" spans="1:27" ht="25.5" customHeight="1">
      <c r="A2157" s="50" t="s">
        <v>778</v>
      </c>
      <c r="B2157" s="51" t="s">
        <v>1395</v>
      </c>
      <c r="C2157" s="51" t="s">
        <v>143</v>
      </c>
      <c r="D2157" s="51" t="s">
        <v>3727</v>
      </c>
      <c r="E2157" s="50">
        <v>3185</v>
      </c>
      <c r="F2157" s="50">
        <v>3494</v>
      </c>
      <c r="G2157" s="50" t="s">
        <v>3404</v>
      </c>
      <c r="H2157" s="50">
        <v>2024</v>
      </c>
      <c r="I2157" s="132">
        <v>45447</v>
      </c>
      <c r="J2157" s="50"/>
      <c r="K2157" s="50" t="s">
        <v>32</v>
      </c>
      <c r="L2157" s="50"/>
      <c r="M2157" s="50" t="s">
        <v>148</v>
      </c>
      <c r="N2157" s="50"/>
      <c r="O2157" s="50"/>
      <c r="P2157" s="50"/>
      <c r="Q2157" s="50"/>
      <c r="R2157" s="50"/>
      <c r="S2157" s="50" t="str">
        <f t="shared" si="205"/>
        <v/>
      </c>
      <c r="T2157" s="50" t="str">
        <f t="shared" si="211"/>
        <v/>
      </c>
      <c r="U2157" s="50" t="str">
        <f t="shared" si="211"/>
        <v/>
      </c>
      <c r="V2157" s="50" t="str">
        <f t="shared" si="206"/>
        <v/>
      </c>
      <c r="W2157" s="50"/>
      <c r="X2157" s="50"/>
      <c r="Y2157" s="50"/>
      <c r="Z2157" s="50" t="s">
        <v>3406</v>
      </c>
      <c r="AA2157" s="50"/>
    </row>
    <row r="2158" spans="1:27" ht="25.5" customHeight="1">
      <c r="A2158" s="517" t="s">
        <v>778</v>
      </c>
      <c r="B2158" s="51" t="s">
        <v>1395</v>
      </c>
      <c r="C2158" s="51" t="s">
        <v>143</v>
      </c>
      <c r="D2158" s="51" t="s">
        <v>4261</v>
      </c>
      <c r="E2158" s="50">
        <v>4624</v>
      </c>
      <c r="F2158" s="50">
        <v>5235</v>
      </c>
      <c r="G2158" s="50" t="s">
        <v>3404</v>
      </c>
      <c r="H2158" s="50">
        <v>2025</v>
      </c>
      <c r="I2158" s="132">
        <v>45792</v>
      </c>
      <c r="J2158" s="50" t="s">
        <v>3532</v>
      </c>
      <c r="K2158" s="50" t="s">
        <v>32</v>
      </c>
      <c r="L2158" s="50"/>
      <c r="M2158" s="50" t="s">
        <v>148</v>
      </c>
      <c r="N2158" s="50" t="s">
        <v>5643</v>
      </c>
      <c r="O2158" s="60">
        <v>45792</v>
      </c>
      <c r="P2158" s="50"/>
      <c r="Q2158" s="60">
        <v>45793</v>
      </c>
      <c r="R2158" s="60">
        <v>45793</v>
      </c>
      <c r="S2158" s="50">
        <f t="shared" si="205"/>
        <v>1</v>
      </c>
      <c r="T2158" s="50" t="str">
        <f>IF(
    OR(ISBLANK(O2158), ISBLANK(P2158)),
    "",
    MAX(1, IF(
        NETWORKDAYS(O2158, P2158) &lt;= 0,
        1,
        NETWORKDAYS(O2158, P2158) - IF(O2158 = QP2158, 0, 1)
    ))
)</f>
        <v/>
      </c>
      <c r="U2158" s="50">
        <f>IF(
    OR(ISBLANK(1816), ISBLANK(Q2158)),
    "",
    MAX(1, IF(
        NETWORKDAYS(O2158, Q2158) &lt;= 0,
        1,
        NETWORKDAYS(O2158, Q2158) - IF(O2158 = Q2158, 0, 1)
    ))
)</f>
        <v>1</v>
      </c>
      <c r="V2158" s="50">
        <f t="shared" si="206"/>
        <v>1</v>
      </c>
      <c r="W2158" s="50" t="s">
        <v>150</v>
      </c>
      <c r="X2158" s="50" t="s">
        <v>3527</v>
      </c>
      <c r="Y2158" s="50" t="s">
        <v>3528</v>
      </c>
      <c r="Z2158" s="50" t="s">
        <v>3406</v>
      </c>
      <c r="AA2158" s="50"/>
    </row>
    <row r="2159" spans="1:27" ht="25.5" customHeight="1">
      <c r="A2159" s="517" t="s">
        <v>778</v>
      </c>
      <c r="B2159" s="51" t="s">
        <v>1400</v>
      </c>
      <c r="C2159" s="51" t="s">
        <v>143</v>
      </c>
      <c r="D2159" s="51" t="s">
        <v>878</v>
      </c>
      <c r="E2159" s="50">
        <v>1397</v>
      </c>
      <c r="F2159" s="50">
        <v>1773</v>
      </c>
      <c r="G2159" s="50" t="s">
        <v>3955</v>
      </c>
      <c r="H2159" s="50"/>
      <c r="I2159" s="105"/>
      <c r="J2159" s="50"/>
      <c r="K2159" s="50" t="s">
        <v>1345</v>
      </c>
      <c r="L2159" s="50"/>
      <c r="M2159" s="50" t="s">
        <v>148</v>
      </c>
      <c r="N2159" s="50"/>
      <c r="O2159" s="50"/>
      <c r="P2159" s="50"/>
      <c r="Q2159" s="50"/>
      <c r="R2159" s="50"/>
      <c r="S2159" s="50" t="str">
        <f t="shared" si="205"/>
        <v/>
      </c>
      <c r="T2159" s="50" t="str">
        <f t="shared" ref="T2159:U2161" si="212">IF(
    OR(ISBLANK(O2159), ISBLANK(P2159)),
    "",
    MAX(1, IF(
        NETWORKDAYS(O2159, P2159) &lt;= 0,
        1,
        NETWORKDAYS(O2159, P2159) - IF(O2159 = P2159, 0, 1)
    ))
)</f>
        <v/>
      </c>
      <c r="U2159" s="50" t="str">
        <f t="shared" si="212"/>
        <v/>
      </c>
      <c r="V2159" s="50" t="str">
        <f t="shared" si="206"/>
        <v/>
      </c>
      <c r="W2159" s="50"/>
      <c r="X2159" s="50"/>
      <c r="Y2159" s="50"/>
      <c r="Z2159" s="50"/>
      <c r="AA2159" s="50"/>
    </row>
    <row r="2160" spans="1:27" ht="25.5" customHeight="1">
      <c r="A2160" s="50" t="s">
        <v>778</v>
      </c>
      <c r="B2160" s="51" t="s">
        <v>1400</v>
      </c>
      <c r="C2160" s="51" t="s">
        <v>143</v>
      </c>
      <c r="D2160" s="51" t="s">
        <v>5644</v>
      </c>
      <c r="E2160" s="50">
        <v>1708</v>
      </c>
      <c r="F2160" s="50">
        <v>1676</v>
      </c>
      <c r="G2160" s="50" t="s">
        <v>3404</v>
      </c>
      <c r="H2160" s="50">
        <v>2024</v>
      </c>
      <c r="I2160" s="132">
        <v>45545</v>
      </c>
      <c r="J2160" s="50"/>
      <c r="K2160" s="50" t="s">
        <v>1345</v>
      </c>
      <c r="L2160" s="50"/>
      <c r="M2160" s="50" t="s">
        <v>148</v>
      </c>
      <c r="N2160" s="50"/>
      <c r="O2160" s="50"/>
      <c r="P2160" s="50"/>
      <c r="Q2160" s="50"/>
      <c r="R2160" s="50"/>
      <c r="S2160" s="50" t="str">
        <f t="shared" ref="S2160:S2223" si="213">IF(
    OR(ISBLANK(I2160), ISBLANK(O2160)),
    "",
    MAX(1, IF(
        NETWORKDAYS(I2160, O2160) &lt;= 0,
        1,
        NETWORKDAYS(I2160, O2160) - IF(I2160 = O2160, 0, 1)
    ))
)</f>
        <v/>
      </c>
      <c r="T2160" s="50" t="str">
        <f t="shared" si="212"/>
        <v/>
      </c>
      <c r="U2160" s="50" t="str">
        <f t="shared" si="212"/>
        <v/>
      </c>
      <c r="V2160" s="50" t="str">
        <f t="shared" ref="V2160:V2223" si="214">IF(
    OR(ISBLANK(Q2160), ISBLANK(R2160)),
    "",
    MAX(1, IF(
        NETWORKDAYS(Q2160, R2160) &lt;= 0,
        1,
        NETWORKDAYS(Q2160, R2160) - IF(Q2160 = R2160, 0, 1)
    ))
)</f>
        <v/>
      </c>
      <c r="W2160" s="50"/>
      <c r="X2160" s="50" t="s">
        <v>4</v>
      </c>
      <c r="Y2160" s="50" t="s">
        <v>50</v>
      </c>
      <c r="Z2160" s="50" t="s">
        <v>3406</v>
      </c>
      <c r="AA2160" s="50"/>
    </row>
    <row r="2161" spans="1:27" ht="25.5" customHeight="1">
      <c r="A2161" s="517" t="s">
        <v>778</v>
      </c>
      <c r="B2161" s="51" t="s">
        <v>1400</v>
      </c>
      <c r="C2161" s="51" t="s">
        <v>143</v>
      </c>
      <c r="D2161" s="51" t="s">
        <v>5345</v>
      </c>
      <c r="E2161" s="50">
        <v>2094</v>
      </c>
      <c r="F2161" s="50">
        <v>1890</v>
      </c>
      <c r="G2161" s="50" t="s">
        <v>3955</v>
      </c>
      <c r="H2161" s="50"/>
      <c r="I2161" s="105"/>
      <c r="J2161" s="50"/>
      <c r="K2161" s="50" t="s">
        <v>1345</v>
      </c>
      <c r="L2161" s="50"/>
      <c r="M2161" s="50" t="s">
        <v>148</v>
      </c>
      <c r="N2161" s="50"/>
      <c r="O2161" s="50"/>
      <c r="P2161" s="50"/>
      <c r="Q2161" s="50"/>
      <c r="R2161" s="50"/>
      <c r="S2161" s="50" t="str">
        <f t="shared" si="213"/>
        <v/>
      </c>
      <c r="T2161" s="50" t="str">
        <f t="shared" si="212"/>
        <v/>
      </c>
      <c r="U2161" s="50" t="str">
        <f t="shared" si="212"/>
        <v/>
      </c>
      <c r="V2161" s="50" t="str">
        <f t="shared" si="214"/>
        <v/>
      </c>
      <c r="W2161" s="50"/>
      <c r="X2161" s="50"/>
      <c r="Y2161" s="50"/>
      <c r="Z2161" s="50"/>
      <c r="AA2161" s="50"/>
    </row>
    <row r="2162" spans="1:27" ht="25.5" customHeight="1">
      <c r="A2162" s="517" t="s">
        <v>778</v>
      </c>
      <c r="B2162" s="51" t="s">
        <v>1400</v>
      </c>
      <c r="C2162" s="51" t="s">
        <v>143</v>
      </c>
      <c r="D2162" s="51" t="s">
        <v>1945</v>
      </c>
      <c r="E2162" s="50">
        <v>6952</v>
      </c>
      <c r="F2162" s="50">
        <v>6786</v>
      </c>
      <c r="G2162" s="50" t="s">
        <v>3404</v>
      </c>
      <c r="H2162" s="50">
        <v>2025</v>
      </c>
      <c r="I2162" s="132">
        <v>45818</v>
      </c>
      <c r="J2162" s="50" t="s">
        <v>3689</v>
      </c>
      <c r="K2162" s="50" t="s">
        <v>1345</v>
      </c>
      <c r="L2162" s="50" t="s">
        <v>28</v>
      </c>
      <c r="M2162" s="50" t="s">
        <v>148</v>
      </c>
      <c r="N2162" s="50" t="s">
        <v>5645</v>
      </c>
      <c r="O2162" s="60">
        <v>45822</v>
      </c>
      <c r="P2162" s="60">
        <v>45826</v>
      </c>
      <c r="Q2162" s="60">
        <v>45826</v>
      </c>
      <c r="R2162" s="60">
        <v>45826</v>
      </c>
      <c r="S2162" s="50">
        <f t="shared" si="213"/>
        <v>3</v>
      </c>
      <c r="T2162" s="50">
        <f>IF(
    OR(ISBLANK(1811), ISBLANK(P2162)),
    "",
    MAX(1, IF(
        NETWORKDAYS(O2162, P2162) &lt;= 0,
        1,
        NETWORKDAYS(O2162, P2162) - IF(O2162 = P2162, 0, 1)
    ))
)</f>
        <v>2</v>
      </c>
      <c r="U2162" s="50">
        <f t="shared" ref="U2162:U2188" si="215">IF(
    OR(ISBLANK(P2162), ISBLANK(Q2162)),
    "",
    MAX(1, IF(
        NETWORKDAYS(P2162, Q2162) &lt;= 0,
        1,
        NETWORKDAYS(P2162, Q2162) - IF(P2162 = Q2162, 0, 1)
    ))
)</f>
        <v>1</v>
      </c>
      <c r="V2162" s="50">
        <f t="shared" si="214"/>
        <v>1</v>
      </c>
      <c r="W2162" s="50" t="s">
        <v>150</v>
      </c>
      <c r="X2162" s="50" t="s">
        <v>3527</v>
      </c>
      <c r="Y2162" s="50" t="s">
        <v>3528</v>
      </c>
      <c r="Z2162" s="50" t="s">
        <v>3406</v>
      </c>
      <c r="AA2162" s="50"/>
    </row>
    <row r="2163" spans="1:27" ht="25.5" customHeight="1">
      <c r="A2163" s="517" t="s">
        <v>778</v>
      </c>
      <c r="B2163" s="51" t="s">
        <v>1400</v>
      </c>
      <c r="C2163" s="51" t="s">
        <v>143</v>
      </c>
      <c r="D2163" s="51" t="s">
        <v>5646</v>
      </c>
      <c r="E2163" s="50">
        <v>1402</v>
      </c>
      <c r="F2163" s="50">
        <v>1628</v>
      </c>
      <c r="G2163" s="50" t="s">
        <v>3404</v>
      </c>
      <c r="H2163" s="50">
        <v>2025</v>
      </c>
      <c r="I2163" s="132">
        <v>45818</v>
      </c>
      <c r="J2163" s="50" t="s">
        <v>3689</v>
      </c>
      <c r="K2163" s="50" t="s">
        <v>1345</v>
      </c>
      <c r="L2163" s="50" t="s">
        <v>28</v>
      </c>
      <c r="M2163" s="50" t="s">
        <v>148</v>
      </c>
      <c r="N2163" s="50" t="s">
        <v>5647</v>
      </c>
      <c r="O2163" s="60">
        <v>45818</v>
      </c>
      <c r="P2163" s="60">
        <v>45822</v>
      </c>
      <c r="Q2163" s="60">
        <v>45826</v>
      </c>
      <c r="R2163" s="60">
        <v>45826</v>
      </c>
      <c r="S2163" s="50">
        <f t="shared" si="213"/>
        <v>1</v>
      </c>
      <c r="T2163" s="50">
        <f>IF(
    OR(ISBLANK(1811), ISBLANK(P2163)),
    "",
    MAX(1, IF(
        NETWORKDAYS(O2163, P2163) &lt;= 0,
        1,
        NETWORKDAYS(O2163, P2163) - IF(O2163 = P2163, 0, 1)
    ))
)</f>
        <v>3</v>
      </c>
      <c r="U2163" s="50">
        <f t="shared" si="215"/>
        <v>2</v>
      </c>
      <c r="V2163" s="50">
        <f t="shared" si="214"/>
        <v>1</v>
      </c>
      <c r="W2163" s="50" t="s">
        <v>150</v>
      </c>
      <c r="X2163" s="50" t="s">
        <v>3527</v>
      </c>
      <c r="Y2163" s="50" t="s">
        <v>3528</v>
      </c>
      <c r="Z2163" s="50" t="s">
        <v>3406</v>
      </c>
      <c r="AA2163" s="50"/>
    </row>
    <row r="2164" spans="1:27" ht="25.5" customHeight="1">
      <c r="A2164" s="517" t="s">
        <v>778</v>
      </c>
      <c r="B2164" s="51" t="s">
        <v>1400</v>
      </c>
      <c r="C2164" s="51" t="s">
        <v>143</v>
      </c>
      <c r="D2164" s="51" t="s">
        <v>5648</v>
      </c>
      <c r="E2164" s="50">
        <v>1578</v>
      </c>
      <c r="F2164" s="50">
        <v>1618</v>
      </c>
      <c r="G2164" s="50" t="s">
        <v>3404</v>
      </c>
      <c r="H2164" s="50">
        <v>2025</v>
      </c>
      <c r="I2164" s="132">
        <v>45818</v>
      </c>
      <c r="J2164" s="50" t="s">
        <v>3689</v>
      </c>
      <c r="K2164" s="50" t="s">
        <v>1345</v>
      </c>
      <c r="L2164" s="50" t="s">
        <v>28</v>
      </c>
      <c r="M2164" s="50" t="s">
        <v>148</v>
      </c>
      <c r="N2164" s="50" t="s">
        <v>5649</v>
      </c>
      <c r="O2164" s="60">
        <v>45822</v>
      </c>
      <c r="P2164" s="60">
        <v>45826</v>
      </c>
      <c r="Q2164" s="60">
        <v>45826</v>
      </c>
      <c r="R2164" s="60">
        <v>45826</v>
      </c>
      <c r="S2164" s="50">
        <f t="shared" si="213"/>
        <v>3</v>
      </c>
      <c r="T2164" s="50">
        <f>IF(
    OR(ISBLANK(1811), ISBLANK(P2164)),
    "",
    MAX(1, IF(
        NETWORKDAYS(O2164, P2164) &lt;= 0,
        1,
        NETWORKDAYS(O2164, P2164) - IF(O2164 = P2164, 0, 1)
    ))
)</f>
        <v>2</v>
      </c>
      <c r="U2164" s="50">
        <f t="shared" si="215"/>
        <v>1</v>
      </c>
      <c r="V2164" s="50">
        <f t="shared" si="214"/>
        <v>1</v>
      </c>
      <c r="W2164" s="50" t="s">
        <v>150</v>
      </c>
      <c r="X2164" s="50" t="s">
        <v>3527</v>
      </c>
      <c r="Y2164" s="50" t="s">
        <v>3528</v>
      </c>
      <c r="Z2164" s="50" t="s">
        <v>3406</v>
      </c>
      <c r="AA2164" s="50"/>
    </row>
    <row r="2165" spans="1:27" ht="25.5" customHeight="1">
      <c r="A2165" s="50" t="s">
        <v>778</v>
      </c>
      <c r="B2165" s="51" t="s">
        <v>1400</v>
      </c>
      <c r="C2165" s="51" t="s">
        <v>143</v>
      </c>
      <c r="D2165" s="51" t="s">
        <v>5650</v>
      </c>
      <c r="E2165" s="50">
        <v>1412</v>
      </c>
      <c r="F2165" s="50">
        <v>1232</v>
      </c>
      <c r="G2165" s="50" t="s">
        <v>3404</v>
      </c>
      <c r="H2165" s="50">
        <v>2024</v>
      </c>
      <c r="I2165" s="132">
        <v>45545</v>
      </c>
      <c r="J2165" s="50"/>
      <c r="K2165" s="50" t="s">
        <v>1345</v>
      </c>
      <c r="L2165" s="50"/>
      <c r="M2165" s="50" t="s">
        <v>148</v>
      </c>
      <c r="N2165" s="50"/>
      <c r="O2165" s="50"/>
      <c r="P2165" s="50"/>
      <c r="Q2165" s="50"/>
      <c r="R2165" s="50"/>
      <c r="S2165" s="50" t="str">
        <f t="shared" si="213"/>
        <v/>
      </c>
      <c r="T2165" s="50" t="str">
        <f t="shared" ref="T2165:T2170" si="216">IF(
    OR(ISBLANK(O2165), ISBLANK(P2165)),
    "",
    MAX(1, IF(
        NETWORKDAYS(O2165, P2165) &lt;= 0,
        1,
        NETWORKDAYS(O2165, P2165) - IF(O2165 = P2165, 0, 1)
    ))
)</f>
        <v/>
      </c>
      <c r="U2165" s="50" t="str">
        <f t="shared" si="215"/>
        <v/>
      </c>
      <c r="V2165" s="50" t="str">
        <f t="shared" si="214"/>
        <v/>
      </c>
      <c r="W2165" s="50"/>
      <c r="X2165" s="50" t="s">
        <v>4</v>
      </c>
      <c r="Y2165" s="50" t="s">
        <v>50</v>
      </c>
      <c r="Z2165" s="50" t="s">
        <v>3406</v>
      </c>
      <c r="AA2165" s="50"/>
    </row>
    <row r="2166" spans="1:27" ht="25.5" customHeight="1">
      <c r="A2166" s="50" t="s">
        <v>778</v>
      </c>
      <c r="B2166" s="51" t="s">
        <v>1400</v>
      </c>
      <c r="C2166" s="51" t="s">
        <v>143</v>
      </c>
      <c r="D2166" s="51" t="s">
        <v>5651</v>
      </c>
      <c r="E2166" s="50">
        <v>1612</v>
      </c>
      <c r="F2166" s="50">
        <v>1939</v>
      </c>
      <c r="G2166" s="50" t="s">
        <v>3404</v>
      </c>
      <c r="H2166" s="50">
        <v>2024</v>
      </c>
      <c r="I2166" s="132">
        <v>45518</v>
      </c>
      <c r="J2166" s="50"/>
      <c r="K2166" s="50" t="s">
        <v>1345</v>
      </c>
      <c r="L2166" s="50"/>
      <c r="M2166" s="50" t="s">
        <v>148</v>
      </c>
      <c r="N2166" s="50"/>
      <c r="O2166" s="50"/>
      <c r="P2166" s="50"/>
      <c r="Q2166" s="50"/>
      <c r="R2166" s="50"/>
      <c r="S2166" s="50" t="str">
        <f t="shared" si="213"/>
        <v/>
      </c>
      <c r="T2166" s="50" t="str">
        <f t="shared" si="216"/>
        <v/>
      </c>
      <c r="U2166" s="50" t="str">
        <f t="shared" si="215"/>
        <v/>
      </c>
      <c r="V2166" s="50" t="str">
        <f t="shared" si="214"/>
        <v/>
      </c>
      <c r="W2166" s="50"/>
      <c r="X2166" s="50" t="s">
        <v>4</v>
      </c>
      <c r="Y2166" s="50" t="s">
        <v>50</v>
      </c>
      <c r="Z2166" s="50" t="s">
        <v>3406</v>
      </c>
      <c r="AA2166" s="50"/>
    </row>
    <row r="2167" spans="1:27" ht="25.5" customHeight="1">
      <c r="A2167" s="517" t="s">
        <v>778</v>
      </c>
      <c r="B2167" s="51" t="s">
        <v>1400</v>
      </c>
      <c r="C2167" s="51" t="s">
        <v>143</v>
      </c>
      <c r="D2167" s="51" t="s">
        <v>5652</v>
      </c>
      <c r="E2167" s="50">
        <v>2216</v>
      </c>
      <c r="F2167" s="50">
        <v>2507</v>
      </c>
      <c r="G2167" s="50" t="s">
        <v>3955</v>
      </c>
      <c r="H2167" s="50"/>
      <c r="I2167" s="105"/>
      <c r="J2167" s="50"/>
      <c r="K2167" s="50" t="s">
        <v>1345</v>
      </c>
      <c r="L2167" s="50"/>
      <c r="M2167" s="50" t="s">
        <v>148</v>
      </c>
      <c r="N2167" s="50"/>
      <c r="O2167" s="50"/>
      <c r="P2167" s="50"/>
      <c r="Q2167" s="50"/>
      <c r="R2167" s="50"/>
      <c r="S2167" s="50" t="str">
        <f t="shared" si="213"/>
        <v/>
      </c>
      <c r="T2167" s="50" t="str">
        <f t="shared" si="216"/>
        <v/>
      </c>
      <c r="U2167" s="50" t="str">
        <f t="shared" si="215"/>
        <v/>
      </c>
      <c r="V2167" s="50" t="str">
        <f t="shared" si="214"/>
        <v/>
      </c>
      <c r="W2167" s="50"/>
      <c r="X2167" s="50"/>
      <c r="Y2167" s="50"/>
      <c r="Z2167" s="50"/>
      <c r="AA2167" s="50"/>
    </row>
    <row r="2168" spans="1:27" ht="25.5" customHeight="1">
      <c r="A2168" s="517" t="s">
        <v>778</v>
      </c>
      <c r="B2168" s="51" t="s">
        <v>1400</v>
      </c>
      <c r="C2168" s="51" t="s">
        <v>143</v>
      </c>
      <c r="D2168" s="51" t="s">
        <v>5653</v>
      </c>
      <c r="E2168" s="50">
        <v>1999</v>
      </c>
      <c r="F2168" s="50">
        <v>2515</v>
      </c>
      <c r="G2168" s="50" t="s">
        <v>3955</v>
      </c>
      <c r="H2168" s="50"/>
      <c r="I2168" s="105"/>
      <c r="J2168" s="50"/>
      <c r="K2168" s="50" t="s">
        <v>1345</v>
      </c>
      <c r="L2168" s="50"/>
      <c r="M2168" s="50" t="s">
        <v>148</v>
      </c>
      <c r="N2168" s="50"/>
      <c r="O2168" s="50"/>
      <c r="P2168" s="50"/>
      <c r="Q2168" s="50"/>
      <c r="R2168" s="50"/>
      <c r="S2168" s="50" t="str">
        <f t="shared" si="213"/>
        <v/>
      </c>
      <c r="T2168" s="50" t="str">
        <f t="shared" si="216"/>
        <v/>
      </c>
      <c r="U2168" s="50" t="str">
        <f t="shared" si="215"/>
        <v/>
      </c>
      <c r="V2168" s="50" t="str">
        <f t="shared" si="214"/>
        <v/>
      </c>
      <c r="W2168" s="50"/>
      <c r="X2168" s="50"/>
      <c r="Y2168" s="50"/>
      <c r="Z2168" s="50"/>
      <c r="AA2168" s="50"/>
    </row>
    <row r="2169" spans="1:27" ht="25.5" customHeight="1">
      <c r="A2169" s="50" t="s">
        <v>778</v>
      </c>
      <c r="B2169" s="51" t="s">
        <v>1400</v>
      </c>
      <c r="C2169" s="51" t="s">
        <v>143</v>
      </c>
      <c r="D2169" s="51" t="s">
        <v>5654</v>
      </c>
      <c r="E2169" s="50">
        <v>1123</v>
      </c>
      <c r="F2169" s="50">
        <v>1551</v>
      </c>
      <c r="G2169" s="50" t="s">
        <v>3404</v>
      </c>
      <c r="H2169" s="50">
        <v>2024</v>
      </c>
      <c r="I2169" s="132">
        <v>45518</v>
      </c>
      <c r="J2169" s="50"/>
      <c r="K2169" s="50" t="s">
        <v>1345</v>
      </c>
      <c r="L2169" s="50"/>
      <c r="M2169" s="50" t="s">
        <v>148</v>
      </c>
      <c r="N2169" s="50"/>
      <c r="O2169" s="50"/>
      <c r="P2169" s="50"/>
      <c r="Q2169" s="50"/>
      <c r="R2169" s="50"/>
      <c r="S2169" s="50" t="str">
        <f t="shared" si="213"/>
        <v/>
      </c>
      <c r="T2169" s="50" t="str">
        <f t="shared" si="216"/>
        <v/>
      </c>
      <c r="U2169" s="50" t="str">
        <f t="shared" si="215"/>
        <v/>
      </c>
      <c r="V2169" s="50" t="str">
        <f t="shared" si="214"/>
        <v/>
      </c>
      <c r="W2169" s="50"/>
      <c r="X2169" s="50" t="s">
        <v>4</v>
      </c>
      <c r="Y2169" s="50" t="s">
        <v>50</v>
      </c>
      <c r="Z2169" s="50" t="s">
        <v>3406</v>
      </c>
      <c r="AA2169" s="50"/>
    </row>
    <row r="2170" spans="1:27" ht="25.5" customHeight="1">
      <c r="A2170" s="50" t="s">
        <v>778</v>
      </c>
      <c r="B2170" s="51" t="s">
        <v>1400</v>
      </c>
      <c r="C2170" s="51" t="s">
        <v>143</v>
      </c>
      <c r="D2170" s="51" t="s">
        <v>5655</v>
      </c>
      <c r="E2170" s="50">
        <v>1288</v>
      </c>
      <c r="F2170" s="50">
        <v>863</v>
      </c>
      <c r="G2170" s="50" t="s">
        <v>3404</v>
      </c>
      <c r="H2170" s="50">
        <v>2024</v>
      </c>
      <c r="I2170" s="132">
        <v>45518</v>
      </c>
      <c r="J2170" s="50"/>
      <c r="K2170" s="50" t="s">
        <v>1345</v>
      </c>
      <c r="L2170" s="50"/>
      <c r="M2170" s="50" t="s">
        <v>148</v>
      </c>
      <c r="N2170" s="50"/>
      <c r="O2170" s="50"/>
      <c r="P2170" s="50"/>
      <c r="Q2170" s="50"/>
      <c r="R2170" s="50"/>
      <c r="S2170" s="50" t="str">
        <f t="shared" si="213"/>
        <v/>
      </c>
      <c r="T2170" s="50" t="str">
        <f t="shared" si="216"/>
        <v/>
      </c>
      <c r="U2170" s="50" t="str">
        <f t="shared" si="215"/>
        <v/>
      </c>
      <c r="V2170" s="50" t="str">
        <f t="shared" si="214"/>
        <v/>
      </c>
      <c r="W2170" s="50"/>
      <c r="X2170" s="50" t="s">
        <v>4</v>
      </c>
      <c r="Y2170" s="50" t="s">
        <v>50</v>
      </c>
      <c r="Z2170" s="50" t="s">
        <v>3406</v>
      </c>
      <c r="AA2170" s="50"/>
    </row>
    <row r="2171" spans="1:27" ht="25.5" customHeight="1">
      <c r="A2171" s="517" t="s">
        <v>778</v>
      </c>
      <c r="B2171" s="51" t="s">
        <v>1400</v>
      </c>
      <c r="C2171" s="51" t="s">
        <v>143</v>
      </c>
      <c r="D2171" s="51" t="s">
        <v>4126</v>
      </c>
      <c r="E2171" s="50">
        <v>1534</v>
      </c>
      <c r="F2171" s="50">
        <v>1782</v>
      </c>
      <c r="G2171" s="50" t="s">
        <v>3404</v>
      </c>
      <c r="H2171" s="50">
        <v>2025</v>
      </c>
      <c r="I2171" s="132">
        <v>45818</v>
      </c>
      <c r="J2171" s="50" t="s">
        <v>3689</v>
      </c>
      <c r="K2171" s="50" t="s">
        <v>1345</v>
      </c>
      <c r="L2171" s="50" t="s">
        <v>28</v>
      </c>
      <c r="M2171" s="50" t="s">
        <v>148</v>
      </c>
      <c r="N2171" s="50" t="s">
        <v>5656</v>
      </c>
      <c r="O2171" s="60">
        <v>45822</v>
      </c>
      <c r="P2171" s="60">
        <v>45826</v>
      </c>
      <c r="Q2171" s="60">
        <v>45826</v>
      </c>
      <c r="R2171" s="60">
        <v>45826</v>
      </c>
      <c r="S2171" s="50">
        <f t="shared" si="213"/>
        <v>3</v>
      </c>
      <c r="T2171" s="50">
        <f>IF(
    OR(ISBLANK(1811), ISBLANK(P2171)),
    "",
    MAX(1, IF(
        NETWORKDAYS(O2171, P2171) &lt;= 0,
        1,
        NETWORKDAYS(O2171, P2171) - IF(O2171 = P2171, 0, 1)
    ))
)</f>
        <v>2</v>
      </c>
      <c r="U2171" s="50">
        <f t="shared" si="215"/>
        <v>1</v>
      </c>
      <c r="V2171" s="50">
        <f t="shared" si="214"/>
        <v>1</v>
      </c>
      <c r="W2171" s="50" t="s">
        <v>150</v>
      </c>
      <c r="X2171" s="50" t="s">
        <v>4</v>
      </c>
      <c r="Y2171" s="50" t="s">
        <v>57</v>
      </c>
      <c r="Z2171" s="50" t="s">
        <v>3406</v>
      </c>
      <c r="AA2171" s="50"/>
    </row>
    <row r="2172" spans="1:27" ht="25.5" customHeight="1">
      <c r="A2172" s="517" t="s">
        <v>778</v>
      </c>
      <c r="B2172" s="51" t="s">
        <v>1400</v>
      </c>
      <c r="C2172" s="51" t="s">
        <v>143</v>
      </c>
      <c r="D2172" s="51" t="s">
        <v>5657</v>
      </c>
      <c r="E2172" s="50">
        <v>1144</v>
      </c>
      <c r="F2172" s="50">
        <v>1100</v>
      </c>
      <c r="G2172" s="50" t="s">
        <v>3955</v>
      </c>
      <c r="H2172" s="50"/>
      <c r="I2172" s="105"/>
      <c r="J2172" s="50"/>
      <c r="K2172" s="50" t="s">
        <v>1345</v>
      </c>
      <c r="L2172" s="50"/>
      <c r="M2172" s="50" t="s">
        <v>148</v>
      </c>
      <c r="N2172" s="50"/>
      <c r="O2172" s="50"/>
      <c r="P2172" s="50"/>
      <c r="Q2172" s="50"/>
      <c r="R2172" s="50"/>
      <c r="S2172" s="50" t="str">
        <f t="shared" si="213"/>
        <v/>
      </c>
      <c r="T2172" s="50" t="str">
        <f>IF(
    OR(ISBLANK(O2172), ISBLANK(P2172)),
    "",
    MAX(1, IF(
        NETWORKDAYS(O2172, P2172) &lt;= 0,
        1,
        NETWORKDAYS(O2172, P2172) - IF(O2172 = P2172, 0, 1)
    ))
)</f>
        <v/>
      </c>
      <c r="U2172" s="50" t="str">
        <f t="shared" si="215"/>
        <v/>
      </c>
      <c r="V2172" s="50" t="str">
        <f t="shared" si="214"/>
        <v/>
      </c>
      <c r="W2172" s="50"/>
      <c r="X2172" s="50"/>
      <c r="Y2172" s="50"/>
      <c r="Z2172" s="50"/>
      <c r="AA2172" s="50"/>
    </row>
    <row r="2173" spans="1:27" ht="25.5" customHeight="1">
      <c r="A2173" s="517" t="s">
        <v>778</v>
      </c>
      <c r="B2173" s="51" t="s">
        <v>1400</v>
      </c>
      <c r="C2173" s="51" t="s">
        <v>143</v>
      </c>
      <c r="D2173" s="51" t="s">
        <v>5658</v>
      </c>
      <c r="E2173" s="50">
        <v>4552</v>
      </c>
      <c r="F2173" s="50">
        <v>3520</v>
      </c>
      <c r="G2173" s="50" t="s">
        <v>3955</v>
      </c>
      <c r="H2173" s="50"/>
      <c r="I2173" s="105"/>
      <c r="J2173" s="50"/>
      <c r="K2173" s="50" t="s">
        <v>1345</v>
      </c>
      <c r="L2173" s="50"/>
      <c r="M2173" s="50" t="s">
        <v>148</v>
      </c>
      <c r="N2173" s="50"/>
      <c r="O2173" s="50"/>
      <c r="P2173" s="50"/>
      <c r="Q2173" s="50"/>
      <c r="R2173" s="50"/>
      <c r="S2173" s="50" t="str">
        <f t="shared" si="213"/>
        <v/>
      </c>
      <c r="T2173" s="50" t="str">
        <f>IF(
    OR(ISBLANK(O2173), ISBLANK(P2173)),
    "",
    MAX(1, IF(
        NETWORKDAYS(O2173, P2173) &lt;= 0,
        1,
        NETWORKDAYS(O2173, P2173) - IF(O2173 = P2173, 0, 1)
    ))
)</f>
        <v/>
      </c>
      <c r="U2173" s="50" t="str">
        <f t="shared" si="215"/>
        <v/>
      </c>
      <c r="V2173" s="50" t="str">
        <f t="shared" si="214"/>
        <v/>
      </c>
      <c r="W2173" s="50"/>
      <c r="X2173" s="50"/>
      <c r="Y2173" s="50"/>
      <c r="Z2173" s="50"/>
      <c r="AA2173" s="50"/>
    </row>
    <row r="2174" spans="1:27" ht="25.5" customHeight="1">
      <c r="A2174" s="517" t="s">
        <v>778</v>
      </c>
      <c r="B2174" s="51" t="s">
        <v>1400</v>
      </c>
      <c r="C2174" s="51" t="s">
        <v>143</v>
      </c>
      <c r="D2174" s="51" t="s">
        <v>5659</v>
      </c>
      <c r="E2174" s="50">
        <v>3494</v>
      </c>
      <c r="F2174" s="50">
        <v>3751</v>
      </c>
      <c r="G2174" s="50" t="s">
        <v>3955</v>
      </c>
      <c r="H2174" s="50"/>
      <c r="I2174" s="105"/>
      <c r="J2174" s="50"/>
      <c r="K2174" s="50" t="s">
        <v>1345</v>
      </c>
      <c r="L2174" s="50"/>
      <c r="M2174" s="50" t="s">
        <v>148</v>
      </c>
      <c r="N2174" s="50"/>
      <c r="O2174" s="50"/>
      <c r="P2174" s="50"/>
      <c r="Q2174" s="50"/>
      <c r="R2174" s="50"/>
      <c r="S2174" s="50" t="str">
        <f t="shared" si="213"/>
        <v/>
      </c>
      <c r="T2174" s="50" t="str">
        <f>IF(
    OR(ISBLANK(O2174), ISBLANK(P2174)),
    "",
    MAX(1, IF(
        NETWORKDAYS(O2174, P2174) &lt;= 0,
        1,
        NETWORKDAYS(O2174, P2174) - IF(O2174 = P2174, 0, 1)
    ))
)</f>
        <v/>
      </c>
      <c r="U2174" s="50" t="str">
        <f t="shared" si="215"/>
        <v/>
      </c>
      <c r="V2174" s="50" t="str">
        <f t="shared" si="214"/>
        <v/>
      </c>
      <c r="W2174" s="50"/>
      <c r="X2174" s="50"/>
      <c r="Y2174" s="50"/>
      <c r="Z2174" s="50"/>
      <c r="AA2174" s="50"/>
    </row>
    <row r="2175" spans="1:27" ht="25.5" customHeight="1">
      <c r="A2175" s="517" t="s">
        <v>778</v>
      </c>
      <c r="B2175" s="51" t="s">
        <v>1400</v>
      </c>
      <c r="C2175" s="51" t="s">
        <v>143</v>
      </c>
      <c r="D2175" s="51" t="s">
        <v>1253</v>
      </c>
      <c r="E2175" s="50">
        <v>1056</v>
      </c>
      <c r="F2175" s="50">
        <v>1238</v>
      </c>
      <c r="G2175" s="50" t="s">
        <v>3404</v>
      </c>
      <c r="H2175" s="50">
        <v>2025</v>
      </c>
      <c r="I2175" s="132">
        <v>45818</v>
      </c>
      <c r="J2175" s="50" t="s">
        <v>3689</v>
      </c>
      <c r="K2175" s="50" t="s">
        <v>1345</v>
      </c>
      <c r="L2175" s="50" t="s">
        <v>28</v>
      </c>
      <c r="M2175" s="50" t="s">
        <v>148</v>
      </c>
      <c r="N2175" s="50" t="s">
        <v>5660</v>
      </c>
      <c r="O2175" s="60">
        <v>45822</v>
      </c>
      <c r="P2175" s="60">
        <v>45826</v>
      </c>
      <c r="Q2175" s="60">
        <v>45826</v>
      </c>
      <c r="R2175" s="60">
        <v>45826</v>
      </c>
      <c r="S2175" s="50">
        <f t="shared" si="213"/>
        <v>3</v>
      </c>
      <c r="T2175" s="50">
        <f>IF(
    OR(ISBLANK(1811), ISBLANK(P2175)),
    "",
    MAX(1, IF(
        NETWORKDAYS(O2175, P2175) &lt;= 0,
        1,
        NETWORKDAYS(O2175, P2175) - IF(O2175 = P2175, 0, 1)
    ))
)</f>
        <v>2</v>
      </c>
      <c r="U2175" s="50">
        <f t="shared" si="215"/>
        <v>1</v>
      </c>
      <c r="V2175" s="50">
        <f t="shared" si="214"/>
        <v>1</v>
      </c>
      <c r="W2175" s="50" t="s">
        <v>150</v>
      </c>
      <c r="X2175" s="50" t="s">
        <v>4</v>
      </c>
      <c r="Y2175" s="50" t="s">
        <v>57</v>
      </c>
      <c r="Z2175" s="50" t="s">
        <v>3406</v>
      </c>
      <c r="AA2175" s="50"/>
    </row>
    <row r="2176" spans="1:27" ht="25.5" customHeight="1">
      <c r="A2176" s="50" t="s">
        <v>778</v>
      </c>
      <c r="B2176" s="51" t="s">
        <v>1400</v>
      </c>
      <c r="C2176" s="51" t="s">
        <v>143</v>
      </c>
      <c r="D2176" s="51" t="s">
        <v>1899</v>
      </c>
      <c r="E2176" s="50">
        <v>2171</v>
      </c>
      <c r="F2176" s="50">
        <v>2452</v>
      </c>
      <c r="G2176" s="50" t="s">
        <v>3404</v>
      </c>
      <c r="H2176" s="50">
        <v>2024</v>
      </c>
      <c r="I2176" s="132">
        <v>45545</v>
      </c>
      <c r="J2176" s="50"/>
      <c r="K2176" s="50" t="s">
        <v>1345</v>
      </c>
      <c r="L2176" s="50"/>
      <c r="M2176" s="50" t="s">
        <v>148</v>
      </c>
      <c r="N2176" s="50"/>
      <c r="O2176" s="50"/>
      <c r="P2176" s="50"/>
      <c r="Q2176" s="50"/>
      <c r="R2176" s="50"/>
      <c r="S2176" s="50" t="str">
        <f t="shared" si="213"/>
        <v/>
      </c>
      <c r="T2176" s="50" t="str">
        <f t="shared" ref="T2176:T2188" si="217">IF(
    OR(ISBLANK(O2176), ISBLANK(P2176)),
    "",
    MAX(1, IF(
        NETWORKDAYS(O2176, P2176) &lt;= 0,
        1,
        NETWORKDAYS(O2176, P2176) - IF(O2176 = P2176, 0, 1)
    ))
)</f>
        <v/>
      </c>
      <c r="U2176" s="50" t="str">
        <f t="shared" si="215"/>
        <v/>
      </c>
      <c r="V2176" s="50" t="str">
        <f t="shared" si="214"/>
        <v/>
      </c>
      <c r="W2176" s="50"/>
      <c r="X2176" s="50" t="s">
        <v>4</v>
      </c>
      <c r="Y2176" s="50" t="s">
        <v>50</v>
      </c>
      <c r="Z2176" s="50" t="s">
        <v>3406</v>
      </c>
      <c r="AA2176" s="50"/>
    </row>
    <row r="2177" spans="1:27" ht="25.5" customHeight="1">
      <c r="A2177" s="517" t="s">
        <v>778</v>
      </c>
      <c r="B2177" s="51" t="s">
        <v>1400</v>
      </c>
      <c r="C2177" s="51" t="s">
        <v>143</v>
      </c>
      <c r="D2177" s="51" t="s">
        <v>5661</v>
      </c>
      <c r="E2177" s="50">
        <v>1373</v>
      </c>
      <c r="F2177" s="50">
        <v>1212</v>
      </c>
      <c r="G2177" s="50" t="s">
        <v>3955</v>
      </c>
      <c r="H2177" s="50"/>
      <c r="I2177" s="105"/>
      <c r="J2177" s="50"/>
      <c r="K2177" s="50" t="s">
        <v>1345</v>
      </c>
      <c r="L2177" s="50"/>
      <c r="M2177" s="50" t="s">
        <v>148</v>
      </c>
      <c r="N2177" s="50"/>
      <c r="O2177" s="50"/>
      <c r="P2177" s="50"/>
      <c r="Q2177" s="50"/>
      <c r="R2177" s="50"/>
      <c r="S2177" s="50" t="str">
        <f t="shared" si="213"/>
        <v/>
      </c>
      <c r="T2177" s="50" t="str">
        <f t="shared" si="217"/>
        <v/>
      </c>
      <c r="U2177" s="50" t="str">
        <f t="shared" si="215"/>
        <v/>
      </c>
      <c r="V2177" s="50" t="str">
        <f t="shared" si="214"/>
        <v/>
      </c>
      <c r="W2177" s="50"/>
      <c r="X2177" s="50"/>
      <c r="Y2177" s="50"/>
      <c r="Z2177" s="50"/>
      <c r="AA2177" s="50"/>
    </row>
    <row r="2178" spans="1:27" ht="25.5" customHeight="1">
      <c r="A2178" s="517" t="s">
        <v>778</v>
      </c>
      <c r="B2178" s="51" t="s">
        <v>1400</v>
      </c>
      <c r="C2178" s="51" t="s">
        <v>143</v>
      </c>
      <c r="D2178" s="51" t="s">
        <v>5662</v>
      </c>
      <c r="E2178" s="50">
        <v>3439</v>
      </c>
      <c r="F2178" s="50">
        <v>3262</v>
      </c>
      <c r="G2178" s="50" t="s">
        <v>3955</v>
      </c>
      <c r="H2178" s="50"/>
      <c r="I2178" s="105"/>
      <c r="J2178" s="50"/>
      <c r="K2178" s="50" t="s">
        <v>1345</v>
      </c>
      <c r="L2178" s="50"/>
      <c r="M2178" s="50" t="s">
        <v>148</v>
      </c>
      <c r="N2178" s="50"/>
      <c r="O2178" s="50"/>
      <c r="P2178" s="50"/>
      <c r="Q2178" s="50"/>
      <c r="R2178" s="50"/>
      <c r="S2178" s="50" t="str">
        <f t="shared" si="213"/>
        <v/>
      </c>
      <c r="T2178" s="50" t="str">
        <f t="shared" si="217"/>
        <v/>
      </c>
      <c r="U2178" s="50" t="str">
        <f t="shared" si="215"/>
        <v/>
      </c>
      <c r="V2178" s="50" t="str">
        <f t="shared" si="214"/>
        <v/>
      </c>
      <c r="W2178" s="50"/>
      <c r="X2178" s="50"/>
      <c r="Y2178" s="50"/>
      <c r="Z2178" s="50"/>
      <c r="AA2178" s="50"/>
    </row>
    <row r="2179" spans="1:27" ht="25.5" customHeight="1">
      <c r="A2179" s="517" t="s">
        <v>778</v>
      </c>
      <c r="B2179" s="51" t="s">
        <v>1400</v>
      </c>
      <c r="C2179" s="51" t="s">
        <v>143</v>
      </c>
      <c r="D2179" s="51" t="s">
        <v>5663</v>
      </c>
      <c r="E2179" s="50">
        <v>2216</v>
      </c>
      <c r="F2179" s="50">
        <v>2217</v>
      </c>
      <c r="G2179" s="50" t="s">
        <v>3955</v>
      </c>
      <c r="H2179" s="50"/>
      <c r="I2179" s="105"/>
      <c r="J2179" s="50"/>
      <c r="K2179" s="50" t="s">
        <v>1345</v>
      </c>
      <c r="L2179" s="50"/>
      <c r="M2179" s="50" t="s">
        <v>148</v>
      </c>
      <c r="N2179" s="50"/>
      <c r="O2179" s="50"/>
      <c r="P2179" s="50"/>
      <c r="Q2179" s="50"/>
      <c r="R2179" s="50"/>
      <c r="S2179" s="50" t="str">
        <f t="shared" si="213"/>
        <v/>
      </c>
      <c r="T2179" s="50" t="str">
        <f t="shared" si="217"/>
        <v/>
      </c>
      <c r="U2179" s="50" t="str">
        <f t="shared" si="215"/>
        <v/>
      </c>
      <c r="V2179" s="50" t="str">
        <f t="shared" si="214"/>
        <v/>
      </c>
      <c r="W2179" s="50"/>
      <c r="X2179" s="50"/>
      <c r="Y2179" s="50"/>
      <c r="Z2179" s="50"/>
      <c r="AA2179" s="50"/>
    </row>
    <row r="2180" spans="1:27" ht="25.5" customHeight="1">
      <c r="A2180" s="517" t="s">
        <v>778</v>
      </c>
      <c r="B2180" s="51" t="s">
        <v>1400</v>
      </c>
      <c r="C2180" s="51" t="s">
        <v>143</v>
      </c>
      <c r="D2180" s="51" t="s">
        <v>5664</v>
      </c>
      <c r="E2180" s="50">
        <v>2001</v>
      </c>
      <c r="F2180" s="50">
        <v>1932</v>
      </c>
      <c r="G2180" s="50" t="s">
        <v>3955</v>
      </c>
      <c r="H2180" s="50"/>
      <c r="I2180" s="105"/>
      <c r="J2180" s="50"/>
      <c r="K2180" s="50" t="s">
        <v>1345</v>
      </c>
      <c r="L2180" s="50"/>
      <c r="M2180" s="50" t="s">
        <v>148</v>
      </c>
      <c r="N2180" s="50"/>
      <c r="O2180" s="50"/>
      <c r="P2180" s="50"/>
      <c r="Q2180" s="50"/>
      <c r="R2180" s="50"/>
      <c r="S2180" s="50" t="str">
        <f t="shared" si="213"/>
        <v/>
      </c>
      <c r="T2180" s="50" t="str">
        <f t="shared" si="217"/>
        <v/>
      </c>
      <c r="U2180" s="50" t="str">
        <f t="shared" si="215"/>
        <v/>
      </c>
      <c r="V2180" s="50" t="str">
        <f t="shared" si="214"/>
        <v/>
      </c>
      <c r="W2180" s="50"/>
      <c r="X2180" s="50"/>
      <c r="Y2180" s="50"/>
      <c r="Z2180" s="50"/>
      <c r="AA2180" s="50"/>
    </row>
    <row r="2181" spans="1:27" ht="25.5" customHeight="1">
      <c r="A2181" s="517" t="s">
        <v>778</v>
      </c>
      <c r="B2181" s="51" t="s">
        <v>1400</v>
      </c>
      <c r="C2181" s="51" t="s">
        <v>143</v>
      </c>
      <c r="D2181" s="51" t="s">
        <v>1424</v>
      </c>
      <c r="E2181" s="50">
        <v>901</v>
      </c>
      <c r="F2181" s="50">
        <v>856</v>
      </c>
      <c r="G2181" s="50" t="s">
        <v>3955</v>
      </c>
      <c r="H2181" s="50"/>
      <c r="I2181" s="105"/>
      <c r="J2181" s="50"/>
      <c r="K2181" s="50" t="s">
        <v>1345</v>
      </c>
      <c r="L2181" s="50"/>
      <c r="M2181" s="50" t="s">
        <v>148</v>
      </c>
      <c r="N2181" s="19"/>
      <c r="O2181" s="50"/>
      <c r="P2181" s="50"/>
      <c r="Q2181" s="50"/>
      <c r="R2181" s="50"/>
      <c r="S2181" s="50" t="str">
        <f t="shared" si="213"/>
        <v/>
      </c>
      <c r="T2181" s="50" t="str">
        <f t="shared" si="217"/>
        <v/>
      </c>
      <c r="U2181" s="50" t="str">
        <f t="shared" si="215"/>
        <v/>
      </c>
      <c r="V2181" s="50" t="str">
        <f t="shared" si="214"/>
        <v/>
      </c>
      <c r="W2181" s="50"/>
      <c r="X2181" s="50"/>
      <c r="Y2181" s="50"/>
      <c r="Z2181" s="50"/>
      <c r="AA2181" s="50"/>
    </row>
    <row r="2182" spans="1:27" ht="25.5" customHeight="1">
      <c r="A2182" s="517" t="s">
        <v>778</v>
      </c>
      <c r="B2182" s="51" t="s">
        <v>1400</v>
      </c>
      <c r="C2182" s="51" t="s">
        <v>143</v>
      </c>
      <c r="D2182" s="51" t="s">
        <v>3727</v>
      </c>
      <c r="E2182" s="50">
        <v>3660</v>
      </c>
      <c r="F2182" s="50">
        <v>3604</v>
      </c>
      <c r="G2182" s="50" t="s">
        <v>3955</v>
      </c>
      <c r="H2182" s="50"/>
      <c r="I2182" s="105"/>
      <c r="J2182" s="50"/>
      <c r="K2182" s="50" t="s">
        <v>1345</v>
      </c>
      <c r="L2182" s="50"/>
      <c r="M2182" s="50" t="s">
        <v>148</v>
      </c>
      <c r="N2182" s="50"/>
      <c r="O2182" s="50"/>
      <c r="P2182" s="50"/>
      <c r="Q2182" s="50"/>
      <c r="R2182" s="50"/>
      <c r="S2182" s="50" t="str">
        <f t="shared" si="213"/>
        <v/>
      </c>
      <c r="T2182" s="50" t="str">
        <f t="shared" si="217"/>
        <v/>
      </c>
      <c r="U2182" s="50" t="str">
        <f t="shared" si="215"/>
        <v/>
      </c>
      <c r="V2182" s="50" t="str">
        <f t="shared" si="214"/>
        <v/>
      </c>
      <c r="W2182" s="50"/>
      <c r="X2182" s="50"/>
      <c r="Y2182" s="50"/>
      <c r="Z2182" s="50"/>
      <c r="AA2182" s="50"/>
    </row>
    <row r="2183" spans="1:27" ht="25.5" customHeight="1">
      <c r="A2183" s="517" t="s">
        <v>778</v>
      </c>
      <c r="B2183" s="51" t="s">
        <v>1400</v>
      </c>
      <c r="C2183" s="51" t="s">
        <v>143</v>
      </c>
      <c r="D2183" s="51" t="s">
        <v>5665</v>
      </c>
      <c r="E2183" s="50">
        <v>3022</v>
      </c>
      <c r="F2183" s="50">
        <v>3251</v>
      </c>
      <c r="G2183" s="50" t="s">
        <v>3955</v>
      </c>
      <c r="H2183" s="50"/>
      <c r="I2183" s="105"/>
      <c r="J2183" s="50"/>
      <c r="K2183" s="50" t="s">
        <v>1345</v>
      </c>
      <c r="L2183" s="50"/>
      <c r="M2183" s="50" t="s">
        <v>148</v>
      </c>
      <c r="N2183" s="50"/>
      <c r="O2183" s="50"/>
      <c r="P2183" s="50"/>
      <c r="Q2183" s="50"/>
      <c r="R2183" s="50"/>
      <c r="S2183" s="50" t="str">
        <f t="shared" si="213"/>
        <v/>
      </c>
      <c r="T2183" s="50" t="str">
        <f t="shared" si="217"/>
        <v/>
      </c>
      <c r="U2183" s="50" t="str">
        <f t="shared" si="215"/>
        <v/>
      </c>
      <c r="V2183" s="50" t="str">
        <f t="shared" si="214"/>
        <v/>
      </c>
      <c r="W2183" s="50"/>
      <c r="X2183" s="50"/>
      <c r="Y2183" s="50"/>
      <c r="Z2183" s="50"/>
      <c r="AA2183" s="50"/>
    </row>
    <row r="2184" spans="1:27" ht="25.5" customHeight="1">
      <c r="A2184" s="517" t="s">
        <v>778</v>
      </c>
      <c r="B2184" s="51" t="s">
        <v>1400</v>
      </c>
      <c r="C2184" s="51" t="s">
        <v>143</v>
      </c>
      <c r="D2184" s="51" t="s">
        <v>5666</v>
      </c>
      <c r="E2184" s="50">
        <v>1719</v>
      </c>
      <c r="F2184" s="50">
        <v>1835</v>
      </c>
      <c r="G2184" s="50" t="s">
        <v>3955</v>
      </c>
      <c r="H2184" s="50"/>
      <c r="I2184" s="105"/>
      <c r="J2184" s="50"/>
      <c r="K2184" s="50" t="s">
        <v>1345</v>
      </c>
      <c r="L2184" s="50"/>
      <c r="M2184" s="50" t="s">
        <v>148</v>
      </c>
      <c r="N2184" s="50"/>
      <c r="O2184" s="50"/>
      <c r="P2184" s="50"/>
      <c r="Q2184" s="50"/>
      <c r="R2184" s="50"/>
      <c r="S2184" s="50" t="str">
        <f t="shared" si="213"/>
        <v/>
      </c>
      <c r="T2184" s="50" t="str">
        <f t="shared" si="217"/>
        <v/>
      </c>
      <c r="U2184" s="50" t="str">
        <f t="shared" si="215"/>
        <v/>
      </c>
      <c r="V2184" s="50" t="str">
        <f t="shared" si="214"/>
        <v/>
      </c>
      <c r="W2184" s="50"/>
      <c r="X2184" s="50"/>
      <c r="Y2184" s="50"/>
      <c r="Z2184" s="50"/>
      <c r="AA2184" s="50"/>
    </row>
    <row r="2185" spans="1:27" ht="25.5" customHeight="1">
      <c r="A2185" s="517" t="s">
        <v>778</v>
      </c>
      <c r="B2185" s="51" t="s">
        <v>1404</v>
      </c>
      <c r="C2185" s="51" t="s">
        <v>143</v>
      </c>
      <c r="D2185" s="51" t="s">
        <v>5667</v>
      </c>
      <c r="E2185" s="50">
        <v>2932</v>
      </c>
      <c r="F2185" s="50">
        <v>2922</v>
      </c>
      <c r="G2185" s="50" t="s">
        <v>3955</v>
      </c>
      <c r="H2185" s="50"/>
      <c r="I2185" s="105"/>
      <c r="J2185" s="50"/>
      <c r="K2185" s="50" t="s">
        <v>32</v>
      </c>
      <c r="L2185" s="50"/>
      <c r="M2185" s="50" t="s">
        <v>148</v>
      </c>
      <c r="N2185" s="50"/>
      <c r="O2185" s="50"/>
      <c r="P2185" s="50"/>
      <c r="Q2185" s="50"/>
      <c r="R2185" s="50"/>
      <c r="S2185" s="50" t="str">
        <f t="shared" si="213"/>
        <v/>
      </c>
      <c r="T2185" s="50" t="str">
        <f t="shared" si="217"/>
        <v/>
      </c>
      <c r="U2185" s="50" t="str">
        <f t="shared" si="215"/>
        <v/>
      </c>
      <c r="V2185" s="50" t="str">
        <f t="shared" si="214"/>
        <v/>
      </c>
      <c r="W2185" s="50"/>
      <c r="X2185" s="50"/>
      <c r="Y2185" s="50"/>
      <c r="Z2185" s="50"/>
      <c r="AA2185" s="50"/>
    </row>
    <row r="2186" spans="1:27" ht="25.5" customHeight="1">
      <c r="A2186" s="517" t="s">
        <v>778</v>
      </c>
      <c r="B2186" s="51" t="s">
        <v>1404</v>
      </c>
      <c r="C2186" s="51" t="s">
        <v>143</v>
      </c>
      <c r="D2186" s="51" t="s">
        <v>1465</v>
      </c>
      <c r="E2186" s="50">
        <v>5065</v>
      </c>
      <c r="F2186" s="50">
        <v>5858</v>
      </c>
      <c r="G2186" s="50" t="s">
        <v>3955</v>
      </c>
      <c r="H2186" s="50"/>
      <c r="I2186" s="105"/>
      <c r="J2186" s="50"/>
      <c r="K2186" s="50" t="s">
        <v>32</v>
      </c>
      <c r="L2186" s="50"/>
      <c r="M2186" s="50" t="s">
        <v>148</v>
      </c>
      <c r="N2186" s="50"/>
      <c r="O2186" s="50"/>
      <c r="P2186" s="50"/>
      <c r="Q2186" s="50"/>
      <c r="R2186" s="50"/>
      <c r="S2186" s="50" t="str">
        <f t="shared" si="213"/>
        <v/>
      </c>
      <c r="T2186" s="50" t="str">
        <f t="shared" si="217"/>
        <v/>
      </c>
      <c r="U2186" s="50" t="str">
        <f t="shared" si="215"/>
        <v/>
      </c>
      <c r="V2186" s="50" t="str">
        <f t="shared" si="214"/>
        <v/>
      </c>
      <c r="W2186" s="50"/>
      <c r="X2186" s="50"/>
      <c r="Y2186" s="50"/>
      <c r="Z2186" s="50"/>
      <c r="AA2186" s="50"/>
    </row>
    <row r="2187" spans="1:27" ht="25.5" customHeight="1">
      <c r="A2187" s="517" t="s">
        <v>778</v>
      </c>
      <c r="B2187" s="51" t="s">
        <v>1404</v>
      </c>
      <c r="C2187" s="51" t="s">
        <v>143</v>
      </c>
      <c r="D2187" s="51" t="s">
        <v>5418</v>
      </c>
      <c r="E2187" s="50">
        <v>2690</v>
      </c>
      <c r="F2187" s="50">
        <v>2638</v>
      </c>
      <c r="G2187" s="50" t="s">
        <v>3955</v>
      </c>
      <c r="H2187" s="50"/>
      <c r="I2187" s="105"/>
      <c r="J2187" s="50"/>
      <c r="K2187" s="50" t="s">
        <v>32</v>
      </c>
      <c r="L2187" s="50"/>
      <c r="M2187" s="50" t="s">
        <v>148</v>
      </c>
      <c r="N2187" s="50"/>
      <c r="O2187" s="50"/>
      <c r="P2187" s="50"/>
      <c r="Q2187" s="50"/>
      <c r="R2187" s="50"/>
      <c r="S2187" s="50" t="str">
        <f t="shared" si="213"/>
        <v/>
      </c>
      <c r="T2187" s="50" t="str">
        <f t="shared" si="217"/>
        <v/>
      </c>
      <c r="U2187" s="50" t="str">
        <f t="shared" si="215"/>
        <v/>
      </c>
      <c r="V2187" s="50" t="str">
        <f t="shared" si="214"/>
        <v/>
      </c>
      <c r="W2187" s="50"/>
      <c r="X2187" s="50"/>
      <c r="Y2187" s="50"/>
      <c r="Z2187" s="50"/>
      <c r="AA2187" s="50"/>
    </row>
    <row r="2188" spans="1:27" ht="25.5" customHeight="1">
      <c r="A2188" s="517" t="s">
        <v>778</v>
      </c>
      <c r="B2188" s="51" t="s">
        <v>1404</v>
      </c>
      <c r="C2188" s="51" t="s">
        <v>143</v>
      </c>
      <c r="D2188" s="51" t="s">
        <v>3508</v>
      </c>
      <c r="E2188" s="50">
        <v>1211</v>
      </c>
      <c r="F2188" s="50">
        <v>1320</v>
      </c>
      <c r="G2188" s="50" t="s">
        <v>3955</v>
      </c>
      <c r="H2188" s="50"/>
      <c r="I2188" s="105"/>
      <c r="J2188" s="50"/>
      <c r="K2188" s="50" t="s">
        <v>32</v>
      </c>
      <c r="L2188" s="50"/>
      <c r="M2188" s="50" t="s">
        <v>148</v>
      </c>
      <c r="N2188" s="50"/>
      <c r="O2188" s="50"/>
      <c r="P2188" s="50"/>
      <c r="Q2188" s="50"/>
      <c r="R2188" s="50"/>
      <c r="S2188" s="50" t="str">
        <f t="shared" si="213"/>
        <v/>
      </c>
      <c r="T2188" s="50" t="str">
        <f t="shared" si="217"/>
        <v/>
      </c>
      <c r="U2188" s="50" t="str">
        <f t="shared" si="215"/>
        <v/>
      </c>
      <c r="V2188" s="50" t="str">
        <f t="shared" si="214"/>
        <v/>
      </c>
      <c r="W2188" s="50"/>
      <c r="X2188" s="50"/>
      <c r="Y2188" s="50"/>
      <c r="Z2188" s="50"/>
      <c r="AA2188" s="50"/>
    </row>
    <row r="2189" spans="1:27" ht="25.5" customHeight="1">
      <c r="A2189" s="517" t="s">
        <v>778</v>
      </c>
      <c r="B2189" s="51" t="s">
        <v>1404</v>
      </c>
      <c r="C2189" s="51" t="s">
        <v>143</v>
      </c>
      <c r="D2189" s="51" t="s">
        <v>5668</v>
      </c>
      <c r="E2189" s="50">
        <v>2744</v>
      </c>
      <c r="F2189" s="50">
        <v>2835</v>
      </c>
      <c r="G2189" s="50" t="s">
        <v>3404</v>
      </c>
      <c r="H2189" s="50">
        <v>2025</v>
      </c>
      <c r="I2189" s="132">
        <v>45757</v>
      </c>
      <c r="J2189" s="50" t="s">
        <v>3470</v>
      </c>
      <c r="K2189" s="50" t="s">
        <v>32</v>
      </c>
      <c r="L2189" s="50"/>
      <c r="M2189" s="50" t="s">
        <v>148</v>
      </c>
      <c r="N2189" s="50" t="s">
        <v>5669</v>
      </c>
      <c r="O2189" s="60">
        <v>45760</v>
      </c>
      <c r="P2189" s="50"/>
      <c r="Q2189" s="60">
        <v>45762</v>
      </c>
      <c r="R2189" s="60">
        <v>45768</v>
      </c>
      <c r="S2189" s="50">
        <f t="shared" si="213"/>
        <v>1</v>
      </c>
      <c r="T2189" s="50" t="str">
        <f>IF(
    OR(ISBLANK(O2189), ISBLANK(P2189)),
    "",
    MAX(1, IF(
        NETWORKDAYS(O2189, P2189) &lt;= 0,
        1,
        NETWORKDAYS(O2189, P2189) - IF(O2189 = QP2189, 0, 1)
    ))
)</f>
        <v/>
      </c>
      <c r="U2189" s="50">
        <f>IF(
    OR(ISBLANK(1816), ISBLANK(Q2189)),
    "",
    MAX(1, IF(
        NETWORKDAYS(O2189, Q2189) &lt;= 0,
        1,
        NETWORKDAYS(O2189, Q2189) - IF(O2189 = Q2189, 0, 1)
    ))
)</f>
        <v>1</v>
      </c>
      <c r="V2189" s="50">
        <f t="shared" si="214"/>
        <v>4</v>
      </c>
      <c r="W2189" s="50" t="s">
        <v>150</v>
      </c>
      <c r="X2189" s="50" t="s">
        <v>3527</v>
      </c>
      <c r="Y2189" s="50" t="s">
        <v>3528</v>
      </c>
      <c r="Z2189" s="50" t="s">
        <v>3406</v>
      </c>
      <c r="AA2189" s="50"/>
    </row>
    <row r="2190" spans="1:27" ht="25.5" customHeight="1">
      <c r="A2190" s="517" t="s">
        <v>778</v>
      </c>
      <c r="B2190" s="51" t="s">
        <v>1404</v>
      </c>
      <c r="C2190" s="51" t="s">
        <v>143</v>
      </c>
      <c r="D2190" s="51" t="s">
        <v>5670</v>
      </c>
      <c r="E2190" s="50">
        <v>1158</v>
      </c>
      <c r="F2190" s="50">
        <v>1239</v>
      </c>
      <c r="G2190" s="50" t="s">
        <v>3955</v>
      </c>
      <c r="H2190" s="50"/>
      <c r="I2190" s="105"/>
      <c r="J2190" s="50"/>
      <c r="K2190" s="50" t="s">
        <v>32</v>
      </c>
      <c r="L2190" s="50"/>
      <c r="M2190" s="50" t="s">
        <v>148</v>
      </c>
      <c r="N2190" s="50"/>
      <c r="O2190" s="50"/>
      <c r="P2190" s="50"/>
      <c r="Q2190" s="50"/>
      <c r="R2190" s="50"/>
      <c r="S2190" s="50" t="str">
        <f t="shared" si="213"/>
        <v/>
      </c>
      <c r="T2190" s="50" t="str">
        <f t="shared" ref="T2190:U2194" si="218">IF(
    OR(ISBLANK(O2190), ISBLANK(P2190)),
    "",
    MAX(1, IF(
        NETWORKDAYS(O2190, P2190) &lt;= 0,
        1,
        NETWORKDAYS(O2190, P2190) - IF(O2190 = P2190, 0, 1)
    ))
)</f>
        <v/>
      </c>
      <c r="U2190" s="50" t="str">
        <f t="shared" si="218"/>
        <v/>
      </c>
      <c r="V2190" s="50" t="str">
        <f t="shared" si="214"/>
        <v/>
      </c>
      <c r="W2190" s="50"/>
      <c r="X2190" s="50"/>
      <c r="Y2190" s="50"/>
      <c r="Z2190" s="50"/>
      <c r="AA2190" s="50"/>
    </row>
    <row r="2191" spans="1:27" ht="25.5" customHeight="1">
      <c r="A2191" s="517" t="s">
        <v>778</v>
      </c>
      <c r="B2191" s="51" t="s">
        <v>1404</v>
      </c>
      <c r="C2191" s="51" t="s">
        <v>143</v>
      </c>
      <c r="D2191" s="51" t="s">
        <v>1185</v>
      </c>
      <c r="E2191" s="50">
        <v>1900</v>
      </c>
      <c r="F2191" s="50">
        <v>2252</v>
      </c>
      <c r="G2191" s="50" t="s">
        <v>3955</v>
      </c>
      <c r="H2191" s="50"/>
      <c r="I2191" s="105"/>
      <c r="J2191" s="50"/>
      <c r="K2191" s="50" t="s">
        <v>32</v>
      </c>
      <c r="L2191" s="50"/>
      <c r="M2191" s="50" t="s">
        <v>148</v>
      </c>
      <c r="N2191" s="50"/>
      <c r="O2191" s="50"/>
      <c r="P2191" s="50"/>
      <c r="Q2191" s="50"/>
      <c r="R2191" s="50"/>
      <c r="S2191" s="50" t="str">
        <f t="shared" si="213"/>
        <v/>
      </c>
      <c r="T2191" s="50" t="str">
        <f t="shared" si="218"/>
        <v/>
      </c>
      <c r="U2191" s="50" t="str">
        <f t="shared" si="218"/>
        <v/>
      </c>
      <c r="V2191" s="50" t="str">
        <f t="shared" si="214"/>
        <v/>
      </c>
      <c r="W2191" s="50"/>
      <c r="X2191" s="50"/>
      <c r="Y2191" s="50"/>
      <c r="Z2191" s="50"/>
      <c r="AA2191" s="50"/>
    </row>
    <row r="2192" spans="1:27" s="110" customFormat="1" ht="25.5" customHeight="1">
      <c r="A2192" s="517" t="s">
        <v>778</v>
      </c>
      <c r="B2192" s="51" t="s">
        <v>1404</v>
      </c>
      <c r="C2192" s="51" t="s">
        <v>143</v>
      </c>
      <c r="D2192" s="51" t="s">
        <v>5671</v>
      </c>
      <c r="E2192" s="50">
        <v>2565</v>
      </c>
      <c r="F2192" s="50">
        <v>3086</v>
      </c>
      <c r="G2192" s="50" t="s">
        <v>3955</v>
      </c>
      <c r="H2192" s="50"/>
      <c r="I2192" s="105"/>
      <c r="J2192" s="50"/>
      <c r="K2192" s="50" t="s">
        <v>32</v>
      </c>
      <c r="L2192" s="50"/>
      <c r="M2192" s="50" t="s">
        <v>148</v>
      </c>
      <c r="N2192" s="50"/>
      <c r="O2192" s="50"/>
      <c r="P2192" s="50"/>
      <c r="Q2192" s="50"/>
      <c r="R2192" s="50"/>
      <c r="S2192" s="50" t="str">
        <f t="shared" si="213"/>
        <v/>
      </c>
      <c r="T2192" s="50" t="str">
        <f t="shared" si="218"/>
        <v/>
      </c>
      <c r="U2192" s="50" t="str">
        <f t="shared" si="218"/>
        <v/>
      </c>
      <c r="V2192" s="50" t="str">
        <f t="shared" si="214"/>
        <v/>
      </c>
      <c r="W2192" s="50"/>
      <c r="X2192" s="50"/>
      <c r="Y2192" s="50"/>
      <c r="Z2192" s="50"/>
      <c r="AA2192" s="50"/>
    </row>
    <row r="2193" spans="1:27" ht="25.5" customHeight="1">
      <c r="A2193" s="517" t="s">
        <v>778</v>
      </c>
      <c r="B2193" s="51" t="s">
        <v>1404</v>
      </c>
      <c r="C2193" s="51" t="s">
        <v>143</v>
      </c>
      <c r="D2193" s="51" t="s">
        <v>5672</v>
      </c>
      <c r="E2193" s="50">
        <v>2277</v>
      </c>
      <c r="F2193" s="50">
        <v>2617</v>
      </c>
      <c r="G2193" s="50" t="s">
        <v>3955</v>
      </c>
      <c r="H2193" s="50"/>
      <c r="I2193" s="105"/>
      <c r="J2193" s="50"/>
      <c r="K2193" s="50" t="s">
        <v>32</v>
      </c>
      <c r="L2193" s="50"/>
      <c r="M2193" s="50" t="s">
        <v>148</v>
      </c>
      <c r="N2193" s="50"/>
      <c r="O2193" s="50"/>
      <c r="P2193" s="50"/>
      <c r="Q2193" s="50"/>
      <c r="R2193" s="50"/>
      <c r="S2193" s="50" t="str">
        <f t="shared" si="213"/>
        <v/>
      </c>
      <c r="T2193" s="50" t="str">
        <f t="shared" si="218"/>
        <v/>
      </c>
      <c r="U2193" s="50" t="str">
        <f t="shared" si="218"/>
        <v/>
      </c>
      <c r="V2193" s="50" t="str">
        <f t="shared" si="214"/>
        <v/>
      </c>
      <c r="W2193" s="50"/>
      <c r="X2193" s="50"/>
      <c r="Y2193" s="50"/>
      <c r="Z2193" s="50"/>
      <c r="AA2193" s="50"/>
    </row>
    <row r="2194" spans="1:27" s="110" customFormat="1" ht="25.5" customHeight="1">
      <c r="A2194" s="517" t="s">
        <v>778</v>
      </c>
      <c r="B2194" s="51" t="s">
        <v>1404</v>
      </c>
      <c r="C2194" s="51" t="s">
        <v>143</v>
      </c>
      <c r="D2194" s="51" t="s">
        <v>5197</v>
      </c>
      <c r="E2194" s="50">
        <v>2373</v>
      </c>
      <c r="F2194" s="50">
        <v>2513</v>
      </c>
      <c r="G2194" s="50" t="s">
        <v>3955</v>
      </c>
      <c r="H2194" s="50"/>
      <c r="I2194" s="105"/>
      <c r="J2194" s="50"/>
      <c r="K2194" s="50" t="s">
        <v>32</v>
      </c>
      <c r="L2194" s="50"/>
      <c r="M2194" s="50" t="s">
        <v>148</v>
      </c>
      <c r="N2194" s="50"/>
      <c r="O2194" s="50"/>
      <c r="P2194" s="50"/>
      <c r="Q2194" s="50"/>
      <c r="R2194" s="50"/>
      <c r="S2194" s="50" t="str">
        <f t="shared" si="213"/>
        <v/>
      </c>
      <c r="T2194" s="50" t="str">
        <f t="shared" si="218"/>
        <v/>
      </c>
      <c r="U2194" s="50" t="str">
        <f t="shared" si="218"/>
        <v/>
      </c>
      <c r="V2194" s="50" t="str">
        <f t="shared" si="214"/>
        <v/>
      </c>
      <c r="W2194" s="50"/>
      <c r="X2194" s="50"/>
      <c r="Y2194" s="50"/>
      <c r="Z2194" s="50"/>
      <c r="AA2194" s="50"/>
    </row>
    <row r="2195" spans="1:27" ht="25.5" customHeight="1">
      <c r="A2195" s="517" t="s">
        <v>778</v>
      </c>
      <c r="B2195" s="51" t="s">
        <v>1404</v>
      </c>
      <c r="C2195" s="51" t="s">
        <v>143</v>
      </c>
      <c r="D2195" s="51" t="s">
        <v>5673</v>
      </c>
      <c r="E2195" s="50">
        <v>649</v>
      </c>
      <c r="F2195" s="50">
        <v>863</v>
      </c>
      <c r="G2195" s="50" t="s">
        <v>3404</v>
      </c>
      <c r="H2195" s="50">
        <v>2025</v>
      </c>
      <c r="I2195" s="132">
        <v>45757</v>
      </c>
      <c r="J2195" s="50" t="s">
        <v>3470</v>
      </c>
      <c r="K2195" s="50" t="s">
        <v>32</v>
      </c>
      <c r="L2195" s="50"/>
      <c r="M2195" s="50" t="s">
        <v>148</v>
      </c>
      <c r="N2195" s="50" t="s">
        <v>5674</v>
      </c>
      <c r="O2195" s="60">
        <v>45760</v>
      </c>
      <c r="P2195" s="50"/>
      <c r="Q2195" s="60">
        <v>45762</v>
      </c>
      <c r="R2195" s="60">
        <v>45768</v>
      </c>
      <c r="S2195" s="50">
        <f t="shared" si="213"/>
        <v>1</v>
      </c>
      <c r="T2195" s="50" t="str">
        <f>IF(
    OR(ISBLANK(O2195), ISBLANK(P2195)),
    "",
    MAX(1, IF(
        NETWORKDAYS(O2195, P2195) &lt;= 0,
        1,
        NETWORKDAYS(O2195, P2195) - IF(O2195 = QP2195, 0, 1)
    ))
)</f>
        <v/>
      </c>
      <c r="U2195" s="50">
        <f>IF(
    OR(ISBLANK(1816), ISBLANK(Q2195)),
    "",
    MAX(1, IF(
        NETWORKDAYS(O2195, Q2195) &lt;= 0,
        1,
        NETWORKDAYS(O2195, Q2195) - IF(O2195 = Q2195, 0, 1)
    ))
)</f>
        <v>1</v>
      </c>
      <c r="V2195" s="50">
        <f t="shared" si="214"/>
        <v>4</v>
      </c>
      <c r="W2195" s="50" t="s">
        <v>150</v>
      </c>
      <c r="X2195" s="50" t="s">
        <v>3527</v>
      </c>
      <c r="Y2195" s="50" t="s">
        <v>3528</v>
      </c>
      <c r="Z2195" s="50" t="s">
        <v>3406</v>
      </c>
      <c r="AA2195" s="50"/>
    </row>
    <row r="2196" spans="1:27" ht="25.5" customHeight="1">
      <c r="A2196" s="517" t="s">
        <v>778</v>
      </c>
      <c r="B2196" s="51" t="s">
        <v>1404</v>
      </c>
      <c r="C2196" s="51" t="s">
        <v>143</v>
      </c>
      <c r="D2196" s="51" t="s">
        <v>5675</v>
      </c>
      <c r="E2196" s="50">
        <v>706</v>
      </c>
      <c r="F2196" s="50">
        <v>848</v>
      </c>
      <c r="G2196" s="50" t="s">
        <v>3955</v>
      </c>
      <c r="H2196" s="50"/>
      <c r="I2196" s="105"/>
      <c r="J2196" s="50"/>
      <c r="K2196" s="50" t="s">
        <v>32</v>
      </c>
      <c r="L2196" s="50"/>
      <c r="M2196" s="50" t="s">
        <v>148</v>
      </c>
      <c r="N2196" s="50"/>
      <c r="O2196" s="50"/>
      <c r="P2196" s="50"/>
      <c r="Q2196" s="50"/>
      <c r="R2196" s="50"/>
      <c r="S2196" s="50" t="str">
        <f t="shared" si="213"/>
        <v/>
      </c>
      <c r="T2196" s="50" t="str">
        <f t="shared" ref="T2196:T2242" si="219">IF(
    OR(ISBLANK(O2196), ISBLANK(P2196)),
    "",
    MAX(1, IF(
        NETWORKDAYS(O2196, P2196) &lt;= 0,
        1,
        NETWORKDAYS(O2196, P2196) - IF(O2196 = P2196, 0, 1)
    ))
)</f>
        <v/>
      </c>
      <c r="U2196" s="50" t="str">
        <f t="shared" ref="U2196:U2242" si="220">IF(
    OR(ISBLANK(P2196), ISBLANK(Q2196)),
    "",
    MAX(1, IF(
        NETWORKDAYS(P2196, Q2196) &lt;= 0,
        1,
        NETWORKDAYS(P2196, Q2196) - IF(P2196 = Q2196, 0, 1)
    ))
)</f>
        <v/>
      </c>
      <c r="V2196" s="50" t="str">
        <f t="shared" si="214"/>
        <v/>
      </c>
      <c r="W2196" s="50"/>
      <c r="X2196" s="50"/>
      <c r="Y2196" s="50"/>
      <c r="Z2196" s="50"/>
      <c r="AA2196" s="50"/>
    </row>
    <row r="2197" spans="1:27" ht="25.5" customHeight="1">
      <c r="A2197" s="517" t="s">
        <v>778</v>
      </c>
      <c r="B2197" s="51" t="s">
        <v>1404</v>
      </c>
      <c r="C2197" s="51" t="s">
        <v>143</v>
      </c>
      <c r="D2197" s="51" t="s">
        <v>4344</v>
      </c>
      <c r="E2197" s="50">
        <v>5032</v>
      </c>
      <c r="F2197" s="50">
        <v>4799</v>
      </c>
      <c r="G2197" s="50" t="s">
        <v>3955</v>
      </c>
      <c r="H2197" s="50"/>
      <c r="I2197" s="105"/>
      <c r="J2197" s="50"/>
      <c r="K2197" s="50" t="s">
        <v>32</v>
      </c>
      <c r="L2197" s="50"/>
      <c r="M2197" s="50" t="s">
        <v>148</v>
      </c>
      <c r="N2197" s="50"/>
      <c r="O2197" s="50"/>
      <c r="P2197" s="50"/>
      <c r="Q2197" s="50"/>
      <c r="R2197" s="50"/>
      <c r="S2197" s="50" t="str">
        <f t="shared" si="213"/>
        <v/>
      </c>
      <c r="T2197" s="50" t="str">
        <f t="shared" si="219"/>
        <v/>
      </c>
      <c r="U2197" s="50" t="str">
        <f t="shared" si="220"/>
        <v/>
      </c>
      <c r="V2197" s="50" t="str">
        <f t="shared" si="214"/>
        <v/>
      </c>
      <c r="W2197" s="50"/>
      <c r="X2197" s="50"/>
      <c r="Y2197" s="50"/>
      <c r="Z2197" s="50"/>
      <c r="AA2197" s="50"/>
    </row>
    <row r="2198" spans="1:27" ht="25.5" customHeight="1">
      <c r="A2198" s="517" t="s">
        <v>778</v>
      </c>
      <c r="B2198" s="51" t="s">
        <v>1404</v>
      </c>
      <c r="C2198" s="51" t="s">
        <v>143</v>
      </c>
      <c r="D2198" s="51" t="s">
        <v>5676</v>
      </c>
      <c r="E2198" s="50">
        <v>2279</v>
      </c>
      <c r="F2198" s="50">
        <v>2411</v>
      </c>
      <c r="G2198" s="50" t="s">
        <v>3955</v>
      </c>
      <c r="H2198" s="50"/>
      <c r="I2198" s="105"/>
      <c r="J2198" s="50"/>
      <c r="K2198" s="50" t="s">
        <v>32</v>
      </c>
      <c r="L2198" s="50"/>
      <c r="M2198" s="50" t="s">
        <v>148</v>
      </c>
      <c r="N2198" s="50"/>
      <c r="O2198" s="50"/>
      <c r="P2198" s="50"/>
      <c r="Q2198" s="50"/>
      <c r="R2198" s="50"/>
      <c r="S2198" s="50" t="str">
        <f t="shared" si="213"/>
        <v/>
      </c>
      <c r="T2198" s="50" t="str">
        <f t="shared" si="219"/>
        <v/>
      </c>
      <c r="U2198" s="50" t="str">
        <f t="shared" si="220"/>
        <v/>
      </c>
      <c r="V2198" s="50" t="str">
        <f t="shared" si="214"/>
        <v/>
      </c>
      <c r="W2198" s="50"/>
      <c r="X2198" s="50"/>
      <c r="Y2198" s="50"/>
      <c r="Z2198" s="50"/>
      <c r="AA2198" s="50"/>
    </row>
    <row r="2199" spans="1:27" s="110" customFormat="1" ht="25.5" customHeight="1">
      <c r="A2199" s="517" t="s">
        <v>778</v>
      </c>
      <c r="B2199" s="51" t="s">
        <v>1404</v>
      </c>
      <c r="C2199" s="51" t="s">
        <v>143</v>
      </c>
      <c r="D2199" s="51" t="s">
        <v>5677</v>
      </c>
      <c r="E2199" s="50">
        <v>3784</v>
      </c>
      <c r="F2199" s="50">
        <v>4136</v>
      </c>
      <c r="G2199" s="50" t="s">
        <v>3955</v>
      </c>
      <c r="H2199" s="50"/>
      <c r="I2199" s="105"/>
      <c r="J2199" s="50"/>
      <c r="K2199" s="50" t="s">
        <v>32</v>
      </c>
      <c r="L2199" s="50"/>
      <c r="M2199" s="50" t="s">
        <v>148</v>
      </c>
      <c r="N2199" s="50"/>
      <c r="O2199" s="50"/>
      <c r="P2199" s="50"/>
      <c r="Q2199" s="50"/>
      <c r="R2199" s="50"/>
      <c r="S2199" s="50" t="str">
        <f t="shared" si="213"/>
        <v/>
      </c>
      <c r="T2199" s="50" t="str">
        <f t="shared" si="219"/>
        <v/>
      </c>
      <c r="U2199" s="50" t="str">
        <f t="shared" si="220"/>
        <v/>
      </c>
      <c r="V2199" s="50" t="str">
        <f t="shared" si="214"/>
        <v/>
      </c>
      <c r="W2199" s="50"/>
      <c r="X2199" s="50"/>
      <c r="Y2199" s="50"/>
      <c r="Z2199" s="50"/>
      <c r="AA2199" s="50"/>
    </row>
    <row r="2200" spans="1:27" ht="25.5" customHeight="1">
      <c r="A2200" s="517" t="s">
        <v>778</v>
      </c>
      <c r="B2200" s="51" t="s">
        <v>1404</v>
      </c>
      <c r="C2200" s="51" t="s">
        <v>143</v>
      </c>
      <c r="D2200" s="51" t="s">
        <v>5678</v>
      </c>
      <c r="E2200" s="50">
        <v>1550</v>
      </c>
      <c r="F2200" s="50">
        <v>1950</v>
      </c>
      <c r="G2200" s="50" t="s">
        <v>3955</v>
      </c>
      <c r="H2200" s="50"/>
      <c r="I2200" s="105"/>
      <c r="J2200" s="50"/>
      <c r="K2200" s="50" t="s">
        <v>32</v>
      </c>
      <c r="L2200" s="50"/>
      <c r="M2200" s="50" t="s">
        <v>148</v>
      </c>
      <c r="N2200" s="50"/>
      <c r="O2200" s="50"/>
      <c r="P2200" s="50"/>
      <c r="Q2200" s="50"/>
      <c r="R2200" s="50"/>
      <c r="S2200" s="50" t="str">
        <f t="shared" si="213"/>
        <v/>
      </c>
      <c r="T2200" s="50" t="str">
        <f t="shared" si="219"/>
        <v/>
      </c>
      <c r="U2200" s="50" t="str">
        <f t="shared" si="220"/>
        <v/>
      </c>
      <c r="V2200" s="50" t="str">
        <f t="shared" si="214"/>
        <v/>
      </c>
      <c r="W2200" s="50"/>
      <c r="X2200" s="50"/>
      <c r="Y2200" s="50"/>
      <c r="Z2200" s="50"/>
      <c r="AA2200" s="50"/>
    </row>
    <row r="2201" spans="1:27" ht="25.5" customHeight="1">
      <c r="A2201" s="517" t="s">
        <v>778</v>
      </c>
      <c r="B2201" s="51" t="s">
        <v>1404</v>
      </c>
      <c r="C2201" s="51" t="s">
        <v>143</v>
      </c>
      <c r="D2201" s="51" t="s">
        <v>5679</v>
      </c>
      <c r="E2201" s="50">
        <v>3175</v>
      </c>
      <c r="F2201" s="50">
        <v>3194</v>
      </c>
      <c r="G2201" s="50" t="s">
        <v>3955</v>
      </c>
      <c r="H2201" s="50"/>
      <c r="I2201" s="105"/>
      <c r="J2201" s="50"/>
      <c r="K2201" s="50" t="s">
        <v>32</v>
      </c>
      <c r="L2201" s="50"/>
      <c r="M2201" s="50" t="s">
        <v>148</v>
      </c>
      <c r="N2201" s="50"/>
      <c r="O2201" s="50"/>
      <c r="P2201" s="50"/>
      <c r="Q2201" s="50"/>
      <c r="R2201" s="50"/>
      <c r="S2201" s="50" t="str">
        <f t="shared" si="213"/>
        <v/>
      </c>
      <c r="T2201" s="50" t="str">
        <f t="shared" si="219"/>
        <v/>
      </c>
      <c r="U2201" s="50" t="str">
        <f t="shared" si="220"/>
        <v/>
      </c>
      <c r="V2201" s="50" t="str">
        <f t="shared" si="214"/>
        <v/>
      </c>
      <c r="W2201" s="50"/>
      <c r="X2201" s="50"/>
      <c r="Y2201" s="50"/>
      <c r="Z2201" s="50"/>
      <c r="AA2201" s="50"/>
    </row>
    <row r="2202" spans="1:27" ht="25.5" customHeight="1">
      <c r="A2202" s="517" t="s">
        <v>778</v>
      </c>
      <c r="B2202" s="51" t="s">
        <v>1404</v>
      </c>
      <c r="C2202" s="51" t="s">
        <v>143</v>
      </c>
      <c r="D2202" s="51" t="s">
        <v>5680</v>
      </c>
      <c r="E2202" s="50">
        <v>2028</v>
      </c>
      <c r="F2202" s="50">
        <v>2285</v>
      </c>
      <c r="G2202" s="50" t="s">
        <v>3955</v>
      </c>
      <c r="H2202" s="50"/>
      <c r="I2202" s="105"/>
      <c r="J2202" s="50"/>
      <c r="K2202" s="50" t="s">
        <v>32</v>
      </c>
      <c r="L2202" s="50"/>
      <c r="M2202" s="50" t="s">
        <v>148</v>
      </c>
      <c r="N2202" s="50"/>
      <c r="O2202" s="50"/>
      <c r="P2202" s="50"/>
      <c r="Q2202" s="50"/>
      <c r="R2202" s="50"/>
      <c r="S2202" s="50" t="str">
        <f t="shared" si="213"/>
        <v/>
      </c>
      <c r="T2202" s="50" t="str">
        <f t="shared" si="219"/>
        <v/>
      </c>
      <c r="U2202" s="50" t="str">
        <f t="shared" si="220"/>
        <v/>
      </c>
      <c r="V2202" s="50" t="str">
        <f t="shared" si="214"/>
        <v/>
      </c>
      <c r="W2202" s="50"/>
      <c r="X2202" s="50"/>
      <c r="Y2202" s="50"/>
      <c r="Z2202" s="50"/>
      <c r="AA2202" s="50"/>
    </row>
    <row r="2203" spans="1:27" ht="25.5" customHeight="1">
      <c r="A2203" s="517" t="s">
        <v>778</v>
      </c>
      <c r="B2203" s="51" t="s">
        <v>1404</v>
      </c>
      <c r="C2203" s="51" t="s">
        <v>143</v>
      </c>
      <c r="D2203" s="51" t="s">
        <v>5681</v>
      </c>
      <c r="E2203" s="50">
        <v>28524</v>
      </c>
      <c r="F2203" s="50">
        <v>29027</v>
      </c>
      <c r="G2203" s="50" t="s">
        <v>3955</v>
      </c>
      <c r="H2203" s="50"/>
      <c r="I2203" s="105"/>
      <c r="J2203" s="50"/>
      <c r="K2203" s="50" t="s">
        <v>32</v>
      </c>
      <c r="L2203" s="50"/>
      <c r="M2203" s="50" t="s">
        <v>148</v>
      </c>
      <c r="N2203" s="50"/>
      <c r="O2203" s="50"/>
      <c r="P2203" s="50"/>
      <c r="Q2203" s="50"/>
      <c r="R2203" s="50"/>
      <c r="S2203" s="50" t="str">
        <f t="shared" si="213"/>
        <v/>
      </c>
      <c r="T2203" s="50" t="str">
        <f t="shared" si="219"/>
        <v/>
      </c>
      <c r="U2203" s="50" t="str">
        <f t="shared" si="220"/>
        <v/>
      </c>
      <c r="V2203" s="50" t="str">
        <f t="shared" si="214"/>
        <v/>
      </c>
      <c r="W2203" s="50"/>
      <c r="X2203" s="50"/>
      <c r="Y2203" s="50"/>
      <c r="Z2203" s="50"/>
      <c r="AA2203" s="50"/>
    </row>
    <row r="2204" spans="1:27" ht="25.5" customHeight="1">
      <c r="A2204" s="517" t="s">
        <v>778</v>
      </c>
      <c r="B2204" s="51" t="s">
        <v>1404</v>
      </c>
      <c r="C2204" s="51" t="s">
        <v>143</v>
      </c>
      <c r="D2204" s="51" t="s">
        <v>5682</v>
      </c>
      <c r="E2204" s="50">
        <v>2374</v>
      </c>
      <c r="F2204" s="50">
        <v>2699</v>
      </c>
      <c r="G2204" s="50" t="s">
        <v>3955</v>
      </c>
      <c r="H2204" s="50"/>
      <c r="I2204" s="105"/>
      <c r="J2204" s="50"/>
      <c r="K2204" s="50" t="s">
        <v>32</v>
      </c>
      <c r="L2204" s="50"/>
      <c r="M2204" s="50" t="s">
        <v>148</v>
      </c>
      <c r="N2204" s="50"/>
      <c r="O2204" s="50"/>
      <c r="P2204" s="50"/>
      <c r="Q2204" s="50"/>
      <c r="R2204" s="50"/>
      <c r="S2204" s="50" t="str">
        <f t="shared" si="213"/>
        <v/>
      </c>
      <c r="T2204" s="50" t="str">
        <f t="shared" si="219"/>
        <v/>
      </c>
      <c r="U2204" s="50" t="str">
        <f t="shared" si="220"/>
        <v/>
      </c>
      <c r="V2204" s="50" t="str">
        <f t="shared" si="214"/>
        <v/>
      </c>
      <c r="W2204" s="50"/>
      <c r="X2204" s="50"/>
      <c r="Y2204" s="50"/>
      <c r="Z2204" s="50"/>
      <c r="AA2204" s="50"/>
    </row>
    <row r="2205" spans="1:27" ht="25.5" customHeight="1">
      <c r="A2205" s="517" t="s">
        <v>778</v>
      </c>
      <c r="B2205" s="51" t="s">
        <v>1404</v>
      </c>
      <c r="C2205" s="51" t="s">
        <v>143</v>
      </c>
      <c r="D2205" s="51" t="s">
        <v>5490</v>
      </c>
      <c r="E2205" s="50">
        <v>2371</v>
      </c>
      <c r="F2205" s="50">
        <v>4016</v>
      </c>
      <c r="G2205" s="50" t="s">
        <v>3955</v>
      </c>
      <c r="H2205" s="50"/>
      <c r="I2205" s="105"/>
      <c r="J2205" s="50"/>
      <c r="K2205" s="50" t="s">
        <v>32</v>
      </c>
      <c r="L2205" s="50"/>
      <c r="M2205" s="50" t="s">
        <v>148</v>
      </c>
      <c r="N2205" s="50"/>
      <c r="O2205" s="50"/>
      <c r="P2205" s="50"/>
      <c r="Q2205" s="50"/>
      <c r="R2205" s="50"/>
      <c r="S2205" s="50" t="str">
        <f t="shared" si="213"/>
        <v/>
      </c>
      <c r="T2205" s="50" t="str">
        <f t="shared" si="219"/>
        <v/>
      </c>
      <c r="U2205" s="50" t="str">
        <f t="shared" si="220"/>
        <v/>
      </c>
      <c r="V2205" s="50" t="str">
        <f t="shared" si="214"/>
        <v/>
      </c>
      <c r="W2205" s="50"/>
      <c r="X2205" s="50"/>
      <c r="Y2205" s="50"/>
      <c r="Z2205" s="50"/>
      <c r="AA2205" s="50"/>
    </row>
    <row r="2206" spans="1:27" ht="25.5" customHeight="1">
      <c r="A2206" s="517" t="s">
        <v>778</v>
      </c>
      <c r="B2206" s="51" t="s">
        <v>1404</v>
      </c>
      <c r="C2206" s="51" t="s">
        <v>143</v>
      </c>
      <c r="D2206" s="51" t="s">
        <v>5683</v>
      </c>
      <c r="E2206" s="50">
        <v>4231</v>
      </c>
      <c r="F2206" s="50">
        <v>5756</v>
      </c>
      <c r="G2206" s="50" t="s">
        <v>3955</v>
      </c>
      <c r="H2206" s="50"/>
      <c r="I2206" s="105"/>
      <c r="J2206" s="50"/>
      <c r="K2206" s="50" t="s">
        <v>32</v>
      </c>
      <c r="L2206" s="50"/>
      <c r="M2206" s="50" t="s">
        <v>148</v>
      </c>
      <c r="N2206" s="50"/>
      <c r="O2206" s="50"/>
      <c r="P2206" s="50"/>
      <c r="Q2206" s="50"/>
      <c r="R2206" s="50"/>
      <c r="S2206" s="50" t="str">
        <f t="shared" si="213"/>
        <v/>
      </c>
      <c r="T2206" s="50" t="str">
        <f t="shared" si="219"/>
        <v/>
      </c>
      <c r="U2206" s="50" t="str">
        <f t="shared" si="220"/>
        <v/>
      </c>
      <c r="V2206" s="50" t="str">
        <f t="shared" si="214"/>
        <v/>
      </c>
      <c r="W2206" s="50"/>
      <c r="X2206" s="50"/>
      <c r="Y2206" s="50"/>
      <c r="Z2206" s="50"/>
      <c r="AA2206" s="50"/>
    </row>
    <row r="2207" spans="1:27" ht="25.5" customHeight="1">
      <c r="A2207" s="517" t="s">
        <v>778</v>
      </c>
      <c r="B2207" s="51" t="s">
        <v>1404</v>
      </c>
      <c r="C2207" s="51" t="s">
        <v>143</v>
      </c>
      <c r="D2207" s="51" t="s">
        <v>5684</v>
      </c>
      <c r="E2207" s="50">
        <v>2368</v>
      </c>
      <c r="F2207" s="50">
        <v>4919</v>
      </c>
      <c r="G2207" s="50" t="s">
        <v>3955</v>
      </c>
      <c r="H2207" s="50"/>
      <c r="I2207" s="105"/>
      <c r="J2207" s="50"/>
      <c r="K2207" s="50" t="s">
        <v>32</v>
      </c>
      <c r="L2207" s="50"/>
      <c r="M2207" s="50" t="s">
        <v>148</v>
      </c>
      <c r="N2207" s="50"/>
      <c r="O2207" s="50"/>
      <c r="P2207" s="50"/>
      <c r="Q2207" s="50"/>
      <c r="R2207" s="50"/>
      <c r="S2207" s="50" t="str">
        <f t="shared" si="213"/>
        <v/>
      </c>
      <c r="T2207" s="50" t="str">
        <f t="shared" si="219"/>
        <v/>
      </c>
      <c r="U2207" s="50" t="str">
        <f t="shared" si="220"/>
        <v/>
      </c>
      <c r="V2207" s="50" t="str">
        <f t="shared" si="214"/>
        <v/>
      </c>
      <c r="W2207" s="50"/>
      <c r="X2207" s="50"/>
      <c r="Y2207" s="50"/>
      <c r="Z2207" s="50"/>
      <c r="AA2207" s="50"/>
    </row>
    <row r="2208" spans="1:27" ht="25.5" customHeight="1">
      <c r="A2208" s="517" t="s">
        <v>778</v>
      </c>
      <c r="B2208" s="51" t="s">
        <v>1404</v>
      </c>
      <c r="C2208" s="51" t="s">
        <v>143</v>
      </c>
      <c r="D2208" s="51" t="s">
        <v>914</v>
      </c>
      <c r="E2208" s="50">
        <v>5544</v>
      </c>
      <c r="F2208" s="50">
        <v>5759</v>
      </c>
      <c r="G2208" s="50" t="s">
        <v>3955</v>
      </c>
      <c r="H2208" s="50"/>
      <c r="I2208" s="105"/>
      <c r="J2208" s="50"/>
      <c r="K2208" s="50" t="s">
        <v>32</v>
      </c>
      <c r="L2208" s="50"/>
      <c r="M2208" s="50" t="s">
        <v>148</v>
      </c>
      <c r="N2208" s="50"/>
      <c r="O2208" s="50"/>
      <c r="P2208" s="50"/>
      <c r="Q2208" s="50"/>
      <c r="R2208" s="50"/>
      <c r="S2208" s="50" t="str">
        <f t="shared" si="213"/>
        <v/>
      </c>
      <c r="T2208" s="50" t="str">
        <f t="shared" si="219"/>
        <v/>
      </c>
      <c r="U2208" s="50" t="str">
        <f t="shared" si="220"/>
        <v/>
      </c>
      <c r="V2208" s="50" t="str">
        <f t="shared" si="214"/>
        <v/>
      </c>
      <c r="W2208" s="50"/>
      <c r="X2208" s="50"/>
      <c r="Y2208" s="50"/>
      <c r="Z2208" s="50"/>
      <c r="AA2208" s="50"/>
    </row>
    <row r="2209" spans="1:27" ht="25.5" customHeight="1">
      <c r="A2209" s="517" t="s">
        <v>778</v>
      </c>
      <c r="B2209" s="51" t="s">
        <v>1404</v>
      </c>
      <c r="C2209" s="51" t="s">
        <v>143</v>
      </c>
      <c r="D2209" s="51" t="s">
        <v>3809</v>
      </c>
      <c r="E2209" s="50">
        <v>3072</v>
      </c>
      <c r="F2209" s="50">
        <v>3076</v>
      </c>
      <c r="G2209" s="50" t="s">
        <v>3955</v>
      </c>
      <c r="H2209" s="50"/>
      <c r="I2209" s="105"/>
      <c r="J2209" s="50"/>
      <c r="K2209" s="50" t="s">
        <v>32</v>
      </c>
      <c r="L2209" s="50"/>
      <c r="M2209" s="50" t="s">
        <v>148</v>
      </c>
      <c r="N2209" s="50"/>
      <c r="O2209" s="50"/>
      <c r="P2209" s="50"/>
      <c r="Q2209" s="50"/>
      <c r="R2209" s="50"/>
      <c r="S2209" s="50" t="str">
        <f t="shared" si="213"/>
        <v/>
      </c>
      <c r="T2209" s="50" t="str">
        <f t="shared" si="219"/>
        <v/>
      </c>
      <c r="U2209" s="50" t="str">
        <f t="shared" si="220"/>
        <v/>
      </c>
      <c r="V2209" s="50" t="str">
        <f t="shared" si="214"/>
        <v/>
      </c>
      <c r="W2209" s="50"/>
      <c r="X2209" s="50"/>
      <c r="Y2209" s="50"/>
      <c r="Z2209" s="50"/>
      <c r="AA2209" s="50"/>
    </row>
    <row r="2210" spans="1:27" ht="25.5" customHeight="1">
      <c r="A2210" s="517" t="s">
        <v>778</v>
      </c>
      <c r="B2210" s="51" t="s">
        <v>1404</v>
      </c>
      <c r="C2210" s="51" t="s">
        <v>143</v>
      </c>
      <c r="D2210" s="51" t="s">
        <v>5685</v>
      </c>
      <c r="E2210" s="50">
        <v>6294</v>
      </c>
      <c r="F2210" s="50">
        <v>6853</v>
      </c>
      <c r="G2210" s="50" t="s">
        <v>3955</v>
      </c>
      <c r="H2210" s="50"/>
      <c r="I2210" s="105"/>
      <c r="J2210" s="50"/>
      <c r="K2210" s="50" t="s">
        <v>32</v>
      </c>
      <c r="L2210" s="50"/>
      <c r="M2210" s="50" t="s">
        <v>148</v>
      </c>
      <c r="N2210" s="50"/>
      <c r="O2210" s="50"/>
      <c r="P2210" s="50"/>
      <c r="Q2210" s="50"/>
      <c r="R2210" s="50"/>
      <c r="S2210" s="50" t="str">
        <f t="shared" si="213"/>
        <v/>
      </c>
      <c r="T2210" s="50" t="str">
        <f t="shared" si="219"/>
        <v/>
      </c>
      <c r="U2210" s="50" t="str">
        <f t="shared" si="220"/>
        <v/>
      </c>
      <c r="V2210" s="50" t="str">
        <f t="shared" si="214"/>
        <v/>
      </c>
      <c r="W2210" s="50"/>
      <c r="X2210" s="50"/>
      <c r="Y2210" s="50"/>
      <c r="Z2210" s="50"/>
      <c r="AA2210" s="50"/>
    </row>
    <row r="2211" spans="1:27" ht="25.5" customHeight="1">
      <c r="A2211" s="517" t="s">
        <v>778</v>
      </c>
      <c r="B2211" s="51" t="s">
        <v>1404</v>
      </c>
      <c r="C2211" s="51" t="s">
        <v>143</v>
      </c>
      <c r="D2211" s="51" t="s">
        <v>5686</v>
      </c>
      <c r="E2211" s="50">
        <v>5808</v>
      </c>
      <c r="F2211" s="50">
        <v>6826</v>
      </c>
      <c r="G2211" s="50" t="s">
        <v>3955</v>
      </c>
      <c r="H2211" s="50"/>
      <c r="I2211" s="105"/>
      <c r="J2211" s="50"/>
      <c r="K2211" s="50" t="s">
        <v>32</v>
      </c>
      <c r="L2211" s="50"/>
      <c r="M2211" s="50" t="s">
        <v>148</v>
      </c>
      <c r="N2211" s="50"/>
      <c r="O2211" s="50"/>
      <c r="P2211" s="50"/>
      <c r="Q2211" s="50"/>
      <c r="R2211" s="50"/>
      <c r="S2211" s="50" t="str">
        <f t="shared" si="213"/>
        <v/>
      </c>
      <c r="T2211" s="50" t="str">
        <f t="shared" si="219"/>
        <v/>
      </c>
      <c r="U2211" s="50" t="str">
        <f t="shared" si="220"/>
        <v/>
      </c>
      <c r="V2211" s="50" t="str">
        <f t="shared" si="214"/>
        <v/>
      </c>
      <c r="W2211" s="50"/>
      <c r="X2211" s="50"/>
      <c r="Y2211" s="50"/>
      <c r="Z2211" s="50"/>
      <c r="AA2211" s="50"/>
    </row>
    <row r="2212" spans="1:27" s="110" customFormat="1" ht="25.5" customHeight="1">
      <c r="A2212" s="517" t="s">
        <v>778</v>
      </c>
      <c r="B2212" s="51" t="s">
        <v>1404</v>
      </c>
      <c r="C2212" s="51" t="s">
        <v>143</v>
      </c>
      <c r="D2212" s="51" t="s">
        <v>918</v>
      </c>
      <c r="E2212" s="50">
        <v>3984</v>
      </c>
      <c r="F2212" s="50">
        <v>4492</v>
      </c>
      <c r="G2212" s="50" t="s">
        <v>3955</v>
      </c>
      <c r="H2212" s="50"/>
      <c r="I2212" s="105"/>
      <c r="J2212" s="50"/>
      <c r="K2212" s="50" t="s">
        <v>32</v>
      </c>
      <c r="L2212" s="50"/>
      <c r="M2212" s="50" t="s">
        <v>148</v>
      </c>
      <c r="N2212" s="50"/>
      <c r="O2212" s="50"/>
      <c r="P2212" s="50"/>
      <c r="Q2212" s="50"/>
      <c r="R2212" s="50"/>
      <c r="S2212" s="50" t="str">
        <f t="shared" si="213"/>
        <v/>
      </c>
      <c r="T2212" s="50" t="str">
        <f t="shared" si="219"/>
        <v/>
      </c>
      <c r="U2212" s="50" t="str">
        <f t="shared" si="220"/>
        <v/>
      </c>
      <c r="V2212" s="50" t="str">
        <f t="shared" si="214"/>
        <v/>
      </c>
      <c r="W2212" s="50"/>
      <c r="X2212" s="50"/>
      <c r="Y2212" s="50"/>
      <c r="Z2212" s="50"/>
      <c r="AA2212" s="50"/>
    </row>
    <row r="2213" spans="1:27" ht="25.5" customHeight="1">
      <c r="A2213" s="517" t="s">
        <v>778</v>
      </c>
      <c r="B2213" s="51" t="s">
        <v>1404</v>
      </c>
      <c r="C2213" s="51" t="s">
        <v>143</v>
      </c>
      <c r="D2213" s="51" t="s">
        <v>950</v>
      </c>
      <c r="E2213" s="50">
        <v>2673</v>
      </c>
      <c r="F2213" s="50">
        <v>2817</v>
      </c>
      <c r="G2213" s="50" t="s">
        <v>3955</v>
      </c>
      <c r="H2213" s="50"/>
      <c r="I2213" s="105"/>
      <c r="J2213" s="50"/>
      <c r="K2213" s="50" t="s">
        <v>32</v>
      </c>
      <c r="L2213" s="50"/>
      <c r="M2213" s="50" t="s">
        <v>148</v>
      </c>
      <c r="N2213" s="50"/>
      <c r="O2213" s="50"/>
      <c r="P2213" s="50"/>
      <c r="Q2213" s="50"/>
      <c r="R2213" s="50"/>
      <c r="S2213" s="50" t="str">
        <f t="shared" si="213"/>
        <v/>
      </c>
      <c r="T2213" s="50" t="str">
        <f t="shared" si="219"/>
        <v/>
      </c>
      <c r="U2213" s="50" t="str">
        <f t="shared" si="220"/>
        <v/>
      </c>
      <c r="V2213" s="50" t="str">
        <f t="shared" si="214"/>
        <v/>
      </c>
      <c r="W2213" s="50"/>
      <c r="X2213" s="50"/>
      <c r="Y2213" s="50"/>
      <c r="Z2213" s="50"/>
      <c r="AA2213" s="50"/>
    </row>
    <row r="2214" spans="1:27" ht="25.5" customHeight="1">
      <c r="A2214" s="517" t="s">
        <v>778</v>
      </c>
      <c r="B2214" s="51" t="s">
        <v>1404</v>
      </c>
      <c r="C2214" s="51" t="s">
        <v>143</v>
      </c>
      <c r="D2214" s="51" t="s">
        <v>1151</v>
      </c>
      <c r="E2214" s="50">
        <v>2508</v>
      </c>
      <c r="F2214" s="50">
        <v>3313</v>
      </c>
      <c r="G2214" s="50" t="s">
        <v>3955</v>
      </c>
      <c r="H2214" s="50"/>
      <c r="I2214" s="105"/>
      <c r="J2214" s="50"/>
      <c r="K2214" s="50" t="s">
        <v>32</v>
      </c>
      <c r="L2214" s="50"/>
      <c r="M2214" s="50" t="s">
        <v>148</v>
      </c>
      <c r="N2214" s="50"/>
      <c r="O2214" s="50"/>
      <c r="P2214" s="50"/>
      <c r="Q2214" s="50"/>
      <c r="R2214" s="50"/>
      <c r="S2214" s="50" t="str">
        <f t="shared" si="213"/>
        <v/>
      </c>
      <c r="T2214" s="50" t="str">
        <f t="shared" si="219"/>
        <v/>
      </c>
      <c r="U2214" s="50" t="str">
        <f t="shared" si="220"/>
        <v/>
      </c>
      <c r="V2214" s="50" t="str">
        <f t="shared" si="214"/>
        <v/>
      </c>
      <c r="W2214" s="50"/>
      <c r="X2214" s="50"/>
      <c r="Y2214" s="50"/>
      <c r="Z2214" s="50"/>
      <c r="AA2214" s="50"/>
    </row>
    <row r="2215" spans="1:27" s="110" customFormat="1" ht="25.5" customHeight="1">
      <c r="A2215" s="517" t="s">
        <v>778</v>
      </c>
      <c r="B2215" s="51" t="s">
        <v>1404</v>
      </c>
      <c r="C2215" s="51" t="s">
        <v>143</v>
      </c>
      <c r="D2215" s="51" t="s">
        <v>1439</v>
      </c>
      <c r="E2215" s="50">
        <v>2776</v>
      </c>
      <c r="F2215" s="50">
        <v>2714</v>
      </c>
      <c r="G2215" s="50" t="s">
        <v>3955</v>
      </c>
      <c r="H2215" s="50"/>
      <c r="I2215" s="105"/>
      <c r="J2215" s="50"/>
      <c r="K2215" s="50" t="s">
        <v>32</v>
      </c>
      <c r="L2215" s="50"/>
      <c r="M2215" s="50" t="s">
        <v>148</v>
      </c>
      <c r="N2215" s="50"/>
      <c r="O2215" s="50"/>
      <c r="P2215" s="50"/>
      <c r="Q2215" s="50"/>
      <c r="R2215" s="50"/>
      <c r="S2215" s="50" t="str">
        <f t="shared" si="213"/>
        <v/>
      </c>
      <c r="T2215" s="50" t="str">
        <f t="shared" si="219"/>
        <v/>
      </c>
      <c r="U2215" s="50" t="str">
        <f t="shared" si="220"/>
        <v/>
      </c>
      <c r="V2215" s="50" t="str">
        <f t="shared" si="214"/>
        <v/>
      </c>
      <c r="W2215" s="50"/>
      <c r="X2215" s="50"/>
      <c r="Y2215" s="50"/>
      <c r="Z2215" s="50"/>
      <c r="AA2215" s="50"/>
    </row>
    <row r="2216" spans="1:27" ht="25.5" customHeight="1">
      <c r="A2216" s="517" t="s">
        <v>778</v>
      </c>
      <c r="B2216" s="51" t="s">
        <v>1404</v>
      </c>
      <c r="C2216" s="51" t="s">
        <v>143</v>
      </c>
      <c r="D2216" s="51" t="s">
        <v>3723</v>
      </c>
      <c r="E2216" s="50">
        <v>2561</v>
      </c>
      <c r="F2216" s="50">
        <v>2894</v>
      </c>
      <c r="G2216" s="50" t="s">
        <v>3955</v>
      </c>
      <c r="H2216" s="50"/>
      <c r="I2216" s="105"/>
      <c r="J2216" s="50"/>
      <c r="K2216" s="50" t="s">
        <v>32</v>
      </c>
      <c r="L2216" s="50"/>
      <c r="M2216" s="50" t="s">
        <v>148</v>
      </c>
      <c r="N2216" s="50"/>
      <c r="O2216" s="50"/>
      <c r="P2216" s="50"/>
      <c r="Q2216" s="50"/>
      <c r="R2216" s="50"/>
      <c r="S2216" s="50" t="str">
        <f t="shared" si="213"/>
        <v/>
      </c>
      <c r="T2216" s="50" t="str">
        <f t="shared" si="219"/>
        <v/>
      </c>
      <c r="U2216" s="50" t="str">
        <f t="shared" si="220"/>
        <v/>
      </c>
      <c r="V2216" s="50" t="str">
        <f t="shared" si="214"/>
        <v/>
      </c>
      <c r="W2216" s="50"/>
      <c r="X2216" s="50"/>
      <c r="Y2216" s="50"/>
      <c r="Z2216" s="50"/>
      <c r="AA2216" s="50"/>
    </row>
    <row r="2217" spans="1:27" ht="25.5" customHeight="1">
      <c r="A2217" s="517" t="s">
        <v>778</v>
      </c>
      <c r="B2217" s="51" t="s">
        <v>1404</v>
      </c>
      <c r="C2217" s="51" t="s">
        <v>143</v>
      </c>
      <c r="D2217" s="51" t="s">
        <v>5687</v>
      </c>
      <c r="E2217" s="50">
        <v>4173</v>
      </c>
      <c r="F2217" s="50">
        <v>4854</v>
      </c>
      <c r="G2217" s="50" t="s">
        <v>3955</v>
      </c>
      <c r="H2217" s="50"/>
      <c r="I2217" s="105"/>
      <c r="J2217" s="50"/>
      <c r="K2217" s="50" t="s">
        <v>32</v>
      </c>
      <c r="L2217" s="50"/>
      <c r="M2217" s="50" t="s">
        <v>148</v>
      </c>
      <c r="N2217" s="50"/>
      <c r="O2217" s="50"/>
      <c r="P2217" s="50"/>
      <c r="Q2217" s="50"/>
      <c r="R2217" s="50"/>
      <c r="S2217" s="50" t="str">
        <f t="shared" si="213"/>
        <v/>
      </c>
      <c r="T2217" s="50" t="str">
        <f t="shared" si="219"/>
        <v/>
      </c>
      <c r="U2217" s="50" t="str">
        <f t="shared" si="220"/>
        <v/>
      </c>
      <c r="V2217" s="50" t="str">
        <f t="shared" si="214"/>
        <v/>
      </c>
      <c r="W2217" s="50"/>
      <c r="X2217" s="50"/>
      <c r="Y2217" s="50"/>
      <c r="Z2217" s="50"/>
      <c r="AA2217" s="50"/>
    </row>
    <row r="2218" spans="1:27" ht="25.5" customHeight="1">
      <c r="A2218" s="517" t="s">
        <v>778</v>
      </c>
      <c r="B2218" s="51" t="s">
        <v>1404</v>
      </c>
      <c r="C2218" s="51" t="s">
        <v>143</v>
      </c>
      <c r="D2218" s="51" t="s">
        <v>1155</v>
      </c>
      <c r="E2218" s="50">
        <v>3158</v>
      </c>
      <c r="F2218" s="50">
        <v>4805</v>
      </c>
      <c r="G2218" s="50" t="s">
        <v>3955</v>
      </c>
      <c r="H2218" s="50"/>
      <c r="I2218" s="105"/>
      <c r="J2218" s="50"/>
      <c r="K2218" s="50" t="s">
        <v>32</v>
      </c>
      <c r="L2218" s="50"/>
      <c r="M2218" s="50" t="s">
        <v>148</v>
      </c>
      <c r="N2218" s="50"/>
      <c r="O2218" s="50"/>
      <c r="P2218" s="50"/>
      <c r="Q2218" s="50"/>
      <c r="R2218" s="50"/>
      <c r="S2218" s="50" t="str">
        <f t="shared" si="213"/>
        <v/>
      </c>
      <c r="T2218" s="50" t="str">
        <f t="shared" si="219"/>
        <v/>
      </c>
      <c r="U2218" s="50" t="str">
        <f t="shared" si="220"/>
        <v/>
      </c>
      <c r="V2218" s="50" t="str">
        <f t="shared" si="214"/>
        <v/>
      </c>
      <c r="W2218" s="50"/>
      <c r="X2218" s="50"/>
      <c r="Y2218" s="50"/>
      <c r="Z2218" s="50"/>
      <c r="AA2218" s="50"/>
    </row>
    <row r="2219" spans="1:27" ht="25.5" customHeight="1">
      <c r="A2219" s="517" t="s">
        <v>778</v>
      </c>
      <c r="B2219" s="51" t="s">
        <v>1404</v>
      </c>
      <c r="C2219" s="51" t="s">
        <v>143</v>
      </c>
      <c r="D2219" s="51" t="s">
        <v>3974</v>
      </c>
      <c r="E2219" s="50">
        <v>1155</v>
      </c>
      <c r="F2219" s="50">
        <v>1341</v>
      </c>
      <c r="G2219" s="50" t="s">
        <v>3955</v>
      </c>
      <c r="H2219" s="50"/>
      <c r="I2219" s="105"/>
      <c r="J2219" s="50"/>
      <c r="K2219" s="50" t="s">
        <v>32</v>
      </c>
      <c r="L2219" s="50"/>
      <c r="M2219" s="50" t="s">
        <v>148</v>
      </c>
      <c r="N2219" s="50"/>
      <c r="O2219" s="50"/>
      <c r="P2219" s="50"/>
      <c r="Q2219" s="50"/>
      <c r="R2219" s="50"/>
      <c r="S2219" s="50" t="str">
        <f t="shared" si="213"/>
        <v/>
      </c>
      <c r="T2219" s="50" t="str">
        <f t="shared" si="219"/>
        <v/>
      </c>
      <c r="U2219" s="50" t="str">
        <f t="shared" si="220"/>
        <v/>
      </c>
      <c r="V2219" s="50" t="str">
        <f t="shared" si="214"/>
        <v/>
      </c>
      <c r="W2219" s="50"/>
      <c r="X2219" s="50"/>
      <c r="Y2219" s="50"/>
      <c r="Z2219" s="50"/>
      <c r="AA2219" s="50"/>
    </row>
    <row r="2220" spans="1:27" ht="25.5" customHeight="1">
      <c r="A2220" s="517" t="s">
        <v>778</v>
      </c>
      <c r="B2220" s="51" t="s">
        <v>1404</v>
      </c>
      <c r="C2220" s="51" t="s">
        <v>143</v>
      </c>
      <c r="D2220" s="51" t="s">
        <v>1166</v>
      </c>
      <c r="E2220" s="50">
        <v>3949</v>
      </c>
      <c r="F2220" s="50">
        <v>4449</v>
      </c>
      <c r="G2220" s="50" t="s">
        <v>3955</v>
      </c>
      <c r="H2220" s="50"/>
      <c r="I2220" s="105"/>
      <c r="J2220" s="50"/>
      <c r="K2220" s="50" t="s">
        <v>32</v>
      </c>
      <c r="L2220" s="50"/>
      <c r="M2220" s="50" t="s">
        <v>148</v>
      </c>
      <c r="N2220" s="50"/>
      <c r="O2220" s="50"/>
      <c r="P2220" s="50"/>
      <c r="Q2220" s="50"/>
      <c r="R2220" s="50"/>
      <c r="S2220" s="50" t="str">
        <f t="shared" si="213"/>
        <v/>
      </c>
      <c r="T2220" s="50" t="str">
        <f t="shared" si="219"/>
        <v/>
      </c>
      <c r="U2220" s="50" t="str">
        <f t="shared" si="220"/>
        <v/>
      </c>
      <c r="V2220" s="50" t="str">
        <f t="shared" si="214"/>
        <v/>
      </c>
      <c r="W2220" s="50"/>
      <c r="X2220" s="50"/>
      <c r="Y2220" s="50"/>
      <c r="Z2220" s="50"/>
      <c r="AA2220" s="50"/>
    </row>
    <row r="2221" spans="1:27" ht="25.5" customHeight="1">
      <c r="A2221" s="517" t="s">
        <v>778</v>
      </c>
      <c r="B2221" s="51" t="s">
        <v>1404</v>
      </c>
      <c r="C2221" s="51" t="s">
        <v>143</v>
      </c>
      <c r="D2221" s="51" t="s">
        <v>1899</v>
      </c>
      <c r="E2221" s="50">
        <v>2338</v>
      </c>
      <c r="F2221" s="50">
        <v>2019</v>
      </c>
      <c r="G2221" s="50" t="s">
        <v>3955</v>
      </c>
      <c r="H2221" s="50"/>
      <c r="I2221" s="105"/>
      <c r="J2221" s="50"/>
      <c r="K2221" s="50" t="s">
        <v>32</v>
      </c>
      <c r="L2221" s="50"/>
      <c r="M2221" s="50" t="s">
        <v>148</v>
      </c>
      <c r="N2221" s="50"/>
      <c r="O2221" s="50"/>
      <c r="P2221" s="50"/>
      <c r="Q2221" s="50"/>
      <c r="R2221" s="50"/>
      <c r="S2221" s="50" t="str">
        <f t="shared" si="213"/>
        <v/>
      </c>
      <c r="T2221" s="50" t="str">
        <f t="shared" si="219"/>
        <v/>
      </c>
      <c r="U2221" s="50" t="str">
        <f t="shared" si="220"/>
        <v/>
      </c>
      <c r="V2221" s="50" t="str">
        <f t="shared" si="214"/>
        <v/>
      </c>
      <c r="W2221" s="50"/>
      <c r="X2221" s="50"/>
      <c r="Y2221" s="50"/>
      <c r="Z2221" s="50"/>
      <c r="AA2221" s="50"/>
    </row>
    <row r="2222" spans="1:27" ht="25.5" customHeight="1">
      <c r="A2222" s="517" t="s">
        <v>778</v>
      </c>
      <c r="B2222" s="51" t="s">
        <v>1404</v>
      </c>
      <c r="C2222" s="51" t="s">
        <v>143</v>
      </c>
      <c r="D2222" s="51" t="s">
        <v>4950</v>
      </c>
      <c r="E2222" s="50">
        <v>2842</v>
      </c>
      <c r="F2222" s="50">
        <v>2944</v>
      </c>
      <c r="G2222" s="50" t="s">
        <v>3955</v>
      </c>
      <c r="H2222" s="50"/>
      <c r="I2222" s="105"/>
      <c r="J2222" s="50"/>
      <c r="K2222" s="50" t="s">
        <v>32</v>
      </c>
      <c r="L2222" s="50"/>
      <c r="M2222" s="50" t="s">
        <v>148</v>
      </c>
      <c r="N2222" s="50"/>
      <c r="O2222" s="50"/>
      <c r="P2222" s="50"/>
      <c r="Q2222" s="50"/>
      <c r="R2222" s="50"/>
      <c r="S2222" s="50" t="str">
        <f t="shared" si="213"/>
        <v/>
      </c>
      <c r="T2222" s="50" t="str">
        <f t="shared" si="219"/>
        <v/>
      </c>
      <c r="U2222" s="50" t="str">
        <f t="shared" si="220"/>
        <v/>
      </c>
      <c r="V2222" s="50" t="str">
        <f t="shared" si="214"/>
        <v/>
      </c>
      <c r="W2222" s="50"/>
      <c r="X2222" s="50"/>
      <c r="Y2222" s="50"/>
      <c r="Z2222" s="50"/>
      <c r="AA2222" s="50"/>
    </row>
    <row r="2223" spans="1:27" ht="25.5" customHeight="1">
      <c r="A2223" s="517" t="s">
        <v>778</v>
      </c>
      <c r="B2223" s="51" t="s">
        <v>1404</v>
      </c>
      <c r="C2223" s="51" t="s">
        <v>143</v>
      </c>
      <c r="D2223" s="51" t="s">
        <v>3133</v>
      </c>
      <c r="E2223" s="50">
        <v>2621</v>
      </c>
      <c r="F2223" s="50">
        <v>2461</v>
      </c>
      <c r="G2223" s="50" t="s">
        <v>3955</v>
      </c>
      <c r="H2223" s="50"/>
      <c r="I2223" s="105"/>
      <c r="J2223" s="50"/>
      <c r="K2223" s="50" t="s">
        <v>32</v>
      </c>
      <c r="L2223" s="50"/>
      <c r="M2223" s="50" t="s">
        <v>148</v>
      </c>
      <c r="N2223" s="50"/>
      <c r="O2223" s="50"/>
      <c r="P2223" s="50"/>
      <c r="Q2223" s="50"/>
      <c r="R2223" s="50"/>
      <c r="S2223" s="50" t="str">
        <f t="shared" si="213"/>
        <v/>
      </c>
      <c r="T2223" s="50" t="str">
        <f t="shared" si="219"/>
        <v/>
      </c>
      <c r="U2223" s="50" t="str">
        <f t="shared" si="220"/>
        <v/>
      </c>
      <c r="V2223" s="50" t="str">
        <f t="shared" si="214"/>
        <v/>
      </c>
      <c r="W2223" s="50"/>
      <c r="X2223" s="50"/>
      <c r="Y2223" s="50"/>
      <c r="Z2223" s="50"/>
      <c r="AA2223" s="50"/>
    </row>
    <row r="2224" spans="1:27" ht="25.5" customHeight="1">
      <c r="A2224" s="517" t="s">
        <v>778</v>
      </c>
      <c r="B2224" s="51" t="s">
        <v>1404</v>
      </c>
      <c r="C2224" s="51" t="s">
        <v>143</v>
      </c>
      <c r="D2224" s="51" t="s">
        <v>4261</v>
      </c>
      <c r="E2224" s="50">
        <v>3621</v>
      </c>
      <c r="F2224" s="50">
        <v>4163</v>
      </c>
      <c r="G2224" s="50" t="s">
        <v>3955</v>
      </c>
      <c r="H2224" s="50"/>
      <c r="I2224" s="105"/>
      <c r="J2224" s="50"/>
      <c r="K2224" s="50" t="s">
        <v>32</v>
      </c>
      <c r="L2224" s="50"/>
      <c r="M2224" s="50" t="s">
        <v>148</v>
      </c>
      <c r="N2224" s="50"/>
      <c r="O2224" s="50"/>
      <c r="P2224" s="50"/>
      <c r="Q2224" s="50"/>
      <c r="R2224" s="50"/>
      <c r="S2224" s="50" t="str">
        <f t="shared" ref="S2224:S2287" si="221">IF(
    OR(ISBLANK(I2224), ISBLANK(O2224)),
    "",
    MAX(1, IF(
        NETWORKDAYS(I2224, O2224) &lt;= 0,
        1,
        NETWORKDAYS(I2224, O2224) - IF(I2224 = O2224, 0, 1)
    ))
)</f>
        <v/>
      </c>
      <c r="T2224" s="50" t="str">
        <f t="shared" si="219"/>
        <v/>
      </c>
      <c r="U2224" s="50" t="str">
        <f t="shared" si="220"/>
        <v/>
      </c>
      <c r="V2224" s="50" t="str">
        <f t="shared" ref="V2224:V2287" si="222">IF(
    OR(ISBLANK(Q2224), ISBLANK(R2224)),
    "",
    MAX(1, IF(
        NETWORKDAYS(Q2224, R2224) &lt;= 0,
        1,
        NETWORKDAYS(Q2224, R2224) - IF(Q2224 = R2224, 0, 1)
    ))
)</f>
        <v/>
      </c>
      <c r="W2224" s="50"/>
      <c r="X2224" s="50"/>
      <c r="Y2224" s="50"/>
      <c r="Z2224" s="50"/>
      <c r="AA2224" s="50"/>
    </row>
    <row r="2225" spans="1:27" ht="25.5" customHeight="1">
      <c r="A2225" s="517" t="s">
        <v>778</v>
      </c>
      <c r="B2225" s="51" t="s">
        <v>1404</v>
      </c>
      <c r="C2225" s="51" t="s">
        <v>143</v>
      </c>
      <c r="D2225" s="51" t="s">
        <v>5688</v>
      </c>
      <c r="E2225" s="50">
        <v>6695</v>
      </c>
      <c r="F2225" s="50">
        <v>8085</v>
      </c>
      <c r="G2225" s="50" t="s">
        <v>3955</v>
      </c>
      <c r="H2225" s="50"/>
      <c r="I2225" s="105"/>
      <c r="J2225" s="50"/>
      <c r="K2225" s="50" t="s">
        <v>32</v>
      </c>
      <c r="L2225" s="50"/>
      <c r="M2225" s="50" t="s">
        <v>148</v>
      </c>
      <c r="N2225" s="50"/>
      <c r="O2225" s="50"/>
      <c r="P2225" s="50"/>
      <c r="Q2225" s="50"/>
      <c r="R2225" s="50"/>
      <c r="S2225" s="50" t="str">
        <f t="shared" si="221"/>
        <v/>
      </c>
      <c r="T2225" s="50" t="str">
        <f t="shared" si="219"/>
        <v/>
      </c>
      <c r="U2225" s="50" t="str">
        <f t="shared" si="220"/>
        <v/>
      </c>
      <c r="V2225" s="50" t="str">
        <f t="shared" si="222"/>
        <v/>
      </c>
      <c r="W2225" s="50"/>
      <c r="X2225" s="50"/>
      <c r="Y2225" s="50"/>
      <c r="Z2225" s="50"/>
      <c r="AA2225" s="50"/>
    </row>
    <row r="2226" spans="1:27" ht="25.5" customHeight="1">
      <c r="A2226" s="517" t="s">
        <v>778</v>
      </c>
      <c r="B2226" s="51" t="s">
        <v>1404</v>
      </c>
      <c r="C2226" s="51" t="s">
        <v>143</v>
      </c>
      <c r="D2226" s="51" t="s">
        <v>1405</v>
      </c>
      <c r="E2226" s="50">
        <v>1056</v>
      </c>
      <c r="F2226" s="50">
        <v>1393</v>
      </c>
      <c r="G2226" s="50" t="s">
        <v>3955</v>
      </c>
      <c r="H2226" s="50"/>
      <c r="I2226" s="105"/>
      <c r="J2226" s="50"/>
      <c r="K2226" s="50" t="s">
        <v>32</v>
      </c>
      <c r="L2226" s="50"/>
      <c r="M2226" s="50" t="s">
        <v>148</v>
      </c>
      <c r="N2226" s="50"/>
      <c r="O2226" s="50"/>
      <c r="P2226" s="50"/>
      <c r="Q2226" s="50"/>
      <c r="R2226" s="50"/>
      <c r="S2226" s="50" t="str">
        <f t="shared" si="221"/>
        <v/>
      </c>
      <c r="T2226" s="50" t="str">
        <f t="shared" si="219"/>
        <v/>
      </c>
      <c r="U2226" s="50" t="str">
        <f t="shared" si="220"/>
        <v/>
      </c>
      <c r="V2226" s="50" t="str">
        <f t="shared" si="222"/>
        <v/>
      </c>
      <c r="W2226" s="50"/>
      <c r="X2226" s="50"/>
      <c r="Y2226" s="50"/>
      <c r="Z2226" s="50"/>
      <c r="AA2226" s="50"/>
    </row>
    <row r="2227" spans="1:27" ht="25.5" customHeight="1">
      <c r="A2227" s="517" t="s">
        <v>778</v>
      </c>
      <c r="B2227" s="51" t="s">
        <v>1404</v>
      </c>
      <c r="C2227" s="51" t="s">
        <v>143</v>
      </c>
      <c r="D2227" s="51" t="s">
        <v>5689</v>
      </c>
      <c r="E2227" s="50">
        <v>3810</v>
      </c>
      <c r="F2227" s="50">
        <v>3962</v>
      </c>
      <c r="G2227" s="50" t="s">
        <v>3955</v>
      </c>
      <c r="H2227" s="50"/>
      <c r="I2227" s="105"/>
      <c r="J2227" s="50"/>
      <c r="K2227" s="50" t="s">
        <v>32</v>
      </c>
      <c r="L2227" s="50"/>
      <c r="M2227" s="50" t="s">
        <v>148</v>
      </c>
      <c r="N2227" s="50"/>
      <c r="O2227" s="50"/>
      <c r="P2227" s="50"/>
      <c r="Q2227" s="50"/>
      <c r="R2227" s="50"/>
      <c r="S2227" s="50" t="str">
        <f t="shared" si="221"/>
        <v/>
      </c>
      <c r="T2227" s="50" t="str">
        <f t="shared" si="219"/>
        <v/>
      </c>
      <c r="U2227" s="50" t="str">
        <f t="shared" si="220"/>
        <v/>
      </c>
      <c r="V2227" s="50" t="str">
        <f t="shared" si="222"/>
        <v/>
      </c>
      <c r="W2227" s="50"/>
      <c r="X2227" s="50"/>
      <c r="Y2227" s="50"/>
      <c r="Z2227" s="50"/>
      <c r="AA2227" s="50"/>
    </row>
    <row r="2228" spans="1:27" ht="25.5" customHeight="1">
      <c r="A2228" s="50" t="s">
        <v>778</v>
      </c>
      <c r="B2228" s="51" t="s">
        <v>1411</v>
      </c>
      <c r="C2228" s="51" t="s">
        <v>143</v>
      </c>
      <c r="D2228" s="51" t="s">
        <v>4484</v>
      </c>
      <c r="E2228" s="50">
        <v>1015</v>
      </c>
      <c r="F2228" s="50">
        <v>1036</v>
      </c>
      <c r="G2228" s="50" t="s">
        <v>3404</v>
      </c>
      <c r="H2228" s="50">
        <v>2024</v>
      </c>
      <c r="I2228" s="132">
        <v>45426</v>
      </c>
      <c r="J2228" s="50"/>
      <c r="K2228" s="50" t="s">
        <v>1345</v>
      </c>
      <c r="L2228" s="50"/>
      <c r="M2228" s="50" t="s">
        <v>148</v>
      </c>
      <c r="N2228" s="50"/>
      <c r="O2228" s="50"/>
      <c r="P2228" s="50"/>
      <c r="Q2228" s="50"/>
      <c r="R2228" s="50"/>
      <c r="S2228" s="50" t="str">
        <f t="shared" si="221"/>
        <v/>
      </c>
      <c r="T2228" s="50" t="str">
        <f t="shared" si="219"/>
        <v/>
      </c>
      <c r="U2228" s="50" t="str">
        <f t="shared" si="220"/>
        <v/>
      </c>
      <c r="V2228" s="50" t="str">
        <f t="shared" si="222"/>
        <v/>
      </c>
      <c r="W2228" s="50"/>
      <c r="X2228" s="50"/>
      <c r="Y2228" s="50"/>
      <c r="Z2228" s="50" t="s">
        <v>3406</v>
      </c>
      <c r="AA2228" s="50"/>
    </row>
    <row r="2229" spans="1:27" ht="25.5" customHeight="1">
      <c r="A2229" s="517" t="s">
        <v>778</v>
      </c>
      <c r="B2229" s="51" t="s">
        <v>1411</v>
      </c>
      <c r="C2229" s="51" t="s">
        <v>143</v>
      </c>
      <c r="D2229" s="51" t="s">
        <v>5690</v>
      </c>
      <c r="E2229" s="50">
        <v>1224</v>
      </c>
      <c r="F2229" s="50">
        <v>1072</v>
      </c>
      <c r="G2229" s="50" t="s">
        <v>3955</v>
      </c>
      <c r="H2229" s="50"/>
      <c r="I2229" s="105"/>
      <c r="J2229" s="50"/>
      <c r="K2229" s="50" t="s">
        <v>1345</v>
      </c>
      <c r="L2229" s="50"/>
      <c r="M2229" s="50" t="s">
        <v>148</v>
      </c>
      <c r="N2229" s="50"/>
      <c r="O2229" s="50"/>
      <c r="P2229" s="50"/>
      <c r="Q2229" s="50"/>
      <c r="R2229" s="50"/>
      <c r="S2229" s="50" t="str">
        <f t="shared" si="221"/>
        <v/>
      </c>
      <c r="T2229" s="50" t="str">
        <f t="shared" si="219"/>
        <v/>
      </c>
      <c r="U2229" s="50" t="str">
        <f t="shared" si="220"/>
        <v/>
      </c>
      <c r="V2229" s="50" t="str">
        <f t="shared" si="222"/>
        <v/>
      </c>
      <c r="W2229" s="50"/>
      <c r="X2229" s="50"/>
      <c r="Y2229" s="50"/>
      <c r="Z2229" s="50"/>
      <c r="AA2229" s="50"/>
    </row>
    <row r="2230" spans="1:27" ht="25.5" customHeight="1">
      <c r="A2230" s="50" t="s">
        <v>778</v>
      </c>
      <c r="B2230" s="51" t="s">
        <v>1411</v>
      </c>
      <c r="C2230" s="51" t="s">
        <v>143</v>
      </c>
      <c r="D2230" s="51" t="s">
        <v>4613</v>
      </c>
      <c r="E2230" s="50">
        <v>6088</v>
      </c>
      <c r="F2230" s="50">
        <v>6862</v>
      </c>
      <c r="G2230" s="50" t="s">
        <v>3404</v>
      </c>
      <c r="H2230" s="50">
        <v>2024</v>
      </c>
      <c r="I2230" s="132">
        <v>45393</v>
      </c>
      <c r="J2230" s="50"/>
      <c r="K2230" s="50" t="s">
        <v>1345</v>
      </c>
      <c r="L2230" s="50"/>
      <c r="M2230" s="50" t="s">
        <v>148</v>
      </c>
      <c r="N2230" s="50"/>
      <c r="O2230" s="50"/>
      <c r="P2230" s="50"/>
      <c r="Q2230" s="50"/>
      <c r="R2230" s="50"/>
      <c r="S2230" s="50" t="str">
        <f t="shared" si="221"/>
        <v/>
      </c>
      <c r="T2230" s="50" t="str">
        <f t="shared" si="219"/>
        <v/>
      </c>
      <c r="U2230" s="50" t="str">
        <f t="shared" si="220"/>
        <v/>
      </c>
      <c r="V2230" s="50" t="str">
        <f t="shared" si="222"/>
        <v/>
      </c>
      <c r="W2230" s="50"/>
      <c r="X2230" s="50"/>
      <c r="Y2230" s="50"/>
      <c r="Z2230" s="50" t="s">
        <v>3406</v>
      </c>
      <c r="AA2230" s="50"/>
    </row>
    <row r="2231" spans="1:27" ht="25.5" customHeight="1">
      <c r="A2231" s="50" t="s">
        <v>778</v>
      </c>
      <c r="B2231" s="51" t="s">
        <v>1411</v>
      </c>
      <c r="C2231" s="51" t="s">
        <v>143</v>
      </c>
      <c r="D2231" s="51" t="s">
        <v>5691</v>
      </c>
      <c r="E2231" s="50">
        <v>2108</v>
      </c>
      <c r="F2231" s="50">
        <v>2077</v>
      </c>
      <c r="G2231" s="50" t="s">
        <v>3404</v>
      </c>
      <c r="H2231" s="50">
        <v>2024</v>
      </c>
      <c r="I2231" s="132">
        <v>45457</v>
      </c>
      <c r="J2231" s="50"/>
      <c r="K2231" s="50" t="s">
        <v>1345</v>
      </c>
      <c r="L2231" s="50"/>
      <c r="M2231" s="50" t="s">
        <v>148</v>
      </c>
      <c r="N2231" s="50"/>
      <c r="O2231" s="50"/>
      <c r="P2231" s="50"/>
      <c r="Q2231" s="50"/>
      <c r="R2231" s="50"/>
      <c r="S2231" s="50" t="str">
        <f t="shared" si="221"/>
        <v/>
      </c>
      <c r="T2231" s="50" t="str">
        <f t="shared" si="219"/>
        <v/>
      </c>
      <c r="U2231" s="50" t="str">
        <f t="shared" si="220"/>
        <v/>
      </c>
      <c r="V2231" s="50" t="str">
        <f t="shared" si="222"/>
        <v/>
      </c>
      <c r="W2231" s="50"/>
      <c r="X2231" s="50"/>
      <c r="Y2231" s="50"/>
      <c r="Z2231" s="50" t="s">
        <v>3406</v>
      </c>
      <c r="AA2231" s="50"/>
    </row>
    <row r="2232" spans="1:27" ht="25.5" customHeight="1">
      <c r="A2232" s="50" t="s">
        <v>778</v>
      </c>
      <c r="B2232" s="51" t="s">
        <v>1411</v>
      </c>
      <c r="C2232" s="51" t="s">
        <v>143</v>
      </c>
      <c r="D2232" s="51" t="s">
        <v>5692</v>
      </c>
      <c r="E2232" s="50">
        <v>1838</v>
      </c>
      <c r="F2232" s="50">
        <v>1949</v>
      </c>
      <c r="G2232" s="50" t="s">
        <v>3404</v>
      </c>
      <c r="H2232" s="50">
        <v>2024</v>
      </c>
      <c r="I2232" s="132">
        <v>45426</v>
      </c>
      <c r="J2232" s="50"/>
      <c r="K2232" s="50" t="s">
        <v>1345</v>
      </c>
      <c r="L2232" s="50"/>
      <c r="M2232" s="50" t="s">
        <v>148</v>
      </c>
      <c r="N2232" s="50"/>
      <c r="O2232" s="50"/>
      <c r="P2232" s="50"/>
      <c r="Q2232" s="50"/>
      <c r="R2232" s="50"/>
      <c r="S2232" s="50" t="str">
        <f t="shared" si="221"/>
        <v/>
      </c>
      <c r="T2232" s="50" t="str">
        <f t="shared" si="219"/>
        <v/>
      </c>
      <c r="U2232" s="50" t="str">
        <f t="shared" si="220"/>
        <v/>
      </c>
      <c r="V2232" s="50" t="str">
        <f t="shared" si="222"/>
        <v/>
      </c>
      <c r="W2232" s="50"/>
      <c r="X2232" s="50"/>
      <c r="Y2232" s="50"/>
      <c r="Z2232" s="50" t="s">
        <v>3406</v>
      </c>
      <c r="AA2232" s="50"/>
    </row>
    <row r="2233" spans="1:27" ht="25.5" customHeight="1">
      <c r="A2233" s="50" t="s">
        <v>778</v>
      </c>
      <c r="B2233" s="51" t="s">
        <v>1411</v>
      </c>
      <c r="C2233" s="51" t="s">
        <v>143</v>
      </c>
      <c r="D2233" s="51" t="s">
        <v>5693</v>
      </c>
      <c r="E2233" s="50">
        <v>1228</v>
      </c>
      <c r="F2233" s="50">
        <v>1183</v>
      </c>
      <c r="G2233" s="50" t="s">
        <v>3404</v>
      </c>
      <c r="H2233" s="50">
        <v>2024</v>
      </c>
      <c r="I2233" s="132">
        <v>45426</v>
      </c>
      <c r="J2233" s="50"/>
      <c r="K2233" s="50" t="s">
        <v>1345</v>
      </c>
      <c r="L2233" s="50"/>
      <c r="M2233" s="50" t="s">
        <v>148</v>
      </c>
      <c r="N2233" s="50"/>
      <c r="O2233" s="50"/>
      <c r="P2233" s="50"/>
      <c r="Q2233" s="50"/>
      <c r="R2233" s="50"/>
      <c r="S2233" s="50" t="str">
        <f t="shared" si="221"/>
        <v/>
      </c>
      <c r="T2233" s="50" t="str">
        <f t="shared" si="219"/>
        <v/>
      </c>
      <c r="U2233" s="50" t="str">
        <f t="shared" si="220"/>
        <v/>
      </c>
      <c r="V2233" s="50" t="str">
        <f t="shared" si="222"/>
        <v/>
      </c>
      <c r="W2233" s="50"/>
      <c r="X2233" s="50"/>
      <c r="Y2233" s="50"/>
      <c r="Z2233" s="50" t="s">
        <v>3406</v>
      </c>
      <c r="AA2233" s="50"/>
    </row>
    <row r="2234" spans="1:27" ht="25.5" customHeight="1">
      <c r="A2234" s="517" t="s">
        <v>778</v>
      </c>
      <c r="B2234" s="51" t="s">
        <v>1411</v>
      </c>
      <c r="C2234" s="51" t="s">
        <v>143</v>
      </c>
      <c r="D2234" s="51" t="s">
        <v>1180</v>
      </c>
      <c r="E2234" s="50">
        <v>4748</v>
      </c>
      <c r="F2234" s="50">
        <v>6007</v>
      </c>
      <c r="G2234" s="50" t="s">
        <v>3955</v>
      </c>
      <c r="H2234" s="50"/>
      <c r="I2234" s="105"/>
      <c r="J2234" s="50"/>
      <c r="K2234" s="50" t="s">
        <v>1345</v>
      </c>
      <c r="L2234" s="50"/>
      <c r="M2234" s="50" t="s">
        <v>148</v>
      </c>
      <c r="N2234" s="50"/>
      <c r="O2234" s="50"/>
      <c r="P2234" s="50"/>
      <c r="Q2234" s="50"/>
      <c r="R2234" s="50"/>
      <c r="S2234" s="50" t="str">
        <f t="shared" si="221"/>
        <v/>
      </c>
      <c r="T2234" s="50" t="str">
        <f t="shared" si="219"/>
        <v/>
      </c>
      <c r="U2234" s="50" t="str">
        <f t="shared" si="220"/>
        <v/>
      </c>
      <c r="V2234" s="50" t="str">
        <f t="shared" si="222"/>
        <v/>
      </c>
      <c r="W2234" s="50"/>
      <c r="X2234" s="50"/>
      <c r="Y2234" s="50"/>
      <c r="Z2234" s="50"/>
      <c r="AA2234" s="50"/>
    </row>
    <row r="2235" spans="1:27" ht="25.5" customHeight="1">
      <c r="A2235" s="50" t="s">
        <v>778</v>
      </c>
      <c r="B2235" s="51" t="s">
        <v>1411</v>
      </c>
      <c r="C2235" s="51" t="s">
        <v>143</v>
      </c>
      <c r="D2235" s="51" t="s">
        <v>5659</v>
      </c>
      <c r="E2235" s="50">
        <v>3245</v>
      </c>
      <c r="F2235" s="50">
        <v>2972</v>
      </c>
      <c r="G2235" s="50" t="s">
        <v>3404</v>
      </c>
      <c r="H2235" s="50">
        <v>2024</v>
      </c>
      <c r="I2235" s="132">
        <v>45457</v>
      </c>
      <c r="J2235" s="50"/>
      <c r="K2235" s="50" t="s">
        <v>1345</v>
      </c>
      <c r="L2235" s="50"/>
      <c r="M2235" s="50" t="s">
        <v>148</v>
      </c>
      <c r="N2235" s="50"/>
      <c r="O2235" s="50"/>
      <c r="P2235" s="50"/>
      <c r="Q2235" s="50"/>
      <c r="R2235" s="50"/>
      <c r="S2235" s="50" t="str">
        <f t="shared" si="221"/>
        <v/>
      </c>
      <c r="T2235" s="50" t="str">
        <f t="shared" si="219"/>
        <v/>
      </c>
      <c r="U2235" s="50" t="str">
        <f t="shared" si="220"/>
        <v/>
      </c>
      <c r="V2235" s="50" t="str">
        <f t="shared" si="222"/>
        <v/>
      </c>
      <c r="W2235" s="50"/>
      <c r="X2235" s="50"/>
      <c r="Y2235" s="50"/>
      <c r="Z2235" s="50" t="s">
        <v>3406</v>
      </c>
      <c r="AA2235" s="50"/>
    </row>
    <row r="2236" spans="1:27" ht="25.5" customHeight="1">
      <c r="A2236" s="50" t="s">
        <v>778</v>
      </c>
      <c r="B2236" s="51" t="s">
        <v>1411</v>
      </c>
      <c r="C2236" s="51" t="s">
        <v>143</v>
      </c>
      <c r="D2236" s="51" t="s">
        <v>1253</v>
      </c>
      <c r="E2236" s="50">
        <v>2677</v>
      </c>
      <c r="F2236" s="50">
        <v>2534</v>
      </c>
      <c r="G2236" s="50" t="s">
        <v>3404</v>
      </c>
      <c r="H2236" s="50">
        <v>2024</v>
      </c>
      <c r="I2236" s="132">
        <v>45457</v>
      </c>
      <c r="J2236" s="50"/>
      <c r="K2236" s="50" t="s">
        <v>1345</v>
      </c>
      <c r="L2236" s="50"/>
      <c r="M2236" s="50" t="s">
        <v>148</v>
      </c>
      <c r="N2236" s="50"/>
      <c r="O2236" s="50"/>
      <c r="P2236" s="50"/>
      <c r="Q2236" s="50"/>
      <c r="R2236" s="50"/>
      <c r="S2236" s="50" t="str">
        <f t="shared" si="221"/>
        <v/>
      </c>
      <c r="T2236" s="50" t="str">
        <f t="shared" si="219"/>
        <v/>
      </c>
      <c r="U2236" s="50" t="str">
        <f t="shared" si="220"/>
        <v/>
      </c>
      <c r="V2236" s="50" t="str">
        <f t="shared" si="222"/>
        <v/>
      </c>
      <c r="W2236" s="50"/>
      <c r="X2236" s="50"/>
      <c r="Y2236" s="50"/>
      <c r="Z2236" s="50" t="s">
        <v>3406</v>
      </c>
      <c r="AA2236" s="50"/>
    </row>
    <row r="2237" spans="1:27" s="110" customFormat="1" ht="25.5" customHeight="1">
      <c r="A2237" s="50" t="s">
        <v>778</v>
      </c>
      <c r="B2237" s="51" t="s">
        <v>1411</v>
      </c>
      <c r="C2237" s="51" t="s">
        <v>143</v>
      </c>
      <c r="D2237" s="51" t="s">
        <v>5319</v>
      </c>
      <c r="E2237" s="50">
        <v>2319</v>
      </c>
      <c r="F2237" s="50">
        <v>2695</v>
      </c>
      <c r="G2237" s="50" t="s">
        <v>3404</v>
      </c>
      <c r="H2237" s="50">
        <v>2024</v>
      </c>
      <c r="I2237" s="132">
        <v>45426</v>
      </c>
      <c r="J2237" s="50"/>
      <c r="K2237" s="50" t="s">
        <v>1345</v>
      </c>
      <c r="L2237" s="50"/>
      <c r="M2237" s="50" t="s">
        <v>148</v>
      </c>
      <c r="N2237" s="50"/>
      <c r="O2237" s="50"/>
      <c r="P2237" s="50"/>
      <c r="Q2237" s="50"/>
      <c r="R2237" s="50"/>
      <c r="S2237" s="50" t="str">
        <f t="shared" si="221"/>
        <v/>
      </c>
      <c r="T2237" s="50" t="str">
        <f t="shared" si="219"/>
        <v/>
      </c>
      <c r="U2237" s="50" t="str">
        <f t="shared" si="220"/>
        <v/>
      </c>
      <c r="V2237" s="50" t="str">
        <f t="shared" si="222"/>
        <v/>
      </c>
      <c r="W2237" s="50"/>
      <c r="X2237" s="50"/>
      <c r="Y2237" s="50"/>
      <c r="Z2237" s="50" t="s">
        <v>3406</v>
      </c>
      <c r="AA2237" s="50"/>
    </row>
    <row r="2238" spans="1:27" ht="25.5" customHeight="1">
      <c r="A2238" s="50" t="s">
        <v>778</v>
      </c>
      <c r="B2238" s="51" t="s">
        <v>1411</v>
      </c>
      <c r="C2238" s="51" t="s">
        <v>143</v>
      </c>
      <c r="D2238" s="51" t="s">
        <v>4950</v>
      </c>
      <c r="E2238" s="50">
        <v>6159</v>
      </c>
      <c r="F2238" s="50">
        <v>5798</v>
      </c>
      <c r="G2238" s="50" t="s">
        <v>3404</v>
      </c>
      <c r="H2238" s="50">
        <v>2024</v>
      </c>
      <c r="I2238" s="132">
        <v>45393</v>
      </c>
      <c r="J2238" s="50"/>
      <c r="K2238" s="50" t="s">
        <v>1345</v>
      </c>
      <c r="L2238" s="50"/>
      <c r="M2238" s="50" t="s">
        <v>148</v>
      </c>
      <c r="N2238" s="50"/>
      <c r="O2238" s="50"/>
      <c r="P2238" s="50"/>
      <c r="Q2238" s="50"/>
      <c r="R2238" s="50"/>
      <c r="S2238" s="50" t="str">
        <f t="shared" si="221"/>
        <v/>
      </c>
      <c r="T2238" s="50" t="str">
        <f t="shared" si="219"/>
        <v/>
      </c>
      <c r="U2238" s="50" t="str">
        <f t="shared" si="220"/>
        <v/>
      </c>
      <c r="V2238" s="50" t="str">
        <f t="shared" si="222"/>
        <v/>
      </c>
      <c r="W2238" s="50"/>
      <c r="X2238" s="50"/>
      <c r="Y2238" s="50"/>
      <c r="Z2238" s="50" t="s">
        <v>3406</v>
      </c>
      <c r="AA2238" s="50"/>
    </row>
    <row r="2239" spans="1:27" ht="25.5" customHeight="1">
      <c r="A2239" s="50" t="s">
        <v>778</v>
      </c>
      <c r="B2239" s="51" t="s">
        <v>1411</v>
      </c>
      <c r="C2239" s="51" t="s">
        <v>143</v>
      </c>
      <c r="D2239" s="51" t="s">
        <v>4242</v>
      </c>
      <c r="E2239" s="50">
        <v>4530</v>
      </c>
      <c r="F2239" s="50">
        <v>4516</v>
      </c>
      <c r="G2239" s="50" t="s">
        <v>3404</v>
      </c>
      <c r="H2239" s="50">
        <v>2024</v>
      </c>
      <c r="I2239" s="132">
        <v>45393</v>
      </c>
      <c r="J2239" s="50"/>
      <c r="K2239" s="50" t="s">
        <v>1345</v>
      </c>
      <c r="L2239" s="50"/>
      <c r="M2239" s="50" t="s">
        <v>148</v>
      </c>
      <c r="N2239" s="50"/>
      <c r="O2239" s="50"/>
      <c r="P2239" s="50"/>
      <c r="Q2239" s="50"/>
      <c r="R2239" s="50"/>
      <c r="S2239" s="50" t="str">
        <f t="shared" si="221"/>
        <v/>
      </c>
      <c r="T2239" s="50" t="str">
        <f t="shared" si="219"/>
        <v/>
      </c>
      <c r="U2239" s="50" t="str">
        <f t="shared" si="220"/>
        <v/>
      </c>
      <c r="V2239" s="50" t="str">
        <f t="shared" si="222"/>
        <v/>
      </c>
      <c r="W2239" s="50"/>
      <c r="X2239" s="50"/>
      <c r="Y2239" s="50"/>
      <c r="Z2239" s="50" t="s">
        <v>3406</v>
      </c>
      <c r="AA2239" s="50"/>
    </row>
    <row r="2240" spans="1:27" ht="25.5" customHeight="1">
      <c r="A2240" s="50" t="s">
        <v>778</v>
      </c>
      <c r="B2240" s="51" t="s">
        <v>1411</v>
      </c>
      <c r="C2240" s="51" t="s">
        <v>143</v>
      </c>
      <c r="D2240" s="51" t="s">
        <v>3133</v>
      </c>
      <c r="E2240" s="50">
        <v>5689</v>
      </c>
      <c r="F2240" s="50">
        <v>5432</v>
      </c>
      <c r="G2240" s="50" t="s">
        <v>3404</v>
      </c>
      <c r="H2240" s="50">
        <v>2024</v>
      </c>
      <c r="I2240" s="132">
        <v>45393</v>
      </c>
      <c r="J2240" s="50"/>
      <c r="K2240" s="50" t="s">
        <v>1345</v>
      </c>
      <c r="L2240" s="50"/>
      <c r="M2240" s="50" t="s">
        <v>148</v>
      </c>
      <c r="N2240" s="50"/>
      <c r="O2240" s="50"/>
      <c r="P2240" s="50"/>
      <c r="Q2240" s="50"/>
      <c r="R2240" s="50"/>
      <c r="S2240" s="50" t="str">
        <f t="shared" si="221"/>
        <v/>
      </c>
      <c r="T2240" s="50" t="str">
        <f t="shared" si="219"/>
        <v/>
      </c>
      <c r="U2240" s="50" t="str">
        <f t="shared" si="220"/>
        <v/>
      </c>
      <c r="V2240" s="50" t="str">
        <f t="shared" si="222"/>
        <v/>
      </c>
      <c r="W2240" s="50"/>
      <c r="X2240" s="50"/>
      <c r="Y2240" s="50"/>
      <c r="Z2240" s="50" t="s">
        <v>3406</v>
      </c>
      <c r="AA2240" s="50"/>
    </row>
    <row r="2241" spans="1:27" ht="25.5" customHeight="1">
      <c r="A2241" s="50" t="s">
        <v>778</v>
      </c>
      <c r="B2241" s="51" t="s">
        <v>1411</v>
      </c>
      <c r="C2241" s="51" t="s">
        <v>143</v>
      </c>
      <c r="D2241" s="51" t="s">
        <v>4132</v>
      </c>
      <c r="E2241" s="50">
        <v>3166</v>
      </c>
      <c r="F2241" s="50">
        <v>3041</v>
      </c>
      <c r="G2241" s="50" t="s">
        <v>3404</v>
      </c>
      <c r="H2241" s="50">
        <v>2024</v>
      </c>
      <c r="I2241" s="132">
        <v>45457</v>
      </c>
      <c r="J2241" s="50"/>
      <c r="K2241" s="50" t="s">
        <v>1345</v>
      </c>
      <c r="L2241" s="50"/>
      <c r="M2241" s="50" t="s">
        <v>148</v>
      </c>
      <c r="N2241" s="50"/>
      <c r="O2241" s="50"/>
      <c r="P2241" s="50"/>
      <c r="Q2241" s="50"/>
      <c r="R2241" s="50"/>
      <c r="S2241" s="50" t="str">
        <f t="shared" si="221"/>
        <v/>
      </c>
      <c r="T2241" s="50" t="str">
        <f t="shared" si="219"/>
        <v/>
      </c>
      <c r="U2241" s="50" t="str">
        <f t="shared" si="220"/>
        <v/>
      </c>
      <c r="V2241" s="50" t="str">
        <f t="shared" si="222"/>
        <v/>
      </c>
      <c r="W2241" s="50"/>
      <c r="X2241" s="50"/>
      <c r="Y2241" s="50"/>
      <c r="Z2241" s="50" t="s">
        <v>3406</v>
      </c>
      <c r="AA2241" s="50"/>
    </row>
    <row r="2242" spans="1:27" s="110" customFormat="1" ht="25.5" customHeight="1">
      <c r="A2242" s="50" t="s">
        <v>778</v>
      </c>
      <c r="B2242" s="51" t="s">
        <v>1411</v>
      </c>
      <c r="C2242" s="51" t="s">
        <v>143</v>
      </c>
      <c r="D2242" s="51" t="s">
        <v>5694</v>
      </c>
      <c r="E2242" s="50">
        <v>1679</v>
      </c>
      <c r="F2242" s="50">
        <v>1206</v>
      </c>
      <c r="G2242" s="50" t="s">
        <v>3404</v>
      </c>
      <c r="H2242" s="50">
        <v>2024</v>
      </c>
      <c r="I2242" s="132">
        <v>45426</v>
      </c>
      <c r="J2242" s="50"/>
      <c r="K2242" s="50" t="s">
        <v>1345</v>
      </c>
      <c r="L2242" s="50"/>
      <c r="M2242" s="50" t="s">
        <v>148</v>
      </c>
      <c r="N2242" s="50"/>
      <c r="O2242" s="50"/>
      <c r="P2242" s="50"/>
      <c r="Q2242" s="50"/>
      <c r="R2242" s="50"/>
      <c r="S2242" s="50" t="str">
        <f t="shared" si="221"/>
        <v/>
      </c>
      <c r="T2242" s="50" t="str">
        <f t="shared" si="219"/>
        <v/>
      </c>
      <c r="U2242" s="50" t="str">
        <f t="shared" si="220"/>
        <v/>
      </c>
      <c r="V2242" s="50" t="str">
        <f t="shared" si="222"/>
        <v/>
      </c>
      <c r="W2242" s="50"/>
      <c r="X2242" s="50"/>
      <c r="Y2242" s="50"/>
      <c r="Z2242" s="50" t="s">
        <v>3406</v>
      </c>
      <c r="AA2242" s="50"/>
    </row>
    <row r="2243" spans="1:27" ht="25.5" customHeight="1">
      <c r="A2243" s="517" t="s">
        <v>778</v>
      </c>
      <c r="B2243" s="51" t="s">
        <v>1415</v>
      </c>
      <c r="C2243" s="51" t="s">
        <v>143</v>
      </c>
      <c r="D2243" s="51" t="s">
        <v>5695</v>
      </c>
      <c r="E2243" s="50">
        <v>6450</v>
      </c>
      <c r="F2243" s="50">
        <v>7779</v>
      </c>
      <c r="G2243" s="50" t="s">
        <v>3404</v>
      </c>
      <c r="H2243" s="50">
        <v>2025</v>
      </c>
      <c r="I2243" s="132">
        <v>45910</v>
      </c>
      <c r="J2243" s="50" t="s">
        <v>3127</v>
      </c>
      <c r="K2243" s="50" t="s">
        <v>33</v>
      </c>
      <c r="L2243" s="50" t="s">
        <v>28</v>
      </c>
      <c r="M2243" s="50" t="s">
        <v>148</v>
      </c>
      <c r="N2243" s="50" t="s">
        <v>5696</v>
      </c>
      <c r="O2243" s="60">
        <v>45913</v>
      </c>
      <c r="P2243" s="60">
        <v>45917</v>
      </c>
      <c r="Q2243" s="60">
        <v>45917</v>
      </c>
      <c r="R2243" s="60">
        <v>45918</v>
      </c>
      <c r="S2243" s="50">
        <f t="shared" si="221"/>
        <v>2</v>
      </c>
      <c r="T2243" s="50">
        <f>IF(
    OR(ISBLANK(1811), ISBLANK(P2243)),
    "",
    MAX(1, IF(
        NETWORKDAYS(O2243, P2243) &lt;= 0,
        1,
        NETWORKDAYS(O2243, P2243) - IF(O2243 = P2243, 0, 1)
    ))
)</f>
        <v>2</v>
      </c>
      <c r="U2243" s="50">
        <f t="shared" ref="U2243:U2262" si="223">IF(
    OR(ISBLANK(P2243), ISBLANK(Q2243)),
    "",
    MAX(1, IF(
        NETWORKDAYS(P2243, Q2243) &lt;= 0,
        1,
        NETWORKDAYS(P2243, Q2243) - IF(P2243 = Q2243, 0, 1)
    ))
)</f>
        <v>1</v>
      </c>
      <c r="V2243" s="50">
        <f t="shared" si="222"/>
        <v>1</v>
      </c>
      <c r="W2243" s="50" t="s">
        <v>150</v>
      </c>
      <c r="X2243" s="50" t="s">
        <v>3527</v>
      </c>
      <c r="Y2243" s="50" t="s">
        <v>3528</v>
      </c>
      <c r="Z2243" s="50" t="s">
        <v>3406</v>
      </c>
      <c r="AA2243" s="50"/>
    </row>
    <row r="2244" spans="1:27" ht="25.5" customHeight="1">
      <c r="A2244" s="517" t="s">
        <v>778</v>
      </c>
      <c r="B2244" s="51" t="s">
        <v>1415</v>
      </c>
      <c r="C2244" s="51" t="s">
        <v>143</v>
      </c>
      <c r="D2244" s="51" t="s">
        <v>5697</v>
      </c>
      <c r="E2244" s="50">
        <v>3324</v>
      </c>
      <c r="F2244" s="50">
        <v>4040</v>
      </c>
      <c r="G2244" s="50" t="s">
        <v>3404</v>
      </c>
      <c r="H2244" s="50">
        <v>2025</v>
      </c>
      <c r="I2244" s="132">
        <v>45883</v>
      </c>
      <c r="J2244" s="50" t="s">
        <v>3126</v>
      </c>
      <c r="K2244" s="50" t="s">
        <v>33</v>
      </c>
      <c r="L2244" s="50" t="s">
        <v>28</v>
      </c>
      <c r="M2244" s="50" t="s">
        <v>148</v>
      </c>
      <c r="N2244" s="50" t="s">
        <v>5698</v>
      </c>
      <c r="O2244" s="60">
        <v>45883</v>
      </c>
      <c r="P2244" s="60">
        <v>45884</v>
      </c>
      <c r="Q2244" s="60">
        <v>45888</v>
      </c>
      <c r="R2244" s="60">
        <v>45888</v>
      </c>
      <c r="S2244" s="50">
        <f t="shared" si="221"/>
        <v>1</v>
      </c>
      <c r="T2244" s="50">
        <f>IF(
    OR(ISBLANK(1811), ISBLANK(P2244)),
    "",
    MAX(1, IF(
        NETWORKDAYS(O2244, P2244) &lt;= 0,
        1,
        NETWORKDAYS(O2244, P2244) - IF(O2244 = P2244, 0, 1)
    ))
)</f>
        <v>1</v>
      </c>
      <c r="U2244" s="50">
        <f t="shared" si="223"/>
        <v>2</v>
      </c>
      <c r="V2244" s="50">
        <f t="shared" si="222"/>
        <v>1</v>
      </c>
      <c r="W2244" s="50" t="s">
        <v>150</v>
      </c>
      <c r="X2244" s="50" t="s">
        <v>1078</v>
      </c>
      <c r="Y2244" s="50" t="s">
        <v>50</v>
      </c>
      <c r="Z2244" s="50" t="s">
        <v>3406</v>
      </c>
      <c r="AA2244" s="50"/>
    </row>
    <row r="2245" spans="1:27" ht="25.5" customHeight="1">
      <c r="A2245" s="517" t="s">
        <v>778</v>
      </c>
      <c r="B2245" s="51" t="s">
        <v>1415</v>
      </c>
      <c r="C2245" s="51" t="s">
        <v>143</v>
      </c>
      <c r="D2245" s="51" t="s">
        <v>5699</v>
      </c>
      <c r="E2245" s="50">
        <v>5434</v>
      </c>
      <c r="F2245" s="50">
        <v>5916</v>
      </c>
      <c r="G2245" s="50" t="s">
        <v>3404</v>
      </c>
      <c r="H2245" s="50">
        <v>2025</v>
      </c>
      <c r="I2245" s="132">
        <v>45883</v>
      </c>
      <c r="J2245" s="50" t="s">
        <v>3126</v>
      </c>
      <c r="K2245" s="50" t="s">
        <v>33</v>
      </c>
      <c r="L2245" s="50" t="s">
        <v>28</v>
      </c>
      <c r="M2245" s="50" t="s">
        <v>148</v>
      </c>
      <c r="N2245" s="50" t="s">
        <v>5700</v>
      </c>
      <c r="O2245" s="60">
        <v>45883</v>
      </c>
      <c r="P2245" s="60">
        <v>45884</v>
      </c>
      <c r="Q2245" s="60">
        <v>45888</v>
      </c>
      <c r="R2245" s="60">
        <v>45888</v>
      </c>
      <c r="S2245" s="50">
        <f t="shared" si="221"/>
        <v>1</v>
      </c>
      <c r="T2245" s="50">
        <f>IF(
    OR(ISBLANK(1811), ISBLANK(P2245)),
    "",
    MAX(1, IF(
        NETWORKDAYS(O2245, P2245) &lt;= 0,
        1,
        NETWORKDAYS(O2245, P2245) - IF(O2245 = P2245, 0, 1)
    ))
)</f>
        <v>1</v>
      </c>
      <c r="U2245" s="50">
        <f t="shared" si="223"/>
        <v>2</v>
      </c>
      <c r="V2245" s="50">
        <f t="shared" si="222"/>
        <v>1</v>
      </c>
      <c r="W2245" s="50" t="s">
        <v>150</v>
      </c>
      <c r="X2245" s="50" t="s">
        <v>4</v>
      </c>
      <c r="Y2245" s="50" t="s">
        <v>50</v>
      </c>
      <c r="Z2245" s="50" t="s">
        <v>3406</v>
      </c>
      <c r="AA2245" s="50"/>
    </row>
    <row r="2246" spans="1:27" ht="25.5" customHeight="1">
      <c r="A2246" s="517" t="s">
        <v>778</v>
      </c>
      <c r="B2246" s="51" t="s">
        <v>1415</v>
      </c>
      <c r="C2246" s="51" t="s">
        <v>143</v>
      </c>
      <c r="D2246" s="51" t="s">
        <v>4020</v>
      </c>
      <c r="E2246" s="50">
        <v>2398</v>
      </c>
      <c r="F2246" s="50">
        <v>2543</v>
      </c>
      <c r="G2246" s="50" t="s">
        <v>3955</v>
      </c>
      <c r="H2246" s="50"/>
      <c r="I2246" s="105"/>
      <c r="J2246" s="50"/>
      <c r="K2246" s="50" t="s">
        <v>33</v>
      </c>
      <c r="L2246" s="50"/>
      <c r="M2246" s="50" t="s">
        <v>148</v>
      </c>
      <c r="N2246" s="50"/>
      <c r="O2246" s="50"/>
      <c r="P2246" s="50"/>
      <c r="Q2246" s="50"/>
      <c r="R2246" s="50"/>
      <c r="S2246" s="50" t="str">
        <f t="shared" si="221"/>
        <v/>
      </c>
      <c r="T2246" s="50" t="str">
        <f>IF(
    OR(ISBLANK(O2246), ISBLANK(P2246)),
    "",
    MAX(1, IF(
        NETWORKDAYS(O2246, P2246) &lt;= 0,
        1,
        NETWORKDAYS(O2246, P2246) - IF(O2246 = P2246, 0, 1)
    ))
)</f>
        <v/>
      </c>
      <c r="U2246" s="50" t="str">
        <f t="shared" si="223"/>
        <v/>
      </c>
      <c r="V2246" s="50" t="str">
        <f t="shared" si="222"/>
        <v/>
      </c>
      <c r="W2246" s="50"/>
      <c r="X2246" s="50"/>
      <c r="Y2246" s="50"/>
      <c r="Z2246" s="50"/>
      <c r="AA2246" s="50"/>
    </row>
    <row r="2247" spans="1:27" ht="25.5" customHeight="1">
      <c r="A2247" s="517" t="s">
        <v>778</v>
      </c>
      <c r="B2247" s="51" t="s">
        <v>1415</v>
      </c>
      <c r="C2247" s="51" t="s">
        <v>143</v>
      </c>
      <c r="D2247" s="51" t="s">
        <v>5701</v>
      </c>
      <c r="E2247" s="50">
        <v>4141</v>
      </c>
      <c r="F2247" s="50">
        <v>5039</v>
      </c>
      <c r="G2247" s="50" t="s">
        <v>3404</v>
      </c>
      <c r="H2247" s="50">
        <v>2025</v>
      </c>
      <c r="I2247" s="132">
        <v>45910</v>
      </c>
      <c r="J2247" s="50" t="s">
        <v>3127</v>
      </c>
      <c r="K2247" s="50" t="s">
        <v>33</v>
      </c>
      <c r="L2247" s="50" t="s">
        <v>28</v>
      </c>
      <c r="M2247" s="50" t="s">
        <v>148</v>
      </c>
      <c r="N2247" s="50" t="s">
        <v>5702</v>
      </c>
      <c r="O2247" s="60">
        <v>45913</v>
      </c>
      <c r="P2247" s="60">
        <v>45917</v>
      </c>
      <c r="Q2247" s="60">
        <v>45917</v>
      </c>
      <c r="R2247" s="60">
        <v>45918</v>
      </c>
      <c r="S2247" s="50">
        <f t="shared" si="221"/>
        <v>2</v>
      </c>
      <c r="T2247" s="50">
        <f>IF(
    OR(ISBLANK(1811), ISBLANK(P2247)),
    "",
    MAX(1, IF(
        NETWORKDAYS(O2247, P2247) &lt;= 0,
        1,
        NETWORKDAYS(O2247, P2247) - IF(O2247 = P2247, 0, 1)
    ))
)</f>
        <v>2</v>
      </c>
      <c r="U2247" s="50">
        <f t="shared" si="223"/>
        <v>1</v>
      </c>
      <c r="V2247" s="50">
        <f t="shared" si="222"/>
        <v>1</v>
      </c>
      <c r="W2247" s="50" t="s">
        <v>150</v>
      </c>
      <c r="X2247" s="50" t="s">
        <v>3527</v>
      </c>
      <c r="Y2247" s="50" t="s">
        <v>3528</v>
      </c>
      <c r="Z2247" s="50" t="s">
        <v>3406</v>
      </c>
      <c r="AA2247" s="50"/>
    </row>
    <row r="2248" spans="1:27" ht="25.5" customHeight="1">
      <c r="A2248" s="517" t="s">
        <v>778</v>
      </c>
      <c r="B2248" s="51" t="s">
        <v>1415</v>
      </c>
      <c r="C2248" s="51" t="s">
        <v>143</v>
      </c>
      <c r="D2248" s="51" t="s">
        <v>4428</v>
      </c>
      <c r="E2248" s="50">
        <v>1883</v>
      </c>
      <c r="F2248" s="50">
        <v>2431</v>
      </c>
      <c r="G2248" s="50" t="s">
        <v>3955</v>
      </c>
      <c r="H2248" s="50"/>
      <c r="I2248" s="105"/>
      <c r="J2248" s="50"/>
      <c r="K2248" s="50" t="s">
        <v>33</v>
      </c>
      <c r="L2248" s="50"/>
      <c r="M2248" s="50" t="s">
        <v>148</v>
      </c>
      <c r="N2248" s="50"/>
      <c r="O2248" s="50"/>
      <c r="P2248" s="50"/>
      <c r="Q2248" s="50"/>
      <c r="R2248" s="50"/>
      <c r="S2248" s="50" t="str">
        <f t="shared" si="221"/>
        <v/>
      </c>
      <c r="T2248" s="50" t="str">
        <f t="shared" ref="T2248:T2254" si="224">IF(
    OR(ISBLANK(O2248), ISBLANK(P2248)),
    "",
    MAX(1, IF(
        NETWORKDAYS(O2248, P2248) &lt;= 0,
        1,
        NETWORKDAYS(O2248, P2248) - IF(O2248 = P2248, 0, 1)
    ))
)</f>
        <v/>
      </c>
      <c r="U2248" s="50" t="str">
        <f t="shared" si="223"/>
        <v/>
      </c>
      <c r="V2248" s="50" t="str">
        <f t="shared" si="222"/>
        <v/>
      </c>
      <c r="W2248" s="50"/>
      <c r="X2248" s="50"/>
      <c r="Y2248" s="50"/>
      <c r="Z2248" s="50"/>
      <c r="AA2248" s="50"/>
    </row>
    <row r="2249" spans="1:27" s="110" customFormat="1" ht="25.5" customHeight="1">
      <c r="A2249" s="50" t="s">
        <v>778</v>
      </c>
      <c r="B2249" s="51" t="s">
        <v>1415</v>
      </c>
      <c r="C2249" s="51" t="s">
        <v>143</v>
      </c>
      <c r="D2249" s="51" t="s">
        <v>5703</v>
      </c>
      <c r="E2249" s="50">
        <v>2891</v>
      </c>
      <c r="F2249" s="50">
        <v>2937</v>
      </c>
      <c r="G2249" s="50" t="s">
        <v>3404</v>
      </c>
      <c r="H2249" s="50">
        <v>2024</v>
      </c>
      <c r="I2249" s="132">
        <v>45393</v>
      </c>
      <c r="J2249" s="50"/>
      <c r="K2249" s="50" t="s">
        <v>33</v>
      </c>
      <c r="L2249" s="50"/>
      <c r="M2249" s="50" t="s">
        <v>148</v>
      </c>
      <c r="N2249" s="50"/>
      <c r="O2249" s="50"/>
      <c r="P2249" s="50"/>
      <c r="Q2249" s="50"/>
      <c r="R2249" s="50"/>
      <c r="S2249" s="50" t="str">
        <f t="shared" si="221"/>
        <v/>
      </c>
      <c r="T2249" s="50" t="str">
        <f t="shared" si="224"/>
        <v/>
      </c>
      <c r="U2249" s="50" t="str">
        <f t="shared" si="223"/>
        <v/>
      </c>
      <c r="V2249" s="50" t="str">
        <f t="shared" si="222"/>
        <v/>
      </c>
      <c r="W2249" s="50"/>
      <c r="X2249" s="50"/>
      <c r="Y2249" s="50"/>
      <c r="Z2249" s="50" t="s">
        <v>3406</v>
      </c>
      <c r="AA2249" s="50"/>
    </row>
    <row r="2250" spans="1:27" ht="25.5" customHeight="1">
      <c r="A2250" s="517" t="s">
        <v>778</v>
      </c>
      <c r="B2250" s="51" t="s">
        <v>1415</v>
      </c>
      <c r="C2250" s="51" t="s">
        <v>143</v>
      </c>
      <c r="D2250" s="51" t="s">
        <v>5704</v>
      </c>
      <c r="E2250" s="50">
        <v>270</v>
      </c>
      <c r="F2250" s="50">
        <v>443</v>
      </c>
      <c r="G2250" s="50" t="s">
        <v>3955</v>
      </c>
      <c r="H2250" s="50"/>
      <c r="I2250" s="105"/>
      <c r="J2250" s="50"/>
      <c r="K2250" s="50" t="s">
        <v>33</v>
      </c>
      <c r="L2250" s="50"/>
      <c r="M2250" s="50" t="s">
        <v>148</v>
      </c>
      <c r="N2250" s="50"/>
      <c r="O2250" s="50"/>
      <c r="P2250" s="50"/>
      <c r="Q2250" s="50"/>
      <c r="R2250" s="50"/>
      <c r="S2250" s="50" t="str">
        <f t="shared" si="221"/>
        <v/>
      </c>
      <c r="T2250" s="50" t="str">
        <f t="shared" si="224"/>
        <v/>
      </c>
      <c r="U2250" s="50" t="str">
        <f t="shared" si="223"/>
        <v/>
      </c>
      <c r="V2250" s="50" t="str">
        <f t="shared" si="222"/>
        <v/>
      </c>
      <c r="W2250" s="50"/>
      <c r="X2250" s="50"/>
      <c r="Y2250" s="50"/>
      <c r="Z2250" s="50"/>
      <c r="AA2250" s="50"/>
    </row>
    <row r="2251" spans="1:27" ht="25.5" customHeight="1">
      <c r="A2251" s="517" t="s">
        <v>778</v>
      </c>
      <c r="B2251" s="51" t="s">
        <v>1415</v>
      </c>
      <c r="C2251" s="51" t="s">
        <v>143</v>
      </c>
      <c r="D2251" s="51" t="s">
        <v>5197</v>
      </c>
      <c r="E2251" s="50">
        <v>5709</v>
      </c>
      <c r="F2251" s="50">
        <v>6138</v>
      </c>
      <c r="G2251" s="50" t="s">
        <v>3955</v>
      </c>
      <c r="H2251" s="50"/>
      <c r="I2251" s="105"/>
      <c r="J2251" s="50"/>
      <c r="K2251" s="50" t="s">
        <v>33</v>
      </c>
      <c r="L2251" s="50"/>
      <c r="M2251" s="50" t="s">
        <v>148</v>
      </c>
      <c r="N2251" s="50"/>
      <c r="O2251" s="50"/>
      <c r="P2251" s="50"/>
      <c r="Q2251" s="50"/>
      <c r="R2251" s="50"/>
      <c r="S2251" s="50" t="str">
        <f t="shared" si="221"/>
        <v/>
      </c>
      <c r="T2251" s="50" t="str">
        <f t="shared" si="224"/>
        <v/>
      </c>
      <c r="U2251" s="50" t="str">
        <f t="shared" si="223"/>
        <v/>
      </c>
      <c r="V2251" s="50" t="str">
        <f t="shared" si="222"/>
        <v/>
      </c>
      <c r="W2251" s="50"/>
      <c r="X2251" s="50"/>
      <c r="Y2251" s="50"/>
      <c r="Z2251" s="50"/>
      <c r="AA2251" s="50"/>
    </row>
    <row r="2252" spans="1:27" ht="25.5" customHeight="1">
      <c r="A2252" s="517" t="s">
        <v>778</v>
      </c>
      <c r="B2252" s="51" t="s">
        <v>1415</v>
      </c>
      <c r="C2252" s="51" t="s">
        <v>143</v>
      </c>
      <c r="D2252" s="51" t="s">
        <v>5705</v>
      </c>
      <c r="E2252" s="50">
        <v>714</v>
      </c>
      <c r="F2252" s="50">
        <v>828</v>
      </c>
      <c r="G2252" s="50" t="s">
        <v>3955</v>
      </c>
      <c r="H2252" s="50"/>
      <c r="I2252" s="105"/>
      <c r="J2252" s="50"/>
      <c r="K2252" s="50" t="s">
        <v>33</v>
      </c>
      <c r="L2252" s="50"/>
      <c r="M2252" s="50" t="s">
        <v>148</v>
      </c>
      <c r="N2252" s="50"/>
      <c r="O2252" s="50"/>
      <c r="P2252" s="50"/>
      <c r="Q2252" s="50"/>
      <c r="R2252" s="50"/>
      <c r="S2252" s="50" t="str">
        <f t="shared" si="221"/>
        <v/>
      </c>
      <c r="T2252" s="50" t="str">
        <f t="shared" si="224"/>
        <v/>
      </c>
      <c r="U2252" s="50" t="str">
        <f t="shared" si="223"/>
        <v/>
      </c>
      <c r="V2252" s="50" t="str">
        <f t="shared" si="222"/>
        <v/>
      </c>
      <c r="W2252" s="50"/>
      <c r="X2252" s="50"/>
      <c r="Y2252" s="50"/>
      <c r="Z2252" s="50"/>
      <c r="AA2252" s="50"/>
    </row>
    <row r="2253" spans="1:27" ht="25.5" customHeight="1">
      <c r="A2253" s="50" t="s">
        <v>778</v>
      </c>
      <c r="B2253" s="51" t="s">
        <v>1415</v>
      </c>
      <c r="C2253" s="51" t="s">
        <v>143</v>
      </c>
      <c r="D2253" s="51" t="s">
        <v>5706</v>
      </c>
      <c r="E2253" s="50">
        <v>3695</v>
      </c>
      <c r="F2253" s="50">
        <v>4803</v>
      </c>
      <c r="G2253" s="50" t="s">
        <v>3404</v>
      </c>
      <c r="H2253" s="50">
        <v>2024</v>
      </c>
      <c r="I2253" s="132">
        <v>45393</v>
      </c>
      <c r="J2253" s="50"/>
      <c r="K2253" s="50" t="s">
        <v>33</v>
      </c>
      <c r="L2253" s="50"/>
      <c r="M2253" s="50" t="s">
        <v>148</v>
      </c>
      <c r="N2253" s="50"/>
      <c r="O2253" s="50"/>
      <c r="P2253" s="50"/>
      <c r="Q2253" s="50"/>
      <c r="R2253" s="50"/>
      <c r="S2253" s="50" t="str">
        <f t="shared" si="221"/>
        <v/>
      </c>
      <c r="T2253" s="50" t="str">
        <f t="shared" si="224"/>
        <v/>
      </c>
      <c r="U2253" s="50" t="str">
        <f t="shared" si="223"/>
        <v/>
      </c>
      <c r="V2253" s="50" t="str">
        <f t="shared" si="222"/>
        <v/>
      </c>
      <c r="W2253" s="50"/>
      <c r="X2253" s="50"/>
      <c r="Y2253" s="50"/>
      <c r="Z2253" s="50" t="s">
        <v>3406</v>
      </c>
      <c r="AA2253" s="50"/>
    </row>
    <row r="2254" spans="1:27" ht="25.5" customHeight="1">
      <c r="A2254" s="517" t="s">
        <v>778</v>
      </c>
      <c r="B2254" s="51" t="s">
        <v>1415</v>
      </c>
      <c r="C2254" s="51" t="s">
        <v>143</v>
      </c>
      <c r="D2254" s="51" t="s">
        <v>5707</v>
      </c>
      <c r="E2254" s="50">
        <v>1743</v>
      </c>
      <c r="F2254" s="50">
        <v>2707</v>
      </c>
      <c r="G2254" s="50" t="s">
        <v>3955</v>
      </c>
      <c r="H2254" s="50"/>
      <c r="I2254" s="105"/>
      <c r="J2254" s="50"/>
      <c r="K2254" s="50" t="s">
        <v>33</v>
      </c>
      <c r="L2254" s="50"/>
      <c r="M2254" s="50" t="s">
        <v>148</v>
      </c>
      <c r="N2254" s="50"/>
      <c r="O2254" s="50"/>
      <c r="P2254" s="50"/>
      <c r="Q2254" s="50"/>
      <c r="R2254" s="50"/>
      <c r="S2254" s="50" t="str">
        <f t="shared" si="221"/>
        <v/>
      </c>
      <c r="T2254" s="50" t="str">
        <f t="shared" si="224"/>
        <v/>
      </c>
      <c r="U2254" s="50" t="str">
        <f t="shared" si="223"/>
        <v/>
      </c>
      <c r="V2254" s="50" t="str">
        <f t="shared" si="222"/>
        <v/>
      </c>
      <c r="W2254" s="50"/>
      <c r="X2254" s="50"/>
      <c r="Y2254" s="50"/>
      <c r="Z2254" s="50"/>
      <c r="AA2254" s="50"/>
    </row>
    <row r="2255" spans="1:27" ht="25.5" customHeight="1">
      <c r="A2255" s="517" t="s">
        <v>778</v>
      </c>
      <c r="B2255" s="51" t="s">
        <v>1415</v>
      </c>
      <c r="C2255" s="51" t="s">
        <v>143</v>
      </c>
      <c r="D2255" s="51" t="s">
        <v>5708</v>
      </c>
      <c r="E2255" s="50">
        <v>4627</v>
      </c>
      <c r="F2255" s="50">
        <v>5576</v>
      </c>
      <c r="G2255" s="50" t="s">
        <v>3404</v>
      </c>
      <c r="H2255" s="50">
        <v>2025</v>
      </c>
      <c r="I2255" s="132">
        <v>45883</v>
      </c>
      <c r="J2255" s="50" t="s">
        <v>3126</v>
      </c>
      <c r="K2255" s="50" t="s">
        <v>33</v>
      </c>
      <c r="L2255" s="50" t="s">
        <v>28</v>
      </c>
      <c r="M2255" s="50" t="s">
        <v>148</v>
      </c>
      <c r="N2255" s="50" t="s">
        <v>5709</v>
      </c>
      <c r="O2255" s="60">
        <v>45883</v>
      </c>
      <c r="P2255" s="60">
        <v>45884</v>
      </c>
      <c r="Q2255" s="60">
        <v>45888</v>
      </c>
      <c r="R2255" s="60">
        <v>45888</v>
      </c>
      <c r="S2255" s="50">
        <f t="shared" si="221"/>
        <v>1</v>
      </c>
      <c r="T2255" s="50">
        <f>IF(
    OR(ISBLANK(1811), ISBLANK(P2255)),
    "",
    MAX(1, IF(
        NETWORKDAYS(O2255, P2255) &lt;= 0,
        1,
        NETWORKDAYS(O2255, P2255) - IF(O2255 = P2255, 0, 1)
    ))
)</f>
        <v>1</v>
      </c>
      <c r="U2255" s="50">
        <f t="shared" si="223"/>
        <v>2</v>
      </c>
      <c r="V2255" s="50">
        <f t="shared" si="222"/>
        <v>1</v>
      </c>
      <c r="W2255" s="50" t="s">
        <v>150</v>
      </c>
      <c r="X2255" s="50" t="s">
        <v>4</v>
      </c>
      <c r="Y2255" s="50" t="s">
        <v>57</v>
      </c>
      <c r="Z2255" s="50" t="s">
        <v>3406</v>
      </c>
      <c r="AA2255" s="50"/>
    </row>
    <row r="2256" spans="1:27" ht="25.5" customHeight="1">
      <c r="A2256" s="517" t="s">
        <v>778</v>
      </c>
      <c r="B2256" s="51" t="s">
        <v>1415</v>
      </c>
      <c r="C2256" s="51" t="s">
        <v>143</v>
      </c>
      <c r="D2256" s="51" t="s">
        <v>5710</v>
      </c>
      <c r="E2256" s="50">
        <v>13606</v>
      </c>
      <c r="F2256" s="50">
        <v>13487</v>
      </c>
      <c r="G2256" s="50" t="s">
        <v>3404</v>
      </c>
      <c r="H2256" s="50">
        <v>2025</v>
      </c>
      <c r="I2256" s="132">
        <v>45821</v>
      </c>
      <c r="J2256" s="50" t="s">
        <v>3689</v>
      </c>
      <c r="K2256" s="50" t="s">
        <v>33</v>
      </c>
      <c r="L2256" s="50" t="s">
        <v>28</v>
      </c>
      <c r="M2256" s="50" t="s">
        <v>148</v>
      </c>
      <c r="N2256" s="50" t="s">
        <v>5711</v>
      </c>
      <c r="O2256" s="60">
        <v>45823</v>
      </c>
      <c r="P2256" s="60">
        <v>45826</v>
      </c>
      <c r="Q2256" s="60">
        <v>45826</v>
      </c>
      <c r="R2256" s="60">
        <v>45826</v>
      </c>
      <c r="S2256" s="50">
        <f t="shared" si="221"/>
        <v>1</v>
      </c>
      <c r="T2256" s="50">
        <f>IF(
    OR(ISBLANK(1811), ISBLANK(P2256)),
    "",
    MAX(1, IF(
        NETWORKDAYS(O2256, P2256) &lt;= 0,
        1,
        NETWORKDAYS(O2256, P2256) - IF(O2256 = P2256, 0, 1)
    ))
)</f>
        <v>2</v>
      </c>
      <c r="U2256" s="50">
        <f t="shared" si="223"/>
        <v>1</v>
      </c>
      <c r="V2256" s="50">
        <f t="shared" si="222"/>
        <v>1</v>
      </c>
      <c r="W2256" s="50" t="s">
        <v>150</v>
      </c>
      <c r="X2256" s="50" t="s">
        <v>3527</v>
      </c>
      <c r="Y2256" s="50" t="s">
        <v>3528</v>
      </c>
      <c r="Z2256" s="50" t="s">
        <v>3406</v>
      </c>
      <c r="AA2256" s="50"/>
    </row>
    <row r="2257" spans="1:27" ht="25.5" customHeight="1">
      <c r="A2257" s="517" t="s">
        <v>778</v>
      </c>
      <c r="B2257" s="51" t="s">
        <v>1415</v>
      </c>
      <c r="C2257" s="51" t="s">
        <v>143</v>
      </c>
      <c r="D2257" s="51" t="s">
        <v>5712</v>
      </c>
      <c r="E2257" s="50">
        <v>7089</v>
      </c>
      <c r="F2257" s="50">
        <v>7297</v>
      </c>
      <c r="G2257" s="50" t="s">
        <v>3404</v>
      </c>
      <c r="H2257" s="50">
        <v>2025</v>
      </c>
      <c r="I2257" s="132">
        <v>45910</v>
      </c>
      <c r="J2257" s="50" t="s">
        <v>3127</v>
      </c>
      <c r="K2257" s="50" t="s">
        <v>33</v>
      </c>
      <c r="L2257" s="50" t="s">
        <v>28</v>
      </c>
      <c r="M2257" s="50" t="s">
        <v>148</v>
      </c>
      <c r="N2257" s="50" t="s">
        <v>5713</v>
      </c>
      <c r="O2257" s="60">
        <v>45913</v>
      </c>
      <c r="P2257" s="60">
        <v>45917</v>
      </c>
      <c r="Q2257" s="60">
        <v>45917</v>
      </c>
      <c r="R2257" s="60">
        <v>45918</v>
      </c>
      <c r="S2257" s="50">
        <f t="shared" si="221"/>
        <v>2</v>
      </c>
      <c r="T2257" s="50">
        <f>IF(
    OR(ISBLANK(1811), ISBLANK(P2257)),
    "",
    MAX(1, IF(
        NETWORKDAYS(O2257, P2257) &lt;= 0,
        1,
        NETWORKDAYS(O2257, P2257) - IF(O2257 = P2257, 0, 1)
    ))
)</f>
        <v>2</v>
      </c>
      <c r="U2257" s="50">
        <f t="shared" si="223"/>
        <v>1</v>
      </c>
      <c r="V2257" s="50">
        <f t="shared" si="222"/>
        <v>1</v>
      </c>
      <c r="W2257" s="50" t="s">
        <v>150</v>
      </c>
      <c r="X2257" s="50" t="s">
        <v>3527</v>
      </c>
      <c r="Y2257" s="50" t="s">
        <v>3528</v>
      </c>
      <c r="Z2257" s="50" t="s">
        <v>3406</v>
      </c>
      <c r="AA2257" s="50"/>
    </row>
    <row r="2258" spans="1:27" ht="25.5" customHeight="1">
      <c r="A2258" s="517" t="s">
        <v>778</v>
      </c>
      <c r="B2258" s="51" t="s">
        <v>1415</v>
      </c>
      <c r="C2258" s="51" t="s">
        <v>143</v>
      </c>
      <c r="D2258" s="51" t="s">
        <v>5714</v>
      </c>
      <c r="E2258" s="50">
        <v>519</v>
      </c>
      <c r="F2258" s="50">
        <v>980</v>
      </c>
      <c r="G2258" s="50" t="s">
        <v>3955</v>
      </c>
      <c r="H2258" s="50"/>
      <c r="I2258" s="105"/>
      <c r="J2258" s="50"/>
      <c r="K2258" s="50" t="s">
        <v>33</v>
      </c>
      <c r="L2258" s="50"/>
      <c r="M2258" s="50" t="s">
        <v>148</v>
      </c>
      <c r="N2258" s="50"/>
      <c r="O2258" s="50"/>
      <c r="P2258" s="50"/>
      <c r="Q2258" s="50"/>
      <c r="R2258" s="50"/>
      <c r="S2258" s="50" t="str">
        <f t="shared" si="221"/>
        <v/>
      </c>
      <c r="T2258" s="50" t="str">
        <f>IF(
    OR(ISBLANK(O2258), ISBLANK(P2258)),
    "",
    MAX(1, IF(
        NETWORKDAYS(O2258, P2258) &lt;= 0,
        1,
        NETWORKDAYS(O2258, P2258) - IF(O2258 = P2258, 0, 1)
    ))
)</f>
        <v/>
      </c>
      <c r="U2258" s="50" t="str">
        <f t="shared" si="223"/>
        <v/>
      </c>
      <c r="V2258" s="50" t="str">
        <f t="shared" si="222"/>
        <v/>
      </c>
      <c r="W2258" s="50"/>
      <c r="X2258" s="50"/>
      <c r="Y2258" s="50"/>
      <c r="Z2258" s="50"/>
      <c r="AA2258" s="50"/>
    </row>
    <row r="2259" spans="1:27" ht="25.5" customHeight="1">
      <c r="A2259" s="517" t="s">
        <v>778</v>
      </c>
      <c r="B2259" s="51" t="s">
        <v>1415</v>
      </c>
      <c r="C2259" s="51" t="s">
        <v>143</v>
      </c>
      <c r="D2259" s="51" t="s">
        <v>5715</v>
      </c>
      <c r="E2259" s="50">
        <v>641</v>
      </c>
      <c r="F2259" s="50">
        <v>1766</v>
      </c>
      <c r="G2259" s="50" t="s">
        <v>3955</v>
      </c>
      <c r="H2259" s="50"/>
      <c r="I2259" s="105"/>
      <c r="J2259" s="50"/>
      <c r="K2259" s="50" t="s">
        <v>33</v>
      </c>
      <c r="L2259" s="50"/>
      <c r="M2259" s="50" t="s">
        <v>148</v>
      </c>
      <c r="N2259" s="50"/>
      <c r="O2259" s="50"/>
      <c r="P2259" s="50"/>
      <c r="Q2259" s="50"/>
      <c r="R2259" s="50"/>
      <c r="S2259" s="50" t="str">
        <f t="shared" si="221"/>
        <v/>
      </c>
      <c r="T2259" s="50" t="str">
        <f>IF(
    OR(ISBLANK(O2259), ISBLANK(P2259)),
    "",
    MAX(1, IF(
        NETWORKDAYS(O2259, P2259) &lt;= 0,
        1,
        NETWORKDAYS(O2259, P2259) - IF(O2259 = P2259, 0, 1)
    ))
)</f>
        <v/>
      </c>
      <c r="U2259" s="50" t="str">
        <f t="shared" si="223"/>
        <v/>
      </c>
      <c r="V2259" s="50" t="str">
        <f t="shared" si="222"/>
        <v/>
      </c>
      <c r="W2259" s="50"/>
      <c r="X2259" s="50"/>
      <c r="Y2259" s="50"/>
      <c r="Z2259" s="50"/>
      <c r="AA2259" s="50"/>
    </row>
    <row r="2260" spans="1:27" ht="25.5" customHeight="1">
      <c r="A2260" s="517" t="s">
        <v>778</v>
      </c>
      <c r="B2260" s="51" t="s">
        <v>1415</v>
      </c>
      <c r="C2260" s="51" t="s">
        <v>143</v>
      </c>
      <c r="D2260" s="51" t="s">
        <v>5716</v>
      </c>
      <c r="E2260" s="50">
        <v>3487</v>
      </c>
      <c r="F2260" s="50">
        <v>4426</v>
      </c>
      <c r="G2260" s="50" t="s">
        <v>3404</v>
      </c>
      <c r="H2260" s="50">
        <v>2025</v>
      </c>
      <c r="I2260" s="132">
        <v>45841</v>
      </c>
      <c r="J2260" s="50" t="s">
        <v>3125</v>
      </c>
      <c r="K2260" s="50" t="s">
        <v>33</v>
      </c>
      <c r="L2260" s="50" t="s">
        <v>28</v>
      </c>
      <c r="M2260" s="50" t="s">
        <v>148</v>
      </c>
      <c r="N2260" s="50" t="s">
        <v>5717</v>
      </c>
      <c r="O2260" s="60">
        <v>45844</v>
      </c>
      <c r="P2260" s="60">
        <v>45847</v>
      </c>
      <c r="Q2260" s="60">
        <v>45854</v>
      </c>
      <c r="R2260" s="60">
        <v>45855</v>
      </c>
      <c r="S2260" s="50">
        <f t="shared" si="221"/>
        <v>1</v>
      </c>
      <c r="T2260" s="50">
        <f>IF(
    OR(ISBLANK(1811), ISBLANK(P2260)),
    "",
    MAX(1, IF(
        NETWORKDAYS(O2260, P2260) &lt;= 0,
        1,
        NETWORKDAYS(O2260, P2260) - IF(O2260 = P2260, 0, 1)
    ))
)</f>
        <v>2</v>
      </c>
      <c r="U2260" s="50">
        <f t="shared" si="223"/>
        <v>5</v>
      </c>
      <c r="V2260" s="50">
        <f t="shared" si="222"/>
        <v>1</v>
      </c>
      <c r="W2260" s="50" t="s">
        <v>150</v>
      </c>
      <c r="X2260" s="50" t="s">
        <v>3527</v>
      </c>
      <c r="Y2260" s="50" t="s">
        <v>3528</v>
      </c>
      <c r="Z2260" s="50" t="s">
        <v>3406</v>
      </c>
      <c r="AA2260" s="50"/>
    </row>
    <row r="2261" spans="1:27" s="110" customFormat="1" ht="25.5" customHeight="1">
      <c r="A2261" s="517" t="s">
        <v>778</v>
      </c>
      <c r="B2261" s="51" t="s">
        <v>1415</v>
      </c>
      <c r="C2261" s="51" t="s">
        <v>143</v>
      </c>
      <c r="D2261" s="51" t="s">
        <v>4828</v>
      </c>
      <c r="E2261" s="50">
        <v>3577</v>
      </c>
      <c r="F2261" s="50">
        <v>3983</v>
      </c>
      <c r="G2261" s="50" t="s">
        <v>3955</v>
      </c>
      <c r="H2261" s="50"/>
      <c r="I2261" s="105"/>
      <c r="J2261" s="50"/>
      <c r="K2261" s="50" t="s">
        <v>33</v>
      </c>
      <c r="L2261" s="50"/>
      <c r="M2261" s="50" t="s">
        <v>148</v>
      </c>
      <c r="N2261" s="50"/>
      <c r="O2261" s="50"/>
      <c r="P2261" s="50"/>
      <c r="Q2261" s="50"/>
      <c r="R2261" s="50"/>
      <c r="S2261" s="50" t="str">
        <f t="shared" si="221"/>
        <v/>
      </c>
      <c r="T2261" s="50" t="str">
        <f>IF(
    OR(ISBLANK(O2261), ISBLANK(P2261)),
    "",
    MAX(1, IF(
        NETWORKDAYS(O2261, P2261) &lt;= 0,
        1,
        NETWORKDAYS(O2261, P2261) - IF(O2261 = P2261, 0, 1)
    ))
)</f>
        <v/>
      </c>
      <c r="U2261" s="50" t="str">
        <f t="shared" si="223"/>
        <v/>
      </c>
      <c r="V2261" s="50" t="str">
        <f t="shared" si="222"/>
        <v/>
      </c>
      <c r="W2261" s="50"/>
      <c r="X2261" s="50"/>
      <c r="Y2261" s="50"/>
      <c r="Z2261" s="50"/>
      <c r="AA2261" s="50"/>
    </row>
    <row r="2262" spans="1:27" ht="25.5" customHeight="1">
      <c r="A2262" s="517" t="s">
        <v>778</v>
      </c>
      <c r="B2262" s="51" t="s">
        <v>1415</v>
      </c>
      <c r="C2262" s="51" t="s">
        <v>143</v>
      </c>
      <c r="D2262" s="51" t="s">
        <v>5718</v>
      </c>
      <c r="E2262" s="50">
        <v>16838</v>
      </c>
      <c r="F2262" s="50">
        <v>18206</v>
      </c>
      <c r="G2262" s="50" t="s">
        <v>3404</v>
      </c>
      <c r="H2262" s="50">
        <v>2025</v>
      </c>
      <c r="I2262" s="132">
        <v>45847</v>
      </c>
      <c r="J2262" s="50" t="s">
        <v>3125</v>
      </c>
      <c r="K2262" s="50" t="s">
        <v>33</v>
      </c>
      <c r="L2262" s="50" t="s">
        <v>28</v>
      </c>
      <c r="M2262" s="50" t="s">
        <v>148</v>
      </c>
      <c r="N2262" s="50" t="s">
        <v>5719</v>
      </c>
      <c r="O2262" s="60">
        <v>45850</v>
      </c>
      <c r="P2262" s="60">
        <v>45856</v>
      </c>
      <c r="Q2262" s="60">
        <v>45856</v>
      </c>
      <c r="R2262" s="60">
        <v>45856</v>
      </c>
      <c r="S2262" s="50">
        <f t="shared" si="221"/>
        <v>2</v>
      </c>
      <c r="T2262" s="50">
        <f>IF(
    OR(ISBLANK(1811), ISBLANK(P2262)),
    "",
    MAX(1, IF(
        NETWORKDAYS(O2262, P2262) &lt;= 0,
        1,
        NETWORKDAYS(O2262, P2262) - IF(O2262 = P2262, 0, 1)
    ))
)</f>
        <v>4</v>
      </c>
      <c r="U2262" s="50">
        <f t="shared" si="223"/>
        <v>1</v>
      </c>
      <c r="V2262" s="50">
        <f t="shared" si="222"/>
        <v>1</v>
      </c>
      <c r="W2262" s="50" t="s">
        <v>150</v>
      </c>
      <c r="X2262" s="50" t="s">
        <v>3527</v>
      </c>
      <c r="Y2262" s="50" t="s">
        <v>3528</v>
      </c>
      <c r="Z2262" s="50" t="s">
        <v>3406</v>
      </c>
      <c r="AA2262" s="50"/>
    </row>
    <row r="2263" spans="1:27" ht="25.5" customHeight="1">
      <c r="A2263" s="517" t="s">
        <v>778</v>
      </c>
      <c r="B2263" s="51" t="s">
        <v>1415</v>
      </c>
      <c r="C2263" s="51" t="s">
        <v>143</v>
      </c>
      <c r="D2263" s="51" t="s">
        <v>1614</v>
      </c>
      <c r="E2263" s="50">
        <v>3823</v>
      </c>
      <c r="F2263" s="50">
        <v>5068</v>
      </c>
      <c r="G2263" s="50" t="s">
        <v>3404</v>
      </c>
      <c r="H2263" s="50">
        <v>2025</v>
      </c>
      <c r="I2263" s="132">
        <v>45701</v>
      </c>
      <c r="J2263" s="50" t="s">
        <v>3458</v>
      </c>
      <c r="K2263" s="50" t="s">
        <v>33</v>
      </c>
      <c r="L2263" s="50"/>
      <c r="M2263" s="50" t="s">
        <v>148</v>
      </c>
      <c r="N2263" s="50" t="s">
        <v>5720</v>
      </c>
      <c r="O2263" s="60">
        <v>45705</v>
      </c>
      <c r="P2263" s="50"/>
      <c r="Q2263" s="60">
        <v>45706</v>
      </c>
      <c r="R2263" s="60">
        <v>45706</v>
      </c>
      <c r="S2263" s="50">
        <f t="shared" si="221"/>
        <v>2</v>
      </c>
      <c r="T2263" s="50" t="str">
        <f>IF(
    OR(ISBLANK(O2263), ISBLANK(P2263)),
    "",
    MAX(1, IF(
        NETWORKDAYS(O2263, P2263) &lt;= 0,
        1,
        NETWORKDAYS(O2263, P2263) - IF(O2263 = QP2263, 0, 1)
    ))
)</f>
        <v/>
      </c>
      <c r="U2263" s="50">
        <f>IF(
    OR(ISBLANK(1816), ISBLANK(Q2263)),
    "",
    MAX(1, IF(
        NETWORKDAYS(O2263, Q2263) &lt;= 0,
        1,
        NETWORKDAYS(O2263, Q2263) - IF(O2263 = Q2263, 0, 1)
    ))
)</f>
        <v>1</v>
      </c>
      <c r="V2263" s="50">
        <f t="shared" si="222"/>
        <v>1</v>
      </c>
      <c r="W2263" s="50" t="s">
        <v>150</v>
      </c>
      <c r="X2263" s="50" t="s">
        <v>1078</v>
      </c>
      <c r="Y2263" s="50" t="s">
        <v>50</v>
      </c>
      <c r="Z2263" s="50" t="s">
        <v>3406</v>
      </c>
      <c r="AA2263" s="50"/>
    </row>
    <row r="2264" spans="1:27" ht="25.5" customHeight="1">
      <c r="A2264" s="517" t="s">
        <v>778</v>
      </c>
      <c r="B2264" s="51" t="s">
        <v>1415</v>
      </c>
      <c r="C2264" s="51" t="s">
        <v>143</v>
      </c>
      <c r="D2264" s="51" t="s">
        <v>1056</v>
      </c>
      <c r="E2264" s="50">
        <v>2044</v>
      </c>
      <c r="F2264" s="50">
        <v>1555</v>
      </c>
      <c r="G2264" s="50" t="s">
        <v>3404</v>
      </c>
      <c r="H2264" s="50">
        <v>2025</v>
      </c>
      <c r="I2264" s="132">
        <v>45883</v>
      </c>
      <c r="J2264" s="50" t="s">
        <v>3126</v>
      </c>
      <c r="K2264" s="50" t="s">
        <v>33</v>
      </c>
      <c r="L2264" s="50" t="s">
        <v>28</v>
      </c>
      <c r="M2264" s="50" t="s">
        <v>148</v>
      </c>
      <c r="N2264" s="50" t="s">
        <v>5721</v>
      </c>
      <c r="O2264" s="60">
        <v>45883</v>
      </c>
      <c r="P2264" s="60">
        <v>45884</v>
      </c>
      <c r="Q2264" s="60">
        <v>45888</v>
      </c>
      <c r="R2264" s="60">
        <v>45888</v>
      </c>
      <c r="S2264" s="50">
        <f t="shared" si="221"/>
        <v>1</v>
      </c>
      <c r="T2264" s="50">
        <f>IF(
    OR(ISBLANK(1811), ISBLANK(P2264)),
    "",
    MAX(1, IF(
        NETWORKDAYS(O2264, P2264) &lt;= 0,
        1,
        NETWORKDAYS(O2264, P2264) - IF(O2264 = P2264, 0, 1)
    ))
)</f>
        <v>1</v>
      </c>
      <c r="U2264" s="50">
        <f>IF(
    OR(ISBLANK(P2264), ISBLANK(Q2264)),
    "",
    MAX(1, IF(
        NETWORKDAYS(P2264, Q2264) &lt;= 0,
        1,
        NETWORKDAYS(P2264, Q2264) - IF(P2264 = Q2264, 0, 1)
    ))
)</f>
        <v>2</v>
      </c>
      <c r="V2264" s="50">
        <f t="shared" si="222"/>
        <v>1</v>
      </c>
      <c r="W2264" s="50" t="s">
        <v>150</v>
      </c>
      <c r="X2264" s="50" t="s">
        <v>3527</v>
      </c>
      <c r="Y2264" s="50" t="s">
        <v>3528</v>
      </c>
      <c r="Z2264" s="50" t="s">
        <v>3406</v>
      </c>
      <c r="AA2264" s="50"/>
    </row>
    <row r="2265" spans="1:27" ht="25.5" customHeight="1">
      <c r="A2265" s="517" t="s">
        <v>778</v>
      </c>
      <c r="B2265" s="51" t="s">
        <v>1415</v>
      </c>
      <c r="C2265" s="51" t="s">
        <v>143</v>
      </c>
      <c r="D2265" s="51" t="s">
        <v>5722</v>
      </c>
      <c r="E2265" s="50">
        <v>5354</v>
      </c>
      <c r="F2265" s="50">
        <v>5591</v>
      </c>
      <c r="G2265" s="50" t="s">
        <v>3404</v>
      </c>
      <c r="H2265" s="50">
        <v>2025</v>
      </c>
      <c r="I2265" s="518">
        <v>45910</v>
      </c>
      <c r="J2265" s="50" t="s">
        <v>3127</v>
      </c>
      <c r="K2265" s="50" t="s">
        <v>33</v>
      </c>
      <c r="L2265" s="50" t="s">
        <v>28</v>
      </c>
      <c r="M2265" s="50" t="s">
        <v>148</v>
      </c>
      <c r="N2265" s="50" t="s">
        <v>5723</v>
      </c>
      <c r="O2265" s="346">
        <v>45913</v>
      </c>
      <c r="P2265" s="60">
        <v>45917</v>
      </c>
      <c r="Q2265" s="60">
        <v>45917</v>
      </c>
      <c r="R2265" s="60">
        <v>45918</v>
      </c>
      <c r="S2265" s="50">
        <f t="shared" si="221"/>
        <v>2</v>
      </c>
      <c r="T2265" s="50">
        <f>IF(
    OR(ISBLANK(1811), ISBLANK(P2265)),
    "",
    MAX(1, IF(
        NETWORKDAYS(O2265, P2265) &lt;= 0,
        1,
        NETWORKDAYS(O2265, P2265) - IF(O2265 = P2265, 0, 1)
    ))
)</f>
        <v>2</v>
      </c>
      <c r="U2265" s="50">
        <f>IF(
    OR(ISBLANK(P2265), ISBLANK(Q2265)),
    "",
    MAX(1, IF(
        NETWORKDAYS(P2265, Q2265) &lt;= 0,
        1,
        NETWORKDAYS(P2265, Q2265) - IF(P2265 = Q2265, 0, 1)
    ))
)</f>
        <v>1</v>
      </c>
      <c r="V2265" s="50">
        <f t="shared" si="222"/>
        <v>1</v>
      </c>
      <c r="W2265" s="50" t="s">
        <v>150</v>
      </c>
      <c r="X2265" s="50" t="s">
        <v>3527</v>
      </c>
      <c r="Y2265" s="50" t="s">
        <v>3528</v>
      </c>
      <c r="Z2265" s="50" t="s">
        <v>3406</v>
      </c>
      <c r="AA2265" s="50"/>
    </row>
    <row r="2266" spans="1:27" ht="25.5" customHeight="1">
      <c r="A2266" s="517" t="s">
        <v>778</v>
      </c>
      <c r="B2266" s="51" t="s">
        <v>1415</v>
      </c>
      <c r="C2266" s="51" t="s">
        <v>143</v>
      </c>
      <c r="D2266" s="51" t="s">
        <v>5724</v>
      </c>
      <c r="E2266" s="50">
        <v>835</v>
      </c>
      <c r="F2266" s="50">
        <v>1021</v>
      </c>
      <c r="G2266" s="50" t="s">
        <v>3955</v>
      </c>
      <c r="H2266" s="50"/>
      <c r="I2266" s="105"/>
      <c r="J2266" s="50"/>
      <c r="K2266" s="50" t="s">
        <v>33</v>
      </c>
      <c r="L2266" s="50"/>
      <c r="M2266" s="50" t="s">
        <v>148</v>
      </c>
      <c r="N2266" s="50"/>
      <c r="O2266" s="50"/>
      <c r="P2266" s="50"/>
      <c r="Q2266" s="50"/>
      <c r="R2266" s="50"/>
      <c r="S2266" s="50" t="str">
        <f t="shared" si="221"/>
        <v/>
      </c>
      <c r="T2266" s="50" t="str">
        <f>IF(
    OR(ISBLANK(O2266), ISBLANK(P2266)),
    "",
    MAX(1, IF(
        NETWORKDAYS(O2266, P2266) &lt;= 0,
        1,
        NETWORKDAYS(O2266, P2266) - IF(O2266 = P2266, 0, 1)
    ))
)</f>
        <v/>
      </c>
      <c r="U2266" s="50" t="str">
        <f>IF(
    OR(ISBLANK(P2266), ISBLANK(Q2266)),
    "",
    MAX(1, IF(
        NETWORKDAYS(P2266, Q2266) &lt;= 0,
        1,
        NETWORKDAYS(P2266, Q2266) - IF(P2266 = Q2266, 0, 1)
    ))
)</f>
        <v/>
      </c>
      <c r="V2266" s="50" t="str">
        <f t="shared" si="222"/>
        <v/>
      </c>
      <c r="W2266" s="50"/>
      <c r="X2266" s="50"/>
      <c r="Y2266" s="50"/>
      <c r="Z2266" s="50"/>
      <c r="AA2266" s="50"/>
    </row>
    <row r="2267" spans="1:27" ht="25.5" customHeight="1">
      <c r="A2267" s="517" t="s">
        <v>778</v>
      </c>
      <c r="B2267" s="51" t="s">
        <v>1415</v>
      </c>
      <c r="C2267" s="51" t="s">
        <v>143</v>
      </c>
      <c r="D2267" s="51" t="s">
        <v>1416</v>
      </c>
      <c r="E2267" s="50">
        <v>654</v>
      </c>
      <c r="F2267" s="50">
        <v>1412</v>
      </c>
      <c r="G2267" s="50" t="s">
        <v>3404</v>
      </c>
      <c r="H2267" s="50">
        <v>2025</v>
      </c>
      <c r="I2267" s="132">
        <v>45821</v>
      </c>
      <c r="J2267" s="50" t="s">
        <v>3689</v>
      </c>
      <c r="K2267" s="50" t="s">
        <v>33</v>
      </c>
      <c r="L2267" s="50" t="s">
        <v>28</v>
      </c>
      <c r="M2267" s="50" t="s">
        <v>148</v>
      </c>
      <c r="N2267" s="50" t="s">
        <v>5725</v>
      </c>
      <c r="O2267" s="60">
        <v>45823</v>
      </c>
      <c r="P2267" s="60">
        <v>45826</v>
      </c>
      <c r="Q2267" s="60">
        <v>45826</v>
      </c>
      <c r="R2267" s="60">
        <v>45826</v>
      </c>
      <c r="S2267" s="50">
        <f t="shared" si="221"/>
        <v>1</v>
      </c>
      <c r="T2267" s="50">
        <f>IF(
    OR(ISBLANK(1811), ISBLANK(P2267)),
    "",
    MAX(1, IF(
        NETWORKDAYS(O2267, P2267) &lt;= 0,
        1,
        NETWORKDAYS(O2267, P2267) - IF(O2267 = P2267, 0, 1)
    ))
)</f>
        <v>2</v>
      </c>
      <c r="U2267" s="50">
        <f>IF(
    OR(ISBLANK(P2267), ISBLANK(Q2267)),
    "",
    MAX(1, IF(
        NETWORKDAYS(P2267, Q2267) &lt;= 0,
        1,
        NETWORKDAYS(P2267, Q2267) - IF(P2267 = Q2267, 0, 1)
    ))
)</f>
        <v>1</v>
      </c>
      <c r="V2267" s="50">
        <f t="shared" si="222"/>
        <v>1</v>
      </c>
      <c r="W2267" s="50" t="s">
        <v>150</v>
      </c>
      <c r="X2267" s="50" t="s">
        <v>1078</v>
      </c>
      <c r="Y2267" s="50" t="s">
        <v>50</v>
      </c>
      <c r="Z2267" s="50" t="s">
        <v>3406</v>
      </c>
      <c r="AA2267" s="50"/>
    </row>
    <row r="2268" spans="1:27" ht="25.5" customHeight="1">
      <c r="A2268" s="517" t="s">
        <v>778</v>
      </c>
      <c r="B2268" s="51" t="s">
        <v>1415</v>
      </c>
      <c r="C2268" s="51" t="s">
        <v>143</v>
      </c>
      <c r="D2268" s="51" t="s">
        <v>1899</v>
      </c>
      <c r="E2268" s="50">
        <v>17501</v>
      </c>
      <c r="F2268" s="50">
        <v>18624</v>
      </c>
      <c r="G2268" s="50" t="s">
        <v>3404</v>
      </c>
      <c r="H2268" s="50">
        <v>2025</v>
      </c>
      <c r="I2268" s="132">
        <v>45727</v>
      </c>
      <c r="J2268" s="50" t="s">
        <v>3416</v>
      </c>
      <c r="K2268" s="50" t="s">
        <v>33</v>
      </c>
      <c r="L2268" s="50"/>
      <c r="M2268" s="50" t="s">
        <v>148</v>
      </c>
      <c r="N2268" s="50" t="s">
        <v>5726</v>
      </c>
      <c r="O2268" s="60">
        <v>45728</v>
      </c>
      <c r="P2268" s="50"/>
      <c r="Q2268" s="60">
        <v>45733</v>
      </c>
      <c r="R2268" s="60">
        <v>45734</v>
      </c>
      <c r="S2268" s="50">
        <f t="shared" si="221"/>
        <v>1</v>
      </c>
      <c r="T2268" s="50" t="str">
        <f>IF(
    OR(ISBLANK(O2268), ISBLANK(P2268)),
    "",
    MAX(1, IF(
        NETWORKDAYS(O2268, P2268) &lt;= 0,
        1,
        NETWORKDAYS(O2268, P2268) - IF(O2268 = QP2268, 0, 1)
    ))
)</f>
        <v/>
      </c>
      <c r="U2268" s="50">
        <f>IF(
    OR(ISBLANK(1816), ISBLANK(Q2268)),
    "",
    MAX(1, IF(
        NETWORKDAYS(O2268, Q2268) &lt;= 0,
        1,
        NETWORKDAYS(O2268, Q2268) - IF(O2268 = Q2268, 0, 1)
    ))
)</f>
        <v>3</v>
      </c>
      <c r="V2268" s="50">
        <f t="shared" si="222"/>
        <v>1</v>
      </c>
      <c r="W2268" s="50" t="s">
        <v>150</v>
      </c>
      <c r="X2268" s="50" t="s">
        <v>3527</v>
      </c>
      <c r="Y2268" s="50" t="s">
        <v>3528</v>
      </c>
      <c r="Z2268" s="50" t="s">
        <v>3406</v>
      </c>
      <c r="AA2268" s="50"/>
    </row>
    <row r="2269" spans="1:27" ht="25.5" customHeight="1">
      <c r="A2269" s="517" t="s">
        <v>778</v>
      </c>
      <c r="B2269" s="51" t="s">
        <v>1415</v>
      </c>
      <c r="C2269" s="51" t="s">
        <v>143</v>
      </c>
      <c r="D2269" s="51" t="s">
        <v>5727</v>
      </c>
      <c r="E2269" s="50">
        <v>1264</v>
      </c>
      <c r="F2269" s="50">
        <v>1398</v>
      </c>
      <c r="G2269" s="50" t="s">
        <v>3955</v>
      </c>
      <c r="H2269" s="50"/>
      <c r="I2269" s="105"/>
      <c r="J2269" s="50"/>
      <c r="K2269" s="50" t="s">
        <v>33</v>
      </c>
      <c r="L2269" s="50"/>
      <c r="M2269" s="50" t="s">
        <v>148</v>
      </c>
      <c r="N2269" s="50"/>
      <c r="O2269" s="50"/>
      <c r="P2269" s="50"/>
      <c r="Q2269" s="50"/>
      <c r="R2269" s="50"/>
      <c r="S2269" s="50" t="str">
        <f t="shared" si="221"/>
        <v/>
      </c>
      <c r="T2269" s="50" t="str">
        <f t="shared" ref="T2269:U2271" si="225">IF(
    OR(ISBLANK(O2269), ISBLANK(P2269)),
    "",
    MAX(1, IF(
        NETWORKDAYS(O2269, P2269) &lt;= 0,
        1,
        NETWORKDAYS(O2269, P2269) - IF(O2269 = P2269, 0, 1)
    ))
)</f>
        <v/>
      </c>
      <c r="U2269" s="50" t="str">
        <f t="shared" si="225"/>
        <v/>
      </c>
      <c r="V2269" s="50" t="str">
        <f t="shared" si="222"/>
        <v/>
      </c>
      <c r="W2269" s="50"/>
      <c r="X2269" s="50"/>
      <c r="Y2269" s="50"/>
      <c r="Z2269" s="50"/>
      <c r="AA2269" s="50"/>
    </row>
    <row r="2270" spans="1:27" ht="25.5" customHeight="1">
      <c r="A2270" s="517" t="s">
        <v>778</v>
      </c>
      <c r="B2270" s="51" t="s">
        <v>1415</v>
      </c>
      <c r="C2270" s="51" t="s">
        <v>143</v>
      </c>
      <c r="D2270" s="51" t="s">
        <v>5728</v>
      </c>
      <c r="E2270" s="50">
        <v>3031</v>
      </c>
      <c r="F2270" s="50">
        <v>3637</v>
      </c>
      <c r="G2270" s="50" t="s">
        <v>3955</v>
      </c>
      <c r="H2270" s="50"/>
      <c r="I2270" s="105"/>
      <c r="J2270" s="50"/>
      <c r="K2270" s="50" t="s">
        <v>33</v>
      </c>
      <c r="L2270" s="50"/>
      <c r="M2270" s="50" t="s">
        <v>148</v>
      </c>
      <c r="N2270" s="50"/>
      <c r="O2270" s="50"/>
      <c r="P2270" s="50"/>
      <c r="Q2270" s="50"/>
      <c r="R2270" s="50"/>
      <c r="S2270" s="50" t="str">
        <f t="shared" si="221"/>
        <v/>
      </c>
      <c r="T2270" s="50" t="str">
        <f t="shared" si="225"/>
        <v/>
      </c>
      <c r="U2270" s="50" t="str">
        <f t="shared" si="225"/>
        <v/>
      </c>
      <c r="V2270" s="50" t="str">
        <f t="shared" si="222"/>
        <v/>
      </c>
      <c r="W2270" s="50"/>
      <c r="X2270" s="50"/>
      <c r="Y2270" s="50"/>
      <c r="Z2270" s="50"/>
      <c r="AA2270" s="50"/>
    </row>
    <row r="2271" spans="1:27" ht="25.5" customHeight="1">
      <c r="A2271" s="517" t="s">
        <v>778</v>
      </c>
      <c r="B2271" s="51" t="s">
        <v>1415</v>
      </c>
      <c r="C2271" s="51" t="s">
        <v>143</v>
      </c>
      <c r="D2271" s="51" t="s">
        <v>5729</v>
      </c>
      <c r="E2271" s="50">
        <v>839</v>
      </c>
      <c r="F2271" s="50">
        <v>1120</v>
      </c>
      <c r="G2271" s="50" t="s">
        <v>3955</v>
      </c>
      <c r="H2271" s="50"/>
      <c r="I2271" s="105"/>
      <c r="J2271" s="50"/>
      <c r="K2271" s="50" t="s">
        <v>33</v>
      </c>
      <c r="L2271" s="50"/>
      <c r="M2271" s="50" t="s">
        <v>148</v>
      </c>
      <c r="N2271" s="50"/>
      <c r="O2271" s="50"/>
      <c r="P2271" s="50"/>
      <c r="Q2271" s="50"/>
      <c r="R2271" s="50"/>
      <c r="S2271" s="50" t="str">
        <f t="shared" si="221"/>
        <v/>
      </c>
      <c r="T2271" s="50" t="str">
        <f t="shared" si="225"/>
        <v/>
      </c>
      <c r="U2271" s="50" t="str">
        <f t="shared" si="225"/>
        <v/>
      </c>
      <c r="V2271" s="50" t="str">
        <f t="shared" si="222"/>
        <v/>
      </c>
      <c r="W2271" s="50"/>
      <c r="X2271" s="50"/>
      <c r="Y2271" s="50"/>
      <c r="Z2271" s="50"/>
      <c r="AA2271" s="50"/>
    </row>
    <row r="2272" spans="1:27" s="110" customFormat="1" ht="25.5" customHeight="1">
      <c r="A2272" s="517" t="s">
        <v>778</v>
      </c>
      <c r="B2272" s="51" t="s">
        <v>992</v>
      </c>
      <c r="C2272" s="51" t="s">
        <v>143</v>
      </c>
      <c r="D2272" s="51" t="s">
        <v>858</v>
      </c>
      <c r="E2272" s="50">
        <v>7463</v>
      </c>
      <c r="F2272" s="50">
        <v>7384</v>
      </c>
      <c r="G2272" s="50" t="s">
        <v>3404</v>
      </c>
      <c r="H2272" s="50">
        <v>2025</v>
      </c>
      <c r="I2272" s="132">
        <v>45912</v>
      </c>
      <c r="J2272" s="50" t="s">
        <v>3127</v>
      </c>
      <c r="K2272" s="50" t="s">
        <v>1345</v>
      </c>
      <c r="L2272" s="50"/>
      <c r="M2272" s="50" t="s">
        <v>148</v>
      </c>
      <c r="N2272" s="50" t="s">
        <v>5730</v>
      </c>
      <c r="O2272" s="60">
        <v>45917</v>
      </c>
      <c r="P2272" s="50"/>
      <c r="Q2272" s="60">
        <v>45917</v>
      </c>
      <c r="R2272" s="60">
        <v>45918</v>
      </c>
      <c r="S2272" s="50">
        <f t="shared" si="221"/>
        <v>3</v>
      </c>
      <c r="T2272" s="50" t="str">
        <f>IF(
    OR(ISBLANK(O2272), ISBLANK(P2272)),
    "",
    MAX(1, IF(
        NETWORKDAYS(O2272, P2272) &lt;= 0,
        1,
        NETWORKDAYS(O2272, P2272) - IF(O2272 = QP2272, 0, 1)
    ))
)</f>
        <v/>
      </c>
      <c r="U2272" s="50">
        <f>IF(
    OR(ISBLANK(1816), ISBLANK(Q2272)),
    "",
    MAX(1, IF(
        NETWORKDAYS(O2272, Q2272) &lt;= 0,
        1,
        NETWORKDAYS(O2272, Q2272) - IF(O2272 = Q2272, 0, 1)
    ))
)</f>
        <v>1</v>
      </c>
      <c r="V2272" s="50">
        <f t="shared" si="222"/>
        <v>1</v>
      </c>
      <c r="W2272" s="50" t="s">
        <v>150</v>
      </c>
      <c r="X2272" s="50" t="s">
        <v>3527</v>
      </c>
      <c r="Y2272" s="50" t="s">
        <v>3528</v>
      </c>
      <c r="Z2272" s="50" t="s">
        <v>3406</v>
      </c>
      <c r="AA2272" s="50"/>
    </row>
    <row r="2273" spans="1:27" ht="25.5" customHeight="1">
      <c r="A2273" s="517" t="s">
        <v>778</v>
      </c>
      <c r="B2273" s="51" t="s">
        <v>992</v>
      </c>
      <c r="C2273" s="51" t="s">
        <v>143</v>
      </c>
      <c r="D2273" s="51" t="s">
        <v>4126</v>
      </c>
      <c r="E2273" s="50">
        <v>1475</v>
      </c>
      <c r="F2273" s="50">
        <v>1563</v>
      </c>
      <c r="G2273" s="50" t="s">
        <v>3955</v>
      </c>
      <c r="H2273" s="50"/>
      <c r="I2273" s="132"/>
      <c r="J2273" s="50"/>
      <c r="K2273" s="50" t="s">
        <v>1345</v>
      </c>
      <c r="L2273" s="50"/>
      <c r="M2273" s="50" t="s">
        <v>148</v>
      </c>
      <c r="N2273" s="50"/>
      <c r="O2273" s="60"/>
      <c r="P2273" s="50"/>
      <c r="Q2273" s="60"/>
      <c r="R2273" s="50"/>
      <c r="S2273" s="50" t="str">
        <f t="shared" si="221"/>
        <v/>
      </c>
      <c r="T2273" s="50" t="str">
        <f>IF(
    OR(ISBLANK(O2273), ISBLANK(P2273)),
    "",
    MAX(1, IF(
        NETWORKDAYS(O2273, P2273) &lt;= 0,
        1,
        NETWORKDAYS(O2273, P2273) - IF(O2273 = P2273, 0, 1)
    ))
)</f>
        <v/>
      </c>
      <c r="U2273" s="50" t="str">
        <f>IF(
    OR(ISBLANK(P2273), ISBLANK(Q2273)),
    "",
    MAX(1, IF(
        NETWORKDAYS(P2273, Q2273) &lt;= 0,
        1,
        NETWORKDAYS(P2273, Q2273) - IF(P2273 = Q2273, 0, 1)
    ))
)</f>
        <v/>
      </c>
      <c r="V2273" s="50" t="str">
        <f t="shared" si="222"/>
        <v/>
      </c>
      <c r="W2273" s="50"/>
      <c r="X2273" s="50"/>
      <c r="Y2273" s="50"/>
      <c r="Z2273" s="50"/>
      <c r="AA2273" s="50"/>
    </row>
    <row r="2274" spans="1:27" ht="25.5" customHeight="1">
      <c r="A2274" s="50" t="s">
        <v>778</v>
      </c>
      <c r="B2274" s="51" t="s">
        <v>992</v>
      </c>
      <c r="C2274" s="51" t="s">
        <v>143</v>
      </c>
      <c r="D2274" s="51" t="s">
        <v>3809</v>
      </c>
      <c r="E2274" s="50">
        <v>3859</v>
      </c>
      <c r="F2274" s="50">
        <v>4458</v>
      </c>
      <c r="G2274" s="50" t="s">
        <v>3404</v>
      </c>
      <c r="H2274" s="50">
        <v>2025</v>
      </c>
      <c r="I2274" s="132">
        <v>45758</v>
      </c>
      <c r="J2274" s="50" t="s">
        <v>3470</v>
      </c>
      <c r="K2274" s="50" t="s">
        <v>1345</v>
      </c>
      <c r="L2274" s="50"/>
      <c r="M2274" s="50" t="s">
        <v>148</v>
      </c>
      <c r="N2274" s="50" t="s">
        <v>5731</v>
      </c>
      <c r="O2274" s="60">
        <v>45762</v>
      </c>
      <c r="P2274" s="50"/>
      <c r="Q2274" s="60">
        <v>45762</v>
      </c>
      <c r="R2274" s="60">
        <v>45762</v>
      </c>
      <c r="S2274" s="50">
        <f t="shared" si="221"/>
        <v>2</v>
      </c>
      <c r="T2274" s="50" t="str">
        <f>IF(
    OR(ISBLANK(O2274), ISBLANK(P2274)),
    "",
    MAX(1, IF(
        NETWORKDAYS(O2274, P2274) &lt;= 0,
        1,
        NETWORKDAYS(O2274, P2274) - IF(O2274 = QP2274, 0, 1)
    ))
)</f>
        <v/>
      </c>
      <c r="U2274" s="50">
        <f>IF(
    OR(ISBLANK(1816), ISBLANK(Q2274)),
    "",
    MAX(1, IF(
        NETWORKDAYS(O2274, Q2274) &lt;= 0,
        1,
        NETWORKDAYS(O2274, Q2274) - IF(O2274 = Q2274, 0, 1)
    ))
)</f>
        <v>1</v>
      </c>
      <c r="V2274" s="50">
        <f t="shared" si="222"/>
        <v>1</v>
      </c>
      <c r="W2274" s="50" t="s">
        <v>150</v>
      </c>
      <c r="X2274" s="50" t="s">
        <v>4</v>
      </c>
      <c r="Y2274" s="50" t="s">
        <v>50</v>
      </c>
      <c r="Z2274" s="50" t="s">
        <v>3406</v>
      </c>
      <c r="AA2274" s="50"/>
    </row>
    <row r="2275" spans="1:27" s="110" customFormat="1" ht="25.5" customHeight="1">
      <c r="A2275" s="517" t="s">
        <v>778</v>
      </c>
      <c r="B2275" s="51" t="s">
        <v>992</v>
      </c>
      <c r="C2275" s="51" t="s">
        <v>143</v>
      </c>
      <c r="D2275" s="51" t="s">
        <v>1180</v>
      </c>
      <c r="E2275" s="50">
        <v>6976</v>
      </c>
      <c r="F2275" s="50">
        <v>7312</v>
      </c>
      <c r="G2275" s="50" t="s">
        <v>3955</v>
      </c>
      <c r="H2275" s="50"/>
      <c r="I2275" s="132"/>
      <c r="J2275" s="50"/>
      <c r="K2275" s="50" t="s">
        <v>1345</v>
      </c>
      <c r="L2275" s="50"/>
      <c r="M2275" s="50" t="s">
        <v>148</v>
      </c>
      <c r="N2275" s="50"/>
      <c r="O2275" s="60"/>
      <c r="P2275" s="50"/>
      <c r="Q2275" s="60"/>
      <c r="R2275" s="50"/>
      <c r="S2275" s="50" t="str">
        <f t="shared" si="221"/>
        <v/>
      </c>
      <c r="T2275" s="50" t="str">
        <f>IF(
    OR(ISBLANK(O2275), ISBLANK(P2275)),
    "",
    MAX(1, IF(
        NETWORKDAYS(O2275, P2275) &lt;= 0,
        1,
        NETWORKDAYS(O2275, P2275) - IF(O2275 = P2275, 0, 1)
    ))
)</f>
        <v/>
      </c>
      <c r="U2275" s="50" t="str">
        <f>IF(
    OR(ISBLANK(P2275), ISBLANK(Q2275)),
    "",
    MAX(1, IF(
        NETWORKDAYS(P2275, Q2275) &lt;= 0,
        1,
        NETWORKDAYS(P2275, Q2275) - IF(P2275 = Q2275, 0, 1)
    ))
)</f>
        <v/>
      </c>
      <c r="V2275" s="50" t="str">
        <f t="shared" si="222"/>
        <v/>
      </c>
      <c r="W2275" s="50"/>
      <c r="X2275" s="50"/>
      <c r="Y2275" s="50"/>
      <c r="Z2275" s="50"/>
      <c r="AA2275" s="50"/>
    </row>
    <row r="2276" spans="1:27" ht="25.5" customHeight="1">
      <c r="A2276" s="517" t="s">
        <v>778</v>
      </c>
      <c r="B2276" s="51" t="s">
        <v>992</v>
      </c>
      <c r="C2276" s="51" t="s">
        <v>143</v>
      </c>
      <c r="D2276" s="51" t="s">
        <v>4258</v>
      </c>
      <c r="E2276" s="50">
        <v>2334</v>
      </c>
      <c r="F2276" s="50">
        <v>2623</v>
      </c>
      <c r="G2276" s="50" t="s">
        <v>3404</v>
      </c>
      <c r="H2276" s="50">
        <v>2025</v>
      </c>
      <c r="I2276" s="132">
        <v>45912</v>
      </c>
      <c r="J2276" s="50" t="s">
        <v>3127</v>
      </c>
      <c r="K2276" s="50" t="s">
        <v>1345</v>
      </c>
      <c r="L2276" s="50"/>
      <c r="M2276" s="50" t="s">
        <v>148</v>
      </c>
      <c r="N2276" s="50" t="s">
        <v>5732</v>
      </c>
      <c r="O2276" s="60">
        <v>45917</v>
      </c>
      <c r="P2276" s="50"/>
      <c r="Q2276" s="60">
        <v>45917</v>
      </c>
      <c r="R2276" s="60">
        <v>45918</v>
      </c>
      <c r="S2276" s="50">
        <f t="shared" si="221"/>
        <v>3</v>
      </c>
      <c r="T2276" s="50" t="str">
        <f>IF(
    OR(ISBLANK(O2276), ISBLANK(P2276)),
    "",
    MAX(1, IF(
        NETWORKDAYS(O2276, P2276) &lt;= 0,
        1,
        NETWORKDAYS(O2276, P2276) - IF(O2276 = QP2276, 0, 1)
    ))
)</f>
        <v/>
      </c>
      <c r="U2276" s="50">
        <f>IF(
    OR(ISBLANK(1816), ISBLANK(Q2276)),
    "",
    MAX(1, IF(
        NETWORKDAYS(O2276, Q2276) &lt;= 0,
        1,
        NETWORKDAYS(O2276, Q2276) - IF(O2276 = Q2276, 0, 1)
    ))
)</f>
        <v>1</v>
      </c>
      <c r="V2276" s="50">
        <f t="shared" si="222"/>
        <v>1</v>
      </c>
      <c r="W2276" s="50" t="s">
        <v>150</v>
      </c>
      <c r="X2276" s="50" t="s">
        <v>3527</v>
      </c>
      <c r="Y2276" s="50" t="s">
        <v>3528</v>
      </c>
      <c r="Z2276" s="50" t="s">
        <v>3406</v>
      </c>
      <c r="AA2276" s="50"/>
    </row>
    <row r="2277" spans="1:27" ht="25.5" customHeight="1">
      <c r="A2277" s="50" t="s">
        <v>778</v>
      </c>
      <c r="B2277" s="51" t="s">
        <v>992</v>
      </c>
      <c r="C2277" s="51" t="s">
        <v>143</v>
      </c>
      <c r="D2277" s="51" t="s">
        <v>918</v>
      </c>
      <c r="E2277" s="50">
        <v>5513</v>
      </c>
      <c r="F2277" s="50">
        <v>6322</v>
      </c>
      <c r="G2277" s="50" t="s">
        <v>3404</v>
      </c>
      <c r="H2277" s="50">
        <v>2024</v>
      </c>
      <c r="I2277" s="132">
        <v>45608</v>
      </c>
      <c r="J2277" s="50"/>
      <c r="K2277" s="50" t="s">
        <v>1345</v>
      </c>
      <c r="L2277" s="50"/>
      <c r="M2277" s="50" t="s">
        <v>148</v>
      </c>
      <c r="N2277" s="50"/>
      <c r="O2277" s="50"/>
      <c r="P2277" s="50"/>
      <c r="Q2277" s="50"/>
      <c r="R2277" s="50"/>
      <c r="S2277" s="50" t="str">
        <f t="shared" si="221"/>
        <v/>
      </c>
      <c r="T2277" s="50" t="str">
        <f>IF(
    OR(ISBLANK(O2277), ISBLANK(P2277)),
    "",
    MAX(1, IF(
        NETWORKDAYS(O2277, P2277) &lt;= 0,
        1,
        NETWORKDAYS(O2277, P2277) - IF(O2277 = P2277, 0, 1)
    ))
)</f>
        <v/>
      </c>
      <c r="U2277" s="50" t="str">
        <f>IF(
    OR(ISBLANK(P2277), ISBLANK(Q2277)),
    "",
    MAX(1, IF(
        NETWORKDAYS(P2277, Q2277) &lt;= 0,
        1,
        NETWORKDAYS(P2277, Q2277) - IF(P2277 = Q2277, 0, 1)
    ))
)</f>
        <v/>
      </c>
      <c r="V2277" s="50" t="str">
        <f t="shared" si="222"/>
        <v/>
      </c>
      <c r="W2277" s="50"/>
      <c r="X2277" s="50" t="s">
        <v>4</v>
      </c>
      <c r="Y2277" s="50" t="s">
        <v>57</v>
      </c>
      <c r="Z2277" s="50" t="s">
        <v>3406</v>
      </c>
      <c r="AA2277" s="50"/>
    </row>
    <row r="2278" spans="1:27" ht="25.5" customHeight="1">
      <c r="A2278" s="517" t="s">
        <v>778</v>
      </c>
      <c r="B2278" s="51" t="s">
        <v>992</v>
      </c>
      <c r="C2278" s="51" t="s">
        <v>143</v>
      </c>
      <c r="D2278" s="51" t="s">
        <v>1439</v>
      </c>
      <c r="E2278" s="50">
        <v>1700</v>
      </c>
      <c r="F2278" s="50">
        <v>1829</v>
      </c>
      <c r="G2278" s="50" t="s">
        <v>3955</v>
      </c>
      <c r="H2278" s="50"/>
      <c r="I2278" s="132"/>
      <c r="J2278" s="50"/>
      <c r="K2278" s="50" t="s">
        <v>1345</v>
      </c>
      <c r="L2278" s="50"/>
      <c r="M2278" s="50" t="s">
        <v>148</v>
      </c>
      <c r="N2278" s="50"/>
      <c r="O2278" s="60"/>
      <c r="P2278" s="50"/>
      <c r="Q2278" s="60"/>
      <c r="R2278" s="50"/>
      <c r="S2278" s="50" t="str">
        <f t="shared" si="221"/>
        <v/>
      </c>
      <c r="T2278" s="50" t="str">
        <f>IF(
    OR(ISBLANK(O2278), ISBLANK(P2278)),
    "",
    MAX(1, IF(
        NETWORKDAYS(O2278, P2278) &lt;= 0,
        1,
        NETWORKDAYS(O2278, P2278) - IF(O2278 = P2278, 0, 1)
    ))
)</f>
        <v/>
      </c>
      <c r="U2278" s="50" t="str">
        <f>IF(
    OR(ISBLANK(P2278), ISBLANK(Q2278)),
    "",
    MAX(1, IF(
        NETWORKDAYS(P2278, Q2278) &lt;= 0,
        1,
        NETWORKDAYS(P2278, Q2278) - IF(P2278 = Q2278, 0, 1)
    ))
)</f>
        <v/>
      </c>
      <c r="V2278" s="50" t="str">
        <f t="shared" si="222"/>
        <v/>
      </c>
      <c r="W2278" s="50"/>
      <c r="X2278" s="50"/>
      <c r="Y2278" s="50"/>
      <c r="Z2278" s="50"/>
      <c r="AA2278" s="50"/>
    </row>
    <row r="2279" spans="1:27" ht="25.5" customHeight="1">
      <c r="A2279" s="517" t="s">
        <v>778</v>
      </c>
      <c r="B2279" s="51" t="s">
        <v>992</v>
      </c>
      <c r="C2279" s="51" t="s">
        <v>143</v>
      </c>
      <c r="D2279" s="51" t="s">
        <v>3974</v>
      </c>
      <c r="E2279" s="50">
        <v>5406</v>
      </c>
      <c r="F2279" s="50">
        <v>5254</v>
      </c>
      <c r="G2279" s="50" t="s">
        <v>3404</v>
      </c>
      <c r="H2279" s="50">
        <v>2025</v>
      </c>
      <c r="I2279" s="132">
        <v>45728</v>
      </c>
      <c r="J2279" s="50" t="s">
        <v>3416</v>
      </c>
      <c r="K2279" s="50" t="s">
        <v>1345</v>
      </c>
      <c r="L2279" s="50"/>
      <c r="M2279" s="50" t="s">
        <v>148</v>
      </c>
      <c r="N2279" s="50" t="s">
        <v>5733</v>
      </c>
      <c r="O2279" s="60">
        <v>45734</v>
      </c>
      <c r="P2279" s="50"/>
      <c r="Q2279" s="60">
        <v>45734</v>
      </c>
      <c r="R2279" s="60">
        <v>45735</v>
      </c>
      <c r="S2279" s="50">
        <f t="shared" si="221"/>
        <v>4</v>
      </c>
      <c r="T2279" s="50" t="str">
        <f>IF(
    OR(ISBLANK(O2279), ISBLANK(P2279)),
    "",
    MAX(1, IF(
        NETWORKDAYS(O2279, P2279) &lt;= 0,
        1,
        NETWORKDAYS(O2279, P2279) - IF(O2279 = QP2279, 0, 1)
    ))
)</f>
        <v/>
      </c>
      <c r="U2279" s="50">
        <f>IF(
    OR(ISBLANK(1816), ISBLANK(Q2279)),
    "",
    MAX(1, IF(
        NETWORKDAYS(O2279, Q2279) &lt;= 0,
        1,
        NETWORKDAYS(O2279, Q2279) - IF(O2279 = Q2279, 0, 1)
    ))
)</f>
        <v>1</v>
      </c>
      <c r="V2279" s="50">
        <f t="shared" si="222"/>
        <v>1</v>
      </c>
      <c r="W2279" s="50" t="s">
        <v>150</v>
      </c>
      <c r="X2279" s="50" t="s">
        <v>4</v>
      </c>
      <c r="Y2279" s="50" t="s">
        <v>62</v>
      </c>
      <c r="Z2279" s="50" t="s">
        <v>3406</v>
      </c>
      <c r="AA2279" s="50"/>
    </row>
    <row r="2280" spans="1:27" ht="25.5" customHeight="1">
      <c r="A2280" s="517" t="s">
        <v>778</v>
      </c>
      <c r="B2280" s="51" t="s">
        <v>992</v>
      </c>
      <c r="C2280" s="51" t="s">
        <v>143</v>
      </c>
      <c r="D2280" s="51" t="s">
        <v>5734</v>
      </c>
      <c r="E2280" s="50">
        <v>1535</v>
      </c>
      <c r="F2280" s="50">
        <v>1761</v>
      </c>
      <c r="G2280" s="50" t="s">
        <v>3404</v>
      </c>
      <c r="H2280" s="50">
        <v>2025</v>
      </c>
      <c r="I2280" s="132">
        <v>45912</v>
      </c>
      <c r="J2280" s="50" t="s">
        <v>3127</v>
      </c>
      <c r="K2280" s="50" t="s">
        <v>1345</v>
      </c>
      <c r="L2280" s="50"/>
      <c r="M2280" s="50" t="s">
        <v>148</v>
      </c>
      <c r="N2280" s="50" t="s">
        <v>5735</v>
      </c>
      <c r="O2280" s="60">
        <v>45917</v>
      </c>
      <c r="P2280" s="50"/>
      <c r="Q2280" s="60">
        <v>45917</v>
      </c>
      <c r="R2280" s="60">
        <v>45918</v>
      </c>
      <c r="S2280" s="50">
        <f t="shared" si="221"/>
        <v>3</v>
      </c>
      <c r="T2280" s="50" t="str">
        <f>IF(
    OR(ISBLANK(O2280), ISBLANK(P2280)),
    "",
    MAX(1, IF(
        NETWORKDAYS(O2280, P2280) &lt;= 0,
        1,
        NETWORKDAYS(O2280, P2280) - IF(O2280 = QP2280, 0, 1)
    ))
)</f>
        <v/>
      </c>
      <c r="U2280" s="50">
        <f>IF(
    OR(ISBLANK(1816), ISBLANK(Q2280)),
    "",
    MAX(1, IF(
        NETWORKDAYS(O2280, Q2280) &lt;= 0,
        1,
        NETWORKDAYS(O2280, Q2280) - IF(O2280 = Q2280, 0, 1)
    ))
)</f>
        <v>1</v>
      </c>
      <c r="V2280" s="50">
        <f t="shared" si="222"/>
        <v>1</v>
      </c>
      <c r="W2280" s="50" t="s">
        <v>150</v>
      </c>
      <c r="X2280" s="50" t="s">
        <v>3527</v>
      </c>
      <c r="Y2280" s="50" t="s">
        <v>3528</v>
      </c>
      <c r="Z2280" s="50" t="s">
        <v>3406</v>
      </c>
      <c r="AA2280" s="50"/>
    </row>
    <row r="2281" spans="1:27" ht="25.5" customHeight="1">
      <c r="A2281" s="517" t="s">
        <v>778</v>
      </c>
      <c r="B2281" s="51" t="s">
        <v>992</v>
      </c>
      <c r="C2281" s="51" t="s">
        <v>143</v>
      </c>
      <c r="D2281" s="51" t="s">
        <v>5319</v>
      </c>
      <c r="E2281" s="50">
        <v>3097</v>
      </c>
      <c r="F2281" s="50">
        <v>3451</v>
      </c>
      <c r="G2281" s="50" t="s">
        <v>3955</v>
      </c>
      <c r="H2281" s="50"/>
      <c r="I2281" s="105"/>
      <c r="J2281" s="50"/>
      <c r="K2281" s="50" t="s">
        <v>1345</v>
      </c>
      <c r="L2281" s="50"/>
      <c r="M2281" s="50" t="s">
        <v>148</v>
      </c>
      <c r="N2281" s="50"/>
      <c r="O2281" s="50"/>
      <c r="P2281" s="50"/>
      <c r="Q2281" s="50"/>
      <c r="R2281" s="50"/>
      <c r="S2281" s="50" t="str">
        <f t="shared" si="221"/>
        <v/>
      </c>
      <c r="T2281" s="50" t="str">
        <f>IF(
    OR(ISBLANK(O2281), ISBLANK(P2281)),
    "",
    MAX(1, IF(
        NETWORKDAYS(O2281, P2281) &lt;= 0,
        1,
        NETWORKDAYS(O2281, P2281) - IF(O2281 = P2281, 0, 1)
    ))
)</f>
        <v/>
      </c>
      <c r="U2281" s="50" t="str">
        <f>IF(
    OR(ISBLANK(P2281), ISBLANK(Q2281)),
    "",
    MAX(1, IF(
        NETWORKDAYS(P2281, Q2281) &lt;= 0,
        1,
        NETWORKDAYS(P2281, Q2281) - IF(P2281 = Q2281, 0, 1)
    ))
)</f>
        <v/>
      </c>
      <c r="V2281" s="50" t="str">
        <f t="shared" si="222"/>
        <v/>
      </c>
      <c r="W2281" s="50"/>
      <c r="X2281" s="50"/>
      <c r="Y2281" s="50"/>
      <c r="Z2281" s="50"/>
      <c r="AA2281" s="50"/>
    </row>
    <row r="2282" spans="1:27" s="110" customFormat="1" ht="25.5" customHeight="1">
      <c r="A2282" s="517" t="s">
        <v>778</v>
      </c>
      <c r="B2282" s="51" t="s">
        <v>992</v>
      </c>
      <c r="C2282" s="51" t="s">
        <v>143</v>
      </c>
      <c r="D2282" s="51" t="s">
        <v>5736</v>
      </c>
      <c r="E2282" s="50">
        <v>1192</v>
      </c>
      <c r="F2282" s="50">
        <v>1333</v>
      </c>
      <c r="G2282" s="50" t="s">
        <v>3955</v>
      </c>
      <c r="H2282" s="50"/>
      <c r="I2282" s="105"/>
      <c r="J2282" s="50"/>
      <c r="K2282" s="50" t="s">
        <v>1345</v>
      </c>
      <c r="L2282" s="50"/>
      <c r="M2282" s="50" t="s">
        <v>148</v>
      </c>
      <c r="N2282" s="50"/>
      <c r="O2282" s="50"/>
      <c r="P2282" s="50"/>
      <c r="Q2282" s="50"/>
      <c r="R2282" s="50"/>
      <c r="S2282" s="50" t="str">
        <f t="shared" si="221"/>
        <v/>
      </c>
      <c r="T2282" s="50" t="str">
        <f>IF(
    OR(ISBLANK(O2282), ISBLANK(P2282)),
    "",
    MAX(1, IF(
        NETWORKDAYS(O2282, P2282) &lt;= 0,
        1,
        NETWORKDAYS(O2282, P2282) - IF(O2282 = P2282, 0, 1)
    ))
)</f>
        <v/>
      </c>
      <c r="U2282" s="50" t="str">
        <f>IF(
    OR(ISBLANK(P2282), ISBLANK(Q2282)),
    "",
    MAX(1, IF(
        NETWORKDAYS(P2282, Q2282) &lt;= 0,
        1,
        NETWORKDAYS(P2282, Q2282) - IF(P2282 = Q2282, 0, 1)
    ))
)</f>
        <v/>
      </c>
      <c r="V2282" s="50" t="str">
        <f t="shared" si="222"/>
        <v/>
      </c>
      <c r="W2282" s="50"/>
      <c r="X2282" s="50"/>
      <c r="Y2282" s="50"/>
      <c r="Z2282" s="50"/>
      <c r="AA2282" s="50"/>
    </row>
    <row r="2283" spans="1:27" ht="25.5" customHeight="1">
      <c r="A2283" s="517" t="s">
        <v>778</v>
      </c>
      <c r="B2283" s="51" t="s">
        <v>992</v>
      </c>
      <c r="C2283" s="51" t="s">
        <v>143</v>
      </c>
      <c r="D2283" s="51" t="s">
        <v>4242</v>
      </c>
      <c r="E2283" s="50">
        <v>2395</v>
      </c>
      <c r="F2283" s="50">
        <v>2645</v>
      </c>
      <c r="G2283" s="50" t="s">
        <v>3404</v>
      </c>
      <c r="H2283" s="50">
        <v>2025</v>
      </c>
      <c r="I2283" s="132">
        <v>45912</v>
      </c>
      <c r="J2283" s="50" t="s">
        <v>3127</v>
      </c>
      <c r="K2283" s="50" t="s">
        <v>1345</v>
      </c>
      <c r="L2283" s="50"/>
      <c r="M2283" s="50" t="s">
        <v>148</v>
      </c>
      <c r="N2283" s="50" t="s">
        <v>5737</v>
      </c>
      <c r="O2283" s="60">
        <v>45917</v>
      </c>
      <c r="P2283" s="60"/>
      <c r="Q2283" s="60">
        <v>45917</v>
      </c>
      <c r="R2283" s="60">
        <v>45918</v>
      </c>
      <c r="S2283" s="50">
        <f t="shared" si="221"/>
        <v>3</v>
      </c>
      <c r="T2283" s="50" t="str">
        <f>IF(
    OR(ISBLANK(O2283), ISBLANK(P2283)),
    "",
    MAX(1, IF(
        NETWORKDAYS(O2283, P2283) &lt;= 0,
        1,
        NETWORKDAYS(O2283, P2283) - IF(O2283 = QP2283, 0, 1)
    ))
)</f>
        <v/>
      </c>
      <c r="U2283" s="50">
        <f>IF(
    OR(ISBLANK(1816), ISBLANK(Q2283)),
    "",
    MAX(1, IF(
        NETWORKDAYS(O2283, Q2283) &lt;= 0,
        1,
        NETWORKDAYS(O2283, Q2283) - IF(O2283 = Q2283, 0, 1)
    ))
)</f>
        <v>1</v>
      </c>
      <c r="V2283" s="50">
        <f t="shared" si="222"/>
        <v>1</v>
      </c>
      <c r="W2283" s="50" t="s">
        <v>150</v>
      </c>
      <c r="X2283" s="50" t="s">
        <v>3527</v>
      </c>
      <c r="Y2283" s="50" t="s">
        <v>3528</v>
      </c>
      <c r="Z2283" s="50" t="s">
        <v>3406</v>
      </c>
      <c r="AA2283" s="50"/>
    </row>
    <row r="2284" spans="1:27" ht="25.5" customHeight="1">
      <c r="A2284" s="50" t="s">
        <v>778</v>
      </c>
      <c r="B2284" s="51" t="s">
        <v>992</v>
      </c>
      <c r="C2284" s="51" t="s">
        <v>143</v>
      </c>
      <c r="D2284" s="51" t="s">
        <v>3565</v>
      </c>
      <c r="E2284" s="50">
        <v>1594</v>
      </c>
      <c r="F2284" s="50">
        <v>1584</v>
      </c>
      <c r="G2284" s="50" t="s">
        <v>3404</v>
      </c>
      <c r="H2284" s="50">
        <v>2025</v>
      </c>
      <c r="I2284" s="132">
        <v>45702</v>
      </c>
      <c r="J2284" s="50" t="s">
        <v>3458</v>
      </c>
      <c r="K2284" s="50" t="s">
        <v>1345</v>
      </c>
      <c r="L2284" s="50"/>
      <c r="M2284" s="50" t="s">
        <v>148</v>
      </c>
      <c r="N2284" s="50" t="s">
        <v>5738</v>
      </c>
      <c r="O2284" s="132">
        <v>45706</v>
      </c>
      <c r="P2284" s="132"/>
      <c r="Q2284" s="132">
        <v>45706</v>
      </c>
      <c r="R2284" s="132">
        <v>45706</v>
      </c>
      <c r="S2284" s="50">
        <f t="shared" si="221"/>
        <v>2</v>
      </c>
      <c r="T2284" s="50" t="str">
        <f>IF(
    OR(ISBLANK(O2284), ISBLANK(P2284)),
    "",
    MAX(1, IF(
        NETWORKDAYS(O2284, P2284) &lt;= 0,
        1,
        NETWORKDAYS(O2284, P2284) - IF(O2284 = QP2284, 0, 1)
    ))
)</f>
        <v/>
      </c>
      <c r="U2284" s="50">
        <f>IF(
    OR(ISBLANK(1816), ISBLANK(Q2284)),
    "",
    MAX(1, IF(
        NETWORKDAYS(O2284, Q2284) &lt;= 0,
        1,
        NETWORKDAYS(O2284, Q2284) - IF(O2284 = Q2284, 0, 1)
    ))
)</f>
        <v>1</v>
      </c>
      <c r="V2284" s="50">
        <f t="shared" si="222"/>
        <v>1</v>
      </c>
      <c r="W2284" s="50" t="s">
        <v>150</v>
      </c>
      <c r="X2284" s="50" t="s">
        <v>1078</v>
      </c>
      <c r="Y2284" s="50" t="s">
        <v>50</v>
      </c>
      <c r="Z2284" s="50" t="s">
        <v>3406</v>
      </c>
      <c r="AA2284" s="50"/>
    </row>
    <row r="2285" spans="1:27" ht="25.5" customHeight="1">
      <c r="A2285" s="517" t="s">
        <v>778</v>
      </c>
      <c r="B2285" s="51" t="s">
        <v>992</v>
      </c>
      <c r="C2285" s="51" t="s">
        <v>143</v>
      </c>
      <c r="D2285" s="51" t="s">
        <v>1424</v>
      </c>
      <c r="E2285" s="50">
        <v>2887</v>
      </c>
      <c r="F2285" s="50">
        <v>3207</v>
      </c>
      <c r="G2285" s="50" t="s">
        <v>3404</v>
      </c>
      <c r="H2285" s="50">
        <v>2025</v>
      </c>
      <c r="I2285" s="132">
        <v>45679</v>
      </c>
      <c r="J2285" s="50" t="s">
        <v>3424</v>
      </c>
      <c r="K2285" s="50" t="s">
        <v>1345</v>
      </c>
      <c r="L2285" s="50"/>
      <c r="M2285" s="50" t="s">
        <v>148</v>
      </c>
      <c r="N2285" s="50" t="s">
        <v>5739</v>
      </c>
      <c r="O2285" s="60">
        <v>45679</v>
      </c>
      <c r="P2285" s="50"/>
      <c r="Q2285" s="60">
        <v>45681</v>
      </c>
      <c r="R2285" s="60">
        <v>45681</v>
      </c>
      <c r="S2285" s="50">
        <f t="shared" si="221"/>
        <v>1</v>
      </c>
      <c r="T2285" s="50" t="str">
        <f>IF(
    OR(ISBLANK(O2285), ISBLANK(P2285)),
    "",
    MAX(1, IF(
        NETWORKDAYS(O2285, P2285) &lt;= 0,
        1,
        NETWORKDAYS(O2285, P2285) - IF(O2285 = QP2285, 0, 1)
    ))
)</f>
        <v/>
      </c>
      <c r="U2285" s="50">
        <f>IF(
    OR(ISBLANK(1816), ISBLANK(Q2285)),
    "",
    MAX(1, IF(
        NETWORKDAYS(O2285, Q2285) &lt;= 0,
        1,
        NETWORKDAYS(O2285, Q2285) - IF(O2285 = Q2285, 0, 1)
    ))
)</f>
        <v>2</v>
      </c>
      <c r="V2285" s="50">
        <f t="shared" si="222"/>
        <v>1</v>
      </c>
      <c r="W2285" s="50" t="s">
        <v>150</v>
      </c>
      <c r="X2285" s="50" t="s">
        <v>1078</v>
      </c>
      <c r="Y2285" s="50" t="s">
        <v>50</v>
      </c>
      <c r="Z2285" s="50" t="s">
        <v>3406</v>
      </c>
      <c r="AA2285" s="50"/>
    </row>
    <row r="2286" spans="1:27" ht="25.5" customHeight="1">
      <c r="A2286" s="517" t="s">
        <v>778</v>
      </c>
      <c r="B2286" s="51" t="s">
        <v>992</v>
      </c>
      <c r="C2286" s="51" t="s">
        <v>143</v>
      </c>
      <c r="D2286" s="51" t="s">
        <v>3566</v>
      </c>
      <c r="E2286" s="50">
        <v>2212</v>
      </c>
      <c r="F2286" s="50">
        <v>2524</v>
      </c>
      <c r="G2286" s="50" t="s">
        <v>3404</v>
      </c>
      <c r="H2286" s="50">
        <v>2025</v>
      </c>
      <c r="I2286" s="132">
        <v>45912</v>
      </c>
      <c r="J2286" s="50" t="s">
        <v>3127</v>
      </c>
      <c r="K2286" s="50" t="s">
        <v>1345</v>
      </c>
      <c r="L2286" s="50"/>
      <c r="M2286" s="50" t="s">
        <v>148</v>
      </c>
      <c r="N2286" s="50" t="s">
        <v>5740</v>
      </c>
      <c r="O2286" s="60">
        <v>45917</v>
      </c>
      <c r="P2286" s="50"/>
      <c r="Q2286" s="60">
        <v>45917</v>
      </c>
      <c r="R2286" s="60">
        <v>45918</v>
      </c>
      <c r="S2286" s="50">
        <f t="shared" si="221"/>
        <v>3</v>
      </c>
      <c r="T2286" s="50" t="str">
        <f>IF(
    OR(ISBLANK(O2286), ISBLANK(P2286)),
    "",
    MAX(1, IF(
        NETWORKDAYS(O2286, P2286) &lt;= 0,
        1,
        NETWORKDAYS(O2286, P2286) - IF(O2286 = QP2286, 0, 1)
    ))
)</f>
        <v/>
      </c>
      <c r="U2286" s="50">
        <f>IF(
    OR(ISBLANK(1816), ISBLANK(Q2286)),
    "",
    MAX(1, IF(
        NETWORKDAYS(O2286, Q2286) &lt;= 0,
        1,
        NETWORKDAYS(O2286, Q2286) - IF(O2286 = Q2286, 0, 1)
    ))
)</f>
        <v>1</v>
      </c>
      <c r="V2286" s="50">
        <f t="shared" si="222"/>
        <v>1</v>
      </c>
      <c r="W2286" s="50" t="s">
        <v>150</v>
      </c>
      <c r="X2286" s="50" t="s">
        <v>3527</v>
      </c>
      <c r="Y2286" s="50" t="s">
        <v>3528</v>
      </c>
      <c r="Z2286" s="50" t="s">
        <v>3406</v>
      </c>
      <c r="AA2286" s="50"/>
    </row>
    <row r="2287" spans="1:27" ht="25.5" customHeight="1">
      <c r="A2287" s="517" t="s">
        <v>778</v>
      </c>
      <c r="B2287" s="51" t="s">
        <v>992</v>
      </c>
      <c r="C2287" s="51" t="s">
        <v>143</v>
      </c>
      <c r="D2287" s="51" t="s">
        <v>3727</v>
      </c>
      <c r="E2287" s="50">
        <v>2496</v>
      </c>
      <c r="F2287" s="50">
        <v>2921</v>
      </c>
      <c r="G2287" s="50" t="s">
        <v>3955</v>
      </c>
      <c r="H2287" s="616"/>
      <c r="I2287" s="633"/>
      <c r="J2287" s="50"/>
      <c r="K2287" s="50" t="s">
        <v>1345</v>
      </c>
      <c r="L2287" s="50"/>
      <c r="M2287" s="50" t="s">
        <v>148</v>
      </c>
      <c r="N2287" s="616"/>
      <c r="O2287" s="616"/>
      <c r="P2287" s="616"/>
      <c r="Q2287" s="616"/>
      <c r="R2287" s="616"/>
      <c r="S2287" s="616" t="str">
        <f t="shared" si="221"/>
        <v/>
      </c>
      <c r="T2287" s="616" t="str">
        <f>IF(
    OR(ISBLANK(O2287), ISBLANK(P2287)),
    "",
    MAX(1, IF(
        NETWORKDAYS(O2287, P2287) &lt;= 0,
        1,
        NETWORKDAYS(O2287, P2287) - IF(O2287 = P2287, 0, 1)
    ))
)</f>
        <v/>
      </c>
      <c r="U2287" s="616" t="str">
        <f>IF(
    OR(ISBLANK(P2287), ISBLANK(Q2287)),
    "",
    MAX(1, IF(
        NETWORKDAYS(P2287, Q2287) &lt;= 0,
        1,
        NETWORKDAYS(P2287, Q2287) - IF(P2287 = Q2287, 0, 1)
    ))
)</f>
        <v/>
      </c>
      <c r="V2287" s="616" t="str">
        <f t="shared" si="222"/>
        <v/>
      </c>
      <c r="W2287" s="616"/>
      <c r="X2287" s="616"/>
      <c r="Y2287" s="616"/>
      <c r="Z2287" s="616"/>
      <c r="AA2287" s="616"/>
    </row>
    <row r="2288" spans="1:27" ht="25.5" customHeight="1">
      <c r="A2288" s="517" t="s">
        <v>778</v>
      </c>
      <c r="B2288" s="51" t="s">
        <v>992</v>
      </c>
      <c r="C2288" s="51" t="s">
        <v>143</v>
      </c>
      <c r="D2288" s="51" t="s">
        <v>4261</v>
      </c>
      <c r="E2288" s="50">
        <v>1972</v>
      </c>
      <c r="F2288" s="50">
        <v>2380</v>
      </c>
      <c r="G2288" s="615" t="s">
        <v>3404</v>
      </c>
      <c r="H2288" s="50">
        <v>2025</v>
      </c>
      <c r="I2288" s="132">
        <v>45883</v>
      </c>
      <c r="J2288" s="53" t="s">
        <v>3126</v>
      </c>
      <c r="K2288" s="50" t="s">
        <v>1345</v>
      </c>
      <c r="L2288" s="53" t="s">
        <v>28</v>
      </c>
      <c r="M2288" s="615" t="s">
        <v>148</v>
      </c>
      <c r="N2288" s="50" t="s">
        <v>5741</v>
      </c>
      <c r="O2288" s="60">
        <v>45886</v>
      </c>
      <c r="P2288" s="60">
        <v>45887</v>
      </c>
      <c r="Q2288" s="60">
        <v>45888</v>
      </c>
      <c r="R2288" s="60">
        <v>45888</v>
      </c>
      <c r="S2288" s="50">
        <f t="shared" ref="S2288:S2351" si="226">IF(
    OR(ISBLANK(I2288), ISBLANK(O2288)),
    "",
    MAX(1, IF(
        NETWORKDAYS(I2288, O2288) &lt;= 0,
        1,
        NETWORKDAYS(I2288, O2288) - IF(I2288 = O2288, 0, 1)
    ))
)</f>
        <v>1</v>
      </c>
      <c r="T2288" s="50">
        <f>IF(
    OR(ISBLANK(1811), ISBLANK(P2288)),
    "",
    MAX(1, IF(
        NETWORKDAYS(O2288, P2288) &lt;= 0,
        1,
        NETWORKDAYS(O2288, P2288) - IF(O2288 = P2288, 0, 1)
    ))
)</f>
        <v>1</v>
      </c>
      <c r="U2288" s="50">
        <f>IF(
    OR(ISBLANK(P2288), ISBLANK(Q2288)),
    "",
    MAX(1, IF(
        NETWORKDAYS(P2288, Q2288) &lt;= 0,
        1,
        NETWORKDAYS(P2288, Q2288) - IF(P2288 = Q2288, 0, 1)
    ))
)</f>
        <v>1</v>
      </c>
      <c r="V2288" s="50">
        <f t="shared" ref="V2288:V2351" si="227">IF(
    OR(ISBLANK(Q2288), ISBLANK(R2288)),
    "",
    MAX(1, IF(
        NETWORKDAYS(Q2288, R2288) &lt;= 0,
        1,
        NETWORKDAYS(Q2288, R2288) - IF(Q2288 = R2288, 0, 1)
    ))
)</f>
        <v>1</v>
      </c>
      <c r="W2288" s="50" t="s">
        <v>150</v>
      </c>
      <c r="X2288" s="50" t="s">
        <v>3527</v>
      </c>
      <c r="Y2288" s="50" t="s">
        <v>3528</v>
      </c>
      <c r="Z2288" s="50" t="s">
        <v>3406</v>
      </c>
      <c r="AA2288" s="50"/>
    </row>
    <row r="2289" spans="1:27" ht="25.5" customHeight="1">
      <c r="A2289" s="517" t="s">
        <v>778</v>
      </c>
      <c r="B2289" s="51" t="s">
        <v>1423</v>
      </c>
      <c r="C2289" s="51" t="s">
        <v>143</v>
      </c>
      <c r="D2289" s="51" t="s">
        <v>1185</v>
      </c>
      <c r="E2289" s="50">
        <v>6174</v>
      </c>
      <c r="F2289" s="50">
        <v>7256</v>
      </c>
      <c r="G2289" s="50" t="s">
        <v>3404</v>
      </c>
      <c r="H2289" s="52">
        <v>2025</v>
      </c>
      <c r="I2289" s="617">
        <v>45854</v>
      </c>
      <c r="J2289" s="50" t="s">
        <v>3125</v>
      </c>
      <c r="K2289" s="50" t="s">
        <v>1345</v>
      </c>
      <c r="L2289" s="50" t="s">
        <v>28</v>
      </c>
      <c r="M2289" s="50" t="s">
        <v>148</v>
      </c>
      <c r="N2289" s="52" t="s">
        <v>5742</v>
      </c>
      <c r="O2289" s="618">
        <v>45854</v>
      </c>
      <c r="P2289" s="618">
        <v>45856</v>
      </c>
      <c r="Q2289" s="618">
        <v>45856</v>
      </c>
      <c r="R2289" s="618">
        <v>45856</v>
      </c>
      <c r="S2289" s="50">
        <f t="shared" si="226"/>
        <v>1</v>
      </c>
      <c r="T2289" s="50">
        <f>IF(
    OR(ISBLANK(1811), ISBLANK(P2289)),
    "",
    MAX(1, IF(
        NETWORKDAYS(O2289, P2289) &lt;= 0,
        1,
        NETWORKDAYS(O2289, P2289) - IF(O2289 = P2289, 0, 1)
    ))
)</f>
        <v>2</v>
      </c>
      <c r="U2289" s="50">
        <f>IF(
    OR(ISBLANK(P2289), ISBLANK(Q2289)),
    "",
    MAX(1, IF(
        NETWORKDAYS(P2289, Q2289) &lt;= 0,
        1,
        NETWORKDAYS(P2289, Q2289) - IF(P2289 = Q2289, 0, 1)
    ))
)</f>
        <v>1</v>
      </c>
      <c r="V2289" s="50">
        <f t="shared" si="227"/>
        <v>1</v>
      </c>
      <c r="W2289" s="52" t="s">
        <v>150</v>
      </c>
      <c r="X2289" s="52" t="s">
        <v>1078</v>
      </c>
      <c r="Y2289" s="52" t="s">
        <v>50</v>
      </c>
      <c r="Z2289" s="52" t="s">
        <v>3406</v>
      </c>
      <c r="AA2289" s="52"/>
    </row>
    <row r="2290" spans="1:27" ht="25.5" customHeight="1">
      <c r="A2290" s="517" t="s">
        <v>778</v>
      </c>
      <c r="B2290" s="51" t="s">
        <v>1423</v>
      </c>
      <c r="C2290" s="51" t="s">
        <v>143</v>
      </c>
      <c r="D2290" s="51" t="s">
        <v>5567</v>
      </c>
      <c r="E2290" s="50">
        <v>2842</v>
      </c>
      <c r="F2290" s="50">
        <v>2950</v>
      </c>
      <c r="G2290" s="50" t="s">
        <v>3404</v>
      </c>
      <c r="H2290" s="50">
        <v>2025</v>
      </c>
      <c r="I2290" s="132">
        <v>45846</v>
      </c>
      <c r="J2290" s="50" t="s">
        <v>3125</v>
      </c>
      <c r="K2290" s="50" t="s">
        <v>1345</v>
      </c>
      <c r="L2290" s="50" t="s">
        <v>28</v>
      </c>
      <c r="M2290" s="50" t="s">
        <v>148</v>
      </c>
      <c r="N2290" s="50" t="s">
        <v>5743</v>
      </c>
      <c r="O2290" s="60">
        <v>45854</v>
      </c>
      <c r="P2290" s="60">
        <v>45856</v>
      </c>
      <c r="Q2290" s="60">
        <v>45856</v>
      </c>
      <c r="R2290" s="60">
        <v>45856</v>
      </c>
      <c r="S2290" s="50">
        <f t="shared" si="226"/>
        <v>6</v>
      </c>
      <c r="T2290" s="50">
        <f>IF(
    OR(ISBLANK(1811), ISBLANK(P2290)),
    "",
    MAX(1, IF(
        NETWORKDAYS(O2290, P2290) &lt;= 0,
        1,
        NETWORKDAYS(O2290, P2290) - IF(O2290 = P2290, 0, 1)
    ))
)</f>
        <v>2</v>
      </c>
      <c r="U2290" s="50">
        <f>IF(
    OR(ISBLANK(P2290), ISBLANK(Q2290)),
    "",
    MAX(1, IF(
        NETWORKDAYS(P2290, Q2290) &lt;= 0,
        1,
        NETWORKDAYS(P2290, Q2290) - IF(P2290 = Q2290, 0, 1)
    ))
)</f>
        <v>1</v>
      </c>
      <c r="V2290" s="50">
        <f t="shared" si="227"/>
        <v>1</v>
      </c>
      <c r="W2290" s="50" t="s">
        <v>150</v>
      </c>
      <c r="X2290" s="50" t="s">
        <v>1078</v>
      </c>
      <c r="Y2290" s="50" t="s">
        <v>50</v>
      </c>
      <c r="Z2290" s="50" t="s">
        <v>3406</v>
      </c>
      <c r="AA2290" s="50"/>
    </row>
    <row r="2291" spans="1:27" ht="25.5" customHeight="1">
      <c r="A2291" s="517" t="s">
        <v>778</v>
      </c>
      <c r="B2291" s="51" t="s">
        <v>1423</v>
      </c>
      <c r="C2291" s="51" t="s">
        <v>143</v>
      </c>
      <c r="D2291" s="51" t="s">
        <v>4126</v>
      </c>
      <c r="E2291" s="50">
        <v>2119</v>
      </c>
      <c r="F2291" s="50">
        <v>2147</v>
      </c>
      <c r="G2291" s="50" t="s">
        <v>3404</v>
      </c>
      <c r="H2291" s="50">
        <v>2025</v>
      </c>
      <c r="I2291" s="132">
        <v>45793</v>
      </c>
      <c r="J2291" s="50" t="s">
        <v>3532</v>
      </c>
      <c r="K2291" s="50" t="s">
        <v>1345</v>
      </c>
      <c r="L2291" s="50"/>
      <c r="M2291" s="50" t="s">
        <v>148</v>
      </c>
      <c r="N2291" s="50" t="s">
        <v>5744</v>
      </c>
      <c r="O2291" s="60">
        <v>45794</v>
      </c>
      <c r="P2291" s="50"/>
      <c r="Q2291" s="60">
        <v>45796</v>
      </c>
      <c r="R2291" s="60">
        <v>45797</v>
      </c>
      <c r="S2291" s="50">
        <f t="shared" si="226"/>
        <v>1</v>
      </c>
      <c r="T2291" s="50" t="str">
        <f>IF(
    OR(ISBLANK(O2291), ISBLANK(P2291)),
    "",
    MAX(1, IF(
        NETWORKDAYS(O2291, P2291) &lt;= 0,
        1,
        NETWORKDAYS(O2291, P2291) - IF(O2291 = QP2291, 0, 1)
    ))
)</f>
        <v/>
      </c>
      <c r="U2291" s="50">
        <f>IF(
    OR(ISBLANK(1816), ISBLANK(Q2291)),
    "",
    MAX(1, IF(
        NETWORKDAYS(O2291, Q2291) &lt;= 0,
        1,
        NETWORKDAYS(O2291, Q2291) - IF(O2291 = Q2291, 0, 1)
    ))
)</f>
        <v>1</v>
      </c>
      <c r="V2291" s="50">
        <f t="shared" si="227"/>
        <v>1</v>
      </c>
      <c r="W2291" s="50" t="s">
        <v>150</v>
      </c>
      <c r="X2291" s="50" t="s">
        <v>3527</v>
      </c>
      <c r="Y2291" s="50" t="s">
        <v>3528</v>
      </c>
      <c r="Z2291" s="50" t="s">
        <v>3406</v>
      </c>
      <c r="AA2291" s="50"/>
    </row>
    <row r="2292" spans="1:27" ht="25.5" customHeight="1">
      <c r="A2292" s="517" t="s">
        <v>778</v>
      </c>
      <c r="B2292" s="51" t="s">
        <v>1423</v>
      </c>
      <c r="C2292" s="51" t="s">
        <v>143</v>
      </c>
      <c r="D2292" s="51" t="s">
        <v>1180</v>
      </c>
      <c r="E2292" s="50">
        <v>3345</v>
      </c>
      <c r="F2292" s="50">
        <v>3947</v>
      </c>
      <c r="G2292" s="50" t="s">
        <v>3404</v>
      </c>
      <c r="H2292" s="50">
        <v>2025</v>
      </c>
      <c r="I2292" s="132">
        <v>45728</v>
      </c>
      <c r="J2292" s="50" t="s">
        <v>3416</v>
      </c>
      <c r="K2292" s="50" t="s">
        <v>1345</v>
      </c>
      <c r="L2292" s="50"/>
      <c r="M2292" s="50" t="s">
        <v>148</v>
      </c>
      <c r="N2292" s="50" t="s">
        <v>5745</v>
      </c>
      <c r="O2292" s="60">
        <v>45728</v>
      </c>
      <c r="P2292" s="50"/>
      <c r="Q2292" s="60">
        <v>45734</v>
      </c>
      <c r="R2292" s="60">
        <v>45735</v>
      </c>
      <c r="S2292" s="50">
        <f t="shared" si="226"/>
        <v>1</v>
      </c>
      <c r="T2292" s="50" t="str">
        <f>IF(
    OR(ISBLANK(O2292), ISBLANK(P2292)),
    "",
    MAX(1, IF(
        NETWORKDAYS(O2292, P2292) &lt;= 0,
        1,
        NETWORKDAYS(O2292, P2292) - IF(O2292 = QP2292, 0, 1)
    ))
)</f>
        <v/>
      </c>
      <c r="U2292" s="50">
        <f>IF(
    OR(ISBLANK(1816), ISBLANK(Q2292)),
    "",
    MAX(1, IF(
        NETWORKDAYS(O2292, Q2292) &lt;= 0,
        1,
        NETWORKDAYS(O2292, Q2292) - IF(O2292 = Q2292, 0, 1)
    ))
)</f>
        <v>4</v>
      </c>
      <c r="V2292" s="50">
        <f t="shared" si="227"/>
        <v>1</v>
      </c>
      <c r="W2292" s="50" t="s">
        <v>150</v>
      </c>
      <c r="X2292" s="50" t="s">
        <v>3527</v>
      </c>
      <c r="Y2292" s="50" t="s">
        <v>3528</v>
      </c>
      <c r="Z2292" s="50" t="s">
        <v>3406</v>
      </c>
      <c r="AA2292" s="50"/>
    </row>
    <row r="2293" spans="1:27" ht="25.5" customHeight="1">
      <c r="A2293" s="517" t="s">
        <v>778</v>
      </c>
      <c r="B2293" s="51" t="s">
        <v>1423</v>
      </c>
      <c r="C2293" s="51" t="s">
        <v>143</v>
      </c>
      <c r="D2293" s="51" t="s">
        <v>858</v>
      </c>
      <c r="E2293" s="50">
        <v>5876</v>
      </c>
      <c r="F2293" s="50">
        <v>5528</v>
      </c>
      <c r="G2293" s="50" t="s">
        <v>3404</v>
      </c>
      <c r="H2293" s="50">
        <v>2025</v>
      </c>
      <c r="I2293" s="132">
        <v>45702</v>
      </c>
      <c r="J2293" s="50" t="s">
        <v>3458</v>
      </c>
      <c r="K2293" s="50" t="s">
        <v>1345</v>
      </c>
      <c r="L2293" s="50"/>
      <c r="M2293" s="50" t="s">
        <v>148</v>
      </c>
      <c r="N2293" s="50" t="s">
        <v>5746</v>
      </c>
      <c r="O2293" s="60">
        <v>45706</v>
      </c>
      <c r="P2293" s="60"/>
      <c r="Q2293" s="60">
        <v>45706</v>
      </c>
      <c r="R2293" s="60">
        <v>45707</v>
      </c>
      <c r="S2293" s="50">
        <f t="shared" si="226"/>
        <v>2</v>
      </c>
      <c r="T2293" s="50" t="str">
        <f>IF(
    OR(ISBLANK(O2293), ISBLANK(P2293)),
    "",
    MAX(1, IF(
        NETWORKDAYS(O2293, P2293) &lt;= 0,
        1,
        NETWORKDAYS(O2293, P2293) - IF(O2293 = QP2293, 0, 1)
    ))
)</f>
        <v/>
      </c>
      <c r="U2293" s="50">
        <f>IF(
    OR(ISBLANK(1816), ISBLANK(Q2293)),
    "",
    MAX(1, IF(
        NETWORKDAYS(O2293, Q2293) &lt;= 0,
        1,
        NETWORKDAYS(O2293, Q2293) - IF(O2293 = Q2293, 0, 1)
    ))
)</f>
        <v>1</v>
      </c>
      <c r="V2293" s="50">
        <f t="shared" si="227"/>
        <v>1</v>
      </c>
      <c r="W2293" s="50" t="s">
        <v>150</v>
      </c>
      <c r="X2293" s="50" t="s">
        <v>1078</v>
      </c>
      <c r="Y2293" s="50" t="s">
        <v>50</v>
      </c>
      <c r="Z2293" s="50" t="s">
        <v>3406</v>
      </c>
      <c r="AA2293" s="50"/>
    </row>
    <row r="2294" spans="1:27" s="110" customFormat="1" ht="25.5" customHeight="1">
      <c r="A2294" s="517" t="s">
        <v>778</v>
      </c>
      <c r="B2294" s="51" t="s">
        <v>1423</v>
      </c>
      <c r="C2294" s="51" t="s">
        <v>143</v>
      </c>
      <c r="D2294" s="51" t="s">
        <v>3913</v>
      </c>
      <c r="E2294" s="50">
        <v>2135</v>
      </c>
      <c r="F2294" s="50">
        <v>2416</v>
      </c>
      <c r="G2294" s="50" t="s">
        <v>3955</v>
      </c>
      <c r="H2294" s="50"/>
      <c r="I2294" s="105"/>
      <c r="J2294" s="50"/>
      <c r="K2294" s="50" t="s">
        <v>1345</v>
      </c>
      <c r="L2294" s="50"/>
      <c r="M2294" s="50" t="s">
        <v>148</v>
      </c>
      <c r="N2294" s="50"/>
      <c r="O2294" s="50"/>
      <c r="P2294" s="50"/>
      <c r="Q2294" s="50"/>
      <c r="R2294" s="50"/>
      <c r="S2294" s="50" t="str">
        <f t="shared" si="226"/>
        <v/>
      </c>
      <c r="T2294" s="50" t="str">
        <f>IF(
    OR(ISBLANK(O2294), ISBLANK(P2294)),
    "",
    MAX(1, IF(
        NETWORKDAYS(O2294, P2294) &lt;= 0,
        1,
        NETWORKDAYS(O2294, P2294) - IF(O2294 = P2294, 0, 1)
    ))
)</f>
        <v/>
      </c>
      <c r="U2294" s="50" t="str">
        <f>IF(
    OR(ISBLANK(P2294), ISBLANK(Q2294)),
    "",
    MAX(1, IF(
        NETWORKDAYS(P2294, Q2294) &lt;= 0,
        1,
        NETWORKDAYS(P2294, Q2294) - IF(P2294 = Q2294, 0, 1)
    ))
)</f>
        <v/>
      </c>
      <c r="V2294" s="50" t="str">
        <f t="shared" si="227"/>
        <v/>
      </c>
      <c r="W2294" s="50"/>
      <c r="X2294" s="50"/>
      <c r="Y2294" s="50"/>
      <c r="Z2294" s="50"/>
      <c r="AA2294" s="50"/>
    </row>
    <row r="2295" spans="1:27" ht="25.5" customHeight="1">
      <c r="A2295" s="50" t="s">
        <v>778</v>
      </c>
      <c r="B2295" s="51" t="s">
        <v>1423</v>
      </c>
      <c r="C2295" s="51" t="s">
        <v>143</v>
      </c>
      <c r="D2295" s="51" t="s">
        <v>1151</v>
      </c>
      <c r="E2295" s="50">
        <v>4722</v>
      </c>
      <c r="F2295" s="50">
        <v>4699</v>
      </c>
      <c r="G2295" s="50" t="s">
        <v>3404</v>
      </c>
      <c r="H2295" s="50">
        <v>2024</v>
      </c>
      <c r="I2295" s="132">
        <v>45511</v>
      </c>
      <c r="J2295" s="50"/>
      <c r="K2295" s="50" t="s">
        <v>1345</v>
      </c>
      <c r="L2295" s="50"/>
      <c r="M2295" s="50" t="s">
        <v>148</v>
      </c>
      <c r="N2295" s="50"/>
      <c r="O2295" s="60"/>
      <c r="P2295" s="50"/>
      <c r="Q2295" s="60"/>
      <c r="R2295" s="60"/>
      <c r="S2295" s="50" t="str">
        <f t="shared" si="226"/>
        <v/>
      </c>
      <c r="T2295" s="50" t="str">
        <f>IF(
    OR(ISBLANK(O2295), ISBLANK(P2295)),
    "",
    MAX(1, IF(
        NETWORKDAYS(O2295, P2295) &lt;= 0,
        1,
        NETWORKDAYS(O2295, P2295) - IF(O2295 = P2295, 0, 1)
    ))
)</f>
        <v/>
      </c>
      <c r="U2295" s="50" t="str">
        <f>IF(
    OR(ISBLANK(P2295), ISBLANK(Q2295)),
    "",
    MAX(1, IF(
        NETWORKDAYS(P2295, Q2295) &lt;= 0,
        1,
        NETWORKDAYS(P2295, Q2295) - IF(P2295 = Q2295, 0, 1)
    ))
)</f>
        <v/>
      </c>
      <c r="V2295" s="50" t="str">
        <f t="shared" si="227"/>
        <v/>
      </c>
      <c r="W2295" s="50"/>
      <c r="X2295" s="50" t="s">
        <v>4</v>
      </c>
      <c r="Y2295" s="50" t="s">
        <v>50</v>
      </c>
      <c r="Z2295" s="50" t="s">
        <v>3406</v>
      </c>
      <c r="AA2295" s="50"/>
    </row>
    <row r="2296" spans="1:27" ht="25.5" customHeight="1">
      <c r="A2296" s="517" t="s">
        <v>778</v>
      </c>
      <c r="B2296" s="51" t="s">
        <v>1423</v>
      </c>
      <c r="C2296" s="51" t="s">
        <v>143</v>
      </c>
      <c r="D2296" s="51" t="s">
        <v>1439</v>
      </c>
      <c r="E2296" s="50">
        <v>2197</v>
      </c>
      <c r="F2296" s="50">
        <v>2485</v>
      </c>
      <c r="G2296" s="50" t="s">
        <v>3404</v>
      </c>
      <c r="H2296" s="50">
        <v>2025</v>
      </c>
      <c r="I2296" s="132">
        <v>45718</v>
      </c>
      <c r="J2296" s="50" t="s">
        <v>3416</v>
      </c>
      <c r="K2296" s="50" t="s">
        <v>1345</v>
      </c>
      <c r="L2296" s="50"/>
      <c r="M2296" s="50" t="s">
        <v>148</v>
      </c>
      <c r="N2296" s="50" t="s">
        <v>5747</v>
      </c>
      <c r="O2296" s="60">
        <v>45734</v>
      </c>
      <c r="P2296" s="50"/>
      <c r="Q2296" s="60">
        <v>45734</v>
      </c>
      <c r="R2296" s="60">
        <v>45735</v>
      </c>
      <c r="S2296" s="50">
        <f t="shared" si="226"/>
        <v>11</v>
      </c>
      <c r="T2296" s="50" t="str">
        <f>IF(
    OR(ISBLANK(O2296), ISBLANK(P2296)),
    "",
    MAX(1, IF(
        NETWORKDAYS(O2296, P2296) &lt;= 0,
        1,
        NETWORKDAYS(O2296, P2296) - IF(O2296 = QP2296, 0, 1)
    ))
)</f>
        <v/>
      </c>
      <c r="U2296" s="50">
        <f>IF(
    OR(ISBLANK(1816), ISBLANK(Q2296)),
    "",
    MAX(1, IF(
        NETWORKDAYS(O2296, Q2296) &lt;= 0,
        1,
        NETWORKDAYS(O2296, Q2296) - IF(O2296 = Q2296, 0, 1)
    ))
)</f>
        <v>1</v>
      </c>
      <c r="V2296" s="50">
        <f t="shared" si="227"/>
        <v>1</v>
      </c>
      <c r="W2296" s="50" t="s">
        <v>150</v>
      </c>
      <c r="X2296" s="50" t="s">
        <v>1078</v>
      </c>
      <c r="Y2296" s="50" t="s">
        <v>50</v>
      </c>
      <c r="Z2296" s="50" t="s">
        <v>3406</v>
      </c>
      <c r="AA2296" s="50"/>
    </row>
    <row r="2297" spans="1:27" ht="25.5" customHeight="1">
      <c r="A2297" s="517" t="s">
        <v>778</v>
      </c>
      <c r="B2297" s="51" t="s">
        <v>1423</v>
      </c>
      <c r="C2297" s="51" t="s">
        <v>143</v>
      </c>
      <c r="D2297" s="51" t="s">
        <v>5748</v>
      </c>
      <c r="E2297" s="50">
        <v>1980</v>
      </c>
      <c r="F2297" s="50">
        <v>2165</v>
      </c>
      <c r="G2297" s="50" t="s">
        <v>3404</v>
      </c>
      <c r="H2297" s="50">
        <v>2025</v>
      </c>
      <c r="I2297" s="132">
        <v>45757</v>
      </c>
      <c r="J2297" s="50" t="s">
        <v>3470</v>
      </c>
      <c r="K2297" s="50" t="s">
        <v>1345</v>
      </c>
      <c r="L2297" s="50"/>
      <c r="M2297" s="50" t="s">
        <v>148</v>
      </c>
      <c r="N2297" s="50" t="s">
        <v>5749</v>
      </c>
      <c r="O2297" s="60">
        <v>45761</v>
      </c>
      <c r="P2297" s="50"/>
      <c r="Q2297" s="60">
        <v>45762</v>
      </c>
      <c r="R2297" s="60">
        <v>45762</v>
      </c>
      <c r="S2297" s="50">
        <f t="shared" si="226"/>
        <v>2</v>
      </c>
      <c r="T2297" s="50" t="str">
        <f>IF(
    OR(ISBLANK(O2297), ISBLANK(P2297)),
    "",
    MAX(1, IF(
        NETWORKDAYS(O2297, P2297) &lt;= 0,
        1,
        NETWORKDAYS(O2297, P2297) - IF(O2297 = QP2297, 0, 1)
    ))
)</f>
        <v/>
      </c>
      <c r="U2297" s="50">
        <f>IF(
    OR(ISBLANK(1816), ISBLANK(Q2297)),
    "",
    MAX(1, IF(
        NETWORKDAYS(O2297, Q2297) &lt;= 0,
        1,
        NETWORKDAYS(O2297, Q2297) - IF(O2297 = Q2297, 0, 1)
    ))
)</f>
        <v>1</v>
      </c>
      <c r="V2297" s="50">
        <f t="shared" si="227"/>
        <v>1</v>
      </c>
      <c r="W2297" s="50" t="s">
        <v>150</v>
      </c>
      <c r="X2297" s="50" t="s">
        <v>1078</v>
      </c>
      <c r="Y2297" s="50" t="s">
        <v>50</v>
      </c>
      <c r="Z2297" s="50" t="s">
        <v>3406</v>
      </c>
      <c r="AA2297" s="50"/>
    </row>
    <row r="2298" spans="1:27" ht="25.5" customHeight="1">
      <c r="A2298" s="517" t="s">
        <v>778</v>
      </c>
      <c r="B2298" s="51" t="s">
        <v>1423</v>
      </c>
      <c r="C2298" s="51" t="s">
        <v>143</v>
      </c>
      <c r="D2298" s="51" t="s">
        <v>5750</v>
      </c>
      <c r="E2298" s="50">
        <v>5132</v>
      </c>
      <c r="F2298" s="50">
        <v>6482</v>
      </c>
      <c r="G2298" s="50" t="s">
        <v>3404</v>
      </c>
      <c r="H2298" s="50">
        <v>2025</v>
      </c>
      <c r="I2298" s="132">
        <v>45728</v>
      </c>
      <c r="J2298" s="50" t="s">
        <v>3416</v>
      </c>
      <c r="K2298" s="50" t="s">
        <v>1345</v>
      </c>
      <c r="L2298" s="50"/>
      <c r="M2298" s="50" t="s">
        <v>148</v>
      </c>
      <c r="N2298" s="50" t="s">
        <v>5751</v>
      </c>
      <c r="O2298" s="60">
        <v>45734</v>
      </c>
      <c r="P2298" s="60"/>
      <c r="Q2298" s="60">
        <v>45734</v>
      </c>
      <c r="R2298" s="60">
        <v>45735</v>
      </c>
      <c r="S2298" s="50">
        <f t="shared" si="226"/>
        <v>4</v>
      </c>
      <c r="T2298" s="50" t="str">
        <f>IF(
    OR(ISBLANK(O2298), ISBLANK(P2298)),
    "",
    MAX(1, IF(
        NETWORKDAYS(O2298, P2298) &lt;= 0,
        1,
        NETWORKDAYS(O2298, P2298) - IF(O2298 = QP2298, 0, 1)
    ))
)</f>
        <v/>
      </c>
      <c r="U2298" s="50">
        <f>IF(
    OR(ISBLANK(1816), ISBLANK(Q2298)),
    "",
    MAX(1, IF(
        NETWORKDAYS(O2298, Q2298) &lt;= 0,
        1,
        NETWORKDAYS(O2298, Q2298) - IF(O2298 = Q2298, 0, 1)
    ))
)</f>
        <v>1</v>
      </c>
      <c r="V2298" s="50">
        <f t="shared" si="227"/>
        <v>1</v>
      </c>
      <c r="W2298" s="50" t="s">
        <v>150</v>
      </c>
      <c r="X2298" s="50" t="s">
        <v>1078</v>
      </c>
      <c r="Y2298" s="50" t="s">
        <v>50</v>
      </c>
      <c r="Z2298" s="50" t="s">
        <v>3406</v>
      </c>
      <c r="AA2298" s="50"/>
    </row>
    <row r="2299" spans="1:27" s="110" customFormat="1" ht="25.5" customHeight="1">
      <c r="A2299" s="517" t="s">
        <v>778</v>
      </c>
      <c r="B2299" s="51" t="s">
        <v>1423</v>
      </c>
      <c r="C2299" s="51" t="s">
        <v>143</v>
      </c>
      <c r="D2299" s="51" t="s">
        <v>1253</v>
      </c>
      <c r="E2299" s="50">
        <v>7060</v>
      </c>
      <c r="F2299" s="50">
        <v>8007</v>
      </c>
      <c r="G2299" s="50" t="s">
        <v>3404</v>
      </c>
      <c r="H2299" s="50">
        <v>2025</v>
      </c>
      <c r="I2299" s="132">
        <v>45728</v>
      </c>
      <c r="J2299" s="50" t="s">
        <v>3416</v>
      </c>
      <c r="K2299" s="50" t="s">
        <v>1345</v>
      </c>
      <c r="L2299" s="50"/>
      <c r="M2299" s="50" t="s">
        <v>148</v>
      </c>
      <c r="N2299" s="50" t="s">
        <v>5752</v>
      </c>
      <c r="O2299" s="60">
        <v>45734</v>
      </c>
      <c r="P2299" s="60"/>
      <c r="Q2299" s="60">
        <v>45734</v>
      </c>
      <c r="R2299" s="60">
        <v>45735</v>
      </c>
      <c r="S2299" s="50">
        <f t="shared" si="226"/>
        <v>4</v>
      </c>
      <c r="T2299" s="50" t="str">
        <f>IF(
    OR(ISBLANK(O2299), ISBLANK(P2299)),
    "",
    MAX(1, IF(
        NETWORKDAYS(O2299, P2299) &lt;= 0,
        1,
        NETWORKDAYS(O2299, P2299) - IF(O2299 = QP2299, 0, 1)
    ))
)</f>
        <v/>
      </c>
      <c r="U2299" s="50">
        <f>IF(
    OR(ISBLANK(1816), ISBLANK(Q2299)),
    "",
    MAX(1, IF(
        NETWORKDAYS(O2299, Q2299) &lt;= 0,
        1,
        NETWORKDAYS(O2299, Q2299) - IF(O2299 = Q2299, 0, 1)
    ))
)</f>
        <v>1</v>
      </c>
      <c r="V2299" s="50">
        <f t="shared" si="227"/>
        <v>1</v>
      </c>
      <c r="W2299" s="50" t="s">
        <v>150</v>
      </c>
      <c r="X2299" s="50" t="s">
        <v>1078</v>
      </c>
      <c r="Y2299" s="50" t="s">
        <v>50</v>
      </c>
      <c r="Z2299" s="50" t="s">
        <v>3406</v>
      </c>
      <c r="AA2299" s="50"/>
    </row>
    <row r="2300" spans="1:27" ht="25.5" customHeight="1">
      <c r="A2300" s="50" t="s">
        <v>778</v>
      </c>
      <c r="B2300" s="51" t="s">
        <v>1423</v>
      </c>
      <c r="C2300" s="51" t="s">
        <v>143</v>
      </c>
      <c r="D2300" s="51" t="s">
        <v>1899</v>
      </c>
      <c r="E2300" s="50">
        <v>1352</v>
      </c>
      <c r="F2300" s="50">
        <v>1509</v>
      </c>
      <c r="G2300" s="50" t="s">
        <v>3404</v>
      </c>
      <c r="H2300" s="50">
        <v>2024</v>
      </c>
      <c r="I2300" s="132">
        <v>45574</v>
      </c>
      <c r="J2300" s="50"/>
      <c r="K2300" s="50" t="s">
        <v>1345</v>
      </c>
      <c r="L2300" s="50"/>
      <c r="M2300" s="50" t="s">
        <v>148</v>
      </c>
      <c r="N2300" s="50"/>
      <c r="O2300" s="50"/>
      <c r="P2300" s="50"/>
      <c r="Q2300" s="50"/>
      <c r="R2300" s="50"/>
      <c r="S2300" s="50" t="str">
        <f t="shared" si="226"/>
        <v/>
      </c>
      <c r="T2300" s="50" t="str">
        <f>IF(
    OR(ISBLANK(O2300), ISBLANK(P2300)),
    "",
    MAX(1, IF(
        NETWORKDAYS(O2300, P2300) &lt;= 0,
        1,
        NETWORKDAYS(O2300, P2300) - IF(O2300 = P2300, 0, 1)
    ))
)</f>
        <v/>
      </c>
      <c r="U2300" s="50" t="str">
        <f>IF(
    OR(ISBLANK(P2300), ISBLANK(Q2300)),
    "",
    MAX(1, IF(
        NETWORKDAYS(P2300, Q2300) &lt;= 0,
        1,
        NETWORKDAYS(P2300, Q2300) - IF(P2300 = Q2300, 0, 1)
    ))
)</f>
        <v/>
      </c>
      <c r="V2300" s="50" t="str">
        <f t="shared" si="227"/>
        <v/>
      </c>
      <c r="W2300" s="50"/>
      <c r="X2300" s="50" t="s">
        <v>4</v>
      </c>
      <c r="Y2300" s="50" t="s">
        <v>50</v>
      </c>
      <c r="Z2300" s="50" t="s">
        <v>3406</v>
      </c>
      <c r="AA2300" s="50"/>
    </row>
    <row r="2301" spans="1:27" ht="25.5" customHeight="1">
      <c r="A2301" s="517" t="s">
        <v>778</v>
      </c>
      <c r="B2301" s="51" t="s">
        <v>1423</v>
      </c>
      <c r="C2301" s="51" t="s">
        <v>143</v>
      </c>
      <c r="D2301" s="51" t="s">
        <v>1424</v>
      </c>
      <c r="E2301" s="50">
        <v>4828</v>
      </c>
      <c r="F2301" s="50">
        <v>5762</v>
      </c>
      <c r="G2301" s="50" t="s">
        <v>3955</v>
      </c>
      <c r="H2301" s="50"/>
      <c r="I2301" s="132"/>
      <c r="J2301" s="50"/>
      <c r="K2301" s="50" t="s">
        <v>1345</v>
      </c>
      <c r="L2301" s="50"/>
      <c r="M2301" s="50" t="s">
        <v>148</v>
      </c>
      <c r="N2301" s="488"/>
      <c r="O2301" s="60"/>
      <c r="P2301" s="50"/>
      <c r="Q2301" s="50"/>
      <c r="R2301" s="60"/>
      <c r="S2301" s="50" t="str">
        <f t="shared" si="226"/>
        <v/>
      </c>
      <c r="T2301" s="50" t="str">
        <f>IF(
    OR(ISBLANK(O2301), ISBLANK(P2301)),
    "",
    MAX(1, IF(
        NETWORKDAYS(O2301, P2301) &lt;= 0,
        1,
        NETWORKDAYS(O2301, P2301) - IF(O2301 = P2301, 0, 1)
    ))
)</f>
        <v/>
      </c>
      <c r="U2301" s="50" t="str">
        <f>IF(
    OR(ISBLANK(P2301), ISBLANK(Q2301)),
    "",
    MAX(1, IF(
        NETWORKDAYS(P2301, Q2301) &lt;= 0,
        1,
        NETWORKDAYS(P2301, Q2301) - IF(P2301 = Q2301, 0, 1)
    ))
)</f>
        <v/>
      </c>
      <c r="V2301" s="50" t="str">
        <f t="shared" si="227"/>
        <v/>
      </c>
      <c r="W2301" s="50"/>
      <c r="X2301" s="50"/>
      <c r="Y2301" s="50"/>
      <c r="Z2301" s="50"/>
      <c r="AA2301" s="50"/>
    </row>
    <row r="2302" spans="1:27" s="110" customFormat="1" ht="25.5" customHeight="1">
      <c r="A2302" s="517" t="s">
        <v>778</v>
      </c>
      <c r="B2302" s="51" t="s">
        <v>1423</v>
      </c>
      <c r="C2302" s="51" t="s">
        <v>143</v>
      </c>
      <c r="D2302" s="51" t="s">
        <v>3727</v>
      </c>
      <c r="E2302" s="50">
        <v>3436</v>
      </c>
      <c r="F2302" s="50">
        <v>3829</v>
      </c>
      <c r="G2302" s="50" t="s">
        <v>3404</v>
      </c>
      <c r="H2302" s="50">
        <v>2025</v>
      </c>
      <c r="I2302" s="132">
        <v>45702</v>
      </c>
      <c r="J2302" s="50" t="s">
        <v>3458</v>
      </c>
      <c r="K2302" s="50" t="s">
        <v>1345</v>
      </c>
      <c r="L2302" s="50"/>
      <c r="M2302" s="50" t="s">
        <v>148</v>
      </c>
      <c r="N2302" s="50" t="s">
        <v>5753</v>
      </c>
      <c r="O2302" s="60">
        <v>45706</v>
      </c>
      <c r="P2302" s="60"/>
      <c r="Q2302" s="60">
        <v>45706</v>
      </c>
      <c r="R2302" s="60">
        <v>45707</v>
      </c>
      <c r="S2302" s="50">
        <f t="shared" si="226"/>
        <v>2</v>
      </c>
      <c r="T2302" s="50" t="str">
        <f>IF(
    OR(ISBLANK(O2302), ISBLANK(P2302)),
    "",
    MAX(1, IF(
        NETWORKDAYS(O2302, P2302) &lt;= 0,
        1,
        NETWORKDAYS(O2302, P2302) - IF(O2302 = QP2302, 0, 1)
    ))
)</f>
        <v/>
      </c>
      <c r="U2302" s="50">
        <f>IF(
    OR(ISBLANK(1816), ISBLANK(Q2302)),
    "",
    MAX(1, IF(
        NETWORKDAYS(O2302, Q2302) &lt;= 0,
        1,
        NETWORKDAYS(O2302, Q2302) - IF(O2302 = Q2302, 0, 1)
    ))
)</f>
        <v>1</v>
      </c>
      <c r="V2302" s="50">
        <f t="shared" si="227"/>
        <v>1</v>
      </c>
      <c r="W2302" s="50" t="s">
        <v>150</v>
      </c>
      <c r="X2302" s="50" t="s">
        <v>1078</v>
      </c>
      <c r="Y2302" s="50" t="s">
        <v>50</v>
      </c>
      <c r="Z2302" s="50" t="s">
        <v>3406</v>
      </c>
      <c r="AA2302" s="50"/>
    </row>
    <row r="2303" spans="1:27" ht="25.5" customHeight="1">
      <c r="A2303" s="517" t="s">
        <v>778</v>
      </c>
      <c r="B2303" s="51" t="s">
        <v>3566</v>
      </c>
      <c r="C2303" s="51" t="s">
        <v>143</v>
      </c>
      <c r="D2303" s="51" t="s">
        <v>5754</v>
      </c>
      <c r="E2303" s="50">
        <v>5494</v>
      </c>
      <c r="F2303" s="50">
        <v>5488</v>
      </c>
      <c r="G2303" s="50" t="s">
        <v>3955</v>
      </c>
      <c r="H2303" s="50"/>
      <c r="I2303" s="105"/>
      <c r="J2303" s="50"/>
      <c r="K2303" s="50" t="s">
        <v>33</v>
      </c>
      <c r="L2303" s="50"/>
      <c r="M2303" s="50" t="s">
        <v>148</v>
      </c>
      <c r="N2303" s="50"/>
      <c r="O2303" s="50"/>
      <c r="P2303" s="50"/>
      <c r="Q2303" s="50"/>
      <c r="R2303" s="50"/>
      <c r="S2303" s="50" t="str">
        <f t="shared" si="226"/>
        <v/>
      </c>
      <c r="T2303" s="50" t="str">
        <f>IF(
    OR(ISBLANK(O2303), ISBLANK(P2303)),
    "",
    MAX(1, IF(
        NETWORKDAYS(O2303, P2303) &lt;= 0,
        1,
        NETWORKDAYS(O2303, P2303) - IF(O2303 = P2303, 0, 1)
    ))
)</f>
        <v/>
      </c>
      <c r="U2303" s="50" t="str">
        <f>IF(
    OR(ISBLANK(P2303), ISBLANK(Q2303)),
    "",
    MAX(1, IF(
        NETWORKDAYS(P2303, Q2303) &lt;= 0,
        1,
        NETWORKDAYS(P2303, Q2303) - IF(P2303 = Q2303, 0, 1)
    ))
)</f>
        <v/>
      </c>
      <c r="V2303" s="50" t="str">
        <f t="shared" si="227"/>
        <v/>
      </c>
      <c r="W2303" s="50"/>
      <c r="X2303" s="50"/>
      <c r="Y2303" s="50"/>
      <c r="Z2303" s="50"/>
      <c r="AA2303" s="50"/>
    </row>
    <row r="2304" spans="1:27" ht="25.5" customHeight="1">
      <c r="A2304" s="517" t="s">
        <v>778</v>
      </c>
      <c r="B2304" s="51" t="s">
        <v>3566</v>
      </c>
      <c r="C2304" s="51" t="s">
        <v>143</v>
      </c>
      <c r="D2304" s="51" t="s">
        <v>1056</v>
      </c>
      <c r="E2304" s="50">
        <v>3398</v>
      </c>
      <c r="F2304" s="50">
        <v>3133</v>
      </c>
      <c r="G2304" s="50" t="s">
        <v>3404</v>
      </c>
      <c r="H2304" s="50">
        <v>2025</v>
      </c>
      <c r="I2304" s="132">
        <v>45757</v>
      </c>
      <c r="J2304" s="50" t="s">
        <v>3470</v>
      </c>
      <c r="K2304" s="50" t="s">
        <v>33</v>
      </c>
      <c r="L2304" s="50"/>
      <c r="M2304" s="50" t="s">
        <v>148</v>
      </c>
      <c r="N2304" s="50" t="s">
        <v>5755</v>
      </c>
      <c r="O2304" s="60">
        <v>45758</v>
      </c>
      <c r="P2304" s="50"/>
      <c r="Q2304" s="60">
        <v>45762</v>
      </c>
      <c r="R2304" s="60">
        <v>45768</v>
      </c>
      <c r="S2304" s="50">
        <f t="shared" si="226"/>
        <v>1</v>
      </c>
      <c r="T2304" s="50" t="str">
        <f>IF(
    OR(ISBLANK(O2304), ISBLANK(P2304)),
    "",
    MAX(1, IF(
        NETWORKDAYS(O2304, P2304) &lt;= 0,
        1,
        NETWORKDAYS(O2304, P2304) - IF(O2304 = QP2304, 0, 1)
    ))
)</f>
        <v/>
      </c>
      <c r="U2304" s="50">
        <f>IF(
    OR(ISBLANK(1816), ISBLANK(Q2304)),
    "",
    MAX(1, IF(
        NETWORKDAYS(O2304, Q2304) &lt;= 0,
        1,
        NETWORKDAYS(O2304, Q2304) - IF(O2304 = Q2304, 0, 1)
    ))
)</f>
        <v>2</v>
      </c>
      <c r="V2304" s="50">
        <f t="shared" si="227"/>
        <v>4</v>
      </c>
      <c r="W2304" s="50" t="s">
        <v>150</v>
      </c>
      <c r="X2304" s="50" t="s">
        <v>4</v>
      </c>
      <c r="Y2304" s="50" t="s">
        <v>847</v>
      </c>
      <c r="Z2304" s="50" t="s">
        <v>3406</v>
      </c>
      <c r="AA2304" s="50"/>
    </row>
    <row r="2305" spans="1:27" ht="25.5" customHeight="1">
      <c r="A2305" s="517" t="s">
        <v>778</v>
      </c>
      <c r="B2305" s="51" t="s">
        <v>3566</v>
      </c>
      <c r="C2305" s="51" t="s">
        <v>143</v>
      </c>
      <c r="D2305" s="51" t="s">
        <v>5756</v>
      </c>
      <c r="E2305" s="50">
        <v>2863</v>
      </c>
      <c r="F2305" s="50">
        <v>3456</v>
      </c>
      <c r="G2305" s="50" t="s">
        <v>3404</v>
      </c>
      <c r="H2305" s="50">
        <v>2025</v>
      </c>
      <c r="I2305" s="132">
        <v>45750</v>
      </c>
      <c r="J2305" s="50" t="s">
        <v>3470</v>
      </c>
      <c r="K2305" s="50" t="s">
        <v>33</v>
      </c>
      <c r="L2305" s="50"/>
      <c r="M2305" s="50" t="s">
        <v>148</v>
      </c>
      <c r="N2305" s="50" t="s">
        <v>5757</v>
      </c>
      <c r="O2305" s="60">
        <v>45750</v>
      </c>
      <c r="P2305" s="50"/>
      <c r="Q2305" s="60">
        <v>45768</v>
      </c>
      <c r="R2305" s="60">
        <v>45769</v>
      </c>
      <c r="S2305" s="50">
        <f t="shared" si="226"/>
        <v>1</v>
      </c>
      <c r="T2305" s="50" t="str">
        <f>IF(
    OR(ISBLANK(O2305), ISBLANK(P2305)),
    "",
    MAX(1, IF(
        NETWORKDAYS(O2305, P2305) &lt;= 0,
        1,
        NETWORKDAYS(O2305, P2305) - IF(O2305 = QP2305, 0, 1)
    ))
)</f>
        <v/>
      </c>
      <c r="U2305" s="50">
        <f>IF(
    OR(ISBLANK(1816), ISBLANK(Q2305)),
    "",
    MAX(1, IF(
        NETWORKDAYS(O2305, Q2305) &lt;= 0,
        1,
        NETWORKDAYS(O2305, Q2305) - IF(O2305 = Q2305, 0, 1)
    ))
)</f>
        <v>12</v>
      </c>
      <c r="V2305" s="50">
        <f t="shared" si="227"/>
        <v>1</v>
      </c>
      <c r="W2305" s="50" t="s">
        <v>150</v>
      </c>
      <c r="X2305" s="50" t="s">
        <v>4</v>
      </c>
      <c r="Y2305" s="50" t="s">
        <v>847</v>
      </c>
      <c r="Z2305" s="50" t="s">
        <v>3406</v>
      </c>
      <c r="AA2305" s="50"/>
    </row>
    <row r="2306" spans="1:27" ht="25.5" customHeight="1">
      <c r="A2306" s="517" t="s">
        <v>778</v>
      </c>
      <c r="B2306" s="51" t="s">
        <v>3566</v>
      </c>
      <c r="C2306" s="51" t="s">
        <v>143</v>
      </c>
      <c r="D2306" s="51" t="s">
        <v>5548</v>
      </c>
      <c r="E2306" s="50">
        <v>12399</v>
      </c>
      <c r="F2306" s="50">
        <v>13769</v>
      </c>
      <c r="G2306" s="50" t="s">
        <v>3955</v>
      </c>
      <c r="H2306" s="50"/>
      <c r="I2306" s="105"/>
      <c r="J2306" s="50"/>
      <c r="K2306" s="50" t="s">
        <v>33</v>
      </c>
      <c r="L2306" s="50"/>
      <c r="M2306" s="50" t="s">
        <v>148</v>
      </c>
      <c r="N2306" s="50"/>
      <c r="O2306" s="50"/>
      <c r="P2306" s="50"/>
      <c r="Q2306" s="50"/>
      <c r="R2306" s="50"/>
      <c r="S2306" s="50" t="str">
        <f t="shared" si="226"/>
        <v/>
      </c>
      <c r="T2306" s="50" t="str">
        <f t="shared" ref="T2306:U2308" si="228">IF(
    OR(ISBLANK(O2306), ISBLANK(P2306)),
    "",
    MAX(1, IF(
        NETWORKDAYS(O2306, P2306) &lt;= 0,
        1,
        NETWORKDAYS(O2306, P2306) - IF(O2306 = P2306, 0, 1)
    ))
)</f>
        <v/>
      </c>
      <c r="U2306" s="50" t="str">
        <f t="shared" si="228"/>
        <v/>
      </c>
      <c r="V2306" s="50" t="str">
        <f t="shared" si="227"/>
        <v/>
      </c>
      <c r="W2306" s="50"/>
      <c r="X2306" s="50"/>
      <c r="Y2306" s="50"/>
      <c r="Z2306" s="50"/>
      <c r="AA2306" s="50"/>
    </row>
    <row r="2307" spans="1:27" ht="25.5" customHeight="1">
      <c r="A2307" s="517" t="s">
        <v>778</v>
      </c>
      <c r="B2307" s="51" t="s">
        <v>3566</v>
      </c>
      <c r="C2307" s="51" t="s">
        <v>143</v>
      </c>
      <c r="D2307" s="51" t="s">
        <v>1166</v>
      </c>
      <c r="E2307" s="50">
        <v>11005</v>
      </c>
      <c r="F2307" s="50">
        <v>10048</v>
      </c>
      <c r="G2307" s="50" t="s">
        <v>3955</v>
      </c>
      <c r="H2307" s="50"/>
      <c r="I2307" s="105"/>
      <c r="J2307" s="50"/>
      <c r="K2307" s="50" t="s">
        <v>33</v>
      </c>
      <c r="L2307" s="50"/>
      <c r="M2307" s="50" t="s">
        <v>148</v>
      </c>
      <c r="N2307" s="50"/>
      <c r="O2307" s="50"/>
      <c r="P2307" s="50"/>
      <c r="Q2307" s="50"/>
      <c r="R2307" s="50"/>
      <c r="S2307" s="50" t="str">
        <f t="shared" si="226"/>
        <v/>
      </c>
      <c r="T2307" s="50" t="str">
        <f t="shared" si="228"/>
        <v/>
      </c>
      <c r="U2307" s="50" t="str">
        <f t="shared" si="228"/>
        <v/>
      </c>
      <c r="V2307" s="50" t="str">
        <f t="shared" si="227"/>
        <v/>
      </c>
      <c r="W2307" s="50"/>
      <c r="X2307" s="50"/>
      <c r="Y2307" s="50"/>
      <c r="Z2307" s="50"/>
      <c r="AA2307" s="50"/>
    </row>
    <row r="2308" spans="1:27" ht="25.5" customHeight="1">
      <c r="A2308" s="517" t="s">
        <v>778</v>
      </c>
      <c r="B2308" s="51" t="s">
        <v>3566</v>
      </c>
      <c r="C2308" s="51" t="s">
        <v>143</v>
      </c>
      <c r="D2308" s="51" t="s">
        <v>4261</v>
      </c>
      <c r="E2308" s="50">
        <v>2170</v>
      </c>
      <c r="F2308" s="50">
        <v>2642</v>
      </c>
      <c r="G2308" s="50" t="s">
        <v>3955</v>
      </c>
      <c r="H2308" s="50"/>
      <c r="I2308" s="105"/>
      <c r="J2308" s="50"/>
      <c r="K2308" s="50" t="s">
        <v>33</v>
      </c>
      <c r="L2308" s="50"/>
      <c r="M2308" s="50" t="s">
        <v>148</v>
      </c>
      <c r="N2308" s="50"/>
      <c r="O2308" s="50"/>
      <c r="P2308" s="50"/>
      <c r="Q2308" s="50"/>
      <c r="R2308" s="50"/>
      <c r="S2308" s="50" t="str">
        <f t="shared" si="226"/>
        <v/>
      </c>
      <c r="T2308" s="50" t="str">
        <f t="shared" si="228"/>
        <v/>
      </c>
      <c r="U2308" s="50" t="str">
        <f t="shared" si="228"/>
        <v/>
      </c>
      <c r="V2308" s="50" t="str">
        <f t="shared" si="227"/>
        <v/>
      </c>
      <c r="W2308" s="50"/>
      <c r="X2308" s="50"/>
      <c r="Y2308" s="50"/>
      <c r="Z2308" s="50"/>
      <c r="AA2308" s="50"/>
    </row>
    <row r="2309" spans="1:27" s="110" customFormat="1" ht="25.5" customHeight="1">
      <c r="A2309" s="517" t="s">
        <v>778</v>
      </c>
      <c r="B2309" s="51" t="s">
        <v>3566</v>
      </c>
      <c r="C2309" s="51" t="s">
        <v>143</v>
      </c>
      <c r="D2309" s="51" t="s">
        <v>3916</v>
      </c>
      <c r="E2309" s="50">
        <v>3146</v>
      </c>
      <c r="F2309" s="50">
        <v>4310</v>
      </c>
      <c r="G2309" s="50" t="s">
        <v>3404</v>
      </c>
      <c r="H2309" s="50">
        <v>2025</v>
      </c>
      <c r="I2309" s="132">
        <v>45791</v>
      </c>
      <c r="J2309" s="50" t="s">
        <v>3532</v>
      </c>
      <c r="K2309" s="50" t="s">
        <v>33</v>
      </c>
      <c r="L2309" s="50"/>
      <c r="M2309" s="50" t="s">
        <v>148</v>
      </c>
      <c r="N2309" s="50" t="s">
        <v>5758</v>
      </c>
      <c r="O2309" s="60">
        <v>45792</v>
      </c>
      <c r="P2309" s="50"/>
      <c r="Q2309" s="60">
        <v>45793</v>
      </c>
      <c r="R2309" s="60">
        <v>45793</v>
      </c>
      <c r="S2309" s="50">
        <f t="shared" si="226"/>
        <v>1</v>
      </c>
      <c r="T2309" s="50" t="str">
        <f>IF(
    OR(ISBLANK(O2309), ISBLANK(P2309)),
    "",
    MAX(1, IF(
        NETWORKDAYS(O2309, P2309) &lt;= 0,
        1,
        NETWORKDAYS(O2309, P2309) - IF(O2309 = QP2309, 0, 1)
    ))
)</f>
        <v/>
      </c>
      <c r="U2309" s="50">
        <f>IF(
    OR(ISBLANK(1816), ISBLANK(Q2309)),
    "",
    MAX(1, IF(
        NETWORKDAYS(O2309, Q2309) &lt;= 0,
        1,
        NETWORKDAYS(O2309, Q2309) - IF(O2309 = Q2309, 0, 1)
    ))
)</f>
        <v>1</v>
      </c>
      <c r="V2309" s="50">
        <f t="shared" si="227"/>
        <v>1</v>
      </c>
      <c r="W2309" s="50" t="s">
        <v>150</v>
      </c>
      <c r="X2309" s="50" t="s">
        <v>4</v>
      </c>
      <c r="Y2309" s="50" t="s">
        <v>57</v>
      </c>
      <c r="Z2309" s="50" t="s">
        <v>3406</v>
      </c>
      <c r="AA2309" s="50"/>
    </row>
    <row r="2310" spans="1:27" ht="25.5" customHeight="1">
      <c r="A2310" s="517" t="s">
        <v>778</v>
      </c>
      <c r="B2310" s="51" t="s">
        <v>1429</v>
      </c>
      <c r="C2310" s="51" t="s">
        <v>143</v>
      </c>
      <c r="D2310" s="51" t="s">
        <v>5759</v>
      </c>
      <c r="E2310" s="50">
        <v>292</v>
      </c>
      <c r="F2310" s="50">
        <v>299</v>
      </c>
      <c r="G2310" s="50" t="s">
        <v>3955</v>
      </c>
      <c r="H2310" s="50"/>
      <c r="I2310" s="105"/>
      <c r="J2310" s="50"/>
      <c r="K2310" s="50" t="s">
        <v>35</v>
      </c>
      <c r="L2310" s="50"/>
      <c r="M2310" s="50" t="s">
        <v>148</v>
      </c>
      <c r="N2310" s="50"/>
      <c r="O2310" s="50"/>
      <c r="P2310" s="50"/>
      <c r="Q2310" s="50"/>
      <c r="R2310" s="50"/>
      <c r="S2310" s="50" t="str">
        <f t="shared" si="226"/>
        <v/>
      </c>
      <c r="T2310" s="50" t="str">
        <f t="shared" ref="T2310:U2314" si="229">IF(
    OR(ISBLANK(O2310), ISBLANK(P2310)),
    "",
    MAX(1, IF(
        NETWORKDAYS(O2310, P2310) &lt;= 0,
        1,
        NETWORKDAYS(O2310, P2310) - IF(O2310 = P2310, 0, 1)
    ))
)</f>
        <v/>
      </c>
      <c r="U2310" s="50" t="str">
        <f t="shared" si="229"/>
        <v/>
      </c>
      <c r="V2310" s="50" t="str">
        <f t="shared" si="227"/>
        <v/>
      </c>
      <c r="W2310" s="50"/>
      <c r="X2310" s="50"/>
      <c r="Y2310" s="50"/>
      <c r="Z2310" s="50"/>
      <c r="AA2310" s="50"/>
    </row>
    <row r="2311" spans="1:27" ht="25.5" customHeight="1">
      <c r="A2311" s="517" t="s">
        <v>778</v>
      </c>
      <c r="B2311" s="51" t="s">
        <v>1429</v>
      </c>
      <c r="C2311" s="51" t="s">
        <v>143</v>
      </c>
      <c r="D2311" s="51" t="s">
        <v>5760</v>
      </c>
      <c r="E2311" s="50">
        <v>1223</v>
      </c>
      <c r="F2311" s="50">
        <v>1222</v>
      </c>
      <c r="G2311" s="50" t="s">
        <v>3955</v>
      </c>
      <c r="H2311" s="50"/>
      <c r="I2311" s="105"/>
      <c r="J2311" s="50"/>
      <c r="K2311" s="50" t="s">
        <v>35</v>
      </c>
      <c r="L2311" s="50"/>
      <c r="M2311" s="50" t="s">
        <v>148</v>
      </c>
      <c r="N2311" s="50"/>
      <c r="O2311" s="50"/>
      <c r="P2311" s="50"/>
      <c r="Q2311" s="50"/>
      <c r="R2311" s="50"/>
      <c r="S2311" s="50" t="str">
        <f t="shared" si="226"/>
        <v/>
      </c>
      <c r="T2311" s="50" t="str">
        <f t="shared" si="229"/>
        <v/>
      </c>
      <c r="U2311" s="50" t="str">
        <f t="shared" si="229"/>
        <v/>
      </c>
      <c r="V2311" s="50" t="str">
        <f t="shared" si="227"/>
        <v/>
      </c>
      <c r="W2311" s="50"/>
      <c r="X2311" s="50"/>
      <c r="Y2311" s="50"/>
      <c r="Z2311" s="50"/>
      <c r="AA2311" s="50"/>
    </row>
    <row r="2312" spans="1:27" s="110" customFormat="1" ht="25.5" customHeight="1">
      <c r="A2312" s="517" t="s">
        <v>778</v>
      </c>
      <c r="B2312" s="51" t="s">
        <v>1429</v>
      </c>
      <c r="C2312" s="51" t="s">
        <v>143</v>
      </c>
      <c r="D2312" s="51" t="s">
        <v>5761</v>
      </c>
      <c r="E2312" s="50">
        <v>886</v>
      </c>
      <c r="F2312" s="50">
        <v>900</v>
      </c>
      <c r="G2312" s="50" t="s">
        <v>3955</v>
      </c>
      <c r="H2312" s="50"/>
      <c r="I2312" s="105"/>
      <c r="J2312" s="50"/>
      <c r="K2312" s="50" t="s">
        <v>35</v>
      </c>
      <c r="L2312" s="50"/>
      <c r="M2312" s="50" t="s">
        <v>148</v>
      </c>
      <c r="N2312" s="50"/>
      <c r="O2312" s="50"/>
      <c r="P2312" s="50"/>
      <c r="Q2312" s="50"/>
      <c r="R2312" s="50"/>
      <c r="S2312" s="50" t="str">
        <f t="shared" si="226"/>
        <v/>
      </c>
      <c r="T2312" s="50" t="str">
        <f t="shared" si="229"/>
        <v/>
      </c>
      <c r="U2312" s="50" t="str">
        <f t="shared" si="229"/>
        <v/>
      </c>
      <c r="V2312" s="50" t="str">
        <f t="shared" si="227"/>
        <v/>
      </c>
      <c r="W2312" s="50"/>
      <c r="X2312" s="50"/>
      <c r="Y2312" s="50"/>
      <c r="Z2312" s="50"/>
      <c r="AA2312" s="50"/>
    </row>
    <row r="2313" spans="1:27" ht="25.5" customHeight="1">
      <c r="A2313" s="517" t="s">
        <v>778</v>
      </c>
      <c r="B2313" s="51" t="s">
        <v>1429</v>
      </c>
      <c r="C2313" s="51" t="s">
        <v>143</v>
      </c>
      <c r="D2313" s="51" t="s">
        <v>5762</v>
      </c>
      <c r="E2313" s="50">
        <v>2488</v>
      </c>
      <c r="F2313" s="50">
        <v>2461</v>
      </c>
      <c r="G2313" s="50" t="s">
        <v>3955</v>
      </c>
      <c r="H2313" s="50"/>
      <c r="I2313" s="105"/>
      <c r="J2313" s="50"/>
      <c r="K2313" s="50" t="s">
        <v>35</v>
      </c>
      <c r="L2313" s="50"/>
      <c r="M2313" s="50" t="s">
        <v>148</v>
      </c>
      <c r="N2313" s="50"/>
      <c r="O2313" s="50"/>
      <c r="P2313" s="50"/>
      <c r="Q2313" s="50"/>
      <c r="R2313" s="50"/>
      <c r="S2313" s="50" t="str">
        <f t="shared" si="226"/>
        <v/>
      </c>
      <c r="T2313" s="50" t="str">
        <f t="shared" si="229"/>
        <v/>
      </c>
      <c r="U2313" s="50" t="str">
        <f t="shared" si="229"/>
        <v/>
      </c>
      <c r="V2313" s="50" t="str">
        <f t="shared" si="227"/>
        <v/>
      </c>
      <c r="W2313" s="50"/>
      <c r="X2313" s="50"/>
      <c r="Y2313" s="50"/>
      <c r="Z2313" s="50"/>
      <c r="AA2313" s="50"/>
    </row>
    <row r="2314" spans="1:27" ht="25.5" customHeight="1">
      <c r="A2314" s="517" t="s">
        <v>778</v>
      </c>
      <c r="B2314" s="51" t="s">
        <v>1429</v>
      </c>
      <c r="C2314" s="51" t="s">
        <v>143</v>
      </c>
      <c r="D2314" s="51" t="s">
        <v>5763</v>
      </c>
      <c r="E2314" s="50">
        <v>1373</v>
      </c>
      <c r="F2314" s="50">
        <v>1453</v>
      </c>
      <c r="G2314" s="50" t="s">
        <v>3955</v>
      </c>
      <c r="H2314" s="50"/>
      <c r="I2314" s="105"/>
      <c r="J2314" s="50"/>
      <c r="K2314" s="50" t="s">
        <v>35</v>
      </c>
      <c r="L2314" s="50"/>
      <c r="M2314" s="50" t="s">
        <v>148</v>
      </c>
      <c r="N2314" s="50"/>
      <c r="O2314" s="50"/>
      <c r="P2314" s="50"/>
      <c r="Q2314" s="50"/>
      <c r="R2314" s="50"/>
      <c r="S2314" s="50" t="str">
        <f t="shared" si="226"/>
        <v/>
      </c>
      <c r="T2314" s="50" t="str">
        <f t="shared" si="229"/>
        <v/>
      </c>
      <c r="U2314" s="50" t="str">
        <f t="shared" si="229"/>
        <v/>
      </c>
      <c r="V2314" s="50" t="str">
        <f t="shared" si="227"/>
        <v/>
      </c>
      <c r="W2314" s="50"/>
      <c r="X2314" s="50"/>
      <c r="Y2314" s="50"/>
      <c r="Z2314" s="50"/>
      <c r="AA2314" s="50"/>
    </row>
    <row r="2315" spans="1:27" ht="25.5" customHeight="1">
      <c r="A2315" s="50" t="s">
        <v>778</v>
      </c>
      <c r="B2315" s="51" t="s">
        <v>1429</v>
      </c>
      <c r="C2315" s="51" t="s">
        <v>143</v>
      </c>
      <c r="D2315" s="51" t="s">
        <v>914</v>
      </c>
      <c r="E2315" s="50">
        <v>2317</v>
      </c>
      <c r="F2315" s="50">
        <v>2539</v>
      </c>
      <c r="G2315" s="50" t="s">
        <v>3404</v>
      </c>
      <c r="H2315" s="50">
        <v>2025</v>
      </c>
      <c r="I2315" s="132">
        <v>45757</v>
      </c>
      <c r="J2315" s="50" t="s">
        <v>3470</v>
      </c>
      <c r="K2315" s="50" t="s">
        <v>35</v>
      </c>
      <c r="L2315" s="50"/>
      <c r="M2315" s="50" t="s">
        <v>148</v>
      </c>
      <c r="N2315" s="50" t="s">
        <v>5764</v>
      </c>
      <c r="O2315" s="60">
        <v>45759</v>
      </c>
      <c r="P2315" s="50"/>
      <c r="Q2315" s="60">
        <v>45768</v>
      </c>
      <c r="R2315" s="60">
        <v>45769</v>
      </c>
      <c r="S2315" s="50">
        <f t="shared" si="226"/>
        <v>1</v>
      </c>
      <c r="T2315" s="50" t="str">
        <f>IF(
    OR(ISBLANK(O2315), ISBLANK(P2315)),
    "",
    MAX(1, IF(
        NETWORKDAYS(O2315, P2315) &lt;= 0,
        1,
        NETWORKDAYS(O2315, P2315) - IF(O2315 = QP2315, 0, 1)
    ))
)</f>
        <v/>
      </c>
      <c r="U2315" s="50">
        <f>IF(
    OR(ISBLANK(1816), ISBLANK(Q2315)),
    "",
    MAX(1, IF(
        NETWORKDAYS(O2315, Q2315) &lt;= 0,
        1,
        NETWORKDAYS(O2315, Q2315) - IF(O2315 = Q2315, 0, 1)
    ))
)</f>
        <v>5</v>
      </c>
      <c r="V2315" s="50">
        <f t="shared" si="227"/>
        <v>1</v>
      </c>
      <c r="W2315" s="50" t="s">
        <v>150</v>
      </c>
      <c r="X2315" s="50" t="s">
        <v>1078</v>
      </c>
      <c r="Y2315" s="50" t="s">
        <v>50</v>
      </c>
      <c r="Z2315" s="50" t="s">
        <v>3406</v>
      </c>
      <c r="AA2315" s="50"/>
    </row>
    <row r="2316" spans="1:27" ht="25.5" customHeight="1">
      <c r="A2316" s="517" t="s">
        <v>778</v>
      </c>
      <c r="B2316" s="51" t="s">
        <v>1429</v>
      </c>
      <c r="C2316" s="51" t="s">
        <v>143</v>
      </c>
      <c r="D2316" s="51" t="s">
        <v>5551</v>
      </c>
      <c r="E2316" s="50">
        <v>2625</v>
      </c>
      <c r="F2316" s="50">
        <v>2687</v>
      </c>
      <c r="G2316" s="50" t="s">
        <v>3955</v>
      </c>
      <c r="H2316" s="50"/>
      <c r="I2316" s="105"/>
      <c r="J2316" s="50"/>
      <c r="K2316" s="50" t="s">
        <v>35</v>
      </c>
      <c r="L2316" s="50"/>
      <c r="M2316" s="50" t="s">
        <v>148</v>
      </c>
      <c r="N2316" s="50"/>
      <c r="O2316" s="50"/>
      <c r="P2316" s="50"/>
      <c r="Q2316" s="50"/>
      <c r="R2316" s="50"/>
      <c r="S2316" s="50" t="str">
        <f t="shared" si="226"/>
        <v/>
      </c>
      <c r="T2316" s="50" t="str">
        <f>IF(
    OR(ISBLANK(O2316), ISBLANK(P2316)),
    "",
    MAX(1, IF(
        NETWORKDAYS(O2316, P2316) &lt;= 0,
        1,
        NETWORKDAYS(O2316, P2316) - IF(O2316 = P2316, 0, 1)
    ))
)</f>
        <v/>
      </c>
      <c r="U2316" s="50" t="str">
        <f>IF(
    OR(ISBLANK(P2316), ISBLANK(Q2316)),
    "",
    MAX(1, IF(
        NETWORKDAYS(P2316, Q2316) &lt;= 0,
        1,
        NETWORKDAYS(P2316, Q2316) - IF(P2316 = Q2316, 0, 1)
    ))
)</f>
        <v/>
      </c>
      <c r="V2316" s="50" t="str">
        <f t="shared" si="227"/>
        <v/>
      </c>
      <c r="W2316" s="50"/>
      <c r="X2316" s="50"/>
      <c r="Y2316" s="50"/>
      <c r="Z2316" s="50"/>
      <c r="AA2316" s="50"/>
    </row>
    <row r="2317" spans="1:27" ht="25.5" customHeight="1">
      <c r="A2317" s="517" t="s">
        <v>778</v>
      </c>
      <c r="B2317" s="51" t="s">
        <v>1429</v>
      </c>
      <c r="C2317" s="51" t="s">
        <v>143</v>
      </c>
      <c r="D2317" s="51" t="s">
        <v>5552</v>
      </c>
      <c r="E2317" s="50">
        <v>3065</v>
      </c>
      <c r="F2317" s="50">
        <v>1678</v>
      </c>
      <c r="G2317" s="50" t="s">
        <v>3404</v>
      </c>
      <c r="H2317" s="50">
        <v>2025</v>
      </c>
      <c r="I2317" s="132">
        <v>45730</v>
      </c>
      <c r="J2317" s="50" t="s">
        <v>3416</v>
      </c>
      <c r="K2317" s="50" t="s">
        <v>35</v>
      </c>
      <c r="L2317" s="50"/>
      <c r="M2317" s="50" t="s">
        <v>148</v>
      </c>
      <c r="N2317" s="50" t="s">
        <v>5765</v>
      </c>
      <c r="O2317" s="60">
        <v>45734</v>
      </c>
      <c r="P2317" s="50"/>
      <c r="Q2317" s="60">
        <v>45734</v>
      </c>
      <c r="R2317" s="60">
        <v>45734</v>
      </c>
      <c r="S2317" s="50">
        <f t="shared" si="226"/>
        <v>2</v>
      </c>
      <c r="T2317" s="50" t="str">
        <f>IF(
    OR(ISBLANK(O2317), ISBLANK(P2317)),
    "",
    MAX(1, IF(
        NETWORKDAYS(O2317, P2317) &lt;= 0,
        1,
        NETWORKDAYS(O2317, P2317) - IF(O2317 = QP2317, 0, 1)
    ))
)</f>
        <v/>
      </c>
      <c r="U2317" s="50">
        <f>IF(
    OR(ISBLANK(1816), ISBLANK(Q2317)),
    "",
    MAX(1, IF(
        NETWORKDAYS(O2317, Q2317) &lt;= 0,
        1,
        NETWORKDAYS(O2317, Q2317) - IF(O2317 = Q2317, 0, 1)
    ))
)</f>
        <v>1</v>
      </c>
      <c r="V2317" s="50">
        <f t="shared" si="227"/>
        <v>1</v>
      </c>
      <c r="W2317" s="50" t="s">
        <v>150</v>
      </c>
      <c r="X2317" s="50" t="s">
        <v>3527</v>
      </c>
      <c r="Y2317" s="50" t="s">
        <v>3528</v>
      </c>
      <c r="Z2317" s="50" t="s">
        <v>3406</v>
      </c>
      <c r="AA2317" s="50"/>
    </row>
    <row r="2318" spans="1:27" ht="25.5" customHeight="1">
      <c r="A2318" s="50" t="s">
        <v>778</v>
      </c>
      <c r="B2318" s="51" t="s">
        <v>1429</v>
      </c>
      <c r="C2318" s="51" t="s">
        <v>143</v>
      </c>
      <c r="D2318" s="51" t="s">
        <v>1253</v>
      </c>
      <c r="E2318" s="50">
        <v>3210</v>
      </c>
      <c r="F2318" s="50">
        <v>5111</v>
      </c>
      <c r="G2318" s="50" t="s">
        <v>3404</v>
      </c>
      <c r="H2318" s="50">
        <v>2024</v>
      </c>
      <c r="I2318" s="132">
        <v>45576</v>
      </c>
      <c r="J2318" s="50" t="s">
        <v>3128</v>
      </c>
      <c r="K2318" s="50" t="s">
        <v>35</v>
      </c>
      <c r="L2318" s="50"/>
      <c r="M2318" s="50" t="s">
        <v>148</v>
      </c>
      <c r="N2318" s="50"/>
      <c r="O2318" s="50"/>
      <c r="P2318" s="50"/>
      <c r="Q2318" s="50"/>
      <c r="R2318" s="50"/>
      <c r="S2318" s="50" t="str">
        <f t="shared" si="226"/>
        <v/>
      </c>
      <c r="T2318" s="50" t="str">
        <f>IF(
    OR(ISBLANK(O2318), ISBLANK(P2318)),
    "",
    MAX(1, IF(
        NETWORKDAYS(O2318, P2318) &lt;= 0,
        1,
        NETWORKDAYS(O2318, P2318) - IF(O2318 = P2318, 0, 1)
    ))
)</f>
        <v/>
      </c>
      <c r="U2318" s="50" t="str">
        <f>IF(
    OR(ISBLANK(P2318), ISBLANK(Q2318)),
    "",
    MAX(1, IF(
        NETWORKDAYS(P2318, Q2318) &lt;= 0,
        1,
        NETWORKDAYS(P2318, Q2318) - IF(P2318 = Q2318, 0, 1)
    ))
)</f>
        <v/>
      </c>
      <c r="V2318" s="50" t="str">
        <f t="shared" si="227"/>
        <v/>
      </c>
      <c r="W2318" s="50"/>
      <c r="X2318" s="50" t="s">
        <v>4</v>
      </c>
      <c r="Y2318" s="50" t="s">
        <v>50</v>
      </c>
      <c r="Z2318" s="50" t="s">
        <v>3406</v>
      </c>
      <c r="AA2318" s="50"/>
    </row>
    <row r="2319" spans="1:27" ht="25.5" customHeight="1">
      <c r="A2319" s="50" t="s">
        <v>778</v>
      </c>
      <c r="B2319" s="51" t="s">
        <v>1429</v>
      </c>
      <c r="C2319" s="51" t="s">
        <v>143</v>
      </c>
      <c r="D2319" s="51" t="s">
        <v>5583</v>
      </c>
      <c r="E2319" s="50">
        <v>3490</v>
      </c>
      <c r="F2319" s="50">
        <v>3538</v>
      </c>
      <c r="G2319" s="50" t="s">
        <v>3404</v>
      </c>
      <c r="H2319" s="50">
        <v>2024</v>
      </c>
      <c r="I2319" s="132">
        <v>45414</v>
      </c>
      <c r="J2319" s="50"/>
      <c r="K2319" s="50" t="s">
        <v>35</v>
      </c>
      <c r="L2319" s="50"/>
      <c r="M2319" s="50" t="s">
        <v>148</v>
      </c>
      <c r="N2319" s="50"/>
      <c r="O2319" s="50"/>
      <c r="P2319" s="50"/>
      <c r="Q2319" s="50"/>
      <c r="R2319" s="50"/>
      <c r="S2319" s="50" t="str">
        <f t="shared" si="226"/>
        <v/>
      </c>
      <c r="T2319" s="50" t="str">
        <f>IF(
    OR(ISBLANK(O2319), ISBLANK(P2319)),
    "",
    MAX(1, IF(
        NETWORKDAYS(O2319, P2319) &lt;= 0,
        1,
        NETWORKDAYS(O2319, P2319) - IF(O2319 = P2319, 0, 1)
    ))
)</f>
        <v/>
      </c>
      <c r="U2319" s="50" t="str">
        <f>IF(
    OR(ISBLANK(P2319), ISBLANK(Q2319)),
    "",
    MAX(1, IF(
        NETWORKDAYS(P2319, Q2319) &lt;= 0,
        1,
        NETWORKDAYS(P2319, Q2319) - IF(P2319 = Q2319, 0, 1)
    ))
)</f>
        <v/>
      </c>
      <c r="V2319" s="50" t="str">
        <f t="shared" si="227"/>
        <v/>
      </c>
      <c r="W2319" s="50"/>
      <c r="X2319" s="50"/>
      <c r="Y2319" s="50"/>
      <c r="Z2319" s="50" t="s">
        <v>3406</v>
      </c>
      <c r="AA2319" s="50"/>
    </row>
    <row r="2320" spans="1:27" ht="25.5" customHeight="1">
      <c r="A2320" s="517" t="s">
        <v>778</v>
      </c>
      <c r="B2320" s="51" t="s">
        <v>1429</v>
      </c>
      <c r="C2320" s="51" t="s">
        <v>143</v>
      </c>
      <c r="D2320" s="51" t="s">
        <v>1424</v>
      </c>
      <c r="E2320" s="50">
        <v>3829</v>
      </c>
      <c r="F2320" s="50">
        <v>3961</v>
      </c>
      <c r="G2320" s="50" t="s">
        <v>3404</v>
      </c>
      <c r="H2320" s="50">
        <v>2025</v>
      </c>
      <c r="I2320" s="132">
        <v>45757</v>
      </c>
      <c r="J2320" s="50" t="s">
        <v>3470</v>
      </c>
      <c r="K2320" s="50" t="s">
        <v>35</v>
      </c>
      <c r="L2320" s="50"/>
      <c r="M2320" s="50" t="s">
        <v>148</v>
      </c>
      <c r="N2320" s="50" t="s">
        <v>5766</v>
      </c>
      <c r="O2320" s="60">
        <v>45760</v>
      </c>
      <c r="P2320" s="50"/>
      <c r="Q2320" s="60">
        <v>45762</v>
      </c>
      <c r="R2320" s="60">
        <v>45768</v>
      </c>
      <c r="S2320" s="50">
        <f t="shared" si="226"/>
        <v>1</v>
      </c>
      <c r="T2320" s="50" t="str">
        <f>IF(
    OR(ISBLANK(O2320), ISBLANK(P2320)),
    "",
    MAX(1, IF(
        NETWORKDAYS(O2320, P2320) &lt;= 0,
        1,
        NETWORKDAYS(O2320, P2320) - IF(O2320 = QP2320, 0, 1)
    ))
)</f>
        <v/>
      </c>
      <c r="U2320" s="50">
        <f>IF(
    OR(ISBLANK(1816), ISBLANK(Q2320)),
    "",
    MAX(1, IF(
        NETWORKDAYS(O2320, Q2320) &lt;= 0,
        1,
        NETWORKDAYS(O2320, Q2320) - IF(O2320 = Q2320, 0, 1)
    ))
)</f>
        <v>1</v>
      </c>
      <c r="V2320" s="50">
        <f t="shared" si="227"/>
        <v>4</v>
      </c>
      <c r="W2320" s="50" t="s">
        <v>150</v>
      </c>
      <c r="X2320" s="50" t="s">
        <v>3527</v>
      </c>
      <c r="Y2320" s="50" t="s">
        <v>3528</v>
      </c>
      <c r="Z2320" s="50" t="s">
        <v>3406</v>
      </c>
      <c r="AA2320" s="50"/>
    </row>
    <row r="2321" spans="1:27" ht="25.5" customHeight="1">
      <c r="A2321" s="517" t="s">
        <v>778</v>
      </c>
      <c r="B2321" s="51" t="s">
        <v>1429</v>
      </c>
      <c r="C2321" s="51" t="s">
        <v>143</v>
      </c>
      <c r="D2321" s="51" t="s">
        <v>3566</v>
      </c>
      <c r="E2321" s="50">
        <v>3206</v>
      </c>
      <c r="F2321" s="50">
        <v>3227</v>
      </c>
      <c r="G2321" s="50" t="s">
        <v>3955</v>
      </c>
      <c r="H2321" s="50"/>
      <c r="I2321" s="105"/>
      <c r="J2321" s="50"/>
      <c r="K2321" s="50" t="s">
        <v>35</v>
      </c>
      <c r="L2321" s="50"/>
      <c r="M2321" s="50" t="s">
        <v>148</v>
      </c>
      <c r="N2321" s="50"/>
      <c r="O2321" s="50"/>
      <c r="P2321" s="50"/>
      <c r="Q2321" s="50"/>
      <c r="R2321" s="50"/>
      <c r="S2321" s="50" t="str">
        <f t="shared" si="226"/>
        <v/>
      </c>
      <c r="T2321" s="50" t="str">
        <f t="shared" ref="T2321:T2329" si="230">IF(
    OR(ISBLANK(O2321), ISBLANK(P2321)),
    "",
    MAX(1, IF(
        NETWORKDAYS(O2321, P2321) &lt;= 0,
        1,
        NETWORKDAYS(O2321, P2321) - IF(O2321 = P2321, 0, 1)
    ))
)</f>
        <v/>
      </c>
      <c r="U2321" s="50" t="str">
        <f t="shared" ref="U2321:U2329" si="231">IF(
    OR(ISBLANK(P2321), ISBLANK(Q2321)),
    "",
    MAX(1, IF(
        NETWORKDAYS(P2321, Q2321) &lt;= 0,
        1,
        NETWORKDAYS(P2321, Q2321) - IF(P2321 = Q2321, 0, 1)
    ))
)</f>
        <v/>
      </c>
      <c r="V2321" s="50" t="str">
        <f t="shared" si="227"/>
        <v/>
      </c>
      <c r="W2321" s="50"/>
      <c r="X2321" s="50"/>
      <c r="Y2321" s="50"/>
      <c r="Z2321" s="50"/>
      <c r="AA2321" s="50"/>
    </row>
    <row r="2322" spans="1:27" ht="25.5" customHeight="1">
      <c r="A2322" s="50" t="s">
        <v>778</v>
      </c>
      <c r="B2322" s="51" t="s">
        <v>1438</v>
      </c>
      <c r="C2322" s="51" t="s">
        <v>143</v>
      </c>
      <c r="D2322" s="51" t="s">
        <v>4126</v>
      </c>
      <c r="E2322" s="50">
        <v>3251</v>
      </c>
      <c r="F2322" s="50">
        <v>3308</v>
      </c>
      <c r="G2322" s="50" t="s">
        <v>3404</v>
      </c>
      <c r="H2322" s="50">
        <v>2024</v>
      </c>
      <c r="I2322" s="132">
        <v>45539</v>
      </c>
      <c r="J2322" s="50"/>
      <c r="K2322" s="50" t="s">
        <v>32</v>
      </c>
      <c r="L2322" s="50"/>
      <c r="M2322" s="50" t="s">
        <v>148</v>
      </c>
      <c r="N2322" s="50"/>
      <c r="O2322" s="50"/>
      <c r="P2322" s="50"/>
      <c r="Q2322" s="50"/>
      <c r="R2322" s="50"/>
      <c r="S2322" s="50" t="str">
        <f t="shared" si="226"/>
        <v/>
      </c>
      <c r="T2322" s="50" t="str">
        <f t="shared" si="230"/>
        <v/>
      </c>
      <c r="U2322" s="50" t="str">
        <f t="shared" si="231"/>
        <v/>
      </c>
      <c r="V2322" s="50" t="str">
        <f t="shared" si="227"/>
        <v/>
      </c>
      <c r="W2322" s="50"/>
      <c r="X2322" s="50"/>
      <c r="Y2322" s="50"/>
      <c r="Z2322" s="50"/>
      <c r="AA2322" s="50"/>
    </row>
    <row r="2323" spans="1:27" ht="25.5" customHeight="1">
      <c r="A2323" s="517" t="s">
        <v>778</v>
      </c>
      <c r="B2323" s="51" t="s">
        <v>1438</v>
      </c>
      <c r="C2323" s="51" t="s">
        <v>143</v>
      </c>
      <c r="D2323" s="51" t="s">
        <v>5756</v>
      </c>
      <c r="E2323" s="50">
        <v>1795</v>
      </c>
      <c r="F2323" s="50">
        <v>2774</v>
      </c>
      <c r="G2323" s="50" t="s">
        <v>3955</v>
      </c>
      <c r="H2323" s="50"/>
      <c r="I2323" s="105"/>
      <c r="J2323" s="50"/>
      <c r="K2323" s="50" t="s">
        <v>32</v>
      </c>
      <c r="L2323" s="50"/>
      <c r="M2323" s="50" t="s">
        <v>148</v>
      </c>
      <c r="N2323" s="50"/>
      <c r="O2323" s="50"/>
      <c r="P2323" s="50"/>
      <c r="Q2323" s="50"/>
      <c r="R2323" s="50"/>
      <c r="S2323" s="50" t="str">
        <f t="shared" si="226"/>
        <v/>
      </c>
      <c r="T2323" s="50" t="str">
        <f t="shared" si="230"/>
        <v/>
      </c>
      <c r="U2323" s="50" t="str">
        <f t="shared" si="231"/>
        <v/>
      </c>
      <c r="V2323" s="50" t="str">
        <f t="shared" si="227"/>
        <v/>
      </c>
      <c r="W2323" s="50"/>
      <c r="X2323" s="50"/>
      <c r="Y2323" s="50"/>
      <c r="Z2323" s="50"/>
      <c r="AA2323" s="50"/>
    </row>
    <row r="2324" spans="1:27" ht="25.5" customHeight="1">
      <c r="A2324" s="517" t="s">
        <v>778</v>
      </c>
      <c r="B2324" s="51" t="s">
        <v>1438</v>
      </c>
      <c r="C2324" s="51" t="s">
        <v>143</v>
      </c>
      <c r="D2324" s="51" t="s">
        <v>1180</v>
      </c>
      <c r="E2324" s="50">
        <v>5938</v>
      </c>
      <c r="F2324" s="50">
        <v>5485</v>
      </c>
      <c r="G2324" s="50" t="s">
        <v>3955</v>
      </c>
      <c r="H2324" s="50"/>
      <c r="I2324" s="132"/>
      <c r="J2324" s="50"/>
      <c r="K2324" s="50" t="s">
        <v>32</v>
      </c>
      <c r="L2324" s="50"/>
      <c r="M2324" s="50" t="s">
        <v>148</v>
      </c>
      <c r="N2324" s="50"/>
      <c r="O2324" s="60"/>
      <c r="P2324" s="50"/>
      <c r="Q2324" s="60"/>
      <c r="R2324" s="50"/>
      <c r="S2324" s="50" t="str">
        <f t="shared" si="226"/>
        <v/>
      </c>
      <c r="T2324" s="50" t="str">
        <f t="shared" si="230"/>
        <v/>
      </c>
      <c r="U2324" s="50" t="str">
        <f t="shared" si="231"/>
        <v/>
      </c>
      <c r="V2324" s="50" t="str">
        <f t="shared" si="227"/>
        <v/>
      </c>
      <c r="W2324" s="50"/>
      <c r="X2324" s="50"/>
      <c r="Y2324" s="50"/>
      <c r="Z2324" s="50"/>
      <c r="AA2324" s="50"/>
    </row>
    <row r="2325" spans="1:27" ht="25.5" customHeight="1">
      <c r="A2325" s="517" t="s">
        <v>778</v>
      </c>
      <c r="B2325" s="51" t="s">
        <v>1438</v>
      </c>
      <c r="C2325" s="51" t="s">
        <v>143</v>
      </c>
      <c r="D2325" s="51" t="s">
        <v>5767</v>
      </c>
      <c r="E2325" s="50">
        <v>4240</v>
      </c>
      <c r="F2325" s="50">
        <v>3143</v>
      </c>
      <c r="G2325" s="50" t="s">
        <v>3955</v>
      </c>
      <c r="H2325" s="50"/>
      <c r="I2325" s="105"/>
      <c r="J2325" s="50"/>
      <c r="K2325" s="50" t="s">
        <v>32</v>
      </c>
      <c r="L2325" s="50"/>
      <c r="M2325" s="50" t="s">
        <v>148</v>
      </c>
      <c r="N2325" s="50"/>
      <c r="O2325" s="50"/>
      <c r="P2325" s="50"/>
      <c r="Q2325" s="50"/>
      <c r="R2325" s="50"/>
      <c r="S2325" s="50" t="str">
        <f t="shared" si="226"/>
        <v/>
      </c>
      <c r="T2325" s="50" t="str">
        <f t="shared" si="230"/>
        <v/>
      </c>
      <c r="U2325" s="50" t="str">
        <f t="shared" si="231"/>
        <v/>
      </c>
      <c r="V2325" s="50" t="str">
        <f t="shared" si="227"/>
        <v/>
      </c>
      <c r="W2325" s="50"/>
      <c r="X2325" s="50"/>
      <c r="Y2325" s="50"/>
      <c r="Z2325" s="50"/>
      <c r="AA2325" s="50"/>
    </row>
    <row r="2326" spans="1:27" ht="25.5" customHeight="1">
      <c r="A2326" s="517" t="s">
        <v>778</v>
      </c>
      <c r="B2326" s="51" t="s">
        <v>1438</v>
      </c>
      <c r="C2326" s="51" t="s">
        <v>143</v>
      </c>
      <c r="D2326" s="51" t="s">
        <v>858</v>
      </c>
      <c r="E2326" s="50">
        <v>1733</v>
      </c>
      <c r="F2326" s="50">
        <v>2110</v>
      </c>
      <c r="G2326" s="50" t="s">
        <v>3955</v>
      </c>
      <c r="H2326" s="50"/>
      <c r="I2326" s="105"/>
      <c r="J2326" s="50"/>
      <c r="K2326" s="50" t="s">
        <v>32</v>
      </c>
      <c r="L2326" s="50"/>
      <c r="M2326" s="50" t="s">
        <v>148</v>
      </c>
      <c r="N2326" s="50"/>
      <c r="O2326" s="50"/>
      <c r="P2326" s="50"/>
      <c r="Q2326" s="50"/>
      <c r="R2326" s="50"/>
      <c r="S2326" s="50" t="str">
        <f t="shared" si="226"/>
        <v/>
      </c>
      <c r="T2326" s="50" t="str">
        <f t="shared" si="230"/>
        <v/>
      </c>
      <c r="U2326" s="50" t="str">
        <f t="shared" si="231"/>
        <v/>
      </c>
      <c r="V2326" s="50" t="str">
        <f t="shared" si="227"/>
        <v/>
      </c>
      <c r="W2326" s="50"/>
      <c r="X2326" s="50"/>
      <c r="Y2326" s="50"/>
      <c r="Z2326" s="50"/>
      <c r="AA2326" s="50"/>
    </row>
    <row r="2327" spans="1:27" ht="25.5" customHeight="1">
      <c r="A2327" s="517" t="s">
        <v>778</v>
      </c>
      <c r="B2327" s="51" t="s">
        <v>1438</v>
      </c>
      <c r="C2327" s="51" t="s">
        <v>143</v>
      </c>
      <c r="D2327" s="51" t="s">
        <v>918</v>
      </c>
      <c r="E2327" s="50">
        <v>2491</v>
      </c>
      <c r="F2327" s="50">
        <v>2823</v>
      </c>
      <c r="G2327" s="50" t="s">
        <v>3955</v>
      </c>
      <c r="H2327" s="50"/>
      <c r="I2327" s="105"/>
      <c r="J2327" s="50"/>
      <c r="K2327" s="50" t="s">
        <v>32</v>
      </c>
      <c r="L2327" s="50"/>
      <c r="M2327" s="50" t="s">
        <v>148</v>
      </c>
      <c r="N2327" s="50"/>
      <c r="O2327" s="50"/>
      <c r="P2327" s="50"/>
      <c r="Q2327" s="50"/>
      <c r="R2327" s="50"/>
      <c r="S2327" s="50" t="str">
        <f t="shared" si="226"/>
        <v/>
      </c>
      <c r="T2327" s="50" t="str">
        <f t="shared" si="230"/>
        <v/>
      </c>
      <c r="U2327" s="50" t="str">
        <f t="shared" si="231"/>
        <v/>
      </c>
      <c r="V2327" s="50" t="str">
        <f t="shared" si="227"/>
        <v/>
      </c>
      <c r="W2327" s="50"/>
      <c r="X2327" s="50"/>
      <c r="Y2327" s="50"/>
      <c r="Z2327" s="50"/>
      <c r="AA2327" s="50"/>
    </row>
    <row r="2328" spans="1:27" ht="25.5" customHeight="1">
      <c r="A2328" s="517" t="s">
        <v>778</v>
      </c>
      <c r="B2328" s="51" t="s">
        <v>1438</v>
      </c>
      <c r="C2328" s="51" t="s">
        <v>143</v>
      </c>
      <c r="D2328" s="51" t="s">
        <v>1439</v>
      </c>
      <c r="E2328" s="50">
        <v>5147</v>
      </c>
      <c r="F2328" s="50">
        <v>8651</v>
      </c>
      <c r="G2328" s="50" t="s">
        <v>3955</v>
      </c>
      <c r="H2328" s="50"/>
      <c r="I2328" s="105"/>
      <c r="J2328" s="50"/>
      <c r="K2328" s="50" t="s">
        <v>32</v>
      </c>
      <c r="L2328" s="50"/>
      <c r="M2328" s="50" t="s">
        <v>148</v>
      </c>
      <c r="N2328" s="50"/>
      <c r="O2328" s="50"/>
      <c r="P2328" s="50"/>
      <c r="Q2328" s="50"/>
      <c r="R2328" s="50"/>
      <c r="S2328" s="50" t="str">
        <f t="shared" si="226"/>
        <v/>
      </c>
      <c r="T2328" s="50" t="str">
        <f t="shared" si="230"/>
        <v/>
      </c>
      <c r="U2328" s="50" t="str">
        <f t="shared" si="231"/>
        <v/>
      </c>
      <c r="V2328" s="50" t="str">
        <f t="shared" si="227"/>
        <v/>
      </c>
      <c r="W2328" s="50"/>
      <c r="X2328" s="50"/>
      <c r="Y2328" s="50"/>
      <c r="Z2328" s="50"/>
      <c r="AA2328" s="50"/>
    </row>
    <row r="2329" spans="1:27" ht="25.5" customHeight="1">
      <c r="A2329" s="50" t="s">
        <v>778</v>
      </c>
      <c r="B2329" s="51" t="s">
        <v>1438</v>
      </c>
      <c r="C2329" s="51" t="s">
        <v>143</v>
      </c>
      <c r="D2329" s="51" t="s">
        <v>3723</v>
      </c>
      <c r="E2329" s="50">
        <v>4859</v>
      </c>
      <c r="F2329" s="50">
        <v>4949</v>
      </c>
      <c r="G2329" s="50" t="s">
        <v>3404</v>
      </c>
      <c r="H2329" s="50">
        <v>2024</v>
      </c>
      <c r="I2329" s="132">
        <v>45539</v>
      </c>
      <c r="J2329" s="50"/>
      <c r="K2329" s="50" t="s">
        <v>32</v>
      </c>
      <c r="L2329" s="50"/>
      <c r="M2329" s="50" t="s">
        <v>148</v>
      </c>
      <c r="N2329" s="50"/>
      <c r="O2329" s="50"/>
      <c r="P2329" s="50"/>
      <c r="Q2329" s="50"/>
      <c r="R2329" s="50"/>
      <c r="S2329" s="50" t="str">
        <f t="shared" si="226"/>
        <v/>
      </c>
      <c r="T2329" s="50" t="str">
        <f t="shared" si="230"/>
        <v/>
      </c>
      <c r="U2329" s="50" t="str">
        <f t="shared" si="231"/>
        <v/>
      </c>
      <c r="V2329" s="50" t="str">
        <f t="shared" si="227"/>
        <v/>
      </c>
      <c r="W2329" s="50"/>
      <c r="X2329" s="50" t="s">
        <v>4</v>
      </c>
      <c r="Y2329" s="50" t="s">
        <v>57</v>
      </c>
      <c r="Z2329" s="50" t="s">
        <v>3406</v>
      </c>
      <c r="AA2329" s="50"/>
    </row>
    <row r="2330" spans="1:27" ht="25.5" customHeight="1">
      <c r="A2330" s="517" t="s">
        <v>778</v>
      </c>
      <c r="B2330" s="51" t="s">
        <v>1438</v>
      </c>
      <c r="C2330" s="51" t="s">
        <v>143</v>
      </c>
      <c r="D2330" s="51" t="s">
        <v>1253</v>
      </c>
      <c r="E2330" s="50">
        <v>1910</v>
      </c>
      <c r="F2330" s="50">
        <v>2279</v>
      </c>
      <c r="G2330" s="50" t="s">
        <v>3404</v>
      </c>
      <c r="H2330" s="50">
        <v>2025</v>
      </c>
      <c r="I2330" s="132">
        <v>45758</v>
      </c>
      <c r="J2330" s="50" t="s">
        <v>3470</v>
      </c>
      <c r="K2330" s="50" t="s">
        <v>32</v>
      </c>
      <c r="L2330" s="50"/>
      <c r="M2330" s="50" t="s">
        <v>148</v>
      </c>
      <c r="N2330" s="50" t="s">
        <v>5768</v>
      </c>
      <c r="O2330" s="60">
        <v>45760</v>
      </c>
      <c r="P2330" s="50"/>
      <c r="Q2330" s="60">
        <v>45762</v>
      </c>
      <c r="R2330" s="60">
        <v>45768</v>
      </c>
      <c r="S2330" s="50">
        <f t="shared" si="226"/>
        <v>1</v>
      </c>
      <c r="T2330" s="50" t="str">
        <f>IF(
    OR(ISBLANK(O2330), ISBLANK(P2330)),
    "",
    MAX(1, IF(
        NETWORKDAYS(O2330, P2330) &lt;= 0,
        1,
        NETWORKDAYS(O2330, P2330) - IF(O2330 = QP2330, 0, 1)
    ))
)</f>
        <v/>
      </c>
      <c r="U2330" s="50">
        <f>IF(
    OR(ISBLANK(1816), ISBLANK(Q2330)),
    "",
    MAX(1, IF(
        NETWORKDAYS(O2330, Q2330) &lt;= 0,
        1,
        NETWORKDAYS(O2330, Q2330) - IF(O2330 = Q2330, 0, 1)
    ))
)</f>
        <v>1</v>
      </c>
      <c r="V2330" s="50">
        <f t="shared" si="227"/>
        <v>4</v>
      </c>
      <c r="W2330" s="50" t="s">
        <v>150</v>
      </c>
      <c r="X2330" s="50" t="s">
        <v>3527</v>
      </c>
      <c r="Y2330" s="50" t="s">
        <v>3528</v>
      </c>
      <c r="Z2330" s="50" t="s">
        <v>3406</v>
      </c>
      <c r="AA2330" s="50"/>
    </row>
    <row r="2331" spans="1:27" ht="25.5" customHeight="1">
      <c r="A2331" s="517" t="s">
        <v>778</v>
      </c>
      <c r="B2331" s="51" t="s">
        <v>1438</v>
      </c>
      <c r="C2331" s="51" t="s">
        <v>143</v>
      </c>
      <c r="D2331" s="51" t="s">
        <v>3974</v>
      </c>
      <c r="E2331" s="50">
        <v>3800</v>
      </c>
      <c r="F2331" s="50">
        <v>4065</v>
      </c>
      <c r="G2331" s="50" t="s">
        <v>3404</v>
      </c>
      <c r="H2331" s="50">
        <v>2025</v>
      </c>
      <c r="I2331" s="132">
        <v>45699</v>
      </c>
      <c r="J2331" s="50" t="s">
        <v>3458</v>
      </c>
      <c r="K2331" s="50" t="s">
        <v>32</v>
      </c>
      <c r="L2331" s="50"/>
      <c r="M2331" s="50" t="s">
        <v>148</v>
      </c>
      <c r="N2331" s="50" t="s">
        <v>5769</v>
      </c>
      <c r="O2331" s="60">
        <v>45702</v>
      </c>
      <c r="P2331" s="50"/>
      <c r="Q2331" s="60">
        <v>45705</v>
      </c>
      <c r="R2331" s="60">
        <v>45706</v>
      </c>
      <c r="S2331" s="50">
        <f t="shared" si="226"/>
        <v>3</v>
      </c>
      <c r="T2331" s="50" t="str">
        <f>IF(
    OR(ISBLANK(O2331), ISBLANK(P2331)),
    "",
    MAX(1, IF(
        NETWORKDAYS(O2331, P2331) &lt;= 0,
        1,
        NETWORKDAYS(O2331, P2331) - IF(O2331 = QP2331, 0, 1)
    ))
)</f>
        <v/>
      </c>
      <c r="U2331" s="50">
        <f>IF(
    OR(ISBLANK(1816), ISBLANK(Q2331)),
    "",
    MAX(1, IF(
        NETWORKDAYS(O2331, Q2331) &lt;= 0,
        1,
        NETWORKDAYS(O2331, Q2331) - IF(O2331 = Q2331, 0, 1)
    ))
)</f>
        <v>1</v>
      </c>
      <c r="V2331" s="50">
        <f t="shared" si="227"/>
        <v>1</v>
      </c>
      <c r="W2331" s="50" t="s">
        <v>150</v>
      </c>
      <c r="X2331" s="50" t="s">
        <v>4</v>
      </c>
      <c r="Y2331" s="50" t="s">
        <v>57</v>
      </c>
      <c r="Z2331" s="50" t="s">
        <v>3406</v>
      </c>
      <c r="AA2331" s="50"/>
    </row>
    <row r="2332" spans="1:27" ht="25.5" customHeight="1">
      <c r="A2332" s="50" t="s">
        <v>778</v>
      </c>
      <c r="B2332" s="51" t="s">
        <v>1438</v>
      </c>
      <c r="C2332" s="51" t="s">
        <v>143</v>
      </c>
      <c r="D2332" s="51" t="s">
        <v>3565</v>
      </c>
      <c r="E2332" s="50">
        <v>7393</v>
      </c>
      <c r="F2332" s="50">
        <v>7872</v>
      </c>
      <c r="G2332" s="50" t="s">
        <v>3404</v>
      </c>
      <c r="H2332" s="50">
        <v>2024</v>
      </c>
      <c r="I2332" s="132">
        <v>45539</v>
      </c>
      <c r="J2332" s="50"/>
      <c r="K2332" s="50" t="s">
        <v>32</v>
      </c>
      <c r="L2332" s="50"/>
      <c r="M2332" s="50" t="s">
        <v>148</v>
      </c>
      <c r="N2332" s="50"/>
      <c r="O2332" s="50"/>
      <c r="P2332" s="50"/>
      <c r="Q2332" s="50"/>
      <c r="R2332" s="50"/>
      <c r="S2332" s="50" t="str">
        <f t="shared" si="226"/>
        <v/>
      </c>
      <c r="T2332" s="50" t="str">
        <f>IF(
    OR(ISBLANK(O2332), ISBLANK(P2332)),
    "",
    MAX(1, IF(
        NETWORKDAYS(O2332, P2332) &lt;= 0,
        1,
        NETWORKDAYS(O2332, P2332) - IF(O2332 = P2332, 0, 1)
    ))
)</f>
        <v/>
      </c>
      <c r="U2332" s="50" t="str">
        <f>IF(
    OR(ISBLANK(P2332), ISBLANK(Q2332)),
    "",
    MAX(1, IF(
        NETWORKDAYS(P2332, Q2332) &lt;= 0,
        1,
        NETWORKDAYS(P2332, Q2332) - IF(P2332 = Q2332, 0, 1)
    ))
)</f>
        <v/>
      </c>
      <c r="V2332" s="50" t="str">
        <f t="shared" si="227"/>
        <v/>
      </c>
      <c r="W2332" s="50"/>
      <c r="X2332" s="50" t="s">
        <v>4</v>
      </c>
      <c r="Y2332" s="50" t="s">
        <v>57</v>
      </c>
      <c r="Z2332" s="50" t="s">
        <v>3406</v>
      </c>
      <c r="AA2332" s="50"/>
    </row>
    <row r="2333" spans="1:27" ht="25.5" customHeight="1">
      <c r="A2333" s="517" t="s">
        <v>778</v>
      </c>
      <c r="B2333" s="51" t="s">
        <v>1438</v>
      </c>
      <c r="C2333" s="51" t="s">
        <v>143</v>
      </c>
      <c r="D2333" s="51" t="s">
        <v>4950</v>
      </c>
      <c r="E2333" s="50">
        <v>6764</v>
      </c>
      <c r="F2333" s="50">
        <v>8143</v>
      </c>
      <c r="G2333" s="50" t="s">
        <v>3955</v>
      </c>
      <c r="H2333" s="50"/>
      <c r="I2333" s="105"/>
      <c r="J2333" s="50"/>
      <c r="K2333" s="50" t="s">
        <v>32</v>
      </c>
      <c r="L2333" s="50"/>
      <c r="M2333" s="50" t="s">
        <v>148</v>
      </c>
      <c r="N2333" s="50"/>
      <c r="O2333" s="50"/>
      <c r="P2333" s="50"/>
      <c r="Q2333" s="50"/>
      <c r="R2333" s="50"/>
      <c r="S2333" s="50" t="str">
        <f t="shared" si="226"/>
        <v/>
      </c>
      <c r="T2333" s="50" t="str">
        <f>IF(
    OR(ISBLANK(O2333), ISBLANK(P2333)),
    "",
    MAX(1, IF(
        NETWORKDAYS(O2333, P2333) &lt;= 0,
        1,
        NETWORKDAYS(O2333, P2333) - IF(O2333 = P2333, 0, 1)
    ))
)</f>
        <v/>
      </c>
      <c r="U2333" s="50" t="str">
        <f>IF(
    OR(ISBLANK(P2333), ISBLANK(Q2333)),
    "",
    MAX(1, IF(
        NETWORKDAYS(P2333, Q2333) &lt;= 0,
        1,
        NETWORKDAYS(P2333, Q2333) - IF(P2333 = Q2333, 0, 1)
    ))
)</f>
        <v/>
      </c>
      <c r="V2333" s="50" t="str">
        <f t="shared" si="227"/>
        <v/>
      </c>
      <c r="W2333" s="50"/>
      <c r="X2333" s="50"/>
      <c r="Y2333" s="50"/>
      <c r="Z2333" s="50"/>
      <c r="AA2333" s="50"/>
    </row>
    <row r="2334" spans="1:27" ht="25.5" customHeight="1">
      <c r="A2334" s="517" t="s">
        <v>778</v>
      </c>
      <c r="B2334" s="51" t="s">
        <v>1438</v>
      </c>
      <c r="C2334" s="51" t="s">
        <v>143</v>
      </c>
      <c r="D2334" s="51" t="s">
        <v>1170</v>
      </c>
      <c r="E2334" s="50">
        <v>4237</v>
      </c>
      <c r="F2334" s="50">
        <v>3995</v>
      </c>
      <c r="G2334" s="50" t="s">
        <v>3404</v>
      </c>
      <c r="H2334" s="50">
        <v>2025</v>
      </c>
      <c r="I2334" s="132">
        <v>45723</v>
      </c>
      <c r="J2334" s="50" t="s">
        <v>3416</v>
      </c>
      <c r="K2334" s="50" t="s">
        <v>32</v>
      </c>
      <c r="L2334" s="50"/>
      <c r="M2334" s="50" t="s">
        <v>148</v>
      </c>
      <c r="N2334" s="50" t="s">
        <v>5770</v>
      </c>
      <c r="O2334" s="60">
        <v>45734</v>
      </c>
      <c r="P2334" s="50"/>
      <c r="Q2334" s="60">
        <v>45734</v>
      </c>
      <c r="R2334" s="60">
        <v>45735</v>
      </c>
      <c r="S2334" s="50">
        <f t="shared" si="226"/>
        <v>7</v>
      </c>
      <c r="T2334" s="50" t="str">
        <f>IF(
    OR(ISBLANK(O2334), ISBLANK(P2334)),
    "",
    MAX(1, IF(
        NETWORKDAYS(O2334, P2334) &lt;= 0,
        1,
        NETWORKDAYS(O2334, P2334) - IF(O2334 = QP2334, 0, 1)
    ))
)</f>
        <v/>
      </c>
      <c r="U2334" s="50">
        <f>IF(
    OR(ISBLANK(1816), ISBLANK(Q2334)),
    "",
    MAX(1, IF(
        NETWORKDAYS(O2334, Q2334) &lt;= 0,
        1,
        NETWORKDAYS(O2334, Q2334) - IF(O2334 = Q2334, 0, 1)
    ))
)</f>
        <v>1</v>
      </c>
      <c r="V2334" s="50">
        <f t="shared" si="227"/>
        <v>1</v>
      </c>
      <c r="W2334" s="50" t="s">
        <v>150</v>
      </c>
      <c r="X2334" s="50" t="s">
        <v>4</v>
      </c>
      <c r="Y2334" s="50" t="s">
        <v>50</v>
      </c>
      <c r="Z2334" s="50" t="s">
        <v>3406</v>
      </c>
      <c r="AA2334" s="50"/>
    </row>
    <row r="2335" spans="1:27" ht="25.5" customHeight="1">
      <c r="A2335" s="517" t="s">
        <v>778</v>
      </c>
      <c r="B2335" s="51" t="s">
        <v>1438</v>
      </c>
      <c r="C2335" s="51" t="s">
        <v>143</v>
      </c>
      <c r="D2335" s="51" t="s">
        <v>4261</v>
      </c>
      <c r="E2335" s="50">
        <v>1620</v>
      </c>
      <c r="F2335" s="50">
        <v>1940</v>
      </c>
      <c r="G2335" s="50" t="s">
        <v>3955</v>
      </c>
      <c r="H2335" s="50"/>
      <c r="I2335" s="105"/>
      <c r="J2335" s="50"/>
      <c r="K2335" s="50" t="s">
        <v>32</v>
      </c>
      <c r="L2335" s="50"/>
      <c r="M2335" s="50" t="s">
        <v>148</v>
      </c>
      <c r="N2335" s="50"/>
      <c r="O2335" s="50"/>
      <c r="P2335" s="50"/>
      <c r="Q2335" s="50"/>
      <c r="R2335" s="50"/>
      <c r="S2335" s="50" t="str">
        <f t="shared" si="226"/>
        <v/>
      </c>
      <c r="T2335" s="50" t="str">
        <f>IF(
    OR(ISBLANK(O2335), ISBLANK(P2335)),
    "",
    MAX(1, IF(
        NETWORKDAYS(O2335, P2335) &lt;= 0,
        1,
        NETWORKDAYS(O2335, P2335) - IF(O2335 = P2335, 0, 1)
    ))
)</f>
        <v/>
      </c>
      <c r="U2335" s="50" t="str">
        <f>IF(
    OR(ISBLANK(P2335), ISBLANK(Q2335)),
    "",
    MAX(1, IF(
        NETWORKDAYS(P2335, Q2335) &lt;= 0,
        1,
        NETWORKDAYS(P2335, Q2335) - IF(P2335 = Q2335, 0, 1)
    ))
)</f>
        <v/>
      </c>
      <c r="V2335" s="50" t="str">
        <f t="shared" si="227"/>
        <v/>
      </c>
      <c r="W2335" s="50"/>
      <c r="X2335" s="50"/>
      <c r="Y2335" s="50"/>
      <c r="Z2335" s="50"/>
      <c r="AA2335" s="50"/>
    </row>
    <row r="2336" spans="1:27" ht="25.5" customHeight="1">
      <c r="A2336" s="517" t="s">
        <v>778</v>
      </c>
      <c r="B2336" s="51" t="s">
        <v>957</v>
      </c>
      <c r="C2336" s="51" t="s">
        <v>143</v>
      </c>
      <c r="D2336" s="51" t="s">
        <v>5771</v>
      </c>
      <c r="E2336" s="50">
        <v>3847</v>
      </c>
      <c r="F2336" s="50">
        <v>4285</v>
      </c>
      <c r="G2336" s="50" t="s">
        <v>3404</v>
      </c>
      <c r="H2336" s="50">
        <v>2025</v>
      </c>
      <c r="I2336" s="132">
        <v>45700</v>
      </c>
      <c r="J2336" s="50" t="s">
        <v>3458</v>
      </c>
      <c r="K2336" s="50" t="s">
        <v>35</v>
      </c>
      <c r="L2336" s="50"/>
      <c r="M2336" s="50" t="s">
        <v>148</v>
      </c>
      <c r="N2336" s="50" t="s">
        <v>5772</v>
      </c>
      <c r="O2336" s="60">
        <v>45705</v>
      </c>
      <c r="P2336" s="50"/>
      <c r="Q2336" s="60">
        <v>45706</v>
      </c>
      <c r="R2336" s="60">
        <v>45707</v>
      </c>
      <c r="S2336" s="50">
        <f t="shared" si="226"/>
        <v>3</v>
      </c>
      <c r="T2336" s="50" t="str">
        <f>IF(
    OR(ISBLANK(O2336), ISBLANK(P2336)),
    "",
    MAX(1, IF(
        NETWORKDAYS(O2336, P2336) &lt;= 0,
        1,
        NETWORKDAYS(O2336, P2336) - IF(O2336 = QP2336, 0, 1)
    ))
)</f>
        <v/>
      </c>
      <c r="U2336" s="50">
        <f>IF(
    OR(ISBLANK(1816), ISBLANK(Q2336)),
    "",
    MAX(1, IF(
        NETWORKDAYS(O2336, Q2336) &lt;= 0,
        1,
        NETWORKDAYS(O2336, Q2336) - IF(O2336 = Q2336, 0, 1)
    ))
)</f>
        <v>1</v>
      </c>
      <c r="V2336" s="50">
        <f t="shared" si="227"/>
        <v>1</v>
      </c>
      <c r="W2336" s="50" t="s">
        <v>150</v>
      </c>
      <c r="X2336" s="50" t="s">
        <v>3527</v>
      </c>
      <c r="Y2336" s="50" t="s">
        <v>3528</v>
      </c>
      <c r="Z2336" s="50" t="s">
        <v>3406</v>
      </c>
      <c r="AA2336" s="50"/>
    </row>
    <row r="2337" spans="1:27" s="110" customFormat="1" ht="25.5" customHeight="1">
      <c r="A2337" s="517" t="s">
        <v>778</v>
      </c>
      <c r="B2337" s="51" t="s">
        <v>957</v>
      </c>
      <c r="C2337" s="51" t="s">
        <v>143</v>
      </c>
      <c r="D2337" s="51" t="s">
        <v>5773</v>
      </c>
      <c r="E2337" s="50">
        <v>9481</v>
      </c>
      <c r="F2337" s="50">
        <v>10449</v>
      </c>
      <c r="G2337" s="50" t="s">
        <v>3955</v>
      </c>
      <c r="H2337" s="50"/>
      <c r="I2337" s="105"/>
      <c r="J2337" s="50"/>
      <c r="K2337" s="50" t="s">
        <v>35</v>
      </c>
      <c r="L2337" s="50"/>
      <c r="M2337" s="50" t="s">
        <v>148</v>
      </c>
      <c r="N2337" s="50"/>
      <c r="O2337" s="50"/>
      <c r="P2337" s="50"/>
      <c r="Q2337" s="50"/>
      <c r="R2337" s="50"/>
      <c r="S2337" s="50" t="str">
        <f t="shared" si="226"/>
        <v/>
      </c>
      <c r="T2337" s="50" t="str">
        <f>IF(
    OR(ISBLANK(O2337), ISBLANK(P2337)),
    "",
    MAX(1, IF(
        NETWORKDAYS(O2337, P2337) &lt;= 0,
        1,
        NETWORKDAYS(O2337, P2337) - IF(O2337 = P2337, 0, 1)
    ))
)</f>
        <v/>
      </c>
      <c r="U2337" s="50" t="str">
        <f>IF(
    OR(ISBLANK(P2337), ISBLANK(Q2337)),
    "",
    MAX(1, IF(
        NETWORKDAYS(P2337, Q2337) &lt;= 0,
        1,
        NETWORKDAYS(P2337, Q2337) - IF(P2337 = Q2337, 0, 1)
    ))
)</f>
        <v/>
      </c>
      <c r="V2337" s="50" t="str">
        <f t="shared" si="227"/>
        <v/>
      </c>
      <c r="W2337" s="50"/>
      <c r="X2337" s="50"/>
      <c r="Y2337" s="50"/>
      <c r="Z2337" s="50"/>
      <c r="AA2337" s="50"/>
    </row>
    <row r="2338" spans="1:27" ht="25.5" customHeight="1">
      <c r="A2338" s="517" t="s">
        <v>778</v>
      </c>
      <c r="B2338" s="51" t="s">
        <v>957</v>
      </c>
      <c r="C2338" s="51" t="s">
        <v>143</v>
      </c>
      <c r="D2338" s="51" t="s">
        <v>4126</v>
      </c>
      <c r="E2338" s="50">
        <v>3113</v>
      </c>
      <c r="F2338" s="50">
        <v>3792</v>
      </c>
      <c r="G2338" s="50" t="s">
        <v>3404</v>
      </c>
      <c r="H2338" s="50">
        <v>2025</v>
      </c>
      <c r="I2338" s="132">
        <v>45854</v>
      </c>
      <c r="J2338" s="50" t="s">
        <v>3125</v>
      </c>
      <c r="K2338" s="50" t="s">
        <v>35</v>
      </c>
      <c r="L2338" s="50" t="s">
        <v>28</v>
      </c>
      <c r="M2338" s="50" t="s">
        <v>148</v>
      </c>
      <c r="N2338" s="50" t="s">
        <v>5774</v>
      </c>
      <c r="O2338" s="60">
        <v>45854</v>
      </c>
      <c r="P2338" s="60">
        <v>45856</v>
      </c>
      <c r="Q2338" s="60">
        <v>45856</v>
      </c>
      <c r="R2338" s="60">
        <v>45856</v>
      </c>
      <c r="S2338" s="50">
        <f t="shared" si="226"/>
        <v>1</v>
      </c>
      <c r="T2338" s="50">
        <f>IF(
    OR(ISBLANK(1811), ISBLANK(P2338)),
    "",
    MAX(1, IF(
        NETWORKDAYS(O2338, P2338) &lt;= 0,
        1,
        NETWORKDAYS(O2338, P2338) - IF(O2338 = P2338, 0, 1)
    ))
)</f>
        <v>2</v>
      </c>
      <c r="U2338" s="50">
        <f t="shared" ref="U2338:U2343" si="232">IF(
    OR(ISBLANK(P2338), ISBLANK(Q2338)),
    "",
    MAX(1, IF(
        NETWORKDAYS(P2338, Q2338) &lt;= 0,
        1,
        NETWORKDAYS(P2338, Q2338) - IF(P2338 = Q2338, 0, 1)
    ))
)</f>
        <v>1</v>
      </c>
      <c r="V2338" s="50">
        <f t="shared" si="227"/>
        <v>1</v>
      </c>
      <c r="W2338" s="50" t="s">
        <v>150</v>
      </c>
      <c r="X2338" s="50" t="s">
        <v>3527</v>
      </c>
      <c r="Y2338" s="50" t="s">
        <v>3528</v>
      </c>
      <c r="Z2338" s="50" t="s">
        <v>3406</v>
      </c>
      <c r="AA2338" s="50"/>
    </row>
    <row r="2339" spans="1:27" ht="25.5" customHeight="1">
      <c r="A2339" s="517" t="s">
        <v>778</v>
      </c>
      <c r="B2339" s="51" t="s">
        <v>957</v>
      </c>
      <c r="C2339" s="51" t="s">
        <v>143</v>
      </c>
      <c r="D2339" s="51" t="s">
        <v>5775</v>
      </c>
      <c r="E2339" s="50">
        <v>8407</v>
      </c>
      <c r="F2339" s="50">
        <v>11823</v>
      </c>
      <c r="G2339" s="50" t="s">
        <v>3404</v>
      </c>
      <c r="H2339" s="50">
        <v>2025</v>
      </c>
      <c r="I2339" s="132">
        <v>45876</v>
      </c>
      <c r="J2339" s="50" t="s">
        <v>3126</v>
      </c>
      <c r="K2339" s="50" t="s">
        <v>35</v>
      </c>
      <c r="L2339" s="50" t="s">
        <v>28</v>
      </c>
      <c r="M2339" s="50" t="s">
        <v>148</v>
      </c>
      <c r="N2339" s="50" t="s">
        <v>5776</v>
      </c>
      <c r="O2339" s="60">
        <v>45877</v>
      </c>
      <c r="P2339" s="60">
        <v>45881</v>
      </c>
      <c r="Q2339" s="60">
        <v>45884</v>
      </c>
      <c r="R2339" s="60">
        <v>45888</v>
      </c>
      <c r="S2339" s="50">
        <f t="shared" si="226"/>
        <v>1</v>
      </c>
      <c r="T2339" s="50">
        <f>IF(
    OR(ISBLANK(1811), ISBLANK(P2339)),
    "",
    MAX(1, IF(
        NETWORKDAYS(O2339, P2339) &lt;= 0,
        1,
        NETWORKDAYS(O2339, P2339) - IF(O2339 = P2339, 0, 1)
    ))
)</f>
        <v>2</v>
      </c>
      <c r="U2339" s="50">
        <f t="shared" si="232"/>
        <v>3</v>
      </c>
      <c r="V2339" s="50">
        <f t="shared" si="227"/>
        <v>2</v>
      </c>
      <c r="W2339" s="50" t="s">
        <v>150</v>
      </c>
      <c r="X2339" s="50" t="s">
        <v>3527</v>
      </c>
      <c r="Y2339" s="50" t="s">
        <v>3528</v>
      </c>
      <c r="Z2339" s="50" t="s">
        <v>3406</v>
      </c>
      <c r="AA2339" s="50"/>
    </row>
    <row r="2340" spans="1:27" ht="25.5" customHeight="1">
      <c r="A2340" s="517" t="s">
        <v>778</v>
      </c>
      <c r="B2340" s="51" t="s">
        <v>957</v>
      </c>
      <c r="C2340" s="51" t="s">
        <v>143</v>
      </c>
      <c r="D2340" s="51" t="s">
        <v>1180</v>
      </c>
      <c r="E2340" s="50">
        <v>3653</v>
      </c>
      <c r="F2340" s="50">
        <v>3956</v>
      </c>
      <c r="G2340" s="50" t="s">
        <v>3404</v>
      </c>
      <c r="H2340" s="50">
        <v>2025</v>
      </c>
      <c r="I2340" s="132">
        <v>45876</v>
      </c>
      <c r="J2340" s="50" t="s">
        <v>3126</v>
      </c>
      <c r="K2340" s="50" t="s">
        <v>35</v>
      </c>
      <c r="L2340" s="50" t="s">
        <v>28</v>
      </c>
      <c r="M2340" s="50" t="s">
        <v>148</v>
      </c>
      <c r="N2340" s="50" t="s">
        <v>5777</v>
      </c>
      <c r="O2340" s="60">
        <v>45877</v>
      </c>
      <c r="P2340" s="60">
        <v>45880</v>
      </c>
      <c r="Q2340" s="60">
        <v>45881</v>
      </c>
      <c r="R2340" s="60">
        <v>45883</v>
      </c>
      <c r="S2340" s="50">
        <f t="shared" si="226"/>
        <v>1</v>
      </c>
      <c r="T2340" s="50">
        <f>IF(
    OR(ISBLANK(1811), ISBLANK(P2340)),
    "",
    MAX(1, IF(
        NETWORKDAYS(O2340, P2340) &lt;= 0,
        1,
        NETWORKDAYS(O2340, P2340) - IF(O2340 = P2340, 0, 1)
    ))
)</f>
        <v>1</v>
      </c>
      <c r="U2340" s="50">
        <f t="shared" si="232"/>
        <v>1</v>
      </c>
      <c r="V2340" s="50">
        <f t="shared" si="227"/>
        <v>2</v>
      </c>
      <c r="W2340" s="50" t="s">
        <v>150</v>
      </c>
      <c r="X2340" s="50" t="s">
        <v>3527</v>
      </c>
      <c r="Y2340" s="50" t="s">
        <v>3528</v>
      </c>
      <c r="Z2340" s="50" t="s">
        <v>3406</v>
      </c>
      <c r="AA2340" s="50"/>
    </row>
    <row r="2341" spans="1:27" s="110" customFormat="1" ht="25.5" customHeight="1">
      <c r="A2341" s="517" t="s">
        <v>778</v>
      </c>
      <c r="B2341" s="51" t="s">
        <v>957</v>
      </c>
      <c r="C2341" s="51" t="s">
        <v>143</v>
      </c>
      <c r="D2341" s="51" t="s">
        <v>4025</v>
      </c>
      <c r="E2341" s="50">
        <v>2627</v>
      </c>
      <c r="F2341" s="50">
        <v>3002</v>
      </c>
      <c r="G2341" s="50" t="s">
        <v>3404</v>
      </c>
      <c r="H2341" s="50">
        <v>2025</v>
      </c>
      <c r="I2341" s="132">
        <v>45833</v>
      </c>
      <c r="J2341" s="50" t="s">
        <v>3125</v>
      </c>
      <c r="K2341" s="50" t="s">
        <v>35</v>
      </c>
      <c r="L2341" s="50" t="s">
        <v>28</v>
      </c>
      <c r="M2341" s="50" t="s">
        <v>148</v>
      </c>
      <c r="N2341" s="50" t="s">
        <v>5778</v>
      </c>
      <c r="O2341" s="60">
        <v>45838</v>
      </c>
      <c r="P2341" s="60">
        <v>45847</v>
      </c>
      <c r="Q2341" s="60">
        <v>45854</v>
      </c>
      <c r="R2341" s="60">
        <v>45855</v>
      </c>
      <c r="S2341" s="50">
        <f t="shared" si="226"/>
        <v>3</v>
      </c>
      <c r="T2341" s="50">
        <f>IF(
    OR(ISBLANK(1811), ISBLANK(P2341)),
    "",
    MAX(1, IF(
        NETWORKDAYS(O2341, P2341) &lt;= 0,
        1,
        NETWORKDAYS(O2341, P2341) - IF(O2341 = P2341, 0, 1)
    ))
)</f>
        <v>7</v>
      </c>
      <c r="U2341" s="50">
        <f t="shared" si="232"/>
        <v>5</v>
      </c>
      <c r="V2341" s="50">
        <f t="shared" si="227"/>
        <v>1</v>
      </c>
      <c r="W2341" s="50" t="s">
        <v>150</v>
      </c>
      <c r="X2341" s="50" t="s">
        <v>3527</v>
      </c>
      <c r="Y2341" s="50" t="s">
        <v>3528</v>
      </c>
      <c r="Z2341" s="50" t="s">
        <v>3406</v>
      </c>
      <c r="AA2341" s="50"/>
    </row>
    <row r="2342" spans="1:27" ht="25.5" customHeight="1">
      <c r="A2342" s="517" t="s">
        <v>778</v>
      </c>
      <c r="B2342" s="51" t="s">
        <v>957</v>
      </c>
      <c r="C2342" s="51" t="s">
        <v>143</v>
      </c>
      <c r="D2342" s="51" t="s">
        <v>918</v>
      </c>
      <c r="E2342" s="50">
        <v>2330</v>
      </c>
      <c r="F2342" s="50">
        <v>2994</v>
      </c>
      <c r="G2342" s="50" t="s">
        <v>3404</v>
      </c>
      <c r="H2342" s="50">
        <v>2025</v>
      </c>
      <c r="I2342" s="132">
        <v>45876</v>
      </c>
      <c r="J2342" s="50" t="s">
        <v>3126</v>
      </c>
      <c r="K2342" s="50" t="s">
        <v>35</v>
      </c>
      <c r="L2342" s="50" t="s">
        <v>28</v>
      </c>
      <c r="M2342" s="50" t="s">
        <v>148</v>
      </c>
      <c r="N2342" s="50" t="s">
        <v>5779</v>
      </c>
      <c r="O2342" s="60">
        <v>45877</v>
      </c>
      <c r="P2342" s="60">
        <v>45881</v>
      </c>
      <c r="Q2342" s="60">
        <v>45884</v>
      </c>
      <c r="R2342" s="60">
        <v>45888</v>
      </c>
      <c r="S2342" s="50">
        <f t="shared" si="226"/>
        <v>1</v>
      </c>
      <c r="T2342" s="50">
        <f>IF(
    OR(ISBLANK(1811), ISBLANK(P2342)),
    "",
    MAX(1, IF(
        NETWORKDAYS(O2342, P2342) &lt;= 0,
        1,
        NETWORKDAYS(O2342, P2342) - IF(O2342 = P2342, 0, 1)
    ))
)</f>
        <v>2</v>
      </c>
      <c r="U2342" s="50">
        <f t="shared" si="232"/>
        <v>3</v>
      </c>
      <c r="V2342" s="50">
        <f t="shared" si="227"/>
        <v>2</v>
      </c>
      <c r="W2342" s="50" t="s">
        <v>150</v>
      </c>
      <c r="X2342" s="50" t="s">
        <v>3527</v>
      </c>
      <c r="Y2342" s="50" t="s">
        <v>3528</v>
      </c>
      <c r="Z2342" s="50" t="s">
        <v>3406</v>
      </c>
      <c r="AA2342" s="50"/>
    </row>
    <row r="2343" spans="1:27" ht="25.5" customHeight="1">
      <c r="A2343" s="517" t="s">
        <v>778</v>
      </c>
      <c r="B2343" s="51" t="s">
        <v>957</v>
      </c>
      <c r="C2343" s="51" t="s">
        <v>143</v>
      </c>
      <c r="D2343" s="51" t="s">
        <v>5548</v>
      </c>
      <c r="E2343" s="50">
        <v>3312</v>
      </c>
      <c r="F2343" s="50">
        <v>3577</v>
      </c>
      <c r="G2343" s="50" t="s">
        <v>3955</v>
      </c>
      <c r="H2343" s="50"/>
      <c r="I2343" s="105"/>
      <c r="J2343" s="50"/>
      <c r="K2343" s="50" t="s">
        <v>35</v>
      </c>
      <c r="L2343" s="50"/>
      <c r="M2343" s="50" t="s">
        <v>148</v>
      </c>
      <c r="N2343" s="50"/>
      <c r="O2343" s="50"/>
      <c r="P2343" s="50"/>
      <c r="Q2343" s="50"/>
      <c r="R2343" s="50"/>
      <c r="S2343" s="50" t="str">
        <f t="shared" si="226"/>
        <v/>
      </c>
      <c r="T2343" s="50" t="str">
        <f>IF(
    OR(ISBLANK(O2343), ISBLANK(P2343)),
    "",
    MAX(1, IF(
        NETWORKDAYS(O2343, P2343) &lt;= 0,
        1,
        NETWORKDAYS(O2343, P2343) - IF(O2343 = P2343, 0, 1)
    ))
)</f>
        <v/>
      </c>
      <c r="U2343" s="50" t="str">
        <f t="shared" si="232"/>
        <v/>
      </c>
      <c r="V2343" s="50" t="str">
        <f t="shared" si="227"/>
        <v/>
      </c>
      <c r="W2343" s="50"/>
      <c r="X2343" s="50" t="s">
        <v>3527</v>
      </c>
      <c r="Y2343" s="50" t="s">
        <v>3528</v>
      </c>
      <c r="Z2343" s="50" t="s">
        <v>3406</v>
      </c>
      <c r="AA2343" s="50"/>
    </row>
    <row r="2344" spans="1:27" ht="25.5" customHeight="1">
      <c r="A2344" s="517" t="s">
        <v>778</v>
      </c>
      <c r="B2344" s="51" t="s">
        <v>957</v>
      </c>
      <c r="C2344" s="51" t="s">
        <v>143</v>
      </c>
      <c r="D2344" s="51" t="s">
        <v>1166</v>
      </c>
      <c r="E2344" s="50">
        <v>1231</v>
      </c>
      <c r="F2344" s="50">
        <v>1268</v>
      </c>
      <c r="G2344" s="50" t="s">
        <v>3404</v>
      </c>
      <c r="H2344" s="50">
        <v>2025</v>
      </c>
      <c r="I2344" s="132">
        <v>45821</v>
      </c>
      <c r="J2344" s="50" t="s">
        <v>3689</v>
      </c>
      <c r="K2344" s="50" t="s">
        <v>35</v>
      </c>
      <c r="L2344" s="50" t="s">
        <v>28</v>
      </c>
      <c r="M2344" s="50" t="s">
        <v>148</v>
      </c>
      <c r="N2344" s="50" t="s">
        <v>5780</v>
      </c>
      <c r="O2344" s="60">
        <v>45821</v>
      </c>
      <c r="P2344" s="50"/>
      <c r="Q2344" s="60">
        <v>45826</v>
      </c>
      <c r="R2344" s="60">
        <v>45826</v>
      </c>
      <c r="S2344" s="50">
        <f t="shared" si="226"/>
        <v>1</v>
      </c>
      <c r="T2344" s="50" t="str">
        <f>IF(
    OR(ISBLANK(O2344), ISBLANK(P2344)),
    "",
    MAX(1, IF(
        NETWORKDAYS(O2344, P2344) &lt;= 0,
        1,
        NETWORKDAYS(O2344, P2344) - IF(O2344 = QP2344, 0, 1)
    ))
)</f>
        <v/>
      </c>
      <c r="U2344" s="50">
        <f>IF(
    OR(ISBLANK(1816), ISBLANK(Q2344)),
    "",
    MAX(1, IF(
        NETWORKDAYS(O2344, Q2344) &lt;= 0,
        1,
        NETWORKDAYS(O2344, Q2344) - IF(O2344 = Q2344, 0, 1)
    ))
)</f>
        <v>3</v>
      </c>
      <c r="V2344" s="50">
        <f t="shared" si="227"/>
        <v>1</v>
      </c>
      <c r="W2344" s="50" t="s">
        <v>150</v>
      </c>
      <c r="X2344" s="50" t="s">
        <v>3527</v>
      </c>
      <c r="Y2344" s="50" t="s">
        <v>3528</v>
      </c>
      <c r="Z2344" s="50" t="s">
        <v>3406</v>
      </c>
      <c r="AA2344" s="50"/>
    </row>
    <row r="2345" spans="1:27" ht="25.5" customHeight="1">
      <c r="A2345" s="517" t="s">
        <v>778</v>
      </c>
      <c r="B2345" s="51" t="s">
        <v>957</v>
      </c>
      <c r="C2345" s="51" t="s">
        <v>143</v>
      </c>
      <c r="D2345" s="51" t="s">
        <v>1424</v>
      </c>
      <c r="E2345" s="50">
        <v>2978</v>
      </c>
      <c r="F2345" s="50">
        <v>3063</v>
      </c>
      <c r="G2345" s="50" t="s">
        <v>3404</v>
      </c>
      <c r="H2345" s="50">
        <v>2025</v>
      </c>
      <c r="I2345" s="132">
        <v>45854</v>
      </c>
      <c r="J2345" s="50" t="s">
        <v>3125</v>
      </c>
      <c r="K2345" s="50" t="s">
        <v>35</v>
      </c>
      <c r="L2345" s="50" t="s">
        <v>28</v>
      </c>
      <c r="M2345" s="50" t="s">
        <v>148</v>
      </c>
      <c r="N2345" s="50" t="s">
        <v>5781</v>
      </c>
      <c r="O2345" s="60">
        <v>45854</v>
      </c>
      <c r="P2345" s="60">
        <v>45856</v>
      </c>
      <c r="Q2345" s="60">
        <v>45856</v>
      </c>
      <c r="R2345" s="60">
        <v>45856</v>
      </c>
      <c r="S2345" s="50">
        <f t="shared" si="226"/>
        <v>1</v>
      </c>
      <c r="T2345" s="50">
        <f>IF(
    OR(ISBLANK(1811), ISBLANK(P2345)),
    "",
    MAX(1, IF(
        NETWORKDAYS(O2345, P2345) &lt;= 0,
        1,
        NETWORKDAYS(O2345, P2345) - IF(O2345 = P2345, 0, 1)
    ))
)</f>
        <v>2</v>
      </c>
      <c r="U2345" s="50">
        <f>IF(
    OR(ISBLANK(P2345), ISBLANK(Q2345)),
    "",
    MAX(1, IF(
        NETWORKDAYS(P2345, Q2345) &lt;= 0,
        1,
        NETWORKDAYS(P2345, Q2345) - IF(P2345 = Q2345, 0, 1)
    ))
)</f>
        <v>1</v>
      </c>
      <c r="V2345" s="50">
        <f t="shared" si="227"/>
        <v>1</v>
      </c>
      <c r="W2345" s="50" t="s">
        <v>150</v>
      </c>
      <c r="X2345" s="50" t="s">
        <v>3527</v>
      </c>
      <c r="Y2345" s="50" t="s">
        <v>3528</v>
      </c>
      <c r="Z2345" s="50" t="s">
        <v>3406</v>
      </c>
      <c r="AA2345" s="50"/>
    </row>
    <row r="2346" spans="1:27" ht="25.5" customHeight="1">
      <c r="A2346" s="517" t="s">
        <v>779</v>
      </c>
      <c r="B2346" s="51" t="s">
        <v>1465</v>
      </c>
      <c r="C2346" s="51" t="s">
        <v>143</v>
      </c>
      <c r="D2346" s="51" t="s">
        <v>5782</v>
      </c>
      <c r="E2346" s="50">
        <v>961</v>
      </c>
      <c r="F2346" s="50">
        <v>1037</v>
      </c>
      <c r="G2346" s="50" t="s">
        <v>3404</v>
      </c>
      <c r="H2346" s="50">
        <v>2025</v>
      </c>
      <c r="I2346" s="132">
        <v>45917</v>
      </c>
      <c r="J2346" s="50" t="s">
        <v>3127</v>
      </c>
      <c r="K2346" s="50" t="s">
        <v>5783</v>
      </c>
      <c r="L2346" s="50"/>
      <c r="M2346" s="50" t="s">
        <v>328</v>
      </c>
      <c r="N2346" s="50" t="s">
        <v>5784</v>
      </c>
      <c r="O2346" s="60">
        <v>45918</v>
      </c>
      <c r="P2346" s="50"/>
      <c r="Q2346" s="60">
        <v>45918</v>
      </c>
      <c r="R2346" s="60">
        <v>45919</v>
      </c>
      <c r="S2346" s="50">
        <f t="shared" si="226"/>
        <v>1</v>
      </c>
      <c r="T2346" s="50" t="str">
        <f t="shared" ref="T2346:T2409" si="233">IF(
    OR(ISBLANK(O2346), ISBLANK(P2346)),
    "",
    MAX(1, IF(
        NETWORKDAYS(O2346, P2346) &lt;= 0,
        1,
        NETWORKDAYS(O2346, P2346) - IF(O2346 = P2346, 0, 1)
    ))
)</f>
        <v/>
      </c>
      <c r="U2346" s="50">
        <f t="shared" ref="U2346:U2377" si="234">IF(
    OR(ISBLANK(O2346), ISBLANK(Q2346)),
    "",
    MAX(1, IF(
        NETWORKDAYS(O2346, Q2346) &lt;= 0,
        1,
        NETWORKDAYS(O2346, Q2346) - IF(O2346 = Q2346, 0, 1)
    ))
)</f>
        <v>1</v>
      </c>
      <c r="V2346" s="50">
        <f t="shared" si="227"/>
        <v>1</v>
      </c>
      <c r="W2346" s="50" t="s">
        <v>150</v>
      </c>
      <c r="X2346" s="50" t="s">
        <v>4</v>
      </c>
      <c r="Y2346" s="50" t="s">
        <v>50</v>
      </c>
      <c r="Z2346" s="50" t="s">
        <v>3406</v>
      </c>
      <c r="AA2346" s="50"/>
    </row>
    <row r="2347" spans="1:27" ht="25.5" customHeight="1">
      <c r="A2347" s="517" t="s">
        <v>779</v>
      </c>
      <c r="B2347" s="51" t="s">
        <v>1465</v>
      </c>
      <c r="C2347" s="51" t="s">
        <v>143</v>
      </c>
      <c r="D2347" s="51" t="s">
        <v>5785</v>
      </c>
      <c r="E2347" s="50">
        <v>361</v>
      </c>
      <c r="F2347" s="50">
        <v>415</v>
      </c>
      <c r="G2347" s="50" t="s">
        <v>3955</v>
      </c>
      <c r="H2347" s="50"/>
      <c r="I2347" s="105"/>
      <c r="J2347" s="50"/>
      <c r="K2347" s="50" t="s">
        <v>5783</v>
      </c>
      <c r="L2347" s="50"/>
      <c r="M2347" s="50" t="s">
        <v>328</v>
      </c>
      <c r="N2347" s="50"/>
      <c r="O2347" s="50"/>
      <c r="P2347" s="50"/>
      <c r="Q2347" s="50"/>
      <c r="R2347" s="50"/>
      <c r="S2347" s="50" t="str">
        <f t="shared" si="226"/>
        <v/>
      </c>
      <c r="T2347" s="50" t="str">
        <f t="shared" si="233"/>
        <v/>
      </c>
      <c r="U2347" s="50" t="str">
        <f t="shared" si="234"/>
        <v/>
      </c>
      <c r="V2347" s="50" t="str">
        <f t="shared" si="227"/>
        <v/>
      </c>
      <c r="W2347" s="50"/>
      <c r="X2347" s="50"/>
      <c r="Y2347" s="50"/>
      <c r="Z2347" s="50"/>
      <c r="AA2347" s="50"/>
    </row>
    <row r="2348" spans="1:27" ht="25.5" customHeight="1">
      <c r="A2348" s="517" t="s">
        <v>779</v>
      </c>
      <c r="B2348" s="51" t="s">
        <v>1465</v>
      </c>
      <c r="C2348" s="51" t="s">
        <v>143</v>
      </c>
      <c r="D2348" s="51" t="s">
        <v>1475</v>
      </c>
      <c r="E2348" s="50">
        <v>657</v>
      </c>
      <c r="F2348" s="50">
        <v>616</v>
      </c>
      <c r="G2348" s="50" t="s">
        <v>3955</v>
      </c>
      <c r="H2348" s="50"/>
      <c r="I2348" s="105"/>
      <c r="J2348" s="50"/>
      <c r="K2348" s="50" t="s">
        <v>5783</v>
      </c>
      <c r="L2348" s="50"/>
      <c r="M2348" s="50" t="s">
        <v>328</v>
      </c>
      <c r="N2348" s="50"/>
      <c r="O2348" s="50"/>
      <c r="P2348" s="50"/>
      <c r="Q2348" s="50"/>
      <c r="R2348" s="50"/>
      <c r="S2348" s="50" t="str">
        <f t="shared" si="226"/>
        <v/>
      </c>
      <c r="T2348" s="50" t="str">
        <f t="shared" si="233"/>
        <v/>
      </c>
      <c r="U2348" s="50" t="str">
        <f t="shared" si="234"/>
        <v/>
      </c>
      <c r="V2348" s="50" t="str">
        <f t="shared" si="227"/>
        <v/>
      </c>
      <c r="W2348" s="50"/>
      <c r="X2348" s="50"/>
      <c r="Y2348" s="50"/>
      <c r="Z2348" s="50"/>
      <c r="AA2348" s="50"/>
    </row>
    <row r="2349" spans="1:27" ht="25.5" customHeight="1">
      <c r="A2349" s="517" t="s">
        <v>779</v>
      </c>
      <c r="B2349" s="51" t="s">
        <v>1465</v>
      </c>
      <c r="C2349" s="51" t="s">
        <v>143</v>
      </c>
      <c r="D2349" s="51" t="s">
        <v>5261</v>
      </c>
      <c r="E2349" s="50">
        <v>343</v>
      </c>
      <c r="F2349" s="50">
        <v>387</v>
      </c>
      <c r="G2349" s="50" t="s">
        <v>3955</v>
      </c>
      <c r="H2349" s="50"/>
      <c r="I2349" s="105"/>
      <c r="J2349" s="50"/>
      <c r="K2349" s="50" t="s">
        <v>5783</v>
      </c>
      <c r="L2349" s="50"/>
      <c r="M2349" s="50" t="s">
        <v>328</v>
      </c>
      <c r="N2349" s="50"/>
      <c r="O2349" s="50"/>
      <c r="P2349" s="50"/>
      <c r="Q2349" s="50"/>
      <c r="R2349" s="50"/>
      <c r="S2349" s="50" t="str">
        <f t="shared" si="226"/>
        <v/>
      </c>
      <c r="T2349" s="50" t="str">
        <f t="shared" si="233"/>
        <v/>
      </c>
      <c r="U2349" s="50" t="str">
        <f t="shared" si="234"/>
        <v/>
      </c>
      <c r="V2349" s="50" t="str">
        <f t="shared" si="227"/>
        <v/>
      </c>
      <c r="W2349" s="50"/>
      <c r="X2349" s="50"/>
      <c r="Y2349" s="50"/>
      <c r="Z2349" s="50"/>
      <c r="AA2349" s="50"/>
    </row>
    <row r="2350" spans="1:27" ht="25.5" customHeight="1">
      <c r="A2350" s="517" t="s">
        <v>779</v>
      </c>
      <c r="B2350" s="51" t="s">
        <v>1465</v>
      </c>
      <c r="C2350" s="51" t="s">
        <v>143</v>
      </c>
      <c r="D2350" s="51" t="s">
        <v>5328</v>
      </c>
      <c r="E2350" s="50">
        <v>725</v>
      </c>
      <c r="F2350" s="50">
        <v>798</v>
      </c>
      <c r="G2350" s="50" t="s">
        <v>3404</v>
      </c>
      <c r="H2350" s="50">
        <v>2025</v>
      </c>
      <c r="I2350" s="132">
        <v>45729</v>
      </c>
      <c r="J2350" s="50" t="s">
        <v>3416</v>
      </c>
      <c r="K2350" s="50" t="s">
        <v>5783</v>
      </c>
      <c r="L2350" s="50"/>
      <c r="M2350" s="50" t="s">
        <v>328</v>
      </c>
      <c r="N2350" s="50" t="s">
        <v>5786</v>
      </c>
      <c r="O2350" s="60">
        <v>45732</v>
      </c>
      <c r="P2350" s="60"/>
      <c r="Q2350" s="60">
        <v>45734</v>
      </c>
      <c r="R2350" s="60">
        <v>45734</v>
      </c>
      <c r="S2350" s="50">
        <f t="shared" si="226"/>
        <v>1</v>
      </c>
      <c r="T2350" s="50" t="str">
        <f t="shared" si="233"/>
        <v/>
      </c>
      <c r="U2350" s="50">
        <f t="shared" si="234"/>
        <v>1</v>
      </c>
      <c r="V2350" s="50">
        <f t="shared" si="227"/>
        <v>1</v>
      </c>
      <c r="W2350" s="50" t="s">
        <v>150</v>
      </c>
      <c r="X2350" s="50" t="s">
        <v>4</v>
      </c>
      <c r="Y2350" s="50" t="s">
        <v>50</v>
      </c>
      <c r="Z2350" s="50" t="s">
        <v>3406</v>
      </c>
      <c r="AA2350" s="50"/>
    </row>
    <row r="2351" spans="1:27" ht="25.5" customHeight="1">
      <c r="A2351" s="517" t="s">
        <v>779</v>
      </c>
      <c r="B2351" s="51" t="s">
        <v>1465</v>
      </c>
      <c r="C2351" s="51" t="s">
        <v>143</v>
      </c>
      <c r="D2351" s="51" t="s">
        <v>5787</v>
      </c>
      <c r="E2351" s="50">
        <v>449</v>
      </c>
      <c r="F2351" s="50">
        <v>458</v>
      </c>
      <c r="G2351" s="50" t="s">
        <v>3404</v>
      </c>
      <c r="H2351" s="50">
        <v>2025</v>
      </c>
      <c r="I2351" s="132">
        <v>45917</v>
      </c>
      <c r="J2351" s="50" t="s">
        <v>3127</v>
      </c>
      <c r="K2351" s="50" t="s">
        <v>5783</v>
      </c>
      <c r="L2351" s="50"/>
      <c r="M2351" s="50" t="s">
        <v>328</v>
      </c>
      <c r="N2351" s="50" t="s">
        <v>5788</v>
      </c>
      <c r="O2351" s="60">
        <v>45918</v>
      </c>
      <c r="P2351" s="50"/>
      <c r="Q2351" s="60">
        <v>45918</v>
      </c>
      <c r="R2351" s="60">
        <v>45919</v>
      </c>
      <c r="S2351" s="50">
        <f t="shared" si="226"/>
        <v>1</v>
      </c>
      <c r="T2351" s="50" t="str">
        <f t="shared" si="233"/>
        <v/>
      </c>
      <c r="U2351" s="50">
        <f t="shared" si="234"/>
        <v>1</v>
      </c>
      <c r="V2351" s="50">
        <f t="shared" si="227"/>
        <v>1</v>
      </c>
      <c r="W2351" s="50" t="s">
        <v>150</v>
      </c>
      <c r="X2351" s="50" t="s">
        <v>4</v>
      </c>
      <c r="Y2351" s="50" t="s">
        <v>50</v>
      </c>
      <c r="Z2351" s="50" t="s">
        <v>3406</v>
      </c>
      <c r="AA2351" s="50"/>
    </row>
    <row r="2352" spans="1:27" ht="25.5" customHeight="1">
      <c r="A2352" s="517" t="s">
        <v>779</v>
      </c>
      <c r="B2352" s="51" t="s">
        <v>1465</v>
      </c>
      <c r="C2352" s="51" t="s">
        <v>143</v>
      </c>
      <c r="D2352" s="51" t="s">
        <v>5789</v>
      </c>
      <c r="E2352" s="50">
        <v>418</v>
      </c>
      <c r="F2352" s="50">
        <v>445</v>
      </c>
      <c r="G2352" s="50" t="s">
        <v>3404</v>
      </c>
      <c r="H2352" s="50">
        <v>2025</v>
      </c>
      <c r="I2352" s="132">
        <v>45821</v>
      </c>
      <c r="J2352" s="50" t="s">
        <v>3689</v>
      </c>
      <c r="K2352" s="50" t="s">
        <v>5783</v>
      </c>
      <c r="L2352" s="50"/>
      <c r="M2352" s="50" t="s">
        <v>328</v>
      </c>
      <c r="N2352" s="50" t="s">
        <v>5790</v>
      </c>
      <c r="O2352" s="60">
        <v>45823</v>
      </c>
      <c r="P2352" s="50"/>
      <c r="Q2352" s="60">
        <v>45824</v>
      </c>
      <c r="R2352" s="60">
        <v>45824</v>
      </c>
      <c r="S2352" s="50">
        <f t="shared" ref="S2352:S2415" si="235">IF(
    OR(ISBLANK(I2352), ISBLANK(O2352)),
    "",
    MAX(1, IF(
        NETWORKDAYS(I2352, O2352) &lt;= 0,
        1,
        NETWORKDAYS(I2352, O2352) - IF(I2352 = O2352, 0, 1)
    ))
)</f>
        <v>1</v>
      </c>
      <c r="T2352" s="50" t="str">
        <f t="shared" si="233"/>
        <v/>
      </c>
      <c r="U2352" s="50">
        <f t="shared" si="234"/>
        <v>1</v>
      </c>
      <c r="V2352" s="50">
        <f t="shared" ref="V2352:V2415" si="236">IF(
    OR(ISBLANK(Q2352), ISBLANK(R2352)),
    "",
    MAX(1, IF(
        NETWORKDAYS(Q2352, R2352) &lt;= 0,
        1,
        NETWORKDAYS(Q2352, R2352) - IF(Q2352 = R2352, 0, 1)
    ))
)</f>
        <v>1</v>
      </c>
      <c r="W2352" s="50" t="s">
        <v>150</v>
      </c>
      <c r="X2352" s="50" t="s">
        <v>4</v>
      </c>
      <c r="Y2352" s="50" t="s">
        <v>50</v>
      </c>
      <c r="Z2352" s="50" t="s">
        <v>3406</v>
      </c>
      <c r="AA2352" s="50"/>
    </row>
    <row r="2353" spans="1:27" ht="25.5" customHeight="1">
      <c r="A2353" s="517" t="s">
        <v>779</v>
      </c>
      <c r="B2353" s="51" t="s">
        <v>1465</v>
      </c>
      <c r="C2353" s="51" t="s">
        <v>143</v>
      </c>
      <c r="D2353" s="51" t="s">
        <v>1056</v>
      </c>
      <c r="E2353" s="50">
        <v>356</v>
      </c>
      <c r="F2353" s="50">
        <v>372</v>
      </c>
      <c r="G2353" s="50" t="s">
        <v>3404</v>
      </c>
      <c r="H2353" s="50">
        <v>2025</v>
      </c>
      <c r="I2353" s="132">
        <v>45821</v>
      </c>
      <c r="J2353" s="50" t="s">
        <v>3689</v>
      </c>
      <c r="K2353" s="50" t="s">
        <v>5783</v>
      </c>
      <c r="L2353" s="50"/>
      <c r="M2353" s="50" t="s">
        <v>328</v>
      </c>
      <c r="N2353" s="50" t="s">
        <v>5791</v>
      </c>
      <c r="O2353" s="60">
        <v>45823</v>
      </c>
      <c r="P2353" s="50"/>
      <c r="Q2353" s="60">
        <v>45824</v>
      </c>
      <c r="R2353" s="60">
        <v>45824</v>
      </c>
      <c r="S2353" s="50">
        <f t="shared" si="235"/>
        <v>1</v>
      </c>
      <c r="T2353" s="50" t="str">
        <f t="shared" si="233"/>
        <v/>
      </c>
      <c r="U2353" s="50">
        <f t="shared" si="234"/>
        <v>1</v>
      </c>
      <c r="V2353" s="50">
        <f t="shared" si="236"/>
        <v>1</v>
      </c>
      <c r="W2353" s="50" t="s">
        <v>150</v>
      </c>
      <c r="X2353" s="50" t="s">
        <v>4</v>
      </c>
      <c r="Y2353" s="50" t="s">
        <v>50</v>
      </c>
      <c r="Z2353" s="50" t="s">
        <v>3406</v>
      </c>
      <c r="AA2353" s="50"/>
    </row>
    <row r="2354" spans="1:27" ht="25.5" customHeight="1">
      <c r="A2354" s="517" t="s">
        <v>779</v>
      </c>
      <c r="B2354" s="51" t="s">
        <v>1465</v>
      </c>
      <c r="C2354" s="51" t="s">
        <v>143</v>
      </c>
      <c r="D2354" s="51" t="s">
        <v>1299</v>
      </c>
      <c r="E2354" s="50">
        <v>854</v>
      </c>
      <c r="F2354" s="50">
        <v>879</v>
      </c>
      <c r="G2354" s="50" t="s">
        <v>3955</v>
      </c>
      <c r="H2354" s="50"/>
      <c r="I2354" s="105"/>
      <c r="J2354" s="50"/>
      <c r="K2354" s="50" t="s">
        <v>5783</v>
      </c>
      <c r="L2354" s="50"/>
      <c r="M2354" s="50" t="s">
        <v>328</v>
      </c>
      <c r="N2354" s="50"/>
      <c r="O2354" s="50"/>
      <c r="P2354" s="50"/>
      <c r="Q2354" s="50"/>
      <c r="R2354" s="50"/>
      <c r="S2354" s="50" t="str">
        <f t="shared" si="235"/>
        <v/>
      </c>
      <c r="T2354" s="50" t="str">
        <f t="shared" si="233"/>
        <v/>
      </c>
      <c r="U2354" s="50" t="str">
        <f t="shared" si="234"/>
        <v/>
      </c>
      <c r="V2354" s="50" t="str">
        <f t="shared" si="236"/>
        <v/>
      </c>
      <c r="W2354" s="50"/>
      <c r="X2354" s="50"/>
      <c r="Y2354" s="50"/>
      <c r="Z2354" s="50"/>
      <c r="AA2354" s="50"/>
    </row>
    <row r="2355" spans="1:27" ht="25.5" customHeight="1">
      <c r="A2355" s="517" t="s">
        <v>779</v>
      </c>
      <c r="B2355" s="51" t="s">
        <v>1465</v>
      </c>
      <c r="C2355" s="51" t="s">
        <v>143</v>
      </c>
      <c r="D2355" s="51" t="s">
        <v>5792</v>
      </c>
      <c r="E2355" s="50">
        <v>617</v>
      </c>
      <c r="F2355" s="50">
        <v>641</v>
      </c>
      <c r="G2355" s="50" t="s">
        <v>3955</v>
      </c>
      <c r="H2355" s="50"/>
      <c r="I2355" s="105"/>
      <c r="J2355" s="50"/>
      <c r="K2355" s="50" t="s">
        <v>5783</v>
      </c>
      <c r="L2355" s="50"/>
      <c r="M2355" s="50" t="s">
        <v>328</v>
      </c>
      <c r="N2355" s="50"/>
      <c r="O2355" s="50"/>
      <c r="P2355" s="50"/>
      <c r="Q2355" s="50"/>
      <c r="R2355" s="50"/>
      <c r="S2355" s="50" t="str">
        <f t="shared" si="235"/>
        <v/>
      </c>
      <c r="T2355" s="50" t="str">
        <f t="shared" si="233"/>
        <v/>
      </c>
      <c r="U2355" s="50" t="str">
        <f t="shared" si="234"/>
        <v/>
      </c>
      <c r="V2355" s="50" t="str">
        <f t="shared" si="236"/>
        <v/>
      </c>
      <c r="W2355" s="50"/>
      <c r="X2355" s="50"/>
      <c r="Y2355" s="50"/>
      <c r="Z2355" s="50"/>
      <c r="AA2355" s="50"/>
    </row>
    <row r="2356" spans="1:27" ht="25.5" customHeight="1">
      <c r="A2356" s="517" t="s">
        <v>779</v>
      </c>
      <c r="B2356" s="51" t="s">
        <v>1465</v>
      </c>
      <c r="C2356" s="51" t="s">
        <v>143</v>
      </c>
      <c r="D2356" s="51" t="s">
        <v>5793</v>
      </c>
      <c r="E2356" s="50">
        <v>1107</v>
      </c>
      <c r="F2356" s="50">
        <v>1168</v>
      </c>
      <c r="G2356" s="50" t="s">
        <v>3955</v>
      </c>
      <c r="H2356" s="50"/>
      <c r="I2356" s="105"/>
      <c r="J2356" s="50"/>
      <c r="K2356" s="50" t="s">
        <v>5783</v>
      </c>
      <c r="L2356" s="50"/>
      <c r="M2356" s="50" t="s">
        <v>328</v>
      </c>
      <c r="N2356" s="50" t="s">
        <v>956</v>
      </c>
      <c r="O2356" s="50"/>
      <c r="P2356" s="50"/>
      <c r="Q2356" s="50"/>
      <c r="R2356" s="50"/>
      <c r="S2356" s="50" t="str">
        <f t="shared" si="235"/>
        <v/>
      </c>
      <c r="T2356" s="50" t="str">
        <f t="shared" si="233"/>
        <v/>
      </c>
      <c r="U2356" s="50" t="str">
        <f t="shared" si="234"/>
        <v/>
      </c>
      <c r="V2356" s="50" t="str">
        <f t="shared" si="236"/>
        <v/>
      </c>
      <c r="W2356" s="50"/>
      <c r="X2356" s="50"/>
      <c r="Y2356" s="50"/>
      <c r="Z2356" s="50"/>
      <c r="AA2356" s="50"/>
    </row>
    <row r="2357" spans="1:27" ht="25.5" customHeight="1">
      <c r="A2357" s="517" t="s">
        <v>779</v>
      </c>
      <c r="B2357" s="51" t="s">
        <v>1465</v>
      </c>
      <c r="C2357" s="51" t="s">
        <v>143</v>
      </c>
      <c r="D2357" s="51" t="s">
        <v>5794</v>
      </c>
      <c r="E2357" s="50">
        <v>411</v>
      </c>
      <c r="F2357" s="50">
        <v>409</v>
      </c>
      <c r="G2357" s="50" t="s">
        <v>3404</v>
      </c>
      <c r="H2357" s="50">
        <v>2025</v>
      </c>
      <c r="I2357" s="132">
        <v>45751</v>
      </c>
      <c r="J2357" s="50" t="s">
        <v>3470</v>
      </c>
      <c r="K2357" s="50" t="s">
        <v>5783</v>
      </c>
      <c r="L2357" s="50"/>
      <c r="M2357" s="50" t="s">
        <v>328</v>
      </c>
      <c r="N2357" s="50" t="s">
        <v>5795</v>
      </c>
      <c r="O2357" s="60">
        <v>45753</v>
      </c>
      <c r="P2357" s="50"/>
      <c r="Q2357" s="60">
        <v>45754</v>
      </c>
      <c r="R2357" s="60">
        <v>45757</v>
      </c>
      <c r="S2357" s="50">
        <f t="shared" si="235"/>
        <v>1</v>
      </c>
      <c r="T2357" s="50" t="str">
        <f t="shared" si="233"/>
        <v/>
      </c>
      <c r="U2357" s="50">
        <f t="shared" si="234"/>
        <v>1</v>
      </c>
      <c r="V2357" s="50">
        <f t="shared" si="236"/>
        <v>3</v>
      </c>
      <c r="W2357" s="50" t="s">
        <v>150</v>
      </c>
      <c r="X2357" s="50" t="s">
        <v>4</v>
      </c>
      <c r="Y2357" s="50" t="s">
        <v>50</v>
      </c>
      <c r="Z2357" s="50" t="s">
        <v>3406</v>
      </c>
      <c r="AA2357" s="50"/>
    </row>
    <row r="2358" spans="1:27" ht="25.5" customHeight="1">
      <c r="A2358" s="517" t="s">
        <v>779</v>
      </c>
      <c r="B2358" s="51" t="s">
        <v>1465</v>
      </c>
      <c r="C2358" s="51" t="s">
        <v>143</v>
      </c>
      <c r="D2358" s="51" t="s">
        <v>1466</v>
      </c>
      <c r="E2358" s="50">
        <v>405</v>
      </c>
      <c r="F2358" s="50">
        <v>462</v>
      </c>
      <c r="G2358" s="50" t="s">
        <v>3404</v>
      </c>
      <c r="H2358" s="50">
        <v>2025</v>
      </c>
      <c r="I2358" s="132">
        <v>45751</v>
      </c>
      <c r="J2358" s="50" t="s">
        <v>3470</v>
      </c>
      <c r="K2358" s="50" t="s">
        <v>5783</v>
      </c>
      <c r="L2358" s="50"/>
      <c r="M2358" s="50" t="s">
        <v>328</v>
      </c>
      <c r="N2358" s="50" t="s">
        <v>5796</v>
      </c>
      <c r="O2358" s="60">
        <v>45753</v>
      </c>
      <c r="P2358" s="50"/>
      <c r="Q2358" s="60">
        <v>45754</v>
      </c>
      <c r="R2358" s="60">
        <v>45757</v>
      </c>
      <c r="S2358" s="50">
        <f t="shared" si="235"/>
        <v>1</v>
      </c>
      <c r="T2358" s="50" t="str">
        <f t="shared" si="233"/>
        <v/>
      </c>
      <c r="U2358" s="50">
        <f t="shared" si="234"/>
        <v>1</v>
      </c>
      <c r="V2358" s="50">
        <f t="shared" si="236"/>
        <v>3</v>
      </c>
      <c r="W2358" s="50" t="s">
        <v>150</v>
      </c>
      <c r="X2358" s="50" t="s">
        <v>4</v>
      </c>
      <c r="Y2358" s="50" t="s">
        <v>62</v>
      </c>
      <c r="Z2358" s="50" t="s">
        <v>3406</v>
      </c>
      <c r="AA2358" s="50"/>
    </row>
    <row r="2359" spans="1:27" ht="25.5" customHeight="1">
      <c r="A2359" s="517" t="s">
        <v>779</v>
      </c>
      <c r="B2359" s="51" t="s">
        <v>1465</v>
      </c>
      <c r="C2359" s="51" t="s">
        <v>143</v>
      </c>
      <c r="D2359" s="51" t="s">
        <v>918</v>
      </c>
      <c r="E2359" s="50">
        <v>494</v>
      </c>
      <c r="F2359" s="50">
        <v>449</v>
      </c>
      <c r="G2359" s="50" t="s">
        <v>3404</v>
      </c>
      <c r="H2359" s="50">
        <v>2025</v>
      </c>
      <c r="I2359" s="132">
        <v>45793</v>
      </c>
      <c r="J2359" s="50" t="s">
        <v>3532</v>
      </c>
      <c r="K2359" s="50" t="s">
        <v>5783</v>
      </c>
      <c r="L2359" s="50"/>
      <c r="M2359" s="50" t="s">
        <v>328</v>
      </c>
      <c r="N2359" s="50" t="s">
        <v>5797</v>
      </c>
      <c r="O2359" s="60">
        <v>45796</v>
      </c>
      <c r="P2359" s="50"/>
      <c r="Q2359" s="60">
        <v>45796</v>
      </c>
      <c r="R2359" s="60">
        <v>45796</v>
      </c>
      <c r="S2359" s="50">
        <f t="shared" si="235"/>
        <v>1</v>
      </c>
      <c r="T2359" s="50" t="str">
        <f t="shared" si="233"/>
        <v/>
      </c>
      <c r="U2359" s="50">
        <f t="shared" si="234"/>
        <v>1</v>
      </c>
      <c r="V2359" s="50">
        <f t="shared" si="236"/>
        <v>1</v>
      </c>
      <c r="W2359" s="50" t="s">
        <v>150</v>
      </c>
      <c r="X2359" s="50" t="s">
        <v>4</v>
      </c>
      <c r="Y2359" s="50" t="s">
        <v>50</v>
      </c>
      <c r="Z2359" s="50" t="s">
        <v>3406</v>
      </c>
      <c r="AA2359" s="50"/>
    </row>
    <row r="2360" spans="1:27" s="110" customFormat="1" ht="25.5" customHeight="1">
      <c r="A2360" s="517" t="s">
        <v>779</v>
      </c>
      <c r="B2360" s="51" t="s">
        <v>1465</v>
      </c>
      <c r="C2360" s="51" t="s">
        <v>143</v>
      </c>
      <c r="D2360" s="51" t="s">
        <v>3974</v>
      </c>
      <c r="E2360" s="50">
        <v>853</v>
      </c>
      <c r="F2360" s="50">
        <v>917</v>
      </c>
      <c r="G2360" s="50" t="s">
        <v>3404</v>
      </c>
      <c r="H2360" s="50">
        <v>2025</v>
      </c>
      <c r="I2360" s="132">
        <v>45729</v>
      </c>
      <c r="J2360" s="50" t="s">
        <v>3416</v>
      </c>
      <c r="K2360" s="50" t="s">
        <v>5783</v>
      </c>
      <c r="L2360" s="50"/>
      <c r="M2360" s="50" t="s">
        <v>328</v>
      </c>
      <c r="N2360" s="50" t="s">
        <v>5798</v>
      </c>
      <c r="O2360" s="60">
        <v>45732</v>
      </c>
      <c r="P2360" s="60"/>
      <c r="Q2360" s="60">
        <v>45734</v>
      </c>
      <c r="R2360" s="60">
        <v>45734</v>
      </c>
      <c r="S2360" s="50">
        <f t="shared" si="235"/>
        <v>1</v>
      </c>
      <c r="T2360" s="50" t="str">
        <f t="shared" si="233"/>
        <v/>
      </c>
      <c r="U2360" s="50">
        <f t="shared" si="234"/>
        <v>1</v>
      </c>
      <c r="V2360" s="50">
        <f t="shared" si="236"/>
        <v>1</v>
      </c>
      <c r="W2360" s="50" t="s">
        <v>150</v>
      </c>
      <c r="X2360" s="50" t="s">
        <v>4</v>
      </c>
      <c r="Y2360" s="50" t="s">
        <v>50</v>
      </c>
      <c r="Z2360" s="50" t="s">
        <v>3406</v>
      </c>
      <c r="AA2360" s="50"/>
    </row>
    <row r="2361" spans="1:27" ht="25.5" customHeight="1">
      <c r="A2361" s="50" t="s">
        <v>779</v>
      </c>
      <c r="B2361" s="51" t="s">
        <v>1465</v>
      </c>
      <c r="C2361" s="51" t="s">
        <v>143</v>
      </c>
      <c r="D2361" s="51" t="s">
        <v>3133</v>
      </c>
      <c r="E2361" s="50">
        <v>387</v>
      </c>
      <c r="F2361" s="50">
        <v>450</v>
      </c>
      <c r="G2361" s="50" t="s">
        <v>3404</v>
      </c>
      <c r="H2361" s="50">
        <v>2024</v>
      </c>
      <c r="I2361" s="132">
        <v>45582</v>
      </c>
      <c r="J2361" s="50"/>
      <c r="K2361" s="50" t="s">
        <v>5783</v>
      </c>
      <c r="L2361" s="50"/>
      <c r="M2361" s="50" t="s">
        <v>328</v>
      </c>
      <c r="N2361" s="50"/>
      <c r="O2361" s="50"/>
      <c r="P2361" s="50"/>
      <c r="Q2361" s="50"/>
      <c r="R2361" s="50"/>
      <c r="S2361" s="50" t="str">
        <f t="shared" si="235"/>
        <v/>
      </c>
      <c r="T2361" s="50" t="str">
        <f t="shared" si="233"/>
        <v/>
      </c>
      <c r="U2361" s="50" t="str">
        <f t="shared" si="234"/>
        <v/>
      </c>
      <c r="V2361" s="50" t="str">
        <f t="shared" si="236"/>
        <v/>
      </c>
      <c r="W2361" s="50"/>
      <c r="X2361" s="50" t="s">
        <v>1078</v>
      </c>
      <c r="Y2361" s="50" t="s">
        <v>50</v>
      </c>
      <c r="Z2361" s="50" t="s">
        <v>3406</v>
      </c>
      <c r="AA2361" s="50"/>
    </row>
    <row r="2362" spans="1:27" ht="25.5" customHeight="1">
      <c r="A2362" s="50" t="s">
        <v>779</v>
      </c>
      <c r="B2362" s="51" t="s">
        <v>1465</v>
      </c>
      <c r="C2362" s="51" t="s">
        <v>143</v>
      </c>
      <c r="D2362" s="51" t="s">
        <v>5799</v>
      </c>
      <c r="E2362" s="50">
        <v>1115</v>
      </c>
      <c r="F2362" s="50">
        <v>1227</v>
      </c>
      <c r="G2362" s="50" t="s">
        <v>3404</v>
      </c>
      <c r="H2362" s="50">
        <v>2024</v>
      </c>
      <c r="I2362" s="132">
        <v>45449</v>
      </c>
      <c r="J2362" s="50"/>
      <c r="K2362" s="50" t="s">
        <v>5783</v>
      </c>
      <c r="L2362" s="50"/>
      <c r="M2362" s="50" t="s">
        <v>328</v>
      </c>
      <c r="N2362" s="50"/>
      <c r="O2362" s="50"/>
      <c r="P2362" s="50"/>
      <c r="Q2362" s="50"/>
      <c r="R2362" s="50"/>
      <c r="S2362" s="50" t="str">
        <f t="shared" si="235"/>
        <v/>
      </c>
      <c r="T2362" s="50" t="str">
        <f t="shared" si="233"/>
        <v/>
      </c>
      <c r="U2362" s="50" t="str">
        <f t="shared" si="234"/>
        <v/>
      </c>
      <c r="V2362" s="50" t="str">
        <f t="shared" si="236"/>
        <v/>
      </c>
      <c r="W2362" s="50"/>
      <c r="X2362" s="50"/>
      <c r="Y2362" s="50"/>
      <c r="Z2362" s="50" t="s">
        <v>3406</v>
      </c>
      <c r="AA2362" s="50"/>
    </row>
    <row r="2363" spans="1:27" ht="25.5" customHeight="1">
      <c r="A2363" s="517" t="s">
        <v>779</v>
      </c>
      <c r="B2363" s="51" t="s">
        <v>1465</v>
      </c>
      <c r="C2363" s="51" t="s">
        <v>143</v>
      </c>
      <c r="D2363" s="51" t="s">
        <v>5800</v>
      </c>
      <c r="E2363" s="50">
        <v>1015</v>
      </c>
      <c r="F2363" s="50">
        <v>1078</v>
      </c>
      <c r="G2363" s="50" t="s">
        <v>3955</v>
      </c>
      <c r="H2363" s="50"/>
      <c r="I2363" s="105"/>
      <c r="J2363" s="50"/>
      <c r="K2363" s="50" t="s">
        <v>5783</v>
      </c>
      <c r="L2363" s="50"/>
      <c r="M2363" s="50" t="s">
        <v>328</v>
      </c>
      <c r="N2363" s="50"/>
      <c r="O2363" s="50"/>
      <c r="P2363" s="50"/>
      <c r="Q2363" s="50"/>
      <c r="R2363" s="50"/>
      <c r="S2363" s="50" t="str">
        <f t="shared" si="235"/>
        <v/>
      </c>
      <c r="T2363" s="50" t="str">
        <f t="shared" si="233"/>
        <v/>
      </c>
      <c r="U2363" s="50" t="str">
        <f t="shared" si="234"/>
        <v/>
      </c>
      <c r="V2363" s="50" t="str">
        <f t="shared" si="236"/>
        <v/>
      </c>
      <c r="W2363" s="50"/>
      <c r="X2363" s="50"/>
      <c r="Y2363" s="50"/>
      <c r="Z2363" s="50"/>
      <c r="AA2363" s="50"/>
    </row>
    <row r="2364" spans="1:27" ht="25.5" customHeight="1">
      <c r="A2364" s="517" t="s">
        <v>779</v>
      </c>
      <c r="B2364" s="51" t="s">
        <v>1445</v>
      </c>
      <c r="C2364" s="51" t="s">
        <v>143</v>
      </c>
      <c r="D2364" s="51" t="s">
        <v>5801</v>
      </c>
      <c r="E2364" s="50">
        <v>19762</v>
      </c>
      <c r="F2364" s="50">
        <v>21794</v>
      </c>
      <c r="G2364" s="50" t="s">
        <v>3404</v>
      </c>
      <c r="H2364" s="50">
        <v>2025</v>
      </c>
      <c r="I2364" s="132">
        <v>45730</v>
      </c>
      <c r="J2364" s="50" t="s">
        <v>3416</v>
      </c>
      <c r="K2364" s="50" t="s">
        <v>39</v>
      </c>
      <c r="L2364" s="50"/>
      <c r="M2364" s="50" t="s">
        <v>328</v>
      </c>
      <c r="N2364" s="50" t="s">
        <v>5802</v>
      </c>
      <c r="O2364" s="60">
        <v>45733</v>
      </c>
      <c r="P2364" s="50"/>
      <c r="Q2364" s="60">
        <v>45734</v>
      </c>
      <c r="R2364" s="60">
        <v>45734</v>
      </c>
      <c r="S2364" s="50">
        <f t="shared" si="235"/>
        <v>1</v>
      </c>
      <c r="T2364" s="50" t="str">
        <f t="shared" si="233"/>
        <v/>
      </c>
      <c r="U2364" s="50">
        <f t="shared" si="234"/>
        <v>1</v>
      </c>
      <c r="V2364" s="50">
        <f t="shared" si="236"/>
        <v>1</v>
      </c>
      <c r="W2364" s="50" t="s">
        <v>150</v>
      </c>
      <c r="X2364" s="50" t="s">
        <v>3527</v>
      </c>
      <c r="Y2364" s="50" t="s">
        <v>3528</v>
      </c>
      <c r="Z2364" s="50" t="s">
        <v>3406</v>
      </c>
      <c r="AA2364" s="50"/>
    </row>
    <row r="2365" spans="1:27" ht="25.5" customHeight="1">
      <c r="A2365" s="517" t="s">
        <v>779</v>
      </c>
      <c r="B2365" s="51" t="s">
        <v>1445</v>
      </c>
      <c r="C2365" s="51" t="s">
        <v>143</v>
      </c>
      <c r="D2365" s="51" t="s">
        <v>5803</v>
      </c>
      <c r="E2365" s="50">
        <v>801</v>
      </c>
      <c r="F2365" s="50">
        <v>1115</v>
      </c>
      <c r="G2365" s="50" t="s">
        <v>3955</v>
      </c>
      <c r="H2365" s="50"/>
      <c r="I2365" s="105"/>
      <c r="J2365" s="50"/>
      <c r="K2365" s="50" t="s">
        <v>39</v>
      </c>
      <c r="L2365" s="50"/>
      <c r="M2365" s="50" t="s">
        <v>328</v>
      </c>
      <c r="N2365" s="50"/>
      <c r="O2365" s="50"/>
      <c r="P2365" s="50"/>
      <c r="Q2365" s="50"/>
      <c r="R2365" s="50"/>
      <c r="S2365" s="50" t="str">
        <f t="shared" si="235"/>
        <v/>
      </c>
      <c r="T2365" s="50" t="str">
        <f t="shared" si="233"/>
        <v/>
      </c>
      <c r="U2365" s="50" t="str">
        <f t="shared" si="234"/>
        <v/>
      </c>
      <c r="V2365" s="50" t="str">
        <f t="shared" si="236"/>
        <v/>
      </c>
      <c r="W2365" s="50"/>
      <c r="X2365" s="50"/>
      <c r="Y2365" s="50"/>
      <c r="Z2365" s="50"/>
      <c r="AA2365" s="50"/>
    </row>
    <row r="2366" spans="1:27" ht="25.5" customHeight="1">
      <c r="A2366" s="517" t="s">
        <v>779</v>
      </c>
      <c r="B2366" s="51" t="s">
        <v>1445</v>
      </c>
      <c r="C2366" s="51" t="s">
        <v>143</v>
      </c>
      <c r="D2366" s="51" t="s">
        <v>5804</v>
      </c>
      <c r="E2366" s="50">
        <v>191</v>
      </c>
      <c r="F2366" s="50">
        <v>266</v>
      </c>
      <c r="G2366" s="50" t="s">
        <v>3955</v>
      </c>
      <c r="H2366" s="50"/>
      <c r="I2366" s="105"/>
      <c r="J2366" s="50"/>
      <c r="K2366" s="50" t="s">
        <v>39</v>
      </c>
      <c r="L2366" s="50"/>
      <c r="M2366" s="50" t="s">
        <v>328</v>
      </c>
      <c r="N2366" s="50"/>
      <c r="O2366" s="50"/>
      <c r="P2366" s="50"/>
      <c r="Q2366" s="50"/>
      <c r="R2366" s="50"/>
      <c r="S2366" s="50" t="str">
        <f t="shared" si="235"/>
        <v/>
      </c>
      <c r="T2366" s="50" t="str">
        <f t="shared" si="233"/>
        <v/>
      </c>
      <c r="U2366" s="50" t="str">
        <f t="shared" si="234"/>
        <v/>
      </c>
      <c r="V2366" s="50" t="str">
        <f t="shared" si="236"/>
        <v/>
      </c>
      <c r="W2366" s="50"/>
      <c r="X2366" s="50"/>
      <c r="Y2366" s="50"/>
      <c r="Z2366" s="50"/>
      <c r="AA2366" s="50"/>
    </row>
    <row r="2367" spans="1:27" ht="25.5" customHeight="1">
      <c r="A2367" s="517" t="s">
        <v>779</v>
      </c>
      <c r="B2367" s="51" t="s">
        <v>1445</v>
      </c>
      <c r="C2367" s="51" t="s">
        <v>143</v>
      </c>
      <c r="D2367" s="51" t="s">
        <v>5671</v>
      </c>
      <c r="E2367" s="50">
        <v>271</v>
      </c>
      <c r="F2367" s="50">
        <v>434</v>
      </c>
      <c r="G2367" s="50" t="s">
        <v>3955</v>
      </c>
      <c r="H2367" s="50"/>
      <c r="I2367" s="105"/>
      <c r="J2367" s="50"/>
      <c r="K2367" s="50" t="s">
        <v>39</v>
      </c>
      <c r="L2367" s="50"/>
      <c r="M2367" s="50" t="s">
        <v>328</v>
      </c>
      <c r="N2367" s="50"/>
      <c r="O2367" s="50"/>
      <c r="P2367" s="50"/>
      <c r="Q2367" s="50"/>
      <c r="R2367" s="50"/>
      <c r="S2367" s="50" t="str">
        <f t="shared" si="235"/>
        <v/>
      </c>
      <c r="T2367" s="50" t="str">
        <f t="shared" si="233"/>
        <v/>
      </c>
      <c r="U2367" s="50" t="str">
        <f t="shared" si="234"/>
        <v/>
      </c>
      <c r="V2367" s="50" t="str">
        <f t="shared" si="236"/>
        <v/>
      </c>
      <c r="W2367" s="50"/>
      <c r="X2367" s="50"/>
      <c r="Y2367" s="50"/>
      <c r="Z2367" s="50"/>
      <c r="AA2367" s="50"/>
    </row>
    <row r="2368" spans="1:27" ht="25.5" customHeight="1">
      <c r="A2368" s="517" t="s">
        <v>779</v>
      </c>
      <c r="B2368" s="51" t="s">
        <v>1445</v>
      </c>
      <c r="C2368" s="51" t="s">
        <v>143</v>
      </c>
      <c r="D2368" s="51" t="s">
        <v>5805</v>
      </c>
      <c r="E2368" s="50">
        <v>2292</v>
      </c>
      <c r="F2368" s="50">
        <v>2381</v>
      </c>
      <c r="G2368" s="50" t="s">
        <v>3955</v>
      </c>
      <c r="H2368" s="50"/>
      <c r="I2368" s="105"/>
      <c r="J2368" s="50"/>
      <c r="K2368" s="50" t="s">
        <v>39</v>
      </c>
      <c r="L2368" s="50"/>
      <c r="M2368" s="50" t="s">
        <v>328</v>
      </c>
      <c r="N2368" s="50"/>
      <c r="O2368" s="50"/>
      <c r="P2368" s="50"/>
      <c r="Q2368" s="50"/>
      <c r="R2368" s="50"/>
      <c r="S2368" s="50" t="str">
        <f t="shared" si="235"/>
        <v/>
      </c>
      <c r="T2368" s="50" t="str">
        <f t="shared" si="233"/>
        <v/>
      </c>
      <c r="U2368" s="50" t="str">
        <f t="shared" si="234"/>
        <v/>
      </c>
      <c r="V2368" s="50" t="str">
        <f t="shared" si="236"/>
        <v/>
      </c>
      <c r="W2368" s="50"/>
      <c r="X2368" s="50"/>
      <c r="Y2368" s="50"/>
      <c r="Z2368" s="50"/>
      <c r="AA2368" s="50"/>
    </row>
    <row r="2369" spans="1:27" ht="25.5" customHeight="1">
      <c r="A2369" s="517" t="s">
        <v>779</v>
      </c>
      <c r="B2369" s="51" t="s">
        <v>1445</v>
      </c>
      <c r="C2369" s="51" t="s">
        <v>143</v>
      </c>
      <c r="D2369" s="51" t="s">
        <v>5396</v>
      </c>
      <c r="E2369" s="50">
        <v>1135</v>
      </c>
      <c r="F2369" s="50">
        <v>1349</v>
      </c>
      <c r="G2369" s="50" t="s">
        <v>3955</v>
      </c>
      <c r="H2369" s="50"/>
      <c r="I2369" s="105"/>
      <c r="J2369" s="50"/>
      <c r="K2369" s="50" t="s">
        <v>39</v>
      </c>
      <c r="L2369" s="50"/>
      <c r="M2369" s="50" t="s">
        <v>328</v>
      </c>
      <c r="N2369" s="50"/>
      <c r="O2369" s="50"/>
      <c r="P2369" s="50"/>
      <c r="Q2369" s="50"/>
      <c r="R2369" s="50"/>
      <c r="S2369" s="50" t="str">
        <f t="shared" si="235"/>
        <v/>
      </c>
      <c r="T2369" s="50" t="str">
        <f t="shared" si="233"/>
        <v/>
      </c>
      <c r="U2369" s="50" t="str">
        <f t="shared" si="234"/>
        <v/>
      </c>
      <c r="V2369" s="50" t="str">
        <f t="shared" si="236"/>
        <v/>
      </c>
      <c r="W2369" s="50"/>
      <c r="X2369" s="50"/>
      <c r="Y2369" s="50"/>
      <c r="Z2369" s="50"/>
      <c r="AA2369" s="50"/>
    </row>
    <row r="2370" spans="1:27" ht="25.5" customHeight="1">
      <c r="A2370" s="517" t="s">
        <v>779</v>
      </c>
      <c r="B2370" s="51" t="s">
        <v>1445</v>
      </c>
      <c r="C2370" s="51" t="s">
        <v>143</v>
      </c>
      <c r="D2370" s="51" t="s">
        <v>4613</v>
      </c>
      <c r="E2370" s="50">
        <v>5420</v>
      </c>
      <c r="F2370" s="50">
        <v>6671</v>
      </c>
      <c r="G2370" s="50" t="s">
        <v>3404</v>
      </c>
      <c r="H2370" s="50">
        <v>2025</v>
      </c>
      <c r="I2370" s="132">
        <v>45720</v>
      </c>
      <c r="J2370" s="50" t="s">
        <v>3416</v>
      </c>
      <c r="K2370" s="50" t="s">
        <v>39</v>
      </c>
      <c r="L2370" s="50"/>
      <c r="M2370" s="50" t="s">
        <v>328</v>
      </c>
      <c r="N2370" s="50" t="s">
        <v>5806</v>
      </c>
      <c r="O2370" s="60">
        <v>45733</v>
      </c>
      <c r="P2370" s="50"/>
      <c r="Q2370" s="60">
        <v>45734</v>
      </c>
      <c r="R2370" s="60">
        <v>45734</v>
      </c>
      <c r="S2370" s="50">
        <f t="shared" si="235"/>
        <v>9</v>
      </c>
      <c r="T2370" s="50" t="str">
        <f t="shared" si="233"/>
        <v/>
      </c>
      <c r="U2370" s="50">
        <f t="shared" si="234"/>
        <v>1</v>
      </c>
      <c r="V2370" s="50">
        <f t="shared" si="236"/>
        <v>1</v>
      </c>
      <c r="W2370" s="50" t="s">
        <v>150</v>
      </c>
      <c r="X2370" s="50" t="s">
        <v>3527</v>
      </c>
      <c r="Y2370" s="50" t="s">
        <v>3528</v>
      </c>
      <c r="Z2370" s="50" t="s">
        <v>3406</v>
      </c>
      <c r="AA2370" s="50"/>
    </row>
    <row r="2371" spans="1:27" ht="25.5" customHeight="1">
      <c r="A2371" s="517" t="s">
        <v>779</v>
      </c>
      <c r="B2371" s="51" t="s">
        <v>1445</v>
      </c>
      <c r="C2371" s="51" t="s">
        <v>143</v>
      </c>
      <c r="D2371" s="51" t="s">
        <v>5807</v>
      </c>
      <c r="E2371" s="50">
        <v>34</v>
      </c>
      <c r="F2371" s="50">
        <v>40</v>
      </c>
      <c r="G2371" s="50" t="s">
        <v>3955</v>
      </c>
      <c r="H2371" s="50"/>
      <c r="I2371" s="105"/>
      <c r="J2371" s="50"/>
      <c r="K2371" s="50" t="s">
        <v>39</v>
      </c>
      <c r="L2371" s="50"/>
      <c r="M2371" s="50" t="s">
        <v>328</v>
      </c>
      <c r="N2371" s="50"/>
      <c r="O2371" s="50"/>
      <c r="P2371" s="50"/>
      <c r="Q2371" s="50"/>
      <c r="R2371" s="50"/>
      <c r="S2371" s="50" t="str">
        <f t="shared" si="235"/>
        <v/>
      </c>
      <c r="T2371" s="50" t="str">
        <f t="shared" si="233"/>
        <v/>
      </c>
      <c r="U2371" s="50" t="str">
        <f t="shared" si="234"/>
        <v/>
      </c>
      <c r="V2371" s="50" t="str">
        <f t="shared" si="236"/>
        <v/>
      </c>
      <c r="W2371" s="50"/>
      <c r="X2371" s="50"/>
      <c r="Y2371" s="50"/>
      <c r="Z2371" s="50"/>
      <c r="AA2371" s="50"/>
    </row>
    <row r="2372" spans="1:27" ht="25.5" customHeight="1">
      <c r="A2372" s="517" t="s">
        <v>779</v>
      </c>
      <c r="B2372" s="51" t="s">
        <v>1445</v>
      </c>
      <c r="C2372" s="51" t="s">
        <v>143</v>
      </c>
      <c r="D2372" s="51" t="s">
        <v>5659</v>
      </c>
      <c r="E2372" s="50">
        <v>19739</v>
      </c>
      <c r="F2372" s="50">
        <v>19777</v>
      </c>
      <c r="G2372" s="50" t="s">
        <v>3404</v>
      </c>
      <c r="H2372" s="50">
        <v>2025</v>
      </c>
      <c r="I2372" s="132">
        <v>45720</v>
      </c>
      <c r="J2372" s="50" t="s">
        <v>3416</v>
      </c>
      <c r="K2372" s="50" t="s">
        <v>39</v>
      </c>
      <c r="L2372" s="50"/>
      <c r="M2372" s="50" t="s">
        <v>328</v>
      </c>
      <c r="N2372" s="50" t="s">
        <v>5808</v>
      </c>
      <c r="O2372" s="60">
        <v>45726</v>
      </c>
      <c r="P2372" s="60"/>
      <c r="Q2372" s="60">
        <v>45727</v>
      </c>
      <c r="R2372" s="60">
        <v>45730</v>
      </c>
      <c r="S2372" s="50">
        <f t="shared" si="235"/>
        <v>4</v>
      </c>
      <c r="T2372" s="50" t="str">
        <f t="shared" si="233"/>
        <v/>
      </c>
      <c r="U2372" s="50">
        <f t="shared" si="234"/>
        <v>1</v>
      </c>
      <c r="V2372" s="50">
        <f t="shared" si="236"/>
        <v>3</v>
      </c>
      <c r="W2372" s="50" t="s">
        <v>150</v>
      </c>
      <c r="X2372" s="50" t="s">
        <v>3527</v>
      </c>
      <c r="Y2372" s="50" t="s">
        <v>3528</v>
      </c>
      <c r="Z2372" s="50" t="s">
        <v>3406</v>
      </c>
      <c r="AA2372" s="50"/>
    </row>
    <row r="2373" spans="1:27" ht="25.5" customHeight="1">
      <c r="A2373" s="517" t="s">
        <v>779</v>
      </c>
      <c r="B2373" s="51" t="s">
        <v>1445</v>
      </c>
      <c r="C2373" s="51" t="s">
        <v>143</v>
      </c>
      <c r="D2373" s="51" t="s">
        <v>1253</v>
      </c>
      <c r="E2373" s="50">
        <v>189</v>
      </c>
      <c r="F2373" s="50">
        <v>480</v>
      </c>
      <c r="G2373" s="50" t="s">
        <v>3955</v>
      </c>
      <c r="H2373" s="50"/>
      <c r="I2373" s="105"/>
      <c r="J2373" s="50"/>
      <c r="K2373" s="50" t="s">
        <v>39</v>
      </c>
      <c r="L2373" s="50"/>
      <c r="M2373" s="50" t="s">
        <v>328</v>
      </c>
      <c r="N2373" s="50"/>
      <c r="O2373" s="50"/>
      <c r="P2373" s="50"/>
      <c r="Q2373" s="50"/>
      <c r="R2373" s="50"/>
      <c r="S2373" s="50" t="str">
        <f t="shared" si="235"/>
        <v/>
      </c>
      <c r="T2373" s="50" t="str">
        <f t="shared" si="233"/>
        <v/>
      </c>
      <c r="U2373" s="50" t="str">
        <f t="shared" si="234"/>
        <v/>
      </c>
      <c r="V2373" s="50" t="str">
        <f t="shared" si="236"/>
        <v/>
      </c>
      <c r="W2373" s="50"/>
      <c r="X2373" s="50"/>
      <c r="Y2373" s="50"/>
      <c r="Z2373" s="50"/>
      <c r="AA2373" s="50"/>
    </row>
    <row r="2374" spans="1:27" ht="25.5" customHeight="1">
      <c r="A2374" s="517" t="s">
        <v>779</v>
      </c>
      <c r="B2374" s="51" t="s">
        <v>1445</v>
      </c>
      <c r="C2374" s="51" t="s">
        <v>143</v>
      </c>
      <c r="D2374" s="51" t="s">
        <v>1155</v>
      </c>
      <c r="E2374" s="50">
        <v>2058</v>
      </c>
      <c r="F2374" s="50">
        <v>2906</v>
      </c>
      <c r="G2374" s="50" t="s">
        <v>3955</v>
      </c>
      <c r="H2374" s="50"/>
      <c r="I2374" s="105"/>
      <c r="J2374" s="50"/>
      <c r="K2374" s="50" t="s">
        <v>39</v>
      </c>
      <c r="L2374" s="50"/>
      <c r="M2374" s="50" t="s">
        <v>328</v>
      </c>
      <c r="N2374" s="50"/>
      <c r="O2374" s="50"/>
      <c r="P2374" s="50"/>
      <c r="Q2374" s="50"/>
      <c r="R2374" s="50"/>
      <c r="S2374" s="50" t="str">
        <f t="shared" si="235"/>
        <v/>
      </c>
      <c r="T2374" s="50" t="str">
        <f t="shared" si="233"/>
        <v/>
      </c>
      <c r="U2374" s="50" t="str">
        <f t="shared" si="234"/>
        <v/>
      </c>
      <c r="V2374" s="50" t="str">
        <f t="shared" si="236"/>
        <v/>
      </c>
      <c r="W2374" s="50"/>
      <c r="X2374" s="50"/>
      <c r="Y2374" s="50"/>
      <c r="Z2374" s="50"/>
      <c r="AA2374" s="50"/>
    </row>
    <row r="2375" spans="1:27" ht="25.5" customHeight="1">
      <c r="A2375" s="517" t="s">
        <v>779</v>
      </c>
      <c r="B2375" s="51" t="s">
        <v>1445</v>
      </c>
      <c r="C2375" s="51" t="s">
        <v>143</v>
      </c>
      <c r="D2375" s="51" t="s">
        <v>3974</v>
      </c>
      <c r="E2375" s="50">
        <v>10678</v>
      </c>
      <c r="F2375" s="50">
        <v>11986</v>
      </c>
      <c r="G2375" s="50" t="s">
        <v>3404</v>
      </c>
      <c r="H2375" s="50">
        <v>2025</v>
      </c>
      <c r="I2375" s="132">
        <v>45846</v>
      </c>
      <c r="J2375" s="50" t="s">
        <v>3125</v>
      </c>
      <c r="K2375" s="50" t="s">
        <v>39</v>
      </c>
      <c r="L2375" s="50"/>
      <c r="M2375" s="50" t="s">
        <v>328</v>
      </c>
      <c r="N2375" s="50" t="s">
        <v>5809</v>
      </c>
      <c r="O2375" s="60">
        <v>45855</v>
      </c>
      <c r="P2375" s="50"/>
      <c r="Q2375" s="60">
        <v>45856</v>
      </c>
      <c r="R2375" s="60">
        <v>45856</v>
      </c>
      <c r="S2375" s="50">
        <f t="shared" si="235"/>
        <v>7</v>
      </c>
      <c r="T2375" s="50" t="str">
        <f t="shared" si="233"/>
        <v/>
      </c>
      <c r="U2375" s="50">
        <f t="shared" si="234"/>
        <v>1</v>
      </c>
      <c r="V2375" s="50">
        <f t="shared" si="236"/>
        <v>1</v>
      </c>
      <c r="W2375" s="50" t="s">
        <v>150</v>
      </c>
      <c r="X2375" s="50" t="s">
        <v>3527</v>
      </c>
      <c r="Y2375" s="50" t="s">
        <v>3528</v>
      </c>
      <c r="Z2375" s="50" t="s">
        <v>3406</v>
      </c>
      <c r="AA2375" s="50"/>
    </row>
    <row r="2376" spans="1:27" ht="25.5" customHeight="1">
      <c r="A2376" s="517" t="s">
        <v>779</v>
      </c>
      <c r="B2376" s="51" t="s">
        <v>1445</v>
      </c>
      <c r="C2376" s="51" t="s">
        <v>143</v>
      </c>
      <c r="D2376" s="51" t="s">
        <v>1166</v>
      </c>
      <c r="E2376" s="50">
        <v>2676</v>
      </c>
      <c r="F2376" s="50">
        <v>3772</v>
      </c>
      <c r="G2376" s="50" t="s">
        <v>3955</v>
      </c>
      <c r="H2376" s="50"/>
      <c r="I2376" s="105"/>
      <c r="J2376" s="50"/>
      <c r="K2376" s="50" t="s">
        <v>39</v>
      </c>
      <c r="L2376" s="50"/>
      <c r="M2376" s="50" t="s">
        <v>328</v>
      </c>
      <c r="N2376" s="50"/>
      <c r="O2376" s="50"/>
      <c r="P2376" s="50"/>
      <c r="Q2376" s="50"/>
      <c r="R2376" s="50"/>
      <c r="S2376" s="50" t="str">
        <f t="shared" si="235"/>
        <v/>
      </c>
      <c r="T2376" s="50" t="str">
        <f t="shared" si="233"/>
        <v/>
      </c>
      <c r="U2376" s="50" t="str">
        <f t="shared" si="234"/>
        <v/>
      </c>
      <c r="V2376" s="50" t="str">
        <f t="shared" si="236"/>
        <v/>
      </c>
      <c r="W2376" s="50"/>
      <c r="X2376" s="50"/>
      <c r="Y2376" s="50"/>
      <c r="Z2376" s="50"/>
      <c r="AA2376" s="50"/>
    </row>
    <row r="2377" spans="1:27" ht="25.5" customHeight="1">
      <c r="A2377" s="517" t="s">
        <v>779</v>
      </c>
      <c r="B2377" s="51" t="s">
        <v>1445</v>
      </c>
      <c r="C2377" s="51" t="s">
        <v>143</v>
      </c>
      <c r="D2377" s="51" t="s">
        <v>3727</v>
      </c>
      <c r="E2377" s="50">
        <v>2111</v>
      </c>
      <c r="F2377" s="50">
        <v>2419</v>
      </c>
      <c r="G2377" s="50" t="s">
        <v>3404</v>
      </c>
      <c r="H2377" s="50">
        <v>2025</v>
      </c>
      <c r="I2377" s="132">
        <v>45846</v>
      </c>
      <c r="J2377" s="50" t="s">
        <v>3125</v>
      </c>
      <c r="K2377" s="50" t="s">
        <v>39</v>
      </c>
      <c r="L2377" s="50"/>
      <c r="M2377" s="50" t="s">
        <v>328</v>
      </c>
      <c r="N2377" s="50" t="s">
        <v>5810</v>
      </c>
      <c r="O2377" s="60">
        <v>45855</v>
      </c>
      <c r="P2377" s="50"/>
      <c r="Q2377" s="60">
        <v>45856</v>
      </c>
      <c r="R2377" s="60">
        <v>45856</v>
      </c>
      <c r="S2377" s="50">
        <f t="shared" si="235"/>
        <v>7</v>
      </c>
      <c r="T2377" s="50" t="str">
        <f t="shared" si="233"/>
        <v/>
      </c>
      <c r="U2377" s="50">
        <f t="shared" si="234"/>
        <v>1</v>
      </c>
      <c r="V2377" s="50">
        <f t="shared" si="236"/>
        <v>1</v>
      </c>
      <c r="W2377" s="50" t="s">
        <v>150</v>
      </c>
      <c r="X2377" s="50" t="s">
        <v>4</v>
      </c>
      <c r="Y2377" s="50" t="s">
        <v>50</v>
      </c>
      <c r="Z2377" s="50" t="s">
        <v>3406</v>
      </c>
      <c r="AA2377" s="50"/>
    </row>
    <row r="2378" spans="1:27" ht="25.5" customHeight="1">
      <c r="A2378" s="517" t="s">
        <v>779</v>
      </c>
      <c r="B2378" s="51" t="s">
        <v>1445</v>
      </c>
      <c r="C2378" s="51" t="s">
        <v>143</v>
      </c>
      <c r="D2378" s="51" t="s">
        <v>5811</v>
      </c>
      <c r="E2378" s="50">
        <v>2109</v>
      </c>
      <c r="F2378" s="50">
        <v>2870</v>
      </c>
      <c r="G2378" s="50" t="s">
        <v>3955</v>
      </c>
      <c r="H2378" s="50"/>
      <c r="I2378" s="105"/>
      <c r="J2378" s="50"/>
      <c r="K2378" s="50" t="s">
        <v>39</v>
      </c>
      <c r="L2378" s="50"/>
      <c r="M2378" s="50" t="s">
        <v>328</v>
      </c>
      <c r="N2378" s="50"/>
      <c r="O2378" s="50"/>
      <c r="P2378" s="50"/>
      <c r="Q2378" s="50"/>
      <c r="R2378" s="50"/>
      <c r="S2378" s="50" t="str">
        <f t="shared" si="235"/>
        <v/>
      </c>
      <c r="T2378" s="50" t="str">
        <f t="shared" si="233"/>
        <v/>
      </c>
      <c r="U2378" s="50" t="str">
        <f t="shared" ref="U2378:U2412" si="237">IF(
    OR(ISBLANK(O2378), ISBLANK(Q2378)),
    "",
    MAX(1, IF(
        NETWORKDAYS(O2378, Q2378) &lt;= 0,
        1,
        NETWORKDAYS(O2378, Q2378) - IF(O2378 = Q2378, 0, 1)
    ))
)</f>
        <v/>
      </c>
      <c r="V2378" s="50" t="str">
        <f t="shared" si="236"/>
        <v/>
      </c>
      <c r="W2378" s="50"/>
      <c r="X2378" s="50"/>
      <c r="Y2378" s="50"/>
      <c r="Z2378" s="50"/>
      <c r="AA2378" s="50"/>
    </row>
    <row r="2379" spans="1:27" ht="25.5" customHeight="1">
      <c r="A2379" s="517" t="s">
        <v>779</v>
      </c>
      <c r="B2379" s="51" t="s">
        <v>1469</v>
      </c>
      <c r="C2379" s="51" t="s">
        <v>159</v>
      </c>
      <c r="D2379" s="51" t="s">
        <v>5812</v>
      </c>
      <c r="E2379" s="50">
        <v>704</v>
      </c>
      <c r="F2379" s="50">
        <v>769</v>
      </c>
      <c r="G2379" s="50" t="s">
        <v>3404</v>
      </c>
      <c r="H2379" s="50">
        <v>2025</v>
      </c>
      <c r="I2379" s="132">
        <v>45790</v>
      </c>
      <c r="J2379" s="50" t="s">
        <v>3532</v>
      </c>
      <c r="K2379" s="50" t="s">
        <v>5783</v>
      </c>
      <c r="L2379" s="50"/>
      <c r="M2379" s="50" t="s">
        <v>328</v>
      </c>
      <c r="N2379" s="50" t="s">
        <v>5813</v>
      </c>
      <c r="O2379" s="60">
        <v>45792</v>
      </c>
      <c r="P2379" s="50"/>
      <c r="Q2379" s="60">
        <v>45793</v>
      </c>
      <c r="R2379" s="60">
        <v>45793</v>
      </c>
      <c r="S2379" s="50">
        <f t="shared" si="235"/>
        <v>2</v>
      </c>
      <c r="T2379" s="50" t="str">
        <f t="shared" si="233"/>
        <v/>
      </c>
      <c r="U2379" s="50">
        <f t="shared" si="237"/>
        <v>1</v>
      </c>
      <c r="V2379" s="50">
        <f t="shared" si="236"/>
        <v>1</v>
      </c>
      <c r="W2379" s="50" t="s">
        <v>150</v>
      </c>
      <c r="X2379" s="50" t="s">
        <v>1078</v>
      </c>
      <c r="Y2379" s="50" t="s">
        <v>50</v>
      </c>
      <c r="Z2379" s="50" t="s">
        <v>3406</v>
      </c>
      <c r="AA2379" s="50"/>
    </row>
    <row r="2380" spans="1:27" ht="25.5" customHeight="1">
      <c r="A2380" s="517" t="s">
        <v>779</v>
      </c>
      <c r="B2380" s="51" t="s">
        <v>1469</v>
      </c>
      <c r="C2380" s="51" t="s">
        <v>159</v>
      </c>
      <c r="D2380" s="51" t="s">
        <v>5814</v>
      </c>
      <c r="E2380" s="50">
        <v>864</v>
      </c>
      <c r="F2380" s="50">
        <v>864</v>
      </c>
      <c r="G2380" s="50" t="s">
        <v>3404</v>
      </c>
      <c r="H2380" s="50">
        <v>2025</v>
      </c>
      <c r="I2380" s="132">
        <v>45790</v>
      </c>
      <c r="J2380" s="50" t="s">
        <v>3532</v>
      </c>
      <c r="K2380" s="50" t="s">
        <v>5783</v>
      </c>
      <c r="L2380" s="50"/>
      <c r="M2380" s="50" t="s">
        <v>328</v>
      </c>
      <c r="N2380" s="50" t="s">
        <v>5815</v>
      </c>
      <c r="O2380" s="60">
        <v>45792</v>
      </c>
      <c r="P2380" s="50"/>
      <c r="Q2380" s="60">
        <v>45793</v>
      </c>
      <c r="R2380" s="60">
        <v>45793</v>
      </c>
      <c r="S2380" s="50">
        <f t="shared" si="235"/>
        <v>2</v>
      </c>
      <c r="T2380" s="50" t="str">
        <f t="shared" si="233"/>
        <v/>
      </c>
      <c r="U2380" s="50">
        <f t="shared" si="237"/>
        <v>1</v>
      </c>
      <c r="V2380" s="50">
        <f t="shared" si="236"/>
        <v>1</v>
      </c>
      <c r="W2380" s="50" t="s">
        <v>150</v>
      </c>
      <c r="X2380" s="50" t="s">
        <v>1078</v>
      </c>
      <c r="Y2380" s="50" t="s">
        <v>50</v>
      </c>
      <c r="Z2380" s="50" t="s">
        <v>3406</v>
      </c>
      <c r="AA2380" s="50"/>
    </row>
    <row r="2381" spans="1:27" ht="25.5" customHeight="1">
      <c r="A2381" s="517" t="s">
        <v>779</v>
      </c>
      <c r="B2381" s="51" t="s">
        <v>1469</v>
      </c>
      <c r="C2381" s="51" t="s">
        <v>159</v>
      </c>
      <c r="D2381" s="51" t="s">
        <v>5816</v>
      </c>
      <c r="E2381" s="50">
        <v>1329</v>
      </c>
      <c r="F2381" s="50">
        <v>1336</v>
      </c>
      <c r="G2381" s="50" t="s">
        <v>3955</v>
      </c>
      <c r="H2381" s="50"/>
      <c r="I2381" s="105"/>
      <c r="J2381" s="50"/>
      <c r="K2381" s="50" t="s">
        <v>5783</v>
      </c>
      <c r="L2381" s="50"/>
      <c r="M2381" s="50" t="s">
        <v>328</v>
      </c>
      <c r="N2381" s="50"/>
      <c r="O2381" s="50"/>
      <c r="P2381" s="50"/>
      <c r="Q2381" s="50"/>
      <c r="R2381" s="50"/>
      <c r="S2381" s="50" t="str">
        <f t="shared" si="235"/>
        <v/>
      </c>
      <c r="T2381" s="50" t="str">
        <f t="shared" si="233"/>
        <v/>
      </c>
      <c r="U2381" s="50" t="str">
        <f t="shared" si="237"/>
        <v/>
      </c>
      <c r="V2381" s="50" t="str">
        <f t="shared" si="236"/>
        <v/>
      </c>
      <c r="W2381" s="50"/>
      <c r="X2381" s="50"/>
      <c r="Y2381" s="50"/>
      <c r="Z2381" s="50"/>
      <c r="AA2381" s="50"/>
    </row>
    <row r="2382" spans="1:27" s="110" customFormat="1" ht="25.5" customHeight="1">
      <c r="A2382" s="517" t="s">
        <v>779</v>
      </c>
      <c r="B2382" s="51" t="s">
        <v>1469</v>
      </c>
      <c r="C2382" s="51" t="s">
        <v>159</v>
      </c>
      <c r="D2382" s="51" t="s">
        <v>5817</v>
      </c>
      <c r="E2382" s="50">
        <v>2419</v>
      </c>
      <c r="F2382" s="50">
        <v>2694</v>
      </c>
      <c r="G2382" s="50" t="s">
        <v>3955</v>
      </c>
      <c r="H2382" s="50"/>
      <c r="I2382" s="105"/>
      <c r="J2382" s="50"/>
      <c r="K2382" s="50" t="s">
        <v>5783</v>
      </c>
      <c r="L2382" s="50"/>
      <c r="M2382" s="50" t="s">
        <v>328</v>
      </c>
      <c r="N2382" s="50"/>
      <c r="O2382" s="50"/>
      <c r="P2382" s="50"/>
      <c r="Q2382" s="50"/>
      <c r="R2382" s="50"/>
      <c r="S2382" s="50" t="str">
        <f t="shared" si="235"/>
        <v/>
      </c>
      <c r="T2382" s="50" t="str">
        <f t="shared" si="233"/>
        <v/>
      </c>
      <c r="U2382" s="50" t="str">
        <f t="shared" si="237"/>
        <v/>
      </c>
      <c r="V2382" s="50" t="str">
        <f t="shared" si="236"/>
        <v/>
      </c>
      <c r="W2382" s="50"/>
      <c r="X2382" s="50"/>
      <c r="Y2382" s="50"/>
      <c r="Z2382" s="50"/>
      <c r="AA2382" s="50"/>
    </row>
    <row r="2383" spans="1:27" ht="25.5" customHeight="1">
      <c r="A2383" s="50" t="s">
        <v>779</v>
      </c>
      <c r="B2383" s="51" t="s">
        <v>1469</v>
      </c>
      <c r="C2383" s="51" t="s">
        <v>159</v>
      </c>
      <c r="D2383" s="51" t="s">
        <v>1470</v>
      </c>
      <c r="E2383" s="50">
        <v>1066</v>
      </c>
      <c r="F2383" s="50">
        <v>1004</v>
      </c>
      <c r="G2383" s="50" t="s">
        <v>3404</v>
      </c>
      <c r="H2383" s="50">
        <v>2024</v>
      </c>
      <c r="I2383" s="132">
        <v>45419</v>
      </c>
      <c r="J2383" s="50"/>
      <c r="K2383" s="50" t="s">
        <v>5783</v>
      </c>
      <c r="L2383" s="50"/>
      <c r="M2383" s="50" t="s">
        <v>328</v>
      </c>
      <c r="N2383" s="50"/>
      <c r="O2383" s="50"/>
      <c r="P2383" s="50"/>
      <c r="Q2383" s="50"/>
      <c r="R2383" s="50"/>
      <c r="S2383" s="50" t="str">
        <f t="shared" si="235"/>
        <v/>
      </c>
      <c r="T2383" s="50" t="str">
        <f t="shared" si="233"/>
        <v/>
      </c>
      <c r="U2383" s="50" t="str">
        <f t="shared" si="237"/>
        <v/>
      </c>
      <c r="V2383" s="50" t="str">
        <f t="shared" si="236"/>
        <v/>
      </c>
      <c r="W2383" s="50"/>
      <c r="X2383" s="50" t="s">
        <v>1078</v>
      </c>
      <c r="Y2383" s="50" t="s">
        <v>50</v>
      </c>
      <c r="Z2383" s="50" t="s">
        <v>3406</v>
      </c>
      <c r="AA2383" s="50"/>
    </row>
    <row r="2384" spans="1:27" ht="25.5" customHeight="1">
      <c r="A2384" s="517" t="s">
        <v>779</v>
      </c>
      <c r="B2384" s="51" t="s">
        <v>1469</v>
      </c>
      <c r="C2384" s="51" t="s">
        <v>159</v>
      </c>
      <c r="D2384" s="51" t="s">
        <v>5818</v>
      </c>
      <c r="E2384" s="50">
        <v>978</v>
      </c>
      <c r="F2384" s="50">
        <v>1079</v>
      </c>
      <c r="G2384" s="50" t="s">
        <v>3404</v>
      </c>
      <c r="H2384" s="50">
        <v>2025</v>
      </c>
      <c r="I2384" s="132">
        <v>45881</v>
      </c>
      <c r="J2384" s="50" t="s">
        <v>3126</v>
      </c>
      <c r="K2384" s="50" t="s">
        <v>5783</v>
      </c>
      <c r="L2384" s="50"/>
      <c r="M2384" s="50" t="s">
        <v>328</v>
      </c>
      <c r="N2384" s="50" t="s">
        <v>5819</v>
      </c>
      <c r="O2384" s="60">
        <v>45886</v>
      </c>
      <c r="P2384" s="50"/>
      <c r="Q2384" s="60">
        <v>45887</v>
      </c>
      <c r="R2384" s="60">
        <v>45888</v>
      </c>
      <c r="S2384" s="50">
        <f t="shared" si="235"/>
        <v>3</v>
      </c>
      <c r="T2384" s="50" t="str">
        <f t="shared" si="233"/>
        <v/>
      </c>
      <c r="U2384" s="50">
        <f t="shared" si="237"/>
        <v>1</v>
      </c>
      <c r="V2384" s="50">
        <f t="shared" si="236"/>
        <v>1</v>
      </c>
      <c r="W2384" s="50" t="s">
        <v>150</v>
      </c>
      <c r="X2384" s="50" t="s">
        <v>1078</v>
      </c>
      <c r="Y2384" s="50" t="s">
        <v>50</v>
      </c>
      <c r="Z2384" s="50" t="s">
        <v>3406</v>
      </c>
      <c r="AA2384" s="50"/>
    </row>
    <row r="2385" spans="1:27" ht="25.5" customHeight="1">
      <c r="A2385" s="517" t="s">
        <v>779</v>
      </c>
      <c r="B2385" s="51" t="s">
        <v>1469</v>
      </c>
      <c r="C2385" s="51" t="s">
        <v>159</v>
      </c>
      <c r="D2385" s="51" t="s">
        <v>5820</v>
      </c>
      <c r="E2385" s="50">
        <v>2748</v>
      </c>
      <c r="F2385" s="50">
        <v>3075</v>
      </c>
      <c r="G2385" s="50" t="s">
        <v>3955</v>
      </c>
      <c r="H2385" s="50"/>
      <c r="I2385" s="105"/>
      <c r="J2385" s="50"/>
      <c r="K2385" s="50" t="s">
        <v>5783</v>
      </c>
      <c r="L2385" s="50"/>
      <c r="M2385" s="50" t="s">
        <v>328</v>
      </c>
      <c r="N2385" s="50"/>
      <c r="O2385" s="50"/>
      <c r="P2385" s="50"/>
      <c r="Q2385" s="50"/>
      <c r="R2385" s="50"/>
      <c r="S2385" s="50" t="str">
        <f t="shared" si="235"/>
        <v/>
      </c>
      <c r="T2385" s="50" t="str">
        <f t="shared" si="233"/>
        <v/>
      </c>
      <c r="U2385" s="50" t="str">
        <f t="shared" si="237"/>
        <v/>
      </c>
      <c r="V2385" s="50" t="str">
        <f t="shared" si="236"/>
        <v/>
      </c>
      <c r="W2385" s="50"/>
      <c r="X2385" s="50"/>
      <c r="Y2385" s="50"/>
      <c r="Z2385" s="50"/>
      <c r="AA2385" s="50"/>
    </row>
    <row r="2386" spans="1:27" s="110" customFormat="1" ht="25.5" customHeight="1">
      <c r="A2386" s="50" t="s">
        <v>779</v>
      </c>
      <c r="B2386" s="51" t="s">
        <v>1469</v>
      </c>
      <c r="C2386" s="51" t="s">
        <v>159</v>
      </c>
      <c r="D2386" s="51" t="s">
        <v>5821</v>
      </c>
      <c r="E2386" s="50">
        <v>1234</v>
      </c>
      <c r="F2386" s="50">
        <v>1229</v>
      </c>
      <c r="G2386" s="50" t="s">
        <v>3404</v>
      </c>
      <c r="H2386" s="50">
        <v>2024</v>
      </c>
      <c r="I2386" s="132">
        <v>45399</v>
      </c>
      <c r="J2386" s="50"/>
      <c r="K2386" s="50" t="s">
        <v>5783</v>
      </c>
      <c r="L2386" s="50"/>
      <c r="M2386" s="50" t="s">
        <v>328</v>
      </c>
      <c r="N2386" s="50"/>
      <c r="O2386" s="50"/>
      <c r="P2386" s="50"/>
      <c r="Q2386" s="50"/>
      <c r="R2386" s="50"/>
      <c r="S2386" s="50" t="str">
        <f t="shared" si="235"/>
        <v/>
      </c>
      <c r="T2386" s="50" t="str">
        <f t="shared" si="233"/>
        <v/>
      </c>
      <c r="U2386" s="50" t="str">
        <f t="shared" si="237"/>
        <v/>
      </c>
      <c r="V2386" s="50" t="str">
        <f t="shared" si="236"/>
        <v/>
      </c>
      <c r="W2386" s="50"/>
      <c r="X2386" s="50" t="s">
        <v>1078</v>
      </c>
      <c r="Y2386" s="50" t="s">
        <v>50</v>
      </c>
      <c r="Z2386" s="50" t="s">
        <v>3406</v>
      </c>
      <c r="AA2386" s="50"/>
    </row>
    <row r="2387" spans="1:27" ht="25.5" customHeight="1">
      <c r="A2387" s="517" t="s">
        <v>779</v>
      </c>
      <c r="B2387" s="51" t="s">
        <v>1469</v>
      </c>
      <c r="C2387" s="51" t="s">
        <v>159</v>
      </c>
      <c r="D2387" s="51" t="s">
        <v>5822</v>
      </c>
      <c r="E2387" s="50">
        <v>2584</v>
      </c>
      <c r="F2387" s="50">
        <v>2627</v>
      </c>
      <c r="G2387" s="50" t="s">
        <v>3404</v>
      </c>
      <c r="H2387" s="50">
        <v>2025</v>
      </c>
      <c r="I2387" s="132">
        <v>45874</v>
      </c>
      <c r="J2387" s="50" t="s">
        <v>3126</v>
      </c>
      <c r="K2387" s="50" t="s">
        <v>5783</v>
      </c>
      <c r="L2387" s="50"/>
      <c r="M2387" s="50" t="s">
        <v>328</v>
      </c>
      <c r="N2387" s="50" t="s">
        <v>5823</v>
      </c>
      <c r="O2387" s="60">
        <v>45879</v>
      </c>
      <c r="P2387" s="50"/>
      <c r="Q2387" s="60">
        <v>45881</v>
      </c>
      <c r="R2387" s="60">
        <v>45882</v>
      </c>
      <c r="S2387" s="50">
        <f t="shared" si="235"/>
        <v>3</v>
      </c>
      <c r="T2387" s="50" t="str">
        <f t="shared" si="233"/>
        <v/>
      </c>
      <c r="U2387" s="50">
        <f t="shared" si="237"/>
        <v>1</v>
      </c>
      <c r="V2387" s="50">
        <f t="shared" si="236"/>
        <v>1</v>
      </c>
      <c r="W2387" s="50" t="s">
        <v>150</v>
      </c>
      <c r="X2387" s="50" t="s">
        <v>1078</v>
      </c>
      <c r="Y2387" s="50" t="s">
        <v>50</v>
      </c>
      <c r="Z2387" s="50" t="s">
        <v>3406</v>
      </c>
      <c r="AA2387" s="50"/>
    </row>
    <row r="2388" spans="1:27" ht="25.5" customHeight="1">
      <c r="A2388" s="517" t="s">
        <v>779</v>
      </c>
      <c r="B2388" s="51" t="s">
        <v>1469</v>
      </c>
      <c r="C2388" s="51" t="s">
        <v>159</v>
      </c>
      <c r="D2388" s="51" t="s">
        <v>5824</v>
      </c>
      <c r="E2388" s="50">
        <v>1320</v>
      </c>
      <c r="F2388" s="50">
        <v>1319</v>
      </c>
      <c r="G2388" s="50" t="s">
        <v>3404</v>
      </c>
      <c r="H2388" s="50">
        <v>2025</v>
      </c>
      <c r="I2388" s="132">
        <v>45874</v>
      </c>
      <c r="J2388" s="50" t="s">
        <v>3126</v>
      </c>
      <c r="K2388" s="50" t="s">
        <v>5783</v>
      </c>
      <c r="L2388" s="50"/>
      <c r="M2388" s="50" t="s">
        <v>328</v>
      </c>
      <c r="N2388" s="50" t="s">
        <v>5825</v>
      </c>
      <c r="O2388" s="60">
        <v>45879</v>
      </c>
      <c r="P2388" s="50"/>
      <c r="Q2388" s="60">
        <v>45881</v>
      </c>
      <c r="R2388" s="60">
        <v>45882</v>
      </c>
      <c r="S2388" s="50">
        <f t="shared" si="235"/>
        <v>3</v>
      </c>
      <c r="T2388" s="50" t="str">
        <f t="shared" si="233"/>
        <v/>
      </c>
      <c r="U2388" s="50">
        <f t="shared" si="237"/>
        <v>1</v>
      </c>
      <c r="V2388" s="50">
        <f t="shared" si="236"/>
        <v>1</v>
      </c>
      <c r="W2388" s="50" t="s">
        <v>150</v>
      </c>
      <c r="X2388" s="50" t="s">
        <v>1078</v>
      </c>
      <c r="Y2388" s="50" t="s">
        <v>50</v>
      </c>
      <c r="Z2388" s="50" t="s">
        <v>3406</v>
      </c>
      <c r="AA2388" s="50"/>
    </row>
    <row r="2389" spans="1:27" ht="25.5" customHeight="1">
      <c r="A2389" s="517" t="s">
        <v>779</v>
      </c>
      <c r="B2389" s="51" t="s">
        <v>1469</v>
      </c>
      <c r="C2389" s="51" t="s">
        <v>159</v>
      </c>
      <c r="D2389" s="51" t="s">
        <v>5826</v>
      </c>
      <c r="E2389" s="50">
        <v>710</v>
      </c>
      <c r="F2389" s="50">
        <v>723</v>
      </c>
      <c r="G2389" s="50" t="s">
        <v>3404</v>
      </c>
      <c r="H2389" s="50">
        <v>2025</v>
      </c>
      <c r="I2389" s="132">
        <v>45874</v>
      </c>
      <c r="J2389" s="50" t="s">
        <v>3126</v>
      </c>
      <c r="K2389" s="50" t="s">
        <v>5783</v>
      </c>
      <c r="L2389" s="50"/>
      <c r="M2389" s="50" t="s">
        <v>328</v>
      </c>
      <c r="N2389" s="50" t="s">
        <v>5827</v>
      </c>
      <c r="O2389" s="60">
        <v>45879</v>
      </c>
      <c r="P2389" s="50"/>
      <c r="Q2389" s="60">
        <v>45881</v>
      </c>
      <c r="R2389" s="60">
        <v>45882</v>
      </c>
      <c r="S2389" s="50">
        <f t="shared" si="235"/>
        <v>3</v>
      </c>
      <c r="T2389" s="50" t="str">
        <f t="shared" si="233"/>
        <v/>
      </c>
      <c r="U2389" s="50">
        <f t="shared" si="237"/>
        <v>1</v>
      </c>
      <c r="V2389" s="50">
        <f t="shared" si="236"/>
        <v>1</v>
      </c>
      <c r="W2389" s="50" t="s">
        <v>150</v>
      </c>
      <c r="X2389" s="50" t="s">
        <v>1078</v>
      </c>
      <c r="Y2389" s="50" t="s">
        <v>50</v>
      </c>
      <c r="Z2389" s="50" t="s">
        <v>3406</v>
      </c>
      <c r="AA2389" s="50"/>
    </row>
    <row r="2390" spans="1:27" ht="25.5" customHeight="1">
      <c r="A2390" s="517" t="s">
        <v>779</v>
      </c>
      <c r="B2390" s="51" t="s">
        <v>1469</v>
      </c>
      <c r="C2390" s="51" t="s">
        <v>159</v>
      </c>
      <c r="D2390" s="51" t="s">
        <v>5828</v>
      </c>
      <c r="E2390" s="50">
        <v>961</v>
      </c>
      <c r="F2390" s="50">
        <v>1057</v>
      </c>
      <c r="G2390" s="50" t="s">
        <v>3404</v>
      </c>
      <c r="H2390" s="50">
        <v>2025</v>
      </c>
      <c r="I2390" s="132">
        <v>45846</v>
      </c>
      <c r="J2390" s="50" t="s">
        <v>3125</v>
      </c>
      <c r="K2390" s="50" t="s">
        <v>5783</v>
      </c>
      <c r="L2390" s="50"/>
      <c r="M2390" s="50" t="s">
        <v>328</v>
      </c>
      <c r="N2390" s="50" t="s">
        <v>5829</v>
      </c>
      <c r="O2390" s="60">
        <v>45849</v>
      </c>
      <c r="P2390" s="50"/>
      <c r="Q2390" s="60">
        <v>45853</v>
      </c>
      <c r="R2390" s="60">
        <v>45855</v>
      </c>
      <c r="S2390" s="50">
        <f t="shared" si="235"/>
        <v>3</v>
      </c>
      <c r="T2390" s="50" t="str">
        <f t="shared" si="233"/>
        <v/>
      </c>
      <c r="U2390" s="50">
        <f t="shared" si="237"/>
        <v>2</v>
      </c>
      <c r="V2390" s="50">
        <f t="shared" si="236"/>
        <v>2</v>
      </c>
      <c r="W2390" s="50" t="s">
        <v>150</v>
      </c>
      <c r="X2390" s="50" t="s">
        <v>1078</v>
      </c>
      <c r="Y2390" s="50" t="s">
        <v>50</v>
      </c>
      <c r="Z2390" s="50" t="s">
        <v>3406</v>
      </c>
      <c r="AA2390" s="50"/>
    </row>
    <row r="2391" spans="1:27" ht="25.5" customHeight="1">
      <c r="A2391" s="517" t="s">
        <v>779</v>
      </c>
      <c r="B2391" s="51" t="s">
        <v>1469</v>
      </c>
      <c r="C2391" s="51" t="s">
        <v>159</v>
      </c>
      <c r="D2391" s="51" t="s">
        <v>5830</v>
      </c>
      <c r="E2391" s="50">
        <v>2564</v>
      </c>
      <c r="F2391" s="50">
        <v>2490</v>
      </c>
      <c r="G2391" s="50" t="s">
        <v>3404</v>
      </c>
      <c r="H2391" s="50">
        <v>2025</v>
      </c>
      <c r="I2391" s="132">
        <v>45758</v>
      </c>
      <c r="J2391" s="50" t="s">
        <v>3470</v>
      </c>
      <c r="K2391" s="50" t="s">
        <v>5783</v>
      </c>
      <c r="L2391" s="50"/>
      <c r="M2391" s="50" t="s">
        <v>328</v>
      </c>
      <c r="N2391" s="50" t="s">
        <v>5831</v>
      </c>
      <c r="O2391" s="60">
        <v>45760</v>
      </c>
      <c r="P2391" s="50"/>
      <c r="Q2391" s="60">
        <v>45761</v>
      </c>
      <c r="R2391" s="60">
        <v>45761</v>
      </c>
      <c r="S2391" s="50">
        <f t="shared" si="235"/>
        <v>1</v>
      </c>
      <c r="T2391" s="50" t="str">
        <f t="shared" si="233"/>
        <v/>
      </c>
      <c r="U2391" s="50">
        <f t="shared" si="237"/>
        <v>1</v>
      </c>
      <c r="V2391" s="50">
        <f t="shared" si="236"/>
        <v>1</v>
      </c>
      <c r="W2391" s="50" t="s">
        <v>150</v>
      </c>
      <c r="X2391" s="50" t="s">
        <v>4</v>
      </c>
      <c r="Y2391" s="50" t="s">
        <v>50</v>
      </c>
      <c r="Z2391" s="50" t="s">
        <v>3406</v>
      </c>
      <c r="AA2391" s="50"/>
    </row>
    <row r="2392" spans="1:27" ht="25.5" customHeight="1">
      <c r="A2392" s="517" t="s">
        <v>779</v>
      </c>
      <c r="B2392" s="51" t="s">
        <v>1469</v>
      </c>
      <c r="C2392" s="51" t="s">
        <v>159</v>
      </c>
      <c r="D2392" s="51" t="s">
        <v>5832</v>
      </c>
      <c r="E2392" s="50">
        <v>2182</v>
      </c>
      <c r="F2392" s="50">
        <v>2275</v>
      </c>
      <c r="G2392" s="50" t="s">
        <v>3404</v>
      </c>
      <c r="H2392" s="50">
        <v>2025</v>
      </c>
      <c r="I2392" s="132">
        <v>45783</v>
      </c>
      <c r="J2392" s="50" t="s">
        <v>3532</v>
      </c>
      <c r="K2392" s="50" t="s">
        <v>5783</v>
      </c>
      <c r="L2392" s="50"/>
      <c r="M2392" s="50" t="s">
        <v>328</v>
      </c>
      <c r="N2392" s="50" t="s">
        <v>5833</v>
      </c>
      <c r="O2392" s="60">
        <v>45784</v>
      </c>
      <c r="P2392" s="50"/>
      <c r="Q2392" s="60">
        <v>45790</v>
      </c>
      <c r="R2392" s="60">
        <v>45792</v>
      </c>
      <c r="S2392" s="50">
        <f t="shared" si="235"/>
        <v>1</v>
      </c>
      <c r="T2392" s="50" t="str">
        <f t="shared" si="233"/>
        <v/>
      </c>
      <c r="U2392" s="50">
        <f t="shared" si="237"/>
        <v>4</v>
      </c>
      <c r="V2392" s="50">
        <f t="shared" si="236"/>
        <v>2</v>
      </c>
      <c r="W2392" s="50" t="s">
        <v>150</v>
      </c>
      <c r="X2392" s="50" t="s">
        <v>1078</v>
      </c>
      <c r="Y2392" s="50" t="s">
        <v>50</v>
      </c>
      <c r="Z2392" s="50" t="s">
        <v>3406</v>
      </c>
      <c r="AA2392" s="50"/>
    </row>
    <row r="2393" spans="1:27" ht="25.5" customHeight="1">
      <c r="A2393" s="517" t="s">
        <v>779</v>
      </c>
      <c r="B2393" s="51" t="s">
        <v>1469</v>
      </c>
      <c r="C2393" s="51" t="s">
        <v>159</v>
      </c>
      <c r="D2393" s="51" t="s">
        <v>5834</v>
      </c>
      <c r="E2393" s="50">
        <v>725</v>
      </c>
      <c r="F2393" s="50">
        <v>728</v>
      </c>
      <c r="G2393" s="50" t="s">
        <v>3955</v>
      </c>
      <c r="H2393" s="50"/>
      <c r="I2393" s="105"/>
      <c r="J2393" s="50"/>
      <c r="K2393" s="50" t="s">
        <v>5783</v>
      </c>
      <c r="L2393" s="50"/>
      <c r="M2393" s="50" t="s">
        <v>328</v>
      </c>
      <c r="N2393" s="50"/>
      <c r="O2393" s="50"/>
      <c r="P2393" s="50"/>
      <c r="Q2393" s="50"/>
      <c r="R2393" s="50"/>
      <c r="S2393" s="50" t="str">
        <f t="shared" si="235"/>
        <v/>
      </c>
      <c r="T2393" s="50" t="str">
        <f t="shared" si="233"/>
        <v/>
      </c>
      <c r="U2393" s="50" t="str">
        <f t="shared" si="237"/>
        <v/>
      </c>
      <c r="V2393" s="50" t="str">
        <f t="shared" si="236"/>
        <v/>
      </c>
      <c r="W2393" s="50"/>
      <c r="X2393" s="50"/>
      <c r="Y2393" s="50"/>
      <c r="Z2393" s="50"/>
      <c r="AA2393" s="50"/>
    </row>
    <row r="2394" spans="1:27" ht="25.5" customHeight="1">
      <c r="A2394" s="517" t="s">
        <v>779</v>
      </c>
      <c r="B2394" s="51" t="s">
        <v>1469</v>
      </c>
      <c r="C2394" s="51" t="s">
        <v>159</v>
      </c>
      <c r="D2394" s="51" t="s">
        <v>1525</v>
      </c>
      <c r="E2394" s="50">
        <v>886</v>
      </c>
      <c r="F2394" s="50">
        <v>1045</v>
      </c>
      <c r="G2394" s="50" t="s">
        <v>3404</v>
      </c>
      <c r="H2394" s="50">
        <v>2025</v>
      </c>
      <c r="I2394" s="132">
        <v>45924</v>
      </c>
      <c r="J2394" s="50" t="s">
        <v>3128</v>
      </c>
      <c r="K2394" s="50" t="s">
        <v>5783</v>
      </c>
      <c r="L2394" s="50"/>
      <c r="M2394" s="50" t="s">
        <v>28</v>
      </c>
      <c r="N2394" s="50" t="s">
        <v>5835</v>
      </c>
      <c r="O2394" s="60">
        <v>45929</v>
      </c>
      <c r="P2394" s="50"/>
      <c r="Q2394" s="60">
        <v>45940</v>
      </c>
      <c r="R2394" s="60">
        <v>45940</v>
      </c>
      <c r="S2394" s="50">
        <f t="shared" si="235"/>
        <v>3</v>
      </c>
      <c r="T2394" s="50" t="str">
        <f t="shared" si="233"/>
        <v/>
      </c>
      <c r="U2394" s="50">
        <f t="shared" si="237"/>
        <v>9</v>
      </c>
      <c r="V2394" s="50">
        <f t="shared" si="236"/>
        <v>1</v>
      </c>
      <c r="W2394" s="50" t="s">
        <v>150</v>
      </c>
      <c r="X2394" s="50" t="s">
        <v>1078</v>
      </c>
      <c r="Y2394" s="50" t="s">
        <v>50</v>
      </c>
      <c r="Z2394" s="50" t="s">
        <v>3406</v>
      </c>
      <c r="AA2394" s="50"/>
    </row>
    <row r="2395" spans="1:27" ht="25.5" customHeight="1">
      <c r="A2395" s="517" t="s">
        <v>779</v>
      </c>
      <c r="B2395" s="51" t="s">
        <v>1469</v>
      </c>
      <c r="C2395" s="51" t="s">
        <v>159</v>
      </c>
      <c r="D2395" s="51" t="s">
        <v>5836</v>
      </c>
      <c r="E2395" s="50">
        <v>2100</v>
      </c>
      <c r="F2395" s="50">
        <v>2263</v>
      </c>
      <c r="G2395" s="50" t="s">
        <v>3404</v>
      </c>
      <c r="H2395" s="50">
        <v>2025</v>
      </c>
      <c r="I2395" s="132">
        <v>45924</v>
      </c>
      <c r="J2395" s="50" t="s">
        <v>3128</v>
      </c>
      <c r="K2395" s="50" t="s">
        <v>5783</v>
      </c>
      <c r="L2395" s="50"/>
      <c r="M2395" s="50" t="s">
        <v>28</v>
      </c>
      <c r="N2395" s="50" t="s">
        <v>5837</v>
      </c>
      <c r="O2395" s="60">
        <v>45929</v>
      </c>
      <c r="P2395" s="50"/>
      <c r="Q2395" s="60">
        <v>45940</v>
      </c>
      <c r="R2395" s="60">
        <v>45940</v>
      </c>
      <c r="S2395" s="50">
        <f t="shared" si="235"/>
        <v>3</v>
      </c>
      <c r="T2395" s="50" t="str">
        <f t="shared" si="233"/>
        <v/>
      </c>
      <c r="U2395" s="50">
        <f t="shared" si="237"/>
        <v>9</v>
      </c>
      <c r="V2395" s="50">
        <f t="shared" si="236"/>
        <v>1</v>
      </c>
      <c r="W2395" s="50" t="s">
        <v>150</v>
      </c>
      <c r="X2395" s="50" t="s">
        <v>1078</v>
      </c>
      <c r="Y2395" s="50" t="s">
        <v>50</v>
      </c>
      <c r="Z2395" s="50" t="s">
        <v>3406</v>
      </c>
      <c r="AA2395" s="50"/>
    </row>
    <row r="2396" spans="1:27" ht="25.5" customHeight="1">
      <c r="A2396" s="517" t="s">
        <v>779</v>
      </c>
      <c r="B2396" s="51" t="s">
        <v>1469</v>
      </c>
      <c r="C2396" s="51" t="s">
        <v>159</v>
      </c>
      <c r="D2396" s="51" t="s">
        <v>5838</v>
      </c>
      <c r="E2396" s="50">
        <v>250</v>
      </c>
      <c r="F2396" s="50">
        <v>278</v>
      </c>
      <c r="G2396" s="50" t="s">
        <v>3955</v>
      </c>
      <c r="H2396" s="50"/>
      <c r="I2396" s="105"/>
      <c r="J2396" s="50"/>
      <c r="K2396" s="50" t="s">
        <v>5783</v>
      </c>
      <c r="L2396" s="50"/>
      <c r="M2396" s="50" t="s">
        <v>328</v>
      </c>
      <c r="N2396" s="50"/>
      <c r="O2396" s="50"/>
      <c r="P2396" s="50"/>
      <c r="Q2396" s="50"/>
      <c r="R2396" s="50"/>
      <c r="S2396" s="50" t="str">
        <f t="shared" si="235"/>
        <v/>
      </c>
      <c r="T2396" s="50" t="str">
        <f t="shared" si="233"/>
        <v/>
      </c>
      <c r="U2396" s="50" t="str">
        <f t="shared" si="237"/>
        <v/>
      </c>
      <c r="V2396" s="50" t="str">
        <f t="shared" si="236"/>
        <v/>
      </c>
      <c r="W2396" s="50"/>
      <c r="X2396" s="50"/>
      <c r="Y2396" s="50"/>
      <c r="Z2396" s="50"/>
      <c r="AA2396" s="50"/>
    </row>
    <row r="2397" spans="1:27" ht="25.5" customHeight="1">
      <c r="A2397" s="517" t="s">
        <v>779</v>
      </c>
      <c r="B2397" s="51" t="s">
        <v>1469</v>
      </c>
      <c r="C2397" s="51" t="s">
        <v>159</v>
      </c>
      <c r="D2397" s="51" t="s">
        <v>3558</v>
      </c>
      <c r="E2397" s="50">
        <v>958</v>
      </c>
      <c r="F2397" s="50">
        <v>1040</v>
      </c>
      <c r="G2397" s="50" t="s">
        <v>3404</v>
      </c>
      <c r="H2397" s="50">
        <v>2025</v>
      </c>
      <c r="I2397" s="132">
        <v>45924</v>
      </c>
      <c r="J2397" s="50" t="s">
        <v>3128</v>
      </c>
      <c r="K2397" s="50" t="s">
        <v>5783</v>
      </c>
      <c r="L2397" s="50"/>
      <c r="M2397" s="50" t="s">
        <v>28</v>
      </c>
      <c r="N2397" s="50" t="s">
        <v>5839</v>
      </c>
      <c r="O2397" s="60">
        <v>45929</v>
      </c>
      <c r="P2397" s="50"/>
      <c r="Q2397" s="60">
        <v>45940</v>
      </c>
      <c r="R2397" s="60">
        <v>45940</v>
      </c>
      <c r="S2397" s="50">
        <f t="shared" si="235"/>
        <v>3</v>
      </c>
      <c r="T2397" s="50" t="str">
        <f t="shared" si="233"/>
        <v/>
      </c>
      <c r="U2397" s="50">
        <f t="shared" si="237"/>
        <v>9</v>
      </c>
      <c r="V2397" s="50">
        <f t="shared" si="236"/>
        <v>1</v>
      </c>
      <c r="W2397" s="50" t="s">
        <v>150</v>
      </c>
      <c r="X2397" s="50" t="s">
        <v>1078</v>
      </c>
      <c r="Y2397" s="50" t="s">
        <v>57</v>
      </c>
      <c r="Z2397" s="50" t="s">
        <v>3406</v>
      </c>
      <c r="AA2397" s="50"/>
    </row>
    <row r="2398" spans="1:27" ht="25.5" customHeight="1">
      <c r="A2398" s="517" t="s">
        <v>779</v>
      </c>
      <c r="B2398" s="51" t="s">
        <v>1469</v>
      </c>
      <c r="C2398" s="51" t="s">
        <v>159</v>
      </c>
      <c r="D2398" s="51" t="s">
        <v>5840</v>
      </c>
      <c r="E2398" s="50">
        <v>995</v>
      </c>
      <c r="F2398" s="50">
        <v>1188</v>
      </c>
      <c r="G2398" s="50" t="s">
        <v>3404</v>
      </c>
      <c r="H2398" s="50">
        <v>2025</v>
      </c>
      <c r="I2398" s="132">
        <v>45783</v>
      </c>
      <c r="J2398" s="50" t="s">
        <v>3532</v>
      </c>
      <c r="K2398" s="50" t="s">
        <v>5783</v>
      </c>
      <c r="L2398" s="50"/>
      <c r="M2398" s="50" t="s">
        <v>328</v>
      </c>
      <c r="N2398" s="50" t="s">
        <v>5841</v>
      </c>
      <c r="O2398" s="60">
        <v>45784</v>
      </c>
      <c r="P2398" s="50"/>
      <c r="Q2398" s="60">
        <v>45790</v>
      </c>
      <c r="R2398" s="60">
        <v>45792</v>
      </c>
      <c r="S2398" s="50">
        <f t="shared" si="235"/>
        <v>1</v>
      </c>
      <c r="T2398" s="50" t="str">
        <f t="shared" si="233"/>
        <v/>
      </c>
      <c r="U2398" s="50">
        <f t="shared" si="237"/>
        <v>4</v>
      </c>
      <c r="V2398" s="50">
        <f t="shared" si="236"/>
        <v>2</v>
      </c>
      <c r="W2398" s="50" t="s">
        <v>150</v>
      </c>
      <c r="X2398" s="50" t="s">
        <v>1078</v>
      </c>
      <c r="Y2398" s="50" t="s">
        <v>50</v>
      </c>
      <c r="Z2398" s="50" t="s">
        <v>3406</v>
      </c>
      <c r="AA2398" s="50"/>
    </row>
    <row r="2399" spans="1:27" ht="25.5" customHeight="1">
      <c r="A2399" s="517" t="s">
        <v>779</v>
      </c>
      <c r="B2399" s="51" t="s">
        <v>1469</v>
      </c>
      <c r="C2399" s="51" t="s">
        <v>159</v>
      </c>
      <c r="D2399" s="51" t="s">
        <v>5842</v>
      </c>
      <c r="E2399" s="50">
        <v>2426</v>
      </c>
      <c r="F2399" s="50">
        <v>2561</v>
      </c>
      <c r="G2399" s="50" t="s">
        <v>3404</v>
      </c>
      <c r="H2399" s="50">
        <v>2025</v>
      </c>
      <c r="I2399" s="132">
        <v>45783</v>
      </c>
      <c r="J2399" s="50" t="s">
        <v>3532</v>
      </c>
      <c r="K2399" s="50" t="s">
        <v>5783</v>
      </c>
      <c r="L2399" s="50"/>
      <c r="M2399" s="50" t="s">
        <v>328</v>
      </c>
      <c r="N2399" s="50" t="s">
        <v>5843</v>
      </c>
      <c r="O2399" s="60">
        <v>45784</v>
      </c>
      <c r="P2399" s="50"/>
      <c r="Q2399" s="60">
        <v>45791</v>
      </c>
      <c r="R2399" s="60">
        <v>45792</v>
      </c>
      <c r="S2399" s="50">
        <f t="shared" si="235"/>
        <v>1</v>
      </c>
      <c r="T2399" s="50" t="str">
        <f t="shared" si="233"/>
        <v/>
      </c>
      <c r="U2399" s="50">
        <f t="shared" si="237"/>
        <v>5</v>
      </c>
      <c r="V2399" s="50">
        <f t="shared" si="236"/>
        <v>1</v>
      </c>
      <c r="W2399" s="50" t="s">
        <v>150</v>
      </c>
      <c r="X2399" s="50" t="s">
        <v>1078</v>
      </c>
      <c r="Y2399" s="50" t="s">
        <v>50</v>
      </c>
      <c r="Z2399" s="50" t="s">
        <v>3406</v>
      </c>
      <c r="AA2399" s="50"/>
    </row>
    <row r="2400" spans="1:27" s="110" customFormat="1" ht="25.5" customHeight="1">
      <c r="A2400" s="50" t="s">
        <v>779</v>
      </c>
      <c r="B2400" s="51" t="s">
        <v>1469</v>
      </c>
      <c r="C2400" s="51" t="s">
        <v>159</v>
      </c>
      <c r="D2400" s="51" t="s">
        <v>5844</v>
      </c>
      <c r="E2400" s="50">
        <v>5467</v>
      </c>
      <c r="F2400" s="50">
        <v>5902</v>
      </c>
      <c r="G2400" s="50" t="s">
        <v>3404</v>
      </c>
      <c r="H2400" s="50">
        <v>2024</v>
      </c>
      <c r="I2400" s="132">
        <v>45603</v>
      </c>
      <c r="J2400" s="50"/>
      <c r="K2400" s="50" t="s">
        <v>5783</v>
      </c>
      <c r="L2400" s="50"/>
      <c r="M2400" s="50" t="s">
        <v>328</v>
      </c>
      <c r="N2400" s="50"/>
      <c r="O2400" s="50"/>
      <c r="P2400" s="50"/>
      <c r="Q2400" s="50"/>
      <c r="R2400" s="50"/>
      <c r="S2400" s="50" t="str">
        <f t="shared" si="235"/>
        <v/>
      </c>
      <c r="T2400" s="50" t="str">
        <f t="shared" si="233"/>
        <v/>
      </c>
      <c r="U2400" s="50" t="str">
        <f t="shared" si="237"/>
        <v/>
      </c>
      <c r="V2400" s="50" t="str">
        <f t="shared" si="236"/>
        <v/>
      </c>
      <c r="W2400" s="50"/>
      <c r="X2400" s="50"/>
      <c r="Y2400" s="50"/>
      <c r="Z2400" s="50"/>
      <c r="AA2400" s="50"/>
    </row>
    <row r="2401" spans="1:27" ht="25.5" customHeight="1">
      <c r="A2401" s="517" t="s">
        <v>779</v>
      </c>
      <c r="B2401" s="51" t="s">
        <v>1469</v>
      </c>
      <c r="C2401" s="51" t="s">
        <v>159</v>
      </c>
      <c r="D2401" s="51" t="s">
        <v>5845</v>
      </c>
      <c r="E2401" s="50">
        <v>629</v>
      </c>
      <c r="F2401" s="50">
        <v>608</v>
      </c>
      <c r="G2401" s="50" t="s">
        <v>3404</v>
      </c>
      <c r="H2401" s="50">
        <v>2025</v>
      </c>
      <c r="I2401" s="132">
        <v>45874</v>
      </c>
      <c r="J2401" s="50" t="s">
        <v>3126</v>
      </c>
      <c r="K2401" s="50" t="s">
        <v>5783</v>
      </c>
      <c r="L2401" s="50"/>
      <c r="M2401" s="50" t="s">
        <v>328</v>
      </c>
      <c r="N2401" s="50" t="s">
        <v>5846</v>
      </c>
      <c r="O2401" s="60">
        <v>45879</v>
      </c>
      <c r="P2401" s="19"/>
      <c r="Q2401" s="60">
        <v>45881</v>
      </c>
      <c r="R2401" s="60">
        <v>45882</v>
      </c>
      <c r="S2401" s="50">
        <f t="shared" si="235"/>
        <v>3</v>
      </c>
      <c r="T2401" s="50" t="str">
        <f t="shared" si="233"/>
        <v/>
      </c>
      <c r="U2401" s="50">
        <f t="shared" si="237"/>
        <v>1</v>
      </c>
      <c r="V2401" s="50">
        <f t="shared" si="236"/>
        <v>1</v>
      </c>
      <c r="W2401" s="50" t="s">
        <v>150</v>
      </c>
      <c r="X2401" s="50" t="s">
        <v>1078</v>
      </c>
      <c r="Y2401" s="50" t="s">
        <v>50</v>
      </c>
      <c r="Z2401" s="50" t="s">
        <v>3406</v>
      </c>
      <c r="AA2401" s="50"/>
    </row>
    <row r="2402" spans="1:27" ht="25.5" customHeight="1">
      <c r="A2402" s="517" t="s">
        <v>779</v>
      </c>
      <c r="B2402" s="51" t="s">
        <v>1469</v>
      </c>
      <c r="C2402" s="51" t="s">
        <v>159</v>
      </c>
      <c r="D2402" s="51" t="s">
        <v>5847</v>
      </c>
      <c r="E2402" s="50">
        <v>306</v>
      </c>
      <c r="F2402" s="50">
        <v>378</v>
      </c>
      <c r="G2402" s="50" t="s">
        <v>3955</v>
      </c>
      <c r="H2402" s="50"/>
      <c r="I2402" s="105"/>
      <c r="J2402" s="50"/>
      <c r="K2402" s="50" t="s">
        <v>5783</v>
      </c>
      <c r="L2402" s="50"/>
      <c r="M2402" s="50" t="s">
        <v>328</v>
      </c>
      <c r="N2402" s="50"/>
      <c r="O2402" s="50"/>
      <c r="P2402" s="50"/>
      <c r="Q2402" s="50"/>
      <c r="R2402" s="50"/>
      <c r="S2402" s="50" t="str">
        <f t="shared" si="235"/>
        <v/>
      </c>
      <c r="T2402" s="50" t="str">
        <f t="shared" si="233"/>
        <v/>
      </c>
      <c r="U2402" s="50" t="str">
        <f t="shared" si="237"/>
        <v/>
      </c>
      <c r="V2402" s="50" t="str">
        <f t="shared" si="236"/>
        <v/>
      </c>
      <c r="W2402" s="50"/>
      <c r="X2402" s="50"/>
      <c r="Y2402" s="50"/>
      <c r="Z2402" s="50"/>
      <c r="AA2402" s="50"/>
    </row>
    <row r="2403" spans="1:27" ht="25.5" customHeight="1">
      <c r="A2403" s="517" t="s">
        <v>779</v>
      </c>
      <c r="B2403" s="51" t="s">
        <v>1469</v>
      </c>
      <c r="C2403" s="51" t="s">
        <v>159</v>
      </c>
      <c r="D2403" s="51" t="s">
        <v>5848</v>
      </c>
      <c r="E2403" s="50">
        <v>1725</v>
      </c>
      <c r="F2403" s="50">
        <v>1898</v>
      </c>
      <c r="G2403" s="50" t="s">
        <v>3404</v>
      </c>
      <c r="H2403" s="50">
        <v>2025</v>
      </c>
      <c r="I2403" s="132">
        <v>45881</v>
      </c>
      <c r="J2403" s="50" t="s">
        <v>3126</v>
      </c>
      <c r="K2403" s="50" t="s">
        <v>5783</v>
      </c>
      <c r="L2403" s="50"/>
      <c r="M2403" s="50" t="s">
        <v>328</v>
      </c>
      <c r="N2403" s="50" t="s">
        <v>5849</v>
      </c>
      <c r="O2403" s="60">
        <v>45886</v>
      </c>
      <c r="P2403" s="50"/>
      <c r="Q2403" s="60">
        <v>45887</v>
      </c>
      <c r="R2403" s="60">
        <v>45888</v>
      </c>
      <c r="S2403" s="50">
        <f t="shared" si="235"/>
        <v>3</v>
      </c>
      <c r="T2403" s="50" t="str">
        <f t="shared" si="233"/>
        <v/>
      </c>
      <c r="U2403" s="50">
        <f t="shared" si="237"/>
        <v>1</v>
      </c>
      <c r="V2403" s="50">
        <f t="shared" si="236"/>
        <v>1</v>
      </c>
      <c r="W2403" s="50" t="s">
        <v>150</v>
      </c>
      <c r="X2403" s="50" t="s">
        <v>1078</v>
      </c>
      <c r="Y2403" s="50" t="s">
        <v>50</v>
      </c>
      <c r="Z2403" s="50" t="s">
        <v>3406</v>
      </c>
      <c r="AA2403" s="50"/>
    </row>
    <row r="2404" spans="1:27" ht="25.5" customHeight="1">
      <c r="A2404" s="517" t="s">
        <v>779</v>
      </c>
      <c r="B2404" s="51" t="s">
        <v>1469</v>
      </c>
      <c r="C2404" s="51" t="s">
        <v>159</v>
      </c>
      <c r="D2404" s="51" t="s">
        <v>5850</v>
      </c>
      <c r="E2404" s="50">
        <v>1597</v>
      </c>
      <c r="F2404" s="50">
        <v>1742</v>
      </c>
      <c r="G2404" s="50" t="s">
        <v>3404</v>
      </c>
      <c r="H2404" s="50">
        <v>2025</v>
      </c>
      <c r="I2404" s="132">
        <v>45881</v>
      </c>
      <c r="J2404" s="50" t="s">
        <v>3126</v>
      </c>
      <c r="K2404" s="50" t="s">
        <v>5783</v>
      </c>
      <c r="L2404" s="50"/>
      <c r="M2404" s="50" t="s">
        <v>328</v>
      </c>
      <c r="N2404" s="50" t="s">
        <v>5851</v>
      </c>
      <c r="O2404" s="60">
        <v>45886</v>
      </c>
      <c r="P2404" s="50"/>
      <c r="Q2404" s="60">
        <v>45887</v>
      </c>
      <c r="R2404" s="60">
        <v>45888</v>
      </c>
      <c r="S2404" s="50">
        <f t="shared" si="235"/>
        <v>3</v>
      </c>
      <c r="T2404" s="50" t="str">
        <f t="shared" si="233"/>
        <v/>
      </c>
      <c r="U2404" s="50">
        <f t="shared" si="237"/>
        <v>1</v>
      </c>
      <c r="V2404" s="50">
        <f t="shared" si="236"/>
        <v>1</v>
      </c>
      <c r="W2404" s="50" t="s">
        <v>150</v>
      </c>
      <c r="X2404" s="50" t="s">
        <v>1078</v>
      </c>
      <c r="Y2404" s="50" t="s">
        <v>50</v>
      </c>
      <c r="Z2404" s="50" t="s">
        <v>3406</v>
      </c>
      <c r="AA2404" s="50"/>
    </row>
    <row r="2405" spans="1:27" ht="25.5" customHeight="1">
      <c r="A2405" s="517" t="s">
        <v>779</v>
      </c>
      <c r="B2405" s="51" t="s">
        <v>1469</v>
      </c>
      <c r="C2405" s="51" t="s">
        <v>159</v>
      </c>
      <c r="D2405" s="51" t="s">
        <v>5852</v>
      </c>
      <c r="E2405" s="50">
        <v>376</v>
      </c>
      <c r="F2405" s="50">
        <v>408</v>
      </c>
      <c r="G2405" s="50" t="s">
        <v>3404</v>
      </c>
      <c r="H2405" s="50">
        <v>2025</v>
      </c>
      <c r="I2405" s="132">
        <v>45874</v>
      </c>
      <c r="J2405" s="50" t="s">
        <v>3126</v>
      </c>
      <c r="K2405" s="50" t="s">
        <v>5783</v>
      </c>
      <c r="L2405" s="50"/>
      <c r="M2405" s="50" t="s">
        <v>328</v>
      </c>
      <c r="N2405" s="50" t="s">
        <v>5853</v>
      </c>
      <c r="O2405" s="60">
        <v>45879</v>
      </c>
      <c r="P2405" s="50"/>
      <c r="Q2405" s="60">
        <v>45881</v>
      </c>
      <c r="R2405" s="60">
        <v>45882</v>
      </c>
      <c r="S2405" s="50">
        <f t="shared" si="235"/>
        <v>3</v>
      </c>
      <c r="T2405" s="50" t="str">
        <f t="shared" si="233"/>
        <v/>
      </c>
      <c r="U2405" s="50">
        <f t="shared" si="237"/>
        <v>1</v>
      </c>
      <c r="V2405" s="50">
        <f t="shared" si="236"/>
        <v>1</v>
      </c>
      <c r="W2405" s="50" t="s">
        <v>150</v>
      </c>
      <c r="X2405" s="50" t="s">
        <v>1078</v>
      </c>
      <c r="Y2405" s="50" t="s">
        <v>50</v>
      </c>
      <c r="Z2405" s="50" t="s">
        <v>3406</v>
      </c>
      <c r="AA2405" s="50"/>
    </row>
    <row r="2406" spans="1:27" ht="25.5" customHeight="1">
      <c r="A2406" s="517" t="s">
        <v>779</v>
      </c>
      <c r="B2406" s="51" t="s">
        <v>1469</v>
      </c>
      <c r="C2406" s="51" t="s">
        <v>159</v>
      </c>
      <c r="D2406" s="51" t="s">
        <v>5854</v>
      </c>
      <c r="E2406" s="50">
        <v>1535</v>
      </c>
      <c r="F2406" s="50">
        <v>1546</v>
      </c>
      <c r="G2406" s="50" t="s">
        <v>3404</v>
      </c>
      <c r="H2406" s="50">
        <v>2025</v>
      </c>
      <c r="I2406" s="132">
        <v>45881</v>
      </c>
      <c r="J2406" s="50" t="s">
        <v>3126</v>
      </c>
      <c r="K2406" s="50" t="s">
        <v>5783</v>
      </c>
      <c r="L2406" s="50"/>
      <c r="M2406" s="50" t="s">
        <v>328</v>
      </c>
      <c r="N2406" s="50" t="s">
        <v>5855</v>
      </c>
      <c r="O2406" s="60">
        <v>45886</v>
      </c>
      <c r="P2406" s="50"/>
      <c r="Q2406" s="60">
        <v>45887</v>
      </c>
      <c r="R2406" s="60">
        <v>45888</v>
      </c>
      <c r="S2406" s="50">
        <f t="shared" si="235"/>
        <v>3</v>
      </c>
      <c r="T2406" s="50" t="str">
        <f t="shared" si="233"/>
        <v/>
      </c>
      <c r="U2406" s="50">
        <f t="shared" si="237"/>
        <v>1</v>
      </c>
      <c r="V2406" s="50">
        <f t="shared" si="236"/>
        <v>1</v>
      </c>
      <c r="W2406" s="50" t="s">
        <v>150</v>
      </c>
      <c r="X2406" s="50" t="s">
        <v>1078</v>
      </c>
      <c r="Y2406" s="50" t="s">
        <v>50</v>
      </c>
      <c r="Z2406" s="50" t="s">
        <v>3406</v>
      </c>
      <c r="AA2406" s="50"/>
    </row>
    <row r="2407" spans="1:27" ht="25.5" customHeight="1">
      <c r="A2407" s="517" t="s">
        <v>779</v>
      </c>
      <c r="B2407" s="51" t="s">
        <v>1469</v>
      </c>
      <c r="C2407" s="51" t="s">
        <v>159</v>
      </c>
      <c r="D2407" s="51" t="s">
        <v>5856</v>
      </c>
      <c r="E2407" s="50">
        <v>1014</v>
      </c>
      <c r="F2407" s="50">
        <v>1160</v>
      </c>
      <c r="G2407" s="50" t="s">
        <v>3404</v>
      </c>
      <c r="H2407" s="50">
        <v>2025</v>
      </c>
      <c r="I2407" s="132">
        <v>45758</v>
      </c>
      <c r="J2407" s="50" t="s">
        <v>3470</v>
      </c>
      <c r="K2407" s="50" t="s">
        <v>5783</v>
      </c>
      <c r="L2407" s="50"/>
      <c r="M2407" s="50" t="s">
        <v>328</v>
      </c>
      <c r="N2407" s="50" t="s">
        <v>5857</v>
      </c>
      <c r="O2407" s="60">
        <v>45760</v>
      </c>
      <c r="P2407" s="50"/>
      <c r="Q2407" s="60">
        <v>45761</v>
      </c>
      <c r="R2407" s="60">
        <v>45761</v>
      </c>
      <c r="S2407" s="50">
        <f t="shared" si="235"/>
        <v>1</v>
      </c>
      <c r="T2407" s="50" t="str">
        <f t="shared" si="233"/>
        <v/>
      </c>
      <c r="U2407" s="50">
        <f t="shared" si="237"/>
        <v>1</v>
      </c>
      <c r="V2407" s="50">
        <f t="shared" si="236"/>
        <v>1</v>
      </c>
      <c r="W2407" s="50" t="s">
        <v>150</v>
      </c>
      <c r="X2407" s="50" t="s">
        <v>1078</v>
      </c>
      <c r="Y2407" s="50" t="s">
        <v>50</v>
      </c>
      <c r="Z2407" s="50" t="s">
        <v>3406</v>
      </c>
      <c r="AA2407" s="50"/>
    </row>
    <row r="2408" spans="1:27" ht="25.5" customHeight="1">
      <c r="A2408" s="517" t="s">
        <v>779</v>
      </c>
      <c r="B2408" s="51" t="s">
        <v>1469</v>
      </c>
      <c r="C2408" s="51" t="s">
        <v>159</v>
      </c>
      <c r="D2408" s="51" t="s">
        <v>5858</v>
      </c>
      <c r="E2408" s="50">
        <v>3260</v>
      </c>
      <c r="F2408" s="50">
        <v>3476</v>
      </c>
      <c r="G2408" s="50" t="s">
        <v>3404</v>
      </c>
      <c r="H2408" s="50">
        <v>2025</v>
      </c>
      <c r="I2408" s="132">
        <v>45846</v>
      </c>
      <c r="J2408" s="50" t="s">
        <v>3125</v>
      </c>
      <c r="K2408" s="50" t="s">
        <v>5783</v>
      </c>
      <c r="L2408" s="50"/>
      <c r="M2408" s="50" t="s">
        <v>328</v>
      </c>
      <c r="N2408" s="50" t="s">
        <v>5859</v>
      </c>
      <c r="O2408" s="60">
        <v>45849</v>
      </c>
      <c r="P2408" s="50"/>
      <c r="Q2408" s="60">
        <v>45853</v>
      </c>
      <c r="R2408" s="60">
        <v>45855</v>
      </c>
      <c r="S2408" s="50">
        <f t="shared" si="235"/>
        <v>3</v>
      </c>
      <c r="T2408" s="50" t="str">
        <f t="shared" si="233"/>
        <v/>
      </c>
      <c r="U2408" s="50">
        <f t="shared" si="237"/>
        <v>2</v>
      </c>
      <c r="V2408" s="50">
        <f t="shared" si="236"/>
        <v>2</v>
      </c>
      <c r="W2408" s="50" t="s">
        <v>150</v>
      </c>
      <c r="X2408" s="50" t="s">
        <v>1078</v>
      </c>
      <c r="Y2408" s="50" t="s">
        <v>50</v>
      </c>
      <c r="Z2408" s="50" t="s">
        <v>3406</v>
      </c>
      <c r="AA2408" s="50"/>
    </row>
    <row r="2409" spans="1:27" ht="25.5" customHeight="1">
      <c r="A2409" s="517" t="s">
        <v>779</v>
      </c>
      <c r="B2409" s="51" t="s">
        <v>1469</v>
      </c>
      <c r="C2409" s="51" t="s">
        <v>159</v>
      </c>
      <c r="D2409" s="51" t="s">
        <v>5860</v>
      </c>
      <c r="E2409" s="50">
        <v>1066</v>
      </c>
      <c r="F2409" s="50">
        <v>1182</v>
      </c>
      <c r="G2409" s="50" t="s">
        <v>3955</v>
      </c>
      <c r="H2409" s="50"/>
      <c r="I2409" s="105"/>
      <c r="J2409" s="50"/>
      <c r="K2409" s="50" t="s">
        <v>5783</v>
      </c>
      <c r="L2409" s="50"/>
      <c r="M2409" s="50" t="s">
        <v>328</v>
      </c>
      <c r="N2409" s="50"/>
      <c r="O2409" s="50"/>
      <c r="P2409" s="50"/>
      <c r="Q2409" s="50"/>
      <c r="R2409" s="50"/>
      <c r="S2409" s="50" t="str">
        <f t="shared" si="235"/>
        <v/>
      </c>
      <c r="T2409" s="50" t="str">
        <f t="shared" si="233"/>
        <v/>
      </c>
      <c r="U2409" s="50" t="str">
        <f t="shared" si="237"/>
        <v/>
      </c>
      <c r="V2409" s="50" t="str">
        <f t="shared" si="236"/>
        <v/>
      </c>
      <c r="W2409" s="50"/>
      <c r="X2409" s="50"/>
      <c r="Y2409" s="50"/>
      <c r="Z2409" s="50"/>
      <c r="AA2409" s="50"/>
    </row>
    <row r="2410" spans="1:27" ht="25.5" customHeight="1">
      <c r="A2410" s="517" t="s">
        <v>779</v>
      </c>
      <c r="B2410" s="51" t="s">
        <v>1469</v>
      </c>
      <c r="C2410" s="51" t="s">
        <v>159</v>
      </c>
      <c r="D2410" s="51" t="s">
        <v>5861</v>
      </c>
      <c r="E2410" s="50">
        <v>504</v>
      </c>
      <c r="F2410" s="50">
        <v>507</v>
      </c>
      <c r="G2410" s="50" t="s">
        <v>3955</v>
      </c>
      <c r="H2410" s="50"/>
      <c r="I2410" s="105"/>
      <c r="J2410" s="50"/>
      <c r="K2410" s="50" t="s">
        <v>5783</v>
      </c>
      <c r="L2410" s="50"/>
      <c r="M2410" s="50" t="s">
        <v>328</v>
      </c>
      <c r="N2410" s="50"/>
      <c r="O2410" s="50"/>
      <c r="P2410" s="50"/>
      <c r="Q2410" s="50"/>
      <c r="R2410" s="50"/>
      <c r="S2410" s="50" t="str">
        <f t="shared" si="235"/>
        <v/>
      </c>
      <c r="T2410" s="50" t="str">
        <f t="shared" ref="T2410:T2473" si="238">IF(
    OR(ISBLANK(O2410), ISBLANK(P2410)),
    "",
    MAX(1, IF(
        NETWORKDAYS(O2410, P2410) &lt;= 0,
        1,
        NETWORKDAYS(O2410, P2410) - IF(O2410 = P2410, 0, 1)
    ))
)</f>
        <v/>
      </c>
      <c r="U2410" s="50" t="str">
        <f t="shared" si="237"/>
        <v/>
      </c>
      <c r="V2410" s="50" t="str">
        <f t="shared" si="236"/>
        <v/>
      </c>
      <c r="W2410" s="50"/>
      <c r="X2410" s="50"/>
      <c r="Y2410" s="50"/>
      <c r="Z2410" s="50"/>
      <c r="AA2410" s="50"/>
    </row>
    <row r="2411" spans="1:27" ht="25.5" customHeight="1">
      <c r="A2411" s="517" t="s">
        <v>779</v>
      </c>
      <c r="B2411" s="51" t="s">
        <v>1469</v>
      </c>
      <c r="C2411" s="51" t="s">
        <v>159</v>
      </c>
      <c r="D2411" s="51" t="s">
        <v>5862</v>
      </c>
      <c r="E2411" s="50">
        <v>922</v>
      </c>
      <c r="F2411" s="50">
        <v>898</v>
      </c>
      <c r="G2411" s="50" t="s">
        <v>3955</v>
      </c>
      <c r="H2411" s="50"/>
      <c r="I2411" s="105"/>
      <c r="J2411" s="50"/>
      <c r="K2411" s="50" t="s">
        <v>5783</v>
      </c>
      <c r="L2411" s="50"/>
      <c r="M2411" s="50" t="s">
        <v>328</v>
      </c>
      <c r="N2411" s="50"/>
      <c r="O2411" s="50"/>
      <c r="P2411" s="50"/>
      <c r="Q2411" s="50"/>
      <c r="R2411" s="50"/>
      <c r="S2411" s="50" t="str">
        <f t="shared" si="235"/>
        <v/>
      </c>
      <c r="T2411" s="50" t="str">
        <f t="shared" si="238"/>
        <v/>
      </c>
      <c r="U2411" s="50" t="str">
        <f t="shared" si="237"/>
        <v/>
      </c>
      <c r="V2411" s="50" t="str">
        <f t="shared" si="236"/>
        <v/>
      </c>
      <c r="W2411" s="50"/>
      <c r="X2411" s="50"/>
      <c r="Y2411" s="50"/>
      <c r="Z2411" s="50"/>
      <c r="AA2411" s="50"/>
    </row>
    <row r="2412" spans="1:27" ht="25.5" customHeight="1">
      <c r="A2412" s="517" t="s">
        <v>779</v>
      </c>
      <c r="B2412" s="51" t="s">
        <v>1469</v>
      </c>
      <c r="C2412" s="51" t="s">
        <v>159</v>
      </c>
      <c r="D2412" s="51" t="s">
        <v>5863</v>
      </c>
      <c r="E2412" s="50">
        <v>1001</v>
      </c>
      <c r="F2412" s="50">
        <v>1025</v>
      </c>
      <c r="G2412" s="50" t="s">
        <v>3955</v>
      </c>
      <c r="H2412" s="50"/>
      <c r="I2412" s="105"/>
      <c r="J2412" s="50"/>
      <c r="K2412" s="50" t="s">
        <v>5783</v>
      </c>
      <c r="L2412" s="50"/>
      <c r="M2412" s="50" t="s">
        <v>328</v>
      </c>
      <c r="N2412" s="50"/>
      <c r="O2412" s="50"/>
      <c r="P2412" s="50"/>
      <c r="Q2412" s="50"/>
      <c r="R2412" s="50"/>
      <c r="S2412" s="50" t="str">
        <f t="shared" si="235"/>
        <v/>
      </c>
      <c r="T2412" s="50" t="str">
        <f t="shared" si="238"/>
        <v/>
      </c>
      <c r="U2412" s="50" t="str">
        <f t="shared" si="237"/>
        <v/>
      </c>
      <c r="V2412" s="50" t="str">
        <f t="shared" si="236"/>
        <v/>
      </c>
      <c r="W2412" s="50"/>
      <c r="X2412" s="50"/>
      <c r="Y2412" s="50"/>
      <c r="Z2412" s="50"/>
      <c r="AA2412" s="50"/>
    </row>
    <row r="2413" spans="1:27" ht="25.5" customHeight="1">
      <c r="A2413" s="517" t="s">
        <v>779</v>
      </c>
      <c r="B2413" s="51" t="s">
        <v>1469</v>
      </c>
      <c r="C2413" s="51" t="s">
        <v>159</v>
      </c>
      <c r="D2413" s="51" t="s">
        <v>5864</v>
      </c>
      <c r="E2413" s="50">
        <v>966</v>
      </c>
      <c r="F2413" s="50">
        <v>940</v>
      </c>
      <c r="G2413" s="50" t="s">
        <v>3955</v>
      </c>
      <c r="H2413" s="50"/>
      <c r="I2413" s="132"/>
      <c r="J2413" s="50"/>
      <c r="K2413" s="50" t="s">
        <v>5783</v>
      </c>
      <c r="L2413" s="50"/>
      <c r="M2413" s="50"/>
      <c r="N2413" s="50"/>
      <c r="O2413" s="60"/>
      <c r="P2413" s="50"/>
      <c r="R2413" s="50"/>
      <c r="S2413" s="50" t="str">
        <f t="shared" si="235"/>
        <v/>
      </c>
      <c r="T2413" s="50" t="str">
        <f t="shared" si="238"/>
        <v/>
      </c>
      <c r="U2413" s="50" t="str">
        <f>IF(
    OR(ISBLANK(O2413), ISBLANK(Q2414)),
    "",
    MAX(1, IF(
        NETWORKDAYS(O2413, Q2414) &lt;= 0,
        1,
        NETWORKDAYS(O2413, Q2414) - IF(O2413 = Q2414, 0, 1)
    ))
)</f>
        <v/>
      </c>
      <c r="V2413" s="50" t="str">
        <f t="shared" si="236"/>
        <v/>
      </c>
      <c r="W2413" s="50"/>
      <c r="X2413" s="50"/>
      <c r="Y2413" s="50"/>
      <c r="Z2413" s="50"/>
      <c r="AA2413" s="50"/>
    </row>
    <row r="2414" spans="1:27" ht="25.5" customHeight="1">
      <c r="A2414" s="517" t="s">
        <v>779</v>
      </c>
      <c r="B2414" s="51" t="s">
        <v>1469</v>
      </c>
      <c r="C2414" s="51" t="s">
        <v>159</v>
      </c>
      <c r="D2414" s="51" t="s">
        <v>5865</v>
      </c>
      <c r="E2414" s="50">
        <v>1795</v>
      </c>
      <c r="F2414" s="50">
        <v>1880</v>
      </c>
      <c r="G2414" s="50" t="s">
        <v>3404</v>
      </c>
      <c r="H2414" s="50">
        <v>2025</v>
      </c>
      <c r="I2414" s="132">
        <v>45951</v>
      </c>
      <c r="J2414" s="50" t="s">
        <v>3129</v>
      </c>
      <c r="K2414" s="50" t="s">
        <v>5783</v>
      </c>
      <c r="L2414" s="50" t="s">
        <v>1453</v>
      </c>
      <c r="M2414" s="50" t="s">
        <v>28</v>
      </c>
      <c r="N2414" s="50" t="s">
        <v>5866</v>
      </c>
      <c r="O2414" s="60">
        <v>45967</v>
      </c>
      <c r="P2414" s="60">
        <v>45978</v>
      </c>
      <c r="Q2414" s="60">
        <v>45978</v>
      </c>
      <c r="R2414" s="60">
        <v>45978</v>
      </c>
      <c r="S2414" s="50">
        <f t="shared" si="235"/>
        <v>12</v>
      </c>
      <c r="T2414" s="50">
        <f t="shared" si="238"/>
        <v>7</v>
      </c>
      <c r="U2414" s="50">
        <f t="shared" ref="U2414:U2477" si="239">IF(
    OR(ISBLANK(O2414), ISBLANK(Q2414)),
    "",
    MAX(1, IF(
        NETWORKDAYS(O2414, Q2414) &lt;= 0,
        1,
        NETWORKDAYS(O2414, Q2414) - IF(O2414 = Q2414, 0, 1)
    ))
)</f>
        <v>7</v>
      </c>
      <c r="V2414" s="50">
        <f t="shared" si="236"/>
        <v>1</v>
      </c>
      <c r="W2414" s="50" t="s">
        <v>150</v>
      </c>
      <c r="X2414" s="50" t="s">
        <v>1078</v>
      </c>
      <c r="Y2414" s="50" t="s">
        <v>50</v>
      </c>
      <c r="Z2414" s="50" t="s">
        <v>3406</v>
      </c>
      <c r="AA2414" s="50"/>
    </row>
    <row r="2415" spans="1:27" s="110" customFormat="1" ht="25.5" customHeight="1">
      <c r="A2415" s="50" t="s">
        <v>779</v>
      </c>
      <c r="B2415" s="51" t="s">
        <v>1469</v>
      </c>
      <c r="C2415" s="51" t="s">
        <v>159</v>
      </c>
      <c r="D2415" s="51" t="s">
        <v>5867</v>
      </c>
      <c r="E2415" s="50">
        <v>1260</v>
      </c>
      <c r="F2415" s="50">
        <v>1223</v>
      </c>
      <c r="G2415" s="50" t="s">
        <v>3404</v>
      </c>
      <c r="H2415" s="50">
        <v>2024</v>
      </c>
      <c r="I2415" s="132">
        <v>45545</v>
      </c>
      <c r="J2415" s="50"/>
      <c r="K2415" s="50" t="s">
        <v>5783</v>
      </c>
      <c r="L2415" s="50"/>
      <c r="M2415" s="50" t="s">
        <v>328</v>
      </c>
      <c r="N2415" s="50"/>
      <c r="O2415" s="50"/>
      <c r="P2415" s="50"/>
      <c r="Q2415" s="50"/>
      <c r="R2415" s="50"/>
      <c r="S2415" s="50" t="str">
        <f t="shared" si="235"/>
        <v/>
      </c>
      <c r="T2415" s="50" t="str">
        <f t="shared" si="238"/>
        <v/>
      </c>
      <c r="U2415" s="50" t="str">
        <f t="shared" si="239"/>
        <v/>
      </c>
      <c r="V2415" s="50" t="str">
        <f t="shared" si="236"/>
        <v/>
      </c>
      <c r="W2415" s="50"/>
      <c r="X2415" s="50" t="s">
        <v>1078</v>
      </c>
      <c r="Y2415" s="50" t="s">
        <v>50</v>
      </c>
      <c r="Z2415" s="50" t="s">
        <v>3406</v>
      </c>
      <c r="AA2415" s="50"/>
    </row>
    <row r="2416" spans="1:27" ht="25.5" customHeight="1">
      <c r="A2416" s="50" t="s">
        <v>779</v>
      </c>
      <c r="B2416" s="51" t="s">
        <v>1469</v>
      </c>
      <c r="C2416" s="51" t="s">
        <v>159</v>
      </c>
      <c r="D2416" s="51" t="s">
        <v>5868</v>
      </c>
      <c r="E2416" s="50">
        <v>1828</v>
      </c>
      <c r="F2416" s="50">
        <v>1841</v>
      </c>
      <c r="G2416" s="50" t="s">
        <v>3404</v>
      </c>
      <c r="H2416" s="50">
        <v>2024</v>
      </c>
      <c r="I2416" s="132">
        <v>45580</v>
      </c>
      <c r="J2416" s="50"/>
      <c r="K2416" s="50" t="s">
        <v>5783</v>
      </c>
      <c r="L2416" s="50"/>
      <c r="M2416" s="50" t="s">
        <v>328</v>
      </c>
      <c r="N2416" s="50"/>
      <c r="O2416" s="50"/>
      <c r="P2416" s="50"/>
      <c r="Q2416" s="50"/>
      <c r="R2416" s="50"/>
      <c r="S2416" s="50" t="str">
        <f t="shared" ref="S2416:S2479" si="240">IF(
    OR(ISBLANK(I2416), ISBLANK(O2416)),
    "",
    MAX(1, IF(
        NETWORKDAYS(I2416, O2416) &lt;= 0,
        1,
        NETWORKDAYS(I2416, O2416) - IF(I2416 = O2416, 0, 1)
    ))
)</f>
        <v/>
      </c>
      <c r="T2416" s="50" t="str">
        <f t="shared" si="238"/>
        <v/>
      </c>
      <c r="U2416" s="50" t="str">
        <f t="shared" si="239"/>
        <v/>
      </c>
      <c r="V2416" s="50" t="str">
        <f t="shared" ref="V2416:V2479" si="241">IF(
    OR(ISBLANK(Q2416), ISBLANK(R2416)),
    "",
    MAX(1, IF(
        NETWORKDAYS(Q2416, R2416) &lt;= 0,
        1,
        NETWORKDAYS(Q2416, R2416) - IF(Q2416 = R2416, 0, 1)
    ))
)</f>
        <v/>
      </c>
      <c r="W2416" s="50"/>
      <c r="X2416" s="50" t="s">
        <v>1078</v>
      </c>
      <c r="Y2416" s="50" t="s">
        <v>50</v>
      </c>
      <c r="Z2416" s="50" t="s">
        <v>3406</v>
      </c>
      <c r="AA2416" s="50"/>
    </row>
    <row r="2417" spans="1:27" ht="25.5" customHeight="1">
      <c r="A2417" s="517" t="s">
        <v>779</v>
      </c>
      <c r="B2417" s="51" t="s">
        <v>1469</v>
      </c>
      <c r="C2417" s="51" t="s">
        <v>159</v>
      </c>
      <c r="D2417" s="51" t="s">
        <v>5869</v>
      </c>
      <c r="E2417" s="50">
        <v>1192</v>
      </c>
      <c r="F2417" s="50">
        <v>1098</v>
      </c>
      <c r="G2417" s="50" t="s">
        <v>3955</v>
      </c>
      <c r="H2417" s="50"/>
      <c r="I2417" s="105"/>
      <c r="J2417" s="50"/>
      <c r="K2417" s="50" t="s">
        <v>5783</v>
      </c>
      <c r="L2417" s="50"/>
      <c r="M2417" s="50" t="s">
        <v>328</v>
      </c>
      <c r="N2417" s="50"/>
      <c r="O2417" s="50"/>
      <c r="P2417" s="50"/>
      <c r="Q2417" s="50"/>
      <c r="R2417" s="50"/>
      <c r="S2417" s="50" t="str">
        <f t="shared" si="240"/>
        <v/>
      </c>
      <c r="T2417" s="50" t="str">
        <f t="shared" si="238"/>
        <v/>
      </c>
      <c r="U2417" s="50" t="str">
        <f t="shared" si="239"/>
        <v/>
      </c>
      <c r="V2417" s="50" t="str">
        <f t="shared" si="241"/>
        <v/>
      </c>
      <c r="W2417" s="50"/>
      <c r="X2417" s="50"/>
      <c r="Y2417" s="50"/>
      <c r="Z2417" s="50"/>
      <c r="AA2417" s="50"/>
    </row>
    <row r="2418" spans="1:27" ht="25.5" customHeight="1">
      <c r="A2418" s="517" t="s">
        <v>779</v>
      </c>
      <c r="B2418" s="51" t="s">
        <v>1469</v>
      </c>
      <c r="C2418" s="51" t="s">
        <v>159</v>
      </c>
      <c r="D2418" s="51" t="s">
        <v>5870</v>
      </c>
      <c r="E2418" s="50">
        <v>1090</v>
      </c>
      <c r="F2418" s="50">
        <v>1080</v>
      </c>
      <c r="G2418" s="50" t="s">
        <v>3404</v>
      </c>
      <c r="H2418" s="50">
        <v>2025</v>
      </c>
      <c r="I2418" s="132">
        <v>45692</v>
      </c>
      <c r="J2418" s="50" t="s">
        <v>3458</v>
      </c>
      <c r="K2418" s="50" t="s">
        <v>5783</v>
      </c>
      <c r="L2418" s="50"/>
      <c r="M2418" s="50" t="s">
        <v>328</v>
      </c>
      <c r="N2418" s="50" t="s">
        <v>5871</v>
      </c>
      <c r="O2418" s="60">
        <v>45698</v>
      </c>
      <c r="P2418" s="60"/>
      <c r="Q2418" s="60">
        <v>45698</v>
      </c>
      <c r="R2418" s="60">
        <v>45701</v>
      </c>
      <c r="S2418" s="50">
        <f t="shared" si="240"/>
        <v>4</v>
      </c>
      <c r="T2418" s="50" t="str">
        <f t="shared" si="238"/>
        <v/>
      </c>
      <c r="U2418" s="50">
        <f t="shared" si="239"/>
        <v>1</v>
      </c>
      <c r="V2418" s="50">
        <f t="shared" si="241"/>
        <v>3</v>
      </c>
      <c r="W2418" s="50" t="s">
        <v>150</v>
      </c>
      <c r="X2418" s="50" t="s">
        <v>1078</v>
      </c>
      <c r="Y2418" s="50" t="s">
        <v>50</v>
      </c>
      <c r="Z2418" s="50" t="s">
        <v>3406</v>
      </c>
      <c r="AA2418" s="50"/>
    </row>
    <row r="2419" spans="1:27" ht="25.5" customHeight="1">
      <c r="A2419" s="517" t="s">
        <v>779</v>
      </c>
      <c r="B2419" s="51" t="s">
        <v>1469</v>
      </c>
      <c r="C2419" s="51" t="s">
        <v>159</v>
      </c>
      <c r="D2419" s="51" t="s">
        <v>5872</v>
      </c>
      <c r="E2419" s="50">
        <v>1281</v>
      </c>
      <c r="F2419" s="50">
        <v>1325</v>
      </c>
      <c r="G2419" s="50" t="s">
        <v>3404</v>
      </c>
      <c r="H2419" s="50">
        <v>2025</v>
      </c>
      <c r="I2419" s="132">
        <v>45714</v>
      </c>
      <c r="J2419" s="50" t="s">
        <v>3416</v>
      </c>
      <c r="K2419" s="50" t="s">
        <v>5783</v>
      </c>
      <c r="L2419" s="50"/>
      <c r="M2419" s="50" t="s">
        <v>328</v>
      </c>
      <c r="N2419" s="50" t="s">
        <v>5873</v>
      </c>
      <c r="O2419" s="60">
        <v>45715</v>
      </c>
      <c r="P2419" s="50"/>
      <c r="Q2419" s="60">
        <v>45723</v>
      </c>
      <c r="R2419" s="60">
        <v>45723</v>
      </c>
      <c r="S2419" s="50">
        <f t="shared" si="240"/>
        <v>1</v>
      </c>
      <c r="T2419" s="50" t="str">
        <f t="shared" si="238"/>
        <v/>
      </c>
      <c r="U2419" s="50">
        <f t="shared" si="239"/>
        <v>6</v>
      </c>
      <c r="V2419" s="50">
        <f t="shared" si="241"/>
        <v>1</v>
      </c>
      <c r="W2419" s="50" t="s">
        <v>150</v>
      </c>
      <c r="X2419" s="50" t="s">
        <v>1078</v>
      </c>
      <c r="Y2419" s="50" t="s">
        <v>57</v>
      </c>
      <c r="Z2419" s="50" t="s">
        <v>3406</v>
      </c>
      <c r="AA2419" s="50"/>
    </row>
    <row r="2420" spans="1:27" ht="25.5" customHeight="1">
      <c r="A2420" s="517" t="s">
        <v>779</v>
      </c>
      <c r="B2420" s="51" t="s">
        <v>1469</v>
      </c>
      <c r="C2420" s="51" t="s">
        <v>159</v>
      </c>
      <c r="D2420" s="51" t="s">
        <v>5874</v>
      </c>
      <c r="E2420" s="50">
        <v>1198</v>
      </c>
      <c r="F2420" s="50">
        <v>1139</v>
      </c>
      <c r="G2420" s="50" t="s">
        <v>3404</v>
      </c>
      <c r="H2420" s="50">
        <v>2025</v>
      </c>
      <c r="I2420" s="132">
        <v>45720</v>
      </c>
      <c r="J2420" s="50" t="s">
        <v>3416</v>
      </c>
      <c r="K2420" s="50" t="s">
        <v>5783</v>
      </c>
      <c r="L2420" s="50"/>
      <c r="M2420" s="50" t="s">
        <v>328</v>
      </c>
      <c r="N2420" s="50" t="s">
        <v>5875</v>
      </c>
      <c r="O2420" s="60">
        <v>45726</v>
      </c>
      <c r="P2420" s="50"/>
      <c r="Q2420" s="60">
        <v>45727</v>
      </c>
      <c r="R2420" s="60">
        <v>45730</v>
      </c>
      <c r="S2420" s="50">
        <f t="shared" si="240"/>
        <v>4</v>
      </c>
      <c r="T2420" s="50" t="str">
        <f t="shared" si="238"/>
        <v/>
      </c>
      <c r="U2420" s="50">
        <f t="shared" si="239"/>
        <v>1</v>
      </c>
      <c r="V2420" s="50">
        <f t="shared" si="241"/>
        <v>3</v>
      </c>
      <c r="W2420" s="50" t="s">
        <v>150</v>
      </c>
      <c r="X2420" s="50" t="s">
        <v>1078</v>
      </c>
      <c r="Y2420" s="50" t="s">
        <v>50</v>
      </c>
      <c r="Z2420" s="50" t="s">
        <v>3406</v>
      </c>
      <c r="AA2420" s="50"/>
    </row>
    <row r="2421" spans="1:27" ht="25.5" customHeight="1">
      <c r="A2421" s="517" t="s">
        <v>779</v>
      </c>
      <c r="B2421" s="51" t="s">
        <v>1469</v>
      </c>
      <c r="C2421" s="51" t="s">
        <v>159</v>
      </c>
      <c r="D2421" s="51" t="s">
        <v>5876</v>
      </c>
      <c r="E2421" s="50">
        <v>1193</v>
      </c>
      <c r="F2421" s="50">
        <v>1254</v>
      </c>
      <c r="G2421" s="50" t="s">
        <v>3955</v>
      </c>
      <c r="H2421" s="50"/>
      <c r="I2421" s="105"/>
      <c r="J2421" s="50"/>
      <c r="K2421" s="50" t="s">
        <v>5783</v>
      </c>
      <c r="L2421" s="50"/>
      <c r="M2421" s="50" t="s">
        <v>328</v>
      </c>
      <c r="N2421" s="50"/>
      <c r="O2421" s="50"/>
      <c r="P2421" s="50"/>
      <c r="Q2421" s="50"/>
      <c r="R2421" s="50"/>
      <c r="S2421" s="50" t="str">
        <f t="shared" si="240"/>
        <v/>
      </c>
      <c r="T2421" s="50" t="str">
        <f t="shared" si="238"/>
        <v/>
      </c>
      <c r="U2421" s="50" t="str">
        <f t="shared" si="239"/>
        <v/>
      </c>
      <c r="V2421" s="50" t="str">
        <f t="shared" si="241"/>
        <v/>
      </c>
      <c r="W2421" s="50"/>
      <c r="X2421" s="50"/>
      <c r="Y2421" s="50"/>
      <c r="Z2421" s="50"/>
      <c r="AA2421" s="50"/>
    </row>
    <row r="2422" spans="1:27" ht="25.5" customHeight="1">
      <c r="A2422" s="517" t="s">
        <v>779</v>
      </c>
      <c r="B2422" s="51" t="s">
        <v>1469</v>
      </c>
      <c r="C2422" s="51" t="s">
        <v>159</v>
      </c>
      <c r="D2422" s="51" t="s">
        <v>5877</v>
      </c>
      <c r="E2422" s="50">
        <v>1204</v>
      </c>
      <c r="F2422" s="50">
        <v>1100</v>
      </c>
      <c r="G2422" s="50" t="s">
        <v>3404</v>
      </c>
      <c r="H2422" s="50">
        <v>2025</v>
      </c>
      <c r="I2422" s="132">
        <v>45720</v>
      </c>
      <c r="J2422" s="50" t="s">
        <v>3458</v>
      </c>
      <c r="K2422" s="50" t="s">
        <v>5783</v>
      </c>
      <c r="L2422" s="50"/>
      <c r="M2422" s="50" t="s">
        <v>328</v>
      </c>
      <c r="N2422" s="50" t="s">
        <v>5878</v>
      </c>
      <c r="O2422" s="60">
        <v>45726</v>
      </c>
      <c r="P2422" s="50"/>
      <c r="Q2422" s="60">
        <v>45727</v>
      </c>
      <c r="R2422" s="60">
        <v>45730</v>
      </c>
      <c r="S2422" s="50">
        <f t="shared" si="240"/>
        <v>4</v>
      </c>
      <c r="T2422" s="50" t="str">
        <f t="shared" si="238"/>
        <v/>
      </c>
      <c r="U2422" s="50">
        <f t="shared" si="239"/>
        <v>1</v>
      </c>
      <c r="V2422" s="50">
        <f t="shared" si="241"/>
        <v>3</v>
      </c>
      <c r="W2422" s="50" t="s">
        <v>150</v>
      </c>
      <c r="X2422" s="50" t="s">
        <v>1078</v>
      </c>
      <c r="Y2422" s="50" t="s">
        <v>57</v>
      </c>
      <c r="Z2422" s="50" t="s">
        <v>3406</v>
      </c>
      <c r="AA2422" s="50"/>
    </row>
    <row r="2423" spans="1:27" ht="25.5" customHeight="1">
      <c r="A2423" s="517" t="s">
        <v>779</v>
      </c>
      <c r="B2423" s="51" t="s">
        <v>1469</v>
      </c>
      <c r="C2423" s="51" t="s">
        <v>159</v>
      </c>
      <c r="D2423" s="51" t="s">
        <v>4206</v>
      </c>
      <c r="E2423" s="50">
        <v>1067</v>
      </c>
      <c r="F2423" s="50">
        <v>1090</v>
      </c>
      <c r="G2423" s="50" t="s">
        <v>3404</v>
      </c>
      <c r="H2423" s="50">
        <v>2025</v>
      </c>
      <c r="I2423" s="132">
        <v>45692</v>
      </c>
      <c r="J2423" s="50" t="s">
        <v>3458</v>
      </c>
      <c r="K2423" s="50" t="s">
        <v>5783</v>
      </c>
      <c r="L2423" s="50"/>
      <c r="M2423" s="50" t="s">
        <v>328</v>
      </c>
      <c r="N2423" s="50" t="s">
        <v>5879</v>
      </c>
      <c r="O2423" s="60">
        <v>45698</v>
      </c>
      <c r="P2423" s="60"/>
      <c r="Q2423" s="60">
        <v>45698</v>
      </c>
      <c r="R2423" s="60">
        <v>45701</v>
      </c>
      <c r="S2423" s="50">
        <f t="shared" si="240"/>
        <v>4</v>
      </c>
      <c r="T2423" s="50" t="str">
        <f t="shared" si="238"/>
        <v/>
      </c>
      <c r="U2423" s="50">
        <f t="shared" si="239"/>
        <v>1</v>
      </c>
      <c r="V2423" s="50">
        <f t="shared" si="241"/>
        <v>3</v>
      </c>
      <c r="W2423" s="50" t="s">
        <v>150</v>
      </c>
      <c r="X2423" s="50" t="s">
        <v>1078</v>
      </c>
      <c r="Y2423" s="50" t="s">
        <v>50</v>
      </c>
      <c r="Z2423" s="50" t="s">
        <v>3406</v>
      </c>
      <c r="AA2423" s="50"/>
    </row>
    <row r="2424" spans="1:27" ht="25.5" customHeight="1">
      <c r="A2424" s="517" t="s">
        <v>779</v>
      </c>
      <c r="B2424" s="51" t="s">
        <v>1469</v>
      </c>
      <c r="C2424" s="51" t="s">
        <v>159</v>
      </c>
      <c r="D2424" s="51" t="s">
        <v>5880</v>
      </c>
      <c r="E2424" s="50">
        <v>660</v>
      </c>
      <c r="F2424" s="50">
        <v>670</v>
      </c>
      <c r="G2424" s="50" t="s">
        <v>3404</v>
      </c>
      <c r="H2424" s="50">
        <v>2025</v>
      </c>
      <c r="I2424" s="132">
        <v>45692</v>
      </c>
      <c r="J2424" s="50" t="s">
        <v>3458</v>
      </c>
      <c r="K2424" s="50" t="s">
        <v>5783</v>
      </c>
      <c r="L2424" s="50"/>
      <c r="M2424" s="50" t="s">
        <v>328</v>
      </c>
      <c r="N2424" s="50" t="s">
        <v>5881</v>
      </c>
      <c r="O2424" s="60">
        <v>45698</v>
      </c>
      <c r="P2424" s="60"/>
      <c r="Q2424" s="60">
        <v>45698</v>
      </c>
      <c r="R2424" s="60">
        <v>45701</v>
      </c>
      <c r="S2424" s="50">
        <f t="shared" si="240"/>
        <v>4</v>
      </c>
      <c r="T2424" s="50" t="str">
        <f t="shared" si="238"/>
        <v/>
      </c>
      <c r="U2424" s="50">
        <f t="shared" si="239"/>
        <v>1</v>
      </c>
      <c r="V2424" s="50">
        <f t="shared" si="241"/>
        <v>3</v>
      </c>
      <c r="W2424" s="50" t="s">
        <v>150</v>
      </c>
      <c r="X2424" s="50" t="s">
        <v>1078</v>
      </c>
      <c r="Y2424" s="50" t="s">
        <v>50</v>
      </c>
      <c r="Z2424" s="50" t="s">
        <v>3406</v>
      </c>
      <c r="AA2424" s="50"/>
    </row>
    <row r="2425" spans="1:27" ht="25.5" customHeight="1">
      <c r="A2425" s="517" t="s">
        <v>779</v>
      </c>
      <c r="B2425" s="51" t="s">
        <v>1469</v>
      </c>
      <c r="C2425" s="51" t="s">
        <v>159</v>
      </c>
      <c r="D2425" s="51" t="s">
        <v>1180</v>
      </c>
      <c r="E2425" s="50">
        <v>1232</v>
      </c>
      <c r="F2425" s="50">
        <v>1287</v>
      </c>
      <c r="G2425" s="50" t="s">
        <v>3955</v>
      </c>
      <c r="H2425" s="50"/>
      <c r="I2425" s="105"/>
      <c r="J2425" s="50"/>
      <c r="K2425" s="50" t="s">
        <v>5783</v>
      </c>
      <c r="L2425" s="50"/>
      <c r="M2425" s="50" t="s">
        <v>328</v>
      </c>
      <c r="N2425" s="50"/>
      <c r="O2425" s="50"/>
      <c r="P2425" s="50"/>
      <c r="Q2425" s="50"/>
      <c r="R2425" s="50"/>
      <c r="S2425" s="50" t="str">
        <f t="shared" si="240"/>
        <v/>
      </c>
      <c r="T2425" s="50" t="str">
        <f t="shared" si="238"/>
        <v/>
      </c>
      <c r="U2425" s="50" t="str">
        <f t="shared" si="239"/>
        <v/>
      </c>
      <c r="V2425" s="50" t="str">
        <f t="shared" si="241"/>
        <v/>
      </c>
      <c r="W2425" s="50"/>
      <c r="X2425" s="50"/>
      <c r="Y2425" s="50"/>
      <c r="Z2425" s="50"/>
      <c r="AA2425" s="50"/>
    </row>
    <row r="2426" spans="1:27" ht="25.5" customHeight="1">
      <c r="A2426" s="517" t="s">
        <v>779</v>
      </c>
      <c r="B2426" s="51" t="s">
        <v>1469</v>
      </c>
      <c r="C2426" s="51" t="s">
        <v>159</v>
      </c>
      <c r="D2426" s="51" t="s">
        <v>4950</v>
      </c>
      <c r="E2426" s="50">
        <v>2292</v>
      </c>
      <c r="F2426" s="50">
        <v>2466</v>
      </c>
      <c r="G2426" s="50" t="s">
        <v>3404</v>
      </c>
      <c r="H2426" s="50">
        <v>2025</v>
      </c>
      <c r="I2426" s="132">
        <v>45700</v>
      </c>
      <c r="J2426" s="50" t="s">
        <v>3458</v>
      </c>
      <c r="K2426" s="50" t="s">
        <v>5783</v>
      </c>
      <c r="L2426" s="50"/>
      <c r="M2426" s="50" t="s">
        <v>328</v>
      </c>
      <c r="N2426" s="50" t="s">
        <v>5882</v>
      </c>
      <c r="O2426" s="60">
        <v>45705</v>
      </c>
      <c r="P2426" s="50"/>
      <c r="Q2426" s="60">
        <v>45706</v>
      </c>
      <c r="R2426" s="60">
        <v>45706</v>
      </c>
      <c r="S2426" s="50">
        <f t="shared" si="240"/>
        <v>3</v>
      </c>
      <c r="T2426" s="50" t="str">
        <f t="shared" si="238"/>
        <v/>
      </c>
      <c r="U2426" s="50">
        <f t="shared" si="239"/>
        <v>1</v>
      </c>
      <c r="V2426" s="50">
        <f t="shared" si="241"/>
        <v>1</v>
      </c>
      <c r="W2426" s="50" t="s">
        <v>150</v>
      </c>
      <c r="X2426" s="50" t="s">
        <v>1078</v>
      </c>
      <c r="Y2426" s="50" t="s">
        <v>50</v>
      </c>
      <c r="Z2426" s="50" t="s">
        <v>3406</v>
      </c>
      <c r="AA2426" s="50"/>
    </row>
    <row r="2427" spans="1:27" ht="25.5" customHeight="1">
      <c r="A2427" s="517" t="s">
        <v>779</v>
      </c>
      <c r="B2427" s="51" t="s">
        <v>1469</v>
      </c>
      <c r="C2427" s="51" t="s">
        <v>159</v>
      </c>
      <c r="D2427" s="51" t="s">
        <v>5883</v>
      </c>
      <c r="E2427" s="50">
        <v>1104</v>
      </c>
      <c r="F2427" s="50">
        <v>1240</v>
      </c>
      <c r="G2427" s="50" t="s">
        <v>3404</v>
      </c>
      <c r="H2427" s="50">
        <v>2025</v>
      </c>
      <c r="I2427" s="132">
        <v>45846</v>
      </c>
      <c r="J2427" s="50" t="s">
        <v>3125</v>
      </c>
      <c r="K2427" s="50" t="s">
        <v>5783</v>
      </c>
      <c r="L2427" s="50"/>
      <c r="M2427" s="50" t="s">
        <v>328</v>
      </c>
      <c r="N2427" s="50" t="s">
        <v>5884</v>
      </c>
      <c r="O2427" s="60">
        <v>45849</v>
      </c>
      <c r="P2427" s="50"/>
      <c r="Q2427" s="60">
        <v>45853</v>
      </c>
      <c r="R2427" s="60">
        <v>45855</v>
      </c>
      <c r="S2427" s="50">
        <f t="shared" si="240"/>
        <v>3</v>
      </c>
      <c r="T2427" s="50" t="str">
        <f t="shared" si="238"/>
        <v/>
      </c>
      <c r="U2427" s="50">
        <f t="shared" si="239"/>
        <v>2</v>
      </c>
      <c r="V2427" s="50">
        <f t="shared" si="241"/>
        <v>2</v>
      </c>
      <c r="W2427" s="50" t="s">
        <v>150</v>
      </c>
      <c r="X2427" s="50" t="s">
        <v>1078</v>
      </c>
      <c r="Y2427" s="50" t="s">
        <v>50</v>
      </c>
      <c r="Z2427" s="50" t="s">
        <v>3406</v>
      </c>
      <c r="AA2427" s="50"/>
    </row>
    <row r="2428" spans="1:27" ht="25.5" customHeight="1">
      <c r="A2428" s="517" t="s">
        <v>779</v>
      </c>
      <c r="B2428" s="51" t="s">
        <v>1469</v>
      </c>
      <c r="C2428" s="51" t="s">
        <v>159</v>
      </c>
      <c r="D2428" s="51" t="s">
        <v>5885</v>
      </c>
      <c r="E2428" s="50">
        <v>1319</v>
      </c>
      <c r="F2428" s="50">
        <v>1355</v>
      </c>
      <c r="G2428" s="50" t="s">
        <v>3404</v>
      </c>
      <c r="H2428" s="50">
        <v>2025</v>
      </c>
      <c r="I2428" s="132">
        <v>45811</v>
      </c>
      <c r="J2428" s="50" t="s">
        <v>3689</v>
      </c>
      <c r="K2428" s="50" t="s">
        <v>5783</v>
      </c>
      <c r="L2428" s="50"/>
      <c r="M2428" s="50" t="s">
        <v>328</v>
      </c>
      <c r="N2428" s="50" t="s">
        <v>5886</v>
      </c>
      <c r="O2428" s="60">
        <v>45814</v>
      </c>
      <c r="P2428" s="50"/>
      <c r="Q2428" s="60">
        <v>45824</v>
      </c>
      <c r="R2428" s="60">
        <v>45824</v>
      </c>
      <c r="S2428" s="50">
        <f t="shared" si="240"/>
        <v>3</v>
      </c>
      <c r="T2428" s="50" t="str">
        <f t="shared" si="238"/>
        <v/>
      </c>
      <c r="U2428" s="50">
        <f t="shared" si="239"/>
        <v>6</v>
      </c>
      <c r="V2428" s="50">
        <f t="shared" si="241"/>
        <v>1</v>
      </c>
      <c r="W2428" s="50" t="s">
        <v>150</v>
      </c>
      <c r="X2428" s="50" t="s">
        <v>1078</v>
      </c>
      <c r="Y2428" s="50" t="s">
        <v>50</v>
      </c>
      <c r="Z2428" s="50" t="s">
        <v>3406</v>
      </c>
      <c r="AA2428" s="50"/>
    </row>
    <row r="2429" spans="1:27" ht="25.5" customHeight="1">
      <c r="A2429" s="517" t="s">
        <v>779</v>
      </c>
      <c r="B2429" s="51" t="s">
        <v>1469</v>
      </c>
      <c r="C2429" s="51" t="s">
        <v>159</v>
      </c>
      <c r="D2429" s="51" t="s">
        <v>5887</v>
      </c>
      <c r="E2429" s="50">
        <v>1128</v>
      </c>
      <c r="F2429" s="50">
        <v>1259</v>
      </c>
      <c r="G2429" s="50" t="s">
        <v>3404</v>
      </c>
      <c r="H2429" s="50">
        <v>2025</v>
      </c>
      <c r="I2429" s="132">
        <v>45811</v>
      </c>
      <c r="J2429" s="50" t="s">
        <v>3689</v>
      </c>
      <c r="K2429" s="50" t="s">
        <v>5783</v>
      </c>
      <c r="L2429" s="50"/>
      <c r="M2429" s="50" t="s">
        <v>328</v>
      </c>
      <c r="N2429" s="50" t="s">
        <v>5888</v>
      </c>
      <c r="O2429" s="60">
        <v>45814</v>
      </c>
      <c r="P2429" s="50"/>
      <c r="Q2429" s="60">
        <v>45824</v>
      </c>
      <c r="R2429" s="60">
        <v>45824</v>
      </c>
      <c r="S2429" s="50">
        <f t="shared" si="240"/>
        <v>3</v>
      </c>
      <c r="T2429" s="50" t="str">
        <f t="shared" si="238"/>
        <v/>
      </c>
      <c r="U2429" s="50">
        <f t="shared" si="239"/>
        <v>6</v>
      </c>
      <c r="V2429" s="50">
        <f t="shared" si="241"/>
        <v>1</v>
      </c>
      <c r="W2429" s="50" t="s">
        <v>150</v>
      </c>
      <c r="X2429" s="50" t="s">
        <v>1078</v>
      </c>
      <c r="Y2429" s="50" t="s">
        <v>50</v>
      </c>
      <c r="Z2429" s="50" t="s">
        <v>3406</v>
      </c>
      <c r="AA2429" s="50"/>
    </row>
    <row r="2430" spans="1:27" ht="25.5" customHeight="1">
      <c r="A2430" s="517" t="s">
        <v>779</v>
      </c>
      <c r="B2430" s="51" t="s">
        <v>1469</v>
      </c>
      <c r="C2430" s="51" t="s">
        <v>159</v>
      </c>
      <c r="D2430" s="51" t="s">
        <v>5889</v>
      </c>
      <c r="E2430" s="50">
        <v>1448</v>
      </c>
      <c r="F2430" s="50">
        <v>1508</v>
      </c>
      <c r="G2430" s="50" t="s">
        <v>3404</v>
      </c>
      <c r="H2430" s="50">
        <v>2025</v>
      </c>
      <c r="I2430" s="132">
        <v>45811</v>
      </c>
      <c r="J2430" s="50" t="s">
        <v>3689</v>
      </c>
      <c r="K2430" s="50" t="s">
        <v>5783</v>
      </c>
      <c r="L2430" s="50"/>
      <c r="M2430" s="50" t="s">
        <v>328</v>
      </c>
      <c r="N2430" s="50" t="s">
        <v>5890</v>
      </c>
      <c r="O2430" s="60">
        <v>45814</v>
      </c>
      <c r="P2430" s="50"/>
      <c r="Q2430" s="60">
        <v>45824</v>
      </c>
      <c r="R2430" s="60">
        <v>45824</v>
      </c>
      <c r="S2430" s="50">
        <f t="shared" si="240"/>
        <v>3</v>
      </c>
      <c r="T2430" s="50" t="str">
        <f t="shared" si="238"/>
        <v/>
      </c>
      <c r="U2430" s="50">
        <f t="shared" si="239"/>
        <v>6</v>
      </c>
      <c r="V2430" s="50">
        <f t="shared" si="241"/>
        <v>1</v>
      </c>
      <c r="W2430" s="50" t="s">
        <v>150</v>
      </c>
      <c r="X2430" s="50" t="s">
        <v>1078</v>
      </c>
      <c r="Y2430" s="50" t="s">
        <v>50</v>
      </c>
      <c r="Z2430" s="50" t="s">
        <v>3406</v>
      </c>
      <c r="AA2430" s="50"/>
    </row>
    <row r="2431" spans="1:27" ht="25.5" customHeight="1">
      <c r="A2431" s="517" t="s">
        <v>779</v>
      </c>
      <c r="B2431" s="51" t="s">
        <v>1469</v>
      </c>
      <c r="C2431" s="51" t="s">
        <v>159</v>
      </c>
      <c r="D2431" s="51" t="s">
        <v>5891</v>
      </c>
      <c r="E2431" s="50">
        <v>950</v>
      </c>
      <c r="F2431" s="50">
        <v>1071</v>
      </c>
      <c r="G2431" s="50" t="s">
        <v>3404</v>
      </c>
      <c r="H2431" s="50">
        <v>2025</v>
      </c>
      <c r="I2431" s="132">
        <v>45951</v>
      </c>
      <c r="J2431" s="50" t="s">
        <v>3129</v>
      </c>
      <c r="K2431" s="50" t="s">
        <v>5783</v>
      </c>
      <c r="L2431" s="50" t="s">
        <v>1453</v>
      </c>
      <c r="M2431" s="50" t="s">
        <v>28</v>
      </c>
      <c r="N2431" s="50" t="s">
        <v>5892</v>
      </c>
      <c r="O2431" s="60">
        <v>45967</v>
      </c>
      <c r="P2431" s="60">
        <v>45978</v>
      </c>
      <c r="Q2431" s="60">
        <v>45978</v>
      </c>
      <c r="R2431" s="60">
        <v>45978</v>
      </c>
      <c r="S2431" s="50">
        <f t="shared" si="240"/>
        <v>12</v>
      </c>
      <c r="T2431" s="50">
        <f t="shared" si="238"/>
        <v>7</v>
      </c>
      <c r="U2431" s="50">
        <f t="shared" si="239"/>
        <v>7</v>
      </c>
      <c r="V2431" s="50">
        <f t="shared" si="241"/>
        <v>1</v>
      </c>
      <c r="W2431" s="50" t="s">
        <v>150</v>
      </c>
      <c r="X2431" s="50" t="s">
        <v>1078</v>
      </c>
      <c r="Y2431" s="50" t="s">
        <v>50</v>
      </c>
      <c r="Z2431" s="50" t="s">
        <v>3406</v>
      </c>
      <c r="AA2431" s="50"/>
    </row>
    <row r="2432" spans="1:27" s="110" customFormat="1" ht="25.5" customHeight="1">
      <c r="A2432" s="517" t="s">
        <v>779</v>
      </c>
      <c r="B2432" s="51" t="s">
        <v>1469</v>
      </c>
      <c r="C2432" s="51" t="s">
        <v>159</v>
      </c>
      <c r="D2432" s="51" t="s">
        <v>5893</v>
      </c>
      <c r="E2432" s="50">
        <v>1451</v>
      </c>
      <c r="F2432" s="50">
        <v>1666</v>
      </c>
      <c r="G2432" s="50" t="s">
        <v>3404</v>
      </c>
      <c r="H2432" s="50">
        <v>2025</v>
      </c>
      <c r="I2432" s="132">
        <v>45758</v>
      </c>
      <c r="J2432" s="50" t="s">
        <v>3470</v>
      </c>
      <c r="K2432" s="50" t="s">
        <v>5783</v>
      </c>
      <c r="L2432" s="50"/>
      <c r="M2432" s="50" t="s">
        <v>328</v>
      </c>
      <c r="N2432" s="50" t="s">
        <v>5894</v>
      </c>
      <c r="O2432" s="60">
        <v>45760</v>
      </c>
      <c r="P2432" s="50"/>
      <c r="Q2432" s="60">
        <v>45761</v>
      </c>
      <c r="R2432" s="60">
        <v>45761</v>
      </c>
      <c r="S2432" s="50">
        <f t="shared" si="240"/>
        <v>1</v>
      </c>
      <c r="T2432" s="50" t="str">
        <f t="shared" si="238"/>
        <v/>
      </c>
      <c r="U2432" s="50">
        <f t="shared" si="239"/>
        <v>1</v>
      </c>
      <c r="V2432" s="50">
        <f t="shared" si="241"/>
        <v>1</v>
      </c>
      <c r="W2432" s="50" t="s">
        <v>150</v>
      </c>
      <c r="X2432" s="50" t="s">
        <v>4</v>
      </c>
      <c r="Y2432" s="50" t="s">
        <v>50</v>
      </c>
      <c r="Z2432" s="50" t="s">
        <v>3406</v>
      </c>
      <c r="AA2432" s="50"/>
    </row>
    <row r="2433" spans="1:27" ht="25.5" customHeight="1">
      <c r="A2433" s="50" t="s">
        <v>779</v>
      </c>
      <c r="B2433" s="51" t="s">
        <v>1469</v>
      </c>
      <c r="C2433" s="51" t="s">
        <v>159</v>
      </c>
      <c r="D2433" s="51" t="s">
        <v>5895</v>
      </c>
      <c r="E2433" s="50">
        <v>721</v>
      </c>
      <c r="F2433" s="50">
        <v>699</v>
      </c>
      <c r="G2433" s="50" t="s">
        <v>3404</v>
      </c>
      <c r="H2433" s="50">
        <v>2024</v>
      </c>
      <c r="I2433" s="132">
        <v>45602</v>
      </c>
      <c r="J2433" s="50"/>
      <c r="K2433" s="50" t="s">
        <v>5783</v>
      </c>
      <c r="L2433" s="50"/>
      <c r="M2433" s="50" t="s">
        <v>328</v>
      </c>
      <c r="N2433" s="50"/>
      <c r="O2433" s="50"/>
      <c r="P2433" s="50"/>
      <c r="Q2433" s="50"/>
      <c r="R2433" s="50"/>
      <c r="S2433" s="50" t="str">
        <f t="shared" si="240"/>
        <v/>
      </c>
      <c r="T2433" s="50" t="str">
        <f t="shared" si="238"/>
        <v/>
      </c>
      <c r="U2433" s="50" t="str">
        <f t="shared" si="239"/>
        <v/>
      </c>
      <c r="V2433" s="50" t="str">
        <f t="shared" si="241"/>
        <v/>
      </c>
      <c r="W2433" s="50"/>
      <c r="X2433" s="50" t="s">
        <v>1078</v>
      </c>
      <c r="Y2433" s="50" t="s">
        <v>50</v>
      </c>
      <c r="Z2433" s="50" t="s">
        <v>3406</v>
      </c>
      <c r="AA2433" s="50"/>
    </row>
    <row r="2434" spans="1:27" ht="25.5" customHeight="1">
      <c r="A2434" s="517" t="s">
        <v>779</v>
      </c>
      <c r="B2434" s="51" t="s">
        <v>1469</v>
      </c>
      <c r="C2434" s="51" t="s">
        <v>159</v>
      </c>
      <c r="D2434" s="51" t="s">
        <v>5896</v>
      </c>
      <c r="E2434" s="50">
        <v>1212</v>
      </c>
      <c r="F2434" s="50">
        <v>1124</v>
      </c>
      <c r="G2434" s="50" t="s">
        <v>3404</v>
      </c>
      <c r="H2434" s="50">
        <v>2025</v>
      </c>
      <c r="I2434" s="132">
        <v>45700</v>
      </c>
      <c r="J2434" s="50" t="s">
        <v>3458</v>
      </c>
      <c r="K2434" s="50" t="s">
        <v>5783</v>
      </c>
      <c r="L2434" s="50"/>
      <c r="M2434" s="50" t="s">
        <v>328</v>
      </c>
      <c r="N2434" s="50" t="s">
        <v>5897</v>
      </c>
      <c r="O2434" s="60">
        <v>45704</v>
      </c>
      <c r="P2434" s="50"/>
      <c r="Q2434" s="60">
        <v>45705</v>
      </c>
      <c r="R2434" s="60">
        <v>45705</v>
      </c>
      <c r="S2434" s="50">
        <f t="shared" si="240"/>
        <v>2</v>
      </c>
      <c r="T2434" s="50" t="str">
        <f t="shared" si="238"/>
        <v/>
      </c>
      <c r="U2434" s="50">
        <f t="shared" si="239"/>
        <v>1</v>
      </c>
      <c r="V2434" s="50">
        <f t="shared" si="241"/>
        <v>1</v>
      </c>
      <c r="W2434" s="50" t="s">
        <v>150</v>
      </c>
      <c r="X2434" s="50" t="s">
        <v>1078</v>
      </c>
      <c r="Y2434" s="50" t="s">
        <v>50</v>
      </c>
      <c r="Z2434" s="50" t="s">
        <v>3406</v>
      </c>
      <c r="AA2434" s="50"/>
    </row>
    <row r="2435" spans="1:27" s="110" customFormat="1" ht="25.5" customHeight="1">
      <c r="A2435" s="517" t="s">
        <v>779</v>
      </c>
      <c r="B2435" s="51" t="s">
        <v>1469</v>
      </c>
      <c r="C2435" s="51" t="s">
        <v>159</v>
      </c>
      <c r="D2435" s="51" t="s">
        <v>5898</v>
      </c>
      <c r="E2435" s="50">
        <v>1436</v>
      </c>
      <c r="F2435" s="50">
        <v>1509</v>
      </c>
      <c r="G2435" s="50" t="s">
        <v>3404</v>
      </c>
      <c r="H2435" s="50">
        <v>2025</v>
      </c>
      <c r="I2435" s="132">
        <v>45758</v>
      </c>
      <c r="J2435" s="50" t="s">
        <v>3470</v>
      </c>
      <c r="K2435" s="50" t="s">
        <v>5783</v>
      </c>
      <c r="L2435" s="50"/>
      <c r="M2435" s="50" t="s">
        <v>328</v>
      </c>
      <c r="N2435" s="50" t="s">
        <v>5899</v>
      </c>
      <c r="O2435" s="60">
        <v>45760</v>
      </c>
      <c r="P2435" s="50"/>
      <c r="Q2435" s="60">
        <v>45761</v>
      </c>
      <c r="R2435" s="60">
        <v>45761</v>
      </c>
      <c r="S2435" s="50">
        <f t="shared" si="240"/>
        <v>1</v>
      </c>
      <c r="T2435" s="50" t="str">
        <f t="shared" si="238"/>
        <v/>
      </c>
      <c r="U2435" s="50">
        <f t="shared" si="239"/>
        <v>1</v>
      </c>
      <c r="V2435" s="50">
        <f t="shared" si="241"/>
        <v>1</v>
      </c>
      <c r="W2435" s="50" t="s">
        <v>150</v>
      </c>
      <c r="X2435" s="50" t="s">
        <v>4</v>
      </c>
      <c r="Y2435" s="50" t="s">
        <v>50</v>
      </c>
      <c r="Z2435" s="50" t="s">
        <v>3406</v>
      </c>
      <c r="AA2435" s="50"/>
    </row>
    <row r="2436" spans="1:27" ht="25.5" customHeight="1">
      <c r="A2436" s="50" t="s">
        <v>779</v>
      </c>
      <c r="B2436" s="51" t="s">
        <v>1469</v>
      </c>
      <c r="C2436" s="51" t="s">
        <v>159</v>
      </c>
      <c r="D2436" s="51" t="s">
        <v>5900</v>
      </c>
      <c r="E2436" s="50">
        <v>1316</v>
      </c>
      <c r="F2436" s="50">
        <v>1380</v>
      </c>
      <c r="G2436" s="50" t="s">
        <v>3404</v>
      </c>
      <c r="H2436" s="50">
        <v>2024</v>
      </c>
      <c r="I2436" s="132">
        <v>45603</v>
      </c>
      <c r="J2436" s="50"/>
      <c r="K2436" s="50" t="s">
        <v>5783</v>
      </c>
      <c r="L2436" s="50"/>
      <c r="M2436" s="50" t="s">
        <v>328</v>
      </c>
      <c r="N2436" s="50"/>
      <c r="O2436" s="50"/>
      <c r="P2436" s="50"/>
      <c r="Q2436" s="50"/>
      <c r="R2436" s="50"/>
      <c r="S2436" s="50" t="str">
        <f t="shared" si="240"/>
        <v/>
      </c>
      <c r="T2436" s="50" t="str">
        <f t="shared" si="238"/>
        <v/>
      </c>
      <c r="U2436" s="50" t="str">
        <f t="shared" si="239"/>
        <v/>
      </c>
      <c r="V2436" s="50" t="str">
        <f t="shared" si="241"/>
        <v/>
      </c>
      <c r="W2436" s="50"/>
      <c r="X2436" s="50" t="s">
        <v>1078</v>
      </c>
      <c r="Y2436" s="50" t="s">
        <v>50</v>
      </c>
      <c r="Z2436" s="50" t="s">
        <v>3406</v>
      </c>
      <c r="AA2436" s="50"/>
    </row>
    <row r="2437" spans="1:27" s="110" customFormat="1" ht="25.5" customHeight="1">
      <c r="A2437" s="517" t="s">
        <v>779</v>
      </c>
      <c r="B2437" s="51" t="s">
        <v>1469</v>
      </c>
      <c r="C2437" s="51" t="s">
        <v>159</v>
      </c>
      <c r="D2437" s="51" t="s">
        <v>5901</v>
      </c>
      <c r="E2437" s="50">
        <v>1441</v>
      </c>
      <c r="F2437" s="50">
        <v>1588</v>
      </c>
      <c r="G2437" s="50" t="s">
        <v>3404</v>
      </c>
      <c r="H2437" s="50">
        <v>2025</v>
      </c>
      <c r="I2437" s="132">
        <v>45806</v>
      </c>
      <c r="J2437" s="50" t="s">
        <v>3689</v>
      </c>
      <c r="K2437" s="50" t="s">
        <v>5783</v>
      </c>
      <c r="L2437" s="50"/>
      <c r="M2437" s="50" t="s">
        <v>328</v>
      </c>
      <c r="N2437" s="50" t="s">
        <v>5902</v>
      </c>
      <c r="O2437" s="60">
        <v>45810</v>
      </c>
      <c r="P2437" s="50"/>
      <c r="Q2437" s="60">
        <v>45813</v>
      </c>
      <c r="R2437" s="60">
        <v>45813</v>
      </c>
      <c r="S2437" s="50">
        <f t="shared" si="240"/>
        <v>2</v>
      </c>
      <c r="T2437" s="50" t="str">
        <f t="shared" si="238"/>
        <v/>
      </c>
      <c r="U2437" s="50">
        <f t="shared" si="239"/>
        <v>3</v>
      </c>
      <c r="V2437" s="50">
        <f t="shared" si="241"/>
        <v>1</v>
      </c>
      <c r="W2437" s="50" t="s">
        <v>150</v>
      </c>
      <c r="X2437" s="50" t="s">
        <v>1078</v>
      </c>
      <c r="Y2437" s="50" t="s">
        <v>50</v>
      </c>
      <c r="Z2437" s="50" t="s">
        <v>3406</v>
      </c>
      <c r="AA2437" s="50"/>
    </row>
    <row r="2438" spans="1:27" ht="25.5" customHeight="1">
      <c r="A2438" s="50" t="s">
        <v>779</v>
      </c>
      <c r="B2438" s="51" t="s">
        <v>1469</v>
      </c>
      <c r="C2438" s="51" t="s">
        <v>159</v>
      </c>
      <c r="D2438" s="51" t="s">
        <v>5903</v>
      </c>
      <c r="E2438" s="50">
        <v>834</v>
      </c>
      <c r="F2438" s="50">
        <v>817</v>
      </c>
      <c r="G2438" s="50" t="s">
        <v>3404</v>
      </c>
      <c r="H2438" s="50">
        <v>2024</v>
      </c>
      <c r="I2438" s="132">
        <v>45581</v>
      </c>
      <c r="J2438" s="50"/>
      <c r="K2438" s="50" t="s">
        <v>5783</v>
      </c>
      <c r="L2438" s="50"/>
      <c r="M2438" s="50" t="s">
        <v>328</v>
      </c>
      <c r="N2438" s="50"/>
      <c r="O2438" s="50"/>
      <c r="P2438" s="50"/>
      <c r="Q2438" s="50"/>
      <c r="R2438" s="50"/>
      <c r="S2438" s="50" t="str">
        <f t="shared" si="240"/>
        <v/>
      </c>
      <c r="T2438" s="50" t="str">
        <f t="shared" si="238"/>
        <v/>
      </c>
      <c r="U2438" s="50" t="str">
        <f t="shared" si="239"/>
        <v/>
      </c>
      <c r="V2438" s="50" t="str">
        <f t="shared" si="241"/>
        <v/>
      </c>
      <c r="W2438" s="50"/>
      <c r="X2438" s="50" t="s">
        <v>1078</v>
      </c>
      <c r="Y2438" s="50" t="s">
        <v>50</v>
      </c>
      <c r="Z2438" s="50" t="s">
        <v>3406</v>
      </c>
      <c r="AA2438" s="50"/>
    </row>
    <row r="2439" spans="1:27" ht="25.5" customHeight="1">
      <c r="A2439" s="50" t="s">
        <v>779</v>
      </c>
      <c r="B2439" s="51" t="s">
        <v>1469</v>
      </c>
      <c r="C2439" s="51" t="s">
        <v>159</v>
      </c>
      <c r="D2439" s="51" t="s">
        <v>5904</v>
      </c>
      <c r="E2439" s="50">
        <v>1225</v>
      </c>
      <c r="F2439" s="50">
        <v>1336</v>
      </c>
      <c r="G2439" s="50" t="s">
        <v>3404</v>
      </c>
      <c r="H2439" s="50">
        <v>2024</v>
      </c>
      <c r="I2439" s="132">
        <v>45603</v>
      </c>
      <c r="J2439" s="50"/>
      <c r="K2439" s="50" t="s">
        <v>5783</v>
      </c>
      <c r="L2439" s="50"/>
      <c r="M2439" s="50" t="s">
        <v>328</v>
      </c>
      <c r="N2439" s="50"/>
      <c r="O2439" s="50"/>
      <c r="P2439" s="50"/>
      <c r="Q2439" s="50"/>
      <c r="R2439" s="50"/>
      <c r="S2439" s="50" t="str">
        <f t="shared" si="240"/>
        <v/>
      </c>
      <c r="T2439" s="50" t="str">
        <f t="shared" si="238"/>
        <v/>
      </c>
      <c r="U2439" s="50" t="str">
        <f t="shared" si="239"/>
        <v/>
      </c>
      <c r="V2439" s="50" t="str">
        <f t="shared" si="241"/>
        <v/>
      </c>
      <c r="W2439" s="50"/>
      <c r="X2439" s="50" t="s">
        <v>1078</v>
      </c>
      <c r="Y2439" s="50" t="s">
        <v>50</v>
      </c>
      <c r="Z2439" s="50" t="s">
        <v>3406</v>
      </c>
      <c r="AA2439" s="50"/>
    </row>
    <row r="2440" spans="1:27" ht="25.5" customHeight="1">
      <c r="A2440" s="517" t="s">
        <v>779</v>
      </c>
      <c r="B2440" s="51" t="s">
        <v>1447</v>
      </c>
      <c r="C2440" s="51" t="s">
        <v>143</v>
      </c>
      <c r="D2440" s="51" t="s">
        <v>5905</v>
      </c>
      <c r="E2440" s="50">
        <v>7683</v>
      </c>
      <c r="F2440" s="50">
        <v>7714</v>
      </c>
      <c r="G2440" s="50" t="s">
        <v>3404</v>
      </c>
      <c r="H2440" s="50">
        <v>2025</v>
      </c>
      <c r="I2440" s="132">
        <v>45678</v>
      </c>
      <c r="J2440" s="50" t="s">
        <v>3424</v>
      </c>
      <c r="K2440" s="50" t="s">
        <v>39</v>
      </c>
      <c r="L2440" s="50"/>
      <c r="M2440" s="50" t="s">
        <v>328</v>
      </c>
      <c r="N2440" s="50" t="s">
        <v>5906</v>
      </c>
      <c r="O2440" s="60">
        <v>45679</v>
      </c>
      <c r="P2440" s="50"/>
      <c r="Q2440" s="60">
        <v>45679</v>
      </c>
      <c r="R2440" s="60">
        <v>45681</v>
      </c>
      <c r="S2440" s="50">
        <f t="shared" si="240"/>
        <v>1</v>
      </c>
      <c r="T2440" s="50" t="str">
        <f t="shared" si="238"/>
        <v/>
      </c>
      <c r="U2440" s="50">
        <f t="shared" si="239"/>
        <v>1</v>
      </c>
      <c r="V2440" s="50">
        <f t="shared" si="241"/>
        <v>2</v>
      </c>
      <c r="W2440" s="50" t="s">
        <v>150</v>
      </c>
      <c r="X2440" s="50" t="s">
        <v>4</v>
      </c>
      <c r="Y2440" s="50" t="s">
        <v>50</v>
      </c>
      <c r="Z2440" s="50" t="s">
        <v>3406</v>
      </c>
      <c r="AA2440" s="50"/>
    </row>
    <row r="2441" spans="1:27" ht="25.5" customHeight="1">
      <c r="A2441" s="517" t="s">
        <v>779</v>
      </c>
      <c r="B2441" s="51" t="s">
        <v>1447</v>
      </c>
      <c r="C2441" s="51" t="s">
        <v>143</v>
      </c>
      <c r="D2441" s="51" t="s">
        <v>5907</v>
      </c>
      <c r="E2441" s="50">
        <v>1755</v>
      </c>
      <c r="F2441" s="50">
        <v>2059</v>
      </c>
      <c r="G2441" s="50" t="s">
        <v>3955</v>
      </c>
      <c r="H2441" s="50"/>
      <c r="I2441" s="105"/>
      <c r="J2441" s="50"/>
      <c r="K2441" s="50" t="s">
        <v>39</v>
      </c>
      <c r="L2441" s="50"/>
      <c r="M2441" s="50" t="s">
        <v>328</v>
      </c>
      <c r="N2441" s="50"/>
      <c r="O2441" s="50"/>
      <c r="P2441" s="50"/>
      <c r="Q2441" s="50"/>
      <c r="R2441" s="50"/>
      <c r="S2441" s="50" t="str">
        <f t="shared" si="240"/>
        <v/>
      </c>
      <c r="T2441" s="50" t="str">
        <f t="shared" si="238"/>
        <v/>
      </c>
      <c r="U2441" s="50" t="str">
        <f t="shared" si="239"/>
        <v/>
      </c>
      <c r="V2441" s="50" t="str">
        <f t="shared" si="241"/>
        <v/>
      </c>
      <c r="W2441" s="50"/>
      <c r="X2441" s="50"/>
      <c r="Y2441" s="50"/>
      <c r="Z2441" s="50"/>
      <c r="AA2441" s="50"/>
    </row>
    <row r="2442" spans="1:27" s="110" customFormat="1" ht="25.5" customHeight="1">
      <c r="A2442" s="517" t="s">
        <v>779</v>
      </c>
      <c r="B2442" s="51" t="s">
        <v>1447</v>
      </c>
      <c r="C2442" s="51" t="s">
        <v>143</v>
      </c>
      <c r="D2442" s="51" t="s">
        <v>1995</v>
      </c>
      <c r="E2442" s="50">
        <v>31123</v>
      </c>
      <c r="F2442" s="50">
        <v>35334</v>
      </c>
      <c r="G2442" s="50" t="s">
        <v>3404</v>
      </c>
      <c r="H2442" s="50">
        <v>2025</v>
      </c>
      <c r="I2442" s="132">
        <v>45842</v>
      </c>
      <c r="J2442" s="50" t="s">
        <v>3125</v>
      </c>
      <c r="K2442" s="50" t="s">
        <v>39</v>
      </c>
      <c r="L2442" s="50"/>
      <c r="M2442" s="50" t="s">
        <v>328</v>
      </c>
      <c r="N2442" s="50" t="s">
        <v>5908</v>
      </c>
      <c r="O2442" s="60">
        <v>45855</v>
      </c>
      <c r="P2442" s="50"/>
      <c r="Q2442" s="60">
        <v>45856</v>
      </c>
      <c r="R2442" s="60">
        <v>45856</v>
      </c>
      <c r="S2442" s="50">
        <f t="shared" si="240"/>
        <v>9</v>
      </c>
      <c r="T2442" s="50" t="str">
        <f t="shared" si="238"/>
        <v/>
      </c>
      <c r="U2442" s="50">
        <f t="shared" si="239"/>
        <v>1</v>
      </c>
      <c r="V2442" s="50">
        <f t="shared" si="241"/>
        <v>1</v>
      </c>
      <c r="W2442" s="50" t="s">
        <v>150</v>
      </c>
      <c r="X2442" s="50" t="s">
        <v>1078</v>
      </c>
      <c r="Y2442" s="50" t="s">
        <v>50</v>
      </c>
      <c r="Z2442" s="50" t="s">
        <v>3406</v>
      </c>
      <c r="AA2442" s="50"/>
    </row>
    <row r="2443" spans="1:27" ht="25.5" customHeight="1">
      <c r="A2443" s="517" t="s">
        <v>779</v>
      </c>
      <c r="B2443" s="51" t="s">
        <v>1447</v>
      </c>
      <c r="C2443" s="51" t="s">
        <v>143</v>
      </c>
      <c r="D2443" s="51" t="s">
        <v>5909</v>
      </c>
      <c r="E2443" s="50">
        <v>3553</v>
      </c>
      <c r="F2443" s="50">
        <v>4039</v>
      </c>
      <c r="G2443" s="50" t="s">
        <v>3404</v>
      </c>
      <c r="H2443" s="50">
        <v>2025</v>
      </c>
      <c r="I2443" s="132">
        <v>45841</v>
      </c>
      <c r="J2443" s="50" t="s">
        <v>3125</v>
      </c>
      <c r="K2443" s="50" t="s">
        <v>39</v>
      </c>
      <c r="L2443" s="50"/>
      <c r="M2443" s="50" t="s">
        <v>328</v>
      </c>
      <c r="N2443" s="50" t="s">
        <v>5910</v>
      </c>
      <c r="O2443" s="60">
        <v>45855</v>
      </c>
      <c r="P2443" s="50"/>
      <c r="Q2443" s="60">
        <v>45856</v>
      </c>
      <c r="R2443" s="60">
        <v>45856</v>
      </c>
      <c r="S2443" s="50">
        <f t="shared" si="240"/>
        <v>10</v>
      </c>
      <c r="T2443" s="50" t="str">
        <f t="shared" si="238"/>
        <v/>
      </c>
      <c r="U2443" s="50">
        <f t="shared" si="239"/>
        <v>1</v>
      </c>
      <c r="V2443" s="50">
        <f t="shared" si="241"/>
        <v>1</v>
      </c>
      <c r="W2443" s="50" t="s">
        <v>150</v>
      </c>
      <c r="X2443" s="50" t="s">
        <v>1078</v>
      </c>
      <c r="Y2443" s="50" t="s">
        <v>50</v>
      </c>
      <c r="Z2443" s="50" t="s">
        <v>3406</v>
      </c>
      <c r="AA2443" s="50"/>
    </row>
    <row r="2444" spans="1:27" s="110" customFormat="1" ht="25.5" customHeight="1">
      <c r="A2444" s="50" t="s">
        <v>779</v>
      </c>
      <c r="B2444" s="51" t="s">
        <v>1447</v>
      </c>
      <c r="C2444" s="51" t="s">
        <v>143</v>
      </c>
      <c r="D2444" s="51" t="s">
        <v>1448</v>
      </c>
      <c r="E2444" s="50">
        <v>10475</v>
      </c>
      <c r="F2444" s="50">
        <v>12059</v>
      </c>
      <c r="G2444" s="50" t="s">
        <v>3404</v>
      </c>
      <c r="H2444" s="50">
        <v>2024</v>
      </c>
      <c r="I2444" s="132">
        <v>45483</v>
      </c>
      <c r="J2444" s="50"/>
      <c r="K2444" s="50" t="s">
        <v>39</v>
      </c>
      <c r="L2444" s="50"/>
      <c r="M2444" s="50" t="s">
        <v>328</v>
      </c>
      <c r="N2444" s="50"/>
      <c r="O2444" s="50"/>
      <c r="P2444" s="50"/>
      <c r="Q2444" s="50"/>
      <c r="R2444" s="50"/>
      <c r="S2444" s="50" t="str">
        <f t="shared" si="240"/>
        <v/>
      </c>
      <c r="T2444" s="50" t="str">
        <f t="shared" si="238"/>
        <v/>
      </c>
      <c r="U2444" s="50" t="str">
        <f t="shared" si="239"/>
        <v/>
      </c>
      <c r="V2444" s="50" t="str">
        <f t="shared" si="241"/>
        <v/>
      </c>
      <c r="W2444" s="50"/>
      <c r="X2444" s="50"/>
      <c r="Y2444" s="50"/>
      <c r="Z2444" s="50" t="s">
        <v>3406</v>
      </c>
      <c r="AA2444" s="50"/>
    </row>
    <row r="2445" spans="1:27" ht="25.5" customHeight="1">
      <c r="A2445" s="517" t="s">
        <v>779</v>
      </c>
      <c r="B2445" s="51" t="s">
        <v>1447</v>
      </c>
      <c r="C2445" s="51" t="s">
        <v>143</v>
      </c>
      <c r="D2445" s="51" t="s">
        <v>5911</v>
      </c>
      <c r="E2445" s="50">
        <v>6885</v>
      </c>
      <c r="F2445" s="50">
        <v>8214</v>
      </c>
      <c r="G2445" s="50" t="s">
        <v>3404</v>
      </c>
      <c r="H2445" s="50">
        <v>2025</v>
      </c>
      <c r="I2445" s="132">
        <v>45896</v>
      </c>
      <c r="J2445" s="50" t="s">
        <v>3127</v>
      </c>
      <c r="K2445" s="50" t="s">
        <v>39</v>
      </c>
      <c r="L2445" s="50"/>
      <c r="M2445" s="50" t="s">
        <v>328</v>
      </c>
      <c r="N2445" s="50" t="s">
        <v>5912</v>
      </c>
      <c r="O2445" s="60">
        <v>45915</v>
      </c>
      <c r="P2445" s="50"/>
      <c r="Q2445" s="60">
        <v>45916</v>
      </c>
      <c r="R2445" s="60">
        <v>45918</v>
      </c>
      <c r="S2445" s="50">
        <f t="shared" si="240"/>
        <v>13</v>
      </c>
      <c r="T2445" s="50" t="str">
        <f t="shared" si="238"/>
        <v/>
      </c>
      <c r="U2445" s="50">
        <f t="shared" si="239"/>
        <v>1</v>
      </c>
      <c r="V2445" s="50">
        <f t="shared" si="241"/>
        <v>2</v>
      </c>
      <c r="W2445" s="50" t="s">
        <v>150</v>
      </c>
      <c r="X2445" s="50" t="s">
        <v>3527</v>
      </c>
      <c r="Y2445" s="50" t="s">
        <v>3528</v>
      </c>
      <c r="Z2445" s="50" t="s">
        <v>3406</v>
      </c>
      <c r="AA2445" s="50"/>
    </row>
    <row r="2446" spans="1:27" ht="25.5" customHeight="1">
      <c r="A2446" s="50" t="s">
        <v>779</v>
      </c>
      <c r="B2446" s="51" t="s">
        <v>1447</v>
      </c>
      <c r="C2446" s="51" t="s">
        <v>143</v>
      </c>
      <c r="D2446" s="51" t="s">
        <v>5197</v>
      </c>
      <c r="E2446" s="50">
        <v>6752</v>
      </c>
      <c r="F2446" s="50">
        <v>7706</v>
      </c>
      <c r="G2446" s="50" t="s">
        <v>3404</v>
      </c>
      <c r="H2446" s="50">
        <v>2024</v>
      </c>
      <c r="I2446" s="132">
        <v>45449</v>
      </c>
      <c r="J2446" s="50"/>
      <c r="K2446" s="50" t="s">
        <v>39</v>
      </c>
      <c r="L2446" s="50"/>
      <c r="M2446" s="50" t="s">
        <v>328</v>
      </c>
      <c r="N2446" s="50"/>
      <c r="O2446" s="50"/>
      <c r="P2446" s="50"/>
      <c r="Q2446" s="50"/>
      <c r="R2446" s="50"/>
      <c r="S2446" s="50" t="str">
        <f t="shared" si="240"/>
        <v/>
      </c>
      <c r="T2446" s="50" t="str">
        <f t="shared" si="238"/>
        <v/>
      </c>
      <c r="U2446" s="50" t="str">
        <f t="shared" si="239"/>
        <v/>
      </c>
      <c r="V2446" s="50" t="str">
        <f t="shared" si="241"/>
        <v/>
      </c>
      <c r="W2446" s="50"/>
      <c r="X2446" s="50"/>
      <c r="Y2446" s="50"/>
      <c r="Z2446" s="50" t="s">
        <v>3406</v>
      </c>
      <c r="AA2446" s="50"/>
    </row>
    <row r="2447" spans="1:27" s="110" customFormat="1" ht="25.5" customHeight="1">
      <c r="A2447" s="50" t="s">
        <v>779</v>
      </c>
      <c r="B2447" s="51" t="s">
        <v>1447</v>
      </c>
      <c r="C2447" s="51" t="s">
        <v>143</v>
      </c>
      <c r="D2447" s="51" t="s">
        <v>5913</v>
      </c>
      <c r="E2447" s="50">
        <v>3347</v>
      </c>
      <c r="F2447" s="50">
        <v>4059</v>
      </c>
      <c r="G2447" s="50" t="s">
        <v>3404</v>
      </c>
      <c r="H2447" s="50">
        <v>2024</v>
      </c>
      <c r="I2447" s="132">
        <v>45608</v>
      </c>
      <c r="J2447" s="50"/>
      <c r="K2447" s="50" t="s">
        <v>39</v>
      </c>
      <c r="L2447" s="50"/>
      <c r="M2447" s="50" t="s">
        <v>328</v>
      </c>
      <c r="N2447" s="50"/>
      <c r="O2447" s="50"/>
      <c r="P2447" s="50"/>
      <c r="Q2447" s="50"/>
      <c r="R2447" s="50"/>
      <c r="S2447" s="50" t="str">
        <f t="shared" si="240"/>
        <v/>
      </c>
      <c r="T2447" s="50" t="str">
        <f t="shared" si="238"/>
        <v/>
      </c>
      <c r="U2447" s="50" t="str">
        <f t="shared" si="239"/>
        <v/>
      </c>
      <c r="V2447" s="50" t="str">
        <f t="shared" si="241"/>
        <v/>
      </c>
      <c r="W2447" s="50"/>
      <c r="X2447" s="50" t="s">
        <v>1078</v>
      </c>
      <c r="Y2447" s="50" t="s">
        <v>57</v>
      </c>
      <c r="Z2447" s="50" t="s">
        <v>3406</v>
      </c>
      <c r="AA2447" s="50"/>
    </row>
    <row r="2448" spans="1:27" ht="25.5" customHeight="1">
      <c r="A2448" s="517" t="s">
        <v>779</v>
      </c>
      <c r="B2448" s="51" t="s">
        <v>1447</v>
      </c>
      <c r="C2448" s="51" t="s">
        <v>143</v>
      </c>
      <c r="D2448" s="51" t="s">
        <v>5914</v>
      </c>
      <c r="E2448" s="50">
        <v>6423</v>
      </c>
      <c r="F2448" s="50">
        <v>7073</v>
      </c>
      <c r="G2448" s="50" t="s">
        <v>3955</v>
      </c>
      <c r="H2448" s="50"/>
      <c r="I2448" s="105"/>
      <c r="J2448" s="50"/>
      <c r="K2448" s="50" t="s">
        <v>39</v>
      </c>
      <c r="L2448" s="50"/>
      <c r="M2448" s="50" t="s">
        <v>328</v>
      </c>
      <c r="N2448" s="50"/>
      <c r="O2448" s="50"/>
      <c r="P2448" s="50"/>
      <c r="Q2448" s="50"/>
      <c r="R2448" s="50"/>
      <c r="S2448" s="50" t="str">
        <f t="shared" si="240"/>
        <v/>
      </c>
      <c r="T2448" s="50" t="str">
        <f t="shared" si="238"/>
        <v/>
      </c>
      <c r="U2448" s="50" t="str">
        <f t="shared" si="239"/>
        <v/>
      </c>
      <c r="V2448" s="50" t="str">
        <f t="shared" si="241"/>
        <v/>
      </c>
      <c r="W2448" s="50"/>
      <c r="X2448" s="50"/>
      <c r="Y2448" s="50"/>
      <c r="Z2448" s="50"/>
      <c r="AA2448" s="50"/>
    </row>
    <row r="2449" spans="1:27" ht="25.5" customHeight="1">
      <c r="A2449" s="50" t="s">
        <v>779</v>
      </c>
      <c r="B2449" s="51" t="s">
        <v>1447</v>
      </c>
      <c r="C2449" s="51" t="s">
        <v>143</v>
      </c>
      <c r="D2449" s="51" t="s">
        <v>5915</v>
      </c>
      <c r="E2449" s="50">
        <v>1788</v>
      </c>
      <c r="F2449" s="50">
        <v>2100</v>
      </c>
      <c r="G2449" s="50" t="s">
        <v>3404</v>
      </c>
      <c r="H2449" s="50">
        <v>2024</v>
      </c>
      <c r="I2449" s="132">
        <v>45387</v>
      </c>
      <c r="J2449" s="50"/>
      <c r="K2449" s="50" t="s">
        <v>39</v>
      </c>
      <c r="L2449" s="50"/>
      <c r="M2449" s="50" t="s">
        <v>328</v>
      </c>
      <c r="N2449" s="50"/>
      <c r="O2449" s="50"/>
      <c r="P2449" s="50"/>
      <c r="Q2449" s="50"/>
      <c r="R2449" s="50"/>
      <c r="S2449" s="50" t="str">
        <f t="shared" si="240"/>
        <v/>
      </c>
      <c r="T2449" s="50" t="str">
        <f t="shared" si="238"/>
        <v/>
      </c>
      <c r="U2449" s="50" t="str">
        <f t="shared" si="239"/>
        <v/>
      </c>
      <c r="V2449" s="50" t="str">
        <f t="shared" si="241"/>
        <v/>
      </c>
      <c r="W2449" s="50"/>
      <c r="X2449" s="50"/>
      <c r="Y2449" s="50"/>
      <c r="Z2449" s="50" t="s">
        <v>3406</v>
      </c>
      <c r="AA2449" s="50"/>
    </row>
    <row r="2450" spans="1:27" ht="25.5" customHeight="1">
      <c r="A2450" s="517" t="s">
        <v>779</v>
      </c>
      <c r="B2450" s="51" t="s">
        <v>1447</v>
      </c>
      <c r="C2450" s="51" t="s">
        <v>143</v>
      </c>
      <c r="D2450" s="51" t="s">
        <v>5916</v>
      </c>
      <c r="E2450" s="50">
        <v>2002</v>
      </c>
      <c r="F2450" s="50">
        <v>2475</v>
      </c>
      <c r="G2450" s="50" t="s">
        <v>3955</v>
      </c>
      <c r="H2450" s="50"/>
      <c r="I2450" s="105"/>
      <c r="J2450" s="50"/>
      <c r="K2450" s="50" t="s">
        <v>39</v>
      </c>
      <c r="L2450" s="50"/>
      <c r="M2450" s="50" t="s">
        <v>328</v>
      </c>
      <c r="N2450" s="50"/>
      <c r="O2450" s="50"/>
      <c r="P2450" s="50"/>
      <c r="Q2450" s="50"/>
      <c r="R2450" s="50"/>
      <c r="S2450" s="50" t="str">
        <f t="shared" si="240"/>
        <v/>
      </c>
      <c r="T2450" s="50" t="str">
        <f t="shared" si="238"/>
        <v/>
      </c>
      <c r="U2450" s="50" t="str">
        <f t="shared" si="239"/>
        <v/>
      </c>
      <c r="V2450" s="50" t="str">
        <f t="shared" si="241"/>
        <v/>
      </c>
      <c r="W2450" s="50"/>
      <c r="X2450" s="50"/>
      <c r="Y2450" s="50"/>
      <c r="Z2450" s="50"/>
      <c r="AA2450" s="50"/>
    </row>
    <row r="2451" spans="1:27" s="110" customFormat="1" ht="25.5" customHeight="1">
      <c r="A2451" s="517" t="s">
        <v>779</v>
      </c>
      <c r="B2451" s="51" t="s">
        <v>1447</v>
      </c>
      <c r="C2451" s="51" t="s">
        <v>143</v>
      </c>
      <c r="D2451" s="51" t="s">
        <v>5917</v>
      </c>
      <c r="E2451" s="50">
        <v>2599</v>
      </c>
      <c r="F2451" s="50">
        <v>2916</v>
      </c>
      <c r="G2451" s="50" t="s">
        <v>3955</v>
      </c>
      <c r="H2451" s="50"/>
      <c r="I2451" s="105"/>
      <c r="J2451" s="50"/>
      <c r="K2451" s="50" t="s">
        <v>39</v>
      </c>
      <c r="L2451" s="50"/>
      <c r="M2451" s="50" t="s">
        <v>328</v>
      </c>
      <c r="N2451" s="50"/>
      <c r="O2451" s="50"/>
      <c r="P2451" s="50"/>
      <c r="Q2451" s="50"/>
      <c r="R2451" s="50"/>
      <c r="S2451" s="50" t="str">
        <f t="shared" si="240"/>
        <v/>
      </c>
      <c r="T2451" s="50" t="str">
        <f t="shared" si="238"/>
        <v/>
      </c>
      <c r="U2451" s="50" t="str">
        <f t="shared" si="239"/>
        <v/>
      </c>
      <c r="V2451" s="50" t="str">
        <f t="shared" si="241"/>
        <v/>
      </c>
      <c r="W2451" s="50"/>
      <c r="X2451" s="50"/>
      <c r="Y2451" s="50"/>
      <c r="Z2451" s="50"/>
      <c r="AA2451" s="50"/>
    </row>
    <row r="2452" spans="1:27" ht="25.5" customHeight="1">
      <c r="A2452" s="517" t="s">
        <v>779</v>
      </c>
      <c r="B2452" s="51" t="s">
        <v>1447</v>
      </c>
      <c r="C2452" s="51" t="s">
        <v>143</v>
      </c>
      <c r="D2452" s="51" t="s">
        <v>5918</v>
      </c>
      <c r="E2452" s="50">
        <v>14542</v>
      </c>
      <c r="F2452" s="50">
        <v>15973</v>
      </c>
      <c r="G2452" s="50" t="s">
        <v>3404</v>
      </c>
      <c r="H2452" s="50">
        <v>2025</v>
      </c>
      <c r="I2452" s="132">
        <v>45729</v>
      </c>
      <c r="J2452" s="50" t="s">
        <v>3416</v>
      </c>
      <c r="K2452" s="50" t="s">
        <v>39</v>
      </c>
      <c r="L2452" s="50"/>
      <c r="M2452" s="50" t="s">
        <v>328</v>
      </c>
      <c r="N2452" s="50" t="s">
        <v>5919</v>
      </c>
      <c r="O2452" s="60">
        <v>45733</v>
      </c>
      <c r="P2452" s="50"/>
      <c r="Q2452" s="60">
        <v>45734</v>
      </c>
      <c r="R2452" s="60">
        <v>45734</v>
      </c>
      <c r="S2452" s="50">
        <f t="shared" si="240"/>
        <v>2</v>
      </c>
      <c r="T2452" s="50" t="str">
        <f t="shared" si="238"/>
        <v/>
      </c>
      <c r="U2452" s="50">
        <f t="shared" si="239"/>
        <v>1</v>
      </c>
      <c r="V2452" s="50">
        <f t="shared" si="241"/>
        <v>1</v>
      </c>
      <c r="W2452" s="50" t="s">
        <v>150</v>
      </c>
      <c r="X2452" s="50" t="s">
        <v>1078</v>
      </c>
      <c r="Y2452" s="50" t="s">
        <v>50</v>
      </c>
      <c r="Z2452" s="50" t="s">
        <v>3406</v>
      </c>
      <c r="AA2452" s="50"/>
    </row>
    <row r="2453" spans="1:27" ht="25.5" customHeight="1">
      <c r="A2453" s="517" t="s">
        <v>779</v>
      </c>
      <c r="B2453" s="51" t="s">
        <v>1447</v>
      </c>
      <c r="C2453" s="51" t="s">
        <v>143</v>
      </c>
      <c r="D2453" s="51" t="s">
        <v>5920</v>
      </c>
      <c r="E2453" s="50">
        <v>7078</v>
      </c>
      <c r="F2453" s="50">
        <v>7426</v>
      </c>
      <c r="G2453" s="50" t="s">
        <v>3955</v>
      </c>
      <c r="H2453" s="50"/>
      <c r="I2453" s="105"/>
      <c r="J2453" s="50"/>
      <c r="K2453" s="50" t="s">
        <v>39</v>
      </c>
      <c r="L2453" s="50"/>
      <c r="M2453" s="50" t="s">
        <v>328</v>
      </c>
      <c r="N2453" s="50"/>
      <c r="O2453" s="50"/>
      <c r="P2453" s="50"/>
      <c r="Q2453" s="50"/>
      <c r="R2453" s="50"/>
      <c r="S2453" s="50" t="str">
        <f t="shared" si="240"/>
        <v/>
      </c>
      <c r="T2453" s="50" t="str">
        <f t="shared" si="238"/>
        <v/>
      </c>
      <c r="U2453" s="50" t="str">
        <f t="shared" si="239"/>
        <v/>
      </c>
      <c r="V2453" s="50" t="str">
        <f t="shared" si="241"/>
        <v/>
      </c>
      <c r="W2453" s="50"/>
      <c r="X2453" s="50"/>
      <c r="Y2453" s="50"/>
      <c r="Z2453" s="50"/>
      <c r="AA2453" s="50"/>
    </row>
    <row r="2454" spans="1:27" ht="25.5" customHeight="1">
      <c r="A2454" s="517" t="s">
        <v>779</v>
      </c>
      <c r="B2454" s="51" t="s">
        <v>1447</v>
      </c>
      <c r="C2454" s="51" t="s">
        <v>143</v>
      </c>
      <c r="D2454" s="51" t="s">
        <v>3565</v>
      </c>
      <c r="E2454" s="50">
        <v>11174</v>
      </c>
      <c r="F2454" s="50">
        <v>11484</v>
      </c>
      <c r="G2454" s="50" t="s">
        <v>3404</v>
      </c>
      <c r="H2454" s="50">
        <v>2025</v>
      </c>
      <c r="I2454" s="132">
        <v>45842</v>
      </c>
      <c r="J2454" s="50" t="s">
        <v>3125</v>
      </c>
      <c r="K2454" s="50" t="s">
        <v>39</v>
      </c>
      <c r="L2454" s="50"/>
      <c r="M2454" s="50" t="s">
        <v>328</v>
      </c>
      <c r="N2454" s="50" t="s">
        <v>5921</v>
      </c>
      <c r="O2454" s="60">
        <v>45855</v>
      </c>
      <c r="P2454" s="50"/>
      <c r="Q2454" s="60">
        <v>45856</v>
      </c>
      <c r="R2454" s="60">
        <v>45856</v>
      </c>
      <c r="S2454" s="50">
        <f t="shared" si="240"/>
        <v>9</v>
      </c>
      <c r="T2454" s="50" t="str">
        <f t="shared" si="238"/>
        <v/>
      </c>
      <c r="U2454" s="50">
        <f t="shared" si="239"/>
        <v>1</v>
      </c>
      <c r="V2454" s="50">
        <f t="shared" si="241"/>
        <v>1</v>
      </c>
      <c r="W2454" s="50" t="s">
        <v>150</v>
      </c>
      <c r="X2454" s="50" t="s">
        <v>1078</v>
      </c>
      <c r="Y2454" s="50" t="s">
        <v>50</v>
      </c>
      <c r="Z2454" s="50" t="s">
        <v>3406</v>
      </c>
      <c r="AA2454" s="50"/>
    </row>
    <row r="2455" spans="1:27" ht="25.5" customHeight="1">
      <c r="A2455" s="50" t="s">
        <v>779</v>
      </c>
      <c r="B2455" s="51" t="s">
        <v>1447</v>
      </c>
      <c r="C2455" s="51" t="s">
        <v>143</v>
      </c>
      <c r="D2455" s="51" t="s">
        <v>4242</v>
      </c>
      <c r="E2455" s="50">
        <v>1819</v>
      </c>
      <c r="F2455" s="50">
        <v>2325</v>
      </c>
      <c r="G2455" s="50" t="s">
        <v>3404</v>
      </c>
      <c r="H2455" s="50">
        <v>2024</v>
      </c>
      <c r="I2455" s="132">
        <v>45387</v>
      </c>
      <c r="J2455" s="50"/>
      <c r="K2455" s="50" t="s">
        <v>39</v>
      </c>
      <c r="L2455" s="50"/>
      <c r="M2455" s="50" t="s">
        <v>328</v>
      </c>
      <c r="N2455" s="50"/>
      <c r="O2455" s="50"/>
      <c r="P2455" s="50"/>
      <c r="Q2455" s="50"/>
      <c r="R2455" s="50"/>
      <c r="S2455" s="50" t="str">
        <f t="shared" si="240"/>
        <v/>
      </c>
      <c r="T2455" s="50" t="str">
        <f t="shared" si="238"/>
        <v/>
      </c>
      <c r="U2455" s="50" t="str">
        <f t="shared" si="239"/>
        <v/>
      </c>
      <c r="V2455" s="50" t="str">
        <f t="shared" si="241"/>
        <v/>
      </c>
      <c r="W2455" s="50"/>
      <c r="X2455" s="50"/>
      <c r="Y2455" s="50"/>
      <c r="Z2455" s="50" t="s">
        <v>3406</v>
      </c>
      <c r="AA2455" s="50"/>
    </row>
    <row r="2456" spans="1:27" ht="25.5" customHeight="1">
      <c r="A2456" s="517" t="s">
        <v>779</v>
      </c>
      <c r="B2456" s="51" t="s">
        <v>1447</v>
      </c>
      <c r="C2456" s="51" t="s">
        <v>143</v>
      </c>
      <c r="D2456" s="51" t="s">
        <v>5922</v>
      </c>
      <c r="E2456" s="50">
        <v>2224</v>
      </c>
      <c r="F2456" s="50">
        <v>2419</v>
      </c>
      <c r="G2456" s="50" t="s">
        <v>3404</v>
      </c>
      <c r="H2456" s="50">
        <v>2025</v>
      </c>
      <c r="I2456" s="132">
        <v>45678</v>
      </c>
      <c r="J2456" s="50" t="s">
        <v>3424</v>
      </c>
      <c r="K2456" s="50" t="s">
        <v>39</v>
      </c>
      <c r="L2456" s="50"/>
      <c r="M2456" s="50" t="s">
        <v>328</v>
      </c>
      <c r="N2456" s="50" t="s">
        <v>5923</v>
      </c>
      <c r="O2456" s="60">
        <v>45679</v>
      </c>
      <c r="P2456" s="60"/>
      <c r="Q2456" s="60">
        <v>45680</v>
      </c>
      <c r="R2456" s="60">
        <v>45681</v>
      </c>
      <c r="S2456" s="50">
        <f t="shared" si="240"/>
        <v>1</v>
      </c>
      <c r="T2456" s="50" t="str">
        <f t="shared" si="238"/>
        <v/>
      </c>
      <c r="U2456" s="50">
        <f t="shared" si="239"/>
        <v>1</v>
      </c>
      <c r="V2456" s="50">
        <f t="shared" si="241"/>
        <v>1</v>
      </c>
      <c r="W2456" s="50" t="s">
        <v>150</v>
      </c>
      <c r="X2456" s="50" t="s">
        <v>1078</v>
      </c>
      <c r="Y2456" s="50" t="s">
        <v>50</v>
      </c>
      <c r="Z2456" s="50" t="s">
        <v>3406</v>
      </c>
      <c r="AA2456" s="50"/>
    </row>
    <row r="2457" spans="1:27" ht="25.5" customHeight="1">
      <c r="A2457" s="517" t="s">
        <v>779</v>
      </c>
      <c r="B2457" s="51" t="s">
        <v>1447</v>
      </c>
      <c r="C2457" s="51" t="s">
        <v>143</v>
      </c>
      <c r="D2457" s="51" t="s">
        <v>5924</v>
      </c>
      <c r="E2457" s="50">
        <v>6297</v>
      </c>
      <c r="F2457" s="50">
        <v>6933</v>
      </c>
      <c r="G2457" s="50" t="s">
        <v>3955</v>
      </c>
      <c r="H2457" s="50"/>
      <c r="I2457" s="105"/>
      <c r="J2457" s="50"/>
      <c r="K2457" s="50" t="s">
        <v>39</v>
      </c>
      <c r="L2457" s="50"/>
      <c r="M2457" s="50" t="s">
        <v>328</v>
      </c>
      <c r="N2457" s="50"/>
      <c r="O2457" s="50"/>
      <c r="P2457" s="50"/>
      <c r="Q2457" s="50"/>
      <c r="R2457" s="50"/>
      <c r="S2457" s="50" t="str">
        <f t="shared" si="240"/>
        <v/>
      </c>
      <c r="T2457" s="50" t="str">
        <f t="shared" si="238"/>
        <v/>
      </c>
      <c r="U2457" s="50" t="str">
        <f t="shared" si="239"/>
        <v/>
      </c>
      <c r="V2457" s="50" t="str">
        <f t="shared" si="241"/>
        <v/>
      </c>
      <c r="W2457" s="50"/>
      <c r="X2457" s="50"/>
      <c r="Y2457" s="50"/>
      <c r="Z2457" s="50"/>
      <c r="AA2457" s="50"/>
    </row>
    <row r="2458" spans="1:27" ht="25.5" customHeight="1">
      <c r="A2458" s="517" t="s">
        <v>779</v>
      </c>
      <c r="B2458" s="51" t="s">
        <v>1447</v>
      </c>
      <c r="C2458" s="51" t="s">
        <v>143</v>
      </c>
      <c r="D2458" s="51" t="s">
        <v>4261</v>
      </c>
      <c r="E2458" s="50">
        <v>7099</v>
      </c>
      <c r="F2458" s="50">
        <v>6991</v>
      </c>
      <c r="G2458" s="50" t="s">
        <v>3955</v>
      </c>
      <c r="H2458" s="50"/>
      <c r="I2458" s="105"/>
      <c r="J2458" s="50"/>
      <c r="K2458" s="50" t="s">
        <v>39</v>
      </c>
      <c r="L2458" s="50"/>
      <c r="M2458" s="50" t="s">
        <v>328</v>
      </c>
      <c r="N2458" s="50"/>
      <c r="O2458" s="50"/>
      <c r="P2458" s="50"/>
      <c r="Q2458" s="50"/>
      <c r="R2458" s="50"/>
      <c r="S2458" s="50" t="str">
        <f t="shared" si="240"/>
        <v/>
      </c>
      <c r="T2458" s="50" t="str">
        <f t="shared" si="238"/>
        <v/>
      </c>
      <c r="U2458" s="50" t="str">
        <f t="shared" si="239"/>
        <v/>
      </c>
      <c r="V2458" s="50" t="str">
        <f t="shared" si="241"/>
        <v/>
      </c>
      <c r="W2458" s="50"/>
      <c r="X2458" s="50"/>
      <c r="Y2458" s="50"/>
      <c r="Z2458" s="50"/>
      <c r="AA2458" s="50"/>
    </row>
    <row r="2459" spans="1:27" s="110" customFormat="1" ht="25.5" customHeight="1">
      <c r="A2459" s="517" t="s">
        <v>779</v>
      </c>
      <c r="B2459" s="51" t="s">
        <v>1447</v>
      </c>
      <c r="C2459" s="51" t="s">
        <v>143</v>
      </c>
      <c r="D2459" s="51" t="s">
        <v>5925</v>
      </c>
      <c r="E2459" s="50">
        <v>5584</v>
      </c>
      <c r="F2459" s="50">
        <v>6757</v>
      </c>
      <c r="G2459" s="50" t="s">
        <v>3404</v>
      </c>
      <c r="H2459" s="50">
        <v>2025</v>
      </c>
      <c r="I2459" s="132">
        <v>45896</v>
      </c>
      <c r="J2459" s="50" t="s">
        <v>3127</v>
      </c>
      <c r="K2459" s="50" t="s">
        <v>39</v>
      </c>
      <c r="L2459" s="50"/>
      <c r="M2459" s="50" t="s">
        <v>328</v>
      </c>
      <c r="N2459" s="50" t="s">
        <v>5926</v>
      </c>
      <c r="O2459" s="60">
        <v>45915</v>
      </c>
      <c r="P2459" s="50"/>
      <c r="Q2459" s="60">
        <v>45915</v>
      </c>
      <c r="R2459" s="614">
        <v>45918</v>
      </c>
      <c r="S2459" s="50">
        <f t="shared" si="240"/>
        <v>13</v>
      </c>
      <c r="T2459" s="50" t="str">
        <f t="shared" si="238"/>
        <v/>
      </c>
      <c r="U2459" s="50">
        <f t="shared" si="239"/>
        <v>1</v>
      </c>
      <c r="V2459" s="50">
        <f t="shared" si="241"/>
        <v>3</v>
      </c>
      <c r="W2459" s="50" t="s">
        <v>150</v>
      </c>
      <c r="X2459" s="50" t="s">
        <v>3527</v>
      </c>
      <c r="Y2459" s="50" t="s">
        <v>3528</v>
      </c>
      <c r="Z2459" s="50" t="s">
        <v>3406</v>
      </c>
      <c r="AA2459" s="50"/>
    </row>
    <row r="2460" spans="1:27" ht="25.5" customHeight="1">
      <c r="A2460" s="50" t="s">
        <v>779</v>
      </c>
      <c r="B2460" s="51" t="s">
        <v>1185</v>
      </c>
      <c r="C2460" s="51" t="s">
        <v>143</v>
      </c>
      <c r="D2460" s="51" t="s">
        <v>5927</v>
      </c>
      <c r="E2460" s="50">
        <v>8750</v>
      </c>
      <c r="F2460" s="50">
        <v>9534</v>
      </c>
      <c r="G2460" s="50" t="s">
        <v>3404</v>
      </c>
      <c r="H2460" s="50">
        <v>2024</v>
      </c>
      <c r="I2460" s="132">
        <v>45510</v>
      </c>
      <c r="J2460" s="50"/>
      <c r="K2460" s="50" t="s">
        <v>39</v>
      </c>
      <c r="L2460" s="50"/>
      <c r="M2460" s="50" t="s">
        <v>328</v>
      </c>
      <c r="N2460" s="50"/>
      <c r="O2460" s="50"/>
      <c r="P2460" s="50"/>
      <c r="Q2460" s="50"/>
      <c r="R2460" s="50"/>
      <c r="S2460" s="50" t="str">
        <f t="shared" si="240"/>
        <v/>
      </c>
      <c r="T2460" s="50" t="str">
        <f t="shared" si="238"/>
        <v/>
      </c>
      <c r="U2460" s="50" t="str">
        <f t="shared" si="239"/>
        <v/>
      </c>
      <c r="V2460" s="50" t="str">
        <f t="shared" si="241"/>
        <v/>
      </c>
      <c r="W2460" s="50"/>
      <c r="X2460" s="50" t="s">
        <v>4</v>
      </c>
      <c r="Y2460" s="50" t="s">
        <v>50</v>
      </c>
      <c r="Z2460" s="50" t="s">
        <v>3406</v>
      </c>
      <c r="AA2460" s="50"/>
    </row>
    <row r="2461" spans="1:27" ht="25.5" customHeight="1">
      <c r="A2461" s="517" t="s">
        <v>779</v>
      </c>
      <c r="B2461" s="51" t="s">
        <v>1185</v>
      </c>
      <c r="C2461" s="51" t="s">
        <v>143</v>
      </c>
      <c r="D2461" s="51" t="s">
        <v>5928</v>
      </c>
      <c r="E2461" s="50">
        <v>3920</v>
      </c>
      <c r="F2461" s="50">
        <v>4306</v>
      </c>
      <c r="G2461" s="50" t="s">
        <v>3955</v>
      </c>
      <c r="H2461" s="50"/>
      <c r="I2461" s="105"/>
      <c r="J2461" s="50"/>
      <c r="K2461" s="50" t="s">
        <v>39</v>
      </c>
      <c r="L2461" s="50"/>
      <c r="M2461" s="50" t="s">
        <v>328</v>
      </c>
      <c r="N2461" s="50"/>
      <c r="O2461" s="50"/>
      <c r="P2461" s="50"/>
      <c r="Q2461" s="50"/>
      <c r="R2461" s="50"/>
      <c r="S2461" s="50" t="str">
        <f t="shared" si="240"/>
        <v/>
      </c>
      <c r="T2461" s="50" t="str">
        <f t="shared" si="238"/>
        <v/>
      </c>
      <c r="U2461" s="50" t="str">
        <f t="shared" si="239"/>
        <v/>
      </c>
      <c r="V2461" s="50" t="str">
        <f t="shared" si="241"/>
        <v/>
      </c>
      <c r="W2461" s="50"/>
      <c r="X2461" s="50"/>
      <c r="Y2461" s="50"/>
      <c r="Z2461" s="50"/>
      <c r="AA2461" s="50"/>
    </row>
    <row r="2462" spans="1:27" ht="25.5" customHeight="1">
      <c r="A2462" s="517" t="s">
        <v>779</v>
      </c>
      <c r="B2462" s="51" t="s">
        <v>1185</v>
      </c>
      <c r="C2462" s="51" t="s">
        <v>143</v>
      </c>
      <c r="D2462" s="51" t="s">
        <v>5929</v>
      </c>
      <c r="E2462" s="50">
        <v>2776</v>
      </c>
      <c r="F2462" s="50">
        <v>3239</v>
      </c>
      <c r="G2462" s="50" t="s">
        <v>3404</v>
      </c>
      <c r="H2462" s="50">
        <v>2025</v>
      </c>
      <c r="I2462" s="132">
        <v>45821</v>
      </c>
      <c r="J2462" s="50" t="s">
        <v>3689</v>
      </c>
      <c r="K2462" s="50" t="s">
        <v>39</v>
      </c>
      <c r="L2462" s="50"/>
      <c r="M2462" s="50" t="s">
        <v>328</v>
      </c>
      <c r="N2462" s="50" t="s">
        <v>5930</v>
      </c>
      <c r="O2462" s="60">
        <v>45826</v>
      </c>
      <c r="P2462" s="50"/>
      <c r="Q2462" s="60">
        <v>45827</v>
      </c>
      <c r="R2462" s="60">
        <v>45827</v>
      </c>
      <c r="S2462" s="50">
        <f t="shared" si="240"/>
        <v>3</v>
      </c>
      <c r="T2462" s="50" t="str">
        <f t="shared" si="238"/>
        <v/>
      </c>
      <c r="U2462" s="50">
        <f t="shared" si="239"/>
        <v>1</v>
      </c>
      <c r="V2462" s="50">
        <f t="shared" si="241"/>
        <v>1</v>
      </c>
      <c r="W2462" s="50" t="s">
        <v>150</v>
      </c>
      <c r="X2462" s="50" t="s">
        <v>4</v>
      </c>
      <c r="Y2462" s="50" t="s">
        <v>50</v>
      </c>
      <c r="Z2462" s="50" t="s">
        <v>3406</v>
      </c>
      <c r="AA2462" s="50"/>
    </row>
    <row r="2463" spans="1:27" s="110" customFormat="1" ht="25.5" customHeight="1">
      <c r="A2463" s="517" t="s">
        <v>779</v>
      </c>
      <c r="B2463" s="51" t="s">
        <v>1185</v>
      </c>
      <c r="C2463" s="51" t="s">
        <v>143</v>
      </c>
      <c r="D2463" s="51" t="s">
        <v>5931</v>
      </c>
      <c r="E2463" s="50">
        <v>1233</v>
      </c>
      <c r="F2463" s="50">
        <v>1295</v>
      </c>
      <c r="G2463" s="50" t="s">
        <v>3955</v>
      </c>
      <c r="H2463" s="50"/>
      <c r="I2463" s="105"/>
      <c r="J2463" s="50"/>
      <c r="K2463" s="50" t="s">
        <v>39</v>
      </c>
      <c r="L2463" s="50"/>
      <c r="M2463" s="50" t="s">
        <v>328</v>
      </c>
      <c r="N2463" s="50"/>
      <c r="O2463" s="50"/>
      <c r="P2463" s="50"/>
      <c r="Q2463" s="50"/>
      <c r="R2463" s="50"/>
      <c r="S2463" s="50" t="str">
        <f t="shared" si="240"/>
        <v/>
      </c>
      <c r="T2463" s="50" t="str">
        <f t="shared" si="238"/>
        <v/>
      </c>
      <c r="U2463" s="50" t="str">
        <f t="shared" si="239"/>
        <v/>
      </c>
      <c r="V2463" s="50" t="str">
        <f t="shared" si="241"/>
        <v/>
      </c>
      <c r="W2463" s="50"/>
      <c r="X2463" s="50"/>
      <c r="Y2463" s="50"/>
      <c r="Z2463" s="50"/>
      <c r="AA2463" s="50"/>
    </row>
    <row r="2464" spans="1:27" ht="25.5" customHeight="1">
      <c r="A2464" s="50" t="s">
        <v>779</v>
      </c>
      <c r="B2464" s="51" t="s">
        <v>1185</v>
      </c>
      <c r="C2464" s="51" t="s">
        <v>143</v>
      </c>
      <c r="D2464" s="51" t="s">
        <v>5932</v>
      </c>
      <c r="E2464" s="50">
        <v>4694</v>
      </c>
      <c r="F2464" s="50">
        <v>5280</v>
      </c>
      <c r="G2464" s="50" t="s">
        <v>3404</v>
      </c>
      <c r="H2464" s="50">
        <v>2024</v>
      </c>
      <c r="I2464" s="132">
        <v>45476</v>
      </c>
      <c r="J2464" s="50"/>
      <c r="K2464" s="50" t="s">
        <v>39</v>
      </c>
      <c r="L2464" s="50"/>
      <c r="M2464" s="50" t="s">
        <v>328</v>
      </c>
      <c r="N2464" s="50"/>
      <c r="O2464" s="50"/>
      <c r="P2464" s="50"/>
      <c r="Q2464" s="50"/>
      <c r="R2464" s="50"/>
      <c r="S2464" s="50" t="str">
        <f t="shared" si="240"/>
        <v/>
      </c>
      <c r="T2464" s="50" t="str">
        <f t="shared" si="238"/>
        <v/>
      </c>
      <c r="U2464" s="50" t="str">
        <f t="shared" si="239"/>
        <v/>
      </c>
      <c r="V2464" s="50" t="str">
        <f t="shared" si="241"/>
        <v/>
      </c>
      <c r="W2464" s="50"/>
      <c r="X2464" s="50" t="s">
        <v>4</v>
      </c>
      <c r="Y2464" s="50" t="s">
        <v>50</v>
      </c>
      <c r="Z2464" s="50" t="s">
        <v>3406</v>
      </c>
      <c r="AA2464" s="50"/>
    </row>
    <row r="2465" spans="1:27" s="110" customFormat="1" ht="25.5" customHeight="1">
      <c r="A2465" s="517" t="s">
        <v>779</v>
      </c>
      <c r="B2465" s="51" t="s">
        <v>1185</v>
      </c>
      <c r="C2465" s="51" t="s">
        <v>143</v>
      </c>
      <c r="D2465" s="51" t="s">
        <v>5933</v>
      </c>
      <c r="E2465" s="50">
        <v>3457</v>
      </c>
      <c r="F2465" s="50">
        <v>3821</v>
      </c>
      <c r="G2465" s="50" t="s">
        <v>3955</v>
      </c>
      <c r="H2465" s="50"/>
      <c r="I2465" s="105"/>
      <c r="J2465" s="50"/>
      <c r="K2465" s="50" t="s">
        <v>39</v>
      </c>
      <c r="L2465" s="50"/>
      <c r="M2465" s="50" t="s">
        <v>328</v>
      </c>
      <c r="N2465" s="50"/>
      <c r="O2465" s="50"/>
      <c r="P2465" s="50"/>
      <c r="Q2465" s="50"/>
      <c r="R2465" s="50"/>
      <c r="S2465" s="50" t="str">
        <f t="shared" si="240"/>
        <v/>
      </c>
      <c r="T2465" s="50" t="str">
        <f t="shared" si="238"/>
        <v/>
      </c>
      <c r="U2465" s="50" t="str">
        <f t="shared" si="239"/>
        <v/>
      </c>
      <c r="V2465" s="50" t="str">
        <f t="shared" si="241"/>
        <v/>
      </c>
      <c r="W2465" s="50"/>
      <c r="X2465" s="50"/>
      <c r="Y2465" s="50"/>
      <c r="Z2465" s="50"/>
      <c r="AA2465" s="50"/>
    </row>
    <row r="2466" spans="1:27" ht="25.5" customHeight="1">
      <c r="A2466" s="50" t="s">
        <v>779</v>
      </c>
      <c r="B2466" s="51" t="s">
        <v>1185</v>
      </c>
      <c r="C2466" s="51" t="s">
        <v>143</v>
      </c>
      <c r="D2466" s="51" t="s">
        <v>5934</v>
      </c>
      <c r="E2466" s="50">
        <v>2114</v>
      </c>
      <c r="F2466" s="50">
        <v>2111</v>
      </c>
      <c r="G2466" s="50" t="s">
        <v>3404</v>
      </c>
      <c r="H2466" s="50">
        <v>2024</v>
      </c>
      <c r="I2466" s="132">
        <v>45476</v>
      </c>
      <c r="J2466" s="50"/>
      <c r="K2466" s="50" t="s">
        <v>39</v>
      </c>
      <c r="L2466" s="50"/>
      <c r="M2466" s="50" t="s">
        <v>328</v>
      </c>
      <c r="N2466" s="50"/>
      <c r="O2466" s="50"/>
      <c r="P2466" s="50"/>
      <c r="Q2466" s="50"/>
      <c r="R2466" s="50"/>
      <c r="S2466" s="50" t="str">
        <f t="shared" si="240"/>
        <v/>
      </c>
      <c r="T2466" s="50" t="str">
        <f t="shared" si="238"/>
        <v/>
      </c>
      <c r="U2466" s="50" t="str">
        <f t="shared" si="239"/>
        <v/>
      </c>
      <c r="V2466" s="50" t="str">
        <f t="shared" si="241"/>
        <v/>
      </c>
      <c r="W2466" s="50"/>
      <c r="X2466" s="50" t="s">
        <v>4</v>
      </c>
      <c r="Y2466" s="50" t="s">
        <v>50</v>
      </c>
      <c r="Z2466" s="50" t="s">
        <v>3406</v>
      </c>
      <c r="AA2466" s="50"/>
    </row>
    <row r="2467" spans="1:27" ht="25.5" customHeight="1">
      <c r="A2467" s="517" t="s">
        <v>779</v>
      </c>
      <c r="B2467" s="51" t="s">
        <v>1185</v>
      </c>
      <c r="C2467" s="51" t="s">
        <v>143</v>
      </c>
      <c r="D2467" s="51" t="s">
        <v>5935</v>
      </c>
      <c r="E2467" s="50">
        <v>3237</v>
      </c>
      <c r="F2467" s="50">
        <v>3575</v>
      </c>
      <c r="G2467" s="50" t="s">
        <v>3955</v>
      </c>
      <c r="H2467" s="50"/>
      <c r="I2467" s="105"/>
      <c r="J2467" s="50"/>
      <c r="K2467" s="50" t="s">
        <v>39</v>
      </c>
      <c r="L2467" s="50"/>
      <c r="M2467" s="50" t="s">
        <v>328</v>
      </c>
      <c r="N2467" s="50"/>
      <c r="O2467" s="50"/>
      <c r="P2467" s="50"/>
      <c r="Q2467" s="50"/>
      <c r="R2467" s="50"/>
      <c r="S2467" s="50" t="str">
        <f t="shared" si="240"/>
        <v/>
      </c>
      <c r="T2467" s="50" t="str">
        <f t="shared" si="238"/>
        <v/>
      </c>
      <c r="U2467" s="50" t="str">
        <f t="shared" si="239"/>
        <v/>
      </c>
      <c r="V2467" s="50" t="str">
        <f t="shared" si="241"/>
        <v/>
      </c>
      <c r="W2467" s="50"/>
      <c r="X2467" s="50"/>
      <c r="Y2467" s="50"/>
      <c r="Z2467" s="50"/>
      <c r="AA2467" s="50"/>
    </row>
    <row r="2468" spans="1:27" s="110" customFormat="1" ht="25.5" customHeight="1">
      <c r="A2468" s="517" t="s">
        <v>779</v>
      </c>
      <c r="B2468" s="51" t="s">
        <v>1185</v>
      </c>
      <c r="C2468" s="51" t="s">
        <v>143</v>
      </c>
      <c r="D2468" s="51" t="s">
        <v>5936</v>
      </c>
      <c r="E2468" s="50">
        <v>965</v>
      </c>
      <c r="F2468" s="50">
        <v>1161</v>
      </c>
      <c r="G2468" s="50" t="s">
        <v>3955</v>
      </c>
      <c r="H2468" s="50"/>
      <c r="I2468" s="105"/>
      <c r="J2468" s="50"/>
      <c r="K2468" s="50" t="s">
        <v>39</v>
      </c>
      <c r="L2468" s="50"/>
      <c r="M2468" s="50" t="s">
        <v>328</v>
      </c>
      <c r="N2468" s="50"/>
      <c r="O2468" s="50"/>
      <c r="P2468" s="50"/>
      <c r="Q2468" s="50"/>
      <c r="R2468" s="50"/>
      <c r="S2468" s="50" t="str">
        <f t="shared" si="240"/>
        <v/>
      </c>
      <c r="T2468" s="50" t="str">
        <f t="shared" si="238"/>
        <v/>
      </c>
      <c r="U2468" s="50" t="str">
        <f t="shared" si="239"/>
        <v/>
      </c>
      <c r="V2468" s="50" t="str">
        <f t="shared" si="241"/>
        <v/>
      </c>
      <c r="W2468" s="50"/>
      <c r="X2468" s="50"/>
      <c r="Y2468" s="50"/>
      <c r="Z2468" s="50"/>
      <c r="AA2468" s="50"/>
    </row>
    <row r="2469" spans="1:27" ht="25.5" customHeight="1">
      <c r="A2469" s="50" t="s">
        <v>779</v>
      </c>
      <c r="B2469" s="51" t="s">
        <v>1185</v>
      </c>
      <c r="C2469" s="51" t="s">
        <v>143</v>
      </c>
      <c r="D2469" s="51" t="s">
        <v>5937</v>
      </c>
      <c r="E2469" s="50">
        <v>5917</v>
      </c>
      <c r="F2469" s="50">
        <v>6396</v>
      </c>
      <c r="G2469" s="50" t="s">
        <v>3404</v>
      </c>
      <c r="H2469" s="50">
        <v>2024</v>
      </c>
      <c r="I2469" s="132">
        <v>45576</v>
      </c>
      <c r="J2469" s="50"/>
      <c r="K2469" s="50" t="s">
        <v>39</v>
      </c>
      <c r="L2469" s="50"/>
      <c r="M2469" s="50" t="s">
        <v>328</v>
      </c>
      <c r="N2469" s="50"/>
      <c r="O2469" s="50"/>
      <c r="P2469" s="50"/>
      <c r="Q2469" s="50"/>
      <c r="R2469" s="50"/>
      <c r="S2469" s="50" t="str">
        <f t="shared" si="240"/>
        <v/>
      </c>
      <c r="T2469" s="50" t="str">
        <f t="shared" si="238"/>
        <v/>
      </c>
      <c r="U2469" s="50" t="str">
        <f t="shared" si="239"/>
        <v/>
      </c>
      <c r="V2469" s="50" t="str">
        <f t="shared" si="241"/>
        <v/>
      </c>
      <c r="W2469" s="50"/>
      <c r="X2469" s="50" t="s">
        <v>4</v>
      </c>
      <c r="Y2469" s="50" t="s">
        <v>50</v>
      </c>
      <c r="Z2469" s="50" t="s">
        <v>3406</v>
      </c>
      <c r="AA2469" s="50"/>
    </row>
    <row r="2470" spans="1:27" ht="25.5" customHeight="1">
      <c r="A2470" s="517" t="s">
        <v>779</v>
      </c>
      <c r="B2470" s="51" t="s">
        <v>1185</v>
      </c>
      <c r="C2470" s="51" t="s">
        <v>143</v>
      </c>
      <c r="D2470" s="51" t="s">
        <v>5938</v>
      </c>
      <c r="E2470" s="50">
        <v>2560</v>
      </c>
      <c r="F2470" s="50">
        <v>2862</v>
      </c>
      <c r="G2470" s="50" t="s">
        <v>3404</v>
      </c>
      <c r="H2470" s="50">
        <v>2025</v>
      </c>
      <c r="I2470" s="132">
        <v>45701</v>
      </c>
      <c r="J2470" s="50" t="s">
        <v>3458</v>
      </c>
      <c r="K2470" s="50" t="s">
        <v>39</v>
      </c>
      <c r="L2470" s="50"/>
      <c r="M2470" s="50" t="s">
        <v>328</v>
      </c>
      <c r="N2470" s="50" t="s">
        <v>5939</v>
      </c>
      <c r="O2470" s="60">
        <v>45704</v>
      </c>
      <c r="P2470" s="50"/>
      <c r="Q2470" s="60">
        <v>45705</v>
      </c>
      <c r="R2470" s="60">
        <v>45708</v>
      </c>
      <c r="S2470" s="50">
        <f t="shared" si="240"/>
        <v>1</v>
      </c>
      <c r="T2470" s="50" t="str">
        <f t="shared" si="238"/>
        <v/>
      </c>
      <c r="U2470" s="50">
        <f t="shared" si="239"/>
        <v>1</v>
      </c>
      <c r="V2470" s="50">
        <f t="shared" si="241"/>
        <v>3</v>
      </c>
      <c r="W2470" s="50" t="s">
        <v>150</v>
      </c>
      <c r="X2470" s="50" t="s">
        <v>4</v>
      </c>
      <c r="Y2470" s="50" t="s">
        <v>50</v>
      </c>
      <c r="Z2470" s="50" t="s">
        <v>3406</v>
      </c>
      <c r="AA2470" s="50"/>
    </row>
    <row r="2471" spans="1:27" ht="25.5" customHeight="1">
      <c r="A2471" s="517" t="s">
        <v>779</v>
      </c>
      <c r="B2471" s="51" t="s">
        <v>1185</v>
      </c>
      <c r="C2471" s="51" t="s">
        <v>143</v>
      </c>
      <c r="D2471" s="51" t="s">
        <v>5940</v>
      </c>
      <c r="E2471" s="50">
        <v>1276</v>
      </c>
      <c r="F2471" s="50">
        <v>1388</v>
      </c>
      <c r="G2471" s="50" t="s">
        <v>3955</v>
      </c>
      <c r="H2471" s="50"/>
      <c r="I2471" s="105"/>
      <c r="J2471" s="50"/>
      <c r="K2471" s="50" t="s">
        <v>39</v>
      </c>
      <c r="L2471" s="50"/>
      <c r="M2471" s="50" t="s">
        <v>328</v>
      </c>
      <c r="N2471" s="50"/>
      <c r="O2471" s="50"/>
      <c r="P2471" s="50"/>
      <c r="Q2471" s="50"/>
      <c r="R2471" s="50"/>
      <c r="S2471" s="50" t="str">
        <f t="shared" si="240"/>
        <v/>
      </c>
      <c r="T2471" s="50" t="str">
        <f t="shared" si="238"/>
        <v/>
      </c>
      <c r="U2471" s="50" t="str">
        <f t="shared" si="239"/>
        <v/>
      </c>
      <c r="V2471" s="50" t="str">
        <f t="shared" si="241"/>
        <v/>
      </c>
      <c r="W2471" s="50"/>
      <c r="X2471" s="50"/>
      <c r="Y2471" s="50"/>
      <c r="Z2471" s="50"/>
      <c r="AA2471" s="50"/>
    </row>
    <row r="2472" spans="1:27" ht="25.5" customHeight="1">
      <c r="A2472" s="517" t="s">
        <v>779</v>
      </c>
      <c r="B2472" s="51" t="s">
        <v>1185</v>
      </c>
      <c r="C2472" s="51" t="s">
        <v>143</v>
      </c>
      <c r="D2472" s="51" t="s">
        <v>5941</v>
      </c>
      <c r="E2472" s="50">
        <v>2566</v>
      </c>
      <c r="F2472" s="50">
        <v>2883</v>
      </c>
      <c r="G2472" s="50" t="s">
        <v>3955</v>
      </c>
      <c r="H2472" s="50"/>
      <c r="I2472" s="105"/>
      <c r="J2472" s="50"/>
      <c r="K2472" s="50" t="s">
        <v>39</v>
      </c>
      <c r="L2472" s="50"/>
      <c r="M2472" s="50" t="s">
        <v>328</v>
      </c>
      <c r="N2472" s="50"/>
      <c r="O2472" s="50"/>
      <c r="P2472" s="50"/>
      <c r="Q2472" s="50"/>
      <c r="R2472" s="50"/>
      <c r="S2472" s="50" t="str">
        <f t="shared" si="240"/>
        <v/>
      </c>
      <c r="T2472" s="50" t="str">
        <f t="shared" si="238"/>
        <v/>
      </c>
      <c r="U2472" s="50" t="str">
        <f t="shared" si="239"/>
        <v/>
      </c>
      <c r="V2472" s="50" t="str">
        <f t="shared" si="241"/>
        <v/>
      </c>
      <c r="W2472" s="50"/>
      <c r="X2472" s="50"/>
      <c r="Y2472" s="50"/>
      <c r="Z2472" s="50"/>
      <c r="AA2472" s="50"/>
    </row>
    <row r="2473" spans="1:27" s="110" customFormat="1" ht="25.5" customHeight="1">
      <c r="A2473" s="517" t="s">
        <v>779</v>
      </c>
      <c r="B2473" s="51" t="s">
        <v>1185</v>
      </c>
      <c r="C2473" s="51" t="s">
        <v>143</v>
      </c>
      <c r="D2473" s="51" t="s">
        <v>5942</v>
      </c>
      <c r="E2473" s="50">
        <v>2219</v>
      </c>
      <c r="F2473" s="50">
        <v>2441</v>
      </c>
      <c r="G2473" s="50" t="s">
        <v>3955</v>
      </c>
      <c r="H2473" s="50"/>
      <c r="I2473" s="105"/>
      <c r="J2473" s="50"/>
      <c r="K2473" s="50" t="s">
        <v>39</v>
      </c>
      <c r="L2473" s="50"/>
      <c r="M2473" s="50" t="s">
        <v>328</v>
      </c>
      <c r="N2473" s="50"/>
      <c r="O2473" s="50"/>
      <c r="P2473" s="50"/>
      <c r="Q2473" s="50"/>
      <c r="R2473" s="50"/>
      <c r="S2473" s="50" t="str">
        <f t="shared" si="240"/>
        <v/>
      </c>
      <c r="T2473" s="50" t="str">
        <f t="shared" si="238"/>
        <v/>
      </c>
      <c r="U2473" s="50" t="str">
        <f t="shared" si="239"/>
        <v/>
      </c>
      <c r="V2473" s="50" t="str">
        <f t="shared" si="241"/>
        <v/>
      </c>
      <c r="W2473" s="50"/>
      <c r="X2473" s="50"/>
      <c r="Y2473" s="50"/>
      <c r="Z2473" s="50"/>
      <c r="AA2473" s="50"/>
    </row>
    <row r="2474" spans="1:27" ht="25.5" customHeight="1">
      <c r="A2474" s="517" t="s">
        <v>779</v>
      </c>
      <c r="B2474" s="51" t="s">
        <v>1185</v>
      </c>
      <c r="C2474" s="51" t="s">
        <v>143</v>
      </c>
      <c r="D2474" s="51" t="s">
        <v>5943</v>
      </c>
      <c r="E2474" s="50">
        <v>1547</v>
      </c>
      <c r="F2474" s="50">
        <v>1729</v>
      </c>
      <c r="G2474" s="50" t="s">
        <v>3955</v>
      </c>
      <c r="H2474" s="50"/>
      <c r="I2474" s="105"/>
      <c r="J2474" s="50"/>
      <c r="K2474" s="50" t="s">
        <v>39</v>
      </c>
      <c r="L2474" s="50"/>
      <c r="M2474" s="50" t="s">
        <v>328</v>
      </c>
      <c r="N2474" s="50"/>
      <c r="O2474" s="50"/>
      <c r="P2474" s="50"/>
      <c r="Q2474" s="50"/>
      <c r="R2474" s="50"/>
      <c r="S2474" s="50" t="str">
        <f t="shared" si="240"/>
        <v/>
      </c>
      <c r="T2474" s="50" t="str">
        <f t="shared" ref="T2474:T2537" si="242">IF(
    OR(ISBLANK(O2474), ISBLANK(P2474)),
    "",
    MAX(1, IF(
        NETWORKDAYS(O2474, P2474) &lt;= 0,
        1,
        NETWORKDAYS(O2474, P2474) - IF(O2474 = P2474, 0, 1)
    ))
)</f>
        <v/>
      </c>
      <c r="U2474" s="50" t="str">
        <f t="shared" si="239"/>
        <v/>
      </c>
      <c r="V2474" s="50" t="str">
        <f t="shared" si="241"/>
        <v/>
      </c>
      <c r="W2474" s="50"/>
      <c r="X2474" s="50"/>
      <c r="Y2474" s="50"/>
      <c r="Z2474" s="50"/>
      <c r="AA2474" s="50"/>
    </row>
    <row r="2475" spans="1:27" ht="25.5" customHeight="1">
      <c r="A2475" s="50" t="s">
        <v>779</v>
      </c>
      <c r="B2475" s="51" t="s">
        <v>1185</v>
      </c>
      <c r="C2475" s="51" t="s">
        <v>143</v>
      </c>
      <c r="D2475" s="51" t="s">
        <v>5944</v>
      </c>
      <c r="E2475" s="50">
        <v>3725</v>
      </c>
      <c r="F2475" s="50">
        <v>3719</v>
      </c>
      <c r="G2475" s="50" t="s">
        <v>3404</v>
      </c>
      <c r="H2475" s="50">
        <v>2024</v>
      </c>
      <c r="I2475" s="132">
        <v>45414</v>
      </c>
      <c r="J2475" s="50"/>
      <c r="K2475" s="50" t="s">
        <v>39</v>
      </c>
      <c r="L2475" s="50"/>
      <c r="M2475" s="50" t="s">
        <v>328</v>
      </c>
      <c r="N2475" s="50"/>
      <c r="O2475" s="50"/>
      <c r="P2475" s="50"/>
      <c r="Q2475" s="50"/>
      <c r="R2475" s="50"/>
      <c r="S2475" s="50" t="str">
        <f t="shared" si="240"/>
        <v/>
      </c>
      <c r="T2475" s="50" t="str">
        <f t="shared" si="242"/>
        <v/>
      </c>
      <c r="U2475" s="50" t="str">
        <f t="shared" si="239"/>
        <v/>
      </c>
      <c r="V2475" s="50" t="str">
        <f t="shared" si="241"/>
        <v/>
      </c>
      <c r="W2475" s="50"/>
      <c r="X2475" s="50"/>
      <c r="Y2475" s="50"/>
      <c r="Z2475" s="50" t="s">
        <v>3406</v>
      </c>
      <c r="AA2475" s="50"/>
    </row>
    <row r="2476" spans="1:27" ht="25.5" customHeight="1">
      <c r="A2476" s="517" t="s">
        <v>779</v>
      </c>
      <c r="B2476" s="51" t="s">
        <v>1185</v>
      </c>
      <c r="C2476" s="51" t="s">
        <v>143</v>
      </c>
      <c r="D2476" s="51" t="s">
        <v>5945</v>
      </c>
      <c r="E2476" s="50">
        <v>1207</v>
      </c>
      <c r="F2476" s="50">
        <v>1230</v>
      </c>
      <c r="G2476" s="50" t="s">
        <v>3955</v>
      </c>
      <c r="H2476" s="50"/>
      <c r="I2476" s="105"/>
      <c r="J2476" s="50"/>
      <c r="K2476" s="50" t="s">
        <v>39</v>
      </c>
      <c r="L2476" s="50"/>
      <c r="M2476" s="50" t="s">
        <v>328</v>
      </c>
      <c r="N2476" s="50"/>
      <c r="O2476" s="50"/>
      <c r="P2476" s="50"/>
      <c r="Q2476" s="50"/>
      <c r="R2476" s="50"/>
      <c r="S2476" s="50" t="str">
        <f t="shared" si="240"/>
        <v/>
      </c>
      <c r="T2476" s="50" t="str">
        <f t="shared" si="242"/>
        <v/>
      </c>
      <c r="U2476" s="50" t="str">
        <f t="shared" si="239"/>
        <v/>
      </c>
      <c r="V2476" s="50" t="str">
        <f t="shared" si="241"/>
        <v/>
      </c>
      <c r="W2476" s="50"/>
      <c r="X2476" s="50"/>
      <c r="Y2476" s="50"/>
      <c r="Z2476" s="50"/>
      <c r="AA2476" s="50"/>
    </row>
    <row r="2477" spans="1:27" ht="25.5" customHeight="1">
      <c r="A2477" s="517" t="s">
        <v>779</v>
      </c>
      <c r="B2477" s="51" t="s">
        <v>1185</v>
      </c>
      <c r="C2477" s="51" t="s">
        <v>143</v>
      </c>
      <c r="D2477" s="51" t="s">
        <v>5946</v>
      </c>
      <c r="E2477" s="50">
        <v>2524</v>
      </c>
      <c r="F2477" s="50">
        <v>2761</v>
      </c>
      <c r="G2477" s="50" t="s">
        <v>3955</v>
      </c>
      <c r="H2477" s="50"/>
      <c r="I2477" s="105"/>
      <c r="J2477" s="50"/>
      <c r="K2477" s="50" t="s">
        <v>39</v>
      </c>
      <c r="L2477" s="50"/>
      <c r="M2477" s="50" t="s">
        <v>328</v>
      </c>
      <c r="N2477" s="50"/>
      <c r="O2477" s="50"/>
      <c r="P2477" s="50"/>
      <c r="Q2477" s="50"/>
      <c r="R2477" s="50"/>
      <c r="S2477" s="50" t="str">
        <f t="shared" si="240"/>
        <v/>
      </c>
      <c r="T2477" s="50" t="str">
        <f t="shared" si="242"/>
        <v/>
      </c>
      <c r="U2477" s="50" t="str">
        <f t="shared" si="239"/>
        <v/>
      </c>
      <c r="V2477" s="50" t="str">
        <f t="shared" si="241"/>
        <v/>
      </c>
      <c r="W2477" s="50"/>
      <c r="X2477" s="50"/>
      <c r="Y2477" s="50"/>
      <c r="Z2477" s="50"/>
      <c r="AA2477" s="50"/>
    </row>
    <row r="2478" spans="1:27" s="110" customFormat="1" ht="25.5" customHeight="1">
      <c r="A2478" s="517" t="s">
        <v>779</v>
      </c>
      <c r="B2478" s="51" t="s">
        <v>1185</v>
      </c>
      <c r="C2478" s="51" t="s">
        <v>143</v>
      </c>
      <c r="D2478" s="51" t="s">
        <v>3616</v>
      </c>
      <c r="E2478" s="50">
        <v>3260</v>
      </c>
      <c r="F2478" s="50">
        <v>3438</v>
      </c>
      <c r="G2478" s="50" t="s">
        <v>3955</v>
      </c>
      <c r="H2478" s="50"/>
      <c r="I2478" s="105"/>
      <c r="J2478" s="50"/>
      <c r="K2478" s="50" t="s">
        <v>39</v>
      </c>
      <c r="L2478" s="50"/>
      <c r="M2478" s="50" t="s">
        <v>328</v>
      </c>
      <c r="N2478" s="50"/>
      <c r="O2478" s="50"/>
      <c r="P2478" s="50"/>
      <c r="Q2478" s="50"/>
      <c r="R2478" s="50"/>
      <c r="S2478" s="50" t="str">
        <f t="shared" si="240"/>
        <v/>
      </c>
      <c r="T2478" s="50" t="str">
        <f t="shared" si="242"/>
        <v/>
      </c>
      <c r="U2478" s="50" t="str">
        <f t="shared" ref="U2478:U2541" si="243">IF(
    OR(ISBLANK(O2478), ISBLANK(Q2478)),
    "",
    MAX(1, IF(
        NETWORKDAYS(O2478, Q2478) &lt;= 0,
        1,
        NETWORKDAYS(O2478, Q2478) - IF(O2478 = Q2478, 0, 1)
    ))
)</f>
        <v/>
      </c>
      <c r="V2478" s="50" t="str">
        <f t="shared" si="241"/>
        <v/>
      </c>
      <c r="W2478" s="50"/>
      <c r="X2478" s="50"/>
      <c r="Y2478" s="50"/>
      <c r="Z2478" s="50"/>
      <c r="AA2478" s="50"/>
    </row>
    <row r="2479" spans="1:27" ht="25.5" customHeight="1">
      <c r="A2479" s="517" t="s">
        <v>779</v>
      </c>
      <c r="B2479" s="51" t="s">
        <v>1185</v>
      </c>
      <c r="C2479" s="51" t="s">
        <v>143</v>
      </c>
      <c r="D2479" s="51" t="s">
        <v>5947</v>
      </c>
      <c r="E2479" s="50">
        <v>1725</v>
      </c>
      <c r="F2479" s="50">
        <v>1714</v>
      </c>
      <c r="G2479" s="50" t="s">
        <v>3955</v>
      </c>
      <c r="H2479" s="50"/>
      <c r="I2479" s="105"/>
      <c r="J2479" s="50"/>
      <c r="K2479" s="50" t="s">
        <v>39</v>
      </c>
      <c r="L2479" s="50"/>
      <c r="M2479" s="50" t="s">
        <v>328</v>
      </c>
      <c r="N2479" s="50"/>
      <c r="O2479" s="50"/>
      <c r="P2479" s="50"/>
      <c r="Q2479" s="50"/>
      <c r="R2479" s="50"/>
      <c r="S2479" s="50" t="str">
        <f t="shared" si="240"/>
        <v/>
      </c>
      <c r="T2479" s="50" t="str">
        <f t="shared" si="242"/>
        <v/>
      </c>
      <c r="U2479" s="50" t="str">
        <f t="shared" si="243"/>
        <v/>
      </c>
      <c r="V2479" s="50" t="str">
        <f t="shared" si="241"/>
        <v/>
      </c>
      <c r="W2479" s="50"/>
      <c r="X2479" s="50"/>
      <c r="Y2479" s="50"/>
      <c r="Z2479" s="50"/>
      <c r="AA2479" s="50"/>
    </row>
    <row r="2480" spans="1:27" ht="25.5" customHeight="1">
      <c r="A2480" s="50" t="s">
        <v>779</v>
      </c>
      <c r="B2480" s="51" t="s">
        <v>1185</v>
      </c>
      <c r="C2480" s="51" t="s">
        <v>143</v>
      </c>
      <c r="D2480" s="51" t="s">
        <v>5948</v>
      </c>
      <c r="E2480" s="50">
        <v>3107</v>
      </c>
      <c r="F2480" s="50">
        <v>3368</v>
      </c>
      <c r="G2480" s="50" t="s">
        <v>3404</v>
      </c>
      <c r="H2480" s="50">
        <v>2024</v>
      </c>
      <c r="I2480" s="132">
        <v>45475</v>
      </c>
      <c r="J2480" s="50"/>
      <c r="K2480" s="50" t="s">
        <v>39</v>
      </c>
      <c r="L2480" s="50"/>
      <c r="M2480" s="50" t="s">
        <v>328</v>
      </c>
      <c r="N2480" s="50"/>
      <c r="O2480" s="50"/>
      <c r="P2480" s="50"/>
      <c r="Q2480" s="50"/>
      <c r="R2480" s="50"/>
      <c r="S2480" s="50" t="str">
        <f t="shared" ref="S2480:S2543" si="244">IF(
    OR(ISBLANK(I2480), ISBLANK(O2480)),
    "",
    MAX(1, IF(
        NETWORKDAYS(I2480, O2480) &lt;= 0,
        1,
        NETWORKDAYS(I2480, O2480) - IF(I2480 = O2480, 0, 1)
    ))
)</f>
        <v/>
      </c>
      <c r="T2480" s="50" t="str">
        <f t="shared" si="242"/>
        <v/>
      </c>
      <c r="U2480" s="50" t="str">
        <f t="shared" si="243"/>
        <v/>
      </c>
      <c r="V2480" s="50" t="str">
        <f t="shared" ref="V2480:V2543" si="245">IF(
    OR(ISBLANK(Q2480), ISBLANK(R2480)),
    "",
    MAX(1, IF(
        NETWORKDAYS(Q2480, R2480) &lt;= 0,
        1,
        NETWORKDAYS(Q2480, R2480) - IF(Q2480 = R2480, 0, 1)
    ))
)</f>
        <v/>
      </c>
      <c r="W2480" s="50"/>
      <c r="X2480" s="50" t="s">
        <v>4</v>
      </c>
      <c r="Y2480" s="50" t="s">
        <v>50</v>
      </c>
      <c r="Z2480" s="50" t="s">
        <v>3406</v>
      </c>
      <c r="AA2480" s="50"/>
    </row>
    <row r="2481" spans="1:27" ht="25.5" customHeight="1">
      <c r="A2481" s="50" t="s">
        <v>779</v>
      </c>
      <c r="B2481" s="51" t="s">
        <v>1185</v>
      </c>
      <c r="C2481" s="51" t="s">
        <v>143</v>
      </c>
      <c r="D2481" s="51" t="s">
        <v>4126</v>
      </c>
      <c r="E2481" s="50">
        <v>6040</v>
      </c>
      <c r="F2481" s="50">
        <v>7429</v>
      </c>
      <c r="G2481" s="50" t="s">
        <v>3404</v>
      </c>
      <c r="H2481" s="50">
        <v>2024</v>
      </c>
      <c r="I2481" s="132">
        <v>45541</v>
      </c>
      <c r="J2481" s="50"/>
      <c r="K2481" s="50" t="s">
        <v>39</v>
      </c>
      <c r="L2481" s="50"/>
      <c r="M2481" s="50" t="s">
        <v>328</v>
      </c>
      <c r="N2481" s="50"/>
      <c r="O2481" s="50"/>
      <c r="P2481" s="50"/>
      <c r="Q2481" s="50"/>
      <c r="R2481" s="50"/>
      <c r="S2481" s="50" t="str">
        <f t="shared" si="244"/>
        <v/>
      </c>
      <c r="T2481" s="50" t="str">
        <f t="shared" si="242"/>
        <v/>
      </c>
      <c r="U2481" s="50" t="str">
        <f t="shared" si="243"/>
        <v/>
      </c>
      <c r="V2481" s="50" t="str">
        <f t="shared" si="245"/>
        <v/>
      </c>
      <c r="W2481" s="50"/>
      <c r="X2481" s="50" t="s">
        <v>4</v>
      </c>
      <c r="Y2481" s="50" t="s">
        <v>50</v>
      </c>
      <c r="Z2481" s="50" t="s">
        <v>3406</v>
      </c>
      <c r="AA2481" s="50"/>
    </row>
    <row r="2482" spans="1:27" s="110" customFormat="1" ht="25.5" customHeight="1">
      <c r="A2482" s="50" t="s">
        <v>779</v>
      </c>
      <c r="B2482" s="51" t="s">
        <v>1185</v>
      </c>
      <c r="C2482" s="51" t="s">
        <v>143</v>
      </c>
      <c r="D2482" s="51" t="s">
        <v>914</v>
      </c>
      <c r="E2482" s="50">
        <v>3175</v>
      </c>
      <c r="F2482" s="50">
        <v>3474</v>
      </c>
      <c r="G2482" s="50" t="s">
        <v>3404</v>
      </c>
      <c r="H2482" s="50">
        <v>2024</v>
      </c>
      <c r="I2482" s="132">
        <v>45604</v>
      </c>
      <c r="J2482" s="50"/>
      <c r="K2482" s="50" t="s">
        <v>39</v>
      </c>
      <c r="L2482" s="50"/>
      <c r="M2482" s="50" t="s">
        <v>328</v>
      </c>
      <c r="N2482" s="50"/>
      <c r="O2482" s="50"/>
      <c r="P2482" s="50"/>
      <c r="Q2482" s="50"/>
      <c r="R2482" s="50"/>
      <c r="S2482" s="50" t="str">
        <f t="shared" si="244"/>
        <v/>
      </c>
      <c r="T2482" s="50" t="str">
        <f t="shared" si="242"/>
        <v/>
      </c>
      <c r="U2482" s="50" t="str">
        <f t="shared" si="243"/>
        <v/>
      </c>
      <c r="V2482" s="50" t="str">
        <f t="shared" si="245"/>
        <v/>
      </c>
      <c r="W2482" s="50"/>
      <c r="X2482" s="50" t="s">
        <v>4</v>
      </c>
      <c r="Y2482" s="50" t="s">
        <v>50</v>
      </c>
      <c r="Z2482" s="50" t="s">
        <v>3406</v>
      </c>
      <c r="AA2482" s="50"/>
    </row>
    <row r="2483" spans="1:27" ht="25.5" customHeight="1">
      <c r="A2483" s="517" t="s">
        <v>779</v>
      </c>
      <c r="B2483" s="51" t="s">
        <v>1185</v>
      </c>
      <c r="C2483" s="51" t="s">
        <v>143</v>
      </c>
      <c r="D2483" s="51" t="s">
        <v>5756</v>
      </c>
      <c r="E2483" s="50">
        <v>2113</v>
      </c>
      <c r="F2483" s="50">
        <v>2415</v>
      </c>
      <c r="G2483" s="50" t="s">
        <v>3955</v>
      </c>
      <c r="H2483" s="50"/>
      <c r="I2483" s="105"/>
      <c r="J2483" s="50"/>
      <c r="K2483" s="50" t="s">
        <v>39</v>
      </c>
      <c r="L2483" s="50"/>
      <c r="M2483" s="50" t="s">
        <v>328</v>
      </c>
      <c r="N2483" s="50"/>
      <c r="O2483" s="50"/>
      <c r="P2483" s="50"/>
      <c r="Q2483" s="50"/>
      <c r="R2483" s="50"/>
      <c r="S2483" s="50" t="str">
        <f t="shared" si="244"/>
        <v/>
      </c>
      <c r="T2483" s="50" t="str">
        <f t="shared" si="242"/>
        <v/>
      </c>
      <c r="U2483" s="50" t="str">
        <f t="shared" si="243"/>
        <v/>
      </c>
      <c r="V2483" s="50" t="str">
        <f t="shared" si="245"/>
        <v/>
      </c>
      <c r="W2483" s="50"/>
      <c r="X2483" s="50"/>
      <c r="Y2483" s="50"/>
      <c r="Z2483" s="50"/>
      <c r="AA2483" s="50"/>
    </row>
    <row r="2484" spans="1:27" s="110" customFormat="1" ht="25.5" customHeight="1">
      <c r="A2484" s="50" t="s">
        <v>779</v>
      </c>
      <c r="B2484" s="51" t="s">
        <v>1185</v>
      </c>
      <c r="C2484" s="51" t="s">
        <v>143</v>
      </c>
      <c r="D2484" s="51" t="s">
        <v>4024</v>
      </c>
      <c r="E2484" s="50">
        <v>7983</v>
      </c>
      <c r="F2484" s="50">
        <v>8828</v>
      </c>
      <c r="G2484" s="50" t="s">
        <v>3404</v>
      </c>
      <c r="H2484" s="50">
        <v>2024</v>
      </c>
      <c r="I2484" s="132">
        <v>45414</v>
      </c>
      <c r="J2484" s="50"/>
      <c r="K2484" s="50" t="s">
        <v>39</v>
      </c>
      <c r="L2484" s="50"/>
      <c r="M2484" s="50" t="s">
        <v>328</v>
      </c>
      <c r="N2484" s="50"/>
      <c r="O2484" s="50"/>
      <c r="P2484" s="50"/>
      <c r="Q2484" s="50"/>
      <c r="R2484" s="50"/>
      <c r="S2484" s="50" t="str">
        <f t="shared" si="244"/>
        <v/>
      </c>
      <c r="T2484" s="50" t="str">
        <f t="shared" si="242"/>
        <v/>
      </c>
      <c r="U2484" s="50" t="str">
        <f t="shared" si="243"/>
        <v/>
      </c>
      <c r="V2484" s="50" t="str">
        <f t="shared" si="245"/>
        <v/>
      </c>
      <c r="W2484" s="50"/>
      <c r="X2484" s="50"/>
      <c r="Y2484" s="50"/>
      <c r="Z2484" s="50" t="s">
        <v>3406</v>
      </c>
      <c r="AA2484" s="50"/>
    </row>
    <row r="2485" spans="1:27" ht="25.5" customHeight="1">
      <c r="A2485" s="517" t="s">
        <v>779</v>
      </c>
      <c r="B2485" s="51" t="s">
        <v>1185</v>
      </c>
      <c r="C2485" s="51" t="s">
        <v>143</v>
      </c>
      <c r="D2485" s="51" t="s">
        <v>1180</v>
      </c>
      <c r="E2485" s="50">
        <v>2950</v>
      </c>
      <c r="F2485" s="50">
        <v>3252</v>
      </c>
      <c r="G2485" s="50" t="s">
        <v>3955</v>
      </c>
      <c r="H2485" s="50"/>
      <c r="I2485" s="105"/>
      <c r="J2485" s="50"/>
      <c r="K2485" s="50" t="s">
        <v>39</v>
      </c>
      <c r="L2485" s="50"/>
      <c r="M2485" s="50" t="s">
        <v>328</v>
      </c>
      <c r="N2485" s="50"/>
      <c r="O2485" s="50"/>
      <c r="P2485" s="50"/>
      <c r="Q2485" s="50"/>
      <c r="R2485" s="50"/>
      <c r="S2485" s="50" t="str">
        <f t="shared" si="244"/>
        <v/>
      </c>
      <c r="T2485" s="50" t="str">
        <f t="shared" si="242"/>
        <v/>
      </c>
      <c r="U2485" s="50" t="str">
        <f t="shared" si="243"/>
        <v/>
      </c>
      <c r="V2485" s="50" t="str">
        <f t="shared" si="245"/>
        <v/>
      </c>
      <c r="W2485" s="50"/>
      <c r="X2485" s="50"/>
      <c r="Y2485" s="50"/>
      <c r="Z2485" s="50"/>
      <c r="AA2485" s="50"/>
    </row>
    <row r="2486" spans="1:27" ht="25.5" customHeight="1">
      <c r="A2486" s="50" t="s">
        <v>779</v>
      </c>
      <c r="B2486" s="51" t="s">
        <v>1185</v>
      </c>
      <c r="C2486" s="51" t="s">
        <v>143</v>
      </c>
      <c r="D2486" s="51" t="s">
        <v>4025</v>
      </c>
      <c r="E2486" s="50">
        <v>9739</v>
      </c>
      <c r="F2486" s="50">
        <v>10454</v>
      </c>
      <c r="G2486" s="50" t="s">
        <v>3404</v>
      </c>
      <c r="H2486" s="50">
        <v>2024</v>
      </c>
      <c r="I2486" s="132">
        <v>45510</v>
      </c>
      <c r="J2486" s="50"/>
      <c r="K2486" s="50" t="s">
        <v>39</v>
      </c>
      <c r="L2486" s="50"/>
      <c r="M2486" s="50" t="s">
        <v>328</v>
      </c>
      <c r="N2486" s="50"/>
      <c r="O2486" s="50"/>
      <c r="P2486" s="50"/>
      <c r="Q2486" s="50"/>
      <c r="R2486" s="50"/>
      <c r="S2486" s="50" t="str">
        <f t="shared" si="244"/>
        <v/>
      </c>
      <c r="T2486" s="50" t="str">
        <f t="shared" si="242"/>
        <v/>
      </c>
      <c r="U2486" s="50" t="str">
        <f t="shared" si="243"/>
        <v/>
      </c>
      <c r="V2486" s="50" t="str">
        <f t="shared" si="245"/>
        <v/>
      </c>
      <c r="W2486" s="50"/>
      <c r="X2486" s="50" t="s">
        <v>4</v>
      </c>
      <c r="Y2486" s="50" t="s">
        <v>50</v>
      </c>
      <c r="Z2486" s="50" t="s">
        <v>3406</v>
      </c>
      <c r="AA2486" s="50"/>
    </row>
    <row r="2487" spans="1:27" ht="25.5" customHeight="1">
      <c r="A2487" s="50" t="s">
        <v>779</v>
      </c>
      <c r="B2487" s="51" t="s">
        <v>1185</v>
      </c>
      <c r="C2487" s="51" t="s">
        <v>143</v>
      </c>
      <c r="D2487" s="51" t="s">
        <v>918</v>
      </c>
      <c r="E2487" s="50">
        <v>4565</v>
      </c>
      <c r="F2487" s="50">
        <v>5296</v>
      </c>
      <c r="G2487" s="50" t="s">
        <v>3404</v>
      </c>
      <c r="H2487" s="50">
        <v>2024</v>
      </c>
      <c r="I2487" s="132">
        <v>45576</v>
      </c>
      <c r="J2487" s="50"/>
      <c r="K2487" s="50" t="s">
        <v>39</v>
      </c>
      <c r="L2487" s="50"/>
      <c r="M2487" s="50" t="s">
        <v>328</v>
      </c>
      <c r="N2487" s="50"/>
      <c r="O2487" s="50"/>
      <c r="P2487" s="50"/>
      <c r="Q2487" s="50"/>
      <c r="R2487" s="50"/>
      <c r="S2487" s="50" t="str">
        <f t="shared" si="244"/>
        <v/>
      </c>
      <c r="T2487" s="50" t="str">
        <f t="shared" si="242"/>
        <v/>
      </c>
      <c r="U2487" s="50" t="str">
        <f t="shared" si="243"/>
        <v/>
      </c>
      <c r="V2487" s="50" t="str">
        <f t="shared" si="245"/>
        <v/>
      </c>
      <c r="W2487" s="50"/>
      <c r="X2487" s="50" t="s">
        <v>4</v>
      </c>
      <c r="Y2487" s="50" t="s">
        <v>50</v>
      </c>
      <c r="Z2487" s="50" t="s">
        <v>3406</v>
      </c>
      <c r="AA2487" s="50"/>
    </row>
    <row r="2488" spans="1:27" ht="25.5" customHeight="1">
      <c r="A2488" s="517" t="s">
        <v>779</v>
      </c>
      <c r="B2488" s="51" t="s">
        <v>1185</v>
      </c>
      <c r="C2488" s="51" t="s">
        <v>143</v>
      </c>
      <c r="D2488" s="51" t="s">
        <v>4207</v>
      </c>
      <c r="E2488" s="50">
        <v>408</v>
      </c>
      <c r="F2488" s="50">
        <v>447</v>
      </c>
      <c r="G2488" s="50" t="s">
        <v>3955</v>
      </c>
      <c r="H2488" s="50"/>
      <c r="I2488" s="105"/>
      <c r="J2488" s="50"/>
      <c r="K2488" s="50" t="s">
        <v>39</v>
      </c>
      <c r="L2488" s="50"/>
      <c r="M2488" s="50" t="s">
        <v>328</v>
      </c>
      <c r="N2488" s="50"/>
      <c r="O2488" s="50"/>
      <c r="P2488" s="50"/>
      <c r="Q2488" s="50"/>
      <c r="R2488" s="50"/>
      <c r="S2488" s="50" t="str">
        <f t="shared" si="244"/>
        <v/>
      </c>
      <c r="T2488" s="50" t="str">
        <f t="shared" si="242"/>
        <v/>
      </c>
      <c r="U2488" s="50" t="str">
        <f t="shared" si="243"/>
        <v/>
      </c>
      <c r="V2488" s="50" t="str">
        <f t="shared" si="245"/>
        <v/>
      </c>
      <c r="W2488" s="50"/>
      <c r="X2488" s="50"/>
      <c r="Y2488" s="50"/>
      <c r="Z2488" s="50"/>
      <c r="AA2488" s="50"/>
    </row>
    <row r="2489" spans="1:27" ht="25.5" customHeight="1">
      <c r="A2489" s="517" t="s">
        <v>779</v>
      </c>
      <c r="B2489" s="51" t="s">
        <v>1185</v>
      </c>
      <c r="C2489" s="51" t="s">
        <v>143</v>
      </c>
      <c r="D2489" s="51" t="s">
        <v>5659</v>
      </c>
      <c r="E2489" s="50">
        <v>4985</v>
      </c>
      <c r="F2489" s="50">
        <v>4882</v>
      </c>
      <c r="G2489" s="50" t="s">
        <v>3955</v>
      </c>
      <c r="H2489" s="50"/>
      <c r="I2489" s="105"/>
      <c r="J2489" s="50"/>
      <c r="K2489" s="50" t="s">
        <v>39</v>
      </c>
      <c r="L2489" s="50"/>
      <c r="M2489" s="50" t="s">
        <v>328</v>
      </c>
      <c r="N2489" s="50"/>
      <c r="O2489" s="50"/>
      <c r="P2489" s="50"/>
      <c r="Q2489" s="50"/>
      <c r="R2489" s="50"/>
      <c r="S2489" s="50" t="str">
        <f t="shared" si="244"/>
        <v/>
      </c>
      <c r="T2489" s="50" t="str">
        <f t="shared" si="242"/>
        <v/>
      </c>
      <c r="U2489" s="50" t="str">
        <f t="shared" si="243"/>
        <v/>
      </c>
      <c r="V2489" s="50" t="str">
        <f t="shared" si="245"/>
        <v/>
      </c>
      <c r="W2489" s="50"/>
      <c r="X2489" s="50"/>
      <c r="Y2489" s="50"/>
      <c r="Z2489" s="50"/>
      <c r="AA2489" s="50"/>
    </row>
    <row r="2490" spans="1:27" s="110" customFormat="1" ht="25.5" customHeight="1">
      <c r="A2490" s="517" t="s">
        <v>779</v>
      </c>
      <c r="B2490" s="51" t="s">
        <v>1185</v>
      </c>
      <c r="C2490" s="51" t="s">
        <v>143</v>
      </c>
      <c r="D2490" s="51" t="s">
        <v>5949</v>
      </c>
      <c r="E2490" s="50">
        <v>3852</v>
      </c>
      <c r="F2490" s="50">
        <v>4101</v>
      </c>
      <c r="G2490" s="50" t="s">
        <v>3955</v>
      </c>
      <c r="H2490" s="50"/>
      <c r="I2490" s="105"/>
      <c r="J2490" s="50"/>
      <c r="K2490" s="50" t="s">
        <v>39</v>
      </c>
      <c r="L2490" s="50"/>
      <c r="M2490" s="50" t="s">
        <v>328</v>
      </c>
      <c r="N2490" s="50"/>
      <c r="O2490" s="50"/>
      <c r="P2490" s="50"/>
      <c r="Q2490" s="50"/>
      <c r="R2490" s="50"/>
      <c r="S2490" s="50" t="str">
        <f t="shared" si="244"/>
        <v/>
      </c>
      <c r="T2490" s="50" t="str">
        <f t="shared" si="242"/>
        <v/>
      </c>
      <c r="U2490" s="50" t="str">
        <f t="shared" si="243"/>
        <v/>
      </c>
      <c r="V2490" s="50" t="str">
        <f t="shared" si="245"/>
        <v/>
      </c>
      <c r="W2490" s="50"/>
      <c r="X2490" s="50"/>
      <c r="Y2490" s="50"/>
      <c r="Z2490" s="50"/>
      <c r="AA2490" s="50"/>
    </row>
    <row r="2491" spans="1:27" ht="25.5" customHeight="1">
      <c r="A2491" s="517" t="s">
        <v>779</v>
      </c>
      <c r="B2491" s="51" t="s">
        <v>1185</v>
      </c>
      <c r="C2491" s="51" t="s">
        <v>143</v>
      </c>
      <c r="D2491" s="51" t="s">
        <v>1166</v>
      </c>
      <c r="E2491" s="50">
        <v>1882</v>
      </c>
      <c r="F2491" s="50">
        <v>2239</v>
      </c>
      <c r="G2491" s="50" t="s">
        <v>3955</v>
      </c>
      <c r="H2491" s="50"/>
      <c r="I2491" s="105"/>
      <c r="J2491" s="50"/>
      <c r="K2491" s="50" t="s">
        <v>39</v>
      </c>
      <c r="L2491" s="50"/>
      <c r="M2491" s="50" t="s">
        <v>328</v>
      </c>
      <c r="N2491" s="50"/>
      <c r="O2491" s="50"/>
      <c r="P2491" s="50"/>
      <c r="Q2491" s="50"/>
      <c r="R2491" s="50"/>
      <c r="S2491" s="50" t="str">
        <f t="shared" si="244"/>
        <v/>
      </c>
      <c r="T2491" s="50" t="str">
        <f t="shared" si="242"/>
        <v/>
      </c>
      <c r="U2491" s="50" t="str">
        <f t="shared" si="243"/>
        <v/>
      </c>
      <c r="V2491" s="50" t="str">
        <f t="shared" si="245"/>
        <v/>
      </c>
      <c r="W2491" s="50"/>
      <c r="X2491" s="50"/>
      <c r="Y2491" s="50"/>
      <c r="Z2491" s="50"/>
      <c r="AA2491" s="50"/>
    </row>
    <row r="2492" spans="1:27" ht="25.5" customHeight="1">
      <c r="A2492" s="50" t="s">
        <v>779</v>
      </c>
      <c r="B2492" s="51" t="s">
        <v>1185</v>
      </c>
      <c r="C2492" s="51" t="s">
        <v>143</v>
      </c>
      <c r="D2492" s="51" t="s">
        <v>1899</v>
      </c>
      <c r="E2492" s="50">
        <v>4948</v>
      </c>
      <c r="F2492" s="50">
        <v>5415</v>
      </c>
      <c r="G2492" s="50" t="s">
        <v>3404</v>
      </c>
      <c r="H2492" s="50">
        <v>2024</v>
      </c>
      <c r="I2492" s="132">
        <v>45454</v>
      </c>
      <c r="J2492" s="50"/>
      <c r="K2492" s="50" t="s">
        <v>39</v>
      </c>
      <c r="L2492" s="50"/>
      <c r="M2492" s="50" t="s">
        <v>328</v>
      </c>
      <c r="N2492" s="50"/>
      <c r="O2492" s="50"/>
      <c r="P2492" s="50"/>
      <c r="Q2492" s="50"/>
      <c r="R2492" s="50"/>
      <c r="S2492" s="50" t="str">
        <f t="shared" si="244"/>
        <v/>
      </c>
      <c r="T2492" s="50" t="str">
        <f t="shared" si="242"/>
        <v/>
      </c>
      <c r="U2492" s="50" t="str">
        <f t="shared" si="243"/>
        <v/>
      </c>
      <c r="V2492" s="50" t="str">
        <f t="shared" si="245"/>
        <v/>
      </c>
      <c r="W2492" s="50"/>
      <c r="X2492" s="50" t="s">
        <v>4</v>
      </c>
      <c r="Y2492" s="50" t="s">
        <v>50</v>
      </c>
      <c r="Z2492" s="50" t="s">
        <v>3406</v>
      </c>
      <c r="AA2492" s="50"/>
    </row>
    <row r="2493" spans="1:27" ht="25.5" customHeight="1">
      <c r="A2493" s="50" t="s">
        <v>779</v>
      </c>
      <c r="B2493" s="51" t="s">
        <v>1185</v>
      </c>
      <c r="C2493" s="51" t="s">
        <v>143</v>
      </c>
      <c r="D2493" s="51" t="s">
        <v>4950</v>
      </c>
      <c r="E2493" s="50">
        <v>1644</v>
      </c>
      <c r="F2493" s="50">
        <v>2259</v>
      </c>
      <c r="G2493" s="50" t="s">
        <v>3404</v>
      </c>
      <c r="H2493" s="50">
        <v>2024</v>
      </c>
      <c r="I2493" s="132">
        <v>45496</v>
      </c>
      <c r="J2493" s="50"/>
      <c r="K2493" s="50" t="s">
        <v>39</v>
      </c>
      <c r="L2493" s="50"/>
      <c r="M2493" s="50" t="s">
        <v>328</v>
      </c>
      <c r="N2493" s="50"/>
      <c r="O2493" s="50"/>
      <c r="P2493" s="50"/>
      <c r="Q2493" s="50"/>
      <c r="R2493" s="50"/>
      <c r="S2493" s="50" t="str">
        <f t="shared" si="244"/>
        <v/>
      </c>
      <c r="T2493" s="50" t="str">
        <f t="shared" si="242"/>
        <v/>
      </c>
      <c r="U2493" s="50" t="str">
        <f t="shared" si="243"/>
        <v/>
      </c>
      <c r="V2493" s="50" t="str">
        <f t="shared" si="245"/>
        <v/>
      </c>
      <c r="W2493" s="50"/>
      <c r="X2493" s="50" t="s">
        <v>4</v>
      </c>
      <c r="Y2493" s="50" t="s">
        <v>50</v>
      </c>
      <c r="Z2493" s="50" t="s">
        <v>3406</v>
      </c>
      <c r="AA2493" s="50"/>
    </row>
    <row r="2494" spans="1:27" ht="25.5" customHeight="1">
      <c r="A2494" s="50" t="s">
        <v>779</v>
      </c>
      <c r="B2494" s="51" t="s">
        <v>1185</v>
      </c>
      <c r="C2494" s="51" t="s">
        <v>143</v>
      </c>
      <c r="D2494" s="51" t="s">
        <v>1424</v>
      </c>
      <c r="E2494" s="50">
        <v>5610</v>
      </c>
      <c r="F2494" s="50">
        <v>6082</v>
      </c>
      <c r="G2494" s="50" t="s">
        <v>3404</v>
      </c>
      <c r="H2494" s="50">
        <v>2024</v>
      </c>
      <c r="I2494" s="132">
        <v>45454</v>
      </c>
      <c r="J2494" s="50"/>
      <c r="K2494" s="50" t="s">
        <v>39</v>
      </c>
      <c r="L2494" s="50"/>
      <c r="M2494" s="50" t="s">
        <v>328</v>
      </c>
      <c r="N2494" s="50"/>
      <c r="O2494" s="50"/>
      <c r="P2494" s="50"/>
      <c r="Q2494" s="50"/>
      <c r="R2494" s="50"/>
      <c r="S2494" s="50" t="str">
        <f t="shared" si="244"/>
        <v/>
      </c>
      <c r="T2494" s="50" t="str">
        <f t="shared" si="242"/>
        <v/>
      </c>
      <c r="U2494" s="50" t="str">
        <f t="shared" si="243"/>
        <v/>
      </c>
      <c r="V2494" s="50" t="str">
        <f t="shared" si="245"/>
        <v/>
      </c>
      <c r="W2494" s="50"/>
      <c r="X2494" s="50" t="s">
        <v>4</v>
      </c>
      <c r="Y2494" s="50" t="s">
        <v>50</v>
      </c>
      <c r="Z2494" s="50" t="s">
        <v>3406</v>
      </c>
      <c r="AA2494" s="50"/>
    </row>
    <row r="2495" spans="1:27" ht="25.5" customHeight="1">
      <c r="A2495" s="50" t="s">
        <v>779</v>
      </c>
      <c r="B2495" s="51" t="s">
        <v>1185</v>
      </c>
      <c r="C2495" s="51" t="s">
        <v>143</v>
      </c>
      <c r="D2495" s="51" t="s">
        <v>4242</v>
      </c>
      <c r="E2495" s="50">
        <v>4958</v>
      </c>
      <c r="F2495" s="50">
        <v>5586</v>
      </c>
      <c r="G2495" s="50" t="s">
        <v>3404</v>
      </c>
      <c r="H2495" s="50">
        <v>2024</v>
      </c>
      <c r="I2495" s="132">
        <v>45496</v>
      </c>
      <c r="J2495" s="50"/>
      <c r="K2495" s="50" t="s">
        <v>39</v>
      </c>
      <c r="L2495" s="50"/>
      <c r="M2495" s="50" t="s">
        <v>328</v>
      </c>
      <c r="N2495" s="50"/>
      <c r="O2495" s="50"/>
      <c r="P2495" s="50"/>
      <c r="Q2495" s="50"/>
      <c r="R2495" s="50"/>
      <c r="S2495" s="50" t="str">
        <f t="shared" si="244"/>
        <v/>
      </c>
      <c r="T2495" s="50" t="str">
        <f t="shared" si="242"/>
        <v/>
      </c>
      <c r="U2495" s="50" t="str">
        <f t="shared" si="243"/>
        <v/>
      </c>
      <c r="V2495" s="50" t="str">
        <f t="shared" si="245"/>
        <v/>
      </c>
      <c r="W2495" s="50"/>
      <c r="X2495" s="50" t="s">
        <v>4</v>
      </c>
      <c r="Y2495" s="50" t="s">
        <v>50</v>
      </c>
      <c r="Z2495" s="50" t="s">
        <v>3406</v>
      </c>
      <c r="AA2495" s="50"/>
    </row>
    <row r="2496" spans="1:27" ht="25.5" customHeight="1">
      <c r="A2496" s="50" t="s">
        <v>779</v>
      </c>
      <c r="B2496" s="51" t="s">
        <v>1185</v>
      </c>
      <c r="C2496" s="51" t="s">
        <v>143</v>
      </c>
      <c r="D2496" s="51" t="s">
        <v>3132</v>
      </c>
      <c r="E2496" s="50">
        <v>4846</v>
      </c>
      <c r="F2496" s="50">
        <v>5693</v>
      </c>
      <c r="G2496" s="50" t="s">
        <v>3404</v>
      </c>
      <c r="H2496" s="50">
        <v>2024</v>
      </c>
      <c r="I2496" s="132">
        <v>45510</v>
      </c>
      <c r="J2496" s="50"/>
      <c r="K2496" s="50" t="s">
        <v>39</v>
      </c>
      <c r="L2496" s="50"/>
      <c r="M2496" s="50" t="s">
        <v>328</v>
      </c>
      <c r="N2496" s="50"/>
      <c r="O2496" s="50"/>
      <c r="P2496" s="50"/>
      <c r="Q2496" s="50"/>
      <c r="R2496" s="50"/>
      <c r="S2496" s="50" t="str">
        <f t="shared" si="244"/>
        <v/>
      </c>
      <c r="T2496" s="50" t="str">
        <f t="shared" si="242"/>
        <v/>
      </c>
      <c r="U2496" s="50" t="str">
        <f t="shared" si="243"/>
        <v/>
      </c>
      <c r="V2496" s="50" t="str">
        <f t="shared" si="245"/>
        <v/>
      </c>
      <c r="W2496" s="50"/>
      <c r="X2496" s="50" t="s">
        <v>4</v>
      </c>
      <c r="Y2496" s="50" t="s">
        <v>50</v>
      </c>
      <c r="Z2496" s="50" t="s">
        <v>3406</v>
      </c>
      <c r="AA2496" s="50"/>
    </row>
    <row r="2497" spans="1:27" s="110" customFormat="1" ht="25.5" customHeight="1">
      <c r="A2497" s="50" t="s">
        <v>779</v>
      </c>
      <c r="B2497" s="51" t="s">
        <v>1185</v>
      </c>
      <c r="C2497" s="51" t="s">
        <v>143</v>
      </c>
      <c r="D2497" s="51" t="s">
        <v>1170</v>
      </c>
      <c r="E2497" s="50">
        <v>5391</v>
      </c>
      <c r="F2497" s="50">
        <v>5686</v>
      </c>
      <c r="G2497" s="50" t="s">
        <v>3404</v>
      </c>
      <c r="H2497" s="50">
        <v>2024</v>
      </c>
      <c r="I2497" s="132">
        <v>45576</v>
      </c>
      <c r="J2497" s="50"/>
      <c r="K2497" s="50" t="s">
        <v>39</v>
      </c>
      <c r="L2497" s="50"/>
      <c r="M2497" s="50" t="s">
        <v>328</v>
      </c>
      <c r="N2497" s="50"/>
      <c r="O2497" s="50"/>
      <c r="P2497" s="50"/>
      <c r="Q2497" s="50"/>
      <c r="R2497" s="50"/>
      <c r="S2497" s="50" t="str">
        <f t="shared" si="244"/>
        <v/>
      </c>
      <c r="T2497" s="50" t="str">
        <f t="shared" si="242"/>
        <v/>
      </c>
      <c r="U2497" s="50" t="str">
        <f t="shared" si="243"/>
        <v/>
      </c>
      <c r="V2497" s="50" t="str">
        <f t="shared" si="245"/>
        <v/>
      </c>
      <c r="W2497" s="50"/>
      <c r="X2497" s="50" t="s">
        <v>4</v>
      </c>
      <c r="Y2497" s="50" t="s">
        <v>50</v>
      </c>
      <c r="Z2497" s="50" t="s">
        <v>3406</v>
      </c>
      <c r="AA2497" s="50"/>
    </row>
    <row r="2498" spans="1:27" ht="25.5" customHeight="1">
      <c r="A2498" s="517" t="s">
        <v>779</v>
      </c>
      <c r="B2498" s="51" t="s">
        <v>1185</v>
      </c>
      <c r="C2498" s="51" t="s">
        <v>143</v>
      </c>
      <c r="D2498" s="51" t="s">
        <v>3977</v>
      </c>
      <c r="E2498" s="50">
        <v>1463</v>
      </c>
      <c r="F2498" s="50">
        <v>1537</v>
      </c>
      <c r="G2498" s="50" t="s">
        <v>3955</v>
      </c>
      <c r="H2498" s="50"/>
      <c r="I2498" s="105"/>
      <c r="J2498" s="50"/>
      <c r="K2498" s="50" t="s">
        <v>39</v>
      </c>
      <c r="L2498" s="50"/>
      <c r="M2498" s="50" t="s">
        <v>328</v>
      </c>
      <c r="N2498" s="50"/>
      <c r="O2498" s="50"/>
      <c r="P2498" s="50"/>
      <c r="Q2498" s="50"/>
      <c r="R2498" s="50"/>
      <c r="S2498" s="50" t="str">
        <f t="shared" si="244"/>
        <v/>
      </c>
      <c r="T2498" s="50" t="str">
        <f t="shared" si="242"/>
        <v/>
      </c>
      <c r="U2498" s="50" t="str">
        <f t="shared" si="243"/>
        <v/>
      </c>
      <c r="V2498" s="50" t="str">
        <f t="shared" si="245"/>
        <v/>
      </c>
      <c r="W2498" s="50"/>
      <c r="X2498" s="50"/>
      <c r="Y2498" s="50"/>
      <c r="Z2498" s="50"/>
      <c r="AA2498" s="50"/>
    </row>
    <row r="2499" spans="1:27" ht="25.5" customHeight="1">
      <c r="A2499" s="517" t="s">
        <v>779</v>
      </c>
      <c r="B2499" s="51" t="s">
        <v>1185</v>
      </c>
      <c r="C2499" s="51" t="s">
        <v>143</v>
      </c>
      <c r="D2499" s="51" t="s">
        <v>3727</v>
      </c>
      <c r="E2499" s="50">
        <v>3971</v>
      </c>
      <c r="F2499" s="50">
        <v>4434</v>
      </c>
      <c r="G2499" s="50" t="s">
        <v>3404</v>
      </c>
      <c r="H2499" s="50">
        <v>2025</v>
      </c>
      <c r="I2499" s="132">
        <v>45825</v>
      </c>
      <c r="J2499" s="50" t="s">
        <v>3689</v>
      </c>
      <c r="K2499" s="50" t="s">
        <v>39</v>
      </c>
      <c r="L2499" s="50"/>
      <c r="M2499" s="50" t="s">
        <v>328</v>
      </c>
      <c r="N2499" s="50" t="s">
        <v>5950</v>
      </c>
      <c r="O2499" s="60">
        <v>45826</v>
      </c>
      <c r="P2499" s="50"/>
      <c r="Q2499" s="60">
        <v>45827</v>
      </c>
      <c r="R2499" s="60">
        <v>45827</v>
      </c>
      <c r="S2499" s="50">
        <f t="shared" si="244"/>
        <v>1</v>
      </c>
      <c r="T2499" s="50" t="str">
        <f t="shared" si="242"/>
        <v/>
      </c>
      <c r="U2499" s="50">
        <f t="shared" si="243"/>
        <v>1</v>
      </c>
      <c r="V2499" s="50">
        <f t="shared" si="245"/>
        <v>1</v>
      </c>
      <c r="W2499" s="50" t="s">
        <v>150</v>
      </c>
      <c r="X2499" s="50" t="s">
        <v>4</v>
      </c>
      <c r="Y2499" s="50" t="s">
        <v>50</v>
      </c>
      <c r="Z2499" s="50" t="s">
        <v>3406</v>
      </c>
      <c r="AA2499" s="50"/>
    </row>
    <row r="2500" spans="1:27" ht="25.5" customHeight="1">
      <c r="A2500" s="50" t="s">
        <v>779</v>
      </c>
      <c r="B2500" s="51" t="s">
        <v>1185</v>
      </c>
      <c r="C2500" s="51" t="s">
        <v>143</v>
      </c>
      <c r="D2500" s="51" t="s">
        <v>4261</v>
      </c>
      <c r="E2500" s="50">
        <v>1819</v>
      </c>
      <c r="F2500" s="50">
        <v>2030</v>
      </c>
      <c r="G2500" s="50" t="s">
        <v>3404</v>
      </c>
      <c r="H2500" s="50">
        <v>2024</v>
      </c>
      <c r="I2500" s="132">
        <v>45476</v>
      </c>
      <c r="J2500" s="50"/>
      <c r="K2500" s="50" t="s">
        <v>39</v>
      </c>
      <c r="L2500" s="50"/>
      <c r="M2500" s="50" t="s">
        <v>328</v>
      </c>
      <c r="N2500" s="50"/>
      <c r="O2500" s="50"/>
      <c r="P2500" s="50"/>
      <c r="Q2500" s="50"/>
      <c r="R2500" s="50"/>
      <c r="S2500" s="50" t="str">
        <f t="shared" si="244"/>
        <v/>
      </c>
      <c r="T2500" s="50" t="str">
        <f t="shared" si="242"/>
        <v/>
      </c>
      <c r="U2500" s="50" t="str">
        <f t="shared" si="243"/>
        <v/>
      </c>
      <c r="V2500" s="50" t="str">
        <f t="shared" si="245"/>
        <v/>
      </c>
      <c r="W2500" s="50"/>
      <c r="X2500" s="50" t="s">
        <v>4</v>
      </c>
      <c r="Y2500" s="50" t="s">
        <v>50</v>
      </c>
      <c r="Z2500" s="50" t="s">
        <v>3406</v>
      </c>
      <c r="AA2500" s="50"/>
    </row>
    <row r="2501" spans="1:27" s="110" customFormat="1" ht="25.5" customHeight="1">
      <c r="A2501" s="517" t="s">
        <v>779</v>
      </c>
      <c r="B2501" s="51" t="s">
        <v>1185</v>
      </c>
      <c r="C2501" s="51" t="s">
        <v>143</v>
      </c>
      <c r="D2501" s="51" t="s">
        <v>5951</v>
      </c>
      <c r="E2501" s="50">
        <v>1801</v>
      </c>
      <c r="F2501" s="50">
        <v>2043</v>
      </c>
      <c r="G2501" s="50" t="s">
        <v>3404</v>
      </c>
      <c r="H2501" s="50">
        <v>2025</v>
      </c>
      <c r="I2501" s="132">
        <v>45701</v>
      </c>
      <c r="J2501" s="50" t="s">
        <v>3458</v>
      </c>
      <c r="K2501" s="50" t="s">
        <v>39</v>
      </c>
      <c r="L2501" s="50"/>
      <c r="M2501" s="50" t="s">
        <v>328</v>
      </c>
      <c r="N2501" s="50" t="s">
        <v>5952</v>
      </c>
      <c r="O2501" s="60">
        <v>45704</v>
      </c>
      <c r="P2501" s="50"/>
      <c r="Q2501" s="60">
        <v>45705</v>
      </c>
      <c r="R2501" s="60">
        <v>45706</v>
      </c>
      <c r="S2501" s="50">
        <f t="shared" si="244"/>
        <v>1</v>
      </c>
      <c r="T2501" s="50" t="str">
        <f t="shared" si="242"/>
        <v/>
      </c>
      <c r="U2501" s="50">
        <f t="shared" si="243"/>
        <v>1</v>
      </c>
      <c r="V2501" s="50">
        <f t="shared" si="245"/>
        <v>1</v>
      </c>
      <c r="W2501" s="50" t="s">
        <v>150</v>
      </c>
      <c r="X2501" s="50" t="s">
        <v>4</v>
      </c>
      <c r="Y2501" s="50" t="s">
        <v>50</v>
      </c>
      <c r="Z2501" s="50" t="s">
        <v>3406</v>
      </c>
      <c r="AA2501" s="50"/>
    </row>
    <row r="2502" spans="1:27" ht="25.5" customHeight="1">
      <c r="A2502" s="517" t="s">
        <v>779</v>
      </c>
      <c r="B2502" s="51" t="s">
        <v>1185</v>
      </c>
      <c r="C2502" s="51" t="s">
        <v>143</v>
      </c>
      <c r="D2502" s="51" t="s">
        <v>5953</v>
      </c>
      <c r="E2502" s="50">
        <v>2624</v>
      </c>
      <c r="F2502" s="50">
        <v>2565</v>
      </c>
      <c r="G2502" s="50" t="s">
        <v>3404</v>
      </c>
      <c r="H2502" s="50">
        <v>2025</v>
      </c>
      <c r="I2502" s="132">
        <v>45701</v>
      </c>
      <c r="J2502" s="50" t="s">
        <v>3458</v>
      </c>
      <c r="K2502" s="50" t="s">
        <v>39</v>
      </c>
      <c r="L2502" s="50"/>
      <c r="M2502" s="50" t="s">
        <v>328</v>
      </c>
      <c r="N2502" s="50" t="s">
        <v>5954</v>
      </c>
      <c r="O2502" s="60">
        <v>45704</v>
      </c>
      <c r="P2502" s="50"/>
      <c r="Q2502" s="60">
        <v>45705</v>
      </c>
      <c r="R2502" s="60">
        <v>45706</v>
      </c>
      <c r="S2502" s="50">
        <f t="shared" si="244"/>
        <v>1</v>
      </c>
      <c r="T2502" s="50" t="str">
        <f t="shared" si="242"/>
        <v/>
      </c>
      <c r="U2502" s="50">
        <f t="shared" si="243"/>
        <v>1</v>
      </c>
      <c r="V2502" s="50">
        <f t="shared" si="245"/>
        <v>1</v>
      </c>
      <c r="W2502" s="50" t="s">
        <v>150</v>
      </c>
      <c r="X2502" s="50" t="s">
        <v>4</v>
      </c>
      <c r="Y2502" s="50" t="s">
        <v>50</v>
      </c>
      <c r="Z2502" s="50" t="s">
        <v>3406</v>
      </c>
      <c r="AA2502" s="50"/>
    </row>
    <row r="2503" spans="1:27" ht="25.5" customHeight="1">
      <c r="A2503" s="517" t="s">
        <v>779</v>
      </c>
      <c r="B2503" s="51" t="s">
        <v>1185</v>
      </c>
      <c r="C2503" s="51" t="s">
        <v>143</v>
      </c>
      <c r="D2503" s="51" t="s">
        <v>5955</v>
      </c>
      <c r="E2503" s="50">
        <v>95</v>
      </c>
      <c r="F2503" s="50">
        <v>208</v>
      </c>
      <c r="G2503" s="50" t="s">
        <v>3955</v>
      </c>
      <c r="H2503" s="50"/>
      <c r="I2503" s="105"/>
      <c r="J2503" s="50"/>
      <c r="K2503" s="50" t="s">
        <v>39</v>
      </c>
      <c r="L2503" s="50"/>
      <c r="M2503" s="50" t="s">
        <v>328</v>
      </c>
      <c r="N2503" s="50"/>
      <c r="O2503" s="50"/>
      <c r="P2503" s="50"/>
      <c r="Q2503" s="50"/>
      <c r="R2503" s="50"/>
      <c r="S2503" s="50" t="str">
        <f t="shared" si="244"/>
        <v/>
      </c>
      <c r="T2503" s="50" t="str">
        <f t="shared" si="242"/>
        <v/>
      </c>
      <c r="U2503" s="50" t="str">
        <f t="shared" si="243"/>
        <v/>
      </c>
      <c r="V2503" s="50" t="str">
        <f t="shared" si="245"/>
        <v/>
      </c>
      <c r="W2503" s="50"/>
      <c r="X2503" s="50"/>
      <c r="Y2503" s="50"/>
      <c r="Z2503" s="50"/>
      <c r="AA2503" s="50"/>
    </row>
    <row r="2504" spans="1:27" ht="25.5" customHeight="1">
      <c r="A2504" s="50" t="s">
        <v>779</v>
      </c>
      <c r="B2504" s="51" t="s">
        <v>1185</v>
      </c>
      <c r="C2504" s="51" t="s">
        <v>143</v>
      </c>
      <c r="D2504" s="51" t="s">
        <v>5956</v>
      </c>
      <c r="E2504" s="50">
        <v>4547</v>
      </c>
      <c r="F2504" s="50">
        <v>5347</v>
      </c>
      <c r="G2504" s="50" t="s">
        <v>3404</v>
      </c>
      <c r="H2504" s="50">
        <v>2024</v>
      </c>
      <c r="I2504" s="132">
        <v>45541</v>
      </c>
      <c r="J2504" s="50"/>
      <c r="K2504" s="50" t="s">
        <v>39</v>
      </c>
      <c r="L2504" s="50"/>
      <c r="M2504" s="50" t="s">
        <v>328</v>
      </c>
      <c r="N2504" s="50"/>
      <c r="O2504" s="50"/>
      <c r="P2504" s="50"/>
      <c r="Q2504" s="50"/>
      <c r="R2504" s="50"/>
      <c r="S2504" s="50" t="str">
        <f t="shared" si="244"/>
        <v/>
      </c>
      <c r="T2504" s="50" t="str">
        <f t="shared" si="242"/>
        <v/>
      </c>
      <c r="U2504" s="50" t="str">
        <f t="shared" si="243"/>
        <v/>
      </c>
      <c r="V2504" s="50" t="str">
        <f t="shared" si="245"/>
        <v/>
      </c>
      <c r="W2504" s="50"/>
      <c r="X2504" s="50" t="s">
        <v>4</v>
      </c>
      <c r="Y2504" s="50" t="s">
        <v>57</v>
      </c>
      <c r="Z2504" s="50" t="s">
        <v>3406</v>
      </c>
      <c r="AA2504" s="50"/>
    </row>
    <row r="2505" spans="1:27" s="110" customFormat="1" ht="25.5" customHeight="1">
      <c r="A2505" s="517" t="s">
        <v>779</v>
      </c>
      <c r="B2505" s="51" t="s">
        <v>1480</v>
      </c>
      <c r="C2505" s="51" t="s">
        <v>159</v>
      </c>
      <c r="D2505" s="51" t="s">
        <v>5957</v>
      </c>
      <c r="E2505" s="50">
        <v>4428</v>
      </c>
      <c r="F2505" s="50">
        <v>4678</v>
      </c>
      <c r="G2505" s="50" t="s">
        <v>3955</v>
      </c>
      <c r="H2505" s="50"/>
      <c r="I2505" s="105"/>
      <c r="J2505" s="50"/>
      <c r="K2505" s="50" t="s">
        <v>37</v>
      </c>
      <c r="L2505" s="50"/>
      <c r="M2505" s="50" t="s">
        <v>328</v>
      </c>
      <c r="N2505" s="50"/>
      <c r="O2505" s="50"/>
      <c r="P2505" s="50"/>
      <c r="Q2505" s="50"/>
      <c r="R2505" s="50"/>
      <c r="S2505" s="50" t="str">
        <f t="shared" si="244"/>
        <v/>
      </c>
      <c r="T2505" s="50" t="str">
        <f t="shared" si="242"/>
        <v/>
      </c>
      <c r="U2505" s="50" t="str">
        <f t="shared" si="243"/>
        <v/>
      </c>
      <c r="V2505" s="50" t="str">
        <f t="shared" si="245"/>
        <v/>
      </c>
      <c r="W2505" s="50"/>
      <c r="X2505" s="50"/>
      <c r="Y2505" s="50"/>
      <c r="Z2505" s="50"/>
      <c r="AA2505" s="50"/>
    </row>
    <row r="2506" spans="1:27" ht="25.5" customHeight="1">
      <c r="A2506" s="50" t="s">
        <v>779</v>
      </c>
      <c r="B2506" s="51" t="s">
        <v>1480</v>
      </c>
      <c r="C2506" s="51" t="s">
        <v>159</v>
      </c>
      <c r="D2506" s="51" t="s">
        <v>5958</v>
      </c>
      <c r="E2506" s="50">
        <v>2845</v>
      </c>
      <c r="F2506" s="50">
        <v>3019</v>
      </c>
      <c r="G2506" s="50" t="s">
        <v>3404</v>
      </c>
      <c r="H2506" s="50">
        <v>2024</v>
      </c>
      <c r="I2506" s="132">
        <v>45482</v>
      </c>
      <c r="J2506" s="50"/>
      <c r="K2506" s="50" t="s">
        <v>37</v>
      </c>
      <c r="L2506" s="50"/>
      <c r="M2506" s="50" t="s">
        <v>328</v>
      </c>
      <c r="N2506" s="50"/>
      <c r="O2506" s="50"/>
      <c r="P2506" s="50"/>
      <c r="Q2506" s="50"/>
      <c r="R2506" s="50"/>
      <c r="S2506" s="50" t="str">
        <f t="shared" si="244"/>
        <v/>
      </c>
      <c r="T2506" s="50" t="str">
        <f t="shared" si="242"/>
        <v/>
      </c>
      <c r="U2506" s="50" t="str">
        <f t="shared" si="243"/>
        <v/>
      </c>
      <c r="V2506" s="50" t="str">
        <f t="shared" si="245"/>
        <v/>
      </c>
      <c r="W2506" s="50"/>
      <c r="X2506" s="50" t="s">
        <v>4</v>
      </c>
      <c r="Y2506" s="50" t="s">
        <v>50</v>
      </c>
      <c r="Z2506" s="50" t="s">
        <v>3406</v>
      </c>
      <c r="AA2506" s="50"/>
    </row>
    <row r="2507" spans="1:27" ht="25.5" customHeight="1">
      <c r="A2507" s="517" t="s">
        <v>779</v>
      </c>
      <c r="B2507" s="51" t="s">
        <v>1480</v>
      </c>
      <c r="C2507" s="51" t="s">
        <v>159</v>
      </c>
      <c r="D2507" s="51" t="s">
        <v>5959</v>
      </c>
      <c r="E2507" s="50">
        <v>2193</v>
      </c>
      <c r="F2507" s="50">
        <v>2573</v>
      </c>
      <c r="G2507" s="50" t="s">
        <v>3404</v>
      </c>
      <c r="H2507" s="50">
        <v>2025</v>
      </c>
      <c r="I2507" s="132">
        <v>45701</v>
      </c>
      <c r="J2507" s="50" t="s">
        <v>3458</v>
      </c>
      <c r="K2507" s="50" t="s">
        <v>37</v>
      </c>
      <c r="L2507" s="50"/>
      <c r="M2507" s="50" t="s">
        <v>328</v>
      </c>
      <c r="N2507" s="50" t="s">
        <v>5960</v>
      </c>
      <c r="O2507" s="60">
        <v>45705</v>
      </c>
      <c r="P2507" s="50"/>
      <c r="Q2507" s="60">
        <v>45705</v>
      </c>
      <c r="R2507" s="60">
        <v>45705</v>
      </c>
      <c r="S2507" s="50">
        <f t="shared" si="244"/>
        <v>2</v>
      </c>
      <c r="T2507" s="50" t="str">
        <f t="shared" si="242"/>
        <v/>
      </c>
      <c r="U2507" s="50">
        <f t="shared" si="243"/>
        <v>1</v>
      </c>
      <c r="V2507" s="50">
        <f t="shared" si="245"/>
        <v>1</v>
      </c>
      <c r="W2507" s="50" t="s">
        <v>150</v>
      </c>
      <c r="X2507" s="50" t="s">
        <v>1078</v>
      </c>
      <c r="Y2507" s="50" t="s">
        <v>50</v>
      </c>
      <c r="Z2507" s="50" t="s">
        <v>3406</v>
      </c>
      <c r="AA2507" s="50"/>
    </row>
    <row r="2508" spans="1:27" ht="25.5" customHeight="1">
      <c r="A2508" s="517" t="s">
        <v>779</v>
      </c>
      <c r="B2508" s="51" t="s">
        <v>1480</v>
      </c>
      <c r="C2508" s="51" t="s">
        <v>159</v>
      </c>
      <c r="D2508" s="51" t="s">
        <v>5961</v>
      </c>
      <c r="E2508" s="50">
        <v>1440</v>
      </c>
      <c r="F2508" s="50">
        <v>1790</v>
      </c>
      <c r="G2508" s="50" t="s">
        <v>3404</v>
      </c>
      <c r="H2508" s="50">
        <v>2025</v>
      </c>
      <c r="I2508" s="132">
        <v>45701</v>
      </c>
      <c r="J2508" s="50" t="s">
        <v>3458</v>
      </c>
      <c r="K2508" s="50" t="s">
        <v>37</v>
      </c>
      <c r="L2508" s="50"/>
      <c r="M2508" s="50" t="s">
        <v>328</v>
      </c>
      <c r="N2508" s="50" t="s">
        <v>5962</v>
      </c>
      <c r="O2508" s="60">
        <v>45705</v>
      </c>
      <c r="P2508" s="50"/>
      <c r="Q2508" s="60">
        <v>45705</v>
      </c>
      <c r="R2508" s="60">
        <v>45706</v>
      </c>
      <c r="S2508" s="50">
        <f t="shared" si="244"/>
        <v>2</v>
      </c>
      <c r="T2508" s="50" t="str">
        <f t="shared" si="242"/>
        <v/>
      </c>
      <c r="U2508" s="50">
        <f t="shared" si="243"/>
        <v>1</v>
      </c>
      <c r="V2508" s="50">
        <f t="shared" si="245"/>
        <v>1</v>
      </c>
      <c r="W2508" s="50" t="s">
        <v>150</v>
      </c>
      <c r="X2508" s="50" t="s">
        <v>1078</v>
      </c>
      <c r="Y2508" s="50" t="s">
        <v>50</v>
      </c>
      <c r="Z2508" s="50" t="s">
        <v>3406</v>
      </c>
      <c r="AA2508" s="50"/>
    </row>
    <row r="2509" spans="1:27" ht="25.5" customHeight="1">
      <c r="A2509" s="517" t="s">
        <v>779</v>
      </c>
      <c r="B2509" s="51" t="s">
        <v>1480</v>
      </c>
      <c r="C2509" s="51" t="s">
        <v>159</v>
      </c>
      <c r="D2509" s="51" t="s">
        <v>5963</v>
      </c>
      <c r="E2509" s="50">
        <v>1879</v>
      </c>
      <c r="F2509" s="50">
        <v>1842</v>
      </c>
      <c r="G2509" s="50" t="s">
        <v>3955</v>
      </c>
      <c r="H2509" s="50"/>
      <c r="I2509" s="105"/>
      <c r="J2509" s="50"/>
      <c r="K2509" s="50" t="s">
        <v>37</v>
      </c>
      <c r="L2509" s="50"/>
      <c r="M2509" s="50" t="s">
        <v>328</v>
      </c>
      <c r="N2509" s="50"/>
      <c r="O2509" s="50"/>
      <c r="P2509" s="50"/>
      <c r="Q2509" s="50"/>
      <c r="R2509" s="50"/>
      <c r="S2509" s="50" t="str">
        <f t="shared" si="244"/>
        <v/>
      </c>
      <c r="T2509" s="50" t="str">
        <f t="shared" si="242"/>
        <v/>
      </c>
      <c r="U2509" s="50" t="str">
        <f t="shared" si="243"/>
        <v/>
      </c>
      <c r="V2509" s="50" t="str">
        <f t="shared" si="245"/>
        <v/>
      </c>
      <c r="W2509" s="50"/>
      <c r="X2509" s="50"/>
      <c r="Y2509" s="50"/>
      <c r="Z2509" s="50"/>
      <c r="AA2509" s="50"/>
    </row>
    <row r="2510" spans="1:27" s="110" customFormat="1" ht="25.5" customHeight="1">
      <c r="A2510" s="517" t="s">
        <v>779</v>
      </c>
      <c r="B2510" s="51" t="s">
        <v>1480</v>
      </c>
      <c r="C2510" s="51" t="s">
        <v>159</v>
      </c>
      <c r="D2510" s="51" t="s">
        <v>5964</v>
      </c>
      <c r="E2510" s="50">
        <v>2310</v>
      </c>
      <c r="F2510" s="50">
        <v>2835</v>
      </c>
      <c r="G2510" s="50" t="s">
        <v>3955</v>
      </c>
      <c r="H2510" s="50"/>
      <c r="I2510" s="105"/>
      <c r="J2510" s="50"/>
      <c r="K2510" s="50" t="s">
        <v>37</v>
      </c>
      <c r="L2510" s="50"/>
      <c r="M2510" s="50" t="s">
        <v>328</v>
      </c>
      <c r="N2510" s="50"/>
      <c r="O2510" s="50"/>
      <c r="P2510" s="50"/>
      <c r="Q2510" s="50"/>
      <c r="R2510" s="50"/>
      <c r="S2510" s="50" t="str">
        <f t="shared" si="244"/>
        <v/>
      </c>
      <c r="T2510" s="50" t="str">
        <f t="shared" si="242"/>
        <v/>
      </c>
      <c r="U2510" s="50" t="str">
        <f t="shared" si="243"/>
        <v/>
      </c>
      <c r="V2510" s="50" t="str">
        <f t="shared" si="245"/>
        <v/>
      </c>
      <c r="W2510" s="50"/>
      <c r="X2510" s="50"/>
      <c r="Y2510" s="50"/>
      <c r="Z2510" s="50"/>
      <c r="AA2510" s="50"/>
    </row>
    <row r="2511" spans="1:27" ht="25.5" customHeight="1">
      <c r="A2511" s="50" t="s">
        <v>779</v>
      </c>
      <c r="B2511" s="51" t="s">
        <v>1480</v>
      </c>
      <c r="C2511" s="51" t="s">
        <v>159</v>
      </c>
      <c r="D2511" s="51" t="s">
        <v>5965</v>
      </c>
      <c r="E2511" s="50">
        <v>2586</v>
      </c>
      <c r="F2511" s="50">
        <v>2856</v>
      </c>
      <c r="G2511" s="50" t="s">
        <v>3404</v>
      </c>
      <c r="H2511" s="50">
        <v>2024</v>
      </c>
      <c r="I2511" s="132">
        <v>45573</v>
      </c>
      <c r="J2511" s="50"/>
      <c r="K2511" s="50" t="s">
        <v>37</v>
      </c>
      <c r="L2511" s="50"/>
      <c r="M2511" s="50" t="s">
        <v>328</v>
      </c>
      <c r="N2511" s="50"/>
      <c r="O2511" s="50"/>
      <c r="P2511" s="50"/>
      <c r="Q2511" s="50"/>
      <c r="R2511" s="50"/>
      <c r="S2511" s="50" t="str">
        <f t="shared" si="244"/>
        <v/>
      </c>
      <c r="T2511" s="50" t="str">
        <f t="shared" si="242"/>
        <v/>
      </c>
      <c r="U2511" s="50" t="str">
        <f t="shared" si="243"/>
        <v/>
      </c>
      <c r="V2511" s="50" t="str">
        <f t="shared" si="245"/>
        <v/>
      </c>
      <c r="W2511" s="50"/>
      <c r="X2511" s="50" t="s">
        <v>1078</v>
      </c>
      <c r="Y2511" s="50" t="s">
        <v>50</v>
      </c>
      <c r="Z2511" s="50" t="s">
        <v>3406</v>
      </c>
      <c r="AA2511" s="50"/>
    </row>
    <row r="2512" spans="1:27" ht="25.5" customHeight="1">
      <c r="A2512" s="50" t="s">
        <v>779</v>
      </c>
      <c r="B2512" s="51" t="s">
        <v>1480</v>
      </c>
      <c r="C2512" s="51" t="s">
        <v>159</v>
      </c>
      <c r="D2512" s="51" t="s">
        <v>5966</v>
      </c>
      <c r="E2512" s="50">
        <v>2945</v>
      </c>
      <c r="F2512" s="50">
        <v>3090</v>
      </c>
      <c r="G2512" s="50" t="s">
        <v>3404</v>
      </c>
      <c r="H2512" s="50">
        <v>2024</v>
      </c>
      <c r="I2512" s="132">
        <v>45386</v>
      </c>
      <c r="J2512" s="50"/>
      <c r="K2512" s="50" t="s">
        <v>37</v>
      </c>
      <c r="L2512" s="50"/>
      <c r="M2512" s="50" t="s">
        <v>328</v>
      </c>
      <c r="N2512" s="50"/>
      <c r="O2512" s="50"/>
      <c r="P2512" s="50"/>
      <c r="Q2512" s="50"/>
      <c r="R2512" s="50"/>
      <c r="S2512" s="50" t="str">
        <f t="shared" si="244"/>
        <v/>
      </c>
      <c r="T2512" s="50" t="str">
        <f t="shared" si="242"/>
        <v/>
      </c>
      <c r="U2512" s="50" t="str">
        <f t="shared" si="243"/>
        <v/>
      </c>
      <c r="V2512" s="50" t="str">
        <f t="shared" si="245"/>
        <v/>
      </c>
      <c r="W2512" s="50"/>
      <c r="X2512" s="50"/>
      <c r="Y2512" s="50"/>
      <c r="Z2512" s="50" t="s">
        <v>3406</v>
      </c>
      <c r="AA2512" s="50"/>
    </row>
    <row r="2513" spans="1:27" ht="25.5" customHeight="1">
      <c r="A2513" s="517" t="s">
        <v>779</v>
      </c>
      <c r="B2513" s="51" t="s">
        <v>1480</v>
      </c>
      <c r="C2513" s="51" t="s">
        <v>159</v>
      </c>
      <c r="D2513" s="51" t="s">
        <v>5967</v>
      </c>
      <c r="E2513" s="50">
        <v>971</v>
      </c>
      <c r="F2513" s="50">
        <v>1243</v>
      </c>
      <c r="G2513" s="50" t="s">
        <v>3955</v>
      </c>
      <c r="H2513" s="50"/>
      <c r="I2513" s="105"/>
      <c r="J2513" s="50"/>
      <c r="K2513" s="50" t="s">
        <v>37</v>
      </c>
      <c r="L2513" s="50"/>
      <c r="M2513" s="50" t="s">
        <v>328</v>
      </c>
      <c r="N2513" s="50"/>
      <c r="O2513" s="50"/>
      <c r="P2513" s="50"/>
      <c r="Q2513" s="50"/>
      <c r="R2513" s="50"/>
      <c r="S2513" s="50" t="str">
        <f t="shared" si="244"/>
        <v/>
      </c>
      <c r="T2513" s="50" t="str">
        <f t="shared" si="242"/>
        <v/>
      </c>
      <c r="U2513" s="50" t="str">
        <f t="shared" si="243"/>
        <v/>
      </c>
      <c r="V2513" s="50" t="str">
        <f t="shared" si="245"/>
        <v/>
      </c>
      <c r="W2513" s="50"/>
      <c r="X2513" s="50"/>
      <c r="Y2513" s="50"/>
      <c r="Z2513" s="50"/>
      <c r="AA2513" s="50"/>
    </row>
    <row r="2514" spans="1:27" s="110" customFormat="1" ht="25.5" customHeight="1">
      <c r="A2514" s="517" t="s">
        <v>779</v>
      </c>
      <c r="B2514" s="51" t="s">
        <v>1480</v>
      </c>
      <c r="C2514" s="51" t="s">
        <v>159</v>
      </c>
      <c r="D2514" s="51" t="s">
        <v>5968</v>
      </c>
      <c r="E2514" s="50">
        <v>2770</v>
      </c>
      <c r="F2514" s="50">
        <v>2891</v>
      </c>
      <c r="G2514" s="50" t="s">
        <v>3404</v>
      </c>
      <c r="H2514" s="50">
        <v>2025</v>
      </c>
      <c r="I2514" s="132">
        <v>45755</v>
      </c>
      <c r="J2514" s="50" t="s">
        <v>3470</v>
      </c>
      <c r="K2514" s="50" t="s">
        <v>37</v>
      </c>
      <c r="L2514" s="50"/>
      <c r="M2514" s="50" t="s">
        <v>328</v>
      </c>
      <c r="N2514" s="50" t="s">
        <v>5969</v>
      </c>
      <c r="O2514" s="60">
        <v>45755</v>
      </c>
      <c r="P2514" s="50"/>
      <c r="Q2514" s="60">
        <v>45758</v>
      </c>
      <c r="R2514" s="60">
        <v>45762</v>
      </c>
      <c r="S2514" s="50">
        <f t="shared" si="244"/>
        <v>1</v>
      </c>
      <c r="T2514" s="50" t="str">
        <f t="shared" si="242"/>
        <v/>
      </c>
      <c r="U2514" s="50">
        <f t="shared" si="243"/>
        <v>3</v>
      </c>
      <c r="V2514" s="50">
        <f t="shared" si="245"/>
        <v>2</v>
      </c>
      <c r="W2514" s="50" t="s">
        <v>150</v>
      </c>
      <c r="X2514" s="50" t="s">
        <v>1078</v>
      </c>
      <c r="Y2514" s="50" t="s">
        <v>50</v>
      </c>
      <c r="Z2514" s="50" t="s">
        <v>3406</v>
      </c>
      <c r="AA2514" s="50"/>
    </row>
    <row r="2515" spans="1:27" ht="25.5" customHeight="1">
      <c r="A2515" s="50" t="s">
        <v>779</v>
      </c>
      <c r="B2515" s="51" t="s">
        <v>1480</v>
      </c>
      <c r="C2515" s="51" t="s">
        <v>159</v>
      </c>
      <c r="D2515" s="51" t="s">
        <v>5970</v>
      </c>
      <c r="E2515" s="50">
        <v>1199</v>
      </c>
      <c r="F2515" s="50">
        <v>1354</v>
      </c>
      <c r="G2515" s="50" t="s">
        <v>3404</v>
      </c>
      <c r="H2515" s="50">
        <v>2024</v>
      </c>
      <c r="I2515" s="132">
        <v>45552</v>
      </c>
      <c r="J2515" s="50"/>
      <c r="K2515" s="50" t="s">
        <v>37</v>
      </c>
      <c r="L2515" s="50"/>
      <c r="M2515" s="50" t="s">
        <v>328</v>
      </c>
      <c r="N2515" s="50"/>
      <c r="O2515" s="50"/>
      <c r="P2515" s="50"/>
      <c r="Q2515" s="50"/>
      <c r="R2515" s="50"/>
      <c r="S2515" s="50" t="str">
        <f t="shared" si="244"/>
        <v/>
      </c>
      <c r="T2515" s="50" t="str">
        <f t="shared" si="242"/>
        <v/>
      </c>
      <c r="U2515" s="50" t="str">
        <f t="shared" si="243"/>
        <v/>
      </c>
      <c r="V2515" s="50" t="str">
        <f t="shared" si="245"/>
        <v/>
      </c>
      <c r="W2515" s="50"/>
      <c r="X2515" s="50" t="s">
        <v>1078</v>
      </c>
      <c r="Y2515" s="50" t="s">
        <v>50</v>
      </c>
      <c r="Z2515" s="50" t="s">
        <v>3406</v>
      </c>
      <c r="AA2515" s="50"/>
    </row>
    <row r="2516" spans="1:27" ht="25.5" customHeight="1">
      <c r="A2516" s="50" t="s">
        <v>779</v>
      </c>
      <c r="B2516" s="51" t="s">
        <v>1480</v>
      </c>
      <c r="C2516" s="51" t="s">
        <v>159</v>
      </c>
      <c r="D2516" s="51" t="s">
        <v>5971</v>
      </c>
      <c r="E2516" s="50">
        <v>1662</v>
      </c>
      <c r="F2516" s="50">
        <v>1800</v>
      </c>
      <c r="G2516" s="50" t="s">
        <v>3404</v>
      </c>
      <c r="H2516" s="50">
        <v>2024</v>
      </c>
      <c r="I2516" s="132">
        <v>45456</v>
      </c>
      <c r="J2516" s="50"/>
      <c r="K2516" s="50" t="s">
        <v>37</v>
      </c>
      <c r="L2516" s="50"/>
      <c r="M2516" s="50" t="s">
        <v>328</v>
      </c>
      <c r="N2516" s="50"/>
      <c r="O2516" s="50"/>
      <c r="P2516" s="50"/>
      <c r="Q2516" s="50"/>
      <c r="R2516" s="50"/>
      <c r="S2516" s="50" t="str">
        <f t="shared" si="244"/>
        <v/>
      </c>
      <c r="T2516" s="50" t="str">
        <f t="shared" si="242"/>
        <v/>
      </c>
      <c r="U2516" s="50" t="str">
        <f t="shared" si="243"/>
        <v/>
      </c>
      <c r="V2516" s="50" t="str">
        <f t="shared" si="245"/>
        <v/>
      </c>
      <c r="W2516" s="50"/>
      <c r="X2516" s="50"/>
      <c r="Y2516" s="50"/>
      <c r="Z2516" s="50" t="s">
        <v>3406</v>
      </c>
      <c r="AA2516" s="50"/>
    </row>
    <row r="2517" spans="1:27" ht="25.5" customHeight="1">
      <c r="A2517" s="517" t="s">
        <v>779</v>
      </c>
      <c r="B2517" s="51" t="s">
        <v>1480</v>
      </c>
      <c r="C2517" s="51" t="s">
        <v>159</v>
      </c>
      <c r="D2517" s="51" t="s">
        <v>5972</v>
      </c>
      <c r="E2517" s="50">
        <v>1951</v>
      </c>
      <c r="F2517" s="50">
        <v>2109</v>
      </c>
      <c r="G2517" s="50" t="s">
        <v>3404</v>
      </c>
      <c r="H2517" s="50">
        <v>2025</v>
      </c>
      <c r="I2517" s="132">
        <v>45793</v>
      </c>
      <c r="J2517" s="50" t="s">
        <v>3532</v>
      </c>
      <c r="K2517" s="50" t="s">
        <v>37</v>
      </c>
      <c r="L2517" s="50"/>
      <c r="M2517" s="50" t="s">
        <v>328</v>
      </c>
      <c r="N2517" s="50" t="s">
        <v>5973</v>
      </c>
      <c r="O2517" s="60">
        <v>45793</v>
      </c>
      <c r="P2517" s="50"/>
      <c r="Q2517" s="60">
        <v>45796</v>
      </c>
      <c r="R2517" s="60">
        <v>45796</v>
      </c>
      <c r="S2517" s="50">
        <f t="shared" si="244"/>
        <v>1</v>
      </c>
      <c r="T2517" s="50" t="str">
        <f t="shared" si="242"/>
        <v/>
      </c>
      <c r="U2517" s="50">
        <f t="shared" si="243"/>
        <v>1</v>
      </c>
      <c r="V2517" s="50">
        <f t="shared" si="245"/>
        <v>1</v>
      </c>
      <c r="W2517" s="50" t="s">
        <v>150</v>
      </c>
      <c r="X2517" s="50" t="s">
        <v>3527</v>
      </c>
      <c r="Y2517" s="50" t="s">
        <v>3528</v>
      </c>
      <c r="Z2517" s="50" t="s">
        <v>3406</v>
      </c>
      <c r="AA2517" s="50"/>
    </row>
    <row r="2518" spans="1:27" s="110" customFormat="1" ht="25.5" customHeight="1">
      <c r="A2518" s="517" t="s">
        <v>779</v>
      </c>
      <c r="B2518" s="51" t="s">
        <v>1480</v>
      </c>
      <c r="C2518" s="51" t="s">
        <v>159</v>
      </c>
      <c r="D2518" s="51" t="s">
        <v>5974</v>
      </c>
      <c r="E2518" s="50">
        <v>1207</v>
      </c>
      <c r="F2518" s="50">
        <v>1438</v>
      </c>
      <c r="G2518" s="110" t="s">
        <v>3955</v>
      </c>
      <c r="H2518" s="50"/>
      <c r="I2518" s="105"/>
      <c r="J2518" s="50"/>
      <c r="K2518" s="50" t="s">
        <v>37</v>
      </c>
      <c r="L2518" s="50"/>
      <c r="M2518" s="50" t="s">
        <v>328</v>
      </c>
      <c r="N2518" s="50"/>
      <c r="O2518" s="50"/>
      <c r="P2518" s="50"/>
      <c r="Q2518" s="50"/>
      <c r="R2518" s="50"/>
      <c r="S2518" s="50" t="str">
        <f t="shared" si="244"/>
        <v/>
      </c>
      <c r="T2518" s="50" t="str">
        <f t="shared" si="242"/>
        <v/>
      </c>
      <c r="U2518" s="50" t="str">
        <f t="shared" si="243"/>
        <v/>
      </c>
      <c r="V2518" s="50" t="str">
        <f t="shared" si="245"/>
        <v/>
      </c>
      <c r="W2518" s="50"/>
      <c r="X2518" s="50"/>
      <c r="Y2518" s="50"/>
      <c r="Z2518" s="50"/>
      <c r="AA2518" s="50"/>
    </row>
    <row r="2519" spans="1:27" ht="25.5" customHeight="1">
      <c r="A2519" s="50" t="s">
        <v>779</v>
      </c>
      <c r="B2519" s="51" t="s">
        <v>1480</v>
      </c>
      <c r="C2519" s="51" t="s">
        <v>159</v>
      </c>
      <c r="D2519" s="51" t="s">
        <v>4774</v>
      </c>
      <c r="E2519" s="50">
        <v>1797</v>
      </c>
      <c r="F2519" s="50">
        <v>2108</v>
      </c>
      <c r="G2519" s="50" t="s">
        <v>3404</v>
      </c>
      <c r="H2519" s="50">
        <v>2024</v>
      </c>
      <c r="I2519" s="132">
        <v>45568</v>
      </c>
      <c r="J2519" s="50"/>
      <c r="K2519" s="50" t="s">
        <v>37</v>
      </c>
      <c r="L2519" s="50"/>
      <c r="M2519" s="50" t="s">
        <v>328</v>
      </c>
      <c r="N2519" s="50"/>
      <c r="O2519" s="50"/>
      <c r="P2519" s="50"/>
      <c r="Q2519" s="50"/>
      <c r="R2519" s="50"/>
      <c r="S2519" s="50" t="str">
        <f t="shared" si="244"/>
        <v/>
      </c>
      <c r="T2519" s="50" t="str">
        <f t="shared" si="242"/>
        <v/>
      </c>
      <c r="U2519" s="50" t="str">
        <f t="shared" si="243"/>
        <v/>
      </c>
      <c r="V2519" s="50" t="str">
        <f t="shared" si="245"/>
        <v/>
      </c>
      <c r="W2519" s="50"/>
      <c r="X2519" s="50" t="s">
        <v>4</v>
      </c>
      <c r="Y2519" s="50" t="s">
        <v>50</v>
      </c>
      <c r="Z2519" s="50" t="s">
        <v>3406</v>
      </c>
      <c r="AA2519" s="50"/>
    </row>
    <row r="2520" spans="1:27" ht="25.5" customHeight="1">
      <c r="A2520" s="517" t="s">
        <v>779</v>
      </c>
      <c r="B2520" s="51" t="s">
        <v>1480</v>
      </c>
      <c r="C2520" s="51" t="s">
        <v>159</v>
      </c>
      <c r="D2520" s="51" t="s">
        <v>4969</v>
      </c>
      <c r="E2520" s="50">
        <v>1573</v>
      </c>
      <c r="F2520" s="50">
        <v>1856</v>
      </c>
      <c r="G2520" s="50" t="s">
        <v>3955</v>
      </c>
      <c r="H2520" s="50"/>
      <c r="I2520" s="105"/>
      <c r="J2520" s="50"/>
      <c r="K2520" s="50" t="s">
        <v>37</v>
      </c>
      <c r="L2520" s="50"/>
      <c r="M2520" s="50" t="s">
        <v>328</v>
      </c>
      <c r="N2520" s="50"/>
      <c r="O2520" s="50"/>
      <c r="P2520" s="50"/>
      <c r="Q2520" s="50"/>
      <c r="R2520" s="50"/>
      <c r="S2520" s="50" t="str">
        <f t="shared" si="244"/>
        <v/>
      </c>
      <c r="T2520" s="50" t="str">
        <f t="shared" si="242"/>
        <v/>
      </c>
      <c r="U2520" s="50" t="str">
        <f t="shared" si="243"/>
        <v/>
      </c>
      <c r="V2520" s="50" t="str">
        <f t="shared" si="245"/>
        <v/>
      </c>
      <c r="W2520" s="50"/>
      <c r="X2520" s="50"/>
      <c r="Y2520" s="50"/>
      <c r="Z2520" s="50"/>
      <c r="AA2520" s="50"/>
    </row>
    <row r="2521" spans="1:27" ht="25.5" customHeight="1">
      <c r="A2521" s="517" t="s">
        <v>779</v>
      </c>
      <c r="B2521" s="51" t="s">
        <v>1480</v>
      </c>
      <c r="C2521" s="51" t="s">
        <v>159</v>
      </c>
      <c r="D2521" s="51" t="s">
        <v>5975</v>
      </c>
      <c r="E2521" s="50">
        <v>4627</v>
      </c>
      <c r="F2521" s="50">
        <v>4898</v>
      </c>
      <c r="G2521" s="50" t="s">
        <v>3955</v>
      </c>
      <c r="H2521" s="50"/>
      <c r="I2521" s="105"/>
      <c r="J2521" s="50"/>
      <c r="K2521" s="50" t="s">
        <v>37</v>
      </c>
      <c r="L2521" s="50"/>
      <c r="M2521" s="50" t="s">
        <v>328</v>
      </c>
      <c r="N2521" s="50"/>
      <c r="O2521" s="50"/>
      <c r="P2521" s="50"/>
      <c r="Q2521" s="50"/>
      <c r="R2521" s="50"/>
      <c r="S2521" s="50" t="str">
        <f t="shared" si="244"/>
        <v/>
      </c>
      <c r="T2521" s="50" t="str">
        <f t="shared" si="242"/>
        <v/>
      </c>
      <c r="U2521" s="50" t="str">
        <f t="shared" si="243"/>
        <v/>
      </c>
      <c r="V2521" s="50" t="str">
        <f t="shared" si="245"/>
        <v/>
      </c>
      <c r="W2521" s="50"/>
      <c r="X2521" s="50"/>
      <c r="Y2521" s="50"/>
      <c r="Z2521" s="50"/>
      <c r="AA2521" s="50"/>
    </row>
    <row r="2522" spans="1:27" ht="25.5" customHeight="1">
      <c r="A2522" s="517" t="s">
        <v>779</v>
      </c>
      <c r="B2522" s="51" t="s">
        <v>1480</v>
      </c>
      <c r="C2522" s="51" t="s">
        <v>159</v>
      </c>
      <c r="D2522" s="51" t="s">
        <v>5976</v>
      </c>
      <c r="E2522" s="50">
        <v>1481</v>
      </c>
      <c r="F2522" s="50">
        <v>1637</v>
      </c>
      <c r="G2522" s="50" t="s">
        <v>3955</v>
      </c>
      <c r="H2522" s="50"/>
      <c r="I2522" s="105"/>
      <c r="J2522" s="50"/>
      <c r="K2522" s="50" t="s">
        <v>37</v>
      </c>
      <c r="L2522" s="50"/>
      <c r="M2522" s="50" t="s">
        <v>328</v>
      </c>
      <c r="N2522" s="50"/>
      <c r="O2522" s="50"/>
      <c r="P2522" s="50"/>
      <c r="Q2522" s="50"/>
      <c r="R2522" s="50"/>
      <c r="S2522" s="50" t="str">
        <f t="shared" si="244"/>
        <v/>
      </c>
      <c r="T2522" s="50" t="str">
        <f t="shared" si="242"/>
        <v/>
      </c>
      <c r="U2522" s="50" t="str">
        <f t="shared" si="243"/>
        <v/>
      </c>
      <c r="V2522" s="50" t="str">
        <f t="shared" si="245"/>
        <v/>
      </c>
      <c r="W2522" s="50"/>
      <c r="X2522" s="50"/>
      <c r="Y2522" s="50"/>
      <c r="Z2522" s="50"/>
      <c r="AA2522" s="50"/>
    </row>
    <row r="2523" spans="1:27" ht="25.5" customHeight="1">
      <c r="A2523" s="517" t="s">
        <v>779</v>
      </c>
      <c r="B2523" s="51" t="s">
        <v>1480</v>
      </c>
      <c r="C2523" s="51" t="s">
        <v>159</v>
      </c>
      <c r="D2523" s="51" t="s">
        <v>5977</v>
      </c>
      <c r="E2523" s="50">
        <v>1327</v>
      </c>
      <c r="F2523" s="50">
        <v>1522</v>
      </c>
      <c r="G2523" s="50" t="s">
        <v>3955</v>
      </c>
      <c r="H2523" s="50"/>
      <c r="I2523" s="105"/>
      <c r="J2523" s="50"/>
      <c r="K2523" s="50" t="s">
        <v>37</v>
      </c>
      <c r="L2523" s="50"/>
      <c r="M2523" s="50" t="s">
        <v>328</v>
      </c>
      <c r="N2523" s="50"/>
      <c r="O2523" s="50"/>
      <c r="P2523" s="50"/>
      <c r="Q2523" s="50"/>
      <c r="R2523" s="50"/>
      <c r="S2523" s="50" t="str">
        <f t="shared" si="244"/>
        <v/>
      </c>
      <c r="T2523" s="50" t="str">
        <f t="shared" si="242"/>
        <v/>
      </c>
      <c r="U2523" s="50" t="str">
        <f t="shared" si="243"/>
        <v/>
      </c>
      <c r="V2523" s="50" t="str">
        <f t="shared" si="245"/>
        <v/>
      </c>
      <c r="W2523" s="50"/>
      <c r="X2523" s="50"/>
      <c r="Y2523" s="50"/>
      <c r="Z2523" s="50"/>
      <c r="AA2523" s="50"/>
    </row>
    <row r="2524" spans="1:27" ht="25.5" customHeight="1">
      <c r="A2524" s="517" t="s">
        <v>779</v>
      </c>
      <c r="B2524" s="51" t="s">
        <v>1480</v>
      </c>
      <c r="C2524" s="51" t="s">
        <v>159</v>
      </c>
      <c r="D2524" s="51" t="s">
        <v>5978</v>
      </c>
      <c r="E2524" s="50">
        <v>1606</v>
      </c>
      <c r="F2524" s="50">
        <v>1826</v>
      </c>
      <c r="G2524" s="50" t="s">
        <v>3955</v>
      </c>
      <c r="H2524" s="50"/>
      <c r="I2524" s="105"/>
      <c r="J2524" s="50"/>
      <c r="K2524" s="50" t="s">
        <v>37</v>
      </c>
      <c r="L2524" s="50"/>
      <c r="M2524" s="50" t="s">
        <v>328</v>
      </c>
      <c r="N2524" s="50"/>
      <c r="O2524" s="50"/>
      <c r="P2524" s="50"/>
      <c r="Q2524" s="50"/>
      <c r="R2524" s="50"/>
      <c r="S2524" s="50" t="str">
        <f t="shared" si="244"/>
        <v/>
      </c>
      <c r="T2524" s="50" t="str">
        <f t="shared" si="242"/>
        <v/>
      </c>
      <c r="U2524" s="50" t="str">
        <f t="shared" si="243"/>
        <v/>
      </c>
      <c r="V2524" s="50" t="str">
        <f t="shared" si="245"/>
        <v/>
      </c>
      <c r="W2524" s="50"/>
      <c r="X2524" s="50"/>
      <c r="Y2524" s="50"/>
      <c r="Z2524" s="50"/>
      <c r="AA2524" s="50"/>
    </row>
    <row r="2525" spans="1:27" ht="25.5" customHeight="1">
      <c r="A2525" s="517" t="s">
        <v>779</v>
      </c>
      <c r="B2525" s="51" t="s">
        <v>1480</v>
      </c>
      <c r="C2525" s="51" t="s">
        <v>159</v>
      </c>
      <c r="D2525" s="51" t="s">
        <v>5979</v>
      </c>
      <c r="E2525" s="50">
        <v>1113</v>
      </c>
      <c r="F2525" s="50">
        <v>1233</v>
      </c>
      <c r="G2525" s="50" t="s">
        <v>3404</v>
      </c>
      <c r="H2525" s="50">
        <v>2025</v>
      </c>
      <c r="I2525" s="132">
        <v>45875</v>
      </c>
      <c r="J2525" s="50" t="s">
        <v>3126</v>
      </c>
      <c r="K2525" s="50" t="s">
        <v>37</v>
      </c>
      <c r="L2525" s="50"/>
      <c r="M2525" s="50" t="s">
        <v>328</v>
      </c>
      <c r="N2525" s="50" t="s">
        <v>5980</v>
      </c>
      <c r="O2525" s="60">
        <v>45877</v>
      </c>
      <c r="P2525" s="50"/>
      <c r="Q2525" s="60">
        <v>45880</v>
      </c>
      <c r="R2525" s="60">
        <v>45882</v>
      </c>
      <c r="S2525" s="50">
        <f t="shared" si="244"/>
        <v>2</v>
      </c>
      <c r="T2525" s="50" t="str">
        <f t="shared" si="242"/>
        <v/>
      </c>
      <c r="U2525" s="50">
        <f t="shared" si="243"/>
        <v>1</v>
      </c>
      <c r="V2525" s="50">
        <f t="shared" si="245"/>
        <v>2</v>
      </c>
      <c r="W2525" s="50" t="s">
        <v>150</v>
      </c>
      <c r="X2525" s="50" t="s">
        <v>4</v>
      </c>
      <c r="Y2525" s="50" t="s">
        <v>50</v>
      </c>
      <c r="Z2525" s="50" t="s">
        <v>3406</v>
      </c>
      <c r="AA2525" s="50"/>
    </row>
    <row r="2526" spans="1:27" ht="25.5" customHeight="1">
      <c r="A2526" s="517" t="s">
        <v>779</v>
      </c>
      <c r="B2526" s="51" t="s">
        <v>1480</v>
      </c>
      <c r="C2526" s="51" t="s">
        <v>159</v>
      </c>
      <c r="D2526" s="51" t="s">
        <v>5981</v>
      </c>
      <c r="E2526" s="50">
        <v>1172</v>
      </c>
      <c r="F2526" s="50">
        <v>1110</v>
      </c>
      <c r="G2526" s="50" t="s">
        <v>3955</v>
      </c>
      <c r="H2526" s="50"/>
      <c r="I2526" s="105"/>
      <c r="J2526" s="50"/>
      <c r="K2526" s="50" t="s">
        <v>37</v>
      </c>
      <c r="L2526" s="50"/>
      <c r="M2526" s="50" t="s">
        <v>328</v>
      </c>
      <c r="N2526" s="50"/>
      <c r="O2526" s="50"/>
      <c r="P2526" s="50"/>
      <c r="Q2526" s="50"/>
      <c r="R2526" s="50"/>
      <c r="S2526" s="50" t="str">
        <f t="shared" si="244"/>
        <v/>
      </c>
      <c r="T2526" s="50" t="str">
        <f t="shared" si="242"/>
        <v/>
      </c>
      <c r="U2526" s="50" t="str">
        <f t="shared" si="243"/>
        <v/>
      </c>
      <c r="V2526" s="50" t="str">
        <f t="shared" si="245"/>
        <v/>
      </c>
      <c r="W2526" s="50"/>
      <c r="X2526" s="50"/>
      <c r="Y2526" s="50"/>
      <c r="Z2526" s="50"/>
      <c r="AA2526" s="50"/>
    </row>
    <row r="2527" spans="1:27" s="110" customFormat="1" ht="25.5" customHeight="1">
      <c r="A2527" s="517" t="s">
        <v>779</v>
      </c>
      <c r="B2527" s="51" t="s">
        <v>1480</v>
      </c>
      <c r="C2527" s="51" t="s">
        <v>159</v>
      </c>
      <c r="D2527" s="51" t="s">
        <v>5982</v>
      </c>
      <c r="E2527" s="50">
        <v>1334</v>
      </c>
      <c r="F2527" s="50">
        <v>1327</v>
      </c>
      <c r="G2527" s="50" t="s">
        <v>3955</v>
      </c>
      <c r="H2527" s="50"/>
      <c r="I2527" s="132"/>
      <c r="J2527" s="50"/>
      <c r="K2527" s="50" t="s">
        <v>37</v>
      </c>
      <c r="L2527" s="50"/>
      <c r="M2527" s="50" t="s">
        <v>328</v>
      </c>
      <c r="N2527" s="50"/>
      <c r="O2527" s="60"/>
      <c r="P2527" s="50"/>
      <c r="Q2527" s="60"/>
      <c r="R2527" s="60"/>
      <c r="S2527" s="50" t="str">
        <f t="shared" si="244"/>
        <v/>
      </c>
      <c r="T2527" s="50" t="str">
        <f t="shared" si="242"/>
        <v/>
      </c>
      <c r="U2527" s="50" t="str">
        <f t="shared" si="243"/>
        <v/>
      </c>
      <c r="V2527" s="50" t="str">
        <f t="shared" si="245"/>
        <v/>
      </c>
      <c r="W2527" s="50"/>
      <c r="X2527" s="50"/>
      <c r="Y2527" s="50"/>
      <c r="Z2527" s="50" t="s">
        <v>3406</v>
      </c>
      <c r="AA2527" s="50"/>
    </row>
    <row r="2528" spans="1:27" ht="25.5" customHeight="1">
      <c r="A2528" s="50" t="s">
        <v>779</v>
      </c>
      <c r="B2528" s="51" t="s">
        <v>1480</v>
      </c>
      <c r="C2528" s="51" t="s">
        <v>159</v>
      </c>
      <c r="D2528" s="51" t="s">
        <v>5983</v>
      </c>
      <c r="E2528" s="50">
        <v>2904</v>
      </c>
      <c r="F2528" s="50">
        <v>3271</v>
      </c>
      <c r="G2528" s="50" t="s">
        <v>3404</v>
      </c>
      <c r="H2528" s="50">
        <v>2024</v>
      </c>
      <c r="I2528" s="132">
        <v>45544</v>
      </c>
      <c r="J2528" s="50"/>
      <c r="K2528" s="50" t="s">
        <v>37</v>
      </c>
      <c r="L2528" s="50"/>
      <c r="M2528" s="50" t="s">
        <v>328</v>
      </c>
      <c r="N2528" s="50"/>
      <c r="O2528" s="50"/>
      <c r="P2528" s="50"/>
      <c r="Q2528" s="50"/>
      <c r="R2528" s="50"/>
      <c r="S2528" s="50" t="str">
        <f t="shared" si="244"/>
        <v/>
      </c>
      <c r="T2528" s="50" t="str">
        <f t="shared" si="242"/>
        <v/>
      </c>
      <c r="U2528" s="50" t="str">
        <f t="shared" si="243"/>
        <v/>
      </c>
      <c r="V2528" s="50" t="str">
        <f t="shared" si="245"/>
        <v/>
      </c>
      <c r="W2528" s="50"/>
      <c r="X2528" s="50" t="s">
        <v>1078</v>
      </c>
      <c r="Y2528" s="50" t="s">
        <v>50</v>
      </c>
      <c r="Z2528" s="50" t="s">
        <v>3406</v>
      </c>
      <c r="AA2528" s="50"/>
    </row>
    <row r="2529" spans="1:27" ht="25.5" customHeight="1">
      <c r="A2529" s="517" t="s">
        <v>779</v>
      </c>
      <c r="B2529" s="51" t="s">
        <v>1480</v>
      </c>
      <c r="C2529" s="51" t="s">
        <v>159</v>
      </c>
      <c r="D2529" s="51" t="s">
        <v>5984</v>
      </c>
      <c r="E2529" s="50">
        <v>3775</v>
      </c>
      <c r="F2529" s="50">
        <v>3701</v>
      </c>
      <c r="G2529" s="50" t="s">
        <v>3955</v>
      </c>
      <c r="H2529" s="50"/>
      <c r="I2529" s="105"/>
      <c r="J2529" s="50"/>
      <c r="K2529" s="50" t="s">
        <v>37</v>
      </c>
      <c r="L2529" s="50"/>
      <c r="M2529" s="50" t="s">
        <v>328</v>
      </c>
      <c r="N2529" s="50"/>
      <c r="O2529" s="50"/>
      <c r="P2529" s="50"/>
      <c r="Q2529" s="50"/>
      <c r="R2529" s="50"/>
      <c r="S2529" s="50" t="str">
        <f t="shared" si="244"/>
        <v/>
      </c>
      <c r="T2529" s="50" t="str">
        <f t="shared" si="242"/>
        <v/>
      </c>
      <c r="U2529" s="50" t="str">
        <f t="shared" si="243"/>
        <v/>
      </c>
      <c r="V2529" s="50" t="str">
        <f t="shared" si="245"/>
        <v/>
      </c>
      <c r="W2529" s="50"/>
      <c r="X2529" s="50"/>
      <c r="Y2529" s="50"/>
      <c r="Z2529" s="50"/>
      <c r="AA2529" s="50"/>
    </row>
    <row r="2530" spans="1:27" s="110" customFormat="1" ht="25.5" customHeight="1">
      <c r="A2530" s="517" t="s">
        <v>779</v>
      </c>
      <c r="B2530" s="51" t="s">
        <v>1480</v>
      </c>
      <c r="C2530" s="51" t="s">
        <v>159</v>
      </c>
      <c r="D2530" s="51" t="s">
        <v>5985</v>
      </c>
      <c r="E2530" s="50">
        <v>1444</v>
      </c>
      <c r="F2530" s="50">
        <v>1589</v>
      </c>
      <c r="G2530" s="50" t="s">
        <v>3404</v>
      </c>
      <c r="H2530" s="50">
        <v>2025</v>
      </c>
      <c r="I2530" s="132">
        <v>45819</v>
      </c>
      <c r="J2530" s="50" t="s">
        <v>3689</v>
      </c>
      <c r="K2530" s="50" t="s">
        <v>37</v>
      </c>
      <c r="L2530" s="50"/>
      <c r="M2530" s="50" t="s">
        <v>328</v>
      </c>
      <c r="N2530" s="50" t="s">
        <v>5986</v>
      </c>
      <c r="O2530" s="60">
        <v>45822</v>
      </c>
      <c r="P2530" s="50"/>
      <c r="Q2530" s="60">
        <v>45824</v>
      </c>
      <c r="R2530" s="60">
        <v>45824</v>
      </c>
      <c r="S2530" s="50">
        <f t="shared" si="244"/>
        <v>2</v>
      </c>
      <c r="T2530" s="50" t="str">
        <f t="shared" si="242"/>
        <v/>
      </c>
      <c r="U2530" s="50">
        <f t="shared" si="243"/>
        <v>1</v>
      </c>
      <c r="V2530" s="50">
        <f t="shared" si="245"/>
        <v>1</v>
      </c>
      <c r="W2530" s="50" t="s">
        <v>150</v>
      </c>
      <c r="X2530" s="50" t="s">
        <v>1078</v>
      </c>
      <c r="Y2530" s="50" t="s">
        <v>50</v>
      </c>
      <c r="Z2530" s="50" t="s">
        <v>3406</v>
      </c>
      <c r="AA2530" s="50"/>
    </row>
    <row r="2531" spans="1:27" ht="25.5" customHeight="1">
      <c r="A2531" s="50" t="s">
        <v>779</v>
      </c>
      <c r="B2531" s="51" t="s">
        <v>1480</v>
      </c>
      <c r="C2531" s="51" t="s">
        <v>159</v>
      </c>
      <c r="D2531" s="51" t="s">
        <v>5987</v>
      </c>
      <c r="E2531" s="50">
        <v>2755</v>
      </c>
      <c r="F2531" s="50">
        <v>2986</v>
      </c>
      <c r="G2531" s="50" t="s">
        <v>3404</v>
      </c>
      <c r="H2531" s="50">
        <v>2024</v>
      </c>
      <c r="I2531" s="132">
        <v>45602</v>
      </c>
      <c r="J2531" s="50"/>
      <c r="K2531" s="50" t="s">
        <v>37</v>
      </c>
      <c r="L2531" s="50"/>
      <c r="M2531" s="50" t="s">
        <v>328</v>
      </c>
      <c r="N2531" s="50"/>
      <c r="O2531" s="50"/>
      <c r="P2531" s="50"/>
      <c r="Q2531" s="50"/>
      <c r="R2531" s="50"/>
      <c r="S2531" s="50" t="str">
        <f t="shared" si="244"/>
        <v/>
      </c>
      <c r="T2531" s="50" t="str">
        <f t="shared" si="242"/>
        <v/>
      </c>
      <c r="U2531" s="50" t="str">
        <f t="shared" si="243"/>
        <v/>
      </c>
      <c r="V2531" s="50" t="str">
        <f t="shared" si="245"/>
        <v/>
      </c>
      <c r="W2531" s="50"/>
      <c r="X2531" s="50" t="s">
        <v>1078</v>
      </c>
      <c r="Y2531" s="50" t="s">
        <v>50</v>
      </c>
      <c r="Z2531" s="50" t="s">
        <v>3406</v>
      </c>
      <c r="AA2531" s="50"/>
    </row>
    <row r="2532" spans="1:27" ht="25.5" customHeight="1">
      <c r="A2532" s="50" t="s">
        <v>779</v>
      </c>
      <c r="B2532" s="51" t="s">
        <v>1480</v>
      </c>
      <c r="C2532" s="51" t="s">
        <v>159</v>
      </c>
      <c r="D2532" s="51" t="s">
        <v>5988</v>
      </c>
      <c r="E2532" s="50">
        <v>1151</v>
      </c>
      <c r="F2532" s="50">
        <v>1017</v>
      </c>
      <c r="G2532" s="50" t="s">
        <v>3404</v>
      </c>
      <c r="H2532" s="50">
        <v>2024</v>
      </c>
      <c r="I2532" s="132">
        <v>45386</v>
      </c>
      <c r="J2532" s="50"/>
      <c r="K2532" s="50" t="s">
        <v>37</v>
      </c>
      <c r="L2532" s="50"/>
      <c r="M2532" s="50" t="s">
        <v>328</v>
      </c>
      <c r="N2532" s="50"/>
      <c r="O2532" s="50"/>
      <c r="P2532" s="50"/>
      <c r="Q2532" s="50"/>
      <c r="R2532" s="50"/>
      <c r="S2532" s="50" t="str">
        <f t="shared" si="244"/>
        <v/>
      </c>
      <c r="T2532" s="50" t="str">
        <f t="shared" si="242"/>
        <v/>
      </c>
      <c r="U2532" s="50" t="str">
        <f t="shared" si="243"/>
        <v/>
      </c>
      <c r="V2532" s="50" t="str">
        <f t="shared" si="245"/>
        <v/>
      </c>
      <c r="W2532" s="50"/>
      <c r="X2532" s="50"/>
      <c r="Y2532" s="50"/>
      <c r="Z2532" s="50" t="s">
        <v>3406</v>
      </c>
      <c r="AA2532" s="50"/>
    </row>
    <row r="2533" spans="1:27" ht="25.5" customHeight="1">
      <c r="A2533" s="517" t="s">
        <v>779</v>
      </c>
      <c r="B2533" s="51" t="s">
        <v>1480</v>
      </c>
      <c r="C2533" s="51" t="s">
        <v>159</v>
      </c>
      <c r="D2533" s="51" t="s">
        <v>5989</v>
      </c>
      <c r="E2533" s="50">
        <v>2082</v>
      </c>
      <c r="F2533" s="50">
        <v>2081</v>
      </c>
      <c r="G2533" s="50" t="s">
        <v>3955</v>
      </c>
      <c r="H2533" s="50"/>
      <c r="I2533" s="105"/>
      <c r="J2533" s="50"/>
      <c r="K2533" s="50" t="s">
        <v>37</v>
      </c>
      <c r="L2533" s="50"/>
      <c r="M2533" s="50" t="s">
        <v>328</v>
      </c>
      <c r="N2533" s="50"/>
      <c r="O2533" s="50"/>
      <c r="P2533" s="50"/>
      <c r="Q2533" s="50"/>
      <c r="R2533" s="50"/>
      <c r="S2533" s="50" t="str">
        <f t="shared" si="244"/>
        <v/>
      </c>
      <c r="T2533" s="50" t="str">
        <f t="shared" si="242"/>
        <v/>
      </c>
      <c r="U2533" s="50" t="str">
        <f t="shared" si="243"/>
        <v/>
      </c>
      <c r="V2533" s="50" t="str">
        <f t="shared" si="245"/>
        <v/>
      </c>
      <c r="W2533" s="50"/>
      <c r="X2533" s="50"/>
      <c r="Y2533" s="50"/>
      <c r="Z2533" s="50"/>
      <c r="AA2533" s="50"/>
    </row>
    <row r="2534" spans="1:27" ht="25.5" customHeight="1">
      <c r="A2534" s="517" t="s">
        <v>779</v>
      </c>
      <c r="B2534" s="51" t="s">
        <v>1480</v>
      </c>
      <c r="C2534" s="51" t="s">
        <v>159</v>
      </c>
      <c r="D2534" s="51" t="s">
        <v>1295</v>
      </c>
      <c r="E2534" s="50">
        <v>1264</v>
      </c>
      <c r="F2534" s="50">
        <v>1279</v>
      </c>
      <c r="G2534" s="50" t="s">
        <v>3404</v>
      </c>
      <c r="H2534" s="50">
        <v>2025</v>
      </c>
      <c r="I2534" s="132">
        <v>45875</v>
      </c>
      <c r="J2534" s="50" t="s">
        <v>3126</v>
      </c>
      <c r="K2534" s="50" t="s">
        <v>37</v>
      </c>
      <c r="L2534" s="50"/>
      <c r="M2534" s="50" t="s">
        <v>328</v>
      </c>
      <c r="N2534" s="50" t="s">
        <v>5990</v>
      </c>
      <c r="O2534" s="60">
        <v>45877</v>
      </c>
      <c r="P2534" s="50"/>
      <c r="Q2534" s="60">
        <v>45881</v>
      </c>
      <c r="R2534" s="60">
        <v>45882</v>
      </c>
      <c r="S2534" s="50">
        <f t="shared" si="244"/>
        <v>2</v>
      </c>
      <c r="T2534" s="50" t="str">
        <f t="shared" si="242"/>
        <v/>
      </c>
      <c r="U2534" s="50">
        <f t="shared" si="243"/>
        <v>2</v>
      </c>
      <c r="V2534" s="50">
        <f t="shared" si="245"/>
        <v>1</v>
      </c>
      <c r="W2534" s="50" t="s">
        <v>150</v>
      </c>
      <c r="X2534" s="50" t="s">
        <v>1078</v>
      </c>
      <c r="Y2534" s="50" t="s">
        <v>50</v>
      </c>
      <c r="Z2534" s="50" t="s">
        <v>3406</v>
      </c>
      <c r="AA2534" s="50"/>
    </row>
    <row r="2535" spans="1:27" s="110" customFormat="1" ht="25.5" customHeight="1">
      <c r="A2535" s="517" t="s">
        <v>779</v>
      </c>
      <c r="B2535" s="51" t="s">
        <v>1480</v>
      </c>
      <c r="C2535" s="51" t="s">
        <v>159</v>
      </c>
      <c r="D2535" s="51" t="s">
        <v>1299</v>
      </c>
      <c r="E2535" s="50">
        <v>1331</v>
      </c>
      <c r="F2535" s="50">
        <v>1592</v>
      </c>
      <c r="G2535" s="50" t="s">
        <v>3955</v>
      </c>
      <c r="H2535" s="50"/>
      <c r="I2535" s="105"/>
      <c r="J2535" s="50"/>
      <c r="K2535" s="50" t="s">
        <v>37</v>
      </c>
      <c r="L2535" s="50"/>
      <c r="M2535" s="50" t="s">
        <v>328</v>
      </c>
      <c r="N2535" s="50"/>
      <c r="O2535" s="50"/>
      <c r="P2535" s="50"/>
      <c r="Q2535" s="50"/>
      <c r="R2535" s="50"/>
      <c r="S2535" s="50" t="str">
        <f t="shared" si="244"/>
        <v/>
      </c>
      <c r="T2535" s="50" t="str">
        <f t="shared" si="242"/>
        <v/>
      </c>
      <c r="U2535" s="50" t="str">
        <f t="shared" si="243"/>
        <v/>
      </c>
      <c r="V2535" s="50" t="str">
        <f t="shared" si="245"/>
        <v/>
      </c>
      <c r="W2535" s="50"/>
      <c r="X2535" s="50"/>
      <c r="Y2535" s="50"/>
      <c r="Z2535" s="50"/>
      <c r="AA2535" s="50"/>
    </row>
    <row r="2536" spans="1:27" ht="25.5" customHeight="1">
      <c r="A2536" s="50" t="s">
        <v>779</v>
      </c>
      <c r="B2536" s="51" t="s">
        <v>1480</v>
      </c>
      <c r="C2536" s="51" t="s">
        <v>159</v>
      </c>
      <c r="D2536" s="51" t="s">
        <v>4475</v>
      </c>
      <c r="E2536" s="50">
        <v>2981</v>
      </c>
      <c r="F2536" s="50">
        <v>3050</v>
      </c>
      <c r="G2536" s="50" t="s">
        <v>3404</v>
      </c>
      <c r="H2536" s="50">
        <v>2024</v>
      </c>
      <c r="I2536" s="132">
        <v>45386</v>
      </c>
      <c r="J2536" s="50"/>
      <c r="K2536" s="50" t="s">
        <v>37</v>
      </c>
      <c r="L2536" s="50"/>
      <c r="M2536" s="50" t="s">
        <v>328</v>
      </c>
      <c r="N2536" s="50"/>
      <c r="O2536" s="50"/>
      <c r="P2536" s="50"/>
      <c r="Q2536" s="50"/>
      <c r="R2536" s="50"/>
      <c r="S2536" s="50" t="str">
        <f t="shared" si="244"/>
        <v/>
      </c>
      <c r="T2536" s="50" t="str">
        <f t="shared" si="242"/>
        <v/>
      </c>
      <c r="U2536" s="50" t="str">
        <f t="shared" si="243"/>
        <v/>
      </c>
      <c r="V2536" s="50" t="str">
        <f t="shared" si="245"/>
        <v/>
      </c>
      <c r="W2536" s="50"/>
      <c r="X2536" s="50"/>
      <c r="Y2536" s="50"/>
      <c r="Z2536" s="50" t="s">
        <v>3406</v>
      </c>
      <c r="AA2536" s="50"/>
    </row>
    <row r="2537" spans="1:27" ht="25.5" customHeight="1">
      <c r="A2537" s="50" t="s">
        <v>779</v>
      </c>
      <c r="B2537" s="51" t="s">
        <v>1480</v>
      </c>
      <c r="C2537" s="51" t="s">
        <v>159</v>
      </c>
      <c r="D2537" s="51" t="s">
        <v>4126</v>
      </c>
      <c r="E2537" s="50">
        <v>1463</v>
      </c>
      <c r="F2537" s="50">
        <v>1779</v>
      </c>
      <c r="G2537" s="50" t="s">
        <v>3404</v>
      </c>
      <c r="H2537" s="50">
        <v>2024</v>
      </c>
      <c r="I2537" s="132">
        <v>45608</v>
      </c>
      <c r="J2537" s="50"/>
      <c r="K2537" s="50" t="s">
        <v>37</v>
      </c>
      <c r="L2537" s="50"/>
      <c r="M2537" s="50" t="s">
        <v>328</v>
      </c>
      <c r="N2537" s="50"/>
      <c r="O2537" s="50"/>
      <c r="P2537" s="50"/>
      <c r="Q2537" s="50"/>
      <c r="R2537" s="50"/>
      <c r="S2537" s="50" t="str">
        <f t="shared" si="244"/>
        <v/>
      </c>
      <c r="T2537" s="50" t="str">
        <f t="shared" si="242"/>
        <v/>
      </c>
      <c r="U2537" s="50" t="str">
        <f t="shared" si="243"/>
        <v/>
      </c>
      <c r="V2537" s="50" t="str">
        <f t="shared" si="245"/>
        <v/>
      </c>
      <c r="W2537" s="50"/>
      <c r="X2537" s="50" t="s">
        <v>1078</v>
      </c>
      <c r="Y2537" s="50" t="s">
        <v>50</v>
      </c>
      <c r="Z2537" s="50" t="s">
        <v>3406</v>
      </c>
      <c r="AA2537" s="50"/>
    </row>
    <row r="2538" spans="1:27" ht="25.5" customHeight="1">
      <c r="A2538" s="517" t="s">
        <v>779</v>
      </c>
      <c r="B2538" s="51" t="s">
        <v>1480</v>
      </c>
      <c r="C2538" s="51" t="s">
        <v>159</v>
      </c>
      <c r="D2538" s="51" t="s">
        <v>914</v>
      </c>
      <c r="E2538" s="50">
        <v>3106</v>
      </c>
      <c r="F2538" s="50">
        <v>3186</v>
      </c>
      <c r="G2538" s="50" t="s">
        <v>3955</v>
      </c>
      <c r="H2538" s="50"/>
      <c r="I2538" s="105"/>
      <c r="J2538" s="50"/>
      <c r="K2538" s="50" t="s">
        <v>37</v>
      </c>
      <c r="L2538" s="50"/>
      <c r="M2538" s="50" t="s">
        <v>328</v>
      </c>
      <c r="N2538" s="50"/>
      <c r="O2538" s="50"/>
      <c r="P2538" s="50"/>
      <c r="Q2538" s="50"/>
      <c r="R2538" s="50"/>
      <c r="S2538" s="50" t="str">
        <f t="shared" si="244"/>
        <v/>
      </c>
      <c r="T2538" s="50" t="str">
        <f t="shared" ref="T2538:T2601" si="246">IF(
    OR(ISBLANK(O2538), ISBLANK(P2538)),
    "",
    MAX(1, IF(
        NETWORKDAYS(O2538, P2538) &lt;= 0,
        1,
        NETWORKDAYS(O2538, P2538) - IF(O2538 = P2538, 0, 1)
    ))
)</f>
        <v/>
      </c>
      <c r="U2538" s="50" t="str">
        <f t="shared" si="243"/>
        <v/>
      </c>
      <c r="V2538" s="50" t="str">
        <f t="shared" si="245"/>
        <v/>
      </c>
      <c r="W2538" s="50"/>
      <c r="X2538" s="50"/>
      <c r="Y2538" s="50"/>
      <c r="Z2538" s="50"/>
      <c r="AA2538" s="50"/>
    </row>
    <row r="2539" spans="1:27" ht="25.5" customHeight="1">
      <c r="A2539" s="517" t="s">
        <v>779</v>
      </c>
      <c r="B2539" s="51" t="s">
        <v>1480</v>
      </c>
      <c r="C2539" s="51" t="s">
        <v>159</v>
      </c>
      <c r="D2539" s="51" t="s">
        <v>5756</v>
      </c>
      <c r="E2539" s="50">
        <v>1065</v>
      </c>
      <c r="F2539" s="50">
        <v>1212</v>
      </c>
      <c r="G2539" s="50" t="s">
        <v>3404</v>
      </c>
      <c r="H2539" s="50">
        <v>2025</v>
      </c>
      <c r="I2539" s="132">
        <v>45848</v>
      </c>
      <c r="J2539" s="50" t="s">
        <v>3125</v>
      </c>
      <c r="K2539" s="50" t="s">
        <v>37</v>
      </c>
      <c r="L2539" s="50"/>
      <c r="M2539" s="50" t="s">
        <v>328</v>
      </c>
      <c r="N2539" s="50" t="s">
        <v>5991</v>
      </c>
      <c r="O2539" s="60">
        <v>45850</v>
      </c>
      <c r="P2539" s="50"/>
      <c r="Q2539" s="60">
        <v>45854</v>
      </c>
      <c r="R2539" s="60">
        <v>45855</v>
      </c>
      <c r="S2539" s="50">
        <f t="shared" si="244"/>
        <v>1</v>
      </c>
      <c r="T2539" s="50" t="str">
        <f t="shared" si="246"/>
        <v/>
      </c>
      <c r="U2539" s="50">
        <f t="shared" si="243"/>
        <v>2</v>
      </c>
      <c r="V2539" s="50">
        <f t="shared" si="245"/>
        <v>1</v>
      </c>
      <c r="W2539" s="50" t="s">
        <v>150</v>
      </c>
      <c r="X2539" s="50" t="s">
        <v>1078</v>
      </c>
      <c r="Y2539" s="50" t="s">
        <v>50</v>
      </c>
      <c r="Z2539" s="50" t="s">
        <v>3406</v>
      </c>
      <c r="AA2539" s="50"/>
    </row>
    <row r="2540" spans="1:27" ht="25.5" customHeight="1">
      <c r="A2540" s="517" t="s">
        <v>779</v>
      </c>
      <c r="B2540" s="51" t="s">
        <v>1480</v>
      </c>
      <c r="C2540" s="51" t="s">
        <v>159</v>
      </c>
      <c r="D2540" s="51" t="s">
        <v>858</v>
      </c>
      <c r="E2540" s="50">
        <v>1244</v>
      </c>
      <c r="F2540" s="50">
        <v>1492</v>
      </c>
      <c r="G2540" s="50" t="s">
        <v>3955</v>
      </c>
      <c r="H2540" s="50"/>
      <c r="I2540" s="105"/>
      <c r="J2540" s="50"/>
      <c r="K2540" s="50" t="s">
        <v>37</v>
      </c>
      <c r="L2540" s="50"/>
      <c r="M2540" s="50" t="s">
        <v>328</v>
      </c>
      <c r="N2540" s="50"/>
      <c r="O2540" s="50"/>
      <c r="P2540" s="50"/>
      <c r="Q2540" s="50"/>
      <c r="R2540" s="50"/>
      <c r="S2540" s="50" t="str">
        <f t="shared" si="244"/>
        <v/>
      </c>
      <c r="T2540" s="50" t="str">
        <f t="shared" si="246"/>
        <v/>
      </c>
      <c r="U2540" s="50" t="str">
        <f t="shared" si="243"/>
        <v/>
      </c>
      <c r="V2540" s="50" t="str">
        <f t="shared" si="245"/>
        <v/>
      </c>
      <c r="W2540" s="50"/>
      <c r="X2540" s="50"/>
      <c r="Y2540" s="50"/>
      <c r="Z2540" s="50"/>
      <c r="AA2540" s="50"/>
    </row>
    <row r="2541" spans="1:27" ht="25.5" customHeight="1">
      <c r="A2541" s="517" t="s">
        <v>779</v>
      </c>
      <c r="B2541" s="51" t="s">
        <v>1480</v>
      </c>
      <c r="C2541" s="51" t="s">
        <v>159</v>
      </c>
      <c r="D2541" s="51" t="s">
        <v>3565</v>
      </c>
      <c r="E2541" s="50">
        <v>778</v>
      </c>
      <c r="F2541" s="50">
        <v>903</v>
      </c>
      <c r="G2541" s="50" t="s">
        <v>3404</v>
      </c>
      <c r="H2541" s="50">
        <v>2025</v>
      </c>
      <c r="I2541" s="132">
        <v>45848</v>
      </c>
      <c r="J2541" s="50" t="s">
        <v>3125</v>
      </c>
      <c r="K2541" s="50" t="s">
        <v>37</v>
      </c>
      <c r="L2541" s="50"/>
      <c r="M2541" s="50" t="s">
        <v>328</v>
      </c>
      <c r="N2541" s="50" t="s">
        <v>5992</v>
      </c>
      <c r="O2541" s="60">
        <v>45850</v>
      </c>
      <c r="P2541" s="50"/>
      <c r="Q2541" s="60">
        <v>45854</v>
      </c>
      <c r="R2541" s="60">
        <v>45855</v>
      </c>
      <c r="S2541" s="50">
        <f t="shared" si="244"/>
        <v>1</v>
      </c>
      <c r="T2541" s="50" t="str">
        <f t="shared" si="246"/>
        <v/>
      </c>
      <c r="U2541" s="50">
        <f t="shared" si="243"/>
        <v>2</v>
      </c>
      <c r="V2541" s="50">
        <f t="shared" si="245"/>
        <v>1</v>
      </c>
      <c r="W2541" s="50" t="s">
        <v>150</v>
      </c>
      <c r="X2541" s="50" t="s">
        <v>1078</v>
      </c>
      <c r="Y2541" s="50" t="s">
        <v>50</v>
      </c>
      <c r="Z2541" s="50" t="s">
        <v>3406</v>
      </c>
      <c r="AA2541" s="50"/>
    </row>
    <row r="2542" spans="1:27" s="110" customFormat="1" ht="25.5" customHeight="1">
      <c r="A2542" s="517" t="s">
        <v>779</v>
      </c>
      <c r="B2542" s="51" t="s">
        <v>1480</v>
      </c>
      <c r="C2542" s="51" t="s">
        <v>159</v>
      </c>
      <c r="D2542" s="51" t="s">
        <v>1170</v>
      </c>
      <c r="E2542" s="50">
        <v>2082</v>
      </c>
      <c r="F2542" s="50">
        <v>2283</v>
      </c>
      <c r="G2542" s="50" t="s">
        <v>3404</v>
      </c>
      <c r="H2542" s="50">
        <v>2025</v>
      </c>
      <c r="I2542" s="132">
        <v>45875</v>
      </c>
      <c r="J2542" s="50" t="s">
        <v>3126</v>
      </c>
      <c r="K2542" s="50" t="s">
        <v>37</v>
      </c>
      <c r="L2542" s="50"/>
      <c r="M2542" s="50" t="s">
        <v>328</v>
      </c>
      <c r="N2542" s="50" t="s">
        <v>5993</v>
      </c>
      <c r="O2542" s="60">
        <v>45877</v>
      </c>
      <c r="P2542" s="50"/>
      <c r="Q2542" s="60">
        <v>45881</v>
      </c>
      <c r="R2542" s="60">
        <v>45882</v>
      </c>
      <c r="S2542" s="50">
        <f t="shared" si="244"/>
        <v>2</v>
      </c>
      <c r="T2542" s="50" t="str">
        <f t="shared" si="246"/>
        <v/>
      </c>
      <c r="U2542" s="50">
        <f t="shared" ref="U2542:U2605" si="247">IF(
    OR(ISBLANK(O2542), ISBLANK(Q2542)),
    "",
    MAX(1, IF(
        NETWORKDAYS(O2542, Q2542) &lt;= 0,
        1,
        NETWORKDAYS(O2542, Q2542) - IF(O2542 = Q2542, 0, 1)
    ))
)</f>
        <v>2</v>
      </c>
      <c r="V2542" s="50">
        <f t="shared" si="245"/>
        <v>1</v>
      </c>
      <c r="W2542" s="50" t="s">
        <v>150</v>
      </c>
      <c r="X2542" s="50" t="s">
        <v>1078</v>
      </c>
      <c r="Y2542" s="50" t="s">
        <v>50</v>
      </c>
      <c r="Z2542" s="50" t="s">
        <v>3406</v>
      </c>
      <c r="AA2542" s="50"/>
    </row>
    <row r="2543" spans="1:27" ht="25.5" customHeight="1">
      <c r="A2543" s="50" t="s">
        <v>779</v>
      </c>
      <c r="B2543" s="51" t="s">
        <v>1480</v>
      </c>
      <c r="C2543" s="51" t="s">
        <v>159</v>
      </c>
      <c r="D2543" s="51" t="s">
        <v>5994</v>
      </c>
      <c r="E2543" s="50">
        <v>1416</v>
      </c>
      <c r="F2543" s="50">
        <v>1573</v>
      </c>
      <c r="G2543" s="50" t="s">
        <v>3404</v>
      </c>
      <c r="H2543" s="50">
        <v>2024</v>
      </c>
      <c r="I2543" s="132">
        <v>45602</v>
      </c>
      <c r="J2543" s="50"/>
      <c r="K2543" s="50" t="s">
        <v>37</v>
      </c>
      <c r="L2543" s="50"/>
      <c r="M2543" s="50" t="s">
        <v>328</v>
      </c>
      <c r="N2543" s="50"/>
      <c r="O2543" s="50"/>
      <c r="P2543" s="50"/>
      <c r="Q2543" s="50"/>
      <c r="R2543" s="50"/>
      <c r="S2543" s="50" t="str">
        <f t="shared" si="244"/>
        <v/>
      </c>
      <c r="T2543" s="50" t="str">
        <f t="shared" si="246"/>
        <v/>
      </c>
      <c r="U2543" s="50" t="str">
        <f t="shared" si="247"/>
        <v/>
      </c>
      <c r="V2543" s="50" t="str">
        <f t="shared" si="245"/>
        <v/>
      </c>
      <c r="W2543" s="50"/>
      <c r="X2543" s="50" t="s">
        <v>4</v>
      </c>
      <c r="Y2543" s="50" t="s">
        <v>50</v>
      </c>
      <c r="Z2543" s="50" t="s">
        <v>3406</v>
      </c>
      <c r="AA2543" s="50"/>
    </row>
    <row r="2544" spans="1:27" s="110" customFormat="1" ht="25.5" customHeight="1">
      <c r="A2544" s="517" t="s">
        <v>779</v>
      </c>
      <c r="B2544" s="51" t="s">
        <v>1480</v>
      </c>
      <c r="C2544" s="51" t="s">
        <v>159</v>
      </c>
      <c r="D2544" s="51" t="s">
        <v>5995</v>
      </c>
      <c r="E2544" s="50">
        <v>1695</v>
      </c>
      <c r="F2544" s="50">
        <v>1528</v>
      </c>
      <c r="G2544" s="50" t="s">
        <v>3955</v>
      </c>
      <c r="H2544" s="50"/>
      <c r="I2544" s="132"/>
      <c r="J2544" s="50"/>
      <c r="K2544" s="50" t="s">
        <v>37</v>
      </c>
      <c r="L2544" s="50"/>
      <c r="M2544" s="50" t="s">
        <v>328</v>
      </c>
      <c r="N2544" s="50"/>
      <c r="O2544" s="60"/>
      <c r="P2544" s="50"/>
      <c r="Q2544" s="60"/>
      <c r="R2544" s="60"/>
      <c r="S2544" s="50" t="str">
        <f t="shared" ref="S2544:S2607" si="248">IF(
    OR(ISBLANK(I2544), ISBLANK(O2544)),
    "",
    MAX(1, IF(
        NETWORKDAYS(I2544, O2544) &lt;= 0,
        1,
        NETWORKDAYS(I2544, O2544) - IF(I2544 = O2544, 0, 1)
    ))
)</f>
        <v/>
      </c>
      <c r="T2544" s="50" t="str">
        <f t="shared" si="246"/>
        <v/>
      </c>
      <c r="U2544" s="50" t="str">
        <f t="shared" si="247"/>
        <v/>
      </c>
      <c r="V2544" s="50" t="str">
        <f t="shared" ref="V2544:V2607" si="249">IF(
    OR(ISBLANK(Q2544), ISBLANK(R2544)),
    "",
    MAX(1, IF(
        NETWORKDAYS(Q2544, R2544) &lt;= 0,
        1,
        NETWORKDAYS(Q2544, R2544) - IF(Q2544 = R2544, 0, 1)
    ))
)</f>
        <v/>
      </c>
      <c r="W2544" s="50"/>
      <c r="X2544" s="50"/>
      <c r="Y2544" s="50"/>
      <c r="Z2544" s="50"/>
      <c r="AA2544" s="50"/>
    </row>
    <row r="2545" spans="1:27" ht="25.5" customHeight="1">
      <c r="A2545" s="50" t="s">
        <v>779</v>
      </c>
      <c r="B2545" s="51" t="s">
        <v>1480</v>
      </c>
      <c r="C2545" s="51" t="s">
        <v>159</v>
      </c>
      <c r="D2545" s="51" t="s">
        <v>5996</v>
      </c>
      <c r="E2545" s="50">
        <v>1627</v>
      </c>
      <c r="F2545" s="50">
        <v>1732</v>
      </c>
      <c r="G2545" s="50" t="s">
        <v>3404</v>
      </c>
      <c r="H2545" s="50">
        <v>2024</v>
      </c>
      <c r="I2545" s="132">
        <v>45603</v>
      </c>
      <c r="J2545" s="50"/>
      <c r="K2545" s="50" t="s">
        <v>37</v>
      </c>
      <c r="L2545" s="50"/>
      <c r="M2545" s="50" t="s">
        <v>328</v>
      </c>
      <c r="N2545" s="50"/>
      <c r="O2545" s="50"/>
      <c r="P2545" s="50"/>
      <c r="Q2545" s="50"/>
      <c r="R2545" s="50"/>
      <c r="S2545" s="50" t="str">
        <f t="shared" si="248"/>
        <v/>
      </c>
      <c r="T2545" s="50" t="str">
        <f t="shared" si="246"/>
        <v/>
      </c>
      <c r="U2545" s="50" t="str">
        <f t="shared" si="247"/>
        <v/>
      </c>
      <c r="V2545" s="50" t="str">
        <f t="shared" si="249"/>
        <v/>
      </c>
      <c r="W2545" s="50"/>
      <c r="X2545" s="50" t="s">
        <v>4</v>
      </c>
      <c r="Y2545" s="50" t="s">
        <v>50</v>
      </c>
      <c r="Z2545" s="50" t="s">
        <v>3406</v>
      </c>
      <c r="AA2545" s="50"/>
    </row>
    <row r="2546" spans="1:27" ht="25.5" customHeight="1">
      <c r="A2546" s="517" t="s">
        <v>779</v>
      </c>
      <c r="B2546" s="51" t="s">
        <v>1480</v>
      </c>
      <c r="C2546" s="51" t="s">
        <v>159</v>
      </c>
      <c r="D2546" s="51" t="s">
        <v>1481</v>
      </c>
      <c r="E2546" s="50">
        <v>4586</v>
      </c>
      <c r="F2546" s="50">
        <v>4461</v>
      </c>
      <c r="G2546" s="50" t="s">
        <v>3955</v>
      </c>
      <c r="H2546" s="50"/>
      <c r="I2546" s="105"/>
      <c r="J2546" s="50"/>
      <c r="K2546" s="50" t="s">
        <v>37</v>
      </c>
      <c r="L2546" s="50"/>
      <c r="M2546" s="50" t="s">
        <v>328</v>
      </c>
      <c r="N2546" s="50"/>
      <c r="O2546" s="50"/>
      <c r="P2546" s="50"/>
      <c r="Q2546" s="50"/>
      <c r="R2546" s="50"/>
      <c r="S2546" s="50" t="str">
        <f t="shared" si="248"/>
        <v/>
      </c>
      <c r="T2546" s="50" t="str">
        <f t="shared" si="246"/>
        <v/>
      </c>
      <c r="U2546" s="50" t="str">
        <f t="shared" si="247"/>
        <v/>
      </c>
      <c r="V2546" s="50" t="str">
        <f t="shared" si="249"/>
        <v/>
      </c>
      <c r="W2546" s="50"/>
      <c r="X2546" s="50"/>
      <c r="Y2546" s="50"/>
      <c r="Z2546" s="50"/>
      <c r="AA2546" s="50"/>
    </row>
    <row r="2547" spans="1:27" ht="25.5" customHeight="1">
      <c r="A2547" s="517" t="s">
        <v>779</v>
      </c>
      <c r="B2547" s="51" t="s">
        <v>1480</v>
      </c>
      <c r="C2547" s="51" t="s">
        <v>159</v>
      </c>
      <c r="D2547" s="51" t="s">
        <v>5997</v>
      </c>
      <c r="E2547" s="50">
        <v>750</v>
      </c>
      <c r="F2547" s="50">
        <v>917</v>
      </c>
      <c r="G2547" s="50" t="s">
        <v>3955</v>
      </c>
      <c r="H2547" s="50"/>
      <c r="I2547" s="105"/>
      <c r="J2547" s="50"/>
      <c r="K2547" s="50" t="s">
        <v>37</v>
      </c>
      <c r="L2547" s="50"/>
      <c r="M2547" s="50" t="s">
        <v>328</v>
      </c>
      <c r="N2547" s="50"/>
      <c r="O2547" s="50"/>
      <c r="P2547" s="50"/>
      <c r="Q2547" s="50"/>
      <c r="R2547" s="50"/>
      <c r="S2547" s="50" t="str">
        <f t="shared" si="248"/>
        <v/>
      </c>
      <c r="T2547" s="50" t="str">
        <f t="shared" si="246"/>
        <v/>
      </c>
      <c r="U2547" s="50" t="str">
        <f t="shared" si="247"/>
        <v/>
      </c>
      <c r="V2547" s="50" t="str">
        <f t="shared" si="249"/>
        <v/>
      </c>
      <c r="W2547" s="50"/>
      <c r="X2547" s="50"/>
      <c r="Y2547" s="50"/>
      <c r="Z2547" s="50"/>
      <c r="AA2547" s="50"/>
    </row>
    <row r="2548" spans="1:27" ht="25.5" customHeight="1">
      <c r="A2548" s="517" t="s">
        <v>779</v>
      </c>
      <c r="B2548" s="51" t="s">
        <v>1480</v>
      </c>
      <c r="C2548" s="51" t="s">
        <v>159</v>
      </c>
      <c r="D2548" s="51" t="s">
        <v>5998</v>
      </c>
      <c r="E2548" s="50">
        <v>1616</v>
      </c>
      <c r="F2548" s="50">
        <v>1818</v>
      </c>
      <c r="G2548" s="50" t="s">
        <v>3955</v>
      </c>
      <c r="H2548" s="50"/>
      <c r="I2548" s="105"/>
      <c r="J2548" s="50"/>
      <c r="K2548" s="50" t="s">
        <v>37</v>
      </c>
      <c r="L2548" s="50"/>
      <c r="M2548" s="50" t="s">
        <v>328</v>
      </c>
      <c r="N2548" s="50"/>
      <c r="O2548" s="50"/>
      <c r="P2548" s="50"/>
      <c r="Q2548" s="50"/>
      <c r="R2548" s="50"/>
      <c r="S2548" s="50" t="str">
        <f t="shared" si="248"/>
        <v/>
      </c>
      <c r="T2548" s="50" t="str">
        <f t="shared" si="246"/>
        <v/>
      </c>
      <c r="U2548" s="50" t="str">
        <f t="shared" si="247"/>
        <v/>
      </c>
      <c r="V2548" s="50" t="str">
        <f t="shared" si="249"/>
        <v/>
      </c>
      <c r="W2548" s="50"/>
      <c r="X2548" s="50"/>
      <c r="Y2548" s="50"/>
      <c r="Z2548" s="50"/>
      <c r="AA2548" s="50"/>
    </row>
    <row r="2549" spans="1:27" ht="25.5" customHeight="1">
      <c r="A2549" s="517" t="s">
        <v>779</v>
      </c>
      <c r="B2549" s="51" t="s">
        <v>5396</v>
      </c>
      <c r="C2549" s="51" t="s">
        <v>143</v>
      </c>
      <c r="D2549" s="51" t="s">
        <v>5999</v>
      </c>
      <c r="E2549" s="50">
        <v>3206</v>
      </c>
      <c r="F2549" s="50">
        <v>3459</v>
      </c>
      <c r="G2549" s="50" t="s">
        <v>3404</v>
      </c>
      <c r="H2549" s="50">
        <v>2025</v>
      </c>
      <c r="I2549" s="132">
        <v>45910</v>
      </c>
      <c r="J2549" s="50" t="s">
        <v>3127</v>
      </c>
      <c r="K2549" s="50" t="s">
        <v>37</v>
      </c>
      <c r="L2549" s="50"/>
      <c r="M2549" s="50" t="s">
        <v>328</v>
      </c>
      <c r="N2549" s="50" t="s">
        <v>6000</v>
      </c>
      <c r="O2549" s="60">
        <v>45915</v>
      </c>
      <c r="P2549" s="50"/>
      <c r="Q2549" s="60">
        <v>45917</v>
      </c>
      <c r="R2549" s="60">
        <v>45919</v>
      </c>
      <c r="S2549" s="50">
        <f t="shared" si="248"/>
        <v>3</v>
      </c>
      <c r="T2549" s="50" t="str">
        <f t="shared" si="246"/>
        <v/>
      </c>
      <c r="U2549" s="50">
        <f t="shared" si="247"/>
        <v>2</v>
      </c>
      <c r="V2549" s="50">
        <f t="shared" si="249"/>
        <v>2</v>
      </c>
      <c r="W2549" s="50" t="s">
        <v>150</v>
      </c>
      <c r="X2549" s="50" t="s">
        <v>1078</v>
      </c>
      <c r="Y2549" s="50" t="s">
        <v>50</v>
      </c>
      <c r="Z2549" s="50" t="s">
        <v>3406</v>
      </c>
      <c r="AA2549" s="50"/>
    </row>
    <row r="2550" spans="1:27" ht="25.5" customHeight="1">
      <c r="A2550" s="517" t="s">
        <v>779</v>
      </c>
      <c r="B2550" s="51" t="s">
        <v>5396</v>
      </c>
      <c r="C2550" s="51" t="s">
        <v>143</v>
      </c>
      <c r="D2550" s="51" t="s">
        <v>6001</v>
      </c>
      <c r="E2550" s="50">
        <v>2338</v>
      </c>
      <c r="F2550" s="50">
        <v>2572</v>
      </c>
      <c r="G2550" s="50" t="s">
        <v>3404</v>
      </c>
      <c r="H2550" s="50">
        <v>2025</v>
      </c>
      <c r="I2550" s="132">
        <v>45749</v>
      </c>
      <c r="J2550" s="50" t="s">
        <v>3470</v>
      </c>
      <c r="K2550" s="50" t="s">
        <v>37</v>
      </c>
      <c r="L2550" s="50"/>
      <c r="M2550" s="50" t="s">
        <v>328</v>
      </c>
      <c r="N2550" s="50" t="s">
        <v>6002</v>
      </c>
      <c r="O2550" s="60">
        <v>45754</v>
      </c>
      <c r="P2550" s="50"/>
      <c r="Q2550" s="60">
        <v>45755</v>
      </c>
      <c r="R2550" s="60">
        <v>45757</v>
      </c>
      <c r="S2550" s="50">
        <f t="shared" si="248"/>
        <v>3</v>
      </c>
      <c r="T2550" s="50" t="str">
        <f t="shared" si="246"/>
        <v/>
      </c>
      <c r="U2550" s="50">
        <f t="shared" si="247"/>
        <v>1</v>
      </c>
      <c r="V2550" s="50">
        <f t="shared" si="249"/>
        <v>2</v>
      </c>
      <c r="W2550" s="50" t="s">
        <v>150</v>
      </c>
      <c r="X2550" s="50" t="s">
        <v>3527</v>
      </c>
      <c r="Y2550" s="50" t="s">
        <v>3528</v>
      </c>
      <c r="Z2550" s="50" t="s">
        <v>3406</v>
      </c>
      <c r="AA2550" s="50"/>
    </row>
    <row r="2551" spans="1:27" s="110" customFormat="1" ht="25.5" customHeight="1">
      <c r="A2551" s="517" t="s">
        <v>779</v>
      </c>
      <c r="B2551" s="51" t="s">
        <v>5396</v>
      </c>
      <c r="C2551" s="51" t="s">
        <v>143</v>
      </c>
      <c r="D2551" s="51" t="s">
        <v>1475</v>
      </c>
      <c r="E2551" s="50">
        <v>2790</v>
      </c>
      <c r="F2551" s="50">
        <v>3058</v>
      </c>
      <c r="G2551" s="50" t="s">
        <v>3404</v>
      </c>
      <c r="H2551" s="50">
        <v>2025</v>
      </c>
      <c r="I2551" s="132">
        <v>45877</v>
      </c>
      <c r="J2551" s="50" t="s">
        <v>3126</v>
      </c>
      <c r="K2551" s="50" t="s">
        <v>39</v>
      </c>
      <c r="L2551" s="50"/>
      <c r="M2551" s="50" t="s">
        <v>328</v>
      </c>
      <c r="N2551" s="50" t="s">
        <v>6003</v>
      </c>
      <c r="O2551" s="60">
        <v>45885</v>
      </c>
      <c r="P2551" s="50"/>
      <c r="Q2551" s="60">
        <v>45887</v>
      </c>
      <c r="R2551" s="60">
        <v>45888</v>
      </c>
      <c r="S2551" s="50">
        <f t="shared" si="248"/>
        <v>5</v>
      </c>
      <c r="T2551" s="50" t="str">
        <f t="shared" si="246"/>
        <v/>
      </c>
      <c r="U2551" s="50">
        <f t="shared" si="247"/>
        <v>1</v>
      </c>
      <c r="V2551" s="50">
        <f t="shared" si="249"/>
        <v>1</v>
      </c>
      <c r="W2551" s="50" t="s">
        <v>150</v>
      </c>
      <c r="X2551" s="50" t="s">
        <v>1078</v>
      </c>
      <c r="Y2551" s="50" t="s">
        <v>50</v>
      </c>
      <c r="Z2551" s="50" t="s">
        <v>3406</v>
      </c>
      <c r="AA2551" s="50"/>
    </row>
    <row r="2552" spans="1:27" ht="25.5" customHeight="1">
      <c r="A2552" s="517" t="s">
        <v>779</v>
      </c>
      <c r="B2552" s="51" t="s">
        <v>5396</v>
      </c>
      <c r="C2552" s="51" t="s">
        <v>143</v>
      </c>
      <c r="D2552" s="51" t="s">
        <v>6004</v>
      </c>
      <c r="E2552" s="50">
        <v>4212</v>
      </c>
      <c r="F2552" s="50">
        <v>4378</v>
      </c>
      <c r="G2552" s="50" t="s">
        <v>3404</v>
      </c>
      <c r="H2552" s="50">
        <v>2025</v>
      </c>
      <c r="I2552" s="132">
        <v>45749</v>
      </c>
      <c r="J2552" s="50" t="s">
        <v>3470</v>
      </c>
      <c r="K2552" s="50" t="s">
        <v>37</v>
      </c>
      <c r="L2552" s="50"/>
      <c r="M2552" s="50" t="s">
        <v>328</v>
      </c>
      <c r="N2552" s="50" t="s">
        <v>6005</v>
      </c>
      <c r="O2552" s="60">
        <v>45754</v>
      </c>
      <c r="P2552" s="50"/>
      <c r="Q2552" s="60">
        <v>45755</v>
      </c>
      <c r="R2552" s="60">
        <v>45757</v>
      </c>
      <c r="S2552" s="50">
        <f t="shared" si="248"/>
        <v>3</v>
      </c>
      <c r="T2552" s="50" t="str">
        <f t="shared" si="246"/>
        <v/>
      </c>
      <c r="U2552" s="50">
        <f t="shared" si="247"/>
        <v>1</v>
      </c>
      <c r="V2552" s="50">
        <f t="shared" si="249"/>
        <v>2</v>
      </c>
      <c r="W2552" s="50" t="s">
        <v>150</v>
      </c>
      <c r="X2552" s="50" t="s">
        <v>3527</v>
      </c>
      <c r="Y2552" s="50" t="s">
        <v>3528</v>
      </c>
      <c r="Z2552" s="50" t="s">
        <v>3406</v>
      </c>
      <c r="AA2552" s="50"/>
    </row>
    <row r="2553" spans="1:27" s="110" customFormat="1" ht="25.5" customHeight="1">
      <c r="A2553" s="50" t="s">
        <v>779</v>
      </c>
      <c r="B2553" s="51" t="s">
        <v>5396</v>
      </c>
      <c r="C2553" s="51" t="s">
        <v>143</v>
      </c>
      <c r="D2553" s="51" t="s">
        <v>6006</v>
      </c>
      <c r="E2553" s="50">
        <v>2588</v>
      </c>
      <c r="F2553" s="50">
        <v>2718</v>
      </c>
      <c r="G2553" s="50" t="s">
        <v>3404</v>
      </c>
      <c r="H2553" s="50">
        <v>2024</v>
      </c>
      <c r="I2553" s="132">
        <v>45602</v>
      </c>
      <c r="J2553" s="50"/>
      <c r="K2553" s="50" t="s">
        <v>37</v>
      </c>
      <c r="L2553" s="50"/>
      <c r="M2553" s="50" t="s">
        <v>328</v>
      </c>
      <c r="N2553" s="50"/>
      <c r="O2553" s="50"/>
      <c r="P2553" s="50"/>
      <c r="Q2553" s="50"/>
      <c r="R2553" s="50"/>
      <c r="S2553" s="50" t="str">
        <f t="shared" si="248"/>
        <v/>
      </c>
      <c r="T2553" s="50" t="str">
        <f t="shared" si="246"/>
        <v/>
      </c>
      <c r="U2553" s="50" t="str">
        <f t="shared" si="247"/>
        <v/>
      </c>
      <c r="V2553" s="50" t="str">
        <f t="shared" si="249"/>
        <v/>
      </c>
      <c r="W2553" s="50"/>
      <c r="X2553" s="50" t="s">
        <v>1078</v>
      </c>
      <c r="Y2553" s="50" t="s">
        <v>50</v>
      </c>
      <c r="Z2553" s="50" t="s">
        <v>3406</v>
      </c>
      <c r="AA2553" s="50"/>
    </row>
    <row r="2554" spans="1:27" ht="25.5" customHeight="1">
      <c r="A2554" s="517" t="s">
        <v>779</v>
      </c>
      <c r="B2554" s="51" t="s">
        <v>5396</v>
      </c>
      <c r="C2554" s="51" t="s">
        <v>143</v>
      </c>
      <c r="D2554" s="51" t="s">
        <v>6007</v>
      </c>
      <c r="E2554" s="50">
        <v>4552</v>
      </c>
      <c r="F2554" s="50">
        <v>5101</v>
      </c>
      <c r="G2554" s="50" t="s">
        <v>3404</v>
      </c>
      <c r="H2554" s="50">
        <v>2025</v>
      </c>
      <c r="I2554" s="132">
        <v>45877</v>
      </c>
      <c r="J2554" s="50" t="s">
        <v>3126</v>
      </c>
      <c r="K2554" s="50" t="s">
        <v>37</v>
      </c>
      <c r="L2554" s="50"/>
      <c r="M2554" s="50" t="s">
        <v>328</v>
      </c>
      <c r="N2554" s="50" t="s">
        <v>6008</v>
      </c>
      <c r="O2554" s="60">
        <v>45885</v>
      </c>
      <c r="P2554" s="50"/>
      <c r="Q2554" s="60">
        <v>45887</v>
      </c>
      <c r="R2554" s="60">
        <v>45888</v>
      </c>
      <c r="S2554" s="50">
        <f t="shared" si="248"/>
        <v>5</v>
      </c>
      <c r="T2554" s="50" t="str">
        <f t="shared" si="246"/>
        <v/>
      </c>
      <c r="U2554" s="50">
        <f t="shared" si="247"/>
        <v>1</v>
      </c>
      <c r="V2554" s="50">
        <f t="shared" si="249"/>
        <v>1</v>
      </c>
      <c r="W2554" s="50" t="s">
        <v>150</v>
      </c>
      <c r="X2554" s="50" t="s">
        <v>3527</v>
      </c>
      <c r="Y2554" s="50" t="s">
        <v>3528</v>
      </c>
      <c r="Z2554" s="50" t="s">
        <v>3406</v>
      </c>
      <c r="AA2554" s="50"/>
    </row>
    <row r="2555" spans="1:27" s="110" customFormat="1" ht="25.5" customHeight="1">
      <c r="A2555" s="50" t="s">
        <v>779</v>
      </c>
      <c r="B2555" s="51" t="s">
        <v>5396</v>
      </c>
      <c r="C2555" s="51" t="s">
        <v>143</v>
      </c>
      <c r="D2555" s="51" t="s">
        <v>6009</v>
      </c>
      <c r="E2555" s="50">
        <v>4206</v>
      </c>
      <c r="F2555" s="50">
        <v>4690</v>
      </c>
      <c r="G2555" s="50" t="s">
        <v>3404</v>
      </c>
      <c r="H2555" s="50">
        <v>2024</v>
      </c>
      <c r="I2555" s="132">
        <v>45568</v>
      </c>
      <c r="J2555" s="50"/>
      <c r="K2555" s="50" t="s">
        <v>37</v>
      </c>
      <c r="L2555" s="50"/>
      <c r="M2555" s="50" t="s">
        <v>328</v>
      </c>
      <c r="N2555" s="50"/>
      <c r="O2555" s="50"/>
      <c r="P2555" s="50"/>
      <c r="Q2555" s="50"/>
      <c r="R2555" s="50"/>
      <c r="S2555" s="50" t="str">
        <f t="shared" si="248"/>
        <v/>
      </c>
      <c r="T2555" s="50" t="str">
        <f t="shared" si="246"/>
        <v/>
      </c>
      <c r="U2555" s="50" t="str">
        <f t="shared" si="247"/>
        <v/>
      </c>
      <c r="V2555" s="50" t="str">
        <f t="shared" si="249"/>
        <v/>
      </c>
      <c r="W2555" s="50"/>
      <c r="X2555" s="50" t="s">
        <v>4</v>
      </c>
      <c r="Y2555" s="50" t="s">
        <v>50</v>
      </c>
      <c r="Z2555" s="50" t="s">
        <v>3406</v>
      </c>
      <c r="AA2555" s="50"/>
    </row>
    <row r="2556" spans="1:27" ht="25.5" customHeight="1">
      <c r="A2556" s="517" t="s">
        <v>779</v>
      </c>
      <c r="B2556" s="51" t="s">
        <v>5396</v>
      </c>
      <c r="C2556" s="51" t="s">
        <v>143</v>
      </c>
      <c r="D2556" s="51" t="s">
        <v>6010</v>
      </c>
      <c r="E2556" s="50">
        <v>4619</v>
      </c>
      <c r="F2556" s="50">
        <v>5062</v>
      </c>
      <c r="G2556" s="50" t="s">
        <v>3404</v>
      </c>
      <c r="H2556" s="50">
        <v>2025</v>
      </c>
      <c r="I2556" s="132">
        <v>45876</v>
      </c>
      <c r="J2556" s="50" t="s">
        <v>3126</v>
      </c>
      <c r="K2556" s="50" t="s">
        <v>39</v>
      </c>
      <c r="L2556" s="50"/>
      <c r="M2556" s="50" t="s">
        <v>328</v>
      </c>
      <c r="N2556" s="50" t="s">
        <v>6011</v>
      </c>
      <c r="O2556" s="60">
        <v>45886</v>
      </c>
      <c r="P2556" s="50"/>
      <c r="Q2556" s="60">
        <v>45887</v>
      </c>
      <c r="R2556" s="60">
        <v>45888</v>
      </c>
      <c r="S2556" s="50">
        <f t="shared" si="248"/>
        <v>6</v>
      </c>
      <c r="T2556" s="50" t="str">
        <f t="shared" si="246"/>
        <v/>
      </c>
      <c r="U2556" s="50">
        <f t="shared" si="247"/>
        <v>1</v>
      </c>
      <c r="V2556" s="50">
        <f t="shared" si="249"/>
        <v>1</v>
      </c>
      <c r="W2556" s="50" t="s">
        <v>150</v>
      </c>
      <c r="X2556" s="50" t="s">
        <v>3527</v>
      </c>
      <c r="Y2556" s="50" t="s">
        <v>3528</v>
      </c>
      <c r="Z2556" s="50" t="s">
        <v>3406</v>
      </c>
      <c r="AA2556" s="50"/>
    </row>
    <row r="2557" spans="1:27" s="110" customFormat="1" ht="25.5" customHeight="1">
      <c r="A2557" s="50" t="s">
        <v>779</v>
      </c>
      <c r="B2557" s="51" t="s">
        <v>5396</v>
      </c>
      <c r="C2557" s="51" t="s">
        <v>143</v>
      </c>
      <c r="D2557" s="51" t="s">
        <v>6012</v>
      </c>
      <c r="E2557" s="50">
        <v>2011</v>
      </c>
      <c r="F2557" s="50">
        <v>1750</v>
      </c>
      <c r="G2557" s="50" t="s">
        <v>3404</v>
      </c>
      <c r="H2557" s="50">
        <v>2024</v>
      </c>
      <c r="I2557" s="132">
        <v>45545</v>
      </c>
      <c r="J2557" s="50"/>
      <c r="K2557" s="50" t="s">
        <v>37</v>
      </c>
      <c r="L2557" s="50"/>
      <c r="M2557" s="50" t="s">
        <v>328</v>
      </c>
      <c r="N2557" s="50"/>
      <c r="O2557" s="50"/>
      <c r="P2557" s="50"/>
      <c r="Q2557" s="50"/>
      <c r="R2557" s="50"/>
      <c r="S2557" s="50" t="str">
        <f t="shared" si="248"/>
        <v/>
      </c>
      <c r="T2557" s="50" t="str">
        <f t="shared" si="246"/>
        <v/>
      </c>
      <c r="U2557" s="50" t="str">
        <f t="shared" si="247"/>
        <v/>
      </c>
      <c r="V2557" s="50" t="str">
        <f t="shared" si="249"/>
        <v/>
      </c>
      <c r="W2557" s="50"/>
      <c r="X2557" s="50" t="s">
        <v>4</v>
      </c>
      <c r="Y2557" s="50" t="s">
        <v>50</v>
      </c>
      <c r="Z2557" s="50" t="s">
        <v>3406</v>
      </c>
      <c r="AA2557" s="50"/>
    </row>
    <row r="2558" spans="1:27" ht="25.5" customHeight="1">
      <c r="A2558" s="517" t="s">
        <v>779</v>
      </c>
      <c r="B2558" s="51" t="s">
        <v>5396</v>
      </c>
      <c r="C2558" s="51" t="s">
        <v>143</v>
      </c>
      <c r="D2558" s="51" t="s">
        <v>4510</v>
      </c>
      <c r="E2558" s="50">
        <v>3113</v>
      </c>
      <c r="F2558" s="50">
        <v>3571</v>
      </c>
      <c r="G2558" s="50" t="s">
        <v>3404</v>
      </c>
      <c r="H2558" s="50">
        <v>2025</v>
      </c>
      <c r="I2558" s="132">
        <v>45876</v>
      </c>
      <c r="J2558" s="50" t="s">
        <v>3126</v>
      </c>
      <c r="K2558" s="50" t="s">
        <v>39</v>
      </c>
      <c r="L2558" s="50"/>
      <c r="M2558" s="50" t="s">
        <v>328</v>
      </c>
      <c r="N2558" s="50" t="s">
        <v>6013</v>
      </c>
      <c r="O2558" s="60">
        <v>45886</v>
      </c>
      <c r="P2558" s="50"/>
      <c r="Q2558" s="60">
        <v>45887</v>
      </c>
      <c r="R2558" s="60">
        <v>45888</v>
      </c>
      <c r="S2558" s="50">
        <f t="shared" si="248"/>
        <v>6</v>
      </c>
      <c r="T2558" s="50" t="str">
        <f t="shared" si="246"/>
        <v/>
      </c>
      <c r="U2558" s="50">
        <f t="shared" si="247"/>
        <v>1</v>
      </c>
      <c r="V2558" s="50">
        <f t="shared" si="249"/>
        <v>1</v>
      </c>
      <c r="W2558" s="50" t="s">
        <v>150</v>
      </c>
      <c r="X2558" s="50" t="s">
        <v>1078</v>
      </c>
      <c r="Y2558" s="50" t="s">
        <v>50</v>
      </c>
      <c r="Z2558" s="50" t="s">
        <v>3406</v>
      </c>
      <c r="AA2558" s="50"/>
    </row>
    <row r="2559" spans="1:27" ht="25.5" customHeight="1">
      <c r="A2559" s="50" t="s">
        <v>779</v>
      </c>
      <c r="B2559" s="51" t="s">
        <v>5396</v>
      </c>
      <c r="C2559" s="51" t="s">
        <v>143</v>
      </c>
      <c r="D2559" s="51" t="s">
        <v>1369</v>
      </c>
      <c r="E2559" s="50">
        <v>1255</v>
      </c>
      <c r="F2559" s="50">
        <v>1205</v>
      </c>
      <c r="G2559" s="50" t="s">
        <v>3404</v>
      </c>
      <c r="H2559" s="50">
        <v>2024</v>
      </c>
      <c r="I2559" s="132">
        <v>45456</v>
      </c>
      <c r="J2559" s="50"/>
      <c r="K2559" s="50" t="s">
        <v>37</v>
      </c>
      <c r="L2559" s="50"/>
      <c r="M2559" s="50" t="s">
        <v>328</v>
      </c>
      <c r="N2559" s="50"/>
      <c r="O2559" s="50"/>
      <c r="P2559" s="50"/>
      <c r="Q2559" s="50"/>
      <c r="R2559" s="50"/>
      <c r="S2559" s="50" t="str">
        <f t="shared" si="248"/>
        <v/>
      </c>
      <c r="T2559" s="50" t="str">
        <f t="shared" si="246"/>
        <v/>
      </c>
      <c r="U2559" s="50" t="str">
        <f t="shared" si="247"/>
        <v/>
      </c>
      <c r="V2559" s="50" t="str">
        <f t="shared" si="249"/>
        <v/>
      </c>
      <c r="W2559" s="50"/>
      <c r="X2559" s="50"/>
      <c r="Y2559" s="50"/>
      <c r="Z2559" s="50" t="s">
        <v>3406</v>
      </c>
      <c r="AA2559" s="50"/>
    </row>
    <row r="2560" spans="1:27" s="110" customFormat="1" ht="25.5" customHeight="1">
      <c r="A2560" s="517" t="s">
        <v>779</v>
      </c>
      <c r="B2560" s="51" t="s">
        <v>5396</v>
      </c>
      <c r="C2560" s="51" t="s">
        <v>143</v>
      </c>
      <c r="D2560" s="51" t="s">
        <v>6014</v>
      </c>
      <c r="E2560" s="50">
        <v>2152</v>
      </c>
      <c r="F2560" s="50">
        <v>2297</v>
      </c>
      <c r="G2560" s="50" t="s">
        <v>3404</v>
      </c>
      <c r="H2560" s="50">
        <v>2025</v>
      </c>
      <c r="I2560" s="132">
        <v>45877</v>
      </c>
      <c r="J2560" s="50" t="s">
        <v>3126</v>
      </c>
      <c r="K2560" s="50" t="s">
        <v>39</v>
      </c>
      <c r="L2560" s="50"/>
      <c r="M2560" s="50" t="s">
        <v>328</v>
      </c>
      <c r="N2560" s="50" t="s">
        <v>6015</v>
      </c>
      <c r="O2560" s="60">
        <v>45886</v>
      </c>
      <c r="P2560" s="60"/>
      <c r="Q2560" s="60">
        <v>45887</v>
      </c>
      <c r="R2560" s="60">
        <v>45888</v>
      </c>
      <c r="S2560" s="50">
        <f t="shared" si="248"/>
        <v>5</v>
      </c>
      <c r="T2560" s="50" t="str">
        <f t="shared" si="246"/>
        <v/>
      </c>
      <c r="U2560" s="50">
        <f t="shared" si="247"/>
        <v>1</v>
      </c>
      <c r="V2560" s="50">
        <f t="shared" si="249"/>
        <v>1</v>
      </c>
      <c r="W2560" s="50" t="s">
        <v>150</v>
      </c>
      <c r="X2560" s="50" t="s">
        <v>3527</v>
      </c>
      <c r="Y2560" s="50" t="s">
        <v>3528</v>
      </c>
      <c r="Z2560" s="50" t="s">
        <v>3406</v>
      </c>
      <c r="AA2560" s="50"/>
    </row>
    <row r="2561" spans="1:27" ht="25.5" customHeight="1">
      <c r="A2561" s="517" t="s">
        <v>779</v>
      </c>
      <c r="B2561" s="51" t="s">
        <v>5396</v>
      </c>
      <c r="C2561" s="51" t="s">
        <v>143</v>
      </c>
      <c r="D2561" s="51" t="s">
        <v>5278</v>
      </c>
      <c r="E2561" s="50">
        <v>3414</v>
      </c>
      <c r="F2561" s="50">
        <v>3833</v>
      </c>
      <c r="G2561" s="50" t="s">
        <v>3404</v>
      </c>
      <c r="H2561" s="50">
        <v>2025</v>
      </c>
      <c r="I2561" s="132">
        <v>45876</v>
      </c>
      <c r="J2561" s="50" t="s">
        <v>3126</v>
      </c>
      <c r="K2561" s="50" t="s">
        <v>39</v>
      </c>
      <c r="L2561" s="50"/>
      <c r="M2561" s="50" t="s">
        <v>328</v>
      </c>
      <c r="N2561" s="50" t="s">
        <v>6016</v>
      </c>
      <c r="O2561" s="60">
        <v>45886</v>
      </c>
      <c r="P2561" s="60"/>
      <c r="Q2561" s="60">
        <v>45887</v>
      </c>
      <c r="R2561" s="60">
        <v>45888</v>
      </c>
      <c r="S2561" s="50">
        <f t="shared" si="248"/>
        <v>6</v>
      </c>
      <c r="T2561" s="50" t="str">
        <f t="shared" si="246"/>
        <v/>
      </c>
      <c r="U2561" s="50">
        <f t="shared" si="247"/>
        <v>1</v>
      </c>
      <c r="V2561" s="50">
        <f t="shared" si="249"/>
        <v>1</v>
      </c>
      <c r="W2561" s="50" t="s">
        <v>150</v>
      </c>
      <c r="X2561" s="50" t="s">
        <v>3527</v>
      </c>
      <c r="Y2561" s="50" t="s">
        <v>3528</v>
      </c>
      <c r="Z2561" s="50" t="s">
        <v>3406</v>
      </c>
      <c r="AA2561" s="50"/>
    </row>
    <row r="2562" spans="1:27" ht="25.5" customHeight="1">
      <c r="A2562" s="50" t="s">
        <v>779</v>
      </c>
      <c r="B2562" s="51" t="s">
        <v>5396</v>
      </c>
      <c r="C2562" s="51" t="s">
        <v>143</v>
      </c>
      <c r="D2562" s="51" t="s">
        <v>6017</v>
      </c>
      <c r="E2562" s="50">
        <v>2125</v>
      </c>
      <c r="F2562" s="50">
        <v>2348</v>
      </c>
      <c r="G2562" s="50" t="s">
        <v>3404</v>
      </c>
      <c r="H2562" s="50">
        <v>2024</v>
      </c>
      <c r="I2562" s="132">
        <v>45384</v>
      </c>
      <c r="J2562" s="50"/>
      <c r="K2562" s="50" t="s">
        <v>37</v>
      </c>
      <c r="L2562" s="50"/>
      <c r="M2562" s="50" t="s">
        <v>328</v>
      </c>
      <c r="N2562" s="50"/>
      <c r="O2562" s="50"/>
      <c r="P2562" s="50"/>
      <c r="Q2562" s="50"/>
      <c r="R2562" s="50"/>
      <c r="S2562" s="50" t="str">
        <f t="shared" si="248"/>
        <v/>
      </c>
      <c r="T2562" s="50" t="str">
        <f t="shared" si="246"/>
        <v/>
      </c>
      <c r="U2562" s="50" t="str">
        <f t="shared" si="247"/>
        <v/>
      </c>
      <c r="V2562" s="50" t="str">
        <f t="shared" si="249"/>
        <v/>
      </c>
      <c r="W2562" s="50"/>
      <c r="X2562" s="50"/>
      <c r="Y2562" s="50"/>
      <c r="Z2562" s="50" t="s">
        <v>3406</v>
      </c>
      <c r="AA2562" s="50"/>
    </row>
    <row r="2563" spans="1:27" ht="25.5" customHeight="1">
      <c r="A2563" s="50" t="s">
        <v>779</v>
      </c>
      <c r="B2563" s="51" t="s">
        <v>5396</v>
      </c>
      <c r="C2563" s="51" t="s">
        <v>143</v>
      </c>
      <c r="D2563" s="51" t="s">
        <v>6018</v>
      </c>
      <c r="E2563" s="50">
        <v>2820</v>
      </c>
      <c r="F2563" s="50">
        <v>3293</v>
      </c>
      <c r="G2563" s="50" t="s">
        <v>3404</v>
      </c>
      <c r="H2563" s="50">
        <v>2024</v>
      </c>
      <c r="I2563" s="132">
        <v>45419</v>
      </c>
      <c r="J2563" s="50"/>
      <c r="K2563" s="50" t="s">
        <v>37</v>
      </c>
      <c r="L2563" s="50"/>
      <c r="M2563" s="50" t="s">
        <v>328</v>
      </c>
      <c r="N2563" s="50"/>
      <c r="O2563" s="50"/>
      <c r="P2563" s="50"/>
      <c r="Q2563" s="50"/>
      <c r="R2563" s="50"/>
      <c r="S2563" s="50" t="str">
        <f t="shared" si="248"/>
        <v/>
      </c>
      <c r="T2563" s="50" t="str">
        <f t="shared" si="246"/>
        <v/>
      </c>
      <c r="U2563" s="50" t="str">
        <f t="shared" si="247"/>
        <v/>
      </c>
      <c r="V2563" s="50" t="str">
        <f t="shared" si="249"/>
        <v/>
      </c>
      <c r="W2563" s="50"/>
      <c r="X2563" s="50"/>
      <c r="Y2563" s="50"/>
      <c r="Z2563" s="50" t="s">
        <v>3406</v>
      </c>
      <c r="AA2563" s="50"/>
    </row>
    <row r="2564" spans="1:27" ht="25.5" customHeight="1">
      <c r="A2564" s="50" t="s">
        <v>779</v>
      </c>
      <c r="B2564" s="51" t="s">
        <v>5396</v>
      </c>
      <c r="C2564" s="51" t="s">
        <v>143</v>
      </c>
      <c r="D2564" s="51" t="s">
        <v>6019</v>
      </c>
      <c r="E2564" s="50">
        <v>1739</v>
      </c>
      <c r="F2564" s="50">
        <v>1956</v>
      </c>
      <c r="G2564" s="50" t="s">
        <v>3404</v>
      </c>
      <c r="H2564" s="50">
        <v>2024</v>
      </c>
      <c r="I2564" s="132">
        <v>45545</v>
      </c>
      <c r="J2564" s="50"/>
      <c r="K2564" s="50" t="s">
        <v>37</v>
      </c>
      <c r="L2564" s="50"/>
      <c r="M2564" s="50" t="s">
        <v>328</v>
      </c>
      <c r="N2564" s="50"/>
      <c r="O2564" s="50"/>
      <c r="P2564" s="50"/>
      <c r="Q2564" s="50"/>
      <c r="R2564" s="50"/>
      <c r="S2564" s="50" t="str">
        <f t="shared" si="248"/>
        <v/>
      </c>
      <c r="T2564" s="50" t="str">
        <f t="shared" si="246"/>
        <v/>
      </c>
      <c r="U2564" s="50" t="str">
        <f t="shared" si="247"/>
        <v/>
      </c>
      <c r="V2564" s="50" t="str">
        <f t="shared" si="249"/>
        <v/>
      </c>
      <c r="W2564" s="50"/>
      <c r="X2564" s="50" t="s">
        <v>4</v>
      </c>
      <c r="Y2564" s="50" t="s">
        <v>50</v>
      </c>
      <c r="Z2564" s="50" t="s">
        <v>3406</v>
      </c>
      <c r="AA2564" s="50"/>
    </row>
    <row r="2565" spans="1:27" ht="25.5" customHeight="1">
      <c r="A2565" s="517" t="s">
        <v>779</v>
      </c>
      <c r="B2565" s="51" t="s">
        <v>5396</v>
      </c>
      <c r="C2565" s="51" t="s">
        <v>143</v>
      </c>
      <c r="D2565" s="51" t="s">
        <v>6020</v>
      </c>
      <c r="E2565" s="50">
        <v>1672</v>
      </c>
      <c r="F2565" s="50">
        <v>1854</v>
      </c>
      <c r="G2565" s="50" t="s">
        <v>3404</v>
      </c>
      <c r="H2565" s="50">
        <v>2025</v>
      </c>
      <c r="I2565" s="132">
        <v>45909</v>
      </c>
      <c r="J2565" s="50" t="s">
        <v>3127</v>
      </c>
      <c r="K2565" s="50" t="s">
        <v>39</v>
      </c>
      <c r="L2565" s="50"/>
      <c r="M2565" s="50" t="s">
        <v>328</v>
      </c>
      <c r="N2565" s="50" t="s">
        <v>6021</v>
      </c>
      <c r="O2565" s="60">
        <v>45915</v>
      </c>
      <c r="P2565" s="50"/>
      <c r="Q2565" s="60">
        <v>45917</v>
      </c>
      <c r="R2565" s="60">
        <v>45919</v>
      </c>
      <c r="S2565" s="50">
        <f t="shared" si="248"/>
        <v>4</v>
      </c>
      <c r="T2565" s="50" t="str">
        <f t="shared" si="246"/>
        <v/>
      </c>
      <c r="U2565" s="50">
        <f t="shared" si="247"/>
        <v>2</v>
      </c>
      <c r="V2565" s="50">
        <f t="shared" si="249"/>
        <v>2</v>
      </c>
      <c r="W2565" s="50" t="s">
        <v>150</v>
      </c>
      <c r="X2565" s="50" t="s">
        <v>3527</v>
      </c>
      <c r="Y2565" s="50" t="s">
        <v>3528</v>
      </c>
      <c r="Z2565" s="50" t="s">
        <v>3406</v>
      </c>
      <c r="AA2565" s="50"/>
    </row>
    <row r="2566" spans="1:27" ht="25.5" customHeight="1">
      <c r="A2566" s="517" t="s">
        <v>779</v>
      </c>
      <c r="B2566" s="51" t="s">
        <v>5396</v>
      </c>
      <c r="C2566" s="51" t="s">
        <v>143</v>
      </c>
      <c r="D2566" s="51" t="s">
        <v>1299</v>
      </c>
      <c r="E2566" s="50">
        <v>1552</v>
      </c>
      <c r="F2566" s="50">
        <v>1671</v>
      </c>
      <c r="G2566" s="50" t="s">
        <v>3404</v>
      </c>
      <c r="H2566" s="50">
        <v>2025</v>
      </c>
      <c r="I2566" s="132">
        <v>45909</v>
      </c>
      <c r="J2566" s="50" t="s">
        <v>3127</v>
      </c>
      <c r="K2566" s="50" t="s">
        <v>39</v>
      </c>
      <c r="L2566" s="50"/>
      <c r="M2566" s="50" t="s">
        <v>328</v>
      </c>
      <c r="N2566" s="50" t="s">
        <v>6022</v>
      </c>
      <c r="O2566" s="60">
        <v>45915</v>
      </c>
      <c r="P2566" s="50"/>
      <c r="Q2566" s="60">
        <v>45917</v>
      </c>
      <c r="R2566" s="60">
        <v>45919</v>
      </c>
      <c r="S2566" s="50">
        <f t="shared" si="248"/>
        <v>4</v>
      </c>
      <c r="T2566" s="50" t="str">
        <f t="shared" si="246"/>
        <v/>
      </c>
      <c r="U2566" s="50">
        <f t="shared" si="247"/>
        <v>2</v>
      </c>
      <c r="V2566" s="50">
        <f t="shared" si="249"/>
        <v>2</v>
      </c>
      <c r="W2566" s="50" t="s">
        <v>150</v>
      </c>
      <c r="X2566" s="50" t="s">
        <v>3527</v>
      </c>
      <c r="Y2566" s="50" t="s">
        <v>3528</v>
      </c>
      <c r="Z2566" s="50" t="s">
        <v>3406</v>
      </c>
      <c r="AA2566" s="50"/>
    </row>
    <row r="2567" spans="1:27" ht="25.5" customHeight="1">
      <c r="A2567" s="517" t="s">
        <v>779</v>
      </c>
      <c r="B2567" s="51" t="s">
        <v>5396</v>
      </c>
      <c r="C2567" s="51" t="s">
        <v>143</v>
      </c>
      <c r="D2567" s="51" t="s">
        <v>3721</v>
      </c>
      <c r="E2567" s="50">
        <v>3482</v>
      </c>
      <c r="F2567" s="50">
        <v>3615</v>
      </c>
      <c r="G2567" s="50" t="s">
        <v>3404</v>
      </c>
      <c r="H2567" s="50">
        <v>2025</v>
      </c>
      <c r="I2567" s="132">
        <v>45909</v>
      </c>
      <c r="J2567" s="50" t="s">
        <v>3127</v>
      </c>
      <c r="K2567" s="50" t="s">
        <v>39</v>
      </c>
      <c r="L2567" s="50"/>
      <c r="M2567" s="50" t="s">
        <v>328</v>
      </c>
      <c r="N2567" s="50" t="s">
        <v>6023</v>
      </c>
      <c r="O2567" s="60">
        <v>45915</v>
      </c>
      <c r="P2567" s="50"/>
      <c r="Q2567" s="60">
        <v>45917</v>
      </c>
      <c r="R2567" s="60">
        <v>45919</v>
      </c>
      <c r="S2567" s="50">
        <f t="shared" si="248"/>
        <v>4</v>
      </c>
      <c r="T2567" s="50" t="str">
        <f t="shared" si="246"/>
        <v/>
      </c>
      <c r="U2567" s="50">
        <f t="shared" si="247"/>
        <v>2</v>
      </c>
      <c r="V2567" s="50">
        <f t="shared" si="249"/>
        <v>2</v>
      </c>
      <c r="W2567" s="50" t="s">
        <v>150</v>
      </c>
      <c r="X2567" s="50" t="s">
        <v>3527</v>
      </c>
      <c r="Y2567" s="50" t="s">
        <v>3528</v>
      </c>
      <c r="Z2567" s="50" t="s">
        <v>3406</v>
      </c>
      <c r="AA2567" s="50"/>
    </row>
    <row r="2568" spans="1:27" ht="25.5" customHeight="1">
      <c r="A2568" s="517" t="s">
        <v>779</v>
      </c>
      <c r="B2568" s="51" t="s">
        <v>5396</v>
      </c>
      <c r="C2568" s="51" t="s">
        <v>143</v>
      </c>
      <c r="D2568" s="51" t="s">
        <v>3915</v>
      </c>
      <c r="E2568" s="50">
        <v>7915</v>
      </c>
      <c r="F2568" s="50">
        <v>8115</v>
      </c>
      <c r="G2568" s="50" t="s">
        <v>3404</v>
      </c>
      <c r="H2568" s="50">
        <v>2025</v>
      </c>
      <c r="I2568" s="132">
        <v>45909</v>
      </c>
      <c r="J2568" s="50" t="s">
        <v>3127</v>
      </c>
      <c r="K2568" s="50" t="s">
        <v>39</v>
      </c>
      <c r="L2568" s="50"/>
      <c r="M2568" s="50" t="s">
        <v>328</v>
      </c>
      <c r="N2568" s="50" t="s">
        <v>6024</v>
      </c>
      <c r="O2568" s="60">
        <v>45915</v>
      </c>
      <c r="P2568" s="50"/>
      <c r="Q2568" s="60">
        <v>45917</v>
      </c>
      <c r="R2568" s="60">
        <v>45919</v>
      </c>
      <c r="S2568" s="50">
        <f t="shared" si="248"/>
        <v>4</v>
      </c>
      <c r="T2568" s="50" t="str">
        <f t="shared" si="246"/>
        <v/>
      </c>
      <c r="U2568" s="50">
        <f t="shared" si="247"/>
        <v>2</v>
      </c>
      <c r="V2568" s="50">
        <f t="shared" si="249"/>
        <v>2</v>
      </c>
      <c r="W2568" s="50" t="s">
        <v>150</v>
      </c>
      <c r="X2568" s="50" t="s">
        <v>3527</v>
      </c>
      <c r="Y2568" s="50" t="s">
        <v>3528</v>
      </c>
      <c r="Z2568" s="50" t="s">
        <v>3406</v>
      </c>
      <c r="AA2568" s="50"/>
    </row>
    <row r="2569" spans="1:27" ht="25.5" customHeight="1">
      <c r="A2569" s="517" t="s">
        <v>779</v>
      </c>
      <c r="B2569" s="51" t="s">
        <v>5396</v>
      </c>
      <c r="C2569" s="51" t="s">
        <v>143</v>
      </c>
      <c r="D2569" s="51" t="s">
        <v>1458</v>
      </c>
      <c r="E2569" s="50">
        <v>2256</v>
      </c>
      <c r="F2569" s="50">
        <v>2406</v>
      </c>
      <c r="G2569" s="50" t="s">
        <v>3404</v>
      </c>
      <c r="H2569" s="50">
        <v>2025</v>
      </c>
      <c r="I2569" s="132">
        <v>45910</v>
      </c>
      <c r="J2569" s="50" t="s">
        <v>3127</v>
      </c>
      <c r="K2569" s="50" t="s">
        <v>39</v>
      </c>
      <c r="L2569" s="50"/>
      <c r="M2569" s="50" t="s">
        <v>328</v>
      </c>
      <c r="N2569" s="50" t="s">
        <v>6025</v>
      </c>
      <c r="O2569" s="60">
        <v>45915</v>
      </c>
      <c r="P2569" s="50"/>
      <c r="Q2569" s="60">
        <v>45917</v>
      </c>
      <c r="R2569" s="60">
        <v>45919</v>
      </c>
      <c r="S2569" s="50">
        <f t="shared" si="248"/>
        <v>3</v>
      </c>
      <c r="T2569" s="50" t="str">
        <f t="shared" si="246"/>
        <v/>
      </c>
      <c r="U2569" s="50">
        <f t="shared" si="247"/>
        <v>2</v>
      </c>
      <c r="V2569" s="50">
        <f t="shared" si="249"/>
        <v>2</v>
      </c>
      <c r="W2569" s="50" t="s">
        <v>150</v>
      </c>
      <c r="X2569" s="50" t="s">
        <v>3527</v>
      </c>
      <c r="Y2569" s="50" t="s">
        <v>3528</v>
      </c>
      <c r="Z2569" s="50" t="s">
        <v>3406</v>
      </c>
      <c r="AA2569" s="50"/>
    </row>
    <row r="2570" spans="1:27" ht="25.5" customHeight="1">
      <c r="A2570" s="517" t="s">
        <v>779</v>
      </c>
      <c r="B2570" s="51" t="s">
        <v>1485</v>
      </c>
      <c r="C2570" s="51" t="s">
        <v>159</v>
      </c>
      <c r="D2570" s="51" t="s">
        <v>6026</v>
      </c>
      <c r="E2570" s="50">
        <v>758</v>
      </c>
      <c r="F2570" s="50">
        <v>648</v>
      </c>
      <c r="G2570" s="50" t="s">
        <v>3404</v>
      </c>
      <c r="H2570" s="50">
        <v>2025</v>
      </c>
      <c r="I2570" s="132">
        <v>45721</v>
      </c>
      <c r="J2570" s="50" t="s">
        <v>3416</v>
      </c>
      <c r="K2570" s="50" t="s">
        <v>5783</v>
      </c>
      <c r="L2570" s="50"/>
      <c r="M2570" s="50" t="s">
        <v>328</v>
      </c>
      <c r="N2570" s="50" t="s">
        <v>6027</v>
      </c>
      <c r="O2570" s="60">
        <v>45726</v>
      </c>
      <c r="P2570" s="50"/>
      <c r="Q2570" s="60">
        <v>45727</v>
      </c>
      <c r="R2570" s="60">
        <v>45730</v>
      </c>
      <c r="S2570" s="50">
        <f t="shared" si="248"/>
        <v>3</v>
      </c>
      <c r="T2570" s="50" t="str">
        <f t="shared" si="246"/>
        <v/>
      </c>
      <c r="U2570" s="50">
        <f t="shared" si="247"/>
        <v>1</v>
      </c>
      <c r="V2570" s="50">
        <f t="shared" si="249"/>
        <v>3</v>
      </c>
      <c r="W2570" s="50" t="s">
        <v>150</v>
      </c>
      <c r="X2570" s="50" t="s">
        <v>4</v>
      </c>
      <c r="Y2570" s="50" t="s">
        <v>50</v>
      </c>
      <c r="Z2570" s="50" t="s">
        <v>3406</v>
      </c>
      <c r="AA2570" s="50"/>
    </row>
    <row r="2571" spans="1:27" ht="25.5" customHeight="1">
      <c r="A2571" s="517" t="s">
        <v>779</v>
      </c>
      <c r="B2571" s="51" t="s">
        <v>1485</v>
      </c>
      <c r="C2571" s="51" t="s">
        <v>159</v>
      </c>
      <c r="D2571" s="51" t="s">
        <v>6028</v>
      </c>
      <c r="E2571" s="50">
        <v>478</v>
      </c>
      <c r="F2571" s="50">
        <v>464</v>
      </c>
      <c r="G2571" s="50" t="s">
        <v>3955</v>
      </c>
      <c r="H2571" s="50"/>
      <c r="I2571" s="105"/>
      <c r="J2571" s="50"/>
      <c r="K2571" s="50" t="s">
        <v>5783</v>
      </c>
      <c r="L2571" s="50"/>
      <c r="M2571" s="50" t="s">
        <v>328</v>
      </c>
      <c r="N2571" s="50"/>
      <c r="O2571" s="50"/>
      <c r="P2571" s="50"/>
      <c r="Q2571" s="50"/>
      <c r="R2571" s="50"/>
      <c r="S2571" s="50" t="str">
        <f t="shared" si="248"/>
        <v/>
      </c>
      <c r="T2571" s="50" t="str">
        <f t="shared" si="246"/>
        <v/>
      </c>
      <c r="U2571" s="50" t="str">
        <f t="shared" si="247"/>
        <v/>
      </c>
      <c r="V2571" s="50" t="str">
        <f t="shared" si="249"/>
        <v/>
      </c>
      <c r="W2571" s="50"/>
      <c r="X2571" s="50"/>
      <c r="Y2571" s="50"/>
      <c r="Z2571" s="50"/>
      <c r="AA2571" s="50"/>
    </row>
    <row r="2572" spans="1:27" ht="25.5" customHeight="1">
      <c r="A2572" s="517" t="s">
        <v>779</v>
      </c>
      <c r="B2572" s="51" t="s">
        <v>1485</v>
      </c>
      <c r="C2572" s="51" t="s">
        <v>159</v>
      </c>
      <c r="D2572" s="51" t="s">
        <v>6029</v>
      </c>
      <c r="E2572" s="50">
        <v>1568</v>
      </c>
      <c r="F2572" s="50">
        <v>1660</v>
      </c>
      <c r="G2572" s="50" t="s">
        <v>3404</v>
      </c>
      <c r="H2572" s="50">
        <v>2025</v>
      </c>
      <c r="I2572" s="132">
        <v>45940</v>
      </c>
      <c r="J2572" s="50" t="s">
        <v>3128</v>
      </c>
      <c r="K2572" s="50" t="s">
        <v>5783</v>
      </c>
      <c r="L2572" s="50"/>
      <c r="M2572" s="50" t="s">
        <v>28</v>
      </c>
      <c r="N2572" s="50" t="s">
        <v>6030</v>
      </c>
      <c r="O2572" s="60">
        <v>45943</v>
      </c>
      <c r="P2572" s="50"/>
      <c r="Q2572" s="60">
        <v>45944</v>
      </c>
      <c r="R2572" s="60">
        <v>45944</v>
      </c>
      <c r="S2572" s="50">
        <f t="shared" si="248"/>
        <v>1</v>
      </c>
      <c r="T2572" s="50" t="str">
        <f t="shared" si="246"/>
        <v/>
      </c>
      <c r="U2572" s="50">
        <f t="shared" si="247"/>
        <v>1</v>
      </c>
      <c r="V2572" s="50">
        <f t="shared" si="249"/>
        <v>1</v>
      </c>
      <c r="W2572" s="50" t="s">
        <v>150</v>
      </c>
      <c r="X2572" s="50" t="s">
        <v>1078</v>
      </c>
      <c r="Y2572" s="50" t="s">
        <v>50</v>
      </c>
      <c r="Z2572" s="50" t="s">
        <v>3406</v>
      </c>
      <c r="AA2572" s="50"/>
    </row>
    <row r="2573" spans="1:27" s="110" customFormat="1" ht="25.5" customHeight="1">
      <c r="A2573" s="517" t="s">
        <v>779</v>
      </c>
      <c r="B2573" s="51" t="s">
        <v>1485</v>
      </c>
      <c r="C2573" s="51" t="s">
        <v>159</v>
      </c>
      <c r="D2573" s="51" t="s">
        <v>6031</v>
      </c>
      <c r="E2573" s="50">
        <v>665</v>
      </c>
      <c r="F2573" s="50">
        <v>679</v>
      </c>
      <c r="G2573" s="50" t="s">
        <v>3955</v>
      </c>
      <c r="H2573" s="50"/>
      <c r="I2573" s="105"/>
      <c r="J2573" s="50"/>
      <c r="K2573" s="50" t="s">
        <v>5783</v>
      </c>
      <c r="L2573" s="50"/>
      <c r="M2573" s="50" t="s">
        <v>328</v>
      </c>
      <c r="N2573" s="50"/>
      <c r="O2573" s="50"/>
      <c r="P2573" s="50"/>
      <c r="Q2573" s="50"/>
      <c r="R2573" s="50"/>
      <c r="S2573" s="50" t="str">
        <f t="shared" si="248"/>
        <v/>
      </c>
      <c r="T2573" s="50" t="str">
        <f t="shared" si="246"/>
        <v/>
      </c>
      <c r="U2573" s="50" t="str">
        <f t="shared" si="247"/>
        <v/>
      </c>
      <c r="V2573" s="50" t="str">
        <f t="shared" si="249"/>
        <v/>
      </c>
      <c r="W2573" s="50"/>
      <c r="X2573" s="50"/>
      <c r="Y2573" s="50"/>
      <c r="Z2573" s="50"/>
      <c r="AA2573" s="50"/>
    </row>
    <row r="2574" spans="1:27" ht="25.5" customHeight="1">
      <c r="A2574" s="50" t="s">
        <v>779</v>
      </c>
      <c r="B2574" s="51" t="s">
        <v>1485</v>
      </c>
      <c r="C2574" s="51" t="s">
        <v>159</v>
      </c>
      <c r="D2574" s="51" t="s">
        <v>6032</v>
      </c>
      <c r="E2574" s="50">
        <v>638</v>
      </c>
      <c r="F2574" s="50">
        <v>743</v>
      </c>
      <c r="G2574" s="50" t="s">
        <v>3404</v>
      </c>
      <c r="H2574" s="50">
        <v>2024</v>
      </c>
      <c r="I2574" s="132">
        <v>45399</v>
      </c>
      <c r="J2574" s="50"/>
      <c r="K2574" s="50" t="s">
        <v>5783</v>
      </c>
      <c r="L2574" s="50"/>
      <c r="M2574" s="50" t="s">
        <v>328</v>
      </c>
      <c r="N2574" s="50"/>
      <c r="O2574" s="50"/>
      <c r="P2574" s="50"/>
      <c r="Q2574" s="50"/>
      <c r="R2574" s="50"/>
      <c r="S2574" s="50" t="str">
        <f t="shared" si="248"/>
        <v/>
      </c>
      <c r="T2574" s="50" t="str">
        <f t="shared" si="246"/>
        <v/>
      </c>
      <c r="U2574" s="50" t="str">
        <f t="shared" si="247"/>
        <v/>
      </c>
      <c r="V2574" s="50" t="str">
        <f t="shared" si="249"/>
        <v/>
      </c>
      <c r="W2574" s="50"/>
      <c r="X2574" s="50"/>
      <c r="Y2574" s="50"/>
      <c r="Z2574" s="50" t="s">
        <v>3406</v>
      </c>
      <c r="AA2574" s="50"/>
    </row>
    <row r="2575" spans="1:27" ht="25.5" customHeight="1">
      <c r="A2575" s="517" t="s">
        <v>779</v>
      </c>
      <c r="B2575" s="51" t="s">
        <v>1485</v>
      </c>
      <c r="C2575" s="51" t="s">
        <v>159</v>
      </c>
      <c r="D2575" s="51" t="s">
        <v>6033</v>
      </c>
      <c r="E2575" s="50">
        <v>673</v>
      </c>
      <c r="F2575" s="50">
        <v>687</v>
      </c>
      <c r="G2575" s="50" t="s">
        <v>3955</v>
      </c>
      <c r="H2575" s="50"/>
      <c r="I2575" s="105"/>
      <c r="J2575" s="50"/>
      <c r="K2575" s="50" t="s">
        <v>5783</v>
      </c>
      <c r="L2575" s="50"/>
      <c r="M2575" s="50" t="s">
        <v>328</v>
      </c>
      <c r="N2575" s="50"/>
      <c r="O2575" s="50"/>
      <c r="P2575" s="50"/>
      <c r="Q2575" s="50"/>
      <c r="R2575" s="50"/>
      <c r="S2575" s="50" t="str">
        <f t="shared" si="248"/>
        <v/>
      </c>
      <c r="T2575" s="50" t="str">
        <f t="shared" si="246"/>
        <v/>
      </c>
      <c r="U2575" s="50" t="str">
        <f t="shared" si="247"/>
        <v/>
      </c>
      <c r="V2575" s="50" t="str">
        <f t="shared" si="249"/>
        <v/>
      </c>
      <c r="W2575" s="50"/>
      <c r="X2575" s="50"/>
      <c r="Y2575" s="50"/>
      <c r="Z2575" s="50"/>
      <c r="AA2575" s="50"/>
    </row>
    <row r="2576" spans="1:27" ht="25.5" customHeight="1">
      <c r="A2576" s="517" t="s">
        <v>779</v>
      </c>
      <c r="B2576" s="51" t="s">
        <v>1485</v>
      </c>
      <c r="C2576" s="51" t="s">
        <v>159</v>
      </c>
      <c r="D2576" s="51" t="s">
        <v>6034</v>
      </c>
      <c r="E2576" s="50">
        <v>921</v>
      </c>
      <c r="F2576" s="50">
        <v>877</v>
      </c>
      <c r="G2576" s="50" t="s">
        <v>3955</v>
      </c>
      <c r="H2576" s="50"/>
      <c r="I2576" s="105"/>
      <c r="J2576" s="50"/>
      <c r="K2576" s="50" t="s">
        <v>5783</v>
      </c>
      <c r="L2576" s="50"/>
      <c r="M2576" s="50" t="s">
        <v>328</v>
      </c>
      <c r="N2576" s="50"/>
      <c r="O2576" s="50"/>
      <c r="P2576" s="50"/>
      <c r="Q2576" s="50"/>
      <c r="R2576" s="50"/>
      <c r="S2576" s="50" t="str">
        <f t="shared" si="248"/>
        <v/>
      </c>
      <c r="T2576" s="50" t="str">
        <f t="shared" si="246"/>
        <v/>
      </c>
      <c r="U2576" s="50" t="str">
        <f t="shared" si="247"/>
        <v/>
      </c>
      <c r="V2576" s="50" t="str">
        <f t="shared" si="249"/>
        <v/>
      </c>
      <c r="W2576" s="50"/>
      <c r="X2576" s="50"/>
      <c r="Y2576" s="50"/>
      <c r="Z2576" s="50"/>
      <c r="AA2576" s="50"/>
    </row>
    <row r="2577" spans="1:27" ht="25.5" customHeight="1">
      <c r="A2577" s="517" t="s">
        <v>779</v>
      </c>
      <c r="B2577" s="51" t="s">
        <v>1485</v>
      </c>
      <c r="C2577" s="51" t="s">
        <v>159</v>
      </c>
      <c r="D2577" s="51" t="s">
        <v>6035</v>
      </c>
      <c r="E2577" s="50">
        <v>468</v>
      </c>
      <c r="F2577" s="50">
        <v>453</v>
      </c>
      <c r="G2577" s="50" t="s">
        <v>3404</v>
      </c>
      <c r="H2577" s="50">
        <v>2025</v>
      </c>
      <c r="I2577" s="132">
        <v>45721</v>
      </c>
      <c r="J2577" s="50" t="s">
        <v>3416</v>
      </c>
      <c r="K2577" s="50" t="s">
        <v>5783</v>
      </c>
      <c r="L2577" s="50"/>
      <c r="M2577" s="50" t="s">
        <v>328</v>
      </c>
      <c r="N2577" s="50" t="s">
        <v>6036</v>
      </c>
      <c r="O2577" s="60">
        <v>45726</v>
      </c>
      <c r="P2577" s="50"/>
      <c r="Q2577" s="60">
        <v>45727</v>
      </c>
      <c r="R2577" s="60">
        <v>45730</v>
      </c>
      <c r="S2577" s="50">
        <f t="shared" si="248"/>
        <v>3</v>
      </c>
      <c r="T2577" s="50" t="str">
        <f t="shared" si="246"/>
        <v/>
      </c>
      <c r="U2577" s="50">
        <f t="shared" si="247"/>
        <v>1</v>
      </c>
      <c r="V2577" s="50">
        <f t="shared" si="249"/>
        <v>3</v>
      </c>
      <c r="W2577" s="50" t="s">
        <v>150</v>
      </c>
      <c r="X2577" s="50" t="s">
        <v>4</v>
      </c>
      <c r="Y2577" s="50" t="s">
        <v>57</v>
      </c>
      <c r="Z2577" s="50" t="s">
        <v>3406</v>
      </c>
      <c r="AA2577" s="50"/>
    </row>
    <row r="2578" spans="1:27" ht="25.5" customHeight="1">
      <c r="A2578" s="517" t="s">
        <v>779</v>
      </c>
      <c r="B2578" s="51" t="s">
        <v>1485</v>
      </c>
      <c r="C2578" s="51" t="s">
        <v>159</v>
      </c>
      <c r="D2578" s="51" t="s">
        <v>6037</v>
      </c>
      <c r="E2578" s="50">
        <v>407</v>
      </c>
      <c r="F2578" s="50">
        <v>442</v>
      </c>
      <c r="G2578" s="50" t="s">
        <v>3955</v>
      </c>
      <c r="H2578" s="50"/>
      <c r="I2578" s="105"/>
      <c r="J2578" s="50"/>
      <c r="K2578" s="50" t="s">
        <v>5783</v>
      </c>
      <c r="L2578" s="50"/>
      <c r="M2578" s="50" t="s">
        <v>328</v>
      </c>
      <c r="N2578" s="50"/>
      <c r="O2578" s="50"/>
      <c r="P2578" s="50"/>
      <c r="Q2578" s="50"/>
      <c r="R2578" s="50"/>
      <c r="S2578" s="50" t="str">
        <f t="shared" si="248"/>
        <v/>
      </c>
      <c r="T2578" s="50" t="str">
        <f t="shared" si="246"/>
        <v/>
      </c>
      <c r="U2578" s="50" t="str">
        <f t="shared" si="247"/>
        <v/>
      </c>
      <c r="V2578" s="50" t="str">
        <f t="shared" si="249"/>
        <v/>
      </c>
      <c r="W2578" s="50"/>
      <c r="X2578" s="50"/>
      <c r="Y2578" s="50"/>
      <c r="Z2578" s="50"/>
      <c r="AA2578" s="50"/>
    </row>
    <row r="2579" spans="1:27" ht="25.5" customHeight="1">
      <c r="A2579" s="517" t="s">
        <v>779</v>
      </c>
      <c r="B2579" s="51" t="s">
        <v>1485</v>
      </c>
      <c r="C2579" s="51" t="s">
        <v>159</v>
      </c>
      <c r="D2579" s="51" t="s">
        <v>6038</v>
      </c>
      <c r="E2579" s="50">
        <v>796</v>
      </c>
      <c r="F2579" s="50">
        <v>915</v>
      </c>
      <c r="G2579" s="50" t="s">
        <v>3955</v>
      </c>
      <c r="H2579" s="50"/>
      <c r="I2579" s="105"/>
      <c r="J2579" s="50"/>
      <c r="K2579" s="50" t="s">
        <v>5783</v>
      </c>
      <c r="L2579" s="50"/>
      <c r="M2579" s="50" t="s">
        <v>328</v>
      </c>
      <c r="N2579" s="50"/>
      <c r="O2579" s="50"/>
      <c r="P2579" s="50"/>
      <c r="Q2579" s="50"/>
      <c r="R2579" s="50"/>
      <c r="S2579" s="50" t="str">
        <f t="shared" si="248"/>
        <v/>
      </c>
      <c r="T2579" s="50" t="str">
        <f t="shared" si="246"/>
        <v/>
      </c>
      <c r="U2579" s="50" t="str">
        <f t="shared" si="247"/>
        <v/>
      </c>
      <c r="V2579" s="50" t="str">
        <f t="shared" si="249"/>
        <v/>
      </c>
      <c r="W2579" s="50"/>
      <c r="X2579" s="50"/>
      <c r="Y2579" s="50"/>
      <c r="Z2579" s="50"/>
      <c r="AA2579" s="50"/>
    </row>
    <row r="2580" spans="1:27" ht="25.5" customHeight="1">
      <c r="A2580" s="517" t="s">
        <v>779</v>
      </c>
      <c r="B2580" s="51" t="s">
        <v>1485</v>
      </c>
      <c r="C2580" s="51" t="s">
        <v>159</v>
      </c>
      <c r="D2580" s="51" t="s">
        <v>5219</v>
      </c>
      <c r="E2580" s="50">
        <v>1192</v>
      </c>
      <c r="F2580" s="50">
        <v>1267</v>
      </c>
      <c r="G2580" s="50" t="s">
        <v>3955</v>
      </c>
      <c r="H2580" s="50"/>
      <c r="I2580" s="105"/>
      <c r="J2580" s="50"/>
      <c r="K2580" s="50" t="s">
        <v>5783</v>
      </c>
      <c r="L2580" s="50"/>
      <c r="M2580" s="50" t="s">
        <v>328</v>
      </c>
      <c r="N2580" s="50"/>
      <c r="O2580" s="50"/>
      <c r="P2580" s="50"/>
      <c r="Q2580" s="50"/>
      <c r="R2580" s="50"/>
      <c r="S2580" s="50" t="str">
        <f t="shared" si="248"/>
        <v/>
      </c>
      <c r="T2580" s="50" t="str">
        <f t="shared" si="246"/>
        <v/>
      </c>
      <c r="U2580" s="50" t="str">
        <f t="shared" si="247"/>
        <v/>
      </c>
      <c r="V2580" s="50" t="str">
        <f t="shared" si="249"/>
        <v/>
      </c>
      <c r="W2580" s="50"/>
      <c r="X2580" s="50"/>
      <c r="Y2580" s="50"/>
      <c r="Z2580" s="50"/>
      <c r="AA2580" s="50"/>
    </row>
    <row r="2581" spans="1:27" ht="25.5" customHeight="1">
      <c r="A2581" s="517" t="s">
        <v>779</v>
      </c>
      <c r="B2581" s="51" t="s">
        <v>1485</v>
      </c>
      <c r="C2581" s="51" t="s">
        <v>159</v>
      </c>
      <c r="D2581" s="51" t="s">
        <v>6039</v>
      </c>
      <c r="E2581" s="50">
        <v>2593</v>
      </c>
      <c r="F2581" s="50">
        <v>2565</v>
      </c>
      <c r="G2581" s="50" t="s">
        <v>3404</v>
      </c>
      <c r="H2581" s="50">
        <v>2025</v>
      </c>
      <c r="I2581" s="132">
        <v>45940</v>
      </c>
      <c r="J2581" s="50" t="s">
        <v>3128</v>
      </c>
      <c r="K2581" s="50" t="s">
        <v>5783</v>
      </c>
      <c r="L2581" s="50"/>
      <c r="M2581" s="50" t="s">
        <v>28</v>
      </c>
      <c r="N2581" s="50" t="s">
        <v>6040</v>
      </c>
      <c r="O2581" s="60">
        <v>45943</v>
      </c>
      <c r="P2581" s="50"/>
      <c r="Q2581" s="60">
        <v>45944</v>
      </c>
      <c r="R2581" s="60">
        <v>45944</v>
      </c>
      <c r="S2581" s="50">
        <f t="shared" si="248"/>
        <v>1</v>
      </c>
      <c r="T2581" s="50" t="str">
        <f t="shared" si="246"/>
        <v/>
      </c>
      <c r="U2581" s="50">
        <f t="shared" si="247"/>
        <v>1</v>
      </c>
      <c r="V2581" s="50">
        <f t="shared" si="249"/>
        <v>1</v>
      </c>
      <c r="W2581" s="50" t="s">
        <v>150</v>
      </c>
      <c r="X2581" s="50" t="s">
        <v>1078</v>
      </c>
      <c r="Y2581" s="50" t="s">
        <v>50</v>
      </c>
      <c r="Z2581" s="50" t="s">
        <v>3406</v>
      </c>
      <c r="AA2581" s="50"/>
    </row>
    <row r="2582" spans="1:27" ht="25.5" customHeight="1">
      <c r="A2582" s="517" t="s">
        <v>779</v>
      </c>
      <c r="B2582" s="51" t="s">
        <v>1485</v>
      </c>
      <c r="C2582" s="51" t="s">
        <v>159</v>
      </c>
      <c r="D2582" s="51" t="s">
        <v>6041</v>
      </c>
      <c r="E2582" s="50">
        <v>848</v>
      </c>
      <c r="F2582" s="50">
        <v>817</v>
      </c>
      <c r="G2582" s="50" t="s">
        <v>3955</v>
      </c>
      <c r="H2582" s="50"/>
      <c r="I2582" s="105"/>
      <c r="J2582" s="50"/>
      <c r="K2582" s="50" t="s">
        <v>5783</v>
      </c>
      <c r="L2582" s="50"/>
      <c r="M2582" s="50" t="s">
        <v>328</v>
      </c>
      <c r="N2582" s="50"/>
      <c r="O2582" s="50"/>
      <c r="P2582" s="50"/>
      <c r="Q2582" s="50"/>
      <c r="R2582" s="50"/>
      <c r="S2582" s="50" t="str">
        <f t="shared" si="248"/>
        <v/>
      </c>
      <c r="T2582" s="50" t="str">
        <f t="shared" si="246"/>
        <v/>
      </c>
      <c r="U2582" s="50" t="str">
        <f t="shared" si="247"/>
        <v/>
      </c>
      <c r="V2582" s="50" t="str">
        <f t="shared" si="249"/>
        <v/>
      </c>
      <c r="W2582" s="50"/>
      <c r="X2582" s="50"/>
      <c r="Y2582" s="50"/>
      <c r="Z2582" s="50"/>
      <c r="AA2582" s="50"/>
    </row>
    <row r="2583" spans="1:27" ht="25.5" customHeight="1">
      <c r="A2583" s="517" t="s">
        <v>779</v>
      </c>
      <c r="B2583" s="51" t="s">
        <v>1485</v>
      </c>
      <c r="C2583" s="51" t="s">
        <v>159</v>
      </c>
      <c r="D2583" s="51" t="s">
        <v>6042</v>
      </c>
      <c r="E2583" s="50">
        <v>1587</v>
      </c>
      <c r="F2583" s="50">
        <v>1618</v>
      </c>
      <c r="G2583" s="50" t="s">
        <v>3404</v>
      </c>
      <c r="H2583" s="50">
        <v>2025</v>
      </c>
      <c r="I2583" s="132">
        <v>45940</v>
      </c>
      <c r="J2583" s="50" t="s">
        <v>3128</v>
      </c>
      <c r="K2583" s="50" t="s">
        <v>5783</v>
      </c>
      <c r="L2583" s="50"/>
      <c r="M2583" s="50" t="s">
        <v>28</v>
      </c>
      <c r="N2583" s="50" t="s">
        <v>6043</v>
      </c>
      <c r="O2583" s="60">
        <v>45943</v>
      </c>
      <c r="P2583" s="50"/>
      <c r="Q2583" s="60">
        <v>45944</v>
      </c>
      <c r="R2583" s="60">
        <v>45944</v>
      </c>
      <c r="S2583" s="50">
        <f t="shared" si="248"/>
        <v>1</v>
      </c>
      <c r="T2583" s="50" t="str">
        <f t="shared" si="246"/>
        <v/>
      </c>
      <c r="U2583" s="50">
        <f t="shared" si="247"/>
        <v>1</v>
      </c>
      <c r="V2583" s="50">
        <f t="shared" si="249"/>
        <v>1</v>
      </c>
      <c r="W2583" s="50" t="s">
        <v>150</v>
      </c>
      <c r="X2583" s="50" t="s">
        <v>4</v>
      </c>
      <c r="Y2583" s="50" t="s">
        <v>50</v>
      </c>
      <c r="Z2583" s="50" t="s">
        <v>3406</v>
      </c>
      <c r="AA2583" s="50"/>
    </row>
    <row r="2584" spans="1:27" ht="25.5" customHeight="1">
      <c r="A2584" s="517" t="s">
        <v>779</v>
      </c>
      <c r="B2584" s="51" t="s">
        <v>1485</v>
      </c>
      <c r="C2584" s="51" t="s">
        <v>159</v>
      </c>
      <c r="D2584" s="51" t="s">
        <v>6044</v>
      </c>
      <c r="E2584" s="50">
        <v>1525</v>
      </c>
      <c r="F2584" s="50">
        <v>1570</v>
      </c>
      <c r="G2584" s="50" t="s">
        <v>3955</v>
      </c>
      <c r="H2584" s="50"/>
      <c r="I2584" s="105"/>
      <c r="J2584" s="50"/>
      <c r="K2584" s="50" t="s">
        <v>5783</v>
      </c>
      <c r="L2584" s="50"/>
      <c r="M2584" s="50" t="s">
        <v>328</v>
      </c>
      <c r="N2584" s="50"/>
      <c r="O2584" s="50"/>
      <c r="P2584" s="50"/>
      <c r="Q2584" s="50"/>
      <c r="R2584" s="50"/>
      <c r="S2584" s="50" t="str">
        <f t="shared" si="248"/>
        <v/>
      </c>
      <c r="T2584" s="50" t="str">
        <f t="shared" si="246"/>
        <v/>
      </c>
      <c r="U2584" s="50" t="str">
        <f t="shared" si="247"/>
        <v/>
      </c>
      <c r="V2584" s="50" t="str">
        <f t="shared" si="249"/>
        <v/>
      </c>
      <c r="W2584" s="50"/>
      <c r="X2584" s="50"/>
      <c r="Y2584" s="50"/>
      <c r="Z2584" s="50"/>
      <c r="AA2584" s="50"/>
    </row>
    <row r="2585" spans="1:27" ht="25.5" customHeight="1">
      <c r="A2585" s="517" t="s">
        <v>779</v>
      </c>
      <c r="B2585" s="51" t="s">
        <v>1485</v>
      </c>
      <c r="C2585" s="51" t="s">
        <v>159</v>
      </c>
      <c r="D2585" s="51" t="s">
        <v>6045</v>
      </c>
      <c r="E2585" s="50">
        <v>1889</v>
      </c>
      <c r="F2585" s="50">
        <v>1831</v>
      </c>
      <c r="G2585" s="50" t="s">
        <v>3404</v>
      </c>
      <c r="H2585" s="50">
        <v>2025</v>
      </c>
      <c r="I2585" s="132">
        <v>45940</v>
      </c>
      <c r="J2585" s="50" t="s">
        <v>3128</v>
      </c>
      <c r="K2585" s="50" t="s">
        <v>5783</v>
      </c>
      <c r="L2585" s="50"/>
      <c r="M2585" s="50" t="s">
        <v>28</v>
      </c>
      <c r="N2585" s="50" t="s">
        <v>6046</v>
      </c>
      <c r="O2585" s="60">
        <v>45943</v>
      </c>
      <c r="Q2585" s="60">
        <v>45944</v>
      </c>
      <c r="R2585" s="60">
        <v>45944</v>
      </c>
      <c r="S2585" s="50">
        <f t="shared" si="248"/>
        <v>1</v>
      </c>
      <c r="T2585" s="50" t="str">
        <f t="shared" si="246"/>
        <v/>
      </c>
      <c r="U2585" s="50">
        <f t="shared" si="247"/>
        <v>1</v>
      </c>
      <c r="V2585" s="50">
        <f t="shared" si="249"/>
        <v>1</v>
      </c>
      <c r="W2585" s="50" t="s">
        <v>150</v>
      </c>
      <c r="X2585" s="50" t="s">
        <v>1078</v>
      </c>
      <c r="Y2585" s="50" t="s">
        <v>50</v>
      </c>
      <c r="Z2585" s="50" t="s">
        <v>3406</v>
      </c>
      <c r="AA2585" s="50"/>
    </row>
    <row r="2586" spans="1:27" ht="25.5" customHeight="1">
      <c r="A2586" s="517" t="s">
        <v>779</v>
      </c>
      <c r="B2586" s="51" t="s">
        <v>1485</v>
      </c>
      <c r="C2586" s="51" t="s">
        <v>159</v>
      </c>
      <c r="D2586" s="51" t="s">
        <v>6047</v>
      </c>
      <c r="E2586" s="50">
        <v>1954</v>
      </c>
      <c r="F2586" s="50">
        <v>2008</v>
      </c>
      <c r="G2586" s="50" t="s">
        <v>3404</v>
      </c>
      <c r="H2586" s="50">
        <v>2025</v>
      </c>
      <c r="I2586" s="132">
        <v>45940</v>
      </c>
      <c r="J2586" s="50" t="s">
        <v>3128</v>
      </c>
      <c r="K2586" s="50" t="s">
        <v>5783</v>
      </c>
      <c r="L2586" s="50"/>
      <c r="M2586" s="50" t="s">
        <v>28</v>
      </c>
      <c r="N2586" s="50" t="s">
        <v>6048</v>
      </c>
      <c r="O2586" s="670">
        <v>45943</v>
      </c>
      <c r="P2586" s="50"/>
      <c r="Q2586" s="60">
        <v>45944</v>
      </c>
      <c r="R2586" s="60">
        <v>45944</v>
      </c>
      <c r="S2586" s="50">
        <f t="shared" si="248"/>
        <v>1</v>
      </c>
      <c r="T2586" s="50" t="str">
        <f t="shared" si="246"/>
        <v/>
      </c>
      <c r="U2586" s="50">
        <f t="shared" si="247"/>
        <v>1</v>
      </c>
      <c r="V2586" s="50">
        <f t="shared" si="249"/>
        <v>1</v>
      </c>
      <c r="W2586" s="50" t="s">
        <v>150</v>
      </c>
      <c r="X2586" s="50" t="s">
        <v>1078</v>
      </c>
      <c r="Y2586" s="50" t="s">
        <v>50</v>
      </c>
      <c r="Z2586" s="50" t="s">
        <v>3406</v>
      </c>
      <c r="AA2586" s="50"/>
    </row>
    <row r="2587" spans="1:27" ht="25.5" customHeight="1">
      <c r="A2587" s="517" t="s">
        <v>779</v>
      </c>
      <c r="B2587" s="51" t="s">
        <v>1485</v>
      </c>
      <c r="C2587" s="51" t="s">
        <v>159</v>
      </c>
      <c r="D2587" s="51" t="s">
        <v>1486</v>
      </c>
      <c r="E2587" s="50">
        <v>3296</v>
      </c>
      <c r="F2587" s="50">
        <v>3556</v>
      </c>
      <c r="G2587" s="50" t="s">
        <v>3404</v>
      </c>
      <c r="H2587" s="50">
        <v>2025</v>
      </c>
      <c r="I2587" s="60">
        <v>45715</v>
      </c>
      <c r="J2587" s="105" t="s">
        <v>3416</v>
      </c>
      <c r="K2587" s="50" t="s">
        <v>5783</v>
      </c>
      <c r="L2587" s="50"/>
      <c r="M2587" s="50" t="s">
        <v>328</v>
      </c>
      <c r="N2587" s="50" t="s">
        <v>6049</v>
      </c>
      <c r="O2587" s="60">
        <v>45715</v>
      </c>
      <c r="P2587" s="50"/>
      <c r="Q2587" s="60">
        <v>45723</v>
      </c>
      <c r="R2587" s="60">
        <v>45728</v>
      </c>
      <c r="S2587" s="50">
        <f t="shared" si="248"/>
        <v>1</v>
      </c>
      <c r="T2587" s="50" t="str">
        <f t="shared" si="246"/>
        <v/>
      </c>
      <c r="U2587" s="50">
        <f t="shared" si="247"/>
        <v>6</v>
      </c>
      <c r="V2587" s="50">
        <f t="shared" si="249"/>
        <v>3</v>
      </c>
      <c r="W2587" s="50" t="s">
        <v>150</v>
      </c>
      <c r="X2587" s="50" t="s">
        <v>4</v>
      </c>
      <c r="Y2587" s="50" t="s">
        <v>50</v>
      </c>
      <c r="Z2587" s="50" t="s">
        <v>3406</v>
      </c>
      <c r="AA2587" s="50"/>
    </row>
    <row r="2588" spans="1:27" s="110" customFormat="1" ht="25.5" customHeight="1">
      <c r="A2588" s="517" t="s">
        <v>779</v>
      </c>
      <c r="B2588" s="51" t="s">
        <v>1485</v>
      </c>
      <c r="C2588" s="51" t="s">
        <v>159</v>
      </c>
      <c r="D2588" s="51" t="s">
        <v>4946</v>
      </c>
      <c r="E2588" s="50">
        <v>3127</v>
      </c>
      <c r="F2588" s="50">
        <v>3079</v>
      </c>
      <c r="G2588" s="50" t="s">
        <v>3404</v>
      </c>
      <c r="H2588" s="50">
        <v>2025</v>
      </c>
      <c r="I2588" s="132">
        <v>45728</v>
      </c>
      <c r="J2588" s="105" t="s">
        <v>3416</v>
      </c>
      <c r="K2588" s="50" t="s">
        <v>5783</v>
      </c>
      <c r="L2588" s="50"/>
      <c r="M2588" s="50" t="s">
        <v>328</v>
      </c>
      <c r="N2588" s="50" t="s">
        <v>6050</v>
      </c>
      <c r="O2588" s="60">
        <v>45734</v>
      </c>
      <c r="P2588" s="50"/>
      <c r="Q2588" s="60">
        <v>45735</v>
      </c>
      <c r="R2588" s="60">
        <v>45735</v>
      </c>
      <c r="S2588" s="50">
        <f t="shared" si="248"/>
        <v>4</v>
      </c>
      <c r="T2588" s="50" t="str">
        <f t="shared" si="246"/>
        <v/>
      </c>
      <c r="U2588" s="50">
        <f t="shared" si="247"/>
        <v>1</v>
      </c>
      <c r="V2588" s="50">
        <f t="shared" si="249"/>
        <v>1</v>
      </c>
      <c r="W2588" s="50" t="s">
        <v>150</v>
      </c>
      <c r="X2588" s="50" t="s">
        <v>4</v>
      </c>
      <c r="Y2588" s="50" t="s">
        <v>50</v>
      </c>
      <c r="Z2588" s="50" t="s">
        <v>3406</v>
      </c>
      <c r="AA2588" s="50"/>
    </row>
    <row r="2589" spans="1:27" ht="25.5" customHeight="1">
      <c r="A2589" s="50" t="s">
        <v>779</v>
      </c>
      <c r="B2589" s="51" t="s">
        <v>1485</v>
      </c>
      <c r="C2589" s="51" t="s">
        <v>159</v>
      </c>
      <c r="D2589" s="51" t="s">
        <v>6051</v>
      </c>
      <c r="E2589" s="50">
        <v>1394</v>
      </c>
      <c r="F2589" s="50">
        <v>1254</v>
      </c>
      <c r="G2589" s="50" t="s">
        <v>3404</v>
      </c>
      <c r="H2589" s="50">
        <v>2024</v>
      </c>
      <c r="I2589" s="132">
        <v>45608</v>
      </c>
      <c r="J2589" s="50"/>
      <c r="K2589" s="50" t="s">
        <v>5783</v>
      </c>
      <c r="L2589" s="50"/>
      <c r="M2589" s="50" t="s">
        <v>328</v>
      </c>
      <c r="N2589" s="50"/>
      <c r="O2589" s="50"/>
      <c r="P2589" s="50"/>
      <c r="Q2589" s="50"/>
      <c r="R2589" s="50"/>
      <c r="S2589" s="50" t="str">
        <f t="shared" si="248"/>
        <v/>
      </c>
      <c r="T2589" s="50" t="str">
        <f t="shared" si="246"/>
        <v/>
      </c>
      <c r="U2589" s="50" t="str">
        <f t="shared" si="247"/>
        <v/>
      </c>
      <c r="V2589" s="50" t="str">
        <f t="shared" si="249"/>
        <v/>
      </c>
      <c r="W2589" s="50"/>
      <c r="X2589" s="50" t="s">
        <v>4</v>
      </c>
      <c r="Y2589" s="50" t="s">
        <v>50</v>
      </c>
      <c r="Z2589" s="50" t="s">
        <v>3406</v>
      </c>
      <c r="AA2589" s="50"/>
    </row>
    <row r="2590" spans="1:27" ht="25.5" customHeight="1">
      <c r="A2590" s="517" t="s">
        <v>779</v>
      </c>
      <c r="B2590" s="51" t="s">
        <v>1485</v>
      </c>
      <c r="C2590" s="51" t="s">
        <v>159</v>
      </c>
      <c r="D2590" s="51" t="s">
        <v>5756</v>
      </c>
      <c r="E2590" s="50">
        <v>1726</v>
      </c>
      <c r="F2590" s="50">
        <v>1743</v>
      </c>
      <c r="G2590" s="50" t="s">
        <v>3955</v>
      </c>
      <c r="H2590" s="50"/>
      <c r="I2590" s="105"/>
      <c r="J2590" s="50"/>
      <c r="K2590" s="50" t="s">
        <v>5783</v>
      </c>
      <c r="L2590" s="50"/>
      <c r="M2590" s="50" t="s">
        <v>328</v>
      </c>
      <c r="N2590" s="50"/>
      <c r="O2590" s="50"/>
      <c r="P2590" s="50"/>
      <c r="Q2590" s="50"/>
      <c r="R2590" s="50"/>
      <c r="S2590" s="50" t="str">
        <f t="shared" si="248"/>
        <v/>
      </c>
      <c r="T2590" s="50" t="str">
        <f t="shared" si="246"/>
        <v/>
      </c>
      <c r="U2590" s="50" t="str">
        <f t="shared" si="247"/>
        <v/>
      </c>
      <c r="V2590" s="50" t="str">
        <f t="shared" si="249"/>
        <v/>
      </c>
      <c r="W2590" s="50"/>
      <c r="X2590" s="50"/>
      <c r="Y2590" s="50"/>
      <c r="Z2590" s="50"/>
      <c r="AA2590" s="50"/>
    </row>
    <row r="2591" spans="1:27" ht="25.5" customHeight="1">
      <c r="A2591" s="517" t="s">
        <v>779</v>
      </c>
      <c r="B2591" s="51" t="s">
        <v>1485</v>
      </c>
      <c r="C2591" s="51" t="s">
        <v>159</v>
      </c>
      <c r="D2591" s="51" t="s">
        <v>858</v>
      </c>
      <c r="E2591" s="50">
        <v>1670</v>
      </c>
      <c r="F2591" s="50">
        <v>1541</v>
      </c>
      <c r="G2591" s="50" t="s">
        <v>3955</v>
      </c>
      <c r="H2591" s="50"/>
      <c r="I2591" s="105"/>
      <c r="J2591" s="50"/>
      <c r="K2591" s="50" t="s">
        <v>5783</v>
      </c>
      <c r="L2591" s="50"/>
      <c r="M2591" s="50" t="s">
        <v>328</v>
      </c>
      <c r="N2591" s="50"/>
      <c r="O2591" s="50"/>
      <c r="P2591" s="50"/>
      <c r="Q2591" s="50"/>
      <c r="R2591" s="50"/>
      <c r="S2591" s="50" t="str">
        <f t="shared" si="248"/>
        <v/>
      </c>
      <c r="T2591" s="50" t="str">
        <f t="shared" si="246"/>
        <v/>
      </c>
      <c r="U2591" s="50" t="str">
        <f t="shared" si="247"/>
        <v/>
      </c>
      <c r="V2591" s="50" t="str">
        <f t="shared" si="249"/>
        <v/>
      </c>
      <c r="W2591" s="50"/>
      <c r="X2591" s="50"/>
      <c r="Y2591" s="50"/>
      <c r="Z2591" s="50"/>
      <c r="AA2591" s="50"/>
    </row>
    <row r="2592" spans="1:27" ht="25.5" customHeight="1">
      <c r="A2592" s="517" t="s">
        <v>779</v>
      </c>
      <c r="B2592" s="51" t="s">
        <v>1485</v>
      </c>
      <c r="C2592" s="51" t="s">
        <v>159</v>
      </c>
      <c r="D2592" s="51" t="s">
        <v>6052</v>
      </c>
      <c r="E2592" s="50">
        <v>727</v>
      </c>
      <c r="F2592" s="50">
        <v>723</v>
      </c>
      <c r="G2592" s="50" t="s">
        <v>3955</v>
      </c>
      <c r="H2592" s="50"/>
      <c r="I2592" s="105"/>
      <c r="J2592" s="50"/>
      <c r="K2592" s="50" t="s">
        <v>5783</v>
      </c>
      <c r="L2592" s="50"/>
      <c r="M2592" s="50" t="s">
        <v>328</v>
      </c>
      <c r="N2592" s="50"/>
      <c r="O2592" s="50"/>
      <c r="P2592" s="50"/>
      <c r="Q2592" s="50"/>
      <c r="R2592" s="50"/>
      <c r="S2592" s="50" t="str">
        <f t="shared" si="248"/>
        <v/>
      </c>
      <c r="T2592" s="50" t="str">
        <f t="shared" si="246"/>
        <v/>
      </c>
      <c r="U2592" s="50" t="str">
        <f t="shared" si="247"/>
        <v/>
      </c>
      <c r="V2592" s="50" t="str">
        <f t="shared" si="249"/>
        <v/>
      </c>
      <c r="W2592" s="50"/>
      <c r="X2592" s="50"/>
      <c r="Y2592" s="50"/>
      <c r="Z2592" s="50"/>
      <c r="AA2592" s="50"/>
    </row>
    <row r="2593" spans="1:27" ht="25.5" customHeight="1">
      <c r="A2593" s="517" t="s">
        <v>779</v>
      </c>
      <c r="B2593" s="51" t="s">
        <v>1485</v>
      </c>
      <c r="C2593" s="51" t="s">
        <v>159</v>
      </c>
      <c r="D2593" s="51" t="s">
        <v>6053</v>
      </c>
      <c r="E2593" s="50">
        <v>1332</v>
      </c>
      <c r="F2593" s="50">
        <v>1457</v>
      </c>
      <c r="G2593" s="50" t="s">
        <v>3955</v>
      </c>
      <c r="H2593" s="725">
        <v>2025</v>
      </c>
      <c r="I2593" s="726">
        <v>45940</v>
      </c>
      <c r="J2593" s="725" t="s">
        <v>3128</v>
      </c>
      <c r="K2593" s="725" t="s">
        <v>5783</v>
      </c>
      <c r="L2593" s="725"/>
      <c r="M2593" s="725" t="s">
        <v>28</v>
      </c>
      <c r="N2593" s="725" t="s">
        <v>6054</v>
      </c>
      <c r="O2593" s="727">
        <v>45943</v>
      </c>
      <c r="P2593" s="725"/>
      <c r="Q2593" s="727">
        <v>45944</v>
      </c>
      <c r="R2593" s="727">
        <v>45944</v>
      </c>
      <c r="S2593" s="725">
        <f t="shared" si="248"/>
        <v>1</v>
      </c>
      <c r="T2593" s="725" t="str">
        <f t="shared" si="246"/>
        <v/>
      </c>
      <c r="U2593" s="725">
        <f t="shared" si="247"/>
        <v>1</v>
      </c>
      <c r="V2593" s="725">
        <f t="shared" si="249"/>
        <v>1</v>
      </c>
      <c r="W2593" s="725" t="s">
        <v>150</v>
      </c>
      <c r="X2593" s="725" t="s">
        <v>4</v>
      </c>
      <c r="Y2593" s="725" t="s">
        <v>50</v>
      </c>
      <c r="Z2593" s="725" t="s">
        <v>3406</v>
      </c>
      <c r="AA2593" s="725"/>
    </row>
    <row r="2594" spans="1:27" ht="25.5" customHeight="1">
      <c r="A2594" s="517" t="s">
        <v>779</v>
      </c>
      <c r="B2594" s="51" t="s">
        <v>1489</v>
      </c>
      <c r="C2594" s="51" t="s">
        <v>159</v>
      </c>
      <c r="D2594" s="51" t="s">
        <v>6055</v>
      </c>
      <c r="E2594" s="50">
        <v>3720</v>
      </c>
      <c r="F2594" s="50">
        <v>4303</v>
      </c>
      <c r="G2594" s="50" t="s">
        <v>3955</v>
      </c>
      <c r="H2594" s="50"/>
      <c r="I2594" s="105"/>
      <c r="J2594" s="50"/>
      <c r="K2594" s="50" t="s">
        <v>37</v>
      </c>
      <c r="L2594" s="50"/>
      <c r="M2594" s="50" t="s">
        <v>328</v>
      </c>
      <c r="N2594" s="50"/>
      <c r="O2594" s="50"/>
      <c r="P2594" s="50"/>
      <c r="Q2594" s="50"/>
      <c r="R2594" s="50"/>
      <c r="S2594" s="50" t="str">
        <f t="shared" si="248"/>
        <v/>
      </c>
      <c r="T2594" s="50" t="str">
        <f t="shared" si="246"/>
        <v/>
      </c>
      <c r="U2594" s="50" t="str">
        <f t="shared" si="247"/>
        <v/>
      </c>
      <c r="V2594" s="50" t="str">
        <f t="shared" si="249"/>
        <v/>
      </c>
      <c r="W2594" s="50"/>
      <c r="X2594" s="50"/>
      <c r="Y2594" s="50"/>
      <c r="Z2594" s="50"/>
      <c r="AA2594" s="50"/>
    </row>
    <row r="2595" spans="1:27" ht="25.5" customHeight="1">
      <c r="A2595" s="517" t="s">
        <v>779</v>
      </c>
      <c r="B2595" s="51" t="s">
        <v>1489</v>
      </c>
      <c r="C2595" s="51" t="s">
        <v>159</v>
      </c>
      <c r="D2595" s="51" t="s">
        <v>6056</v>
      </c>
      <c r="E2595" s="50">
        <v>1816</v>
      </c>
      <c r="F2595" s="50">
        <v>1768</v>
      </c>
      <c r="G2595" s="50" t="s">
        <v>3404</v>
      </c>
      <c r="H2595" s="50">
        <v>2025</v>
      </c>
      <c r="I2595" s="132">
        <v>45695</v>
      </c>
      <c r="J2595" s="50" t="s">
        <v>3458</v>
      </c>
      <c r="K2595" s="50" t="s">
        <v>37</v>
      </c>
      <c r="L2595" s="50"/>
      <c r="M2595" s="50" t="s">
        <v>328</v>
      </c>
      <c r="N2595" s="50" t="s">
        <v>6057</v>
      </c>
      <c r="O2595" s="60">
        <v>45697</v>
      </c>
      <c r="P2595" s="60"/>
      <c r="Q2595" s="60">
        <v>45699</v>
      </c>
      <c r="R2595" s="60">
        <v>45701</v>
      </c>
      <c r="S2595" s="50">
        <f t="shared" si="248"/>
        <v>1</v>
      </c>
      <c r="T2595" s="50" t="str">
        <f t="shared" si="246"/>
        <v/>
      </c>
      <c r="U2595" s="50">
        <f t="shared" si="247"/>
        <v>1</v>
      </c>
      <c r="V2595" s="50">
        <f t="shared" si="249"/>
        <v>2</v>
      </c>
      <c r="W2595" s="50" t="s">
        <v>150</v>
      </c>
      <c r="X2595" s="50" t="s">
        <v>4</v>
      </c>
      <c r="Y2595" s="50" t="s">
        <v>50</v>
      </c>
      <c r="Z2595" s="50" t="s">
        <v>3406</v>
      </c>
      <c r="AA2595" s="50"/>
    </row>
    <row r="2596" spans="1:27" ht="25.5" customHeight="1">
      <c r="A2596" s="517" t="s">
        <v>779</v>
      </c>
      <c r="B2596" s="51" t="s">
        <v>1489</v>
      </c>
      <c r="C2596" s="51" t="s">
        <v>159</v>
      </c>
      <c r="D2596" s="51" t="s">
        <v>6058</v>
      </c>
      <c r="E2596" s="50">
        <v>612</v>
      </c>
      <c r="F2596" s="50">
        <v>761</v>
      </c>
      <c r="G2596" s="50" t="s">
        <v>3955</v>
      </c>
      <c r="H2596" s="50"/>
      <c r="I2596" s="105"/>
      <c r="J2596" s="50"/>
      <c r="K2596" s="50" t="s">
        <v>37</v>
      </c>
      <c r="L2596" s="50"/>
      <c r="M2596" s="50" t="s">
        <v>328</v>
      </c>
      <c r="N2596" s="50"/>
      <c r="O2596" s="50"/>
      <c r="P2596" s="50"/>
      <c r="Q2596" s="50"/>
      <c r="R2596" s="50"/>
      <c r="S2596" s="50" t="str">
        <f t="shared" si="248"/>
        <v/>
      </c>
      <c r="T2596" s="50" t="str">
        <f t="shared" si="246"/>
        <v/>
      </c>
      <c r="U2596" s="50" t="str">
        <f t="shared" si="247"/>
        <v/>
      </c>
      <c r="V2596" s="50" t="str">
        <f t="shared" si="249"/>
        <v/>
      </c>
      <c r="W2596" s="50"/>
      <c r="X2596" s="50"/>
      <c r="Y2596" s="50"/>
      <c r="Z2596" s="50"/>
      <c r="AA2596" s="50"/>
    </row>
    <row r="2597" spans="1:27" ht="25.5" customHeight="1">
      <c r="A2597" s="517" t="s">
        <v>779</v>
      </c>
      <c r="B2597" s="51" t="s">
        <v>1489</v>
      </c>
      <c r="C2597" s="51" t="s">
        <v>159</v>
      </c>
      <c r="D2597" s="51" t="s">
        <v>6059</v>
      </c>
      <c r="E2597" s="50">
        <v>1312</v>
      </c>
      <c r="F2597" s="50">
        <v>1222</v>
      </c>
      <c r="G2597" s="50" t="s">
        <v>3404</v>
      </c>
      <c r="H2597" s="50">
        <v>2025</v>
      </c>
      <c r="I2597" s="132">
        <v>45939</v>
      </c>
      <c r="J2597" s="50" t="s">
        <v>3128</v>
      </c>
      <c r="K2597" s="50" t="s">
        <v>37</v>
      </c>
      <c r="M2597" s="50" t="s">
        <v>28</v>
      </c>
      <c r="N2597" s="50" t="s">
        <v>6060</v>
      </c>
      <c r="O2597" s="60">
        <v>45940</v>
      </c>
      <c r="P2597" s="60"/>
      <c r="Q2597" s="60">
        <v>45944</v>
      </c>
      <c r="R2597" s="60">
        <v>45944</v>
      </c>
      <c r="S2597" s="50">
        <f t="shared" si="248"/>
        <v>1</v>
      </c>
      <c r="T2597" s="50" t="str">
        <f t="shared" si="246"/>
        <v/>
      </c>
      <c r="U2597" s="50">
        <f t="shared" si="247"/>
        <v>2</v>
      </c>
      <c r="V2597" s="50">
        <f t="shared" si="249"/>
        <v>1</v>
      </c>
      <c r="W2597" s="50" t="s">
        <v>150</v>
      </c>
      <c r="X2597" s="50" t="s">
        <v>1078</v>
      </c>
      <c r="Y2597" s="50" t="s">
        <v>50</v>
      </c>
      <c r="Z2597" s="50" t="s">
        <v>3406</v>
      </c>
      <c r="AA2597" s="50"/>
    </row>
    <row r="2598" spans="1:27" s="110" customFormat="1" ht="25.5" customHeight="1">
      <c r="A2598" s="517" t="s">
        <v>779</v>
      </c>
      <c r="B2598" s="51" t="s">
        <v>1489</v>
      </c>
      <c r="C2598" s="51" t="s">
        <v>159</v>
      </c>
      <c r="D2598" s="51" t="s">
        <v>6061</v>
      </c>
      <c r="E2598" s="50">
        <v>1548</v>
      </c>
      <c r="F2598" s="50">
        <v>1672</v>
      </c>
      <c r="G2598" s="50" t="s">
        <v>3404</v>
      </c>
      <c r="H2598" s="50">
        <v>2025</v>
      </c>
      <c r="I2598" s="132">
        <v>45939</v>
      </c>
      <c r="J2598" s="50" t="s">
        <v>3128</v>
      </c>
      <c r="K2598" s="50" t="s">
        <v>37</v>
      </c>
      <c r="L2598" s="50"/>
      <c r="M2598" s="50" t="s">
        <v>28</v>
      </c>
      <c r="N2598" s="50" t="s">
        <v>6062</v>
      </c>
      <c r="O2598" s="60">
        <v>45940</v>
      </c>
      <c r="P2598" s="60"/>
      <c r="Q2598" s="60">
        <v>45944</v>
      </c>
      <c r="R2598" s="60">
        <v>45944</v>
      </c>
      <c r="S2598" s="50">
        <f t="shared" si="248"/>
        <v>1</v>
      </c>
      <c r="T2598" s="50" t="str">
        <f t="shared" si="246"/>
        <v/>
      </c>
      <c r="U2598" s="50">
        <f t="shared" si="247"/>
        <v>2</v>
      </c>
      <c r="V2598" s="50">
        <f t="shared" si="249"/>
        <v>1</v>
      </c>
      <c r="W2598" s="50" t="s">
        <v>150</v>
      </c>
      <c r="X2598" s="50" t="s">
        <v>1078</v>
      </c>
      <c r="Y2598" s="50" t="s">
        <v>50</v>
      </c>
      <c r="Z2598" s="50" t="s">
        <v>3406</v>
      </c>
      <c r="AA2598" s="50"/>
    </row>
    <row r="2599" spans="1:27" ht="25.5" customHeight="1">
      <c r="A2599" s="50" t="s">
        <v>779</v>
      </c>
      <c r="B2599" s="51" t="s">
        <v>1489</v>
      </c>
      <c r="C2599" s="51" t="s">
        <v>159</v>
      </c>
      <c r="D2599" s="51" t="s">
        <v>6063</v>
      </c>
      <c r="E2599" s="50">
        <v>1479</v>
      </c>
      <c r="F2599" s="50">
        <v>1675</v>
      </c>
      <c r="G2599" s="50" t="s">
        <v>3404</v>
      </c>
      <c r="H2599" s="50">
        <v>2024</v>
      </c>
      <c r="I2599" s="132">
        <v>45384</v>
      </c>
      <c r="J2599" s="50"/>
      <c r="K2599" s="50" t="s">
        <v>37</v>
      </c>
      <c r="L2599" s="50"/>
      <c r="M2599" s="50" t="s">
        <v>328</v>
      </c>
      <c r="N2599" s="50"/>
      <c r="O2599" s="50"/>
      <c r="P2599" s="50"/>
      <c r="Q2599" s="50"/>
      <c r="R2599" s="50"/>
      <c r="S2599" s="50" t="str">
        <f t="shared" si="248"/>
        <v/>
      </c>
      <c r="T2599" s="50" t="str">
        <f t="shared" si="246"/>
        <v/>
      </c>
      <c r="U2599" s="50" t="str">
        <f t="shared" si="247"/>
        <v/>
      </c>
      <c r="V2599" s="50" t="str">
        <f t="shared" si="249"/>
        <v/>
      </c>
      <c r="W2599" s="50"/>
      <c r="X2599" s="50"/>
      <c r="Y2599" s="50"/>
      <c r="Z2599" s="50" t="s">
        <v>3406</v>
      </c>
      <c r="AA2599" s="50"/>
    </row>
    <row r="2600" spans="1:27" ht="25.5" customHeight="1">
      <c r="A2600" s="517" t="s">
        <v>779</v>
      </c>
      <c r="B2600" s="51" t="s">
        <v>1489</v>
      </c>
      <c r="C2600" s="51" t="s">
        <v>159</v>
      </c>
      <c r="D2600" s="51" t="s">
        <v>6064</v>
      </c>
      <c r="E2600" s="50">
        <v>1218</v>
      </c>
      <c r="F2600" s="50">
        <v>1341</v>
      </c>
      <c r="G2600" s="50" t="s">
        <v>3404</v>
      </c>
      <c r="H2600" s="50">
        <v>2025</v>
      </c>
      <c r="I2600" s="132">
        <v>45939</v>
      </c>
      <c r="J2600" s="50" t="s">
        <v>3128</v>
      </c>
      <c r="K2600" s="50" t="s">
        <v>37</v>
      </c>
      <c r="L2600" s="50"/>
      <c r="M2600" s="50" t="s">
        <v>28</v>
      </c>
      <c r="N2600" s="50" t="s">
        <v>6065</v>
      </c>
      <c r="O2600" s="60">
        <v>45940</v>
      </c>
      <c r="P2600" s="60"/>
      <c r="Q2600" s="60">
        <v>45944</v>
      </c>
      <c r="R2600" s="60">
        <v>45944</v>
      </c>
      <c r="S2600" s="50">
        <f t="shared" si="248"/>
        <v>1</v>
      </c>
      <c r="T2600" s="50" t="str">
        <f t="shared" si="246"/>
        <v/>
      </c>
      <c r="U2600" s="50">
        <f t="shared" si="247"/>
        <v>2</v>
      </c>
      <c r="V2600" s="50">
        <f t="shared" si="249"/>
        <v>1</v>
      </c>
      <c r="W2600" s="50" t="s">
        <v>150</v>
      </c>
      <c r="X2600" s="50" t="s">
        <v>1078</v>
      </c>
      <c r="Y2600" s="50" t="s">
        <v>50</v>
      </c>
      <c r="Z2600" s="50" t="s">
        <v>3406</v>
      </c>
      <c r="AA2600" s="50"/>
    </row>
    <row r="2601" spans="1:27" s="110" customFormat="1" ht="25.5" customHeight="1">
      <c r="A2601" s="517" t="s">
        <v>779</v>
      </c>
      <c r="B2601" s="51" t="s">
        <v>1489</v>
      </c>
      <c r="C2601" s="51" t="s">
        <v>159</v>
      </c>
      <c r="D2601" s="51" t="s">
        <v>1490</v>
      </c>
      <c r="E2601" s="50">
        <v>2359</v>
      </c>
      <c r="F2601" s="50">
        <v>2257</v>
      </c>
      <c r="G2601" s="50" t="s">
        <v>3955</v>
      </c>
      <c r="H2601" s="50"/>
      <c r="I2601" s="105"/>
      <c r="J2601" s="50"/>
      <c r="K2601" s="50" t="s">
        <v>37</v>
      </c>
      <c r="L2601" s="50"/>
      <c r="M2601" s="50" t="s">
        <v>328</v>
      </c>
      <c r="N2601" s="50"/>
      <c r="O2601" s="50"/>
      <c r="P2601" s="50"/>
      <c r="Q2601" s="50"/>
      <c r="R2601" s="50"/>
      <c r="S2601" s="50" t="str">
        <f t="shared" si="248"/>
        <v/>
      </c>
      <c r="T2601" s="50" t="str">
        <f t="shared" si="246"/>
        <v/>
      </c>
      <c r="U2601" s="50" t="str">
        <f t="shared" si="247"/>
        <v/>
      </c>
      <c r="V2601" s="50" t="str">
        <f t="shared" si="249"/>
        <v/>
      </c>
      <c r="W2601" s="50"/>
      <c r="X2601" s="50"/>
      <c r="Y2601" s="50"/>
      <c r="Z2601" s="50"/>
      <c r="AA2601" s="50"/>
    </row>
    <row r="2602" spans="1:27" ht="25.5" customHeight="1">
      <c r="A2602" s="50" t="s">
        <v>779</v>
      </c>
      <c r="B2602" s="51" t="s">
        <v>1489</v>
      </c>
      <c r="C2602" s="51" t="s">
        <v>159</v>
      </c>
      <c r="D2602" s="51" t="s">
        <v>6066</v>
      </c>
      <c r="E2602" s="50">
        <v>714</v>
      </c>
      <c r="F2602" s="50">
        <v>914</v>
      </c>
      <c r="G2602" s="50" t="s">
        <v>3404</v>
      </c>
      <c r="H2602" s="50">
        <v>2024</v>
      </c>
      <c r="I2602" s="132">
        <v>45384</v>
      </c>
      <c r="J2602" s="50"/>
      <c r="K2602" s="50" t="s">
        <v>37</v>
      </c>
      <c r="L2602" s="50"/>
      <c r="M2602" s="50" t="s">
        <v>328</v>
      </c>
      <c r="N2602" s="50"/>
      <c r="O2602" s="50"/>
      <c r="P2602" s="50"/>
      <c r="Q2602" s="50"/>
      <c r="R2602" s="50"/>
      <c r="S2602" s="50" t="str">
        <f t="shared" si="248"/>
        <v/>
      </c>
      <c r="T2602" s="50" t="str">
        <f t="shared" ref="T2602:T2665" si="250">IF(
    OR(ISBLANK(O2602), ISBLANK(P2602)),
    "",
    MAX(1, IF(
        NETWORKDAYS(O2602, P2602) &lt;= 0,
        1,
        NETWORKDAYS(O2602, P2602) - IF(O2602 = P2602, 0, 1)
    ))
)</f>
        <v/>
      </c>
      <c r="U2602" s="50" t="str">
        <f t="shared" si="247"/>
        <v/>
      </c>
      <c r="V2602" s="50" t="str">
        <f t="shared" si="249"/>
        <v/>
      </c>
      <c r="W2602" s="50"/>
      <c r="X2602" s="50"/>
      <c r="Y2602" s="50"/>
      <c r="Z2602" s="50" t="s">
        <v>3406</v>
      </c>
      <c r="AA2602" s="50"/>
    </row>
    <row r="2603" spans="1:27" ht="25.5" customHeight="1">
      <c r="A2603" s="517" t="s">
        <v>779</v>
      </c>
      <c r="B2603" s="51" t="s">
        <v>1489</v>
      </c>
      <c r="C2603" s="51" t="s">
        <v>159</v>
      </c>
      <c r="D2603" s="51" t="s">
        <v>6067</v>
      </c>
      <c r="E2603" s="50">
        <v>1203</v>
      </c>
      <c r="F2603" s="50">
        <v>1340</v>
      </c>
      <c r="G2603" s="50" t="s">
        <v>3955</v>
      </c>
      <c r="H2603" s="50"/>
      <c r="I2603" s="105"/>
      <c r="J2603" s="50"/>
      <c r="K2603" s="50" t="s">
        <v>37</v>
      </c>
      <c r="L2603" s="50"/>
      <c r="M2603" s="50" t="s">
        <v>328</v>
      </c>
      <c r="N2603" s="50"/>
      <c r="O2603" s="50"/>
      <c r="P2603" s="50"/>
      <c r="Q2603" s="50"/>
      <c r="R2603" s="50"/>
      <c r="S2603" s="50" t="str">
        <f t="shared" si="248"/>
        <v/>
      </c>
      <c r="T2603" s="50" t="str">
        <f t="shared" si="250"/>
        <v/>
      </c>
      <c r="U2603" s="50" t="str">
        <f t="shared" si="247"/>
        <v/>
      </c>
      <c r="V2603" s="50" t="str">
        <f t="shared" si="249"/>
        <v/>
      </c>
      <c r="W2603" s="50"/>
      <c r="X2603" s="50"/>
      <c r="Y2603" s="50"/>
      <c r="Z2603" s="50"/>
      <c r="AA2603" s="50"/>
    </row>
    <row r="2604" spans="1:27" ht="25.5" customHeight="1">
      <c r="A2604" s="517" t="s">
        <v>779</v>
      </c>
      <c r="B2604" s="51" t="s">
        <v>1489</v>
      </c>
      <c r="C2604" s="51" t="s">
        <v>159</v>
      </c>
      <c r="D2604" s="51" t="s">
        <v>6068</v>
      </c>
      <c r="E2604" s="50">
        <v>1627</v>
      </c>
      <c r="F2604" s="50">
        <v>1713</v>
      </c>
      <c r="G2604" s="50" t="s">
        <v>3404</v>
      </c>
      <c r="H2604" s="50">
        <v>2025</v>
      </c>
      <c r="I2604" s="132">
        <v>45939</v>
      </c>
      <c r="J2604" s="50" t="s">
        <v>3128</v>
      </c>
      <c r="K2604" s="50" t="s">
        <v>37</v>
      </c>
      <c r="L2604" s="50"/>
      <c r="M2604" s="50" t="s">
        <v>28</v>
      </c>
      <c r="N2604" s="50" t="s">
        <v>6069</v>
      </c>
      <c r="O2604" s="60">
        <v>45940</v>
      </c>
      <c r="P2604" s="60"/>
      <c r="Q2604" s="60">
        <v>45944</v>
      </c>
      <c r="R2604" s="60">
        <v>45944</v>
      </c>
      <c r="S2604" s="50">
        <f t="shared" si="248"/>
        <v>1</v>
      </c>
      <c r="T2604" s="50" t="str">
        <f t="shared" si="250"/>
        <v/>
      </c>
      <c r="U2604" s="50">
        <f t="shared" si="247"/>
        <v>2</v>
      </c>
      <c r="V2604" s="50">
        <f t="shared" si="249"/>
        <v>1</v>
      </c>
      <c r="W2604" s="50" t="s">
        <v>150</v>
      </c>
      <c r="X2604" s="50" t="s">
        <v>1078</v>
      </c>
      <c r="Y2604" s="50" t="s">
        <v>50</v>
      </c>
      <c r="Z2604" s="50" t="s">
        <v>3406</v>
      </c>
      <c r="AA2604" s="50"/>
    </row>
    <row r="2605" spans="1:27" ht="25.5" customHeight="1">
      <c r="A2605" s="517" t="s">
        <v>779</v>
      </c>
      <c r="B2605" s="51" t="s">
        <v>1489</v>
      </c>
      <c r="C2605" s="51" t="s">
        <v>159</v>
      </c>
      <c r="D2605" s="51" t="s">
        <v>6070</v>
      </c>
      <c r="E2605" s="50">
        <v>1181</v>
      </c>
      <c r="F2605" s="50">
        <v>1295</v>
      </c>
      <c r="G2605" s="50" t="s">
        <v>3404</v>
      </c>
      <c r="H2605" s="50">
        <v>2025</v>
      </c>
      <c r="I2605" s="132">
        <v>45917</v>
      </c>
      <c r="J2605" s="50" t="s">
        <v>3128</v>
      </c>
      <c r="K2605" s="50" t="s">
        <v>37</v>
      </c>
      <c r="L2605" s="50"/>
      <c r="M2605" s="50" t="s">
        <v>28</v>
      </c>
      <c r="N2605" s="50" t="s">
        <v>6071</v>
      </c>
      <c r="O2605" s="60">
        <v>45918</v>
      </c>
      <c r="P2605" s="50"/>
      <c r="Q2605" s="60">
        <v>45940</v>
      </c>
      <c r="R2605" s="60">
        <v>45940</v>
      </c>
      <c r="S2605" s="50">
        <f t="shared" si="248"/>
        <v>1</v>
      </c>
      <c r="T2605" s="50" t="str">
        <f t="shared" si="250"/>
        <v/>
      </c>
      <c r="U2605" s="50">
        <f t="shared" si="247"/>
        <v>16</v>
      </c>
      <c r="V2605" s="50">
        <f t="shared" si="249"/>
        <v>1</v>
      </c>
      <c r="W2605" s="50" t="s">
        <v>150</v>
      </c>
      <c r="X2605" s="50" t="s">
        <v>1078</v>
      </c>
      <c r="Y2605" s="50" t="s">
        <v>50</v>
      </c>
      <c r="Z2605" s="50" t="s">
        <v>3406</v>
      </c>
      <c r="AA2605" s="50"/>
    </row>
    <row r="2606" spans="1:27" ht="25.5" customHeight="1">
      <c r="A2606" s="517" t="s">
        <v>779</v>
      </c>
      <c r="B2606" s="51" t="s">
        <v>1489</v>
      </c>
      <c r="C2606" s="51" t="s">
        <v>159</v>
      </c>
      <c r="D2606" s="51" t="s">
        <v>6072</v>
      </c>
      <c r="E2606" s="50">
        <v>1542</v>
      </c>
      <c r="F2606" s="50">
        <v>1607</v>
      </c>
      <c r="G2606" s="50" t="s">
        <v>3955</v>
      </c>
      <c r="H2606" s="50"/>
      <c r="I2606" s="105"/>
      <c r="J2606" s="50"/>
      <c r="K2606" s="50" t="s">
        <v>37</v>
      </c>
      <c r="L2606" s="50"/>
      <c r="M2606" s="50" t="s">
        <v>328</v>
      </c>
      <c r="N2606" s="50"/>
      <c r="O2606" s="50"/>
      <c r="P2606" s="50"/>
      <c r="Q2606" s="50"/>
      <c r="R2606" s="50"/>
      <c r="S2606" s="50" t="str">
        <f t="shared" si="248"/>
        <v/>
      </c>
      <c r="T2606" s="50" t="str">
        <f t="shared" si="250"/>
        <v/>
      </c>
      <c r="U2606" s="50" t="str">
        <f t="shared" ref="U2606:U2669" si="251">IF(
    OR(ISBLANK(O2606), ISBLANK(Q2606)),
    "",
    MAX(1, IF(
        NETWORKDAYS(O2606, Q2606) &lt;= 0,
        1,
        NETWORKDAYS(O2606, Q2606) - IF(O2606 = Q2606, 0, 1)
    ))
)</f>
        <v/>
      </c>
      <c r="V2606" s="50" t="str">
        <f t="shared" si="249"/>
        <v/>
      </c>
      <c r="W2606" s="50"/>
      <c r="X2606" s="50"/>
      <c r="Y2606" s="50"/>
      <c r="Z2606" s="50"/>
      <c r="AA2606" s="50"/>
    </row>
    <row r="2607" spans="1:27" ht="25.5" customHeight="1">
      <c r="A2607" s="517" t="s">
        <v>779</v>
      </c>
      <c r="B2607" s="51" t="s">
        <v>1489</v>
      </c>
      <c r="C2607" s="51" t="s">
        <v>159</v>
      </c>
      <c r="D2607" s="51" t="s">
        <v>6073</v>
      </c>
      <c r="E2607" s="50">
        <v>1716</v>
      </c>
      <c r="F2607" s="50">
        <v>1731</v>
      </c>
      <c r="G2607" s="50" t="s">
        <v>3404</v>
      </c>
      <c r="H2607" s="50">
        <v>2025</v>
      </c>
      <c r="I2607" s="132">
        <v>45730</v>
      </c>
      <c r="J2607" s="50" t="s">
        <v>3416</v>
      </c>
      <c r="K2607" s="50" t="s">
        <v>37</v>
      </c>
      <c r="L2607" s="50"/>
      <c r="M2607" s="50" t="s">
        <v>328</v>
      </c>
      <c r="N2607" s="50" t="s">
        <v>6074</v>
      </c>
      <c r="O2607" s="60">
        <v>45732</v>
      </c>
      <c r="P2607" s="50"/>
      <c r="Q2607" s="60">
        <v>45733</v>
      </c>
      <c r="R2607" s="60">
        <v>45734</v>
      </c>
      <c r="S2607" s="50">
        <f t="shared" si="248"/>
        <v>1</v>
      </c>
      <c r="T2607" s="50" t="str">
        <f t="shared" si="250"/>
        <v/>
      </c>
      <c r="U2607" s="50">
        <f t="shared" si="251"/>
        <v>1</v>
      </c>
      <c r="V2607" s="50">
        <f t="shared" si="249"/>
        <v>1</v>
      </c>
      <c r="W2607" s="50" t="s">
        <v>150</v>
      </c>
      <c r="X2607" s="50" t="s">
        <v>1078</v>
      </c>
      <c r="Y2607" s="50" t="s">
        <v>50</v>
      </c>
      <c r="Z2607" s="50" t="s">
        <v>3406</v>
      </c>
      <c r="AA2607" s="50"/>
    </row>
    <row r="2608" spans="1:27" ht="25.5" customHeight="1">
      <c r="A2608" s="517" t="s">
        <v>779</v>
      </c>
      <c r="B2608" s="51" t="s">
        <v>1489</v>
      </c>
      <c r="C2608" s="51" t="s">
        <v>159</v>
      </c>
      <c r="D2608" s="51" t="s">
        <v>6075</v>
      </c>
      <c r="E2608" s="50">
        <v>2232</v>
      </c>
      <c r="F2608" s="50">
        <v>2102</v>
      </c>
      <c r="G2608" s="50" t="s">
        <v>3955</v>
      </c>
      <c r="H2608" s="50"/>
      <c r="I2608" s="105"/>
      <c r="J2608" s="50"/>
      <c r="K2608" s="50" t="s">
        <v>37</v>
      </c>
      <c r="L2608" s="50"/>
      <c r="M2608" s="50" t="s">
        <v>328</v>
      </c>
      <c r="N2608" s="50"/>
      <c r="O2608" s="50"/>
      <c r="P2608" s="50"/>
      <c r="Q2608" s="50"/>
      <c r="R2608" s="50"/>
      <c r="S2608" s="50" t="str">
        <f t="shared" ref="S2608:S2671" si="252">IF(
    OR(ISBLANK(I2608), ISBLANK(O2608)),
    "",
    MAX(1, IF(
        NETWORKDAYS(I2608, O2608) &lt;= 0,
        1,
        NETWORKDAYS(I2608, O2608) - IF(I2608 = O2608, 0, 1)
    ))
)</f>
        <v/>
      </c>
      <c r="T2608" s="50" t="str">
        <f t="shared" si="250"/>
        <v/>
      </c>
      <c r="U2608" s="50" t="str">
        <f t="shared" si="251"/>
        <v/>
      </c>
      <c r="V2608" s="50" t="str">
        <f t="shared" ref="V2608:V2671" si="253">IF(
    OR(ISBLANK(Q2608), ISBLANK(R2608)),
    "",
    MAX(1, IF(
        NETWORKDAYS(Q2608, R2608) &lt;= 0,
        1,
        NETWORKDAYS(Q2608, R2608) - IF(Q2608 = R2608, 0, 1)
    ))
)</f>
        <v/>
      </c>
      <c r="W2608" s="50"/>
      <c r="X2608" s="50"/>
      <c r="Y2608" s="50"/>
      <c r="Z2608" s="50"/>
      <c r="AA2608" s="50"/>
    </row>
    <row r="2609" spans="1:27" ht="25.5" customHeight="1">
      <c r="A2609" s="517" t="s">
        <v>779</v>
      </c>
      <c r="B2609" s="51" t="s">
        <v>1489</v>
      </c>
      <c r="C2609" s="51" t="s">
        <v>159</v>
      </c>
      <c r="D2609" s="51" t="s">
        <v>6076</v>
      </c>
      <c r="E2609" s="50">
        <v>2780</v>
      </c>
      <c r="F2609" s="50">
        <v>3232</v>
      </c>
      <c r="G2609" s="50" t="s">
        <v>3404</v>
      </c>
      <c r="H2609" s="50">
        <v>2025</v>
      </c>
      <c r="I2609" s="132">
        <v>45727</v>
      </c>
      <c r="J2609" s="50" t="s">
        <v>3416</v>
      </c>
      <c r="K2609" s="50" t="s">
        <v>37</v>
      </c>
      <c r="L2609" s="50"/>
      <c r="M2609" s="50" t="s">
        <v>328</v>
      </c>
      <c r="N2609" s="50" t="s">
        <v>6077</v>
      </c>
      <c r="O2609" s="60">
        <v>45732</v>
      </c>
      <c r="P2609" s="50"/>
      <c r="Q2609" s="60">
        <v>45733</v>
      </c>
      <c r="R2609" s="60">
        <v>45734</v>
      </c>
      <c r="S2609" s="50">
        <f t="shared" si="252"/>
        <v>3</v>
      </c>
      <c r="T2609" s="50" t="str">
        <f t="shared" si="250"/>
        <v/>
      </c>
      <c r="U2609" s="50">
        <f t="shared" si="251"/>
        <v>1</v>
      </c>
      <c r="V2609" s="50">
        <f t="shared" si="253"/>
        <v>1</v>
      </c>
      <c r="W2609" s="50" t="s">
        <v>150</v>
      </c>
      <c r="X2609" s="50" t="s">
        <v>1078</v>
      </c>
      <c r="Y2609" s="50" t="s">
        <v>50</v>
      </c>
      <c r="Z2609" s="50" t="s">
        <v>3406</v>
      </c>
      <c r="AA2609" s="50"/>
    </row>
    <row r="2610" spans="1:27" ht="25.5" customHeight="1">
      <c r="A2610" s="517" t="s">
        <v>779</v>
      </c>
      <c r="B2610" s="51" t="s">
        <v>1489</v>
      </c>
      <c r="C2610" s="51" t="s">
        <v>159</v>
      </c>
      <c r="D2610" s="51" t="s">
        <v>6078</v>
      </c>
      <c r="E2610" s="50">
        <v>1530</v>
      </c>
      <c r="F2610" s="50">
        <v>1627</v>
      </c>
      <c r="G2610" s="50" t="s">
        <v>3955</v>
      </c>
      <c r="H2610" s="50"/>
      <c r="I2610" s="105"/>
      <c r="J2610" s="50"/>
      <c r="K2610" s="50" t="s">
        <v>37</v>
      </c>
      <c r="L2610" s="50"/>
      <c r="M2610" s="50" t="s">
        <v>328</v>
      </c>
      <c r="N2610" s="50"/>
      <c r="O2610" s="50"/>
      <c r="P2610" s="50"/>
      <c r="Q2610" s="50"/>
      <c r="R2610" s="50"/>
      <c r="S2610" s="50" t="str">
        <f t="shared" si="252"/>
        <v/>
      </c>
      <c r="T2610" s="50" t="str">
        <f t="shared" si="250"/>
        <v/>
      </c>
      <c r="U2610" s="50" t="str">
        <f t="shared" si="251"/>
        <v/>
      </c>
      <c r="V2610" s="50" t="str">
        <f t="shared" si="253"/>
        <v/>
      </c>
      <c r="W2610" s="50"/>
      <c r="X2610" s="50"/>
      <c r="Y2610" s="50"/>
      <c r="Z2610" s="50"/>
      <c r="AA2610" s="50"/>
    </row>
    <row r="2611" spans="1:27" ht="25.5" customHeight="1">
      <c r="A2611" s="517" t="s">
        <v>779</v>
      </c>
      <c r="B2611" s="51" t="s">
        <v>1489</v>
      </c>
      <c r="C2611" s="51" t="s">
        <v>159</v>
      </c>
      <c r="D2611" s="51" t="s">
        <v>4969</v>
      </c>
      <c r="E2611" s="50">
        <v>2139</v>
      </c>
      <c r="F2611" s="50">
        <v>2401</v>
      </c>
      <c r="G2611" s="50" t="s">
        <v>3404</v>
      </c>
      <c r="H2611" s="50">
        <v>2025</v>
      </c>
      <c r="I2611" s="132">
        <v>45791</v>
      </c>
      <c r="J2611" s="50" t="s">
        <v>3532</v>
      </c>
      <c r="K2611" s="50" t="s">
        <v>37</v>
      </c>
      <c r="L2611" s="50"/>
      <c r="M2611" s="50" t="s">
        <v>328</v>
      </c>
      <c r="N2611" s="50" t="s">
        <v>6079</v>
      </c>
      <c r="O2611" s="60">
        <v>45793</v>
      </c>
      <c r="P2611" s="50"/>
      <c r="Q2611" s="60">
        <v>45796</v>
      </c>
      <c r="R2611" s="60">
        <v>45796</v>
      </c>
      <c r="S2611" s="50">
        <f t="shared" si="252"/>
        <v>2</v>
      </c>
      <c r="T2611" s="50" t="str">
        <f t="shared" si="250"/>
        <v/>
      </c>
      <c r="U2611" s="50">
        <f t="shared" si="251"/>
        <v>1</v>
      </c>
      <c r="V2611" s="50">
        <f t="shared" si="253"/>
        <v>1</v>
      </c>
      <c r="W2611" s="50" t="s">
        <v>150</v>
      </c>
      <c r="X2611" s="50" t="s">
        <v>3527</v>
      </c>
      <c r="Y2611" s="50" t="s">
        <v>3528</v>
      </c>
      <c r="Z2611" s="50" t="s">
        <v>3406</v>
      </c>
      <c r="AA2611" s="50"/>
    </row>
    <row r="2612" spans="1:27" ht="25.5" customHeight="1">
      <c r="A2612" s="517" t="s">
        <v>779</v>
      </c>
      <c r="B2612" s="51" t="s">
        <v>1489</v>
      </c>
      <c r="C2612" s="51" t="s">
        <v>159</v>
      </c>
      <c r="D2612" s="51" t="s">
        <v>6080</v>
      </c>
      <c r="E2612" s="50">
        <v>1594</v>
      </c>
      <c r="F2612" s="50">
        <v>1735</v>
      </c>
      <c r="G2612" s="50" t="s">
        <v>3404</v>
      </c>
      <c r="H2612" s="50">
        <v>2025</v>
      </c>
      <c r="I2612" s="132">
        <v>45791</v>
      </c>
      <c r="J2612" s="50" t="s">
        <v>3532</v>
      </c>
      <c r="K2612" s="50" t="s">
        <v>37</v>
      </c>
      <c r="L2612" s="50"/>
      <c r="M2612" s="50" t="s">
        <v>328</v>
      </c>
      <c r="N2612" s="50" t="s">
        <v>6081</v>
      </c>
      <c r="O2612" s="60">
        <v>45795</v>
      </c>
      <c r="P2612" s="50"/>
      <c r="Q2612" s="60">
        <v>45796</v>
      </c>
      <c r="R2612" s="60">
        <v>45796</v>
      </c>
      <c r="S2612" s="50">
        <f t="shared" si="252"/>
        <v>2</v>
      </c>
      <c r="T2612" s="50" t="str">
        <f t="shared" si="250"/>
        <v/>
      </c>
      <c r="U2612" s="50">
        <f t="shared" si="251"/>
        <v>1</v>
      </c>
      <c r="V2612" s="50">
        <f t="shared" si="253"/>
        <v>1</v>
      </c>
      <c r="W2612" s="50" t="s">
        <v>150</v>
      </c>
      <c r="X2612" s="50" t="s">
        <v>1078</v>
      </c>
      <c r="Y2612" s="50" t="s">
        <v>50</v>
      </c>
      <c r="Z2612" s="50" t="s">
        <v>3406</v>
      </c>
      <c r="AA2612" s="50"/>
    </row>
    <row r="2613" spans="1:27" ht="25.5" customHeight="1">
      <c r="A2613" s="517" t="s">
        <v>779</v>
      </c>
      <c r="B2613" s="51" t="s">
        <v>1489</v>
      </c>
      <c r="C2613" s="51" t="s">
        <v>159</v>
      </c>
      <c r="D2613" s="51" t="s">
        <v>5987</v>
      </c>
      <c r="E2613" s="50">
        <v>1620</v>
      </c>
      <c r="F2613" s="50">
        <v>1802</v>
      </c>
      <c r="G2613" s="50" t="s">
        <v>3955</v>
      </c>
      <c r="H2613" s="50"/>
      <c r="I2613" s="105"/>
      <c r="J2613" s="50"/>
      <c r="K2613" s="50" t="s">
        <v>37</v>
      </c>
      <c r="L2613" s="50"/>
      <c r="M2613" s="50" t="s">
        <v>328</v>
      </c>
      <c r="N2613" s="50"/>
      <c r="O2613" s="50"/>
      <c r="P2613" s="50"/>
      <c r="Q2613" s="50"/>
      <c r="R2613" s="50"/>
      <c r="S2613" s="50" t="str">
        <f t="shared" si="252"/>
        <v/>
      </c>
      <c r="T2613" s="50" t="str">
        <f t="shared" si="250"/>
        <v/>
      </c>
      <c r="U2613" s="50" t="str">
        <f t="shared" si="251"/>
        <v/>
      </c>
      <c r="V2613" s="50" t="str">
        <f t="shared" si="253"/>
        <v/>
      </c>
      <c r="W2613" s="50"/>
      <c r="X2613" s="50"/>
      <c r="Y2613" s="50"/>
      <c r="Z2613" s="50"/>
      <c r="AA2613" s="50"/>
    </row>
    <row r="2614" spans="1:27" ht="25.5" customHeight="1">
      <c r="A2614" s="517" t="s">
        <v>779</v>
      </c>
      <c r="B2614" s="51" t="s">
        <v>1489</v>
      </c>
      <c r="C2614" s="51" t="s">
        <v>159</v>
      </c>
      <c r="D2614" s="51" t="s">
        <v>5988</v>
      </c>
      <c r="E2614" s="50">
        <v>1759</v>
      </c>
      <c r="F2614" s="50">
        <v>1786</v>
      </c>
      <c r="G2614" s="50" t="s">
        <v>3404</v>
      </c>
      <c r="H2614" s="50">
        <v>2025</v>
      </c>
      <c r="I2614" s="132">
        <v>45730</v>
      </c>
      <c r="J2614" s="50" t="s">
        <v>3416</v>
      </c>
      <c r="K2614" s="50" t="s">
        <v>37</v>
      </c>
      <c r="L2614" s="50"/>
      <c r="M2614" s="50" t="s">
        <v>328</v>
      </c>
      <c r="N2614" s="50" t="s">
        <v>6082</v>
      </c>
      <c r="O2614" s="60">
        <v>45734</v>
      </c>
      <c r="P2614" s="50"/>
      <c r="Q2614" s="60">
        <v>45735</v>
      </c>
      <c r="R2614" s="60">
        <v>45735</v>
      </c>
      <c r="S2614" s="50">
        <f t="shared" si="252"/>
        <v>2</v>
      </c>
      <c r="T2614" s="50" t="str">
        <f t="shared" si="250"/>
        <v/>
      </c>
      <c r="U2614" s="50">
        <f t="shared" si="251"/>
        <v>1</v>
      </c>
      <c r="V2614" s="50">
        <f t="shared" si="253"/>
        <v>1</v>
      </c>
      <c r="W2614" s="50" t="s">
        <v>150</v>
      </c>
      <c r="X2614" s="50" t="s">
        <v>1078</v>
      </c>
      <c r="Y2614" s="50" t="s">
        <v>50</v>
      </c>
      <c r="Z2614" s="50" t="s">
        <v>3406</v>
      </c>
      <c r="AA2614" s="50"/>
    </row>
    <row r="2615" spans="1:27" ht="25.5" customHeight="1">
      <c r="A2615" s="517" t="s">
        <v>779</v>
      </c>
      <c r="B2615" s="51" t="s">
        <v>1489</v>
      </c>
      <c r="C2615" s="51" t="s">
        <v>159</v>
      </c>
      <c r="D2615" s="51" t="s">
        <v>5989</v>
      </c>
      <c r="E2615" s="50">
        <v>938</v>
      </c>
      <c r="F2615" s="50">
        <v>1023</v>
      </c>
      <c r="G2615" s="50" t="s">
        <v>3404</v>
      </c>
      <c r="H2615" s="50">
        <v>2025</v>
      </c>
      <c r="I2615" s="132">
        <v>45758</v>
      </c>
      <c r="J2615" s="50" t="s">
        <v>3470</v>
      </c>
      <c r="K2615" s="50" t="s">
        <v>37</v>
      </c>
      <c r="L2615" s="50"/>
      <c r="M2615" s="50" t="s">
        <v>328</v>
      </c>
      <c r="N2615" s="50" t="s">
        <v>6083</v>
      </c>
      <c r="O2615" s="60">
        <v>45758</v>
      </c>
      <c r="P2615" s="50"/>
      <c r="Q2615" s="60">
        <v>45761</v>
      </c>
      <c r="R2615" s="60">
        <v>45761</v>
      </c>
      <c r="S2615" s="50">
        <f t="shared" si="252"/>
        <v>1</v>
      </c>
      <c r="T2615" s="50" t="str">
        <f t="shared" si="250"/>
        <v/>
      </c>
      <c r="U2615" s="50">
        <f t="shared" si="251"/>
        <v>1</v>
      </c>
      <c r="V2615" s="50">
        <f t="shared" si="253"/>
        <v>1</v>
      </c>
      <c r="W2615" s="50" t="s">
        <v>150</v>
      </c>
      <c r="X2615" s="50" t="s">
        <v>1078</v>
      </c>
      <c r="Y2615" s="50" t="s">
        <v>50</v>
      </c>
      <c r="Z2615" s="50" t="s">
        <v>3406</v>
      </c>
      <c r="AA2615" s="50"/>
    </row>
    <row r="2616" spans="1:27" s="110" customFormat="1" ht="25.5" customHeight="1">
      <c r="A2616" s="517" t="s">
        <v>779</v>
      </c>
      <c r="B2616" s="51" t="s">
        <v>1489</v>
      </c>
      <c r="C2616" s="51" t="s">
        <v>159</v>
      </c>
      <c r="D2616" s="51" t="s">
        <v>6084</v>
      </c>
      <c r="E2616" s="50">
        <v>1024</v>
      </c>
      <c r="F2616" s="50">
        <v>1016</v>
      </c>
      <c r="G2616" s="50" t="s">
        <v>3404</v>
      </c>
      <c r="H2616" s="50">
        <v>2025</v>
      </c>
      <c r="I2616" s="132">
        <v>45758</v>
      </c>
      <c r="J2616" s="50" t="s">
        <v>3470</v>
      </c>
      <c r="K2616" s="50" t="s">
        <v>37</v>
      </c>
      <c r="L2616" s="50"/>
      <c r="M2616" s="50" t="s">
        <v>328</v>
      </c>
      <c r="N2616" s="50" t="s">
        <v>6085</v>
      </c>
      <c r="O2616" s="60">
        <v>45758</v>
      </c>
      <c r="P2616" s="50"/>
      <c r="Q2616" s="60">
        <v>45761</v>
      </c>
      <c r="R2616" s="60">
        <v>45761</v>
      </c>
      <c r="S2616" s="50">
        <f t="shared" si="252"/>
        <v>1</v>
      </c>
      <c r="T2616" s="50" t="str">
        <f t="shared" si="250"/>
        <v/>
      </c>
      <c r="U2616" s="50">
        <f t="shared" si="251"/>
        <v>1</v>
      </c>
      <c r="V2616" s="50">
        <f t="shared" si="253"/>
        <v>1</v>
      </c>
      <c r="W2616" s="50" t="s">
        <v>150</v>
      </c>
      <c r="X2616" s="50" t="s">
        <v>3527</v>
      </c>
      <c r="Y2616" s="50" t="s">
        <v>3528</v>
      </c>
      <c r="Z2616" s="50" t="s">
        <v>3406</v>
      </c>
      <c r="AA2616" s="50"/>
    </row>
    <row r="2617" spans="1:27" ht="25.5" customHeight="1">
      <c r="A2617" s="50" t="s">
        <v>779</v>
      </c>
      <c r="B2617" s="51" t="s">
        <v>1489</v>
      </c>
      <c r="C2617" s="51" t="s">
        <v>159</v>
      </c>
      <c r="D2617" s="51" t="s">
        <v>1299</v>
      </c>
      <c r="E2617" s="50">
        <v>1346</v>
      </c>
      <c r="F2617" s="50">
        <v>1456</v>
      </c>
      <c r="G2617" s="50" t="s">
        <v>3404</v>
      </c>
      <c r="H2617" s="50">
        <v>2024</v>
      </c>
      <c r="I2617" s="132">
        <v>45567</v>
      </c>
      <c r="J2617" s="50"/>
      <c r="K2617" s="50" t="s">
        <v>37</v>
      </c>
      <c r="L2617" s="50"/>
      <c r="M2617" s="50" t="s">
        <v>328</v>
      </c>
      <c r="N2617" s="50"/>
      <c r="O2617" s="50"/>
      <c r="P2617" s="50"/>
      <c r="Q2617" s="50"/>
      <c r="R2617" s="50"/>
      <c r="S2617" s="50" t="str">
        <f t="shared" si="252"/>
        <v/>
      </c>
      <c r="T2617" s="50" t="str">
        <f t="shared" si="250"/>
        <v/>
      </c>
      <c r="U2617" s="50" t="str">
        <f t="shared" si="251"/>
        <v/>
      </c>
      <c r="V2617" s="50" t="str">
        <f t="shared" si="253"/>
        <v/>
      </c>
      <c r="W2617" s="50"/>
      <c r="X2617" s="50" t="s">
        <v>1078</v>
      </c>
      <c r="Y2617" s="50" t="s">
        <v>50</v>
      </c>
      <c r="Z2617" s="50" t="s">
        <v>3406</v>
      </c>
      <c r="AA2617" s="50"/>
    </row>
    <row r="2618" spans="1:27" ht="25.5" customHeight="1">
      <c r="A2618" s="517" t="s">
        <v>779</v>
      </c>
      <c r="B2618" s="51" t="s">
        <v>1489</v>
      </c>
      <c r="C2618" s="51" t="s">
        <v>159</v>
      </c>
      <c r="D2618" s="51" t="s">
        <v>918</v>
      </c>
      <c r="E2618" s="50">
        <v>1988</v>
      </c>
      <c r="F2618" s="50">
        <v>2252</v>
      </c>
      <c r="G2618" s="50" t="s">
        <v>3955</v>
      </c>
      <c r="H2618" s="50"/>
      <c r="I2618" s="105"/>
      <c r="J2618" s="50"/>
      <c r="K2618" s="50" t="s">
        <v>37</v>
      </c>
      <c r="L2618" s="50"/>
      <c r="M2618" s="50" t="s">
        <v>328</v>
      </c>
      <c r="N2618" s="50"/>
      <c r="O2618" s="50"/>
      <c r="P2618" s="50"/>
      <c r="Q2618" s="50"/>
      <c r="R2618" s="50"/>
      <c r="S2618" s="50" t="str">
        <f t="shared" si="252"/>
        <v/>
      </c>
      <c r="T2618" s="50" t="str">
        <f t="shared" si="250"/>
        <v/>
      </c>
      <c r="U2618" s="50" t="str">
        <f t="shared" si="251"/>
        <v/>
      </c>
      <c r="V2618" s="50" t="str">
        <f t="shared" si="253"/>
        <v/>
      </c>
      <c r="W2618" s="50"/>
      <c r="X2618" s="50"/>
      <c r="Y2618" s="50"/>
      <c r="Z2618" s="50"/>
      <c r="AA2618" s="50"/>
    </row>
    <row r="2619" spans="1:27" s="110" customFormat="1" ht="25.5" customHeight="1">
      <c r="A2619" s="517" t="s">
        <v>779</v>
      </c>
      <c r="B2619" s="51" t="s">
        <v>1489</v>
      </c>
      <c r="C2619" s="51" t="s">
        <v>159</v>
      </c>
      <c r="D2619" s="51" t="s">
        <v>6086</v>
      </c>
      <c r="E2619" s="50">
        <v>2691</v>
      </c>
      <c r="F2619" s="50">
        <v>2975</v>
      </c>
      <c r="G2619" s="50" t="s">
        <v>3404</v>
      </c>
      <c r="H2619" s="50">
        <v>2025</v>
      </c>
      <c r="I2619" s="132">
        <v>45884</v>
      </c>
      <c r="J2619" s="50" t="s">
        <v>3126</v>
      </c>
      <c r="K2619" s="50" t="s">
        <v>37</v>
      </c>
      <c r="L2619" s="50"/>
      <c r="M2619" s="50" t="s">
        <v>328</v>
      </c>
      <c r="N2619" s="50" t="s">
        <v>6087</v>
      </c>
      <c r="O2619" s="60">
        <v>45884</v>
      </c>
      <c r="P2619" s="50"/>
      <c r="Q2619" s="60">
        <v>45887</v>
      </c>
      <c r="R2619" s="60">
        <v>45888</v>
      </c>
      <c r="S2619" s="50">
        <f t="shared" si="252"/>
        <v>1</v>
      </c>
      <c r="T2619" s="50" t="str">
        <f t="shared" si="250"/>
        <v/>
      </c>
      <c r="U2619" s="50">
        <f t="shared" si="251"/>
        <v>1</v>
      </c>
      <c r="V2619" s="50">
        <f t="shared" si="253"/>
        <v>1</v>
      </c>
      <c r="W2619" s="50" t="s">
        <v>150</v>
      </c>
      <c r="X2619" s="50" t="s">
        <v>1078</v>
      </c>
      <c r="Y2619" s="50" t="s">
        <v>50</v>
      </c>
      <c r="Z2619" s="50" t="s">
        <v>3406</v>
      </c>
      <c r="AA2619" s="50"/>
    </row>
    <row r="2620" spans="1:27" ht="25.5" customHeight="1">
      <c r="A2620" s="50" t="s">
        <v>779</v>
      </c>
      <c r="B2620" s="51" t="s">
        <v>1489</v>
      </c>
      <c r="C2620" s="51" t="s">
        <v>159</v>
      </c>
      <c r="D2620" s="51" t="s">
        <v>6088</v>
      </c>
      <c r="E2620" s="50">
        <v>1191</v>
      </c>
      <c r="F2620" s="50">
        <v>1402</v>
      </c>
      <c r="G2620" s="50" t="s">
        <v>3404</v>
      </c>
      <c r="H2620" s="50">
        <v>2024</v>
      </c>
      <c r="I2620" s="132">
        <v>45567</v>
      </c>
      <c r="J2620" s="50"/>
      <c r="K2620" s="50" t="s">
        <v>37</v>
      </c>
      <c r="L2620" s="50"/>
      <c r="M2620" s="50" t="s">
        <v>328</v>
      </c>
      <c r="N2620" s="50"/>
      <c r="O2620" s="50"/>
      <c r="P2620" s="50"/>
      <c r="Q2620" s="50"/>
      <c r="R2620" s="50"/>
      <c r="S2620" s="50" t="str">
        <f t="shared" si="252"/>
        <v/>
      </c>
      <c r="T2620" s="50" t="str">
        <f t="shared" si="250"/>
        <v/>
      </c>
      <c r="U2620" s="50" t="str">
        <f t="shared" si="251"/>
        <v/>
      </c>
      <c r="V2620" s="50" t="str">
        <f t="shared" si="253"/>
        <v/>
      </c>
      <c r="W2620" s="50"/>
      <c r="X2620" s="50" t="s">
        <v>4</v>
      </c>
      <c r="Y2620" s="50" t="s">
        <v>50</v>
      </c>
      <c r="Z2620" s="50" t="s">
        <v>3406</v>
      </c>
      <c r="AA2620" s="50"/>
    </row>
    <row r="2621" spans="1:27" ht="25.5" customHeight="1">
      <c r="A2621" s="50" t="s">
        <v>779</v>
      </c>
      <c r="B2621" s="51" t="s">
        <v>1489</v>
      </c>
      <c r="C2621" s="51" t="s">
        <v>159</v>
      </c>
      <c r="D2621" s="51" t="s">
        <v>1253</v>
      </c>
      <c r="E2621" s="50">
        <v>797</v>
      </c>
      <c r="F2621" s="50">
        <v>900</v>
      </c>
      <c r="G2621" s="50" t="s">
        <v>3404</v>
      </c>
      <c r="H2621" s="50">
        <v>2024</v>
      </c>
      <c r="I2621" s="132">
        <v>45567</v>
      </c>
      <c r="J2621" s="50"/>
      <c r="K2621" s="50" t="s">
        <v>37</v>
      </c>
      <c r="L2621" s="50"/>
      <c r="M2621" s="50" t="s">
        <v>328</v>
      </c>
      <c r="N2621" s="50"/>
      <c r="O2621" s="50"/>
      <c r="P2621" s="50"/>
      <c r="Q2621" s="50"/>
      <c r="R2621" s="50"/>
      <c r="S2621" s="50" t="str">
        <f t="shared" si="252"/>
        <v/>
      </c>
      <c r="T2621" s="50" t="str">
        <f t="shared" si="250"/>
        <v/>
      </c>
      <c r="U2621" s="50" t="str">
        <f t="shared" si="251"/>
        <v/>
      </c>
      <c r="V2621" s="50" t="str">
        <f t="shared" si="253"/>
        <v/>
      </c>
      <c r="W2621" s="50"/>
      <c r="X2621" s="50" t="s">
        <v>4</v>
      </c>
      <c r="Y2621" s="50" t="s">
        <v>50</v>
      </c>
      <c r="Z2621" s="50" t="s">
        <v>3406</v>
      </c>
      <c r="AA2621" s="50"/>
    </row>
    <row r="2622" spans="1:27" ht="25.5" customHeight="1">
      <c r="A2622" s="517" t="s">
        <v>779</v>
      </c>
      <c r="B2622" s="51" t="s">
        <v>1489</v>
      </c>
      <c r="C2622" s="51" t="s">
        <v>159</v>
      </c>
      <c r="D2622" s="51" t="s">
        <v>3974</v>
      </c>
      <c r="E2622" s="50">
        <v>1176</v>
      </c>
      <c r="F2622" s="50">
        <v>1254</v>
      </c>
      <c r="G2622" s="50" t="s">
        <v>3955</v>
      </c>
      <c r="H2622" s="50"/>
      <c r="I2622" s="105"/>
      <c r="J2622" s="50"/>
      <c r="K2622" s="50" t="s">
        <v>37</v>
      </c>
      <c r="L2622" s="50"/>
      <c r="M2622" s="50" t="s">
        <v>328</v>
      </c>
      <c r="N2622" s="50"/>
      <c r="O2622" s="50"/>
      <c r="P2622" s="50"/>
      <c r="Q2622" s="50"/>
      <c r="R2622" s="50"/>
      <c r="S2622" s="50" t="str">
        <f t="shared" si="252"/>
        <v/>
      </c>
      <c r="T2622" s="50" t="str">
        <f t="shared" si="250"/>
        <v/>
      </c>
      <c r="U2622" s="50" t="str">
        <f t="shared" si="251"/>
        <v/>
      </c>
      <c r="V2622" s="50" t="str">
        <f t="shared" si="253"/>
        <v/>
      </c>
      <c r="W2622" s="50"/>
      <c r="X2622" s="50"/>
      <c r="Y2622" s="50"/>
      <c r="Z2622" s="50"/>
      <c r="AA2622" s="50"/>
    </row>
    <row r="2623" spans="1:27" s="110" customFormat="1" ht="25.5" customHeight="1">
      <c r="A2623" s="517" t="s">
        <v>779</v>
      </c>
      <c r="B2623" s="51" t="s">
        <v>1489</v>
      </c>
      <c r="C2623" s="51" t="s">
        <v>159</v>
      </c>
      <c r="D2623" s="51" t="s">
        <v>6089</v>
      </c>
      <c r="E2623" s="50">
        <v>1163</v>
      </c>
      <c r="F2623" s="50">
        <v>1151</v>
      </c>
      <c r="G2623" s="50" t="s">
        <v>3955</v>
      </c>
      <c r="H2623" s="50"/>
      <c r="I2623" s="105"/>
      <c r="J2623" s="50"/>
      <c r="K2623" s="50" t="s">
        <v>37</v>
      </c>
      <c r="L2623" s="50"/>
      <c r="M2623" s="50" t="s">
        <v>328</v>
      </c>
      <c r="N2623" s="50"/>
      <c r="O2623" s="50"/>
      <c r="P2623" s="50"/>
      <c r="Q2623" s="50"/>
      <c r="R2623" s="50"/>
      <c r="S2623" s="50" t="str">
        <f t="shared" si="252"/>
        <v/>
      </c>
      <c r="T2623" s="50" t="str">
        <f t="shared" si="250"/>
        <v/>
      </c>
      <c r="U2623" s="50" t="str">
        <f t="shared" si="251"/>
        <v/>
      </c>
      <c r="V2623" s="50" t="str">
        <f t="shared" si="253"/>
        <v/>
      </c>
      <c r="W2623" s="50"/>
      <c r="X2623" s="50"/>
      <c r="Y2623" s="50"/>
      <c r="Z2623" s="50"/>
      <c r="AA2623" s="50"/>
    </row>
    <row r="2624" spans="1:27" ht="25.5" customHeight="1">
      <c r="A2624" s="50" t="s">
        <v>779</v>
      </c>
      <c r="B2624" s="51" t="s">
        <v>1489</v>
      </c>
      <c r="C2624" s="51" t="s">
        <v>159</v>
      </c>
      <c r="D2624" s="51" t="s">
        <v>6090</v>
      </c>
      <c r="E2624" s="50">
        <v>979</v>
      </c>
      <c r="F2624" s="50">
        <v>1058</v>
      </c>
      <c r="G2624" s="50" t="s">
        <v>3404</v>
      </c>
      <c r="H2624" s="50">
        <v>2024</v>
      </c>
      <c r="I2624" s="132">
        <v>45448</v>
      </c>
      <c r="J2624" s="50"/>
      <c r="K2624" s="50" t="s">
        <v>37</v>
      </c>
      <c r="L2624" s="50"/>
      <c r="M2624" s="50" t="s">
        <v>328</v>
      </c>
      <c r="N2624" s="50"/>
      <c r="O2624" s="50"/>
      <c r="P2624" s="50"/>
      <c r="Q2624" s="50"/>
      <c r="R2624" s="50"/>
      <c r="S2624" s="50" t="str">
        <f t="shared" si="252"/>
        <v/>
      </c>
      <c r="T2624" s="50" t="str">
        <f t="shared" si="250"/>
        <v/>
      </c>
      <c r="U2624" s="50" t="str">
        <f t="shared" si="251"/>
        <v/>
      </c>
      <c r="V2624" s="50" t="str">
        <f t="shared" si="253"/>
        <v/>
      </c>
      <c r="W2624" s="50"/>
      <c r="X2624" s="50"/>
      <c r="Y2624" s="50"/>
      <c r="Z2624" s="50" t="s">
        <v>3406</v>
      </c>
      <c r="AA2624" s="50"/>
    </row>
    <row r="2625" spans="1:27" s="110" customFormat="1" ht="25.5" customHeight="1">
      <c r="A2625" s="517" t="s">
        <v>779</v>
      </c>
      <c r="B2625" s="51" t="s">
        <v>1489</v>
      </c>
      <c r="C2625" s="51" t="s">
        <v>159</v>
      </c>
      <c r="D2625" s="51" t="s">
        <v>4950</v>
      </c>
      <c r="E2625" s="50">
        <v>2029</v>
      </c>
      <c r="F2625" s="50">
        <v>2236</v>
      </c>
      <c r="G2625" s="50" t="s">
        <v>3404</v>
      </c>
      <c r="H2625" s="50">
        <v>2025</v>
      </c>
      <c r="I2625" s="132">
        <v>45884</v>
      </c>
      <c r="J2625" s="50" t="s">
        <v>3126</v>
      </c>
      <c r="K2625" s="50" t="s">
        <v>37</v>
      </c>
      <c r="L2625" s="50"/>
      <c r="M2625" s="50" t="s">
        <v>328</v>
      </c>
      <c r="N2625" s="50" t="s">
        <v>6091</v>
      </c>
      <c r="O2625" s="60">
        <v>45885</v>
      </c>
      <c r="P2625" s="50"/>
      <c r="Q2625" s="60">
        <v>45887</v>
      </c>
      <c r="R2625" s="60">
        <v>45888</v>
      </c>
      <c r="S2625" s="50">
        <f t="shared" si="252"/>
        <v>1</v>
      </c>
      <c r="T2625" s="50" t="str">
        <f t="shared" si="250"/>
        <v/>
      </c>
      <c r="U2625" s="50">
        <f t="shared" si="251"/>
        <v>1</v>
      </c>
      <c r="V2625" s="50">
        <f t="shared" si="253"/>
        <v>1</v>
      </c>
      <c r="W2625" s="50" t="s">
        <v>150</v>
      </c>
      <c r="X2625" s="50" t="s">
        <v>3527</v>
      </c>
      <c r="Y2625" s="50" t="s">
        <v>3528</v>
      </c>
      <c r="Z2625" s="50" t="s">
        <v>3406</v>
      </c>
      <c r="AA2625" s="50"/>
    </row>
    <row r="2626" spans="1:27" ht="25.5" customHeight="1">
      <c r="A2626" s="50" t="s">
        <v>779</v>
      </c>
      <c r="B2626" s="51" t="s">
        <v>1489</v>
      </c>
      <c r="C2626" s="51" t="s">
        <v>159</v>
      </c>
      <c r="D2626" s="51" t="s">
        <v>1424</v>
      </c>
      <c r="E2626" s="50">
        <v>1674</v>
      </c>
      <c r="F2626" s="50">
        <v>1769</v>
      </c>
      <c r="G2626" s="50" t="s">
        <v>3404</v>
      </c>
      <c r="H2626" s="50">
        <v>2024</v>
      </c>
      <c r="I2626" s="132">
        <v>45567</v>
      </c>
      <c r="J2626" s="50"/>
      <c r="K2626" s="50" t="s">
        <v>37</v>
      </c>
      <c r="L2626" s="50"/>
      <c r="M2626" s="50" t="s">
        <v>328</v>
      </c>
      <c r="N2626" s="50"/>
      <c r="O2626" s="50"/>
      <c r="P2626" s="50"/>
      <c r="Q2626" s="50"/>
      <c r="R2626" s="50"/>
      <c r="S2626" s="50" t="str">
        <f t="shared" si="252"/>
        <v/>
      </c>
      <c r="T2626" s="50" t="str">
        <f t="shared" si="250"/>
        <v/>
      </c>
      <c r="U2626" s="50" t="str">
        <f t="shared" si="251"/>
        <v/>
      </c>
      <c r="V2626" s="50" t="str">
        <f t="shared" si="253"/>
        <v/>
      </c>
      <c r="W2626" s="50"/>
      <c r="X2626" s="50" t="s">
        <v>4</v>
      </c>
      <c r="Y2626" s="50" t="s">
        <v>50</v>
      </c>
      <c r="Z2626" s="50" t="s">
        <v>3406</v>
      </c>
      <c r="AA2626" s="50"/>
    </row>
    <row r="2627" spans="1:27" ht="25.5" customHeight="1">
      <c r="A2627" s="517" t="s">
        <v>779</v>
      </c>
      <c r="B2627" s="51" t="s">
        <v>1489</v>
      </c>
      <c r="C2627" s="51" t="s">
        <v>159</v>
      </c>
      <c r="D2627" s="51" t="s">
        <v>6092</v>
      </c>
      <c r="E2627" s="50">
        <v>889</v>
      </c>
      <c r="F2627" s="50">
        <v>945</v>
      </c>
      <c r="G2627" s="50" t="s">
        <v>3955</v>
      </c>
      <c r="H2627" s="50"/>
      <c r="I2627" s="105"/>
      <c r="J2627" s="50"/>
      <c r="K2627" s="50" t="s">
        <v>37</v>
      </c>
      <c r="L2627" s="50"/>
      <c r="M2627" s="50" t="s">
        <v>328</v>
      </c>
      <c r="N2627" s="50"/>
      <c r="O2627" s="50"/>
      <c r="P2627" s="50"/>
      <c r="Q2627" s="50"/>
      <c r="R2627" s="50"/>
      <c r="S2627" s="50" t="str">
        <f t="shared" si="252"/>
        <v/>
      </c>
      <c r="T2627" s="50" t="str">
        <f t="shared" si="250"/>
        <v/>
      </c>
      <c r="U2627" s="50" t="str">
        <f t="shared" si="251"/>
        <v/>
      </c>
      <c r="V2627" s="50" t="str">
        <f t="shared" si="253"/>
        <v/>
      </c>
      <c r="W2627" s="50"/>
      <c r="X2627" s="50"/>
      <c r="Y2627" s="50"/>
      <c r="Z2627" s="50"/>
      <c r="AA2627" s="50"/>
    </row>
    <row r="2628" spans="1:27" ht="25.5" customHeight="1">
      <c r="A2628" s="517" t="s">
        <v>779</v>
      </c>
      <c r="B2628" s="51" t="s">
        <v>1489</v>
      </c>
      <c r="C2628" s="51" t="s">
        <v>159</v>
      </c>
      <c r="D2628" s="51" t="s">
        <v>6093</v>
      </c>
      <c r="E2628" s="50">
        <v>1300</v>
      </c>
      <c r="F2628" s="50">
        <v>1557</v>
      </c>
      <c r="G2628" s="50" t="s">
        <v>3955</v>
      </c>
      <c r="H2628" s="50"/>
      <c r="I2628" s="105"/>
      <c r="J2628" s="50"/>
      <c r="K2628" s="50" t="s">
        <v>37</v>
      </c>
      <c r="L2628" s="50"/>
      <c r="M2628" s="50" t="s">
        <v>328</v>
      </c>
      <c r="N2628" s="50"/>
      <c r="O2628" s="50"/>
      <c r="P2628" s="50"/>
      <c r="Q2628" s="50"/>
      <c r="R2628" s="50"/>
      <c r="S2628" s="50" t="str">
        <f t="shared" si="252"/>
        <v/>
      </c>
      <c r="T2628" s="50" t="str">
        <f t="shared" si="250"/>
        <v/>
      </c>
      <c r="U2628" s="50" t="str">
        <f t="shared" si="251"/>
        <v/>
      </c>
      <c r="V2628" s="50" t="str">
        <f t="shared" si="253"/>
        <v/>
      </c>
      <c r="W2628" s="50"/>
      <c r="X2628" s="50"/>
      <c r="Y2628" s="50"/>
      <c r="Z2628" s="50"/>
      <c r="AA2628" s="50"/>
    </row>
    <row r="2629" spans="1:27" ht="25.5" customHeight="1">
      <c r="A2629" s="517" t="s">
        <v>779</v>
      </c>
      <c r="B2629" s="51" t="s">
        <v>1489</v>
      </c>
      <c r="C2629" s="51" t="s">
        <v>159</v>
      </c>
      <c r="D2629" s="51" t="s">
        <v>6094</v>
      </c>
      <c r="E2629" s="50">
        <v>668</v>
      </c>
      <c r="F2629" s="50">
        <v>861</v>
      </c>
      <c r="G2629" s="50" t="s">
        <v>3955</v>
      </c>
      <c r="H2629" s="50"/>
      <c r="I2629" s="105"/>
      <c r="J2629" s="50"/>
      <c r="K2629" s="50" t="s">
        <v>37</v>
      </c>
      <c r="L2629" s="50"/>
      <c r="M2629" s="50" t="s">
        <v>328</v>
      </c>
      <c r="N2629" s="50"/>
      <c r="O2629" s="50"/>
      <c r="P2629" s="50"/>
      <c r="Q2629" s="50"/>
      <c r="R2629" s="50"/>
      <c r="S2629" s="50" t="str">
        <f t="shared" si="252"/>
        <v/>
      </c>
      <c r="T2629" s="50" t="str">
        <f t="shared" si="250"/>
        <v/>
      </c>
      <c r="U2629" s="50" t="str">
        <f t="shared" si="251"/>
        <v/>
      </c>
      <c r="V2629" s="50" t="str">
        <f t="shared" si="253"/>
        <v/>
      </c>
      <c r="W2629" s="50"/>
      <c r="X2629" s="50"/>
      <c r="Y2629" s="50"/>
      <c r="Z2629" s="50"/>
      <c r="AA2629" s="50"/>
    </row>
    <row r="2630" spans="1:27" ht="25.5" customHeight="1">
      <c r="A2630" s="517" t="s">
        <v>779</v>
      </c>
      <c r="B2630" s="51" t="s">
        <v>1489</v>
      </c>
      <c r="C2630" s="51" t="s">
        <v>159</v>
      </c>
      <c r="D2630" s="51" t="s">
        <v>6095</v>
      </c>
      <c r="E2630" s="50">
        <v>2233</v>
      </c>
      <c r="F2630" s="50">
        <v>2680</v>
      </c>
      <c r="G2630" s="50" t="s">
        <v>3404</v>
      </c>
      <c r="H2630" s="50">
        <v>2025</v>
      </c>
      <c r="I2630" s="132">
        <v>45917</v>
      </c>
      <c r="J2630" s="50" t="s">
        <v>3128</v>
      </c>
      <c r="K2630" s="50" t="s">
        <v>37</v>
      </c>
      <c r="L2630" s="50"/>
      <c r="M2630" s="50" t="s">
        <v>28</v>
      </c>
      <c r="N2630" s="50" t="s">
        <v>6096</v>
      </c>
      <c r="O2630" s="60">
        <v>45918</v>
      </c>
      <c r="P2630" s="50"/>
      <c r="Q2630" s="60">
        <v>45933</v>
      </c>
      <c r="R2630" s="60">
        <v>45944</v>
      </c>
      <c r="S2630" s="50">
        <f t="shared" si="252"/>
        <v>1</v>
      </c>
      <c r="T2630" s="50" t="str">
        <f t="shared" si="250"/>
        <v/>
      </c>
      <c r="U2630" s="50">
        <f t="shared" si="251"/>
        <v>11</v>
      </c>
      <c r="V2630" s="50">
        <f t="shared" si="253"/>
        <v>7</v>
      </c>
      <c r="W2630" s="50" t="s">
        <v>150</v>
      </c>
      <c r="X2630" s="50" t="s">
        <v>1078</v>
      </c>
      <c r="Y2630" s="50" t="s">
        <v>50</v>
      </c>
      <c r="Z2630" s="50" t="s">
        <v>3406</v>
      </c>
      <c r="AA2630" s="50"/>
    </row>
    <row r="2631" spans="1:27" ht="25.5" customHeight="1">
      <c r="A2631" s="517" t="s">
        <v>779</v>
      </c>
      <c r="B2631" s="51" t="s">
        <v>1493</v>
      </c>
      <c r="C2631" s="51" t="s">
        <v>159</v>
      </c>
      <c r="D2631" s="51" t="s">
        <v>6097</v>
      </c>
      <c r="E2631" s="50">
        <v>4828</v>
      </c>
      <c r="F2631" s="50">
        <v>4612</v>
      </c>
      <c r="G2631" s="50" t="s">
        <v>3404</v>
      </c>
      <c r="H2631" s="50">
        <v>2025</v>
      </c>
      <c r="I2631" s="132">
        <v>45693</v>
      </c>
      <c r="J2631" s="50" t="s">
        <v>3458</v>
      </c>
      <c r="K2631" s="50" t="s">
        <v>37</v>
      </c>
      <c r="L2631" s="50"/>
      <c r="M2631" s="50" t="s">
        <v>328</v>
      </c>
      <c r="N2631" s="50" t="s">
        <v>6098</v>
      </c>
      <c r="O2631" s="60">
        <v>45695</v>
      </c>
      <c r="P2631" s="50"/>
      <c r="Q2631" s="60">
        <v>45695</v>
      </c>
      <c r="R2631" s="60">
        <v>45701</v>
      </c>
      <c r="S2631" s="50">
        <f t="shared" si="252"/>
        <v>2</v>
      </c>
      <c r="T2631" s="50" t="str">
        <f t="shared" si="250"/>
        <v/>
      </c>
      <c r="U2631" s="50">
        <f t="shared" si="251"/>
        <v>1</v>
      </c>
      <c r="V2631" s="50">
        <f t="shared" si="253"/>
        <v>4</v>
      </c>
      <c r="W2631" s="50" t="s">
        <v>150</v>
      </c>
      <c r="X2631" s="50" t="s">
        <v>4</v>
      </c>
      <c r="Y2631" s="50" t="s">
        <v>50</v>
      </c>
      <c r="Z2631" s="50" t="s">
        <v>3406</v>
      </c>
      <c r="AA2631" s="50"/>
    </row>
    <row r="2632" spans="1:27" ht="25.5" customHeight="1">
      <c r="A2632" s="517" t="s">
        <v>779</v>
      </c>
      <c r="B2632" s="51" t="s">
        <v>1493</v>
      </c>
      <c r="C2632" s="51" t="s">
        <v>159</v>
      </c>
      <c r="D2632" s="51" t="s">
        <v>6099</v>
      </c>
      <c r="E2632" s="50">
        <v>2049</v>
      </c>
      <c r="F2632" s="50">
        <v>2672</v>
      </c>
      <c r="G2632" s="50" t="s">
        <v>3404</v>
      </c>
      <c r="H2632" s="50">
        <v>2025</v>
      </c>
      <c r="I2632" s="132">
        <v>45693</v>
      </c>
      <c r="J2632" s="50" t="s">
        <v>3458</v>
      </c>
      <c r="K2632" s="50" t="s">
        <v>37</v>
      </c>
      <c r="L2632" s="50"/>
      <c r="M2632" s="50" t="s">
        <v>328</v>
      </c>
      <c r="N2632" s="50" t="s">
        <v>6100</v>
      </c>
      <c r="O2632" s="60">
        <v>45695</v>
      </c>
      <c r="P2632" s="50"/>
      <c r="Q2632" s="60">
        <v>45695</v>
      </c>
      <c r="R2632" s="60">
        <v>45701</v>
      </c>
      <c r="S2632" s="50">
        <f t="shared" si="252"/>
        <v>2</v>
      </c>
      <c r="T2632" s="50" t="str">
        <f t="shared" si="250"/>
        <v/>
      </c>
      <c r="U2632" s="50">
        <f t="shared" si="251"/>
        <v>1</v>
      </c>
      <c r="V2632" s="50">
        <f t="shared" si="253"/>
        <v>4</v>
      </c>
      <c r="W2632" s="50" t="s">
        <v>150</v>
      </c>
      <c r="X2632" s="50" t="s">
        <v>4</v>
      </c>
      <c r="Y2632" s="50" t="s">
        <v>50</v>
      </c>
      <c r="Z2632" s="50" t="s">
        <v>3406</v>
      </c>
      <c r="AA2632" s="50"/>
    </row>
    <row r="2633" spans="1:27" ht="25.5" customHeight="1">
      <c r="A2633" s="517" t="s">
        <v>779</v>
      </c>
      <c r="B2633" s="51" t="s">
        <v>1493</v>
      </c>
      <c r="C2633" s="51" t="s">
        <v>159</v>
      </c>
      <c r="D2633" s="51" t="s">
        <v>6101</v>
      </c>
      <c r="E2633" s="50">
        <v>1508</v>
      </c>
      <c r="F2633" s="50">
        <v>1836</v>
      </c>
      <c r="G2633" s="50" t="s">
        <v>3404</v>
      </c>
      <c r="H2633" s="50">
        <v>2025</v>
      </c>
      <c r="I2633" s="132">
        <v>45693</v>
      </c>
      <c r="J2633" s="50" t="s">
        <v>3458</v>
      </c>
      <c r="K2633" s="50" t="s">
        <v>37</v>
      </c>
      <c r="L2633" s="50"/>
      <c r="M2633" s="50" t="s">
        <v>328</v>
      </c>
      <c r="N2633" s="50" t="s">
        <v>6102</v>
      </c>
      <c r="O2633" s="60">
        <v>45695</v>
      </c>
      <c r="P2633" s="50"/>
      <c r="Q2633" s="60">
        <v>45695</v>
      </c>
      <c r="R2633" s="60">
        <v>45701</v>
      </c>
      <c r="S2633" s="50">
        <f t="shared" si="252"/>
        <v>2</v>
      </c>
      <c r="T2633" s="50" t="str">
        <f t="shared" si="250"/>
        <v/>
      </c>
      <c r="U2633" s="50">
        <f t="shared" si="251"/>
        <v>1</v>
      </c>
      <c r="V2633" s="50">
        <f t="shared" si="253"/>
        <v>4</v>
      </c>
      <c r="W2633" s="50" t="s">
        <v>150</v>
      </c>
      <c r="X2633" s="50" t="s">
        <v>4</v>
      </c>
      <c r="Y2633" s="50" t="s">
        <v>50</v>
      </c>
      <c r="Z2633" s="50" t="s">
        <v>3406</v>
      </c>
      <c r="AA2633" s="50"/>
    </row>
    <row r="2634" spans="1:27" ht="25.5" customHeight="1">
      <c r="A2634" s="517" t="s">
        <v>779</v>
      </c>
      <c r="B2634" s="51" t="s">
        <v>1493</v>
      </c>
      <c r="C2634" s="51" t="s">
        <v>159</v>
      </c>
      <c r="D2634" s="51" t="s">
        <v>6103</v>
      </c>
      <c r="E2634" s="50">
        <v>3314</v>
      </c>
      <c r="F2634" s="50">
        <v>3859</v>
      </c>
      <c r="G2634" s="50" t="s">
        <v>3404</v>
      </c>
      <c r="H2634" s="50">
        <v>2025</v>
      </c>
      <c r="I2634" s="132">
        <v>45693</v>
      </c>
      <c r="J2634" s="50" t="s">
        <v>3458</v>
      </c>
      <c r="K2634" s="50" t="s">
        <v>37</v>
      </c>
      <c r="L2634" s="50"/>
      <c r="M2634" s="50" t="s">
        <v>328</v>
      </c>
      <c r="N2634" s="50" t="s">
        <v>6104</v>
      </c>
      <c r="O2634" s="60">
        <v>45695</v>
      </c>
      <c r="P2634" s="50"/>
      <c r="Q2634" s="60">
        <v>45698</v>
      </c>
      <c r="R2634" s="60">
        <v>45701</v>
      </c>
      <c r="S2634" s="50">
        <f t="shared" si="252"/>
        <v>2</v>
      </c>
      <c r="T2634" s="50" t="str">
        <f t="shared" si="250"/>
        <v/>
      </c>
      <c r="U2634" s="50">
        <f t="shared" si="251"/>
        <v>1</v>
      </c>
      <c r="V2634" s="50">
        <f t="shared" si="253"/>
        <v>3</v>
      </c>
      <c r="W2634" s="50" t="s">
        <v>150</v>
      </c>
      <c r="X2634" s="50" t="s">
        <v>1078</v>
      </c>
      <c r="Y2634" s="50" t="s">
        <v>50</v>
      </c>
      <c r="Z2634" s="50" t="s">
        <v>3406</v>
      </c>
      <c r="AA2634" s="50"/>
    </row>
    <row r="2635" spans="1:27" ht="25.5" customHeight="1">
      <c r="A2635" s="517" t="s">
        <v>779</v>
      </c>
      <c r="B2635" s="51" t="s">
        <v>1493</v>
      </c>
      <c r="C2635" s="51" t="s">
        <v>159</v>
      </c>
      <c r="D2635" s="51" t="s">
        <v>6105</v>
      </c>
      <c r="E2635" s="50">
        <v>3620</v>
      </c>
      <c r="F2635" s="50">
        <v>4361</v>
      </c>
      <c r="G2635" s="50" t="s">
        <v>3955</v>
      </c>
      <c r="H2635" s="50"/>
      <c r="I2635" s="105"/>
      <c r="J2635" s="50"/>
      <c r="K2635" s="50" t="s">
        <v>37</v>
      </c>
      <c r="L2635" s="50"/>
      <c r="M2635" s="50" t="s">
        <v>328</v>
      </c>
      <c r="N2635" s="50"/>
      <c r="O2635" s="50"/>
      <c r="P2635" s="50"/>
      <c r="Q2635" s="50"/>
      <c r="R2635" s="50"/>
      <c r="S2635" s="50" t="str">
        <f t="shared" si="252"/>
        <v/>
      </c>
      <c r="T2635" s="50" t="str">
        <f t="shared" si="250"/>
        <v/>
      </c>
      <c r="U2635" s="50" t="str">
        <f t="shared" si="251"/>
        <v/>
      </c>
      <c r="V2635" s="50" t="str">
        <f t="shared" si="253"/>
        <v/>
      </c>
      <c r="W2635" s="50"/>
      <c r="X2635" s="50"/>
      <c r="Y2635" s="50"/>
      <c r="Z2635" s="50"/>
      <c r="AA2635" s="50"/>
    </row>
    <row r="2636" spans="1:27" ht="25.5" customHeight="1">
      <c r="A2636" s="517" t="s">
        <v>779</v>
      </c>
      <c r="B2636" s="51" t="s">
        <v>1493</v>
      </c>
      <c r="C2636" s="51" t="s">
        <v>159</v>
      </c>
      <c r="D2636" s="51" t="s">
        <v>6106</v>
      </c>
      <c r="E2636" s="50">
        <v>1174</v>
      </c>
      <c r="F2636" s="50">
        <v>1309</v>
      </c>
      <c r="G2636" s="50" t="s">
        <v>3955</v>
      </c>
      <c r="H2636" s="50"/>
      <c r="I2636" s="105"/>
      <c r="J2636" s="50"/>
      <c r="K2636" s="50" t="s">
        <v>37</v>
      </c>
      <c r="L2636" s="50"/>
      <c r="M2636" s="50" t="s">
        <v>328</v>
      </c>
      <c r="N2636" s="50"/>
      <c r="O2636" s="50"/>
      <c r="P2636" s="50"/>
      <c r="Q2636" s="50"/>
      <c r="R2636" s="50"/>
      <c r="S2636" s="50" t="str">
        <f t="shared" si="252"/>
        <v/>
      </c>
      <c r="T2636" s="50" t="str">
        <f t="shared" si="250"/>
        <v/>
      </c>
      <c r="U2636" s="50" t="str">
        <f t="shared" si="251"/>
        <v/>
      </c>
      <c r="V2636" s="50" t="str">
        <f t="shared" si="253"/>
        <v/>
      </c>
      <c r="W2636" s="50"/>
      <c r="X2636" s="50"/>
      <c r="Y2636" s="50"/>
      <c r="Z2636" s="50"/>
      <c r="AA2636" s="50"/>
    </row>
    <row r="2637" spans="1:27" ht="25.5" customHeight="1">
      <c r="A2637" s="517" t="s">
        <v>779</v>
      </c>
      <c r="B2637" s="51" t="s">
        <v>1493</v>
      </c>
      <c r="C2637" s="51" t="s">
        <v>159</v>
      </c>
      <c r="D2637" s="51" t="s">
        <v>6107</v>
      </c>
      <c r="E2637" s="50">
        <v>593</v>
      </c>
      <c r="F2637" s="50">
        <v>707</v>
      </c>
      <c r="G2637" s="50" t="s">
        <v>3955</v>
      </c>
      <c r="H2637" s="50"/>
      <c r="I2637" s="105"/>
      <c r="J2637" s="50"/>
      <c r="K2637" s="50" t="s">
        <v>37</v>
      </c>
      <c r="L2637" s="50"/>
      <c r="M2637" s="50" t="s">
        <v>328</v>
      </c>
      <c r="N2637" s="50"/>
      <c r="O2637" s="50"/>
      <c r="P2637" s="50"/>
      <c r="Q2637" s="50"/>
      <c r="R2637" s="50"/>
      <c r="S2637" s="50" t="str">
        <f t="shared" si="252"/>
        <v/>
      </c>
      <c r="T2637" s="50" t="str">
        <f t="shared" si="250"/>
        <v/>
      </c>
      <c r="U2637" s="50" t="str">
        <f t="shared" si="251"/>
        <v/>
      </c>
      <c r="V2637" s="50" t="str">
        <f t="shared" si="253"/>
        <v/>
      </c>
      <c r="W2637" s="50"/>
      <c r="X2637" s="50"/>
      <c r="Y2637" s="50"/>
      <c r="Z2637" s="50"/>
      <c r="AA2637" s="50"/>
    </row>
    <row r="2638" spans="1:27" ht="25.5" customHeight="1">
      <c r="A2638" s="517" t="s">
        <v>779</v>
      </c>
      <c r="B2638" s="51" t="s">
        <v>1493</v>
      </c>
      <c r="C2638" s="51" t="s">
        <v>159</v>
      </c>
      <c r="D2638" s="51" t="s">
        <v>1490</v>
      </c>
      <c r="E2638" s="50">
        <v>2073</v>
      </c>
      <c r="F2638" s="50">
        <v>2345</v>
      </c>
      <c r="G2638" s="50" t="s">
        <v>3955</v>
      </c>
      <c r="H2638" s="50"/>
      <c r="I2638" s="105"/>
      <c r="J2638" s="50"/>
      <c r="K2638" s="50" t="s">
        <v>37</v>
      </c>
      <c r="L2638" s="50"/>
      <c r="M2638" s="50" t="s">
        <v>328</v>
      </c>
      <c r="N2638" s="50"/>
      <c r="O2638" s="50"/>
      <c r="P2638" s="50"/>
      <c r="Q2638" s="50"/>
      <c r="R2638" s="50"/>
      <c r="S2638" s="50" t="str">
        <f t="shared" si="252"/>
        <v/>
      </c>
      <c r="T2638" s="50" t="str">
        <f t="shared" si="250"/>
        <v/>
      </c>
      <c r="U2638" s="50" t="str">
        <f t="shared" si="251"/>
        <v/>
      </c>
      <c r="V2638" s="50" t="str">
        <f t="shared" si="253"/>
        <v/>
      </c>
      <c r="W2638" s="50"/>
      <c r="X2638" s="50"/>
      <c r="Y2638" s="50"/>
      <c r="Z2638" s="50"/>
      <c r="AA2638" s="50"/>
    </row>
    <row r="2639" spans="1:27" ht="25.5" customHeight="1">
      <c r="A2639" s="517" t="s">
        <v>779</v>
      </c>
      <c r="B2639" s="51" t="s">
        <v>1493</v>
      </c>
      <c r="C2639" s="51" t="s">
        <v>159</v>
      </c>
      <c r="D2639" s="51" t="s">
        <v>6108</v>
      </c>
      <c r="E2639" s="50">
        <v>2890</v>
      </c>
      <c r="F2639" s="50">
        <v>3128</v>
      </c>
      <c r="G2639" s="50" t="s">
        <v>3955</v>
      </c>
      <c r="H2639" s="50"/>
      <c r="I2639" s="105"/>
      <c r="J2639" s="50"/>
      <c r="K2639" s="50" t="s">
        <v>37</v>
      </c>
      <c r="L2639" s="50"/>
      <c r="M2639" s="50" t="s">
        <v>328</v>
      </c>
      <c r="N2639" s="50"/>
      <c r="O2639" s="50"/>
      <c r="P2639" s="50"/>
      <c r="Q2639" s="50"/>
      <c r="R2639" s="50"/>
      <c r="S2639" s="50" t="str">
        <f t="shared" si="252"/>
        <v/>
      </c>
      <c r="T2639" s="50" t="str">
        <f t="shared" si="250"/>
        <v/>
      </c>
      <c r="U2639" s="50" t="str">
        <f t="shared" si="251"/>
        <v/>
      </c>
      <c r="V2639" s="50" t="str">
        <f t="shared" si="253"/>
        <v/>
      </c>
      <c r="W2639" s="50"/>
      <c r="X2639" s="50"/>
      <c r="Y2639" s="50"/>
      <c r="Z2639" s="50"/>
      <c r="AA2639" s="50"/>
    </row>
    <row r="2640" spans="1:27" ht="25.5" customHeight="1">
      <c r="A2640" s="517" t="s">
        <v>779</v>
      </c>
      <c r="B2640" s="51" t="s">
        <v>1493</v>
      </c>
      <c r="C2640" s="51" t="s">
        <v>159</v>
      </c>
      <c r="D2640" s="51" t="s">
        <v>6109</v>
      </c>
      <c r="E2640" s="50">
        <v>4643</v>
      </c>
      <c r="F2640" s="50">
        <v>5196</v>
      </c>
      <c r="G2640" s="50" t="s">
        <v>3404</v>
      </c>
      <c r="H2640" s="50">
        <v>2025</v>
      </c>
      <c r="I2640" s="132">
        <v>45944</v>
      </c>
      <c r="J2640" s="50" t="s">
        <v>3128</v>
      </c>
      <c r="K2640" s="50" t="s">
        <v>37</v>
      </c>
      <c r="L2640" s="50"/>
      <c r="M2640" s="50" t="s">
        <v>28</v>
      </c>
      <c r="N2640" s="50" t="s">
        <v>6110</v>
      </c>
      <c r="O2640" s="60">
        <v>45945</v>
      </c>
      <c r="P2640" s="50"/>
      <c r="Q2640" s="60">
        <v>45945</v>
      </c>
      <c r="R2640" s="60">
        <v>45945</v>
      </c>
      <c r="S2640" s="50">
        <f t="shared" si="252"/>
        <v>1</v>
      </c>
      <c r="T2640" s="50" t="str">
        <f t="shared" si="250"/>
        <v/>
      </c>
      <c r="U2640" s="50">
        <f t="shared" si="251"/>
        <v>1</v>
      </c>
      <c r="V2640" s="50">
        <f t="shared" si="253"/>
        <v>1</v>
      </c>
      <c r="W2640" s="50" t="s">
        <v>150</v>
      </c>
      <c r="X2640" s="50" t="s">
        <v>3527</v>
      </c>
      <c r="Y2640" s="50" t="s">
        <v>3528</v>
      </c>
      <c r="Z2640" s="50" t="s">
        <v>3406</v>
      </c>
      <c r="AA2640" s="50"/>
    </row>
    <row r="2641" spans="1:27" ht="25.5" customHeight="1">
      <c r="A2641" s="517" t="s">
        <v>779</v>
      </c>
      <c r="B2641" s="51" t="s">
        <v>1493</v>
      </c>
      <c r="C2641" s="51" t="s">
        <v>159</v>
      </c>
      <c r="D2641" s="51" t="s">
        <v>6111</v>
      </c>
      <c r="E2641" s="50">
        <v>1669</v>
      </c>
      <c r="F2641" s="50">
        <v>1872</v>
      </c>
      <c r="G2641" s="50" t="s">
        <v>3404</v>
      </c>
      <c r="H2641" s="50">
        <v>2025</v>
      </c>
      <c r="I2641" s="132">
        <v>45944</v>
      </c>
      <c r="J2641" s="50" t="s">
        <v>3128</v>
      </c>
      <c r="K2641" s="50" t="s">
        <v>37</v>
      </c>
      <c r="L2641" s="50"/>
      <c r="M2641" s="50" t="s">
        <v>28</v>
      </c>
      <c r="N2641" s="50" t="s">
        <v>6112</v>
      </c>
      <c r="O2641" s="60">
        <v>45945</v>
      </c>
      <c r="P2641" s="50"/>
      <c r="Q2641" s="60">
        <v>45945</v>
      </c>
      <c r="R2641" s="60">
        <v>45945</v>
      </c>
      <c r="S2641" s="50">
        <f t="shared" si="252"/>
        <v>1</v>
      </c>
      <c r="T2641" s="50" t="str">
        <f t="shared" si="250"/>
        <v/>
      </c>
      <c r="U2641" s="50">
        <f t="shared" si="251"/>
        <v>1</v>
      </c>
      <c r="V2641" s="50">
        <f t="shared" si="253"/>
        <v>1</v>
      </c>
      <c r="W2641" s="50" t="s">
        <v>150</v>
      </c>
      <c r="X2641" s="50" t="s">
        <v>1078</v>
      </c>
      <c r="Y2641" s="50" t="s">
        <v>50</v>
      </c>
      <c r="Z2641" s="50" t="s">
        <v>3406</v>
      </c>
      <c r="AA2641" s="50"/>
    </row>
    <row r="2642" spans="1:27" ht="25.5" customHeight="1">
      <c r="A2642" s="517" t="s">
        <v>779</v>
      </c>
      <c r="B2642" s="51" t="s">
        <v>1493</v>
      </c>
      <c r="C2642" s="51" t="s">
        <v>159</v>
      </c>
      <c r="D2642" s="51" t="s">
        <v>6113</v>
      </c>
      <c r="E2642" s="50">
        <v>1675</v>
      </c>
      <c r="F2642" s="50">
        <v>1657</v>
      </c>
      <c r="G2642" s="50" t="s">
        <v>3404</v>
      </c>
      <c r="H2642" s="50">
        <v>2025</v>
      </c>
      <c r="I2642" s="132">
        <v>45840</v>
      </c>
      <c r="J2642" s="50" t="s">
        <v>3125</v>
      </c>
      <c r="K2642" s="50" t="s">
        <v>37</v>
      </c>
      <c r="L2642" s="50"/>
      <c r="M2642" s="50" t="s">
        <v>328</v>
      </c>
      <c r="N2642" s="50" t="s">
        <v>6114</v>
      </c>
      <c r="O2642" s="60">
        <v>45843</v>
      </c>
      <c r="P2642" s="50"/>
      <c r="Q2642" s="60">
        <v>45847</v>
      </c>
      <c r="R2642" s="60">
        <v>45853</v>
      </c>
      <c r="S2642" s="50">
        <f t="shared" si="252"/>
        <v>2</v>
      </c>
      <c r="T2642" s="50" t="str">
        <f t="shared" si="250"/>
        <v/>
      </c>
      <c r="U2642" s="50">
        <f t="shared" si="251"/>
        <v>2</v>
      </c>
      <c r="V2642" s="50">
        <f t="shared" si="253"/>
        <v>4</v>
      </c>
      <c r="W2642" s="50" t="s">
        <v>150</v>
      </c>
      <c r="X2642" s="50" t="s">
        <v>1078</v>
      </c>
      <c r="Y2642" s="50" t="s">
        <v>50</v>
      </c>
      <c r="Z2642" s="50" t="s">
        <v>3406</v>
      </c>
      <c r="AA2642" s="50"/>
    </row>
    <row r="2643" spans="1:27" ht="25.5" customHeight="1">
      <c r="A2643" s="517" t="s">
        <v>779</v>
      </c>
      <c r="B2643" s="51" t="s">
        <v>1493</v>
      </c>
      <c r="C2643" s="51" t="s">
        <v>159</v>
      </c>
      <c r="D2643" s="51" t="s">
        <v>6115</v>
      </c>
      <c r="E2643" s="50">
        <v>2298</v>
      </c>
      <c r="F2643" s="50">
        <v>2329</v>
      </c>
      <c r="G2643" s="50" t="s">
        <v>3404</v>
      </c>
      <c r="H2643" s="50">
        <v>2025</v>
      </c>
      <c r="I2643" s="132">
        <v>45944</v>
      </c>
      <c r="J2643" s="50" t="s">
        <v>3128</v>
      </c>
      <c r="K2643" s="50" t="s">
        <v>37</v>
      </c>
      <c r="L2643" s="50"/>
      <c r="M2643" s="50" t="s">
        <v>28</v>
      </c>
      <c r="N2643" s="50" t="s">
        <v>6116</v>
      </c>
      <c r="O2643" s="60">
        <v>45945</v>
      </c>
      <c r="P2643" s="50"/>
      <c r="Q2643" s="60">
        <v>45945</v>
      </c>
      <c r="R2643" s="60">
        <v>45945</v>
      </c>
      <c r="S2643" s="50">
        <f t="shared" si="252"/>
        <v>1</v>
      </c>
      <c r="T2643" s="50" t="str">
        <f t="shared" si="250"/>
        <v/>
      </c>
      <c r="U2643" s="50">
        <f t="shared" si="251"/>
        <v>1</v>
      </c>
      <c r="V2643" s="50">
        <f t="shared" si="253"/>
        <v>1</v>
      </c>
      <c r="W2643" s="50" t="s">
        <v>150</v>
      </c>
      <c r="X2643" s="50" t="s">
        <v>3527</v>
      </c>
      <c r="Y2643" s="50" t="s">
        <v>3528</v>
      </c>
      <c r="Z2643" s="50" t="s">
        <v>3406</v>
      </c>
      <c r="AA2643" s="50"/>
    </row>
    <row r="2644" spans="1:27" ht="25.5" customHeight="1">
      <c r="A2644" s="517" t="s">
        <v>779</v>
      </c>
      <c r="B2644" s="51" t="s">
        <v>1493</v>
      </c>
      <c r="C2644" s="51" t="s">
        <v>159</v>
      </c>
      <c r="D2644" s="51" t="s">
        <v>1494</v>
      </c>
      <c r="E2644" s="50">
        <v>1296</v>
      </c>
      <c r="F2644" s="50">
        <v>1424</v>
      </c>
      <c r="G2644" s="50" t="s">
        <v>3955</v>
      </c>
      <c r="H2644" s="50"/>
      <c r="I2644" s="105"/>
      <c r="J2644" s="50"/>
      <c r="K2644" s="50" t="s">
        <v>37</v>
      </c>
      <c r="L2644" s="50"/>
      <c r="M2644" s="50" t="s">
        <v>328</v>
      </c>
      <c r="N2644" s="50"/>
      <c r="O2644" s="50"/>
      <c r="P2644" s="50"/>
      <c r="Q2644" s="50"/>
      <c r="R2644" s="50"/>
      <c r="S2644" s="50" t="str">
        <f t="shared" si="252"/>
        <v/>
      </c>
      <c r="T2644" s="50" t="str">
        <f t="shared" si="250"/>
        <v/>
      </c>
      <c r="U2644" s="50" t="str">
        <f t="shared" si="251"/>
        <v/>
      </c>
      <c r="V2644" s="50" t="str">
        <f t="shared" si="253"/>
        <v/>
      </c>
      <c r="W2644" s="50"/>
      <c r="X2644" s="50"/>
      <c r="Y2644" s="50"/>
      <c r="Z2644" s="50"/>
      <c r="AA2644" s="50"/>
    </row>
    <row r="2645" spans="1:27" ht="25.5" customHeight="1">
      <c r="A2645" s="517" t="s">
        <v>779</v>
      </c>
      <c r="B2645" s="51" t="s">
        <v>1493</v>
      </c>
      <c r="C2645" s="51" t="s">
        <v>159</v>
      </c>
      <c r="D2645" s="51" t="s">
        <v>6117</v>
      </c>
      <c r="E2645" s="50">
        <v>4039</v>
      </c>
      <c r="F2645" s="50">
        <v>4755</v>
      </c>
      <c r="G2645" s="50" t="s">
        <v>3404</v>
      </c>
      <c r="H2645" s="50">
        <v>2025</v>
      </c>
      <c r="I2645" s="132">
        <v>45884</v>
      </c>
      <c r="J2645" s="50" t="s">
        <v>3126</v>
      </c>
      <c r="K2645" s="50" t="s">
        <v>37</v>
      </c>
      <c r="L2645" s="50"/>
      <c r="M2645" s="50" t="s">
        <v>328</v>
      </c>
      <c r="N2645" s="50" t="s">
        <v>6118</v>
      </c>
      <c r="O2645" s="60">
        <v>45885</v>
      </c>
      <c r="P2645" s="50"/>
      <c r="Q2645" s="60">
        <v>45887</v>
      </c>
      <c r="R2645" s="60">
        <v>45888</v>
      </c>
      <c r="S2645" s="50">
        <f t="shared" si="252"/>
        <v>1</v>
      </c>
      <c r="T2645" s="50" t="str">
        <f t="shared" si="250"/>
        <v/>
      </c>
      <c r="U2645" s="50">
        <f t="shared" si="251"/>
        <v>1</v>
      </c>
      <c r="V2645" s="50">
        <f t="shared" si="253"/>
        <v>1</v>
      </c>
      <c r="W2645" s="50" t="s">
        <v>150</v>
      </c>
      <c r="X2645" s="50" t="s">
        <v>3527</v>
      </c>
      <c r="Y2645" s="50" t="s">
        <v>3528</v>
      </c>
      <c r="Z2645" s="50" t="s">
        <v>3406</v>
      </c>
      <c r="AA2645" s="50"/>
    </row>
    <row r="2646" spans="1:27" ht="25.5" customHeight="1">
      <c r="A2646" s="517" t="s">
        <v>779</v>
      </c>
      <c r="B2646" s="51" t="s">
        <v>1493</v>
      </c>
      <c r="C2646" s="51" t="s">
        <v>159</v>
      </c>
      <c r="D2646" s="51" t="s">
        <v>6119</v>
      </c>
      <c r="E2646" s="50">
        <v>2312</v>
      </c>
      <c r="F2646" s="50">
        <v>2520</v>
      </c>
      <c r="G2646" s="50" t="s">
        <v>3955</v>
      </c>
      <c r="H2646" s="50"/>
      <c r="I2646" s="105"/>
      <c r="J2646" s="50"/>
      <c r="K2646" s="50" t="s">
        <v>37</v>
      </c>
      <c r="L2646" s="50"/>
      <c r="M2646" s="50" t="s">
        <v>328</v>
      </c>
      <c r="N2646" s="50"/>
      <c r="O2646" s="50"/>
      <c r="P2646" s="50"/>
      <c r="Q2646" s="50"/>
      <c r="R2646" s="50"/>
      <c r="S2646" s="50" t="str">
        <f t="shared" si="252"/>
        <v/>
      </c>
      <c r="T2646" s="50" t="str">
        <f t="shared" si="250"/>
        <v/>
      </c>
      <c r="U2646" s="50" t="str">
        <f t="shared" si="251"/>
        <v/>
      </c>
      <c r="V2646" s="50" t="str">
        <f t="shared" si="253"/>
        <v/>
      </c>
      <c r="W2646" s="50"/>
      <c r="X2646" s="50"/>
      <c r="Y2646" s="50"/>
      <c r="Z2646" s="50"/>
      <c r="AA2646" s="50"/>
    </row>
    <row r="2647" spans="1:27" ht="25.5" customHeight="1">
      <c r="A2647" s="517" t="s">
        <v>779</v>
      </c>
      <c r="B2647" s="51" t="s">
        <v>1493</v>
      </c>
      <c r="C2647" s="51" t="s">
        <v>159</v>
      </c>
      <c r="D2647" s="51" t="s">
        <v>6120</v>
      </c>
      <c r="E2647" s="50">
        <v>1218</v>
      </c>
      <c r="F2647" s="50">
        <v>1552</v>
      </c>
      <c r="G2647" s="50" t="s">
        <v>3955</v>
      </c>
      <c r="H2647" s="50"/>
      <c r="I2647" s="105"/>
      <c r="J2647" s="50"/>
      <c r="K2647" s="50" t="s">
        <v>37</v>
      </c>
      <c r="L2647" s="50"/>
      <c r="M2647" s="50" t="s">
        <v>328</v>
      </c>
      <c r="N2647" s="50"/>
      <c r="O2647" s="50"/>
      <c r="P2647" s="50"/>
      <c r="Q2647" s="50"/>
      <c r="R2647" s="50"/>
      <c r="S2647" s="50" t="str">
        <f t="shared" si="252"/>
        <v/>
      </c>
      <c r="T2647" s="50" t="str">
        <f t="shared" si="250"/>
        <v/>
      </c>
      <c r="U2647" s="50" t="str">
        <f t="shared" si="251"/>
        <v/>
      </c>
      <c r="V2647" s="50" t="str">
        <f t="shared" si="253"/>
        <v/>
      </c>
      <c r="W2647" s="50"/>
      <c r="X2647" s="50"/>
      <c r="Y2647" s="50"/>
      <c r="Z2647" s="50"/>
      <c r="AA2647" s="50"/>
    </row>
    <row r="2648" spans="1:27" ht="25.5" customHeight="1">
      <c r="A2648" s="517" t="s">
        <v>779</v>
      </c>
      <c r="B2648" s="51" t="s">
        <v>1493</v>
      </c>
      <c r="C2648" s="51" t="s">
        <v>159</v>
      </c>
      <c r="D2648" s="51" t="s">
        <v>6121</v>
      </c>
      <c r="E2648" s="50">
        <v>1753</v>
      </c>
      <c r="F2648" s="50">
        <v>2230</v>
      </c>
      <c r="G2648" s="50" t="s">
        <v>3404</v>
      </c>
      <c r="H2648" s="50">
        <v>2025</v>
      </c>
      <c r="I2648" s="132">
        <v>45882</v>
      </c>
      <c r="J2648" s="50" t="s">
        <v>3126</v>
      </c>
      <c r="K2648" s="50" t="s">
        <v>37</v>
      </c>
      <c r="L2648" s="50"/>
      <c r="M2648" s="50" t="s">
        <v>328</v>
      </c>
      <c r="N2648" s="50" t="s">
        <v>6122</v>
      </c>
      <c r="O2648" s="60">
        <v>45885</v>
      </c>
      <c r="P2648" s="50"/>
      <c r="Q2648" s="60">
        <v>45887</v>
      </c>
      <c r="R2648" s="60">
        <v>45888</v>
      </c>
      <c r="S2648" s="50">
        <f t="shared" si="252"/>
        <v>2</v>
      </c>
      <c r="T2648" s="50" t="str">
        <f t="shared" si="250"/>
        <v/>
      </c>
      <c r="U2648" s="50">
        <f t="shared" si="251"/>
        <v>1</v>
      </c>
      <c r="V2648" s="50">
        <f t="shared" si="253"/>
        <v>1</v>
      </c>
      <c r="W2648" s="50" t="s">
        <v>150</v>
      </c>
      <c r="X2648" s="50" t="s">
        <v>3527</v>
      </c>
      <c r="Y2648" s="50" t="s">
        <v>3528</v>
      </c>
      <c r="Z2648" s="50" t="s">
        <v>3406</v>
      </c>
      <c r="AA2648" s="50"/>
    </row>
    <row r="2649" spans="1:27" ht="25.5" customHeight="1">
      <c r="A2649" s="517" t="s">
        <v>779</v>
      </c>
      <c r="B2649" s="51" t="s">
        <v>1493</v>
      </c>
      <c r="C2649" s="51" t="s">
        <v>159</v>
      </c>
      <c r="D2649" s="51" t="s">
        <v>6123</v>
      </c>
      <c r="E2649" s="50">
        <v>1018</v>
      </c>
      <c r="F2649" s="50">
        <v>1090</v>
      </c>
      <c r="G2649" s="50" t="s">
        <v>3955</v>
      </c>
      <c r="H2649" s="50"/>
      <c r="I2649" s="105"/>
      <c r="J2649" s="50"/>
      <c r="K2649" s="50" t="s">
        <v>37</v>
      </c>
      <c r="L2649" s="50"/>
      <c r="M2649" s="50" t="s">
        <v>328</v>
      </c>
      <c r="N2649" s="50"/>
      <c r="O2649" s="50"/>
      <c r="P2649" s="50"/>
      <c r="Q2649" s="50"/>
      <c r="R2649" s="50"/>
      <c r="S2649" s="50" t="str">
        <f t="shared" si="252"/>
        <v/>
      </c>
      <c r="T2649" s="50" t="str">
        <f t="shared" si="250"/>
        <v/>
      </c>
      <c r="U2649" s="50" t="str">
        <f t="shared" si="251"/>
        <v/>
      </c>
      <c r="V2649" s="50" t="str">
        <f t="shared" si="253"/>
        <v/>
      </c>
      <c r="W2649" s="50"/>
      <c r="X2649" s="50"/>
      <c r="Y2649" s="50"/>
      <c r="Z2649" s="50"/>
      <c r="AA2649" s="50"/>
    </row>
    <row r="2650" spans="1:27" ht="25.5" customHeight="1">
      <c r="A2650" s="517" t="s">
        <v>779</v>
      </c>
      <c r="B2650" s="51" t="s">
        <v>1493</v>
      </c>
      <c r="C2650" s="51" t="s">
        <v>159</v>
      </c>
      <c r="D2650" s="51" t="s">
        <v>6124</v>
      </c>
      <c r="E2650" s="50">
        <v>3975</v>
      </c>
      <c r="F2650" s="50">
        <v>4494</v>
      </c>
      <c r="G2650" s="50" t="s">
        <v>3404</v>
      </c>
      <c r="H2650" s="50">
        <v>2025</v>
      </c>
      <c r="I2650" s="132">
        <v>45944</v>
      </c>
      <c r="J2650" s="50" t="s">
        <v>3128</v>
      </c>
      <c r="K2650" s="50" t="s">
        <v>37</v>
      </c>
      <c r="L2650" s="50"/>
      <c r="M2650" s="50" t="s">
        <v>28</v>
      </c>
      <c r="N2650" s="50" t="s">
        <v>6125</v>
      </c>
      <c r="O2650" s="60">
        <v>45945</v>
      </c>
      <c r="P2650" s="50"/>
      <c r="Q2650" s="60">
        <v>45945</v>
      </c>
      <c r="R2650" s="60">
        <v>45945</v>
      </c>
      <c r="S2650" s="50">
        <f t="shared" si="252"/>
        <v>1</v>
      </c>
      <c r="T2650" s="50" t="str">
        <f t="shared" si="250"/>
        <v/>
      </c>
      <c r="U2650" s="50">
        <f t="shared" si="251"/>
        <v>1</v>
      </c>
      <c r="V2650" s="50">
        <f t="shared" si="253"/>
        <v>1</v>
      </c>
      <c r="W2650" s="50" t="s">
        <v>150</v>
      </c>
      <c r="X2650" s="50" t="s">
        <v>3527</v>
      </c>
      <c r="Y2650" s="50" t="s">
        <v>3528</v>
      </c>
      <c r="Z2650" s="50" t="s">
        <v>3406</v>
      </c>
      <c r="AA2650" s="50"/>
    </row>
    <row r="2651" spans="1:27" ht="25.5" customHeight="1">
      <c r="A2651" s="517" t="s">
        <v>779</v>
      </c>
      <c r="B2651" s="51" t="s">
        <v>1493</v>
      </c>
      <c r="C2651" s="51" t="s">
        <v>159</v>
      </c>
      <c r="D2651" s="51" t="s">
        <v>6126</v>
      </c>
      <c r="E2651" s="50">
        <v>1631</v>
      </c>
      <c r="F2651" s="50">
        <v>1654</v>
      </c>
      <c r="G2651" s="50" t="s">
        <v>3955</v>
      </c>
      <c r="H2651" s="50"/>
      <c r="I2651" s="105"/>
      <c r="J2651" s="50"/>
      <c r="K2651" s="50" t="s">
        <v>37</v>
      </c>
      <c r="L2651" s="50"/>
      <c r="M2651" s="50" t="s">
        <v>328</v>
      </c>
      <c r="N2651" s="50"/>
      <c r="O2651" s="50"/>
      <c r="P2651" s="50"/>
      <c r="Q2651" s="50"/>
      <c r="R2651" s="50"/>
      <c r="S2651" s="50" t="str">
        <f t="shared" si="252"/>
        <v/>
      </c>
      <c r="T2651" s="50" t="str">
        <f t="shared" si="250"/>
        <v/>
      </c>
      <c r="U2651" s="50" t="str">
        <f t="shared" si="251"/>
        <v/>
      </c>
      <c r="V2651" s="50" t="str">
        <f t="shared" si="253"/>
        <v/>
      </c>
      <c r="W2651" s="50"/>
      <c r="X2651" s="50"/>
      <c r="Y2651" s="50"/>
      <c r="Z2651" s="50"/>
      <c r="AA2651" s="50"/>
    </row>
    <row r="2652" spans="1:27" ht="25.5" customHeight="1">
      <c r="A2652" s="517" t="s">
        <v>779</v>
      </c>
      <c r="B2652" s="51" t="s">
        <v>1493</v>
      </c>
      <c r="C2652" s="51" t="s">
        <v>159</v>
      </c>
      <c r="D2652" s="51" t="s">
        <v>6127</v>
      </c>
      <c r="E2652" s="50">
        <v>2835</v>
      </c>
      <c r="F2652" s="50">
        <v>3247</v>
      </c>
      <c r="G2652" s="50" t="s">
        <v>3404</v>
      </c>
      <c r="H2652" s="50">
        <v>2025</v>
      </c>
      <c r="I2652" s="132">
        <v>45790</v>
      </c>
      <c r="J2652" s="50" t="s">
        <v>3532</v>
      </c>
      <c r="K2652" s="50" t="s">
        <v>37</v>
      </c>
      <c r="L2652" s="50"/>
      <c r="M2652" s="50" t="s">
        <v>328</v>
      </c>
      <c r="N2652" s="50" t="s">
        <v>6128</v>
      </c>
      <c r="O2652" s="60">
        <v>45792</v>
      </c>
      <c r="P2652" s="50"/>
      <c r="Q2652" s="60">
        <v>45793</v>
      </c>
      <c r="R2652" s="60">
        <v>45796</v>
      </c>
      <c r="S2652" s="50">
        <f t="shared" si="252"/>
        <v>2</v>
      </c>
      <c r="T2652" s="50" t="str">
        <f t="shared" si="250"/>
        <v/>
      </c>
      <c r="U2652" s="50">
        <f t="shared" si="251"/>
        <v>1</v>
      </c>
      <c r="V2652" s="50">
        <f t="shared" si="253"/>
        <v>1</v>
      </c>
      <c r="W2652" s="50" t="s">
        <v>150</v>
      </c>
      <c r="X2652" s="50" t="s">
        <v>3527</v>
      </c>
      <c r="Y2652" s="50" t="s">
        <v>3528</v>
      </c>
      <c r="Z2652" s="50" t="s">
        <v>3406</v>
      </c>
      <c r="AA2652" s="50"/>
    </row>
    <row r="2653" spans="1:27" ht="25.5" customHeight="1">
      <c r="A2653" s="517" t="s">
        <v>779</v>
      </c>
      <c r="B2653" s="51" t="s">
        <v>1493</v>
      </c>
      <c r="C2653" s="51" t="s">
        <v>159</v>
      </c>
      <c r="D2653" s="51" t="s">
        <v>1486</v>
      </c>
      <c r="E2653" s="50">
        <v>8581</v>
      </c>
      <c r="F2653" s="50">
        <v>8825</v>
      </c>
      <c r="G2653" s="50" t="s">
        <v>3404</v>
      </c>
      <c r="H2653" s="50">
        <v>2025</v>
      </c>
      <c r="I2653" s="132">
        <v>45790</v>
      </c>
      <c r="J2653" s="50" t="s">
        <v>3532</v>
      </c>
      <c r="K2653" s="50" t="s">
        <v>37</v>
      </c>
      <c r="L2653" s="50"/>
      <c r="M2653" s="50" t="s">
        <v>328</v>
      </c>
      <c r="N2653" s="50" t="s">
        <v>6129</v>
      </c>
      <c r="O2653" s="60">
        <v>45792</v>
      </c>
      <c r="P2653" s="50"/>
      <c r="Q2653" s="60">
        <v>45793</v>
      </c>
      <c r="R2653" s="60">
        <v>45796</v>
      </c>
      <c r="S2653" s="50">
        <f t="shared" si="252"/>
        <v>2</v>
      </c>
      <c r="T2653" s="50" t="str">
        <f t="shared" si="250"/>
        <v/>
      </c>
      <c r="U2653" s="50">
        <f t="shared" si="251"/>
        <v>1</v>
      </c>
      <c r="V2653" s="50">
        <f t="shared" si="253"/>
        <v>1</v>
      </c>
      <c r="W2653" s="50" t="s">
        <v>150</v>
      </c>
      <c r="X2653" s="50" t="s">
        <v>3527</v>
      </c>
      <c r="Y2653" s="50" t="s">
        <v>3528</v>
      </c>
      <c r="Z2653" s="50" t="s">
        <v>3406</v>
      </c>
      <c r="AA2653" s="50"/>
    </row>
    <row r="2654" spans="1:27" ht="25.5" customHeight="1">
      <c r="A2654" s="517" t="s">
        <v>779</v>
      </c>
      <c r="B2654" s="51" t="s">
        <v>1493</v>
      </c>
      <c r="C2654" s="51" t="s">
        <v>159</v>
      </c>
      <c r="D2654" s="51" t="s">
        <v>4946</v>
      </c>
      <c r="E2654" s="50">
        <v>4933</v>
      </c>
      <c r="F2654" s="50">
        <v>4719</v>
      </c>
      <c r="G2654" s="50" t="s">
        <v>3404</v>
      </c>
      <c r="H2654" s="50">
        <v>2025</v>
      </c>
      <c r="I2654" s="132">
        <v>45790</v>
      </c>
      <c r="J2654" s="50" t="s">
        <v>3532</v>
      </c>
      <c r="K2654" s="50" t="s">
        <v>37</v>
      </c>
      <c r="L2654" s="50"/>
      <c r="M2654" s="50" t="s">
        <v>328</v>
      </c>
      <c r="N2654" s="50" t="s">
        <v>6130</v>
      </c>
      <c r="O2654" s="60">
        <v>45792</v>
      </c>
      <c r="P2654" s="50"/>
      <c r="Q2654" s="60">
        <v>45793</v>
      </c>
      <c r="R2654" s="60">
        <v>45796</v>
      </c>
      <c r="S2654" s="50">
        <f t="shared" si="252"/>
        <v>2</v>
      </c>
      <c r="T2654" s="50" t="str">
        <f t="shared" si="250"/>
        <v/>
      </c>
      <c r="U2654" s="50">
        <f t="shared" si="251"/>
        <v>1</v>
      </c>
      <c r="V2654" s="50">
        <f t="shared" si="253"/>
        <v>1</v>
      </c>
      <c r="W2654" s="50" t="s">
        <v>150</v>
      </c>
      <c r="X2654" s="50" t="s">
        <v>4</v>
      </c>
      <c r="Y2654" s="50" t="s">
        <v>50</v>
      </c>
      <c r="Z2654" s="50" t="s">
        <v>3406</v>
      </c>
      <c r="AA2654" s="50"/>
    </row>
    <row r="2655" spans="1:27" ht="25.5" customHeight="1">
      <c r="A2655" s="517" t="s">
        <v>779</v>
      </c>
      <c r="B2655" s="51" t="s">
        <v>1493</v>
      </c>
      <c r="C2655" s="51" t="s">
        <v>159</v>
      </c>
      <c r="D2655" s="51" t="s">
        <v>5233</v>
      </c>
      <c r="E2655" s="50">
        <v>2113</v>
      </c>
      <c r="F2655" s="50">
        <v>2399</v>
      </c>
      <c r="G2655" s="50" t="s">
        <v>3404</v>
      </c>
      <c r="H2655" s="50">
        <v>2025</v>
      </c>
      <c r="I2655" s="132">
        <v>45944</v>
      </c>
      <c r="J2655" s="50" t="s">
        <v>3128</v>
      </c>
      <c r="K2655" s="50" t="s">
        <v>37</v>
      </c>
      <c r="L2655" s="50"/>
      <c r="M2655" s="50" t="s">
        <v>28</v>
      </c>
      <c r="N2655" s="50" t="s">
        <v>6131</v>
      </c>
      <c r="O2655" s="60">
        <v>45945</v>
      </c>
      <c r="P2655" s="50"/>
      <c r="Q2655" s="60">
        <v>45945</v>
      </c>
      <c r="R2655" s="60">
        <v>45945</v>
      </c>
      <c r="S2655" s="50">
        <f t="shared" si="252"/>
        <v>1</v>
      </c>
      <c r="T2655" s="50" t="str">
        <f t="shared" si="250"/>
        <v/>
      </c>
      <c r="U2655" s="50">
        <f t="shared" si="251"/>
        <v>1</v>
      </c>
      <c r="V2655" s="50">
        <f t="shared" si="253"/>
        <v>1</v>
      </c>
      <c r="W2655" s="50" t="s">
        <v>150</v>
      </c>
      <c r="X2655" s="50" t="s">
        <v>3527</v>
      </c>
      <c r="Y2655" s="50" t="s">
        <v>3528</v>
      </c>
      <c r="Z2655" s="50" t="s">
        <v>3406</v>
      </c>
      <c r="AA2655" s="50"/>
    </row>
    <row r="2656" spans="1:27" ht="25.5" customHeight="1">
      <c r="A2656" s="517" t="s">
        <v>779</v>
      </c>
      <c r="B2656" s="51" t="s">
        <v>1493</v>
      </c>
      <c r="C2656" s="51" t="s">
        <v>159</v>
      </c>
      <c r="D2656" s="51" t="s">
        <v>6132</v>
      </c>
      <c r="E2656" s="50">
        <v>3408</v>
      </c>
      <c r="F2656" s="50">
        <v>3529</v>
      </c>
      <c r="G2656" s="50" t="s">
        <v>3404</v>
      </c>
      <c r="H2656" s="50">
        <v>2025</v>
      </c>
      <c r="I2656" s="132">
        <v>45825</v>
      </c>
      <c r="J2656" s="50" t="s">
        <v>3689</v>
      </c>
      <c r="K2656" s="50" t="s">
        <v>37</v>
      </c>
      <c r="L2656" s="50"/>
      <c r="M2656" s="50" t="s">
        <v>328</v>
      </c>
      <c r="N2656" s="50" t="s">
        <v>6133</v>
      </c>
      <c r="O2656" s="60">
        <v>45826</v>
      </c>
      <c r="P2656" s="50"/>
      <c r="Q2656" s="60">
        <v>45827</v>
      </c>
      <c r="R2656" s="60">
        <v>45827</v>
      </c>
      <c r="S2656" s="50">
        <f t="shared" si="252"/>
        <v>1</v>
      </c>
      <c r="T2656" s="50" t="str">
        <f t="shared" si="250"/>
        <v/>
      </c>
      <c r="U2656" s="50">
        <f t="shared" si="251"/>
        <v>1</v>
      </c>
      <c r="V2656" s="50">
        <f t="shared" si="253"/>
        <v>1</v>
      </c>
      <c r="W2656" s="50" t="s">
        <v>150</v>
      </c>
      <c r="X2656" s="50" t="s">
        <v>1078</v>
      </c>
      <c r="Y2656" s="50" t="s">
        <v>50</v>
      </c>
      <c r="Z2656" s="50" t="s">
        <v>3406</v>
      </c>
      <c r="AA2656" s="50"/>
    </row>
    <row r="2657" spans="1:27" ht="25.5" customHeight="1">
      <c r="A2657" s="517" t="s">
        <v>779</v>
      </c>
      <c r="B2657" s="51" t="s">
        <v>1493</v>
      </c>
      <c r="C2657" s="51" t="s">
        <v>159</v>
      </c>
      <c r="D2657" s="51" t="s">
        <v>6134</v>
      </c>
      <c r="E2657" s="50">
        <v>4986</v>
      </c>
      <c r="F2657" s="50">
        <v>6253</v>
      </c>
      <c r="G2657" s="50" t="s">
        <v>3404</v>
      </c>
      <c r="H2657" s="50">
        <v>2025</v>
      </c>
      <c r="I2657" s="132">
        <v>45825</v>
      </c>
      <c r="J2657" s="50" t="s">
        <v>3689</v>
      </c>
      <c r="K2657" s="50" t="s">
        <v>37</v>
      </c>
      <c r="L2657" s="50"/>
      <c r="M2657" s="50" t="s">
        <v>328</v>
      </c>
      <c r="N2657" s="50" t="s">
        <v>6135</v>
      </c>
      <c r="O2657" s="60">
        <v>45826</v>
      </c>
      <c r="P2657" s="50"/>
      <c r="Q2657" s="60">
        <v>45827</v>
      </c>
      <c r="R2657" s="60">
        <v>45827</v>
      </c>
      <c r="S2657" s="50">
        <f t="shared" si="252"/>
        <v>1</v>
      </c>
      <c r="T2657" s="50" t="str">
        <f t="shared" si="250"/>
        <v/>
      </c>
      <c r="U2657" s="50">
        <f t="shared" si="251"/>
        <v>1</v>
      </c>
      <c r="V2657" s="50">
        <f t="shared" si="253"/>
        <v>1</v>
      </c>
      <c r="W2657" s="50" t="s">
        <v>150</v>
      </c>
      <c r="X2657" s="50" t="s">
        <v>3527</v>
      </c>
      <c r="Y2657" s="50" t="s">
        <v>3528</v>
      </c>
      <c r="Z2657" s="50" t="s">
        <v>3406</v>
      </c>
      <c r="AA2657" s="50"/>
    </row>
    <row r="2658" spans="1:27" ht="25.5" customHeight="1">
      <c r="A2658" s="517" t="s">
        <v>779</v>
      </c>
      <c r="B2658" s="51" t="s">
        <v>1493</v>
      </c>
      <c r="C2658" s="51" t="s">
        <v>159</v>
      </c>
      <c r="D2658" s="51" t="s">
        <v>3809</v>
      </c>
      <c r="E2658" s="50">
        <v>1396</v>
      </c>
      <c r="F2658" s="50">
        <v>1682</v>
      </c>
      <c r="G2658" s="50" t="s">
        <v>3955</v>
      </c>
      <c r="H2658" s="50"/>
      <c r="I2658" s="105"/>
      <c r="J2658" s="50"/>
      <c r="K2658" s="50" t="s">
        <v>37</v>
      </c>
      <c r="L2658" s="50"/>
      <c r="M2658" s="50" t="s">
        <v>328</v>
      </c>
      <c r="N2658" s="50"/>
      <c r="O2658" s="50"/>
      <c r="P2658" s="50"/>
      <c r="Q2658" s="50"/>
      <c r="R2658" s="50"/>
      <c r="S2658" s="50" t="str">
        <f t="shared" si="252"/>
        <v/>
      </c>
      <c r="T2658" s="50" t="str">
        <f t="shared" si="250"/>
        <v/>
      </c>
      <c r="U2658" s="50" t="str">
        <f t="shared" si="251"/>
        <v/>
      </c>
      <c r="V2658" s="50" t="str">
        <f t="shared" si="253"/>
        <v/>
      </c>
      <c r="W2658" s="50"/>
      <c r="X2658" s="50"/>
      <c r="Y2658" s="50"/>
      <c r="Z2658" s="50"/>
      <c r="AA2658" s="50"/>
    </row>
    <row r="2659" spans="1:27" s="110" customFormat="1" ht="25.5" customHeight="1">
      <c r="A2659" s="50" t="s">
        <v>779</v>
      </c>
      <c r="B2659" s="51" t="s">
        <v>1493</v>
      </c>
      <c r="C2659" s="51" t="s">
        <v>159</v>
      </c>
      <c r="D2659" s="51" t="s">
        <v>1180</v>
      </c>
      <c r="E2659" s="50">
        <v>2049</v>
      </c>
      <c r="F2659" s="50">
        <v>2202</v>
      </c>
      <c r="G2659" s="50" t="s">
        <v>3404</v>
      </c>
      <c r="H2659" s="50">
        <v>2024</v>
      </c>
      <c r="I2659" s="132">
        <v>45545</v>
      </c>
      <c r="J2659" s="50"/>
      <c r="K2659" s="50" t="s">
        <v>37</v>
      </c>
      <c r="L2659" s="50"/>
      <c r="M2659" s="50" t="s">
        <v>328</v>
      </c>
      <c r="N2659" s="50"/>
      <c r="O2659" s="50"/>
      <c r="P2659" s="50"/>
      <c r="Q2659" s="50"/>
      <c r="R2659" s="50"/>
      <c r="S2659" s="50" t="str">
        <f t="shared" si="252"/>
        <v/>
      </c>
      <c r="T2659" s="50" t="str">
        <f t="shared" si="250"/>
        <v/>
      </c>
      <c r="U2659" s="50" t="str">
        <f t="shared" si="251"/>
        <v/>
      </c>
      <c r="V2659" s="50" t="str">
        <f t="shared" si="253"/>
        <v/>
      </c>
      <c r="W2659" s="50"/>
      <c r="X2659" s="50" t="s">
        <v>1078</v>
      </c>
      <c r="Y2659" s="50" t="s">
        <v>50</v>
      </c>
      <c r="Z2659" s="50" t="s">
        <v>3406</v>
      </c>
      <c r="AA2659" s="50"/>
    </row>
    <row r="2660" spans="1:27" ht="25.5" customHeight="1">
      <c r="A2660" s="517" t="s">
        <v>779</v>
      </c>
      <c r="B2660" s="51" t="s">
        <v>1493</v>
      </c>
      <c r="C2660" s="51" t="s">
        <v>159</v>
      </c>
      <c r="D2660" s="51" t="s">
        <v>6136</v>
      </c>
      <c r="E2660" s="50">
        <v>926</v>
      </c>
      <c r="F2660" s="50">
        <v>1077</v>
      </c>
      <c r="G2660" s="50" t="s">
        <v>3955</v>
      </c>
      <c r="H2660" s="50"/>
      <c r="I2660" s="105"/>
      <c r="J2660" s="50"/>
      <c r="K2660" s="50" t="s">
        <v>37</v>
      </c>
      <c r="L2660" s="50"/>
      <c r="M2660" s="50" t="s">
        <v>328</v>
      </c>
      <c r="N2660" s="50"/>
      <c r="O2660" s="50"/>
      <c r="P2660" s="50"/>
      <c r="Q2660" s="50"/>
      <c r="R2660" s="50"/>
      <c r="S2660" s="50" t="str">
        <f t="shared" si="252"/>
        <v/>
      </c>
      <c r="T2660" s="50" t="str">
        <f t="shared" si="250"/>
        <v/>
      </c>
      <c r="U2660" s="50" t="str">
        <f t="shared" si="251"/>
        <v/>
      </c>
      <c r="V2660" s="50" t="str">
        <f t="shared" si="253"/>
        <v/>
      </c>
      <c r="W2660" s="50"/>
      <c r="X2660" s="50"/>
      <c r="Y2660" s="50"/>
      <c r="Z2660" s="50"/>
      <c r="AA2660" s="50"/>
    </row>
    <row r="2661" spans="1:27" s="110" customFormat="1" ht="25.5" customHeight="1">
      <c r="A2661" s="50" t="s">
        <v>779</v>
      </c>
      <c r="B2661" s="51" t="s">
        <v>1493</v>
      </c>
      <c r="C2661" s="51" t="s">
        <v>159</v>
      </c>
      <c r="D2661" s="51" t="s">
        <v>4027</v>
      </c>
      <c r="E2661" s="50">
        <v>1711</v>
      </c>
      <c r="F2661" s="50">
        <v>2088</v>
      </c>
      <c r="G2661" s="50" t="s">
        <v>3404</v>
      </c>
      <c r="H2661" s="50">
        <v>2024</v>
      </c>
      <c r="I2661" s="132">
        <v>45476</v>
      </c>
      <c r="J2661" s="50"/>
      <c r="K2661" s="50" t="s">
        <v>37</v>
      </c>
      <c r="L2661" s="50"/>
      <c r="M2661" s="50" t="s">
        <v>328</v>
      </c>
      <c r="N2661" s="50"/>
      <c r="O2661" s="50"/>
      <c r="P2661" s="50"/>
      <c r="Q2661" s="50"/>
      <c r="R2661" s="50"/>
      <c r="S2661" s="50" t="str">
        <f t="shared" si="252"/>
        <v/>
      </c>
      <c r="T2661" s="50" t="str">
        <f t="shared" si="250"/>
        <v/>
      </c>
      <c r="U2661" s="50" t="str">
        <f t="shared" si="251"/>
        <v/>
      </c>
      <c r="V2661" s="50" t="str">
        <f t="shared" si="253"/>
        <v/>
      </c>
      <c r="W2661" s="50"/>
      <c r="X2661" s="50" t="s">
        <v>4</v>
      </c>
      <c r="Y2661" s="50" t="s">
        <v>50</v>
      </c>
      <c r="Z2661" s="50" t="s">
        <v>3406</v>
      </c>
      <c r="AA2661" s="50"/>
    </row>
    <row r="2662" spans="1:27" ht="25.5" customHeight="1">
      <c r="A2662" s="517" t="s">
        <v>779</v>
      </c>
      <c r="B2662" s="51" t="s">
        <v>1493</v>
      </c>
      <c r="C2662" s="51" t="s">
        <v>159</v>
      </c>
      <c r="D2662" s="51" t="s">
        <v>6137</v>
      </c>
      <c r="E2662" s="50">
        <v>2051</v>
      </c>
      <c r="F2662" s="50">
        <v>2160</v>
      </c>
      <c r="G2662" s="50" t="s">
        <v>3955</v>
      </c>
      <c r="H2662" s="50"/>
      <c r="I2662" s="105"/>
      <c r="J2662" s="50"/>
      <c r="K2662" s="50" t="s">
        <v>37</v>
      </c>
      <c r="L2662" s="50"/>
      <c r="M2662" s="50" t="s">
        <v>328</v>
      </c>
      <c r="N2662" s="50"/>
      <c r="O2662" s="50"/>
      <c r="P2662" s="50"/>
      <c r="Q2662" s="50"/>
      <c r="R2662" s="50"/>
      <c r="S2662" s="50" t="str">
        <f t="shared" si="252"/>
        <v/>
      </c>
      <c r="T2662" s="50" t="str">
        <f t="shared" si="250"/>
        <v/>
      </c>
      <c r="U2662" s="50" t="str">
        <f t="shared" si="251"/>
        <v/>
      </c>
      <c r="V2662" s="50" t="str">
        <f t="shared" si="253"/>
        <v/>
      </c>
      <c r="W2662" s="50"/>
      <c r="X2662" s="50"/>
      <c r="Y2662" s="50"/>
      <c r="Z2662" s="50"/>
      <c r="AA2662" s="50"/>
    </row>
    <row r="2663" spans="1:27" ht="25.5" customHeight="1">
      <c r="A2663" s="517" t="s">
        <v>779</v>
      </c>
      <c r="B2663" s="51" t="s">
        <v>1493</v>
      </c>
      <c r="C2663" s="51" t="s">
        <v>159</v>
      </c>
      <c r="D2663" s="51" t="s">
        <v>6138</v>
      </c>
      <c r="E2663" s="50">
        <v>2689</v>
      </c>
      <c r="F2663" s="50">
        <v>3082</v>
      </c>
      <c r="G2663" s="50" t="s">
        <v>3955</v>
      </c>
      <c r="H2663" s="50"/>
      <c r="I2663" s="105"/>
      <c r="J2663" s="50"/>
      <c r="K2663" s="50" t="s">
        <v>37</v>
      </c>
      <c r="L2663" s="50"/>
      <c r="M2663" s="50" t="s">
        <v>328</v>
      </c>
      <c r="N2663" s="50"/>
      <c r="O2663" s="50"/>
      <c r="P2663" s="50"/>
      <c r="Q2663" s="50"/>
      <c r="R2663" s="50"/>
      <c r="S2663" s="50" t="str">
        <f t="shared" si="252"/>
        <v/>
      </c>
      <c r="T2663" s="50" t="str">
        <f t="shared" si="250"/>
        <v/>
      </c>
      <c r="U2663" s="50" t="str">
        <f t="shared" si="251"/>
        <v/>
      </c>
      <c r="V2663" s="50" t="str">
        <f t="shared" si="253"/>
        <v/>
      </c>
      <c r="W2663" s="50"/>
      <c r="X2663" s="50"/>
      <c r="Y2663" s="50"/>
      <c r="Z2663" s="50"/>
      <c r="AA2663" s="50"/>
    </row>
    <row r="2664" spans="1:27" s="110" customFormat="1" ht="25.5" customHeight="1">
      <c r="A2664" s="50" t="s">
        <v>779</v>
      </c>
      <c r="B2664" s="51" t="s">
        <v>1493</v>
      </c>
      <c r="C2664" s="51" t="s">
        <v>159</v>
      </c>
      <c r="D2664" s="51" t="s">
        <v>6139</v>
      </c>
      <c r="E2664" s="50">
        <v>2441</v>
      </c>
      <c r="F2664" s="50">
        <v>2927</v>
      </c>
      <c r="G2664" s="50" t="s">
        <v>3404</v>
      </c>
      <c r="H2664" s="50">
        <v>2024</v>
      </c>
      <c r="I2664" s="132">
        <v>45476</v>
      </c>
      <c r="J2664" s="50"/>
      <c r="K2664" s="50" t="s">
        <v>37</v>
      </c>
      <c r="L2664" s="50"/>
      <c r="M2664" s="50" t="s">
        <v>328</v>
      </c>
      <c r="N2664" s="50"/>
      <c r="O2664" s="50"/>
      <c r="P2664" s="50"/>
      <c r="Q2664" s="50"/>
      <c r="R2664" s="50"/>
      <c r="S2664" s="50" t="str">
        <f t="shared" si="252"/>
        <v/>
      </c>
      <c r="T2664" s="50" t="str">
        <f t="shared" si="250"/>
        <v/>
      </c>
      <c r="U2664" s="50" t="str">
        <f t="shared" si="251"/>
        <v/>
      </c>
      <c r="V2664" s="50" t="str">
        <f t="shared" si="253"/>
        <v/>
      </c>
      <c r="W2664" s="50"/>
      <c r="X2664" s="50" t="s">
        <v>4</v>
      </c>
      <c r="Y2664" s="50" t="s">
        <v>50</v>
      </c>
      <c r="Z2664" s="50" t="s">
        <v>3406</v>
      </c>
      <c r="AA2664" s="50"/>
    </row>
    <row r="2665" spans="1:27" ht="25.5" customHeight="1">
      <c r="A2665" s="517" t="s">
        <v>779</v>
      </c>
      <c r="B2665" s="51" t="s">
        <v>1493</v>
      </c>
      <c r="C2665" s="51" t="s">
        <v>159</v>
      </c>
      <c r="D2665" s="51" t="s">
        <v>6140</v>
      </c>
      <c r="E2665" s="50">
        <v>2911</v>
      </c>
      <c r="F2665" s="50">
        <v>3211</v>
      </c>
      <c r="G2665" s="50" t="s">
        <v>3404</v>
      </c>
      <c r="H2665" s="50">
        <v>2025</v>
      </c>
      <c r="I2665" s="132">
        <v>45882</v>
      </c>
      <c r="J2665" s="50" t="s">
        <v>3127</v>
      </c>
      <c r="K2665" s="50" t="s">
        <v>37</v>
      </c>
      <c r="L2665" s="50"/>
      <c r="M2665" s="50" t="s">
        <v>328</v>
      </c>
      <c r="N2665" s="50" t="s">
        <v>6141</v>
      </c>
      <c r="O2665" s="60">
        <v>45885</v>
      </c>
      <c r="P2665" s="50"/>
      <c r="Q2665" s="60">
        <v>45887</v>
      </c>
      <c r="R2665" s="60">
        <v>45888</v>
      </c>
      <c r="S2665" s="50">
        <f t="shared" si="252"/>
        <v>2</v>
      </c>
      <c r="T2665" s="50" t="str">
        <f t="shared" si="250"/>
        <v/>
      </c>
      <c r="U2665" s="50">
        <f t="shared" si="251"/>
        <v>1</v>
      </c>
      <c r="V2665" s="50">
        <f t="shared" si="253"/>
        <v>1</v>
      </c>
      <c r="W2665" s="50" t="s">
        <v>150</v>
      </c>
      <c r="X2665" s="50" t="s">
        <v>1078</v>
      </c>
      <c r="Y2665" s="50" t="s">
        <v>50</v>
      </c>
      <c r="Z2665" s="50" t="s">
        <v>3406</v>
      </c>
      <c r="AA2665" s="50"/>
    </row>
    <row r="2666" spans="1:27" ht="25.5" customHeight="1">
      <c r="A2666" s="50" t="s">
        <v>779</v>
      </c>
      <c r="B2666" s="51" t="s">
        <v>1498</v>
      </c>
      <c r="C2666" s="51" t="s">
        <v>159</v>
      </c>
      <c r="D2666" s="51" t="s">
        <v>4045</v>
      </c>
      <c r="E2666" s="50">
        <v>1730</v>
      </c>
      <c r="F2666" s="50">
        <v>1835</v>
      </c>
      <c r="G2666" s="50" t="s">
        <v>3404</v>
      </c>
      <c r="H2666" s="50">
        <v>2024</v>
      </c>
      <c r="I2666" s="132">
        <v>45602</v>
      </c>
      <c r="J2666" s="50"/>
      <c r="K2666" s="50" t="s">
        <v>37</v>
      </c>
      <c r="L2666" s="50"/>
      <c r="M2666" s="50" t="s">
        <v>328</v>
      </c>
      <c r="N2666" s="50"/>
      <c r="O2666" s="50"/>
      <c r="P2666" s="50"/>
      <c r="Q2666" s="50"/>
      <c r="R2666" s="50"/>
      <c r="S2666" s="50" t="str">
        <f t="shared" si="252"/>
        <v/>
      </c>
      <c r="T2666" s="50" t="str">
        <f t="shared" ref="T2666:T2729" si="254">IF(
    OR(ISBLANK(O2666), ISBLANK(P2666)),
    "",
    MAX(1, IF(
        NETWORKDAYS(O2666, P2666) &lt;= 0,
        1,
        NETWORKDAYS(O2666, P2666) - IF(O2666 = P2666, 0, 1)
    ))
)</f>
        <v/>
      </c>
      <c r="U2666" s="50" t="str">
        <f t="shared" si="251"/>
        <v/>
      </c>
      <c r="V2666" s="50" t="str">
        <f t="shared" si="253"/>
        <v/>
      </c>
      <c r="W2666" s="50"/>
      <c r="X2666" s="50" t="s">
        <v>4</v>
      </c>
      <c r="Y2666" s="50" t="s">
        <v>50</v>
      </c>
      <c r="Z2666" s="50" t="s">
        <v>3406</v>
      </c>
      <c r="AA2666" s="50"/>
    </row>
    <row r="2667" spans="1:27" ht="25.5" customHeight="1">
      <c r="A2667" s="517" t="s">
        <v>779</v>
      </c>
      <c r="B2667" s="51" t="s">
        <v>1498</v>
      </c>
      <c r="C2667" s="51" t="s">
        <v>159</v>
      </c>
      <c r="D2667" s="51" t="s">
        <v>3508</v>
      </c>
      <c r="E2667" s="50">
        <v>2932</v>
      </c>
      <c r="F2667" s="50">
        <v>3105</v>
      </c>
      <c r="G2667" s="50" t="s">
        <v>3404</v>
      </c>
      <c r="H2667" s="50">
        <v>2025</v>
      </c>
      <c r="I2667" s="132">
        <v>45721</v>
      </c>
      <c r="J2667" s="50" t="s">
        <v>3416</v>
      </c>
      <c r="K2667" s="50" t="s">
        <v>37</v>
      </c>
      <c r="L2667" s="50"/>
      <c r="M2667" s="50" t="s">
        <v>328</v>
      </c>
      <c r="N2667" s="50" t="s">
        <v>6142</v>
      </c>
      <c r="O2667" s="60">
        <v>45721</v>
      </c>
      <c r="P2667" s="50"/>
      <c r="Q2667" s="60">
        <v>45726</v>
      </c>
      <c r="R2667" s="60">
        <v>45728</v>
      </c>
      <c r="S2667" s="50">
        <f t="shared" si="252"/>
        <v>1</v>
      </c>
      <c r="T2667" s="50" t="str">
        <f t="shared" si="254"/>
        <v/>
      </c>
      <c r="U2667" s="50">
        <f t="shared" si="251"/>
        <v>3</v>
      </c>
      <c r="V2667" s="50">
        <f t="shared" si="253"/>
        <v>2</v>
      </c>
      <c r="W2667" s="50" t="s">
        <v>150</v>
      </c>
      <c r="X2667" s="50" t="s">
        <v>4</v>
      </c>
      <c r="Y2667" s="50" t="s">
        <v>50</v>
      </c>
      <c r="Z2667" s="50" t="s">
        <v>3406</v>
      </c>
      <c r="AA2667" s="50"/>
    </row>
    <row r="2668" spans="1:27" s="110" customFormat="1" ht="25.5" customHeight="1">
      <c r="A2668" s="517" t="s">
        <v>779</v>
      </c>
      <c r="B2668" s="51" t="s">
        <v>1498</v>
      </c>
      <c r="C2668" s="51" t="s">
        <v>159</v>
      </c>
      <c r="D2668" s="51" t="s">
        <v>6143</v>
      </c>
      <c r="E2668" s="50">
        <v>756</v>
      </c>
      <c r="F2668" s="50">
        <v>886</v>
      </c>
      <c r="G2668" s="50" t="s">
        <v>3404</v>
      </c>
      <c r="H2668" s="50">
        <v>2025</v>
      </c>
      <c r="I2668" s="132">
        <v>45721</v>
      </c>
      <c r="J2668" s="50" t="s">
        <v>3416</v>
      </c>
      <c r="K2668" s="50" t="s">
        <v>37</v>
      </c>
      <c r="L2668" s="50"/>
      <c r="M2668" s="50" t="s">
        <v>328</v>
      </c>
      <c r="N2668" s="50" t="s">
        <v>6144</v>
      </c>
      <c r="O2668" s="60">
        <v>45723</v>
      </c>
      <c r="P2668" s="50"/>
      <c r="Q2668" s="60">
        <v>45726</v>
      </c>
      <c r="R2668" s="60">
        <v>45728</v>
      </c>
      <c r="S2668" s="50">
        <f t="shared" si="252"/>
        <v>2</v>
      </c>
      <c r="T2668" s="50" t="str">
        <f t="shared" si="254"/>
        <v/>
      </c>
      <c r="U2668" s="50">
        <f t="shared" si="251"/>
        <v>1</v>
      </c>
      <c r="V2668" s="50">
        <f t="shared" si="253"/>
        <v>2</v>
      </c>
      <c r="W2668" s="50" t="s">
        <v>150</v>
      </c>
      <c r="X2668" s="50" t="s">
        <v>1078</v>
      </c>
      <c r="Y2668" s="50" t="s">
        <v>50</v>
      </c>
      <c r="Z2668" s="50" t="s">
        <v>3406</v>
      </c>
      <c r="AA2668" s="50"/>
    </row>
    <row r="2669" spans="1:27" ht="25.5" customHeight="1">
      <c r="A2669" s="50" t="s">
        <v>779</v>
      </c>
      <c r="B2669" s="51" t="s">
        <v>1498</v>
      </c>
      <c r="C2669" s="51" t="s">
        <v>159</v>
      </c>
      <c r="D2669" s="51" t="s">
        <v>6145</v>
      </c>
      <c r="E2669" s="50">
        <v>4201</v>
      </c>
      <c r="F2669" s="50">
        <v>4505</v>
      </c>
      <c r="G2669" s="50" t="s">
        <v>3404</v>
      </c>
      <c r="H2669" s="50">
        <v>2024</v>
      </c>
      <c r="I2669" s="132">
        <v>45419</v>
      </c>
      <c r="J2669" s="50"/>
      <c r="K2669" s="50" t="s">
        <v>37</v>
      </c>
      <c r="L2669" s="50"/>
      <c r="M2669" s="50" t="s">
        <v>328</v>
      </c>
      <c r="N2669" s="50"/>
      <c r="O2669" s="50"/>
      <c r="P2669" s="50"/>
      <c r="Q2669" s="50"/>
      <c r="R2669" s="50"/>
      <c r="S2669" s="50" t="str">
        <f t="shared" si="252"/>
        <v/>
      </c>
      <c r="T2669" s="50" t="str">
        <f t="shared" si="254"/>
        <v/>
      </c>
      <c r="U2669" s="50" t="str">
        <f t="shared" si="251"/>
        <v/>
      </c>
      <c r="V2669" s="50" t="str">
        <f t="shared" si="253"/>
        <v/>
      </c>
      <c r="W2669" s="50"/>
      <c r="X2669" s="50"/>
      <c r="Y2669" s="50"/>
      <c r="Z2669" s="50" t="s">
        <v>3406</v>
      </c>
      <c r="AA2669" s="50"/>
    </row>
    <row r="2670" spans="1:27" ht="25.5" customHeight="1">
      <c r="A2670" s="517" t="s">
        <v>779</v>
      </c>
      <c r="B2670" s="51" t="s">
        <v>1498</v>
      </c>
      <c r="C2670" s="51" t="s">
        <v>159</v>
      </c>
      <c r="D2670" s="51" t="s">
        <v>5309</v>
      </c>
      <c r="E2670" s="50">
        <v>783</v>
      </c>
      <c r="F2670" s="50">
        <v>722</v>
      </c>
      <c r="G2670" s="50" t="s">
        <v>3955</v>
      </c>
      <c r="H2670" s="50"/>
      <c r="I2670" s="105"/>
      <c r="J2670" s="50"/>
      <c r="K2670" s="50" t="s">
        <v>37</v>
      </c>
      <c r="L2670" s="50"/>
      <c r="M2670" s="50" t="s">
        <v>328</v>
      </c>
      <c r="N2670" s="50"/>
      <c r="O2670" s="50"/>
      <c r="P2670" s="50"/>
      <c r="Q2670" s="50"/>
      <c r="R2670" s="50"/>
      <c r="S2670" s="50" t="str">
        <f t="shared" si="252"/>
        <v/>
      </c>
      <c r="T2670" s="50" t="str">
        <f t="shared" si="254"/>
        <v/>
      </c>
      <c r="U2670" s="50" t="str">
        <f t="shared" ref="U2670:U2733" si="255">IF(
    OR(ISBLANK(O2670), ISBLANK(Q2670)),
    "",
    MAX(1, IF(
        NETWORKDAYS(O2670, Q2670) &lt;= 0,
        1,
        NETWORKDAYS(O2670, Q2670) - IF(O2670 = Q2670, 0, 1)
    ))
)</f>
        <v/>
      </c>
      <c r="V2670" s="50" t="str">
        <f t="shared" si="253"/>
        <v/>
      </c>
      <c r="W2670" s="50"/>
      <c r="X2670" s="50"/>
      <c r="Y2670" s="50"/>
      <c r="Z2670" s="50"/>
      <c r="AA2670" s="50"/>
    </row>
    <row r="2671" spans="1:27" ht="25.5" customHeight="1">
      <c r="A2671" s="517" t="s">
        <v>779</v>
      </c>
      <c r="B2671" s="51" t="s">
        <v>1498</v>
      </c>
      <c r="C2671" s="51" t="s">
        <v>159</v>
      </c>
      <c r="D2671" s="51" t="s">
        <v>1499</v>
      </c>
      <c r="E2671" s="50">
        <v>1193</v>
      </c>
      <c r="F2671" s="50">
        <v>1296</v>
      </c>
      <c r="G2671" s="50" t="s">
        <v>3955</v>
      </c>
      <c r="H2671" s="50"/>
      <c r="I2671" s="105"/>
      <c r="J2671" s="50"/>
      <c r="K2671" s="50" t="s">
        <v>37</v>
      </c>
      <c r="L2671" s="50"/>
      <c r="M2671" s="50" t="s">
        <v>328</v>
      </c>
      <c r="N2671" s="50"/>
      <c r="O2671" s="50"/>
      <c r="P2671" s="50"/>
      <c r="Q2671" s="50"/>
      <c r="R2671" s="50"/>
      <c r="S2671" s="50" t="str">
        <f t="shared" si="252"/>
        <v/>
      </c>
      <c r="T2671" s="50" t="str">
        <f t="shared" si="254"/>
        <v/>
      </c>
      <c r="U2671" s="50" t="str">
        <f t="shared" si="255"/>
        <v/>
      </c>
      <c r="V2671" s="50" t="str">
        <f t="shared" si="253"/>
        <v/>
      </c>
      <c r="W2671" s="50"/>
      <c r="X2671" s="50"/>
      <c r="Y2671" s="50"/>
      <c r="Z2671" s="50"/>
      <c r="AA2671" s="50"/>
    </row>
    <row r="2672" spans="1:27" ht="25.5" customHeight="1">
      <c r="A2672" s="50" t="s">
        <v>779</v>
      </c>
      <c r="B2672" s="51" t="s">
        <v>1498</v>
      </c>
      <c r="C2672" s="51" t="s">
        <v>159</v>
      </c>
      <c r="D2672" s="51" t="s">
        <v>6146</v>
      </c>
      <c r="E2672" s="50">
        <v>1062</v>
      </c>
      <c r="F2672" s="50">
        <v>1284</v>
      </c>
      <c r="G2672" s="50" t="s">
        <v>3404</v>
      </c>
      <c r="H2672" s="50">
        <v>2024</v>
      </c>
      <c r="I2672" s="132">
        <v>45540</v>
      </c>
      <c r="J2672" s="50"/>
      <c r="K2672" s="50" t="s">
        <v>37</v>
      </c>
      <c r="L2672" s="50"/>
      <c r="M2672" s="50" t="s">
        <v>328</v>
      </c>
      <c r="N2672" s="50"/>
      <c r="O2672" s="50"/>
      <c r="P2672" s="50"/>
      <c r="Q2672" s="50"/>
      <c r="R2672" s="50"/>
      <c r="S2672" s="50" t="str">
        <f t="shared" ref="S2672:S2735" si="256">IF(
    OR(ISBLANK(I2672), ISBLANK(O2672)),
    "",
    MAX(1, IF(
        NETWORKDAYS(I2672, O2672) &lt;= 0,
        1,
        NETWORKDAYS(I2672, O2672) - IF(I2672 = O2672, 0, 1)
    ))
)</f>
        <v/>
      </c>
      <c r="T2672" s="50" t="str">
        <f t="shared" si="254"/>
        <v/>
      </c>
      <c r="U2672" s="50" t="str">
        <f t="shared" si="255"/>
        <v/>
      </c>
      <c r="V2672" s="50" t="str">
        <f t="shared" ref="V2672:V2735" si="257">IF(
    OR(ISBLANK(Q2672), ISBLANK(R2672)),
    "",
    MAX(1, IF(
        NETWORKDAYS(Q2672, R2672) &lt;= 0,
        1,
        NETWORKDAYS(Q2672, R2672) - IF(Q2672 = R2672, 0, 1)
    ))
)</f>
        <v/>
      </c>
      <c r="W2672" s="50"/>
      <c r="X2672" s="50" t="s">
        <v>4</v>
      </c>
      <c r="Y2672" s="50" t="s">
        <v>50</v>
      </c>
      <c r="Z2672" s="50" t="s">
        <v>3406</v>
      </c>
      <c r="AA2672" s="50"/>
    </row>
    <row r="2673" spans="1:27" s="110" customFormat="1" ht="25.5" customHeight="1">
      <c r="A2673" s="50" t="s">
        <v>779</v>
      </c>
      <c r="B2673" s="51" t="s">
        <v>1498</v>
      </c>
      <c r="C2673" s="51" t="s">
        <v>159</v>
      </c>
      <c r="D2673" s="51" t="s">
        <v>6147</v>
      </c>
      <c r="E2673" s="50">
        <v>1040</v>
      </c>
      <c r="F2673" s="50">
        <v>1225</v>
      </c>
      <c r="G2673" s="50" t="s">
        <v>3404</v>
      </c>
      <c r="H2673" s="50">
        <v>2024</v>
      </c>
      <c r="I2673" s="132">
        <v>45511</v>
      </c>
      <c r="J2673" s="50"/>
      <c r="K2673" s="50" t="s">
        <v>37</v>
      </c>
      <c r="L2673" s="50"/>
      <c r="M2673" s="50" t="s">
        <v>328</v>
      </c>
      <c r="N2673" s="50"/>
      <c r="O2673" s="50"/>
      <c r="P2673" s="50"/>
      <c r="Q2673" s="50"/>
      <c r="R2673" s="50"/>
      <c r="S2673" s="50" t="str">
        <f t="shared" si="256"/>
        <v/>
      </c>
      <c r="T2673" s="50" t="str">
        <f t="shared" si="254"/>
        <v/>
      </c>
      <c r="U2673" s="50" t="str">
        <f t="shared" si="255"/>
        <v/>
      </c>
      <c r="V2673" s="50" t="str">
        <f t="shared" si="257"/>
        <v/>
      </c>
      <c r="W2673" s="50"/>
      <c r="X2673" s="50" t="s">
        <v>4</v>
      </c>
      <c r="Y2673" s="50" t="s">
        <v>50</v>
      </c>
      <c r="Z2673" s="50" t="s">
        <v>3406</v>
      </c>
      <c r="AA2673" s="50"/>
    </row>
    <row r="2674" spans="1:27" ht="25.5" customHeight="1">
      <c r="A2674" s="517" t="s">
        <v>779</v>
      </c>
      <c r="B2674" s="51" t="s">
        <v>1498</v>
      </c>
      <c r="C2674" s="51" t="s">
        <v>159</v>
      </c>
      <c r="D2674" s="51" t="s">
        <v>6148</v>
      </c>
      <c r="E2674" s="50">
        <v>1098</v>
      </c>
      <c r="F2674" s="50">
        <v>1163</v>
      </c>
      <c r="G2674" s="50" t="s">
        <v>3955</v>
      </c>
      <c r="H2674" s="50"/>
      <c r="I2674" s="105"/>
      <c r="J2674" s="50"/>
      <c r="K2674" s="50" t="s">
        <v>37</v>
      </c>
      <c r="L2674" s="50"/>
      <c r="M2674" s="50" t="s">
        <v>328</v>
      </c>
      <c r="N2674" s="50"/>
      <c r="O2674" s="50"/>
      <c r="P2674" s="50"/>
      <c r="Q2674" s="50"/>
      <c r="R2674" s="50"/>
      <c r="S2674" s="50" t="str">
        <f t="shared" si="256"/>
        <v/>
      </c>
      <c r="T2674" s="50" t="str">
        <f t="shared" si="254"/>
        <v/>
      </c>
      <c r="U2674" s="50" t="str">
        <f t="shared" si="255"/>
        <v/>
      </c>
      <c r="V2674" s="50" t="str">
        <f t="shared" si="257"/>
        <v/>
      </c>
      <c r="W2674" s="50"/>
      <c r="X2674" s="50"/>
      <c r="Y2674" s="50"/>
      <c r="Z2674" s="50"/>
      <c r="AA2674" s="50"/>
    </row>
    <row r="2675" spans="1:27" ht="25.5" customHeight="1">
      <c r="A2675" s="50" t="s">
        <v>779</v>
      </c>
      <c r="B2675" s="51" t="s">
        <v>1498</v>
      </c>
      <c r="C2675" s="51" t="s">
        <v>159</v>
      </c>
      <c r="D2675" s="51" t="s">
        <v>5988</v>
      </c>
      <c r="E2675" s="50">
        <v>1059</v>
      </c>
      <c r="F2675" s="50">
        <v>1208</v>
      </c>
      <c r="G2675" s="50" t="s">
        <v>3404</v>
      </c>
      <c r="H2675" s="50">
        <v>2024</v>
      </c>
      <c r="I2675" s="132">
        <v>45461</v>
      </c>
      <c r="J2675" s="50"/>
      <c r="K2675" s="50" t="s">
        <v>37</v>
      </c>
      <c r="L2675" s="50"/>
      <c r="M2675" s="50" t="s">
        <v>328</v>
      </c>
      <c r="N2675" s="50"/>
      <c r="O2675" s="50"/>
      <c r="P2675" s="50"/>
      <c r="Q2675" s="50"/>
      <c r="R2675" s="50"/>
      <c r="S2675" s="50" t="str">
        <f t="shared" si="256"/>
        <v/>
      </c>
      <c r="T2675" s="50" t="str">
        <f t="shared" si="254"/>
        <v/>
      </c>
      <c r="U2675" s="50" t="str">
        <f t="shared" si="255"/>
        <v/>
      </c>
      <c r="V2675" s="50" t="str">
        <f t="shared" si="257"/>
        <v/>
      </c>
      <c r="W2675" s="50"/>
      <c r="X2675" s="50"/>
      <c r="Y2675" s="50"/>
      <c r="Z2675" s="50" t="s">
        <v>3406</v>
      </c>
      <c r="AA2675" s="50"/>
    </row>
    <row r="2676" spans="1:27" ht="25.5" customHeight="1">
      <c r="A2676" s="517" t="s">
        <v>779</v>
      </c>
      <c r="B2676" s="51" t="s">
        <v>1498</v>
      </c>
      <c r="C2676" s="51" t="s">
        <v>159</v>
      </c>
      <c r="D2676" s="51" t="s">
        <v>5989</v>
      </c>
      <c r="E2676" s="50">
        <v>1207</v>
      </c>
      <c r="F2676" s="50">
        <v>1192</v>
      </c>
      <c r="G2676" s="50" t="s">
        <v>3404</v>
      </c>
      <c r="H2676" s="50">
        <v>2025</v>
      </c>
      <c r="I2676" s="132">
        <v>45966</v>
      </c>
      <c r="J2676" s="50" t="s">
        <v>3129</v>
      </c>
      <c r="K2676" s="50" t="s">
        <v>37</v>
      </c>
      <c r="L2676" s="50" t="s">
        <v>1453</v>
      </c>
      <c r="M2676" s="50" t="s">
        <v>28</v>
      </c>
      <c r="N2676" s="50" t="s">
        <v>6149</v>
      </c>
      <c r="O2676" s="132">
        <v>45966</v>
      </c>
      <c r="P2676" s="60">
        <v>45978</v>
      </c>
      <c r="Q2676" s="60">
        <v>45978</v>
      </c>
      <c r="R2676" s="60">
        <v>45978</v>
      </c>
      <c r="S2676" s="50">
        <f t="shared" si="256"/>
        <v>1</v>
      </c>
      <c r="T2676" s="50">
        <f t="shared" si="254"/>
        <v>8</v>
      </c>
      <c r="U2676" s="50">
        <f t="shared" si="255"/>
        <v>8</v>
      </c>
      <c r="V2676" s="50">
        <f t="shared" si="257"/>
        <v>1</v>
      </c>
      <c r="W2676" s="50" t="s">
        <v>150</v>
      </c>
      <c r="X2676" s="50" t="s">
        <v>1078</v>
      </c>
      <c r="Y2676" s="50" t="s">
        <v>50</v>
      </c>
      <c r="Z2676" s="50" t="s">
        <v>3406</v>
      </c>
      <c r="AA2676" s="50"/>
    </row>
    <row r="2677" spans="1:27" s="110" customFormat="1" ht="25.5" customHeight="1">
      <c r="A2677" s="50" t="s">
        <v>779</v>
      </c>
      <c r="B2677" s="51" t="s">
        <v>1498</v>
      </c>
      <c r="C2677" s="51" t="s">
        <v>159</v>
      </c>
      <c r="D2677" s="51" t="s">
        <v>6150</v>
      </c>
      <c r="E2677" s="50">
        <v>847</v>
      </c>
      <c r="F2677" s="50">
        <v>942</v>
      </c>
      <c r="G2677" s="50" t="s">
        <v>3404</v>
      </c>
      <c r="H2677" s="50">
        <v>2024</v>
      </c>
      <c r="I2677" s="132">
        <v>45414</v>
      </c>
      <c r="J2677" s="50"/>
      <c r="K2677" s="50" t="s">
        <v>37</v>
      </c>
      <c r="L2677" s="50"/>
      <c r="M2677" s="50" t="s">
        <v>328</v>
      </c>
      <c r="N2677" s="50"/>
      <c r="O2677" s="50"/>
      <c r="P2677" s="50"/>
      <c r="Q2677" s="50"/>
      <c r="R2677" s="50"/>
      <c r="S2677" s="50" t="str">
        <f t="shared" si="256"/>
        <v/>
      </c>
      <c r="T2677" s="50" t="str">
        <f t="shared" si="254"/>
        <v/>
      </c>
      <c r="U2677" s="50" t="str">
        <f t="shared" si="255"/>
        <v/>
      </c>
      <c r="V2677" s="50" t="str">
        <f t="shared" si="257"/>
        <v/>
      </c>
      <c r="W2677" s="50"/>
      <c r="X2677" s="50"/>
      <c r="Y2677" s="50"/>
      <c r="Z2677" s="50" t="s">
        <v>3406</v>
      </c>
      <c r="AA2677" s="50"/>
    </row>
    <row r="2678" spans="1:27" ht="25.5" customHeight="1">
      <c r="A2678" s="50" t="s">
        <v>779</v>
      </c>
      <c r="B2678" s="51" t="s">
        <v>1498</v>
      </c>
      <c r="C2678" s="51" t="s">
        <v>159</v>
      </c>
      <c r="D2678" s="51" t="s">
        <v>5995</v>
      </c>
      <c r="E2678" s="50">
        <v>1695</v>
      </c>
      <c r="F2678" s="50">
        <v>2004</v>
      </c>
      <c r="G2678" s="50" t="s">
        <v>3404</v>
      </c>
      <c r="H2678" s="50">
        <v>2024</v>
      </c>
      <c r="I2678" s="132">
        <v>45540</v>
      </c>
      <c r="J2678" s="50"/>
      <c r="K2678" s="50" t="s">
        <v>37</v>
      </c>
      <c r="L2678" s="50"/>
      <c r="M2678" s="50" t="s">
        <v>328</v>
      </c>
      <c r="N2678" s="50"/>
      <c r="O2678" s="50"/>
      <c r="P2678" s="50"/>
      <c r="Q2678" s="50"/>
      <c r="R2678" s="50"/>
      <c r="S2678" s="50" t="str">
        <f t="shared" si="256"/>
        <v/>
      </c>
      <c r="T2678" s="50" t="str">
        <f t="shared" si="254"/>
        <v/>
      </c>
      <c r="U2678" s="50" t="str">
        <f t="shared" si="255"/>
        <v/>
      </c>
      <c r="V2678" s="50" t="str">
        <f t="shared" si="257"/>
        <v/>
      </c>
      <c r="W2678" s="50"/>
      <c r="X2678" s="50" t="s">
        <v>4</v>
      </c>
      <c r="Y2678" s="50" t="s">
        <v>50</v>
      </c>
      <c r="Z2678" s="50" t="s">
        <v>3406</v>
      </c>
      <c r="AA2678" s="50"/>
    </row>
    <row r="2679" spans="1:27" s="110" customFormat="1" ht="25.5" customHeight="1">
      <c r="A2679" s="517" t="s">
        <v>779</v>
      </c>
      <c r="B2679" s="51" t="s">
        <v>1498</v>
      </c>
      <c r="C2679" s="51" t="s">
        <v>159</v>
      </c>
      <c r="D2679" s="51" t="s">
        <v>4943</v>
      </c>
      <c r="E2679" s="50">
        <v>1437</v>
      </c>
      <c r="F2679" s="50">
        <v>1609</v>
      </c>
      <c r="G2679" s="50" t="s">
        <v>3404</v>
      </c>
      <c r="H2679" s="50">
        <v>2025</v>
      </c>
      <c r="I2679" s="132">
        <v>45911</v>
      </c>
      <c r="J2679" s="50" t="s">
        <v>3127</v>
      </c>
      <c r="K2679" s="50" t="s">
        <v>37</v>
      </c>
      <c r="L2679" s="50"/>
      <c r="M2679" s="50" t="s">
        <v>328</v>
      </c>
      <c r="N2679" s="50" t="s">
        <v>6151</v>
      </c>
      <c r="O2679" s="60">
        <v>45914</v>
      </c>
      <c r="P2679" s="50"/>
      <c r="Q2679" s="60">
        <v>45916</v>
      </c>
      <c r="R2679" s="60">
        <v>45918</v>
      </c>
      <c r="S2679" s="50">
        <f t="shared" si="256"/>
        <v>1</v>
      </c>
      <c r="T2679" s="50" t="str">
        <f t="shared" si="254"/>
        <v/>
      </c>
      <c r="U2679" s="50">
        <f t="shared" si="255"/>
        <v>1</v>
      </c>
      <c r="V2679" s="50">
        <f t="shared" si="257"/>
        <v>2</v>
      </c>
      <c r="W2679" s="50" t="s">
        <v>150</v>
      </c>
      <c r="X2679" s="50" t="s">
        <v>3527</v>
      </c>
      <c r="Y2679" s="50" t="s">
        <v>3528</v>
      </c>
      <c r="Z2679" s="50" t="s">
        <v>3406</v>
      </c>
      <c r="AA2679" s="50"/>
    </row>
    <row r="2680" spans="1:27" ht="25.5" customHeight="1">
      <c r="A2680" s="517" t="s">
        <v>779</v>
      </c>
      <c r="B2680" s="51" t="s">
        <v>1498</v>
      </c>
      <c r="C2680" s="51" t="s">
        <v>159</v>
      </c>
      <c r="D2680" s="51" t="s">
        <v>6152</v>
      </c>
      <c r="E2680" s="50">
        <v>1406</v>
      </c>
      <c r="F2680" s="50">
        <v>1601</v>
      </c>
      <c r="G2680" s="50" t="s">
        <v>3404</v>
      </c>
      <c r="H2680" s="50">
        <v>2025</v>
      </c>
      <c r="I2680" s="132">
        <v>45911</v>
      </c>
      <c r="J2680" s="50" t="s">
        <v>3127</v>
      </c>
      <c r="K2680" s="50" t="s">
        <v>37</v>
      </c>
      <c r="L2680" s="50"/>
      <c r="M2680" s="50" t="s">
        <v>328</v>
      </c>
      <c r="N2680" s="50" t="s">
        <v>6153</v>
      </c>
      <c r="O2680" s="60">
        <v>45914</v>
      </c>
      <c r="P2680" s="50"/>
      <c r="Q2680" s="60">
        <v>45916</v>
      </c>
      <c r="R2680" s="60">
        <v>45918</v>
      </c>
      <c r="S2680" s="50">
        <f t="shared" si="256"/>
        <v>1</v>
      </c>
      <c r="T2680" s="50" t="str">
        <f t="shared" si="254"/>
        <v/>
      </c>
      <c r="U2680" s="50">
        <f t="shared" si="255"/>
        <v>1</v>
      </c>
      <c r="V2680" s="50">
        <f t="shared" si="257"/>
        <v>2</v>
      </c>
      <c r="W2680" s="50" t="s">
        <v>150</v>
      </c>
      <c r="X2680" s="50" t="s">
        <v>3527</v>
      </c>
      <c r="Y2680" s="50" t="s">
        <v>3528</v>
      </c>
      <c r="Z2680" s="50" t="s">
        <v>3406</v>
      </c>
      <c r="AA2680" s="50"/>
    </row>
    <row r="2681" spans="1:27" ht="25.5" customHeight="1">
      <c r="A2681" s="517" t="s">
        <v>779</v>
      </c>
      <c r="B2681" s="51" t="s">
        <v>1498</v>
      </c>
      <c r="C2681" s="51" t="s">
        <v>159</v>
      </c>
      <c r="D2681" s="51" t="s">
        <v>5987</v>
      </c>
      <c r="E2681" s="50">
        <v>1266</v>
      </c>
      <c r="F2681" s="50">
        <v>1204</v>
      </c>
      <c r="G2681" s="50" t="s">
        <v>3404</v>
      </c>
      <c r="H2681" s="50">
        <v>2025</v>
      </c>
      <c r="I2681" s="132">
        <v>45911</v>
      </c>
      <c r="J2681" s="50" t="s">
        <v>3127</v>
      </c>
      <c r="K2681" s="50" t="s">
        <v>37</v>
      </c>
      <c r="L2681" s="50"/>
      <c r="M2681" s="50" t="s">
        <v>328</v>
      </c>
      <c r="N2681" s="50" t="s">
        <v>6154</v>
      </c>
      <c r="O2681" s="60">
        <v>45914</v>
      </c>
      <c r="P2681" s="50"/>
      <c r="Q2681" s="60">
        <v>45916</v>
      </c>
      <c r="R2681" s="60">
        <v>45918</v>
      </c>
      <c r="S2681" s="50">
        <f t="shared" si="256"/>
        <v>1</v>
      </c>
      <c r="T2681" s="50" t="str">
        <f t="shared" si="254"/>
        <v/>
      </c>
      <c r="U2681" s="50">
        <f t="shared" si="255"/>
        <v>1</v>
      </c>
      <c r="V2681" s="50">
        <f t="shared" si="257"/>
        <v>2</v>
      </c>
      <c r="W2681" s="50" t="s">
        <v>150</v>
      </c>
      <c r="X2681" s="50" t="s">
        <v>3527</v>
      </c>
      <c r="Y2681" s="50" t="s">
        <v>3528</v>
      </c>
      <c r="Z2681" s="50" t="s">
        <v>3406</v>
      </c>
      <c r="AA2681" s="50"/>
    </row>
    <row r="2682" spans="1:27" ht="25.5" customHeight="1">
      <c r="A2682" s="50" t="s">
        <v>779</v>
      </c>
      <c r="B2682" s="51" t="s">
        <v>1502</v>
      </c>
      <c r="C2682" s="51" t="s">
        <v>159</v>
      </c>
      <c r="D2682" s="51" t="s">
        <v>6155</v>
      </c>
      <c r="E2682" s="50">
        <v>3538</v>
      </c>
      <c r="F2682" s="50">
        <v>4270</v>
      </c>
      <c r="G2682" s="50" t="s">
        <v>3404</v>
      </c>
      <c r="H2682" s="50">
        <v>2024</v>
      </c>
      <c r="I2682" s="132">
        <v>45546</v>
      </c>
      <c r="J2682" s="50"/>
      <c r="K2682" s="50" t="s">
        <v>5783</v>
      </c>
      <c r="L2682" s="50"/>
      <c r="M2682" s="50" t="s">
        <v>328</v>
      </c>
      <c r="N2682" s="50"/>
      <c r="O2682" s="50"/>
      <c r="P2682" s="50"/>
      <c r="Q2682" s="50"/>
      <c r="R2682" s="50"/>
      <c r="S2682" s="50" t="str">
        <f t="shared" si="256"/>
        <v/>
      </c>
      <c r="T2682" s="50" t="str">
        <f t="shared" si="254"/>
        <v/>
      </c>
      <c r="U2682" s="50" t="str">
        <f t="shared" si="255"/>
        <v/>
      </c>
      <c r="V2682" s="50" t="str">
        <f t="shared" si="257"/>
        <v/>
      </c>
      <c r="W2682" s="50"/>
      <c r="X2682" s="50" t="s">
        <v>1078</v>
      </c>
      <c r="Y2682" s="50" t="s">
        <v>50</v>
      </c>
      <c r="Z2682" s="50" t="s">
        <v>3406</v>
      </c>
      <c r="AA2682" s="50"/>
    </row>
    <row r="2683" spans="1:27" ht="25.5" customHeight="1">
      <c r="A2683" s="517" t="s">
        <v>779</v>
      </c>
      <c r="B2683" s="51" t="s">
        <v>1502</v>
      </c>
      <c r="C2683" s="51" t="s">
        <v>159</v>
      </c>
      <c r="D2683" s="51" t="s">
        <v>6156</v>
      </c>
      <c r="E2683" s="50">
        <v>3634</v>
      </c>
      <c r="F2683" s="50">
        <v>3680</v>
      </c>
      <c r="G2683" s="50" t="s">
        <v>3955</v>
      </c>
      <c r="H2683" s="50"/>
      <c r="I2683" s="105"/>
      <c r="J2683" s="50"/>
      <c r="K2683" s="50" t="s">
        <v>5783</v>
      </c>
      <c r="L2683" s="50"/>
      <c r="M2683" s="50" t="s">
        <v>328</v>
      </c>
      <c r="N2683" s="50"/>
      <c r="O2683" s="50"/>
      <c r="P2683" s="50"/>
      <c r="Q2683" s="50"/>
      <c r="R2683" s="50"/>
      <c r="S2683" s="50" t="str">
        <f t="shared" si="256"/>
        <v/>
      </c>
      <c r="T2683" s="50" t="str">
        <f t="shared" si="254"/>
        <v/>
      </c>
      <c r="U2683" s="50" t="str">
        <f t="shared" si="255"/>
        <v/>
      </c>
      <c r="V2683" s="50" t="str">
        <f t="shared" si="257"/>
        <v/>
      </c>
      <c r="W2683" s="50"/>
      <c r="X2683" s="50"/>
      <c r="Y2683" s="50"/>
      <c r="Z2683" s="50"/>
      <c r="AA2683" s="50"/>
    </row>
    <row r="2684" spans="1:27" ht="25.5" customHeight="1">
      <c r="A2684" s="517" t="s">
        <v>779</v>
      </c>
      <c r="B2684" s="51" t="s">
        <v>1502</v>
      </c>
      <c r="C2684" s="51" t="s">
        <v>159</v>
      </c>
      <c r="D2684" s="51" t="s">
        <v>1503</v>
      </c>
      <c r="E2684" s="50">
        <v>4567</v>
      </c>
      <c r="F2684" s="50">
        <v>5102</v>
      </c>
      <c r="G2684" s="50" t="s">
        <v>3404</v>
      </c>
      <c r="H2684" s="50">
        <v>2025</v>
      </c>
      <c r="I2684" s="132">
        <v>45800</v>
      </c>
      <c r="J2684" s="50" t="s">
        <v>3689</v>
      </c>
      <c r="K2684" s="50" t="s">
        <v>5783</v>
      </c>
      <c r="L2684" s="50"/>
      <c r="M2684" s="50" t="s">
        <v>328</v>
      </c>
      <c r="N2684" s="50" t="s">
        <v>6157</v>
      </c>
      <c r="O2684" s="60">
        <v>45803</v>
      </c>
      <c r="P2684" s="50"/>
      <c r="Q2684" s="60">
        <v>45813</v>
      </c>
      <c r="R2684" s="60">
        <v>45813</v>
      </c>
      <c r="S2684" s="50">
        <f t="shared" si="256"/>
        <v>1</v>
      </c>
      <c r="T2684" s="50" t="str">
        <f t="shared" si="254"/>
        <v/>
      </c>
      <c r="U2684" s="50">
        <f t="shared" si="255"/>
        <v>8</v>
      </c>
      <c r="V2684" s="50">
        <f t="shared" si="257"/>
        <v>1</v>
      </c>
      <c r="W2684" s="50" t="s">
        <v>150</v>
      </c>
      <c r="X2684" s="50" t="s">
        <v>1078</v>
      </c>
      <c r="Y2684" s="50" t="s">
        <v>50</v>
      </c>
      <c r="Z2684" s="50" t="s">
        <v>3406</v>
      </c>
      <c r="AA2684" s="50"/>
    </row>
    <row r="2685" spans="1:27" s="110" customFormat="1" ht="25.5" customHeight="1">
      <c r="A2685" s="517" t="s">
        <v>779</v>
      </c>
      <c r="B2685" s="51" t="s">
        <v>1502</v>
      </c>
      <c r="C2685" s="51" t="s">
        <v>159</v>
      </c>
      <c r="D2685" s="51" t="s">
        <v>6158</v>
      </c>
      <c r="E2685" s="50">
        <v>1788</v>
      </c>
      <c r="F2685" s="50">
        <v>1791</v>
      </c>
      <c r="G2685" s="50" t="s">
        <v>3404</v>
      </c>
      <c r="H2685" s="50">
        <v>2025</v>
      </c>
      <c r="I2685" s="132">
        <v>45678</v>
      </c>
      <c r="J2685" s="50" t="s">
        <v>3424</v>
      </c>
      <c r="K2685" s="50" t="s">
        <v>5783</v>
      </c>
      <c r="L2685" s="50"/>
      <c r="M2685" s="50" t="s">
        <v>328</v>
      </c>
      <c r="N2685" s="50" t="s">
        <v>6159</v>
      </c>
      <c r="O2685" s="60">
        <v>45679</v>
      </c>
      <c r="P2685" s="50"/>
      <c r="Q2685" s="60">
        <v>45682</v>
      </c>
      <c r="R2685" s="60">
        <v>45681</v>
      </c>
      <c r="S2685" s="50">
        <f t="shared" si="256"/>
        <v>1</v>
      </c>
      <c r="T2685" s="50" t="str">
        <f t="shared" si="254"/>
        <v/>
      </c>
      <c r="U2685" s="50">
        <f t="shared" si="255"/>
        <v>2</v>
      </c>
      <c r="V2685" s="50">
        <f t="shared" si="257"/>
        <v>1</v>
      </c>
      <c r="W2685" s="50" t="s">
        <v>150</v>
      </c>
      <c r="X2685" s="50" t="s">
        <v>4</v>
      </c>
      <c r="Y2685" s="50" t="s">
        <v>50</v>
      </c>
      <c r="Z2685" s="50" t="s">
        <v>3406</v>
      </c>
      <c r="AA2685" s="50"/>
    </row>
    <row r="2686" spans="1:27" ht="25.5" customHeight="1">
      <c r="A2686" s="50" t="s">
        <v>779</v>
      </c>
      <c r="B2686" s="51" t="s">
        <v>1502</v>
      </c>
      <c r="C2686" s="51" t="s">
        <v>159</v>
      </c>
      <c r="D2686" s="51" t="s">
        <v>4991</v>
      </c>
      <c r="E2686" s="50">
        <v>1502</v>
      </c>
      <c r="F2686" s="50">
        <v>1415</v>
      </c>
      <c r="G2686" s="50" t="s">
        <v>3404</v>
      </c>
      <c r="H2686" s="50">
        <v>2024</v>
      </c>
      <c r="I2686" s="132">
        <v>45568</v>
      </c>
      <c r="J2686" s="50"/>
      <c r="K2686" s="50" t="s">
        <v>5783</v>
      </c>
      <c r="L2686" s="50"/>
      <c r="M2686" s="50" t="s">
        <v>328</v>
      </c>
      <c r="N2686" s="50"/>
      <c r="O2686" s="50"/>
      <c r="P2686" s="50"/>
      <c r="Q2686" s="50"/>
      <c r="R2686" s="50"/>
      <c r="S2686" s="50" t="str">
        <f t="shared" si="256"/>
        <v/>
      </c>
      <c r="T2686" s="50" t="str">
        <f t="shared" si="254"/>
        <v/>
      </c>
      <c r="U2686" s="50" t="str">
        <f t="shared" si="255"/>
        <v/>
      </c>
      <c r="V2686" s="50" t="str">
        <f t="shared" si="257"/>
        <v/>
      </c>
      <c r="W2686" s="50"/>
      <c r="X2686" s="50" t="s">
        <v>1078</v>
      </c>
      <c r="Y2686" s="50" t="s">
        <v>50</v>
      </c>
      <c r="Z2686" s="50" t="s">
        <v>3406</v>
      </c>
      <c r="AA2686" s="50"/>
    </row>
    <row r="2687" spans="1:27" ht="25.5" customHeight="1">
      <c r="A2687" s="517" t="s">
        <v>779</v>
      </c>
      <c r="B2687" s="51" t="s">
        <v>1502</v>
      </c>
      <c r="C2687" s="51" t="s">
        <v>159</v>
      </c>
      <c r="D2687" s="51" t="s">
        <v>2068</v>
      </c>
      <c r="E2687" s="50">
        <v>2395</v>
      </c>
      <c r="F2687" s="50">
        <v>2498</v>
      </c>
      <c r="G2687" s="50" t="s">
        <v>3404</v>
      </c>
      <c r="H2687" s="50">
        <v>2025</v>
      </c>
      <c r="I2687" s="132">
        <v>45800</v>
      </c>
      <c r="J2687" s="50" t="s">
        <v>3689</v>
      </c>
      <c r="K2687" s="50" t="s">
        <v>5783</v>
      </c>
      <c r="L2687" s="50"/>
      <c r="M2687" s="50" t="s">
        <v>328</v>
      </c>
      <c r="N2687" s="50" t="s">
        <v>6160</v>
      </c>
      <c r="O2687" s="60">
        <v>45802</v>
      </c>
      <c r="P2687" s="50"/>
      <c r="Q2687" s="60">
        <v>45803</v>
      </c>
      <c r="R2687" s="60">
        <v>45803</v>
      </c>
      <c r="S2687" s="50">
        <f t="shared" si="256"/>
        <v>1</v>
      </c>
      <c r="T2687" s="50" t="str">
        <f t="shared" si="254"/>
        <v/>
      </c>
      <c r="U2687" s="50">
        <f t="shared" si="255"/>
        <v>1</v>
      </c>
      <c r="V2687" s="50">
        <f t="shared" si="257"/>
        <v>1</v>
      </c>
      <c r="W2687" s="50" t="s">
        <v>150</v>
      </c>
      <c r="X2687" s="50" t="s">
        <v>1078</v>
      </c>
      <c r="Y2687" s="50" t="s">
        <v>50</v>
      </c>
      <c r="Z2687" s="50" t="s">
        <v>3406</v>
      </c>
      <c r="AA2687" s="50"/>
    </row>
    <row r="2688" spans="1:27" ht="25.5" customHeight="1">
      <c r="A2688" s="50" t="s">
        <v>779</v>
      </c>
      <c r="B2688" s="51" t="s">
        <v>1502</v>
      </c>
      <c r="C2688" s="51" t="s">
        <v>159</v>
      </c>
      <c r="D2688" s="51" t="s">
        <v>6161</v>
      </c>
      <c r="E2688" s="50">
        <v>2097</v>
      </c>
      <c r="F2688" s="50">
        <v>2103</v>
      </c>
      <c r="G2688" s="50" t="s">
        <v>3404</v>
      </c>
      <c r="H2688" s="50">
        <v>2024</v>
      </c>
      <c r="I2688" s="132">
        <v>45568</v>
      </c>
      <c r="J2688" s="50"/>
      <c r="K2688" s="50" t="s">
        <v>5783</v>
      </c>
      <c r="L2688" s="50"/>
      <c r="M2688" s="50" t="s">
        <v>328</v>
      </c>
      <c r="N2688" s="50"/>
      <c r="O2688" s="50"/>
      <c r="P2688" s="50"/>
      <c r="Q2688" s="50"/>
      <c r="R2688" s="50"/>
      <c r="S2688" s="50" t="str">
        <f t="shared" si="256"/>
        <v/>
      </c>
      <c r="T2688" s="50" t="str">
        <f t="shared" si="254"/>
        <v/>
      </c>
      <c r="U2688" s="50" t="str">
        <f t="shared" si="255"/>
        <v/>
      </c>
      <c r="V2688" s="50" t="str">
        <f t="shared" si="257"/>
        <v/>
      </c>
      <c r="W2688" s="50"/>
      <c r="X2688" s="50" t="s">
        <v>4</v>
      </c>
      <c r="Y2688" s="50" t="s">
        <v>50</v>
      </c>
      <c r="Z2688" s="50" t="s">
        <v>3406</v>
      </c>
      <c r="AA2688" s="50"/>
    </row>
    <row r="2689" spans="1:27" s="110" customFormat="1" ht="25.5" customHeight="1">
      <c r="A2689" s="517" t="s">
        <v>779</v>
      </c>
      <c r="B2689" s="51" t="s">
        <v>1502</v>
      </c>
      <c r="C2689" s="51" t="s">
        <v>159</v>
      </c>
      <c r="D2689" s="51" t="s">
        <v>918</v>
      </c>
      <c r="E2689" s="50">
        <v>539</v>
      </c>
      <c r="F2689" s="50">
        <v>598</v>
      </c>
      <c r="G2689" s="50" t="s">
        <v>3404</v>
      </c>
      <c r="H2689" s="50">
        <v>2025</v>
      </c>
      <c r="I2689" s="132">
        <v>45897</v>
      </c>
      <c r="J2689" s="50" t="s">
        <v>3127</v>
      </c>
      <c r="K2689" s="50" t="s">
        <v>5783</v>
      </c>
      <c r="L2689" s="50"/>
      <c r="M2689" s="50" t="s">
        <v>328</v>
      </c>
      <c r="N2689" s="50" t="s">
        <v>6162</v>
      </c>
      <c r="O2689" s="60">
        <v>45898</v>
      </c>
      <c r="P2689" s="50"/>
      <c r="Q2689" s="60">
        <v>45902</v>
      </c>
      <c r="R2689" s="60">
        <v>45903</v>
      </c>
      <c r="S2689" s="50">
        <f t="shared" si="256"/>
        <v>1</v>
      </c>
      <c r="T2689" s="50" t="str">
        <f t="shared" si="254"/>
        <v/>
      </c>
      <c r="U2689" s="50">
        <f t="shared" si="255"/>
        <v>2</v>
      </c>
      <c r="V2689" s="50">
        <f t="shared" si="257"/>
        <v>1</v>
      </c>
      <c r="W2689" s="50" t="s">
        <v>150</v>
      </c>
      <c r="X2689" s="50" t="s">
        <v>1078</v>
      </c>
      <c r="Y2689" s="50" t="s">
        <v>50</v>
      </c>
      <c r="Z2689" s="50" t="s">
        <v>3406</v>
      </c>
      <c r="AA2689" s="50"/>
    </row>
    <row r="2690" spans="1:27" ht="25.5" customHeight="1">
      <c r="A2690" s="517" t="s">
        <v>779</v>
      </c>
      <c r="B2690" s="51" t="s">
        <v>1502</v>
      </c>
      <c r="C2690" s="51" t="s">
        <v>159</v>
      </c>
      <c r="D2690" s="51" t="s">
        <v>6163</v>
      </c>
      <c r="E2690" s="50">
        <v>1290</v>
      </c>
      <c r="F2690" s="50">
        <v>1422</v>
      </c>
      <c r="G2690" s="50" t="s">
        <v>3404</v>
      </c>
      <c r="H2690" s="50">
        <v>2025</v>
      </c>
      <c r="I2690" s="132">
        <v>45897</v>
      </c>
      <c r="J2690" s="50" t="s">
        <v>3127</v>
      </c>
      <c r="K2690" s="50" t="s">
        <v>5783</v>
      </c>
      <c r="L2690" s="50"/>
      <c r="M2690" s="50" t="s">
        <v>328</v>
      </c>
      <c r="N2690" s="50" t="s">
        <v>6164</v>
      </c>
      <c r="O2690" s="132">
        <v>45897</v>
      </c>
      <c r="P2690" s="50"/>
      <c r="Q2690" s="60">
        <v>45902</v>
      </c>
      <c r="R2690" s="60">
        <v>45903</v>
      </c>
      <c r="S2690" s="50">
        <f t="shared" si="256"/>
        <v>1</v>
      </c>
      <c r="T2690" s="50" t="str">
        <f t="shared" si="254"/>
        <v/>
      </c>
      <c r="U2690" s="50">
        <f t="shared" si="255"/>
        <v>3</v>
      </c>
      <c r="V2690" s="50">
        <f t="shared" si="257"/>
        <v>1</v>
      </c>
      <c r="W2690" s="50" t="s">
        <v>150</v>
      </c>
      <c r="X2690" s="50" t="s">
        <v>1078</v>
      </c>
      <c r="Y2690" s="50" t="s">
        <v>50</v>
      </c>
      <c r="Z2690" s="50" t="s">
        <v>3406</v>
      </c>
      <c r="AA2690" s="50"/>
    </row>
    <row r="2691" spans="1:27" ht="25.5" customHeight="1">
      <c r="A2691" s="50" t="s">
        <v>779</v>
      </c>
      <c r="B2691" s="51" t="s">
        <v>1506</v>
      </c>
      <c r="C2691" s="51" t="s">
        <v>159</v>
      </c>
      <c r="D2691" s="51" t="s">
        <v>2028</v>
      </c>
      <c r="E2691" s="50">
        <v>1621</v>
      </c>
      <c r="F2691" s="50">
        <v>1785</v>
      </c>
      <c r="G2691" s="50" t="s">
        <v>3404</v>
      </c>
      <c r="H2691" s="50">
        <v>2024</v>
      </c>
      <c r="I2691" s="132">
        <v>45575</v>
      </c>
      <c r="J2691" s="50"/>
      <c r="K2691" s="50" t="s">
        <v>5783</v>
      </c>
      <c r="L2691" s="50"/>
      <c r="M2691" s="50" t="s">
        <v>328</v>
      </c>
      <c r="N2691" s="50"/>
      <c r="O2691" s="50"/>
      <c r="P2691" s="50"/>
      <c r="Q2691" s="50"/>
      <c r="R2691" s="50"/>
      <c r="S2691" s="50" t="str">
        <f t="shared" si="256"/>
        <v/>
      </c>
      <c r="T2691" s="50" t="str">
        <f t="shared" si="254"/>
        <v/>
      </c>
      <c r="U2691" s="50" t="str">
        <f t="shared" si="255"/>
        <v/>
      </c>
      <c r="V2691" s="50" t="str">
        <f t="shared" si="257"/>
        <v/>
      </c>
      <c r="W2691" s="50"/>
      <c r="X2691" s="50" t="s">
        <v>4</v>
      </c>
      <c r="Y2691" s="50" t="s">
        <v>50</v>
      </c>
      <c r="Z2691" s="50" t="s">
        <v>3406</v>
      </c>
      <c r="AA2691" s="50"/>
    </row>
    <row r="2692" spans="1:27" s="110" customFormat="1" ht="25.5" customHeight="1">
      <c r="A2692" s="517" t="s">
        <v>779</v>
      </c>
      <c r="B2692" s="51" t="s">
        <v>1506</v>
      </c>
      <c r="C2692" s="51" t="s">
        <v>159</v>
      </c>
      <c r="D2692" s="51" t="s">
        <v>1445</v>
      </c>
      <c r="E2692" s="50">
        <v>1204</v>
      </c>
      <c r="F2692" s="50">
        <v>1261</v>
      </c>
      <c r="G2692" s="50" t="s">
        <v>3404</v>
      </c>
      <c r="H2692" s="50">
        <v>2025</v>
      </c>
      <c r="I2692" s="132">
        <v>45833</v>
      </c>
      <c r="J2692" s="50" t="s">
        <v>3125</v>
      </c>
      <c r="K2692" s="50" t="s">
        <v>5783</v>
      </c>
      <c r="L2692" s="50"/>
      <c r="M2692" s="50" t="s">
        <v>328</v>
      </c>
      <c r="N2692" s="50" t="s">
        <v>6165</v>
      </c>
      <c r="O2692" s="60">
        <v>45833</v>
      </c>
      <c r="P2692" s="50"/>
      <c r="Q2692" s="60">
        <v>45838</v>
      </c>
      <c r="R2692" s="60">
        <v>45840</v>
      </c>
      <c r="S2692" s="50">
        <f t="shared" si="256"/>
        <v>1</v>
      </c>
      <c r="T2692" s="50" t="str">
        <f t="shared" si="254"/>
        <v/>
      </c>
      <c r="U2692" s="50">
        <f t="shared" si="255"/>
        <v>3</v>
      </c>
      <c r="V2692" s="50">
        <f t="shared" si="257"/>
        <v>2</v>
      </c>
      <c r="W2692" s="50" t="s">
        <v>150</v>
      </c>
      <c r="X2692" s="50" t="s">
        <v>1078</v>
      </c>
      <c r="Y2692" s="50" t="s">
        <v>50</v>
      </c>
      <c r="Z2692" s="50" t="s">
        <v>3406</v>
      </c>
      <c r="AA2692" s="50"/>
    </row>
    <row r="2693" spans="1:27" ht="25.5" customHeight="1">
      <c r="A2693" s="50" t="s">
        <v>779</v>
      </c>
      <c r="B2693" s="51" t="s">
        <v>1506</v>
      </c>
      <c r="C2693" s="51" t="s">
        <v>159</v>
      </c>
      <c r="D2693" s="51" t="s">
        <v>6166</v>
      </c>
      <c r="E2693" s="50">
        <v>321</v>
      </c>
      <c r="F2693" s="50">
        <v>315</v>
      </c>
      <c r="G2693" s="50" t="s">
        <v>3404</v>
      </c>
      <c r="H2693" s="50">
        <v>2024</v>
      </c>
      <c r="I2693" s="132">
        <v>45399</v>
      </c>
      <c r="J2693" s="50"/>
      <c r="K2693" s="50" t="s">
        <v>5783</v>
      </c>
      <c r="L2693" s="50"/>
      <c r="M2693" s="50" t="s">
        <v>328</v>
      </c>
      <c r="N2693" s="50"/>
      <c r="O2693" s="50"/>
      <c r="P2693" s="50"/>
      <c r="Q2693" s="50"/>
      <c r="R2693" s="50"/>
      <c r="S2693" s="50" t="str">
        <f t="shared" si="256"/>
        <v/>
      </c>
      <c r="T2693" s="50" t="str">
        <f t="shared" si="254"/>
        <v/>
      </c>
      <c r="U2693" s="50" t="str">
        <f t="shared" si="255"/>
        <v/>
      </c>
      <c r="V2693" s="50" t="str">
        <f t="shared" si="257"/>
        <v/>
      </c>
      <c r="W2693" s="50"/>
      <c r="X2693" s="50"/>
      <c r="Y2693" s="50"/>
      <c r="Z2693" s="50" t="s">
        <v>3406</v>
      </c>
      <c r="AA2693" s="50"/>
    </row>
    <row r="2694" spans="1:27" ht="25.5" customHeight="1">
      <c r="A2694" s="50" t="s">
        <v>779</v>
      </c>
      <c r="B2694" s="51" t="s">
        <v>1506</v>
      </c>
      <c r="C2694" s="51" t="s">
        <v>159</v>
      </c>
      <c r="D2694" s="51" t="s">
        <v>6167</v>
      </c>
      <c r="E2694" s="50">
        <v>737</v>
      </c>
      <c r="F2694" s="50">
        <v>690</v>
      </c>
      <c r="G2694" s="50" t="s">
        <v>3404</v>
      </c>
      <c r="H2694" s="50">
        <v>2024</v>
      </c>
      <c r="I2694" s="132">
        <v>45602</v>
      </c>
      <c r="J2694" s="50"/>
      <c r="K2694" s="50" t="s">
        <v>5783</v>
      </c>
      <c r="L2694" s="50"/>
      <c r="M2694" s="50" t="s">
        <v>328</v>
      </c>
      <c r="N2694" s="50"/>
      <c r="O2694" s="50"/>
      <c r="P2694" s="50"/>
      <c r="Q2694" s="50"/>
      <c r="R2694" s="50"/>
      <c r="S2694" s="50" t="str">
        <f t="shared" si="256"/>
        <v/>
      </c>
      <c r="T2694" s="50" t="str">
        <f t="shared" si="254"/>
        <v/>
      </c>
      <c r="U2694" s="50" t="str">
        <f t="shared" si="255"/>
        <v/>
      </c>
      <c r="V2694" s="50" t="str">
        <f t="shared" si="257"/>
        <v/>
      </c>
      <c r="W2694" s="50"/>
      <c r="X2694" s="50" t="s">
        <v>1078</v>
      </c>
      <c r="Y2694" s="50" t="s">
        <v>50</v>
      </c>
      <c r="Z2694" s="50" t="s">
        <v>3406</v>
      </c>
      <c r="AA2694" s="50"/>
    </row>
    <row r="2695" spans="1:27" ht="25.5" customHeight="1">
      <c r="A2695" s="517" t="s">
        <v>779</v>
      </c>
      <c r="B2695" s="51" t="s">
        <v>1506</v>
      </c>
      <c r="C2695" s="51" t="s">
        <v>159</v>
      </c>
      <c r="D2695" s="51" t="s">
        <v>6168</v>
      </c>
      <c r="E2695" s="50">
        <v>682</v>
      </c>
      <c r="F2695" s="50">
        <v>761</v>
      </c>
      <c r="G2695" s="50" t="s">
        <v>3404</v>
      </c>
      <c r="H2695" s="50">
        <v>2025</v>
      </c>
      <c r="I2695" s="132">
        <v>45965</v>
      </c>
      <c r="J2695" s="50" t="s">
        <v>3129</v>
      </c>
      <c r="K2695" s="50" t="s">
        <v>5783</v>
      </c>
      <c r="L2695" s="50" t="s">
        <v>1453</v>
      </c>
      <c r="M2695" s="50" t="s">
        <v>28</v>
      </c>
      <c r="N2695" s="50" t="s">
        <v>6169</v>
      </c>
      <c r="O2695" s="60">
        <v>45965</v>
      </c>
      <c r="P2695" s="60">
        <v>45967</v>
      </c>
      <c r="Q2695" s="60">
        <v>45967</v>
      </c>
      <c r="R2695" s="60">
        <v>45978</v>
      </c>
      <c r="S2695" s="50">
        <f t="shared" si="256"/>
        <v>1</v>
      </c>
      <c r="T2695" s="50">
        <f t="shared" si="254"/>
        <v>2</v>
      </c>
      <c r="U2695" s="50">
        <f t="shared" si="255"/>
        <v>2</v>
      </c>
      <c r="V2695" s="50">
        <f t="shared" si="257"/>
        <v>7</v>
      </c>
      <c r="W2695" s="50" t="s">
        <v>150</v>
      </c>
      <c r="X2695" s="50" t="s">
        <v>1078</v>
      </c>
      <c r="Y2695" s="50" t="s">
        <v>50</v>
      </c>
      <c r="Z2695" s="50" t="s">
        <v>3406</v>
      </c>
      <c r="AA2695" s="50"/>
    </row>
    <row r="2696" spans="1:27" ht="25.5" customHeight="1">
      <c r="A2696" s="50" t="s">
        <v>779</v>
      </c>
      <c r="B2696" s="51" t="s">
        <v>1506</v>
      </c>
      <c r="C2696" s="51" t="s">
        <v>159</v>
      </c>
      <c r="D2696" s="51" t="s">
        <v>5309</v>
      </c>
      <c r="E2696" s="50">
        <v>1761</v>
      </c>
      <c r="F2696" s="50">
        <v>1771</v>
      </c>
      <c r="G2696" s="50" t="s">
        <v>3404</v>
      </c>
      <c r="H2696" s="50">
        <v>2024</v>
      </c>
      <c r="I2696" s="132">
        <v>45415</v>
      </c>
      <c r="J2696" s="50"/>
      <c r="K2696" s="50" t="s">
        <v>5783</v>
      </c>
      <c r="L2696" s="50"/>
      <c r="M2696" s="50" t="s">
        <v>328</v>
      </c>
      <c r="N2696" s="50"/>
      <c r="O2696" s="50"/>
      <c r="P2696" s="50"/>
      <c r="Q2696" s="50"/>
      <c r="R2696" s="50"/>
      <c r="S2696" s="50" t="str">
        <f t="shared" si="256"/>
        <v/>
      </c>
      <c r="T2696" s="50" t="str">
        <f t="shared" si="254"/>
        <v/>
      </c>
      <c r="U2696" s="50" t="str">
        <f t="shared" si="255"/>
        <v/>
      </c>
      <c r="V2696" s="50" t="str">
        <f t="shared" si="257"/>
        <v/>
      </c>
      <c r="W2696" s="50"/>
      <c r="X2696" s="50"/>
      <c r="Y2696" s="50"/>
      <c r="Z2696" s="50" t="s">
        <v>3406</v>
      </c>
      <c r="AA2696" s="50"/>
    </row>
    <row r="2697" spans="1:27" s="110" customFormat="1" ht="25.5" customHeight="1">
      <c r="A2697" s="50" t="s">
        <v>779</v>
      </c>
      <c r="B2697" s="51" t="s">
        <v>1506</v>
      </c>
      <c r="C2697" s="51" t="s">
        <v>159</v>
      </c>
      <c r="D2697" s="51" t="s">
        <v>1507</v>
      </c>
      <c r="E2697" s="50">
        <v>1040</v>
      </c>
      <c r="F2697" s="50">
        <v>1102</v>
      </c>
      <c r="G2697" s="50" t="s">
        <v>3404</v>
      </c>
      <c r="H2697" s="50">
        <v>2024</v>
      </c>
      <c r="I2697" s="132">
        <v>45540</v>
      </c>
      <c r="J2697" s="50"/>
      <c r="K2697" s="50" t="s">
        <v>5783</v>
      </c>
      <c r="L2697" s="50"/>
      <c r="M2697" s="50" t="s">
        <v>328</v>
      </c>
      <c r="N2697" s="50"/>
      <c r="O2697" s="50"/>
      <c r="P2697" s="50"/>
      <c r="Q2697" s="50"/>
      <c r="R2697" s="50"/>
      <c r="S2697" s="50" t="str">
        <f t="shared" si="256"/>
        <v/>
      </c>
      <c r="T2697" s="50" t="str">
        <f t="shared" si="254"/>
        <v/>
      </c>
      <c r="U2697" s="50" t="str">
        <f t="shared" si="255"/>
        <v/>
      </c>
      <c r="V2697" s="50" t="str">
        <f t="shared" si="257"/>
        <v/>
      </c>
      <c r="W2697" s="50"/>
      <c r="X2697" s="50" t="s">
        <v>4</v>
      </c>
      <c r="Y2697" s="50" t="s">
        <v>50</v>
      </c>
      <c r="Z2697" s="50" t="s">
        <v>3406</v>
      </c>
      <c r="AA2697" s="50"/>
    </row>
    <row r="2698" spans="1:27" ht="25.5" customHeight="1">
      <c r="A2698" s="517" t="s">
        <v>779</v>
      </c>
      <c r="B2698" s="51" t="s">
        <v>1506</v>
      </c>
      <c r="C2698" s="51" t="s">
        <v>159</v>
      </c>
      <c r="D2698" s="51" t="s">
        <v>6170</v>
      </c>
      <c r="E2698" s="50">
        <v>1238</v>
      </c>
      <c r="F2698" s="50">
        <v>1285</v>
      </c>
      <c r="G2698" s="50" t="s">
        <v>3404</v>
      </c>
      <c r="H2698" s="50">
        <v>2025</v>
      </c>
      <c r="I2698" s="132">
        <v>45965</v>
      </c>
      <c r="J2698" s="50" t="s">
        <v>3129</v>
      </c>
      <c r="K2698" s="50" t="s">
        <v>5783</v>
      </c>
      <c r="L2698" s="50" t="s">
        <v>1453</v>
      </c>
      <c r="M2698" s="50" t="s">
        <v>28</v>
      </c>
      <c r="N2698" s="50" t="s">
        <v>6171</v>
      </c>
      <c r="O2698" s="60">
        <v>45965</v>
      </c>
      <c r="P2698" s="60">
        <v>45967</v>
      </c>
      <c r="Q2698" s="60">
        <v>45967</v>
      </c>
      <c r="R2698" s="60">
        <v>45978</v>
      </c>
      <c r="S2698" s="50">
        <f t="shared" si="256"/>
        <v>1</v>
      </c>
      <c r="T2698" s="50">
        <f t="shared" si="254"/>
        <v>2</v>
      </c>
      <c r="U2698" s="50">
        <f t="shared" si="255"/>
        <v>2</v>
      </c>
      <c r="V2698" s="50">
        <f t="shared" si="257"/>
        <v>7</v>
      </c>
      <c r="W2698" s="50" t="s">
        <v>150</v>
      </c>
      <c r="X2698" s="50" t="s">
        <v>1078</v>
      </c>
      <c r="Y2698" s="50" t="s">
        <v>50</v>
      </c>
      <c r="Z2698" s="50" t="s">
        <v>3406</v>
      </c>
      <c r="AA2698" s="50"/>
    </row>
    <row r="2699" spans="1:27" ht="25.5" customHeight="1">
      <c r="A2699" s="50" t="s">
        <v>779</v>
      </c>
      <c r="B2699" s="51" t="s">
        <v>1506</v>
      </c>
      <c r="C2699" s="51" t="s">
        <v>159</v>
      </c>
      <c r="D2699" s="51" t="s">
        <v>1486</v>
      </c>
      <c r="E2699" s="50">
        <v>986</v>
      </c>
      <c r="F2699" s="50">
        <v>1022</v>
      </c>
      <c r="G2699" s="50" t="s">
        <v>3404</v>
      </c>
      <c r="H2699" s="50">
        <v>2024</v>
      </c>
      <c r="I2699" s="132">
        <v>45545</v>
      </c>
      <c r="J2699" s="50"/>
      <c r="K2699" s="50" t="s">
        <v>5783</v>
      </c>
      <c r="L2699" s="50"/>
      <c r="M2699" s="50" t="s">
        <v>328</v>
      </c>
      <c r="N2699" s="50"/>
      <c r="O2699" s="50"/>
      <c r="P2699" s="50"/>
      <c r="Q2699" s="50"/>
      <c r="R2699" s="50"/>
      <c r="S2699" s="50" t="str">
        <f t="shared" si="256"/>
        <v/>
      </c>
      <c r="T2699" s="50" t="str">
        <f t="shared" si="254"/>
        <v/>
      </c>
      <c r="U2699" s="50" t="str">
        <f t="shared" si="255"/>
        <v/>
      </c>
      <c r="V2699" s="50" t="str">
        <f t="shared" si="257"/>
        <v/>
      </c>
      <c r="W2699" s="50"/>
      <c r="X2699" s="50" t="s">
        <v>1078</v>
      </c>
      <c r="Y2699" s="50" t="s">
        <v>50</v>
      </c>
      <c r="Z2699" s="50" t="s">
        <v>3406</v>
      </c>
      <c r="AA2699" s="50"/>
    </row>
    <row r="2700" spans="1:27" s="110" customFormat="1" ht="25.5" customHeight="1">
      <c r="A2700" s="50" t="s">
        <v>779</v>
      </c>
      <c r="B2700" s="51" t="s">
        <v>1506</v>
      </c>
      <c r="C2700" s="51" t="s">
        <v>159</v>
      </c>
      <c r="D2700" s="51" t="s">
        <v>4946</v>
      </c>
      <c r="E2700" s="50">
        <v>1603</v>
      </c>
      <c r="F2700" s="50">
        <v>1621</v>
      </c>
      <c r="G2700" s="50" t="s">
        <v>3404</v>
      </c>
      <c r="H2700" s="50">
        <v>2024</v>
      </c>
      <c r="I2700" s="132">
        <v>45545</v>
      </c>
      <c r="J2700" s="50"/>
      <c r="K2700" s="50" t="s">
        <v>5783</v>
      </c>
      <c r="L2700" s="50"/>
      <c r="M2700" s="50" t="s">
        <v>328</v>
      </c>
      <c r="N2700" s="50"/>
      <c r="O2700" s="50"/>
      <c r="P2700" s="50"/>
      <c r="Q2700" s="50"/>
      <c r="R2700" s="50"/>
      <c r="S2700" s="50" t="str">
        <f t="shared" si="256"/>
        <v/>
      </c>
      <c r="T2700" s="50" t="str">
        <f t="shared" si="254"/>
        <v/>
      </c>
      <c r="U2700" s="50" t="str">
        <f t="shared" si="255"/>
        <v/>
      </c>
      <c r="V2700" s="50" t="str">
        <f t="shared" si="257"/>
        <v/>
      </c>
      <c r="W2700" s="50"/>
      <c r="X2700" s="50" t="s">
        <v>1078</v>
      </c>
      <c r="Y2700" s="50" t="s">
        <v>50</v>
      </c>
      <c r="Z2700" s="50" t="s">
        <v>3406</v>
      </c>
      <c r="AA2700" s="50"/>
    </row>
    <row r="2701" spans="1:27" ht="25.5" customHeight="1">
      <c r="A2701" s="517" t="s">
        <v>779</v>
      </c>
      <c r="B2701" s="51" t="s">
        <v>1506</v>
      </c>
      <c r="C2701" s="51" t="s">
        <v>159</v>
      </c>
      <c r="D2701" s="51" t="s">
        <v>6172</v>
      </c>
      <c r="E2701" s="50">
        <v>791</v>
      </c>
      <c r="F2701" s="50">
        <v>804</v>
      </c>
      <c r="G2701" s="50" t="s">
        <v>3404</v>
      </c>
      <c r="H2701" s="50">
        <v>2025</v>
      </c>
      <c r="I2701" s="132">
        <v>45889</v>
      </c>
      <c r="J2701" s="50" t="s">
        <v>3127</v>
      </c>
      <c r="K2701" s="50" t="s">
        <v>5783</v>
      </c>
      <c r="L2701" s="50"/>
      <c r="M2701" s="50" t="s">
        <v>328</v>
      </c>
      <c r="N2701" s="50" t="s">
        <v>6173</v>
      </c>
      <c r="O2701" s="60">
        <v>45900</v>
      </c>
      <c r="P2701" s="50"/>
      <c r="Q2701" s="60">
        <v>45902</v>
      </c>
      <c r="R2701" s="60">
        <v>45903</v>
      </c>
      <c r="S2701" s="50">
        <f t="shared" si="256"/>
        <v>7</v>
      </c>
      <c r="T2701" s="50" t="str">
        <f t="shared" si="254"/>
        <v/>
      </c>
      <c r="U2701" s="50">
        <f t="shared" si="255"/>
        <v>1</v>
      </c>
      <c r="V2701" s="50">
        <f t="shared" si="257"/>
        <v>1</v>
      </c>
      <c r="W2701" s="50" t="s">
        <v>150</v>
      </c>
      <c r="X2701" s="50" t="s">
        <v>1078</v>
      </c>
      <c r="Y2701" s="50" t="s">
        <v>50</v>
      </c>
      <c r="Z2701" s="50" t="s">
        <v>3406</v>
      </c>
      <c r="AA2701" s="50"/>
    </row>
    <row r="2702" spans="1:27" ht="25.5" customHeight="1">
      <c r="A2702" s="517" t="s">
        <v>779</v>
      </c>
      <c r="B2702" s="51" t="s">
        <v>1506</v>
      </c>
      <c r="C2702" s="51" t="s">
        <v>159</v>
      </c>
      <c r="D2702" s="51" t="s">
        <v>6174</v>
      </c>
      <c r="E2702" s="50">
        <v>673</v>
      </c>
      <c r="F2702" s="50">
        <v>764</v>
      </c>
      <c r="G2702" s="50" t="s">
        <v>3404</v>
      </c>
      <c r="H2702" s="50">
        <v>2025</v>
      </c>
      <c r="I2702" s="132">
        <v>45889</v>
      </c>
      <c r="J2702" s="50" t="s">
        <v>3127</v>
      </c>
      <c r="K2702" s="50" t="s">
        <v>5783</v>
      </c>
      <c r="L2702" s="50"/>
      <c r="M2702" s="50" t="s">
        <v>328</v>
      </c>
      <c r="N2702" s="50" t="s">
        <v>6175</v>
      </c>
      <c r="O2702" s="60">
        <v>45900</v>
      </c>
      <c r="P2702" s="50"/>
      <c r="Q2702" s="60">
        <v>45902</v>
      </c>
      <c r="R2702" s="60">
        <v>45903</v>
      </c>
      <c r="S2702" s="50">
        <f t="shared" si="256"/>
        <v>7</v>
      </c>
      <c r="T2702" s="50" t="str">
        <f t="shared" si="254"/>
        <v/>
      </c>
      <c r="U2702" s="50">
        <f t="shared" si="255"/>
        <v>1</v>
      </c>
      <c r="V2702" s="50">
        <f t="shared" si="257"/>
        <v>1</v>
      </c>
      <c r="W2702" s="50" t="s">
        <v>150</v>
      </c>
      <c r="X2702" s="50" t="s">
        <v>1078</v>
      </c>
      <c r="Y2702" s="50" t="s">
        <v>50</v>
      </c>
      <c r="Z2702" s="50" t="s">
        <v>3406</v>
      </c>
      <c r="AA2702" s="50"/>
    </row>
    <row r="2703" spans="1:27" ht="25.5" customHeight="1">
      <c r="A2703" s="517" t="s">
        <v>779</v>
      </c>
      <c r="B2703" s="51" t="s">
        <v>858</v>
      </c>
      <c r="C2703" s="51" t="s">
        <v>159</v>
      </c>
      <c r="D2703" s="51" t="s">
        <v>1490</v>
      </c>
      <c r="E2703" s="50">
        <v>2972</v>
      </c>
      <c r="F2703" s="50">
        <v>3172</v>
      </c>
      <c r="G2703" s="50" t="s">
        <v>3955</v>
      </c>
      <c r="H2703" s="50"/>
      <c r="I2703" s="105"/>
      <c r="J2703" s="50"/>
      <c r="K2703" s="50" t="s">
        <v>39</v>
      </c>
      <c r="L2703" s="50"/>
      <c r="M2703" s="50" t="s">
        <v>328</v>
      </c>
      <c r="N2703" s="50"/>
      <c r="O2703" s="50"/>
      <c r="P2703" s="50"/>
      <c r="Q2703" s="50"/>
      <c r="R2703" s="50"/>
      <c r="S2703" s="50" t="str">
        <f t="shared" si="256"/>
        <v/>
      </c>
      <c r="T2703" s="50" t="str">
        <f t="shared" si="254"/>
        <v/>
      </c>
      <c r="U2703" s="50" t="str">
        <f t="shared" si="255"/>
        <v/>
      </c>
      <c r="V2703" s="50" t="str">
        <f t="shared" si="257"/>
        <v/>
      </c>
      <c r="W2703" s="50"/>
      <c r="X2703" s="50"/>
      <c r="Y2703" s="50"/>
      <c r="Z2703" s="50"/>
      <c r="AA2703" s="50"/>
    </row>
    <row r="2704" spans="1:27" ht="25.5" customHeight="1">
      <c r="A2704" s="517" t="s">
        <v>779</v>
      </c>
      <c r="B2704" s="51" t="s">
        <v>858</v>
      </c>
      <c r="C2704" s="51" t="s">
        <v>159</v>
      </c>
      <c r="D2704" s="51" t="s">
        <v>6176</v>
      </c>
      <c r="E2704" s="50">
        <v>1579</v>
      </c>
      <c r="F2704" s="50">
        <v>1749</v>
      </c>
      <c r="G2704" s="50" t="s">
        <v>3404</v>
      </c>
      <c r="H2704" s="50">
        <v>2025</v>
      </c>
      <c r="I2704" s="132">
        <v>45679</v>
      </c>
      <c r="J2704" s="50" t="s">
        <v>3424</v>
      </c>
      <c r="K2704" s="50" t="s">
        <v>39</v>
      </c>
      <c r="L2704" s="50"/>
      <c r="M2704" s="50" t="s">
        <v>328</v>
      </c>
      <c r="N2704" s="50" t="s">
        <v>6177</v>
      </c>
      <c r="O2704" s="60">
        <v>45682</v>
      </c>
      <c r="P2704" s="50"/>
      <c r="Q2704" s="60">
        <v>45684</v>
      </c>
      <c r="R2704" s="60">
        <v>45685</v>
      </c>
      <c r="S2704" s="50">
        <f t="shared" si="256"/>
        <v>2</v>
      </c>
      <c r="T2704" s="50" t="str">
        <f t="shared" si="254"/>
        <v/>
      </c>
      <c r="U2704" s="50">
        <f t="shared" si="255"/>
        <v>1</v>
      </c>
      <c r="V2704" s="50">
        <f t="shared" si="257"/>
        <v>1</v>
      </c>
      <c r="W2704" s="50" t="s">
        <v>150</v>
      </c>
      <c r="X2704" s="50" t="s">
        <v>1078</v>
      </c>
      <c r="Y2704" s="50" t="s">
        <v>50</v>
      </c>
      <c r="Z2704" s="50" t="s">
        <v>3406</v>
      </c>
      <c r="AA2704" s="50"/>
    </row>
    <row r="2705" spans="1:27" s="110" customFormat="1" ht="25.5" customHeight="1">
      <c r="A2705" s="50" t="s">
        <v>779</v>
      </c>
      <c r="B2705" s="51" t="s">
        <v>858</v>
      </c>
      <c r="C2705" s="51" t="s">
        <v>159</v>
      </c>
      <c r="D2705" s="51" t="s">
        <v>1539</v>
      </c>
      <c r="E2705" s="50">
        <v>4983</v>
      </c>
      <c r="F2705" s="50">
        <v>5598</v>
      </c>
      <c r="G2705" s="50" t="s">
        <v>3404</v>
      </c>
      <c r="H2705" s="50">
        <v>2024</v>
      </c>
      <c r="I2705" s="132">
        <v>45421</v>
      </c>
      <c r="J2705" s="50"/>
      <c r="K2705" s="50" t="s">
        <v>39</v>
      </c>
      <c r="L2705" s="50"/>
      <c r="M2705" s="50" t="s">
        <v>328</v>
      </c>
      <c r="N2705" s="50"/>
      <c r="O2705" s="50"/>
      <c r="P2705" s="50"/>
      <c r="Q2705" s="50"/>
      <c r="R2705" s="50"/>
      <c r="S2705" s="50" t="str">
        <f t="shared" si="256"/>
        <v/>
      </c>
      <c r="T2705" s="50" t="str">
        <f t="shared" si="254"/>
        <v/>
      </c>
      <c r="U2705" s="50" t="str">
        <f t="shared" si="255"/>
        <v/>
      </c>
      <c r="V2705" s="50" t="str">
        <f t="shared" si="257"/>
        <v/>
      </c>
      <c r="W2705" s="50"/>
      <c r="X2705" s="50"/>
      <c r="Y2705" s="50"/>
      <c r="Z2705" s="50" t="s">
        <v>3406</v>
      </c>
      <c r="AA2705" s="50"/>
    </row>
    <row r="2706" spans="1:27" ht="25.5" customHeight="1">
      <c r="A2706" s="50" t="s">
        <v>779</v>
      </c>
      <c r="B2706" s="51" t="s">
        <v>858</v>
      </c>
      <c r="C2706" s="51" t="s">
        <v>159</v>
      </c>
      <c r="D2706" s="51" t="s">
        <v>5219</v>
      </c>
      <c r="E2706" s="50">
        <v>1878</v>
      </c>
      <c r="F2706" s="50">
        <v>2073</v>
      </c>
      <c r="G2706" s="50" t="s">
        <v>3404</v>
      </c>
      <c r="H2706" s="50">
        <v>2024</v>
      </c>
      <c r="I2706" s="132">
        <v>45603</v>
      </c>
      <c r="J2706" s="50"/>
      <c r="K2706" s="50" t="s">
        <v>39</v>
      </c>
      <c r="L2706" s="50"/>
      <c r="M2706" s="50" t="s">
        <v>328</v>
      </c>
      <c r="N2706" s="50"/>
      <c r="O2706" s="50"/>
      <c r="P2706" s="50"/>
      <c r="Q2706" s="50"/>
      <c r="R2706" s="50"/>
      <c r="S2706" s="50" t="str">
        <f t="shared" si="256"/>
        <v/>
      </c>
      <c r="T2706" s="50" t="str">
        <f t="shared" si="254"/>
        <v/>
      </c>
      <c r="U2706" s="50" t="str">
        <f t="shared" si="255"/>
        <v/>
      </c>
      <c r="V2706" s="50" t="str">
        <f t="shared" si="257"/>
        <v/>
      </c>
      <c r="W2706" s="50"/>
      <c r="X2706" s="50" t="s">
        <v>1078</v>
      </c>
      <c r="Y2706" s="50" t="s">
        <v>50</v>
      </c>
      <c r="Z2706" s="50" t="s">
        <v>3406</v>
      </c>
      <c r="AA2706" s="50"/>
    </row>
    <row r="2707" spans="1:27" ht="25.5" customHeight="1">
      <c r="A2707" s="50" t="s">
        <v>779</v>
      </c>
      <c r="B2707" s="51" t="s">
        <v>858</v>
      </c>
      <c r="C2707" s="51" t="s">
        <v>159</v>
      </c>
      <c r="D2707" s="51" t="s">
        <v>1199</v>
      </c>
      <c r="E2707" s="50">
        <v>1209</v>
      </c>
      <c r="F2707" s="50">
        <v>1371</v>
      </c>
      <c r="G2707" s="50" t="s">
        <v>3404</v>
      </c>
      <c r="H2707" s="50">
        <v>2024</v>
      </c>
      <c r="I2707" s="132">
        <v>45603</v>
      </c>
      <c r="J2707" s="50"/>
      <c r="K2707" s="50" t="s">
        <v>39</v>
      </c>
      <c r="L2707" s="50"/>
      <c r="M2707" s="50" t="s">
        <v>328</v>
      </c>
      <c r="N2707" s="50"/>
      <c r="O2707" s="50"/>
      <c r="P2707" s="50"/>
      <c r="Q2707" s="50"/>
      <c r="R2707" s="50"/>
      <c r="S2707" s="50" t="str">
        <f t="shared" si="256"/>
        <v/>
      </c>
      <c r="T2707" s="50" t="str">
        <f t="shared" si="254"/>
        <v/>
      </c>
      <c r="U2707" s="50" t="str">
        <f t="shared" si="255"/>
        <v/>
      </c>
      <c r="V2707" s="50" t="str">
        <f t="shared" si="257"/>
        <v/>
      </c>
      <c r="W2707" s="50"/>
      <c r="X2707" s="50" t="s">
        <v>4</v>
      </c>
      <c r="Y2707" s="50" t="s">
        <v>50</v>
      </c>
      <c r="Z2707" s="50" t="s">
        <v>3406</v>
      </c>
      <c r="AA2707" s="50"/>
    </row>
    <row r="2708" spans="1:27" ht="25.5" customHeight="1">
      <c r="A2708" s="517" t="s">
        <v>779</v>
      </c>
      <c r="B2708" s="51" t="s">
        <v>858</v>
      </c>
      <c r="C2708" s="51" t="s">
        <v>159</v>
      </c>
      <c r="D2708" s="51" t="s">
        <v>6178</v>
      </c>
      <c r="E2708" s="50">
        <v>1421</v>
      </c>
      <c r="F2708" s="50">
        <v>1709</v>
      </c>
      <c r="G2708" s="50" t="s">
        <v>3404</v>
      </c>
      <c r="H2708" s="50">
        <v>2025</v>
      </c>
      <c r="I2708" s="132">
        <v>45826</v>
      </c>
      <c r="J2708" s="50" t="s">
        <v>3689</v>
      </c>
      <c r="K2708" s="50" t="s">
        <v>39</v>
      </c>
      <c r="L2708" s="50"/>
      <c r="M2708" s="50" t="s">
        <v>328</v>
      </c>
      <c r="N2708" s="50" t="s">
        <v>6179</v>
      </c>
      <c r="O2708" s="60">
        <v>45826</v>
      </c>
      <c r="P2708" s="50"/>
      <c r="Q2708" s="60">
        <v>45826</v>
      </c>
      <c r="R2708" s="60">
        <v>45827</v>
      </c>
      <c r="S2708" s="50">
        <f t="shared" si="256"/>
        <v>1</v>
      </c>
      <c r="T2708" s="50" t="str">
        <f t="shared" si="254"/>
        <v/>
      </c>
      <c r="U2708" s="50">
        <f t="shared" si="255"/>
        <v>1</v>
      </c>
      <c r="V2708" s="50">
        <f t="shared" si="257"/>
        <v>1</v>
      </c>
      <c r="W2708" s="50" t="s">
        <v>150</v>
      </c>
      <c r="X2708" s="50" t="s">
        <v>3527</v>
      </c>
      <c r="Y2708" s="50" t="s">
        <v>3528</v>
      </c>
      <c r="Z2708" s="50" t="s">
        <v>3406</v>
      </c>
      <c r="AA2708" s="50"/>
    </row>
    <row r="2709" spans="1:27" ht="25.5" customHeight="1">
      <c r="A2709" s="517" t="s">
        <v>779</v>
      </c>
      <c r="B2709" s="51" t="s">
        <v>858</v>
      </c>
      <c r="C2709" s="51" t="s">
        <v>159</v>
      </c>
      <c r="D2709" s="51" t="s">
        <v>6180</v>
      </c>
      <c r="E2709" s="50">
        <v>2726</v>
      </c>
      <c r="F2709" s="50">
        <v>2627</v>
      </c>
      <c r="G2709" s="50" t="s">
        <v>3955</v>
      </c>
      <c r="H2709" s="50"/>
      <c r="I2709" s="105"/>
      <c r="J2709" s="50"/>
      <c r="K2709" s="50" t="s">
        <v>39</v>
      </c>
      <c r="L2709" s="50"/>
      <c r="M2709" s="50" t="s">
        <v>328</v>
      </c>
      <c r="N2709" s="50"/>
      <c r="O2709" s="50"/>
      <c r="P2709" s="50"/>
      <c r="Q2709" s="50"/>
      <c r="R2709" s="50"/>
      <c r="S2709" s="50" t="str">
        <f t="shared" si="256"/>
        <v/>
      </c>
      <c r="T2709" s="50" t="str">
        <f t="shared" si="254"/>
        <v/>
      </c>
      <c r="U2709" s="50" t="str">
        <f t="shared" si="255"/>
        <v/>
      </c>
      <c r="V2709" s="50" t="str">
        <f t="shared" si="257"/>
        <v/>
      </c>
      <c r="W2709" s="50"/>
      <c r="X2709" s="50"/>
      <c r="Y2709" s="50"/>
      <c r="Z2709" s="50"/>
      <c r="AA2709" s="50"/>
    </row>
    <row r="2710" spans="1:27" ht="25.5" customHeight="1">
      <c r="A2710" s="50" t="s">
        <v>779</v>
      </c>
      <c r="B2710" s="51" t="s">
        <v>858</v>
      </c>
      <c r="C2710" s="51" t="s">
        <v>159</v>
      </c>
      <c r="D2710" s="51" t="s">
        <v>6181</v>
      </c>
      <c r="E2710" s="50">
        <v>3919</v>
      </c>
      <c r="F2710" s="50">
        <v>4404</v>
      </c>
      <c r="G2710" s="50" t="s">
        <v>3404</v>
      </c>
      <c r="H2710" s="50">
        <v>2024</v>
      </c>
      <c r="I2710" s="132">
        <v>45540</v>
      </c>
      <c r="J2710" s="50"/>
      <c r="K2710" s="50" t="s">
        <v>39</v>
      </c>
      <c r="L2710" s="50"/>
      <c r="M2710" s="50" t="s">
        <v>328</v>
      </c>
      <c r="N2710" s="50"/>
      <c r="O2710" s="50"/>
      <c r="P2710" s="50"/>
      <c r="Q2710" s="50"/>
      <c r="R2710" s="50"/>
      <c r="S2710" s="50" t="str">
        <f t="shared" si="256"/>
        <v/>
      </c>
      <c r="T2710" s="50" t="str">
        <f t="shared" si="254"/>
        <v/>
      </c>
      <c r="U2710" s="50" t="str">
        <f t="shared" si="255"/>
        <v/>
      </c>
      <c r="V2710" s="50" t="str">
        <f t="shared" si="257"/>
        <v/>
      </c>
      <c r="W2710" s="50"/>
      <c r="X2710" s="50" t="s">
        <v>3527</v>
      </c>
      <c r="Y2710" s="50" t="s">
        <v>3528</v>
      </c>
      <c r="Z2710" s="50" t="s">
        <v>3406</v>
      </c>
      <c r="AA2710" s="50"/>
    </row>
    <row r="2711" spans="1:27" ht="25.5" customHeight="1">
      <c r="A2711" s="517" t="s">
        <v>779</v>
      </c>
      <c r="B2711" s="51" t="s">
        <v>858</v>
      </c>
      <c r="C2711" s="51" t="s">
        <v>159</v>
      </c>
      <c r="D2711" s="51" t="s">
        <v>6182</v>
      </c>
      <c r="E2711" s="50">
        <v>3705</v>
      </c>
      <c r="F2711" s="50">
        <v>4401</v>
      </c>
      <c r="G2711" s="50" t="s">
        <v>3955</v>
      </c>
      <c r="H2711" s="50"/>
      <c r="I2711" s="105"/>
      <c r="J2711" s="50"/>
      <c r="K2711" s="50" t="s">
        <v>39</v>
      </c>
      <c r="L2711" s="50"/>
      <c r="M2711" s="50" t="s">
        <v>328</v>
      </c>
      <c r="N2711" s="50"/>
      <c r="O2711" s="50"/>
      <c r="P2711" s="50"/>
      <c r="Q2711" s="50"/>
      <c r="R2711" s="50"/>
      <c r="S2711" s="50" t="str">
        <f t="shared" si="256"/>
        <v/>
      </c>
      <c r="T2711" s="50" t="str">
        <f t="shared" si="254"/>
        <v/>
      </c>
      <c r="U2711" s="50" t="str">
        <f t="shared" si="255"/>
        <v/>
      </c>
      <c r="V2711" s="50" t="str">
        <f t="shared" si="257"/>
        <v/>
      </c>
      <c r="W2711" s="50"/>
      <c r="X2711" s="50"/>
      <c r="Y2711" s="50"/>
      <c r="Z2711" s="50"/>
      <c r="AA2711" s="50"/>
    </row>
    <row r="2712" spans="1:27" ht="25.5" customHeight="1">
      <c r="A2712" s="517" t="s">
        <v>779</v>
      </c>
      <c r="B2712" s="51" t="s">
        <v>858</v>
      </c>
      <c r="C2712" s="51" t="s">
        <v>159</v>
      </c>
      <c r="D2712" s="51" t="s">
        <v>6183</v>
      </c>
      <c r="E2712" s="50">
        <v>1709</v>
      </c>
      <c r="F2712" s="50">
        <v>1737</v>
      </c>
      <c r="G2712" s="50" t="s">
        <v>3955</v>
      </c>
      <c r="H2712" s="50"/>
      <c r="I2712" s="105"/>
      <c r="J2712" s="50"/>
      <c r="K2712" s="50" t="s">
        <v>39</v>
      </c>
      <c r="L2712" s="50"/>
      <c r="M2712" s="50" t="s">
        <v>328</v>
      </c>
      <c r="N2712" s="50"/>
      <c r="O2712" s="50"/>
      <c r="P2712" s="50"/>
      <c r="Q2712" s="50"/>
      <c r="R2712" s="50"/>
      <c r="S2712" s="50" t="str">
        <f t="shared" si="256"/>
        <v/>
      </c>
      <c r="T2712" s="50" t="str">
        <f t="shared" si="254"/>
        <v/>
      </c>
      <c r="U2712" s="50" t="str">
        <f t="shared" si="255"/>
        <v/>
      </c>
      <c r="V2712" s="50" t="str">
        <f t="shared" si="257"/>
        <v/>
      </c>
      <c r="W2712" s="50"/>
      <c r="X2712" s="50"/>
      <c r="Y2712" s="50"/>
      <c r="Z2712" s="50"/>
      <c r="AA2712" s="50"/>
    </row>
    <row r="2713" spans="1:27" ht="25.5" customHeight="1">
      <c r="A2713" s="517" t="s">
        <v>779</v>
      </c>
      <c r="B2713" s="51" t="s">
        <v>858</v>
      </c>
      <c r="C2713" s="51" t="s">
        <v>159</v>
      </c>
      <c r="D2713" s="51" t="s">
        <v>6184</v>
      </c>
      <c r="E2713" s="50">
        <v>1546</v>
      </c>
      <c r="F2713" s="50">
        <v>1572</v>
      </c>
      <c r="G2713" s="50" t="s">
        <v>3404</v>
      </c>
      <c r="H2713" s="50">
        <v>2025</v>
      </c>
      <c r="I2713" s="132">
        <v>45679</v>
      </c>
      <c r="J2713" s="50" t="s">
        <v>3424</v>
      </c>
      <c r="K2713" s="50" t="s">
        <v>39</v>
      </c>
      <c r="L2713" s="50"/>
      <c r="M2713" s="50" t="s">
        <v>328</v>
      </c>
      <c r="N2713" s="50" t="s">
        <v>6185</v>
      </c>
      <c r="O2713" s="60">
        <v>45682</v>
      </c>
      <c r="P2713" s="50"/>
      <c r="Q2713" s="60">
        <v>45684</v>
      </c>
      <c r="R2713" s="60">
        <v>45685</v>
      </c>
      <c r="S2713" s="50">
        <f t="shared" si="256"/>
        <v>2</v>
      </c>
      <c r="T2713" s="50" t="str">
        <f t="shared" si="254"/>
        <v/>
      </c>
      <c r="U2713" s="50">
        <f t="shared" si="255"/>
        <v>1</v>
      </c>
      <c r="V2713" s="50">
        <f t="shared" si="257"/>
        <v>1</v>
      </c>
      <c r="W2713" s="50" t="s">
        <v>150</v>
      </c>
      <c r="X2713" s="50" t="s">
        <v>1078</v>
      </c>
      <c r="Y2713" s="50" t="s">
        <v>57</v>
      </c>
      <c r="Z2713" s="50" t="s">
        <v>3406</v>
      </c>
      <c r="AA2713" s="50"/>
    </row>
    <row r="2714" spans="1:27" ht="25.5" customHeight="1">
      <c r="A2714" s="517" t="s">
        <v>779</v>
      </c>
      <c r="B2714" s="51" t="s">
        <v>858</v>
      </c>
      <c r="C2714" s="51" t="s">
        <v>159</v>
      </c>
      <c r="D2714" s="51" t="s">
        <v>6186</v>
      </c>
      <c r="E2714" s="50">
        <v>3682</v>
      </c>
      <c r="F2714" s="50">
        <v>5122</v>
      </c>
      <c r="G2714" s="50" t="s">
        <v>3955</v>
      </c>
      <c r="H2714" s="50"/>
      <c r="I2714" s="105"/>
      <c r="J2714" s="50"/>
      <c r="K2714" s="50" t="s">
        <v>39</v>
      </c>
      <c r="L2714" s="50"/>
      <c r="M2714" s="50" t="s">
        <v>328</v>
      </c>
      <c r="N2714" s="50"/>
      <c r="O2714" s="50"/>
      <c r="P2714" s="50"/>
      <c r="Q2714" s="50"/>
      <c r="R2714" s="50"/>
      <c r="S2714" s="50" t="str">
        <f t="shared" si="256"/>
        <v/>
      </c>
      <c r="T2714" s="50" t="str">
        <f t="shared" si="254"/>
        <v/>
      </c>
      <c r="U2714" s="50" t="str">
        <f t="shared" si="255"/>
        <v/>
      </c>
      <c r="V2714" s="50" t="str">
        <f t="shared" si="257"/>
        <v/>
      </c>
      <c r="W2714" s="50"/>
      <c r="X2714" s="50"/>
      <c r="Y2714" s="50"/>
      <c r="Z2714" s="50"/>
      <c r="AA2714" s="50"/>
    </row>
    <row r="2715" spans="1:27" ht="25.5" customHeight="1">
      <c r="A2715" s="517" t="s">
        <v>779</v>
      </c>
      <c r="B2715" s="51" t="s">
        <v>858</v>
      </c>
      <c r="C2715" s="51" t="s">
        <v>159</v>
      </c>
      <c r="D2715" s="51" t="s">
        <v>6187</v>
      </c>
      <c r="E2715" s="50">
        <v>4924</v>
      </c>
      <c r="F2715" s="50">
        <v>5647</v>
      </c>
      <c r="G2715" s="50" t="s">
        <v>3955</v>
      </c>
      <c r="H2715" s="50"/>
      <c r="I2715" s="105"/>
      <c r="J2715" s="50"/>
      <c r="K2715" s="50" t="s">
        <v>39</v>
      </c>
      <c r="L2715" s="50"/>
      <c r="M2715" s="50" t="s">
        <v>328</v>
      </c>
      <c r="N2715" s="50"/>
      <c r="O2715" s="50"/>
      <c r="P2715" s="50"/>
      <c r="Q2715" s="50"/>
      <c r="R2715" s="50"/>
      <c r="S2715" s="50" t="str">
        <f t="shared" si="256"/>
        <v/>
      </c>
      <c r="T2715" s="50" t="str">
        <f t="shared" si="254"/>
        <v/>
      </c>
      <c r="U2715" s="50" t="str">
        <f t="shared" si="255"/>
        <v/>
      </c>
      <c r="V2715" s="50" t="str">
        <f t="shared" si="257"/>
        <v/>
      </c>
      <c r="W2715" s="50"/>
      <c r="X2715" s="50"/>
      <c r="Y2715" s="50"/>
      <c r="Z2715" s="50"/>
      <c r="AA2715" s="50"/>
    </row>
    <row r="2716" spans="1:27" ht="25.5" customHeight="1">
      <c r="A2716" s="517" t="s">
        <v>779</v>
      </c>
      <c r="B2716" s="51" t="s">
        <v>1511</v>
      </c>
      <c r="C2716" s="51" t="s">
        <v>159</v>
      </c>
      <c r="D2716" s="51" t="s">
        <v>1512</v>
      </c>
      <c r="E2716" s="50">
        <v>2225</v>
      </c>
      <c r="F2716" s="50">
        <v>2329</v>
      </c>
      <c r="G2716" s="50" t="s">
        <v>3404</v>
      </c>
      <c r="H2716" s="50">
        <v>2025</v>
      </c>
      <c r="I2716" s="132">
        <v>45680</v>
      </c>
      <c r="J2716" s="50" t="s">
        <v>3424</v>
      </c>
      <c r="K2716" s="50" t="s">
        <v>5783</v>
      </c>
      <c r="L2716" s="50"/>
      <c r="M2716" s="50" t="s">
        <v>328</v>
      </c>
      <c r="N2716" s="50" t="s">
        <v>6188</v>
      </c>
      <c r="O2716" s="60">
        <v>45680</v>
      </c>
      <c r="P2716" s="50"/>
      <c r="Q2716" s="60">
        <v>45684</v>
      </c>
      <c r="R2716" s="60">
        <v>45685</v>
      </c>
      <c r="S2716" s="50">
        <f t="shared" si="256"/>
        <v>1</v>
      </c>
      <c r="T2716" s="50" t="str">
        <f t="shared" si="254"/>
        <v/>
      </c>
      <c r="U2716" s="50">
        <f t="shared" si="255"/>
        <v>2</v>
      </c>
      <c r="V2716" s="50">
        <f t="shared" si="257"/>
        <v>1</v>
      </c>
      <c r="W2716" s="50" t="s">
        <v>150</v>
      </c>
      <c r="X2716" s="50" t="s">
        <v>1078</v>
      </c>
      <c r="Y2716" s="50" t="s">
        <v>50</v>
      </c>
      <c r="Z2716" s="50" t="s">
        <v>3406</v>
      </c>
      <c r="AA2716" s="50"/>
    </row>
    <row r="2717" spans="1:27" s="110" customFormat="1" ht="25.5" customHeight="1">
      <c r="A2717" s="50" t="s">
        <v>779</v>
      </c>
      <c r="B2717" s="51" t="s">
        <v>1511</v>
      </c>
      <c r="C2717" s="51" t="s">
        <v>159</v>
      </c>
      <c r="D2717" s="51" t="s">
        <v>5225</v>
      </c>
      <c r="E2717" s="50">
        <v>1206</v>
      </c>
      <c r="F2717" s="50">
        <v>1395</v>
      </c>
      <c r="G2717" s="50" t="s">
        <v>3404</v>
      </c>
      <c r="H2717" s="50">
        <v>2024</v>
      </c>
      <c r="I2717" s="132">
        <v>45421</v>
      </c>
      <c r="J2717" s="50"/>
      <c r="K2717" s="50" t="s">
        <v>5783</v>
      </c>
      <c r="L2717" s="50"/>
      <c r="M2717" s="50" t="s">
        <v>328</v>
      </c>
      <c r="N2717" s="50"/>
      <c r="O2717" s="50"/>
      <c r="P2717" s="50"/>
      <c r="Q2717" s="50"/>
      <c r="R2717" s="50"/>
      <c r="S2717" s="50" t="str">
        <f t="shared" si="256"/>
        <v/>
      </c>
      <c r="T2717" s="50" t="str">
        <f t="shared" si="254"/>
        <v/>
      </c>
      <c r="U2717" s="50" t="str">
        <f t="shared" si="255"/>
        <v/>
      </c>
      <c r="V2717" s="50" t="str">
        <f t="shared" si="257"/>
        <v/>
      </c>
      <c r="W2717" s="50"/>
      <c r="X2717" s="50"/>
      <c r="Y2717" s="50"/>
      <c r="Z2717" s="50" t="s">
        <v>3406</v>
      </c>
      <c r="AA2717" s="50"/>
    </row>
    <row r="2718" spans="1:27" ht="25.5" customHeight="1">
      <c r="A2718" s="517" t="s">
        <v>779</v>
      </c>
      <c r="B2718" s="51" t="s">
        <v>1511</v>
      </c>
      <c r="C2718" s="51" t="s">
        <v>159</v>
      </c>
      <c r="D2718" s="51" t="s">
        <v>6189</v>
      </c>
      <c r="E2718" s="50">
        <v>1266</v>
      </c>
      <c r="F2718" s="50">
        <v>1418</v>
      </c>
      <c r="G2718" s="50" t="s">
        <v>3404</v>
      </c>
      <c r="H2718" s="50">
        <v>2025</v>
      </c>
      <c r="I2718" s="132">
        <v>45925</v>
      </c>
      <c r="J2718" s="50" t="s">
        <v>3128</v>
      </c>
      <c r="K2718" s="50" t="s">
        <v>5783</v>
      </c>
      <c r="L2718" s="50"/>
      <c r="M2718" s="50" t="s">
        <v>28</v>
      </c>
      <c r="N2718" s="50" t="s">
        <v>6190</v>
      </c>
      <c r="O2718" s="60">
        <v>45929</v>
      </c>
      <c r="P2718" s="50"/>
      <c r="Q2718" s="60">
        <v>45940</v>
      </c>
      <c r="R2718" s="60">
        <v>45940</v>
      </c>
      <c r="S2718" s="50">
        <f t="shared" si="256"/>
        <v>2</v>
      </c>
      <c r="T2718" s="50" t="str">
        <f t="shared" si="254"/>
        <v/>
      </c>
      <c r="U2718" s="50">
        <f t="shared" si="255"/>
        <v>9</v>
      </c>
      <c r="V2718" s="50">
        <f t="shared" si="257"/>
        <v>1</v>
      </c>
      <c r="W2718" s="50" t="s">
        <v>150</v>
      </c>
      <c r="X2718" s="50" t="s">
        <v>1078</v>
      </c>
      <c r="Y2718" s="50" t="s">
        <v>50</v>
      </c>
      <c r="Z2718" s="50" t="s">
        <v>3406</v>
      </c>
      <c r="AA2718" s="50"/>
    </row>
    <row r="2719" spans="1:27" ht="25.5" customHeight="1">
      <c r="A2719" s="517" t="s">
        <v>779</v>
      </c>
      <c r="B2719" s="51" t="s">
        <v>1511</v>
      </c>
      <c r="C2719" s="51" t="s">
        <v>159</v>
      </c>
      <c r="D2719" s="51" t="s">
        <v>1056</v>
      </c>
      <c r="E2719" s="50">
        <v>1417</v>
      </c>
      <c r="F2719" s="50">
        <v>1549</v>
      </c>
      <c r="G2719" s="50" t="s">
        <v>3404</v>
      </c>
      <c r="H2719" s="50">
        <v>2025</v>
      </c>
      <c r="I2719" s="132">
        <v>45701</v>
      </c>
      <c r="J2719" s="50" t="s">
        <v>3458</v>
      </c>
      <c r="K2719" s="50" t="s">
        <v>5783</v>
      </c>
      <c r="L2719" s="50"/>
      <c r="M2719" s="50" t="s">
        <v>328</v>
      </c>
      <c r="N2719" s="50" t="s">
        <v>6191</v>
      </c>
      <c r="O2719" s="60">
        <v>45702</v>
      </c>
      <c r="P2719" s="50"/>
      <c r="Q2719" s="60">
        <v>45705</v>
      </c>
      <c r="R2719" s="60">
        <v>45706</v>
      </c>
      <c r="S2719" s="50">
        <f t="shared" si="256"/>
        <v>1</v>
      </c>
      <c r="T2719" s="50" t="str">
        <f t="shared" si="254"/>
        <v/>
      </c>
      <c r="U2719" s="50">
        <f t="shared" si="255"/>
        <v>1</v>
      </c>
      <c r="V2719" s="50">
        <f t="shared" si="257"/>
        <v>1</v>
      </c>
      <c r="W2719" s="50" t="s">
        <v>150</v>
      </c>
      <c r="X2719" s="50" t="s">
        <v>4</v>
      </c>
      <c r="Y2719" s="50" t="s">
        <v>50</v>
      </c>
      <c r="Z2719" s="50" t="s">
        <v>3406</v>
      </c>
      <c r="AA2719" s="50"/>
    </row>
    <row r="2720" spans="1:27" ht="25.5" customHeight="1">
      <c r="A2720" s="517" t="s">
        <v>779</v>
      </c>
      <c r="B2720" s="51" t="s">
        <v>1511</v>
      </c>
      <c r="C2720" s="51" t="s">
        <v>159</v>
      </c>
      <c r="D2720" s="51" t="s">
        <v>6192</v>
      </c>
      <c r="E2720" s="50">
        <v>2368</v>
      </c>
      <c r="F2720" s="50">
        <v>2420</v>
      </c>
      <c r="G2720" s="50" t="s">
        <v>3404</v>
      </c>
      <c r="H2720" s="50">
        <v>2025</v>
      </c>
      <c r="I2720" s="132">
        <v>45925</v>
      </c>
      <c r="J2720" s="50" t="s">
        <v>3128</v>
      </c>
      <c r="K2720" s="50" t="s">
        <v>5783</v>
      </c>
      <c r="L2720" s="50"/>
      <c r="M2720" s="50" t="s">
        <v>28</v>
      </c>
      <c r="N2720" s="50" t="s">
        <v>6193</v>
      </c>
      <c r="O2720" s="60">
        <v>45929</v>
      </c>
      <c r="P2720" s="50"/>
      <c r="Q2720" s="60">
        <v>45940</v>
      </c>
      <c r="R2720" s="60">
        <v>45940</v>
      </c>
      <c r="S2720" s="50">
        <f t="shared" si="256"/>
        <v>2</v>
      </c>
      <c r="T2720" s="50" t="str">
        <f t="shared" si="254"/>
        <v/>
      </c>
      <c r="U2720" s="50">
        <f t="shared" si="255"/>
        <v>9</v>
      </c>
      <c r="V2720" s="50">
        <f t="shared" si="257"/>
        <v>1</v>
      </c>
      <c r="W2720" s="50" t="s">
        <v>150</v>
      </c>
      <c r="X2720" s="50" t="s">
        <v>1078</v>
      </c>
      <c r="Y2720" s="50" t="s">
        <v>50</v>
      </c>
      <c r="Z2720" s="50" t="s">
        <v>3406</v>
      </c>
      <c r="AA2720" s="50"/>
    </row>
    <row r="2721" spans="1:27" ht="25.5" customHeight="1">
      <c r="A2721" s="517" t="s">
        <v>779</v>
      </c>
      <c r="B2721" s="51" t="s">
        <v>1511</v>
      </c>
      <c r="C2721" s="51" t="s">
        <v>159</v>
      </c>
      <c r="D2721" s="51" t="s">
        <v>4126</v>
      </c>
      <c r="E2721" s="50">
        <v>1896</v>
      </c>
      <c r="F2721" s="50">
        <v>2238</v>
      </c>
      <c r="G2721" s="50" t="s">
        <v>3955</v>
      </c>
      <c r="H2721" s="50"/>
      <c r="I2721" s="105"/>
      <c r="J2721" s="50"/>
      <c r="K2721" s="50" t="s">
        <v>5783</v>
      </c>
      <c r="L2721" s="50"/>
      <c r="M2721" s="50" t="s">
        <v>328</v>
      </c>
      <c r="N2721" s="50"/>
      <c r="O2721" s="50"/>
      <c r="P2721" s="50"/>
      <c r="Q2721" s="50"/>
      <c r="R2721" s="50"/>
      <c r="S2721" s="50" t="str">
        <f t="shared" si="256"/>
        <v/>
      </c>
      <c r="T2721" s="50" t="str">
        <f t="shared" si="254"/>
        <v/>
      </c>
      <c r="U2721" s="50" t="str">
        <f t="shared" si="255"/>
        <v/>
      </c>
      <c r="V2721" s="50" t="str">
        <f t="shared" si="257"/>
        <v/>
      </c>
      <c r="W2721" s="50"/>
      <c r="X2721" s="50"/>
      <c r="Y2721" s="50"/>
      <c r="Z2721" s="50"/>
      <c r="AA2721" s="50"/>
    </row>
    <row r="2722" spans="1:27" ht="25.5" customHeight="1">
      <c r="A2722" s="517" t="s">
        <v>779</v>
      </c>
      <c r="B2722" s="51" t="s">
        <v>1511</v>
      </c>
      <c r="C2722" s="51" t="s">
        <v>159</v>
      </c>
      <c r="D2722" s="51" t="s">
        <v>1225</v>
      </c>
      <c r="E2722" s="50">
        <v>2676</v>
      </c>
      <c r="F2722" s="50">
        <v>2930</v>
      </c>
      <c r="G2722" s="50" t="s">
        <v>3955</v>
      </c>
      <c r="H2722" s="50"/>
      <c r="I2722" s="105"/>
      <c r="J2722" s="50"/>
      <c r="K2722" s="50" t="s">
        <v>5783</v>
      </c>
      <c r="L2722" s="50"/>
      <c r="M2722" s="50" t="s">
        <v>328</v>
      </c>
      <c r="N2722" s="50"/>
      <c r="O2722" s="60"/>
      <c r="P2722" s="50"/>
      <c r="Q2722" s="60"/>
      <c r="R2722" s="50"/>
      <c r="S2722" s="50" t="str">
        <f t="shared" si="256"/>
        <v/>
      </c>
      <c r="T2722" s="50" t="str">
        <f t="shared" si="254"/>
        <v/>
      </c>
      <c r="U2722" s="50" t="str">
        <f t="shared" si="255"/>
        <v/>
      </c>
      <c r="V2722" s="50" t="str">
        <f t="shared" si="257"/>
        <v/>
      </c>
      <c r="W2722" s="50"/>
      <c r="X2722" s="50" t="s">
        <v>1078</v>
      </c>
      <c r="Y2722" s="50" t="s">
        <v>50</v>
      </c>
      <c r="Z2722" s="50" t="s">
        <v>3406</v>
      </c>
      <c r="AA2722" s="50"/>
    </row>
    <row r="2723" spans="1:27" ht="25.5" customHeight="1">
      <c r="A2723" s="517" t="s">
        <v>779</v>
      </c>
      <c r="B2723" s="51" t="s">
        <v>1511</v>
      </c>
      <c r="C2723" s="51" t="s">
        <v>159</v>
      </c>
      <c r="D2723" s="51" t="s">
        <v>6194</v>
      </c>
      <c r="E2723" s="50">
        <v>1238</v>
      </c>
      <c r="F2723" s="50">
        <v>1304</v>
      </c>
      <c r="G2723" s="50" t="s">
        <v>3404</v>
      </c>
      <c r="H2723" s="50">
        <v>2025</v>
      </c>
      <c r="I2723" s="132">
        <v>45925</v>
      </c>
      <c r="J2723" s="50" t="s">
        <v>3128</v>
      </c>
      <c r="K2723" s="50" t="s">
        <v>5783</v>
      </c>
      <c r="L2723" s="50"/>
      <c r="M2723" s="50" t="s">
        <v>28</v>
      </c>
      <c r="N2723" s="50" t="s">
        <v>6195</v>
      </c>
      <c r="O2723" s="60">
        <v>45929</v>
      </c>
      <c r="P2723" s="50"/>
      <c r="Q2723" s="60">
        <v>45940</v>
      </c>
      <c r="R2723" s="60">
        <v>45940</v>
      </c>
      <c r="S2723" s="50">
        <f t="shared" si="256"/>
        <v>2</v>
      </c>
      <c r="T2723" s="50" t="str">
        <f t="shared" si="254"/>
        <v/>
      </c>
      <c r="U2723" s="50">
        <f t="shared" si="255"/>
        <v>9</v>
      </c>
      <c r="V2723" s="50">
        <f t="shared" si="257"/>
        <v>1</v>
      </c>
      <c r="W2723" s="50" t="s">
        <v>150</v>
      </c>
      <c r="X2723" s="50" t="s">
        <v>1078</v>
      </c>
      <c r="Y2723" s="50" t="s">
        <v>50</v>
      </c>
      <c r="Z2723" s="50" t="s">
        <v>3406</v>
      </c>
      <c r="AA2723" s="50"/>
    </row>
    <row r="2724" spans="1:27" ht="25.5" customHeight="1">
      <c r="A2724" s="517" t="s">
        <v>779</v>
      </c>
      <c r="B2724" s="51" t="s">
        <v>1511</v>
      </c>
      <c r="C2724" s="51" t="s">
        <v>159</v>
      </c>
      <c r="D2724" s="51" t="s">
        <v>1151</v>
      </c>
      <c r="E2724" s="50">
        <v>2210</v>
      </c>
      <c r="F2724" s="50">
        <v>2447</v>
      </c>
      <c r="G2724" s="50" t="s">
        <v>3955</v>
      </c>
      <c r="H2724" s="50"/>
      <c r="I2724" s="105"/>
      <c r="J2724" s="50"/>
      <c r="K2724" s="50" t="s">
        <v>5783</v>
      </c>
      <c r="L2724" s="50"/>
      <c r="M2724" s="50" t="s">
        <v>328</v>
      </c>
      <c r="N2724" s="50"/>
      <c r="O2724" s="50"/>
      <c r="P2724" s="50"/>
      <c r="Q2724" s="50"/>
      <c r="R2724" s="50"/>
      <c r="S2724" s="50" t="str">
        <f t="shared" si="256"/>
        <v/>
      </c>
      <c r="T2724" s="50" t="str">
        <f t="shared" si="254"/>
        <v/>
      </c>
      <c r="U2724" s="50" t="str">
        <f t="shared" si="255"/>
        <v/>
      </c>
      <c r="V2724" s="50" t="str">
        <f t="shared" si="257"/>
        <v/>
      </c>
      <c r="W2724" s="50"/>
      <c r="X2724" s="50"/>
      <c r="Y2724" s="50"/>
      <c r="Z2724" s="50"/>
      <c r="AA2724" s="50"/>
    </row>
    <row r="2725" spans="1:27" ht="25.5" customHeight="1">
      <c r="A2725" s="517" t="s">
        <v>779</v>
      </c>
      <c r="B2725" s="51" t="s">
        <v>1511</v>
      </c>
      <c r="C2725" s="51" t="s">
        <v>159</v>
      </c>
      <c r="D2725" s="51" t="s">
        <v>1233</v>
      </c>
      <c r="E2725" s="50">
        <v>1443</v>
      </c>
      <c r="F2725" s="50">
        <v>1638</v>
      </c>
      <c r="G2725" s="50" t="s">
        <v>3955</v>
      </c>
      <c r="H2725" s="50"/>
      <c r="I2725" s="105"/>
      <c r="J2725" s="50"/>
      <c r="K2725" s="50" t="s">
        <v>5783</v>
      </c>
      <c r="L2725" s="50"/>
      <c r="M2725" s="50" t="s">
        <v>328</v>
      </c>
      <c r="N2725" s="50"/>
      <c r="O2725" s="50"/>
      <c r="P2725" s="50"/>
      <c r="Q2725" s="50"/>
      <c r="R2725" s="50"/>
      <c r="S2725" s="50" t="str">
        <f t="shared" si="256"/>
        <v/>
      </c>
      <c r="T2725" s="50" t="str">
        <f t="shared" si="254"/>
        <v/>
      </c>
      <c r="U2725" s="50" t="str">
        <f t="shared" si="255"/>
        <v/>
      </c>
      <c r="V2725" s="50" t="str">
        <f t="shared" si="257"/>
        <v/>
      </c>
      <c r="W2725" s="50"/>
      <c r="X2725" s="50"/>
      <c r="Y2725" s="50"/>
      <c r="Z2725" s="50"/>
      <c r="AA2725" s="50"/>
    </row>
    <row r="2726" spans="1:27" ht="25.5" customHeight="1">
      <c r="A2726" s="517" t="s">
        <v>779</v>
      </c>
      <c r="B2726" s="51" t="s">
        <v>1511</v>
      </c>
      <c r="C2726" s="51" t="s">
        <v>159</v>
      </c>
      <c r="D2726" s="51" t="s">
        <v>1166</v>
      </c>
      <c r="E2726" s="50">
        <v>1630</v>
      </c>
      <c r="F2726" s="50">
        <v>1939</v>
      </c>
      <c r="G2726" s="50" t="s">
        <v>3955</v>
      </c>
      <c r="H2726" s="50"/>
      <c r="I2726" s="105"/>
      <c r="J2726" s="50"/>
      <c r="K2726" s="50" t="s">
        <v>5783</v>
      </c>
      <c r="L2726" s="50"/>
      <c r="M2726" s="50" t="s">
        <v>328</v>
      </c>
      <c r="N2726" s="50"/>
      <c r="O2726" s="50"/>
      <c r="P2726" s="50"/>
      <c r="Q2726" s="50"/>
      <c r="R2726" s="50"/>
      <c r="S2726" s="50" t="str">
        <f t="shared" si="256"/>
        <v/>
      </c>
      <c r="T2726" s="50" t="str">
        <f t="shared" si="254"/>
        <v/>
      </c>
      <c r="U2726" s="50" t="str">
        <f t="shared" si="255"/>
        <v/>
      </c>
      <c r="V2726" s="50" t="str">
        <f t="shared" si="257"/>
        <v/>
      </c>
      <c r="W2726" s="50"/>
      <c r="X2726" s="50"/>
      <c r="Y2726" s="50"/>
      <c r="Z2726" s="50"/>
      <c r="AA2726" s="50"/>
    </row>
    <row r="2727" spans="1:27" ht="25.5" customHeight="1">
      <c r="A2727" s="517" t="s">
        <v>779</v>
      </c>
      <c r="B2727" s="51" t="s">
        <v>1511</v>
      </c>
      <c r="C2727" s="51" t="s">
        <v>159</v>
      </c>
      <c r="D2727" s="51" t="s">
        <v>4950</v>
      </c>
      <c r="E2727" s="50">
        <v>1598</v>
      </c>
      <c r="F2727" s="50">
        <v>1644</v>
      </c>
      <c r="G2727" s="50" t="s">
        <v>3955</v>
      </c>
      <c r="H2727" s="50"/>
      <c r="I2727" s="105"/>
      <c r="J2727" s="50"/>
      <c r="K2727" s="50" t="s">
        <v>5783</v>
      </c>
      <c r="L2727" s="50"/>
      <c r="M2727" s="50" t="s">
        <v>328</v>
      </c>
      <c r="N2727" s="50"/>
      <c r="O2727" s="50"/>
      <c r="P2727" s="50"/>
      <c r="Q2727" s="50"/>
      <c r="R2727" s="50"/>
      <c r="S2727" s="50" t="str">
        <f t="shared" si="256"/>
        <v/>
      </c>
      <c r="T2727" s="50" t="str">
        <f t="shared" si="254"/>
        <v/>
      </c>
      <c r="U2727" s="50" t="str">
        <f t="shared" si="255"/>
        <v/>
      </c>
      <c r="V2727" s="50" t="str">
        <f t="shared" si="257"/>
        <v/>
      </c>
      <c r="W2727" s="50"/>
      <c r="X2727" s="50"/>
      <c r="Y2727" s="50"/>
      <c r="Z2727" s="50"/>
      <c r="AA2727" s="50"/>
    </row>
    <row r="2728" spans="1:27" ht="25.5" customHeight="1">
      <c r="A2728" s="517" t="s">
        <v>779</v>
      </c>
      <c r="B2728" s="51" t="s">
        <v>1511</v>
      </c>
      <c r="C2728" s="51" t="s">
        <v>159</v>
      </c>
      <c r="D2728" s="51" t="s">
        <v>6196</v>
      </c>
      <c r="E2728" s="50">
        <v>1070</v>
      </c>
      <c r="F2728" s="50">
        <v>1142</v>
      </c>
      <c r="G2728" s="50" t="s">
        <v>3404</v>
      </c>
      <c r="H2728" s="50">
        <v>2025</v>
      </c>
      <c r="I2728" s="132">
        <v>45911</v>
      </c>
      <c r="J2728" s="50" t="s">
        <v>3127</v>
      </c>
      <c r="K2728" s="50" t="s">
        <v>5783</v>
      </c>
      <c r="L2728" s="50"/>
      <c r="M2728" s="50" t="s">
        <v>328</v>
      </c>
      <c r="N2728" s="50" t="s">
        <v>6197</v>
      </c>
      <c r="O2728" s="60">
        <v>45915</v>
      </c>
      <c r="P2728" s="50"/>
      <c r="Q2728" s="60">
        <v>45916</v>
      </c>
      <c r="R2728" s="60">
        <v>45918</v>
      </c>
      <c r="S2728" s="50">
        <f t="shared" si="256"/>
        <v>2</v>
      </c>
      <c r="T2728" s="50" t="str">
        <f t="shared" si="254"/>
        <v/>
      </c>
      <c r="U2728" s="50">
        <f t="shared" si="255"/>
        <v>1</v>
      </c>
      <c r="V2728" s="50">
        <f t="shared" si="257"/>
        <v>2</v>
      </c>
      <c r="W2728" s="50" t="s">
        <v>150</v>
      </c>
      <c r="X2728" s="50" t="s">
        <v>1078</v>
      </c>
      <c r="Y2728" s="50" t="s">
        <v>50</v>
      </c>
      <c r="Z2728" s="50" t="s">
        <v>3406</v>
      </c>
      <c r="AA2728" s="50"/>
    </row>
    <row r="2729" spans="1:27" s="110" customFormat="1" ht="25.5" customHeight="1">
      <c r="A2729" s="517" t="s">
        <v>779</v>
      </c>
      <c r="B2729" s="51" t="s">
        <v>1511</v>
      </c>
      <c r="C2729" s="51" t="s">
        <v>159</v>
      </c>
      <c r="D2729" s="51" t="s">
        <v>6198</v>
      </c>
      <c r="E2729" s="50">
        <v>2335</v>
      </c>
      <c r="F2729" s="50">
        <v>2859</v>
      </c>
      <c r="G2729" s="50" t="s">
        <v>3404</v>
      </c>
      <c r="H2729" s="50">
        <v>2025</v>
      </c>
      <c r="I2729" s="132">
        <v>45912</v>
      </c>
      <c r="J2729" s="50" t="s">
        <v>3127</v>
      </c>
      <c r="K2729" s="50" t="s">
        <v>5783</v>
      </c>
      <c r="L2729" s="50"/>
      <c r="M2729" s="50" t="s">
        <v>328</v>
      </c>
      <c r="N2729" s="50" t="s">
        <v>6199</v>
      </c>
      <c r="O2729" s="60">
        <v>45915</v>
      </c>
      <c r="P2729" s="60"/>
      <c r="Q2729" s="60">
        <v>45916</v>
      </c>
      <c r="R2729" s="60">
        <v>45918</v>
      </c>
      <c r="S2729" s="50">
        <f t="shared" si="256"/>
        <v>1</v>
      </c>
      <c r="T2729" s="50" t="str">
        <f t="shared" si="254"/>
        <v/>
      </c>
      <c r="U2729" s="50">
        <f t="shared" si="255"/>
        <v>1</v>
      </c>
      <c r="V2729" s="50">
        <f t="shared" si="257"/>
        <v>2</v>
      </c>
      <c r="W2729" s="50" t="s">
        <v>150</v>
      </c>
      <c r="X2729" s="50" t="s">
        <v>3527</v>
      </c>
      <c r="Y2729" s="50" t="s">
        <v>3528</v>
      </c>
      <c r="Z2729" s="50" t="s">
        <v>3406</v>
      </c>
      <c r="AA2729" s="50"/>
    </row>
    <row r="2730" spans="1:27" ht="25.5" customHeight="1">
      <c r="A2730" s="517" t="s">
        <v>779</v>
      </c>
      <c r="B2730" s="51" t="s">
        <v>1511</v>
      </c>
      <c r="C2730" s="51" t="s">
        <v>159</v>
      </c>
      <c r="D2730" s="51" t="s">
        <v>6200</v>
      </c>
      <c r="E2730" s="50">
        <v>926</v>
      </c>
      <c r="F2730" s="50">
        <v>1135</v>
      </c>
      <c r="G2730" s="50" t="s">
        <v>3404</v>
      </c>
      <c r="H2730" s="50">
        <v>2025</v>
      </c>
      <c r="I2730" s="132">
        <v>45912</v>
      </c>
      <c r="J2730" s="50" t="s">
        <v>3127</v>
      </c>
      <c r="K2730" s="50" t="s">
        <v>5783</v>
      </c>
      <c r="L2730" s="50"/>
      <c r="M2730" s="50" t="s">
        <v>328</v>
      </c>
      <c r="N2730" s="50" t="s">
        <v>6201</v>
      </c>
      <c r="O2730" s="60">
        <v>45915</v>
      </c>
      <c r="P2730" s="50"/>
      <c r="Q2730" s="60">
        <v>45916</v>
      </c>
      <c r="R2730" s="60">
        <v>45918</v>
      </c>
      <c r="S2730" s="50">
        <f t="shared" si="256"/>
        <v>1</v>
      </c>
      <c r="T2730" s="50" t="str">
        <f t="shared" ref="T2730:T2793" si="258">IF(
    OR(ISBLANK(O2730), ISBLANK(P2730)),
    "",
    MAX(1, IF(
        NETWORKDAYS(O2730, P2730) &lt;= 0,
        1,
        NETWORKDAYS(O2730, P2730) - IF(O2730 = P2730, 0, 1)
    ))
)</f>
        <v/>
      </c>
      <c r="U2730" s="50">
        <f t="shared" si="255"/>
        <v>1</v>
      </c>
      <c r="V2730" s="50">
        <f t="shared" si="257"/>
        <v>2</v>
      </c>
      <c r="W2730" s="50" t="s">
        <v>150</v>
      </c>
      <c r="X2730" s="50" t="s">
        <v>1078</v>
      </c>
      <c r="Y2730" s="50" t="s">
        <v>50</v>
      </c>
      <c r="Z2730" s="50" t="s">
        <v>3406</v>
      </c>
      <c r="AA2730" s="50"/>
    </row>
    <row r="2731" spans="1:27" ht="25.5" customHeight="1">
      <c r="A2731" s="50" t="s">
        <v>779</v>
      </c>
      <c r="B2731" s="51" t="s">
        <v>6202</v>
      </c>
      <c r="C2731" s="51" t="s">
        <v>159</v>
      </c>
      <c r="D2731" s="51" t="s">
        <v>6203</v>
      </c>
      <c r="E2731" s="50">
        <v>2084</v>
      </c>
      <c r="F2731" s="50">
        <v>2162</v>
      </c>
      <c r="G2731" s="50" t="s">
        <v>3404</v>
      </c>
      <c r="H2731" s="50">
        <v>2024</v>
      </c>
      <c r="I2731" s="132">
        <v>45545</v>
      </c>
      <c r="J2731" s="50"/>
      <c r="K2731" s="50" t="s">
        <v>37</v>
      </c>
      <c r="L2731" s="50"/>
      <c r="M2731" s="50" t="s">
        <v>328</v>
      </c>
      <c r="N2731" s="50"/>
      <c r="O2731" s="50"/>
      <c r="P2731" s="50"/>
      <c r="Q2731" s="50"/>
      <c r="R2731" s="50"/>
      <c r="S2731" s="50" t="str">
        <f t="shared" si="256"/>
        <v/>
      </c>
      <c r="T2731" s="50" t="str">
        <f t="shared" si="258"/>
        <v/>
      </c>
      <c r="U2731" s="50" t="str">
        <f t="shared" si="255"/>
        <v/>
      </c>
      <c r="V2731" s="50" t="str">
        <f t="shared" si="257"/>
        <v/>
      </c>
      <c r="W2731" s="50"/>
      <c r="X2731" s="50" t="s">
        <v>1078</v>
      </c>
      <c r="Y2731" s="50" t="s">
        <v>50</v>
      </c>
      <c r="Z2731" s="50" t="s">
        <v>3406</v>
      </c>
      <c r="AA2731" s="50"/>
    </row>
    <row r="2732" spans="1:27" ht="25.5" customHeight="1">
      <c r="A2732" s="517" t="s">
        <v>779</v>
      </c>
      <c r="B2732" s="51" t="s">
        <v>6202</v>
      </c>
      <c r="C2732" s="51" t="s">
        <v>159</v>
      </c>
      <c r="D2732" s="51" t="s">
        <v>6204</v>
      </c>
      <c r="E2732" s="50">
        <v>1674</v>
      </c>
      <c r="F2732" s="50">
        <v>1682</v>
      </c>
      <c r="G2732" s="50" t="s">
        <v>3955</v>
      </c>
      <c r="H2732" s="50"/>
      <c r="I2732" s="105"/>
      <c r="J2732" s="50"/>
      <c r="K2732" s="50" t="s">
        <v>37</v>
      </c>
      <c r="L2732" s="50"/>
      <c r="M2732" s="50" t="s">
        <v>328</v>
      </c>
      <c r="N2732" s="50"/>
      <c r="O2732" s="50"/>
      <c r="P2732" s="50"/>
      <c r="Q2732" s="50"/>
      <c r="R2732" s="50"/>
      <c r="S2732" s="50" t="str">
        <f t="shared" si="256"/>
        <v/>
      </c>
      <c r="T2732" s="50" t="str">
        <f t="shared" si="258"/>
        <v/>
      </c>
      <c r="U2732" s="50" t="str">
        <f t="shared" si="255"/>
        <v/>
      </c>
      <c r="V2732" s="50" t="str">
        <f t="shared" si="257"/>
        <v/>
      </c>
      <c r="W2732" s="50"/>
      <c r="X2732" s="50"/>
      <c r="Y2732" s="50"/>
      <c r="Z2732" s="50"/>
      <c r="AA2732" s="50"/>
    </row>
    <row r="2733" spans="1:27" ht="25.5" customHeight="1">
      <c r="A2733" s="517" t="s">
        <v>779</v>
      </c>
      <c r="B2733" s="51" t="s">
        <v>6202</v>
      </c>
      <c r="C2733" s="51" t="s">
        <v>159</v>
      </c>
      <c r="D2733" s="51" t="s">
        <v>6205</v>
      </c>
      <c r="E2733" s="50">
        <v>1712</v>
      </c>
      <c r="F2733" s="50">
        <v>1868</v>
      </c>
      <c r="G2733" s="50" t="s">
        <v>3404</v>
      </c>
      <c r="H2733" s="50">
        <v>2025</v>
      </c>
      <c r="I2733" s="132">
        <v>45699</v>
      </c>
      <c r="J2733" s="50" t="s">
        <v>3458</v>
      </c>
      <c r="K2733" s="50" t="s">
        <v>37</v>
      </c>
      <c r="L2733" s="50"/>
      <c r="M2733" s="50" t="s">
        <v>328</v>
      </c>
      <c r="N2733" s="50" t="s">
        <v>6206</v>
      </c>
      <c r="O2733" s="60">
        <v>45701</v>
      </c>
      <c r="P2733" s="50"/>
      <c r="Q2733" s="60">
        <v>45705</v>
      </c>
      <c r="R2733" s="60">
        <v>45705</v>
      </c>
      <c r="S2733" s="50">
        <f t="shared" si="256"/>
        <v>2</v>
      </c>
      <c r="T2733" s="50" t="str">
        <f t="shared" si="258"/>
        <v/>
      </c>
      <c r="U2733" s="50">
        <f t="shared" si="255"/>
        <v>2</v>
      </c>
      <c r="V2733" s="50">
        <f t="shared" si="257"/>
        <v>1</v>
      </c>
      <c r="W2733" s="50" t="s">
        <v>150</v>
      </c>
      <c r="X2733" s="50" t="s">
        <v>1078</v>
      </c>
      <c r="Y2733" s="50" t="s">
        <v>50</v>
      </c>
      <c r="Z2733" s="50" t="s">
        <v>3406</v>
      </c>
      <c r="AA2733" s="50"/>
    </row>
    <row r="2734" spans="1:27" s="110" customFormat="1" ht="25.5" customHeight="1">
      <c r="A2734" s="517" t="s">
        <v>779</v>
      </c>
      <c r="B2734" s="51" t="s">
        <v>6202</v>
      </c>
      <c r="C2734" s="51" t="s">
        <v>159</v>
      </c>
      <c r="D2734" s="51" t="s">
        <v>4849</v>
      </c>
      <c r="E2734" s="50">
        <v>1071</v>
      </c>
      <c r="F2734" s="50">
        <v>1237</v>
      </c>
      <c r="G2734" s="50" t="s">
        <v>3404</v>
      </c>
      <c r="H2734" s="50">
        <v>2025</v>
      </c>
      <c r="I2734" s="132">
        <v>45699</v>
      </c>
      <c r="J2734" s="50" t="s">
        <v>3458</v>
      </c>
      <c r="K2734" s="50" t="s">
        <v>37</v>
      </c>
      <c r="L2734" s="50"/>
      <c r="M2734" s="50" t="s">
        <v>328</v>
      </c>
      <c r="N2734" s="50" t="s">
        <v>6207</v>
      </c>
      <c r="O2734" s="60">
        <v>45701</v>
      </c>
      <c r="P2734" s="50"/>
      <c r="Q2734" s="60">
        <v>45705</v>
      </c>
      <c r="R2734" s="60">
        <v>45705</v>
      </c>
      <c r="S2734" s="50">
        <f t="shared" si="256"/>
        <v>2</v>
      </c>
      <c r="T2734" s="50" t="str">
        <f t="shared" si="258"/>
        <v/>
      </c>
      <c r="U2734" s="50">
        <f t="shared" ref="U2734:U2797" si="259">IF(
    OR(ISBLANK(O2734), ISBLANK(Q2734)),
    "",
    MAX(1, IF(
        NETWORKDAYS(O2734, Q2734) &lt;= 0,
        1,
        NETWORKDAYS(O2734, Q2734) - IF(O2734 = Q2734, 0, 1)
    ))
)</f>
        <v>2</v>
      </c>
      <c r="V2734" s="50">
        <f t="shared" si="257"/>
        <v>1</v>
      </c>
      <c r="W2734" s="50" t="s">
        <v>150</v>
      </c>
      <c r="X2734" s="50" t="s">
        <v>1078</v>
      </c>
      <c r="Y2734" s="50" t="s">
        <v>50</v>
      </c>
      <c r="Z2734" s="50" t="s">
        <v>3406</v>
      </c>
      <c r="AA2734" s="50"/>
    </row>
    <row r="2735" spans="1:27" ht="25.5" customHeight="1">
      <c r="A2735" s="517" t="s">
        <v>779</v>
      </c>
      <c r="B2735" s="51" t="s">
        <v>6202</v>
      </c>
      <c r="C2735" s="51" t="s">
        <v>159</v>
      </c>
      <c r="D2735" s="51" t="s">
        <v>6208</v>
      </c>
      <c r="E2735" s="50">
        <v>1381</v>
      </c>
      <c r="F2735" s="50">
        <v>1540</v>
      </c>
      <c r="G2735" s="50" t="s">
        <v>3404</v>
      </c>
      <c r="H2735" s="50">
        <v>2025</v>
      </c>
      <c r="I2735" s="132">
        <v>45812</v>
      </c>
      <c r="J2735" s="50" t="s">
        <v>3689</v>
      </c>
      <c r="K2735" s="50" t="s">
        <v>37</v>
      </c>
      <c r="L2735" s="50"/>
      <c r="M2735" s="50" t="s">
        <v>328</v>
      </c>
      <c r="N2735" s="50" t="s">
        <v>6209</v>
      </c>
      <c r="O2735" s="60">
        <v>45812</v>
      </c>
      <c r="P2735" s="50"/>
      <c r="Q2735" s="60">
        <v>45814</v>
      </c>
      <c r="R2735" s="60">
        <v>45824</v>
      </c>
      <c r="S2735" s="50">
        <f t="shared" si="256"/>
        <v>1</v>
      </c>
      <c r="T2735" s="50" t="str">
        <f t="shared" si="258"/>
        <v/>
      </c>
      <c r="U2735" s="50">
        <f t="shared" si="259"/>
        <v>2</v>
      </c>
      <c r="V2735" s="50">
        <f t="shared" si="257"/>
        <v>6</v>
      </c>
      <c r="W2735" s="50" t="s">
        <v>150</v>
      </c>
      <c r="X2735" s="50" t="s">
        <v>1078</v>
      </c>
      <c r="Y2735" s="50" t="s">
        <v>50</v>
      </c>
      <c r="Z2735" s="50" t="s">
        <v>3406</v>
      </c>
      <c r="AA2735" s="50"/>
    </row>
    <row r="2736" spans="1:27" s="110" customFormat="1" ht="25.5" customHeight="1">
      <c r="A2736" s="517" t="s">
        <v>779</v>
      </c>
      <c r="B2736" s="51" t="s">
        <v>6202</v>
      </c>
      <c r="C2736" s="51" t="s">
        <v>159</v>
      </c>
      <c r="D2736" s="51" t="s">
        <v>6210</v>
      </c>
      <c r="E2736" s="50">
        <v>763</v>
      </c>
      <c r="F2736" s="50">
        <v>777</v>
      </c>
      <c r="G2736" s="50" t="s">
        <v>3955</v>
      </c>
      <c r="H2736" s="50"/>
      <c r="I2736" s="105"/>
      <c r="J2736" s="50"/>
      <c r="K2736" s="50" t="s">
        <v>37</v>
      </c>
      <c r="L2736" s="50"/>
      <c r="M2736" s="50" t="s">
        <v>328</v>
      </c>
      <c r="N2736" s="50"/>
      <c r="O2736" s="50"/>
      <c r="P2736" s="50"/>
      <c r="Q2736" s="50"/>
      <c r="R2736" s="50"/>
      <c r="S2736" s="50" t="str">
        <f t="shared" ref="S2736:S2799" si="260">IF(
    OR(ISBLANK(I2736), ISBLANK(O2736)),
    "",
    MAX(1, IF(
        NETWORKDAYS(I2736, O2736) &lt;= 0,
        1,
        NETWORKDAYS(I2736, O2736) - IF(I2736 = O2736, 0, 1)
    ))
)</f>
        <v/>
      </c>
      <c r="T2736" s="50" t="str">
        <f t="shared" si="258"/>
        <v/>
      </c>
      <c r="U2736" s="50" t="str">
        <f t="shared" si="259"/>
        <v/>
      </c>
      <c r="V2736" s="50" t="str">
        <f t="shared" ref="V2736:V2799" si="261">IF(
    OR(ISBLANK(Q2736), ISBLANK(R2736)),
    "",
    MAX(1, IF(
        NETWORKDAYS(Q2736, R2736) &lt;= 0,
        1,
        NETWORKDAYS(Q2736, R2736) - IF(Q2736 = R2736, 0, 1)
    ))
)</f>
        <v/>
      </c>
      <c r="W2736" s="50"/>
      <c r="X2736" s="50" t="s">
        <v>1078</v>
      </c>
      <c r="Y2736" s="50" t="s">
        <v>50</v>
      </c>
      <c r="Z2736" s="50" t="s">
        <v>3406</v>
      </c>
      <c r="AA2736" s="50"/>
    </row>
    <row r="2737" spans="1:27" ht="25.5" customHeight="1">
      <c r="A2737" s="517" t="s">
        <v>779</v>
      </c>
      <c r="B2737" s="51" t="s">
        <v>6202</v>
      </c>
      <c r="C2737" s="51" t="s">
        <v>159</v>
      </c>
      <c r="D2737" s="51" t="s">
        <v>6211</v>
      </c>
      <c r="E2737" s="50">
        <v>1604</v>
      </c>
      <c r="F2737" s="50">
        <v>1662</v>
      </c>
      <c r="G2737" s="50" t="s">
        <v>3404</v>
      </c>
      <c r="H2737" s="50">
        <v>2025</v>
      </c>
      <c r="I2737" s="132">
        <v>45812</v>
      </c>
      <c r="J2737" s="50" t="s">
        <v>3689</v>
      </c>
      <c r="K2737" s="50" t="s">
        <v>37</v>
      </c>
      <c r="L2737" s="50"/>
      <c r="M2737" s="50" t="s">
        <v>328</v>
      </c>
      <c r="N2737" s="50" t="s">
        <v>6212</v>
      </c>
      <c r="O2737" s="60">
        <v>45812</v>
      </c>
      <c r="P2737" s="50"/>
      <c r="Q2737" s="60">
        <v>45814</v>
      </c>
      <c r="R2737" s="60">
        <v>45824</v>
      </c>
      <c r="S2737" s="50">
        <f t="shared" si="260"/>
        <v>1</v>
      </c>
      <c r="T2737" s="50" t="str">
        <f t="shared" si="258"/>
        <v/>
      </c>
      <c r="U2737" s="50">
        <f t="shared" si="259"/>
        <v>2</v>
      </c>
      <c r="V2737" s="50">
        <f t="shared" si="261"/>
        <v>6</v>
      </c>
      <c r="W2737" s="50" t="s">
        <v>150</v>
      </c>
      <c r="X2737" s="50" t="s">
        <v>1078</v>
      </c>
      <c r="Y2737" s="50" t="s">
        <v>50</v>
      </c>
      <c r="Z2737" s="50" t="s">
        <v>3406</v>
      </c>
      <c r="AA2737" s="50"/>
    </row>
    <row r="2738" spans="1:27" ht="25.5" customHeight="1">
      <c r="A2738" s="517" t="s">
        <v>779</v>
      </c>
      <c r="B2738" s="51" t="s">
        <v>6202</v>
      </c>
      <c r="C2738" s="51" t="s">
        <v>159</v>
      </c>
      <c r="D2738" s="51" t="s">
        <v>6213</v>
      </c>
      <c r="E2738" s="50">
        <v>706</v>
      </c>
      <c r="F2738" s="50">
        <v>707</v>
      </c>
      <c r="G2738" s="50" t="s">
        <v>3404</v>
      </c>
      <c r="H2738" s="50">
        <v>2025</v>
      </c>
      <c r="I2738" s="132">
        <v>45812</v>
      </c>
      <c r="J2738" s="50" t="s">
        <v>3689</v>
      </c>
      <c r="K2738" s="50" t="s">
        <v>37</v>
      </c>
      <c r="L2738" s="50"/>
      <c r="M2738" s="50" t="s">
        <v>328</v>
      </c>
      <c r="N2738" s="50" t="s">
        <v>6214</v>
      </c>
      <c r="O2738" s="60">
        <v>45814</v>
      </c>
      <c r="P2738" s="50"/>
      <c r="Q2738" s="60">
        <v>45824</v>
      </c>
      <c r="R2738" s="60">
        <v>45824</v>
      </c>
      <c r="S2738" s="50">
        <f t="shared" si="260"/>
        <v>2</v>
      </c>
      <c r="T2738" s="50" t="str">
        <f t="shared" si="258"/>
        <v/>
      </c>
      <c r="U2738" s="50">
        <f t="shared" si="259"/>
        <v>6</v>
      </c>
      <c r="V2738" s="50">
        <f t="shared" si="261"/>
        <v>1</v>
      </c>
      <c r="W2738" s="50" t="s">
        <v>150</v>
      </c>
      <c r="X2738" s="50" t="s">
        <v>1078</v>
      </c>
      <c r="Y2738" s="50" t="s">
        <v>50</v>
      </c>
      <c r="Z2738" s="50" t="s">
        <v>3406</v>
      </c>
      <c r="AA2738" s="50"/>
    </row>
    <row r="2739" spans="1:27" s="110" customFormat="1" ht="25.5" customHeight="1">
      <c r="A2739" s="517" t="s">
        <v>779</v>
      </c>
      <c r="B2739" s="51" t="s">
        <v>6202</v>
      </c>
      <c r="C2739" s="51" t="s">
        <v>159</v>
      </c>
      <c r="D2739" s="51" t="s">
        <v>6044</v>
      </c>
      <c r="E2739" s="50">
        <v>2539</v>
      </c>
      <c r="F2739" s="50">
        <v>2700</v>
      </c>
      <c r="G2739" s="50" t="s">
        <v>3404</v>
      </c>
      <c r="H2739" s="50">
        <v>2025</v>
      </c>
      <c r="I2739" s="132">
        <v>45751</v>
      </c>
      <c r="J2739" s="50" t="s">
        <v>3470</v>
      </c>
      <c r="K2739" s="50" t="s">
        <v>37</v>
      </c>
      <c r="L2739" s="50"/>
      <c r="M2739" s="50" t="s">
        <v>328</v>
      </c>
      <c r="N2739" s="50" t="s">
        <v>6215</v>
      </c>
      <c r="O2739" s="60">
        <v>45754</v>
      </c>
      <c r="P2739" s="50"/>
      <c r="Q2739" s="60">
        <v>45754</v>
      </c>
      <c r="R2739" s="60">
        <v>45757</v>
      </c>
      <c r="S2739" s="50">
        <f t="shared" si="260"/>
        <v>1</v>
      </c>
      <c r="T2739" s="50" t="str">
        <f t="shared" si="258"/>
        <v/>
      </c>
      <c r="U2739" s="50">
        <f t="shared" si="259"/>
        <v>1</v>
      </c>
      <c r="V2739" s="50">
        <f t="shared" si="261"/>
        <v>3</v>
      </c>
      <c r="W2739" s="50" t="s">
        <v>150</v>
      </c>
      <c r="X2739" s="50" t="s">
        <v>4</v>
      </c>
      <c r="Y2739" s="50" t="s">
        <v>50</v>
      </c>
      <c r="Z2739" s="50" t="s">
        <v>3406</v>
      </c>
      <c r="AA2739" s="50"/>
    </row>
    <row r="2740" spans="1:27" ht="25.5" customHeight="1">
      <c r="A2740" s="517" t="s">
        <v>779</v>
      </c>
      <c r="B2740" s="51" t="s">
        <v>6202</v>
      </c>
      <c r="C2740" s="51" t="s">
        <v>159</v>
      </c>
      <c r="D2740" s="51" t="s">
        <v>5982</v>
      </c>
      <c r="E2740" s="50">
        <v>3366</v>
      </c>
      <c r="F2740" s="50">
        <v>3524</v>
      </c>
      <c r="G2740" s="50" t="s">
        <v>3404</v>
      </c>
      <c r="H2740" s="50">
        <v>2025</v>
      </c>
      <c r="I2740" s="132">
        <v>45751</v>
      </c>
      <c r="J2740" s="50" t="s">
        <v>3470</v>
      </c>
      <c r="K2740" s="50" t="s">
        <v>37</v>
      </c>
      <c r="L2740" s="50"/>
      <c r="M2740" s="50" t="s">
        <v>328</v>
      </c>
      <c r="N2740" s="50" t="s">
        <v>6216</v>
      </c>
      <c r="O2740" s="60">
        <v>45754</v>
      </c>
      <c r="P2740" s="50"/>
      <c r="Q2740" s="60">
        <v>45754</v>
      </c>
      <c r="R2740" s="60">
        <v>45757</v>
      </c>
      <c r="S2740" s="50">
        <f t="shared" si="260"/>
        <v>1</v>
      </c>
      <c r="T2740" s="50" t="str">
        <f t="shared" si="258"/>
        <v/>
      </c>
      <c r="U2740" s="50">
        <f t="shared" si="259"/>
        <v>1</v>
      </c>
      <c r="V2740" s="50">
        <f t="shared" si="261"/>
        <v>3</v>
      </c>
      <c r="W2740" s="50" t="s">
        <v>150</v>
      </c>
      <c r="X2740" s="50" t="s">
        <v>1078</v>
      </c>
      <c r="Y2740" s="50" t="s">
        <v>50</v>
      </c>
      <c r="Z2740" s="50" t="s">
        <v>3406</v>
      </c>
      <c r="AA2740" s="50"/>
    </row>
    <row r="2741" spans="1:27" ht="25.5" customHeight="1">
      <c r="A2741" s="517" t="s">
        <v>779</v>
      </c>
      <c r="B2741" s="51" t="s">
        <v>6202</v>
      </c>
      <c r="C2741" s="51" t="s">
        <v>159</v>
      </c>
      <c r="D2741" s="51" t="s">
        <v>6217</v>
      </c>
      <c r="E2741" s="50">
        <v>2152</v>
      </c>
      <c r="F2741" s="50">
        <v>2222</v>
      </c>
      <c r="G2741" s="50" t="s">
        <v>3955</v>
      </c>
      <c r="H2741" s="50"/>
      <c r="I2741" s="105"/>
      <c r="J2741" s="50"/>
      <c r="K2741" s="50" t="s">
        <v>37</v>
      </c>
      <c r="L2741" s="50"/>
      <c r="M2741" s="50" t="s">
        <v>328</v>
      </c>
      <c r="N2741" s="50"/>
      <c r="O2741" s="50"/>
      <c r="P2741" s="50"/>
      <c r="Q2741" s="50"/>
      <c r="R2741" s="50"/>
      <c r="S2741" s="50" t="str">
        <f t="shared" si="260"/>
        <v/>
      </c>
      <c r="T2741" s="50" t="str">
        <f t="shared" si="258"/>
        <v/>
      </c>
      <c r="U2741" s="50" t="str">
        <f t="shared" si="259"/>
        <v/>
      </c>
      <c r="V2741" s="50" t="str">
        <f t="shared" si="261"/>
        <v/>
      </c>
      <c r="W2741" s="50"/>
      <c r="X2741" s="50"/>
      <c r="Y2741" s="50"/>
      <c r="Z2741" s="50"/>
      <c r="AA2741" s="50"/>
    </row>
    <row r="2742" spans="1:27" ht="25.5" customHeight="1">
      <c r="A2742" s="517" t="s">
        <v>779</v>
      </c>
      <c r="B2742" s="51" t="s">
        <v>6202</v>
      </c>
      <c r="C2742" s="51" t="s">
        <v>159</v>
      </c>
      <c r="D2742" s="51" t="s">
        <v>6218</v>
      </c>
      <c r="E2742" s="50">
        <v>1209</v>
      </c>
      <c r="F2742" s="50">
        <v>1340</v>
      </c>
      <c r="G2742" s="50" t="s">
        <v>3955</v>
      </c>
      <c r="H2742" s="50"/>
      <c r="I2742" s="105"/>
      <c r="J2742" s="50"/>
      <c r="K2742" s="50" t="s">
        <v>37</v>
      </c>
      <c r="L2742" s="50"/>
      <c r="M2742" s="50" t="s">
        <v>328</v>
      </c>
      <c r="N2742" s="50"/>
      <c r="O2742" s="50"/>
      <c r="P2742" s="50"/>
      <c r="Q2742" s="50"/>
      <c r="R2742" s="50"/>
      <c r="S2742" s="50" t="str">
        <f t="shared" si="260"/>
        <v/>
      </c>
      <c r="T2742" s="50" t="str">
        <f t="shared" si="258"/>
        <v/>
      </c>
      <c r="U2742" s="50" t="str">
        <f t="shared" si="259"/>
        <v/>
      </c>
      <c r="V2742" s="50" t="str">
        <f t="shared" si="261"/>
        <v/>
      </c>
      <c r="W2742" s="50"/>
      <c r="X2742" s="50"/>
      <c r="Y2742" s="50"/>
      <c r="Z2742" s="50"/>
      <c r="AA2742" s="50"/>
    </row>
    <row r="2743" spans="1:27" ht="25.5" customHeight="1">
      <c r="A2743" s="50" t="s">
        <v>779</v>
      </c>
      <c r="B2743" s="51" t="s">
        <v>6202</v>
      </c>
      <c r="C2743" s="51" t="s">
        <v>159</v>
      </c>
      <c r="D2743" s="51" t="s">
        <v>1286</v>
      </c>
      <c r="E2743" s="50">
        <v>3556</v>
      </c>
      <c r="F2743" s="50">
        <v>3846</v>
      </c>
      <c r="G2743" s="50" t="s">
        <v>3404</v>
      </c>
      <c r="H2743" s="50">
        <v>2024</v>
      </c>
      <c r="I2743" s="132">
        <v>45414</v>
      </c>
      <c r="J2743" s="50"/>
      <c r="K2743" s="50" t="s">
        <v>37</v>
      </c>
      <c r="L2743" s="50"/>
      <c r="M2743" s="50" t="s">
        <v>328</v>
      </c>
      <c r="N2743" s="50"/>
      <c r="O2743" s="50"/>
      <c r="P2743" s="50"/>
      <c r="Q2743" s="50"/>
      <c r="R2743" s="50"/>
      <c r="S2743" s="50" t="str">
        <f t="shared" si="260"/>
        <v/>
      </c>
      <c r="T2743" s="50" t="str">
        <f t="shared" si="258"/>
        <v/>
      </c>
      <c r="U2743" s="50" t="str">
        <f t="shared" si="259"/>
        <v/>
      </c>
      <c r="V2743" s="50" t="str">
        <f t="shared" si="261"/>
        <v/>
      </c>
      <c r="W2743" s="50"/>
      <c r="X2743" s="50"/>
      <c r="Y2743" s="50"/>
      <c r="Z2743" s="50" t="s">
        <v>3406</v>
      </c>
      <c r="AA2743" s="50"/>
    </row>
    <row r="2744" spans="1:27" ht="25.5" customHeight="1">
      <c r="A2744" s="50" t="s">
        <v>779</v>
      </c>
      <c r="B2744" s="51" t="s">
        <v>6202</v>
      </c>
      <c r="C2744" s="51" t="s">
        <v>159</v>
      </c>
      <c r="D2744" s="51" t="s">
        <v>4830</v>
      </c>
      <c r="E2744" s="50">
        <v>3714</v>
      </c>
      <c r="F2744" s="50">
        <v>4053</v>
      </c>
      <c r="G2744" s="50" t="s">
        <v>3404</v>
      </c>
      <c r="H2744" s="50">
        <v>2024</v>
      </c>
      <c r="I2744" s="132">
        <v>45506</v>
      </c>
      <c r="J2744" s="50"/>
      <c r="K2744" s="50" t="s">
        <v>37</v>
      </c>
      <c r="L2744" s="50"/>
      <c r="M2744" s="50" t="s">
        <v>328</v>
      </c>
      <c r="N2744" s="50"/>
      <c r="O2744" s="50"/>
      <c r="P2744" s="50"/>
      <c r="Q2744" s="50"/>
      <c r="R2744" s="50"/>
      <c r="S2744" s="50" t="str">
        <f t="shared" si="260"/>
        <v/>
      </c>
      <c r="T2744" s="50" t="str">
        <f t="shared" si="258"/>
        <v/>
      </c>
      <c r="U2744" s="50" t="str">
        <f t="shared" si="259"/>
        <v/>
      </c>
      <c r="V2744" s="50" t="str">
        <f t="shared" si="261"/>
        <v/>
      </c>
      <c r="W2744" s="50"/>
      <c r="X2744" s="50" t="s">
        <v>1078</v>
      </c>
      <c r="Y2744" s="50" t="s">
        <v>50</v>
      </c>
      <c r="Z2744" s="50" t="s">
        <v>3406</v>
      </c>
      <c r="AA2744" s="50"/>
    </row>
    <row r="2745" spans="1:27" ht="25.5" customHeight="1">
      <c r="A2745" s="517" t="s">
        <v>779</v>
      </c>
      <c r="B2745" s="51" t="s">
        <v>6202</v>
      </c>
      <c r="C2745" s="51" t="s">
        <v>159</v>
      </c>
      <c r="D2745" s="51" t="s">
        <v>6219</v>
      </c>
      <c r="E2745" s="50">
        <v>1870</v>
      </c>
      <c r="F2745" s="50">
        <v>2554</v>
      </c>
      <c r="G2745" s="50" t="s">
        <v>3955</v>
      </c>
      <c r="H2745" s="50"/>
      <c r="I2745" s="105"/>
      <c r="J2745" s="50"/>
      <c r="K2745" s="50" t="s">
        <v>37</v>
      </c>
      <c r="L2745" s="50"/>
      <c r="M2745" s="50" t="s">
        <v>328</v>
      </c>
      <c r="N2745" s="50"/>
      <c r="O2745" s="50"/>
      <c r="P2745" s="50"/>
      <c r="Q2745" s="50"/>
      <c r="R2745" s="50"/>
      <c r="S2745" s="50" t="str">
        <f t="shared" si="260"/>
        <v/>
      </c>
      <c r="T2745" s="50" t="str">
        <f t="shared" si="258"/>
        <v/>
      </c>
      <c r="U2745" s="50" t="str">
        <f t="shared" si="259"/>
        <v/>
      </c>
      <c r="V2745" s="50" t="str">
        <f t="shared" si="261"/>
        <v/>
      </c>
      <c r="W2745" s="50"/>
      <c r="X2745" s="50"/>
      <c r="Y2745" s="50"/>
      <c r="Z2745" s="50"/>
      <c r="AA2745" s="50"/>
    </row>
    <row r="2746" spans="1:27" ht="25.5" customHeight="1">
      <c r="A2746" s="517" t="s">
        <v>779</v>
      </c>
      <c r="B2746" s="51" t="s">
        <v>6202</v>
      </c>
      <c r="C2746" s="51" t="s">
        <v>159</v>
      </c>
      <c r="D2746" s="51" t="s">
        <v>4024</v>
      </c>
      <c r="E2746" s="50">
        <v>2318</v>
      </c>
      <c r="F2746" s="50">
        <v>2565</v>
      </c>
      <c r="G2746" s="50" t="s">
        <v>3955</v>
      </c>
      <c r="H2746" s="50"/>
      <c r="I2746" s="105"/>
      <c r="J2746" s="50"/>
      <c r="K2746" s="50" t="s">
        <v>37</v>
      </c>
      <c r="L2746" s="50"/>
      <c r="M2746" s="50" t="s">
        <v>328</v>
      </c>
      <c r="N2746" s="50"/>
      <c r="O2746" s="50"/>
      <c r="P2746" s="50"/>
      <c r="Q2746" s="50"/>
      <c r="R2746" s="50"/>
      <c r="S2746" s="50" t="str">
        <f t="shared" si="260"/>
        <v/>
      </c>
      <c r="T2746" s="50" t="str">
        <f t="shared" si="258"/>
        <v/>
      </c>
      <c r="U2746" s="50" t="str">
        <f t="shared" si="259"/>
        <v/>
      </c>
      <c r="V2746" s="50" t="str">
        <f t="shared" si="261"/>
        <v/>
      </c>
      <c r="W2746" s="50"/>
      <c r="X2746" s="50"/>
      <c r="Y2746" s="50"/>
      <c r="Z2746" s="50"/>
      <c r="AA2746" s="50"/>
    </row>
    <row r="2747" spans="1:27" ht="25.5" customHeight="1">
      <c r="A2747" s="517" t="s">
        <v>779</v>
      </c>
      <c r="B2747" s="51" t="s">
        <v>6202</v>
      </c>
      <c r="C2747" s="51" t="s">
        <v>159</v>
      </c>
      <c r="D2747" s="51" t="s">
        <v>6220</v>
      </c>
      <c r="E2747" s="50">
        <v>957</v>
      </c>
      <c r="F2747" s="50">
        <v>1083</v>
      </c>
      <c r="G2747" s="50" t="s">
        <v>3955</v>
      </c>
      <c r="H2747" s="50"/>
      <c r="I2747" s="105"/>
      <c r="J2747" s="50"/>
      <c r="K2747" s="50" t="s">
        <v>37</v>
      </c>
      <c r="L2747" s="50"/>
      <c r="M2747" s="50" t="s">
        <v>328</v>
      </c>
      <c r="N2747" s="50"/>
      <c r="O2747" s="50"/>
      <c r="P2747" s="50"/>
      <c r="Q2747" s="50"/>
      <c r="R2747" s="50"/>
      <c r="S2747" s="50" t="str">
        <f t="shared" si="260"/>
        <v/>
      </c>
      <c r="T2747" s="50" t="str">
        <f t="shared" si="258"/>
        <v/>
      </c>
      <c r="U2747" s="50" t="str">
        <f t="shared" si="259"/>
        <v/>
      </c>
      <c r="V2747" s="50" t="str">
        <f t="shared" si="261"/>
        <v/>
      </c>
      <c r="W2747" s="50"/>
      <c r="X2747" s="50"/>
      <c r="Y2747" s="50"/>
      <c r="Z2747" s="50"/>
      <c r="AA2747" s="50"/>
    </row>
    <row r="2748" spans="1:27" ht="25.5" customHeight="1">
      <c r="A2748" s="50" t="s">
        <v>779</v>
      </c>
      <c r="B2748" s="51" t="s">
        <v>6202</v>
      </c>
      <c r="C2748" s="51" t="s">
        <v>159</v>
      </c>
      <c r="D2748" s="51" t="s">
        <v>1166</v>
      </c>
      <c r="E2748" s="50">
        <v>2394</v>
      </c>
      <c r="F2748" s="50">
        <v>2574</v>
      </c>
      <c r="G2748" s="50" t="s">
        <v>3404</v>
      </c>
      <c r="H2748" s="50">
        <v>2024</v>
      </c>
      <c r="I2748" s="132">
        <v>45506</v>
      </c>
      <c r="J2748" s="50"/>
      <c r="K2748" s="50" t="s">
        <v>37</v>
      </c>
      <c r="L2748" s="50"/>
      <c r="M2748" s="50" t="s">
        <v>328</v>
      </c>
      <c r="N2748" s="50"/>
      <c r="O2748" s="50"/>
      <c r="P2748" s="50"/>
      <c r="Q2748" s="50"/>
      <c r="R2748" s="50"/>
      <c r="S2748" s="50" t="str">
        <f t="shared" si="260"/>
        <v/>
      </c>
      <c r="T2748" s="50" t="str">
        <f t="shared" si="258"/>
        <v/>
      </c>
      <c r="U2748" s="50" t="str">
        <f t="shared" si="259"/>
        <v/>
      </c>
      <c r="V2748" s="50" t="str">
        <f t="shared" si="261"/>
        <v/>
      </c>
      <c r="W2748" s="50"/>
      <c r="X2748" s="50" t="s">
        <v>1078</v>
      </c>
      <c r="Y2748" s="50" t="s">
        <v>50</v>
      </c>
      <c r="Z2748" s="50" t="s">
        <v>3406</v>
      </c>
      <c r="AA2748" s="50"/>
    </row>
    <row r="2749" spans="1:27" ht="25.5" customHeight="1">
      <c r="A2749" s="517" t="s">
        <v>779</v>
      </c>
      <c r="B2749" s="51" t="s">
        <v>6202</v>
      </c>
      <c r="C2749" s="51" t="s">
        <v>159</v>
      </c>
      <c r="D2749" s="51" t="s">
        <v>6221</v>
      </c>
      <c r="E2749" s="50">
        <v>2298</v>
      </c>
      <c r="F2749" s="50">
        <v>2303</v>
      </c>
      <c r="G2749" s="50" t="s">
        <v>3955</v>
      </c>
      <c r="H2749" s="50"/>
      <c r="I2749" s="105"/>
      <c r="J2749" s="50"/>
      <c r="K2749" s="50" t="s">
        <v>37</v>
      </c>
      <c r="L2749" s="50"/>
      <c r="M2749" s="50" t="s">
        <v>328</v>
      </c>
      <c r="N2749" s="50"/>
      <c r="O2749" s="50"/>
      <c r="P2749" s="50"/>
      <c r="Q2749" s="50"/>
      <c r="R2749" s="50"/>
      <c r="S2749" s="50" t="str">
        <f t="shared" si="260"/>
        <v/>
      </c>
      <c r="T2749" s="50" t="str">
        <f t="shared" si="258"/>
        <v/>
      </c>
      <c r="U2749" s="50" t="str">
        <f t="shared" si="259"/>
        <v/>
      </c>
      <c r="V2749" s="50" t="str">
        <f t="shared" si="261"/>
        <v/>
      </c>
      <c r="W2749" s="50"/>
      <c r="X2749" s="50"/>
      <c r="Y2749" s="50"/>
      <c r="Z2749" s="50"/>
      <c r="AA2749" s="50"/>
    </row>
    <row r="2750" spans="1:27" ht="25.5" customHeight="1">
      <c r="A2750" s="50" t="s">
        <v>779</v>
      </c>
      <c r="B2750" s="51" t="s">
        <v>6202</v>
      </c>
      <c r="C2750" s="51" t="s">
        <v>159</v>
      </c>
      <c r="D2750" s="51" t="s">
        <v>6222</v>
      </c>
      <c r="E2750" s="50">
        <v>2446</v>
      </c>
      <c r="F2750" s="50">
        <v>2626</v>
      </c>
      <c r="G2750" s="50" t="s">
        <v>3404</v>
      </c>
      <c r="H2750" s="50">
        <v>2024</v>
      </c>
      <c r="I2750" s="132">
        <v>45454</v>
      </c>
      <c r="J2750" s="50"/>
      <c r="K2750" s="50" t="s">
        <v>37</v>
      </c>
      <c r="L2750" s="50"/>
      <c r="M2750" s="50" t="s">
        <v>328</v>
      </c>
      <c r="N2750" s="50"/>
      <c r="O2750" s="50"/>
      <c r="P2750" s="50"/>
      <c r="Q2750" s="50"/>
      <c r="R2750" s="50"/>
      <c r="S2750" s="50" t="str">
        <f t="shared" si="260"/>
        <v/>
      </c>
      <c r="T2750" s="50" t="str">
        <f t="shared" si="258"/>
        <v/>
      </c>
      <c r="U2750" s="50" t="str">
        <f t="shared" si="259"/>
        <v/>
      </c>
      <c r="V2750" s="50" t="str">
        <f t="shared" si="261"/>
        <v/>
      </c>
      <c r="W2750" s="50"/>
      <c r="X2750" s="50" t="s">
        <v>4</v>
      </c>
      <c r="Y2750" s="50" t="s">
        <v>50</v>
      </c>
      <c r="Z2750" s="50" t="s">
        <v>3406</v>
      </c>
      <c r="AA2750" s="50"/>
    </row>
    <row r="2751" spans="1:27" ht="25.5" customHeight="1">
      <c r="A2751" s="517" t="s">
        <v>779</v>
      </c>
      <c r="B2751" s="51" t="s">
        <v>6202</v>
      </c>
      <c r="C2751" s="51" t="s">
        <v>159</v>
      </c>
      <c r="D2751" s="51" t="s">
        <v>6223</v>
      </c>
      <c r="E2751" s="50">
        <v>2063</v>
      </c>
      <c r="F2751" s="50">
        <v>2295</v>
      </c>
      <c r="G2751" s="50" t="s">
        <v>3955</v>
      </c>
      <c r="H2751" s="50"/>
      <c r="I2751" s="105"/>
      <c r="J2751" s="50"/>
      <c r="K2751" s="50" t="s">
        <v>37</v>
      </c>
      <c r="L2751" s="50"/>
      <c r="M2751" s="50" t="s">
        <v>328</v>
      </c>
      <c r="N2751" s="50"/>
      <c r="O2751" s="50"/>
      <c r="P2751" s="50"/>
      <c r="Q2751" s="50"/>
      <c r="R2751" s="50"/>
      <c r="S2751" s="50" t="str">
        <f t="shared" si="260"/>
        <v/>
      </c>
      <c r="T2751" s="50" t="str">
        <f t="shared" si="258"/>
        <v/>
      </c>
      <c r="U2751" s="50" t="str">
        <f t="shared" si="259"/>
        <v/>
      </c>
      <c r="V2751" s="50" t="str">
        <f t="shared" si="261"/>
        <v/>
      </c>
      <c r="W2751" s="50"/>
      <c r="X2751" s="50"/>
      <c r="Y2751" s="50"/>
      <c r="Z2751" s="50"/>
      <c r="AA2751" s="50"/>
    </row>
    <row r="2752" spans="1:27" ht="25.5" customHeight="1">
      <c r="A2752" s="517" t="s">
        <v>779</v>
      </c>
      <c r="B2752" s="51" t="s">
        <v>6202</v>
      </c>
      <c r="C2752" s="51" t="s">
        <v>159</v>
      </c>
      <c r="D2752" s="51" t="s">
        <v>6224</v>
      </c>
      <c r="E2752" s="50">
        <v>402</v>
      </c>
      <c r="F2752" s="50">
        <v>476</v>
      </c>
      <c r="G2752" s="50" t="s">
        <v>3955</v>
      </c>
      <c r="H2752" s="50"/>
      <c r="I2752" s="105"/>
      <c r="J2752" s="50"/>
      <c r="K2752" s="50" t="s">
        <v>37</v>
      </c>
      <c r="L2752" s="50"/>
      <c r="M2752" s="50" t="s">
        <v>328</v>
      </c>
      <c r="N2752" s="50"/>
      <c r="O2752" s="50"/>
      <c r="P2752" s="50"/>
      <c r="Q2752" s="50"/>
      <c r="R2752" s="50"/>
      <c r="S2752" s="50" t="str">
        <f t="shared" si="260"/>
        <v/>
      </c>
      <c r="T2752" s="50" t="str">
        <f t="shared" si="258"/>
        <v/>
      </c>
      <c r="U2752" s="50" t="str">
        <f t="shared" si="259"/>
        <v/>
      </c>
      <c r="V2752" s="50" t="str">
        <f t="shared" si="261"/>
        <v/>
      </c>
      <c r="W2752" s="50"/>
      <c r="X2752" s="50"/>
      <c r="Y2752" s="50"/>
      <c r="Z2752" s="50"/>
      <c r="AA2752" s="50"/>
    </row>
    <row r="2753" spans="1:27" ht="25.5" customHeight="1">
      <c r="A2753" s="50" t="s">
        <v>779</v>
      </c>
      <c r="B2753" s="51" t="s">
        <v>6202</v>
      </c>
      <c r="C2753" s="51" t="s">
        <v>159</v>
      </c>
      <c r="D2753" s="51" t="s">
        <v>6225</v>
      </c>
      <c r="E2753" s="50">
        <v>2325</v>
      </c>
      <c r="F2753" s="50">
        <v>2556</v>
      </c>
      <c r="G2753" s="50" t="s">
        <v>3404</v>
      </c>
      <c r="H2753" s="50">
        <v>2024</v>
      </c>
      <c r="I2753" s="132">
        <v>45506</v>
      </c>
      <c r="J2753" s="50"/>
      <c r="K2753" s="50" t="s">
        <v>37</v>
      </c>
      <c r="L2753" s="50"/>
      <c r="M2753" s="50" t="s">
        <v>328</v>
      </c>
      <c r="N2753" s="50"/>
      <c r="O2753" s="50"/>
      <c r="P2753" s="50"/>
      <c r="Q2753" s="50"/>
      <c r="R2753" s="50"/>
      <c r="S2753" s="50" t="str">
        <f t="shared" si="260"/>
        <v/>
      </c>
      <c r="T2753" s="50" t="str">
        <f t="shared" si="258"/>
        <v/>
      </c>
      <c r="U2753" s="50" t="str">
        <f t="shared" si="259"/>
        <v/>
      </c>
      <c r="V2753" s="50" t="str">
        <f t="shared" si="261"/>
        <v/>
      </c>
      <c r="W2753" s="50"/>
      <c r="X2753" s="50" t="s">
        <v>4</v>
      </c>
      <c r="Y2753" s="50" t="s">
        <v>50</v>
      </c>
      <c r="Z2753" s="50" t="s">
        <v>3406</v>
      </c>
      <c r="AA2753" s="50"/>
    </row>
    <row r="2754" spans="1:27" ht="25.5" customHeight="1">
      <c r="A2754" s="50" t="s">
        <v>779</v>
      </c>
      <c r="B2754" s="51" t="s">
        <v>6202</v>
      </c>
      <c r="C2754" s="51" t="s">
        <v>159</v>
      </c>
      <c r="D2754" s="51" t="s">
        <v>6226</v>
      </c>
      <c r="E2754" s="50">
        <v>2934</v>
      </c>
      <c r="F2754" s="50">
        <v>3274</v>
      </c>
      <c r="G2754" s="50" t="s">
        <v>3404</v>
      </c>
      <c r="H2754" s="50">
        <v>2024</v>
      </c>
      <c r="I2754" s="132">
        <v>45414</v>
      </c>
      <c r="J2754" s="50"/>
      <c r="K2754" s="50" t="s">
        <v>37</v>
      </c>
      <c r="L2754" s="50"/>
      <c r="M2754" s="50" t="s">
        <v>328</v>
      </c>
      <c r="N2754" s="50"/>
      <c r="O2754" s="50"/>
      <c r="P2754" s="50"/>
      <c r="Q2754" s="50"/>
      <c r="R2754" s="50"/>
      <c r="S2754" s="50" t="str">
        <f t="shared" si="260"/>
        <v/>
      </c>
      <c r="T2754" s="50" t="str">
        <f t="shared" si="258"/>
        <v/>
      </c>
      <c r="U2754" s="50" t="str">
        <f t="shared" si="259"/>
        <v/>
      </c>
      <c r="V2754" s="50" t="str">
        <f t="shared" si="261"/>
        <v/>
      </c>
      <c r="W2754" s="50"/>
      <c r="X2754" s="50"/>
      <c r="Y2754" s="50"/>
      <c r="Z2754" s="50" t="s">
        <v>3406</v>
      </c>
      <c r="AA2754" s="50"/>
    </row>
    <row r="2755" spans="1:27" ht="25.5" customHeight="1">
      <c r="A2755" s="517" t="s">
        <v>779</v>
      </c>
      <c r="B2755" s="51" t="s">
        <v>6227</v>
      </c>
      <c r="C2755" s="51" t="s">
        <v>143</v>
      </c>
      <c r="D2755" s="51" t="s">
        <v>6228</v>
      </c>
      <c r="E2755" s="50">
        <v>4465</v>
      </c>
      <c r="F2755" s="50">
        <v>5126</v>
      </c>
      <c r="G2755" s="50" t="s">
        <v>3404</v>
      </c>
      <c r="H2755" s="50">
        <v>2025</v>
      </c>
      <c r="I2755" s="132">
        <v>45910</v>
      </c>
      <c r="J2755" s="50" t="s">
        <v>3127</v>
      </c>
      <c r="K2755" s="50" t="s">
        <v>37</v>
      </c>
      <c r="L2755" s="50"/>
      <c r="M2755" s="50" t="s">
        <v>328</v>
      </c>
      <c r="N2755" s="50" t="s">
        <v>6229</v>
      </c>
      <c r="O2755" s="60">
        <v>45913</v>
      </c>
      <c r="P2755" s="50"/>
      <c r="Q2755" s="60">
        <v>45916</v>
      </c>
      <c r="R2755" s="60">
        <v>45917</v>
      </c>
      <c r="S2755" s="50">
        <f t="shared" si="260"/>
        <v>2</v>
      </c>
      <c r="T2755" s="50" t="str">
        <f t="shared" si="258"/>
        <v/>
      </c>
      <c r="U2755" s="50">
        <f t="shared" si="259"/>
        <v>1</v>
      </c>
      <c r="V2755" s="50">
        <f t="shared" si="261"/>
        <v>1</v>
      </c>
      <c r="W2755" s="50" t="s">
        <v>150</v>
      </c>
      <c r="X2755" s="50" t="s">
        <v>4350</v>
      </c>
      <c r="Y2755" s="50" t="s">
        <v>3528</v>
      </c>
      <c r="Z2755" s="50" t="s">
        <v>3406</v>
      </c>
      <c r="AA2755" s="50"/>
    </row>
    <row r="2756" spans="1:27" ht="25.5" customHeight="1">
      <c r="A2756" s="517" t="s">
        <v>779</v>
      </c>
      <c r="B2756" s="51" t="s">
        <v>6227</v>
      </c>
      <c r="C2756" s="51" t="s">
        <v>143</v>
      </c>
      <c r="D2756" s="51" t="s">
        <v>6230</v>
      </c>
      <c r="E2756" s="50">
        <v>7211</v>
      </c>
      <c r="F2756" s="50">
        <v>8250</v>
      </c>
      <c r="G2756" s="50" t="s">
        <v>3955</v>
      </c>
      <c r="H2756" s="50"/>
      <c r="I2756" s="132"/>
      <c r="J2756" s="50"/>
      <c r="K2756" s="50" t="s">
        <v>37</v>
      </c>
      <c r="L2756" s="50"/>
      <c r="M2756" s="50" t="s">
        <v>328</v>
      </c>
      <c r="N2756" s="50"/>
      <c r="O2756" s="60"/>
      <c r="P2756" s="50"/>
      <c r="Q2756" s="60"/>
      <c r="R2756" s="60"/>
      <c r="S2756" s="50" t="str">
        <f t="shared" si="260"/>
        <v/>
      </c>
      <c r="T2756" s="50" t="str">
        <f t="shared" si="258"/>
        <v/>
      </c>
      <c r="U2756" s="50" t="str">
        <f t="shared" si="259"/>
        <v/>
      </c>
      <c r="V2756" s="50" t="str">
        <f t="shared" si="261"/>
        <v/>
      </c>
      <c r="W2756" s="50"/>
      <c r="X2756" s="50"/>
      <c r="Y2756" s="50"/>
      <c r="Z2756" s="50" t="s">
        <v>3406</v>
      </c>
      <c r="AA2756" s="50"/>
    </row>
    <row r="2757" spans="1:27" ht="25.5" customHeight="1">
      <c r="A2757" s="517" t="s">
        <v>779</v>
      </c>
      <c r="B2757" s="51" t="s">
        <v>6227</v>
      </c>
      <c r="C2757" s="51" t="s">
        <v>143</v>
      </c>
      <c r="D2757" s="51" t="s">
        <v>6231</v>
      </c>
      <c r="E2757" s="50">
        <v>3053</v>
      </c>
      <c r="F2757" s="50">
        <v>3277</v>
      </c>
      <c r="G2757" s="50" t="s">
        <v>3404</v>
      </c>
      <c r="H2757" s="50">
        <v>2025</v>
      </c>
      <c r="I2757" s="132">
        <v>45910</v>
      </c>
      <c r="J2757" s="50" t="s">
        <v>3127</v>
      </c>
      <c r="K2757" s="50" t="s">
        <v>37</v>
      </c>
      <c r="L2757" s="50"/>
      <c r="M2757" s="50" t="s">
        <v>328</v>
      </c>
      <c r="N2757" s="50" t="s">
        <v>6232</v>
      </c>
      <c r="O2757" s="60">
        <v>45913</v>
      </c>
      <c r="P2757" s="50"/>
      <c r="Q2757" s="60">
        <v>45916</v>
      </c>
      <c r="R2757" s="60">
        <v>45918</v>
      </c>
      <c r="S2757" s="50">
        <f t="shared" si="260"/>
        <v>2</v>
      </c>
      <c r="T2757" s="50" t="str">
        <f t="shared" si="258"/>
        <v/>
      </c>
      <c r="U2757" s="50">
        <f t="shared" si="259"/>
        <v>1</v>
      </c>
      <c r="V2757" s="50">
        <f t="shared" si="261"/>
        <v>2</v>
      </c>
      <c r="W2757" s="50" t="s">
        <v>150</v>
      </c>
      <c r="X2757" s="50" t="s">
        <v>4</v>
      </c>
      <c r="Y2757" s="50" t="s">
        <v>50</v>
      </c>
      <c r="Z2757" s="50" t="s">
        <v>3406</v>
      </c>
      <c r="AA2757" s="50"/>
    </row>
    <row r="2758" spans="1:27" ht="25.5" customHeight="1">
      <c r="A2758" s="517" t="s">
        <v>779</v>
      </c>
      <c r="B2758" s="51" t="s">
        <v>6227</v>
      </c>
      <c r="C2758" s="51" t="s">
        <v>143</v>
      </c>
      <c r="D2758" s="51" t="s">
        <v>3977</v>
      </c>
      <c r="E2758" s="50">
        <v>2983</v>
      </c>
      <c r="F2758" s="50">
        <v>2888</v>
      </c>
      <c r="G2758" s="50" t="s">
        <v>3404</v>
      </c>
      <c r="H2758" s="50">
        <v>2025</v>
      </c>
      <c r="I2758" s="132">
        <v>45910</v>
      </c>
      <c r="J2758" s="50" t="s">
        <v>3127</v>
      </c>
      <c r="K2758" s="50" t="s">
        <v>37</v>
      </c>
      <c r="L2758" s="50"/>
      <c r="M2758" s="50" t="s">
        <v>328</v>
      </c>
      <c r="N2758" s="50" t="s">
        <v>6233</v>
      </c>
      <c r="O2758" s="60">
        <v>45913</v>
      </c>
      <c r="P2758" s="50"/>
      <c r="Q2758" s="60">
        <v>45916</v>
      </c>
      <c r="R2758" s="60">
        <v>45918</v>
      </c>
      <c r="S2758" s="50">
        <f t="shared" si="260"/>
        <v>2</v>
      </c>
      <c r="T2758" s="50" t="str">
        <f t="shared" si="258"/>
        <v/>
      </c>
      <c r="U2758" s="50">
        <f t="shared" si="259"/>
        <v>1</v>
      </c>
      <c r="V2758" s="50">
        <f t="shared" si="261"/>
        <v>2</v>
      </c>
      <c r="W2758" s="50" t="s">
        <v>150</v>
      </c>
      <c r="X2758" s="50" t="s">
        <v>3527</v>
      </c>
      <c r="Y2758" s="50" t="s">
        <v>3528</v>
      </c>
      <c r="Z2758" s="50" t="s">
        <v>3406</v>
      </c>
      <c r="AA2758" s="50"/>
    </row>
    <row r="2759" spans="1:27" ht="25.5" customHeight="1">
      <c r="A2759" s="517" t="s">
        <v>779</v>
      </c>
      <c r="B2759" s="51" t="s">
        <v>6227</v>
      </c>
      <c r="C2759" s="51" t="s">
        <v>143</v>
      </c>
      <c r="D2759" s="51" t="s">
        <v>3133</v>
      </c>
      <c r="E2759" s="50">
        <v>1156</v>
      </c>
      <c r="F2759" s="50">
        <v>1319</v>
      </c>
      <c r="G2759" s="50" t="s">
        <v>3404</v>
      </c>
      <c r="H2759" s="50">
        <v>2025</v>
      </c>
      <c r="I2759" s="132">
        <v>45910</v>
      </c>
      <c r="J2759" s="50" t="s">
        <v>3127</v>
      </c>
      <c r="K2759" s="50" t="s">
        <v>37</v>
      </c>
      <c r="L2759" s="50"/>
      <c r="M2759" s="50" t="s">
        <v>328</v>
      </c>
      <c r="N2759" s="50" t="s">
        <v>6234</v>
      </c>
      <c r="O2759" s="60">
        <v>45913</v>
      </c>
      <c r="P2759" s="50"/>
      <c r="Q2759" s="60">
        <v>45916</v>
      </c>
      <c r="R2759" s="60">
        <v>45918</v>
      </c>
      <c r="S2759" s="50">
        <f t="shared" si="260"/>
        <v>2</v>
      </c>
      <c r="T2759" s="50" t="str">
        <f t="shared" si="258"/>
        <v/>
      </c>
      <c r="U2759" s="50">
        <f t="shared" si="259"/>
        <v>1</v>
      </c>
      <c r="V2759" s="50">
        <f t="shared" si="261"/>
        <v>2</v>
      </c>
      <c r="W2759" s="50" t="s">
        <v>150</v>
      </c>
      <c r="X2759" s="50" t="s">
        <v>1078</v>
      </c>
      <c r="Y2759" s="50" t="s">
        <v>50</v>
      </c>
      <c r="Z2759" s="50" t="s">
        <v>3406</v>
      </c>
      <c r="AA2759" s="50"/>
    </row>
    <row r="2760" spans="1:27" ht="25.5" customHeight="1">
      <c r="A2760" s="517" t="s">
        <v>779</v>
      </c>
      <c r="B2760" s="51" t="s">
        <v>6227</v>
      </c>
      <c r="C2760" s="51" t="s">
        <v>143</v>
      </c>
      <c r="D2760" s="51" t="s">
        <v>6235</v>
      </c>
      <c r="E2760" s="50">
        <v>2723</v>
      </c>
      <c r="F2760" s="50">
        <v>3076</v>
      </c>
      <c r="G2760" s="50" t="s">
        <v>3404</v>
      </c>
      <c r="H2760" s="50">
        <v>2025</v>
      </c>
      <c r="I2760" s="132">
        <v>45877</v>
      </c>
      <c r="J2760" s="50" t="s">
        <v>3127</v>
      </c>
      <c r="K2760" s="50" t="s">
        <v>37</v>
      </c>
      <c r="L2760" s="50"/>
      <c r="M2760" s="50" t="s">
        <v>328</v>
      </c>
      <c r="N2760" s="50" t="s">
        <v>6236</v>
      </c>
      <c r="O2760" s="60">
        <v>45878</v>
      </c>
      <c r="P2760" s="50"/>
      <c r="Q2760" s="60">
        <v>45881</v>
      </c>
      <c r="R2760" s="60">
        <v>45882</v>
      </c>
      <c r="S2760" s="50">
        <f t="shared" si="260"/>
        <v>1</v>
      </c>
      <c r="T2760" s="50" t="str">
        <f t="shared" si="258"/>
        <v/>
      </c>
      <c r="U2760" s="50">
        <f t="shared" si="259"/>
        <v>1</v>
      </c>
      <c r="V2760" s="50">
        <f t="shared" si="261"/>
        <v>1</v>
      </c>
      <c r="W2760" s="50" t="s">
        <v>150</v>
      </c>
      <c r="X2760" s="50" t="s">
        <v>3527</v>
      </c>
      <c r="Y2760" s="50" t="s">
        <v>3528</v>
      </c>
      <c r="Z2760" s="50" t="s">
        <v>3406</v>
      </c>
      <c r="AA2760" s="50"/>
    </row>
    <row r="2761" spans="1:27" ht="25.5" customHeight="1">
      <c r="A2761" s="517" t="s">
        <v>779</v>
      </c>
      <c r="B2761" s="51" t="s">
        <v>6227</v>
      </c>
      <c r="C2761" s="51" t="s">
        <v>143</v>
      </c>
      <c r="D2761" s="51" t="s">
        <v>6237</v>
      </c>
      <c r="E2761" s="50">
        <v>6893</v>
      </c>
      <c r="F2761" s="50">
        <v>7718</v>
      </c>
      <c r="G2761" s="50" t="s">
        <v>3955</v>
      </c>
      <c r="H2761" s="50"/>
      <c r="I2761" s="105"/>
      <c r="J2761" s="50"/>
      <c r="K2761" s="50" t="s">
        <v>37</v>
      </c>
      <c r="L2761" s="50"/>
      <c r="M2761" s="50" t="s">
        <v>328</v>
      </c>
      <c r="N2761" s="50"/>
      <c r="O2761" s="50"/>
      <c r="P2761" s="50"/>
      <c r="Q2761" s="50"/>
      <c r="R2761" s="50"/>
      <c r="S2761" s="50" t="str">
        <f t="shared" si="260"/>
        <v/>
      </c>
      <c r="T2761" s="50" t="str">
        <f t="shared" si="258"/>
        <v/>
      </c>
      <c r="U2761" s="50" t="str">
        <f t="shared" si="259"/>
        <v/>
      </c>
      <c r="V2761" s="50" t="str">
        <f t="shared" si="261"/>
        <v/>
      </c>
      <c r="W2761" s="50"/>
      <c r="X2761" s="50"/>
      <c r="Y2761" s="50"/>
      <c r="Z2761" s="50"/>
      <c r="AA2761" s="50"/>
    </row>
    <row r="2762" spans="1:27" ht="25.5" customHeight="1">
      <c r="A2762" s="517" t="s">
        <v>779</v>
      </c>
      <c r="B2762" s="51" t="s">
        <v>6227</v>
      </c>
      <c r="C2762" s="51" t="s">
        <v>143</v>
      </c>
      <c r="D2762" s="51" t="s">
        <v>6238</v>
      </c>
      <c r="E2762" s="50">
        <v>1573</v>
      </c>
      <c r="F2762" s="50">
        <v>1926</v>
      </c>
      <c r="G2762" s="50" t="s">
        <v>3955</v>
      </c>
      <c r="H2762" s="50"/>
      <c r="I2762" s="105"/>
      <c r="J2762" s="50"/>
      <c r="K2762" s="50" t="s">
        <v>37</v>
      </c>
      <c r="L2762" s="50"/>
      <c r="M2762" s="50" t="s">
        <v>328</v>
      </c>
      <c r="N2762" s="50"/>
      <c r="O2762" s="50"/>
      <c r="P2762" s="50"/>
      <c r="Q2762" s="50"/>
      <c r="R2762" s="50"/>
      <c r="S2762" s="50" t="str">
        <f t="shared" si="260"/>
        <v/>
      </c>
      <c r="T2762" s="50" t="str">
        <f t="shared" si="258"/>
        <v/>
      </c>
      <c r="U2762" s="50" t="str">
        <f t="shared" si="259"/>
        <v/>
      </c>
      <c r="V2762" s="50" t="str">
        <f t="shared" si="261"/>
        <v/>
      </c>
      <c r="W2762" s="50"/>
      <c r="X2762" s="50"/>
      <c r="Y2762" s="50"/>
      <c r="Z2762" s="50"/>
      <c r="AA2762" s="50"/>
    </row>
    <row r="2763" spans="1:27" ht="25.5" customHeight="1">
      <c r="A2763" s="517" t="s">
        <v>779</v>
      </c>
      <c r="B2763" s="51" t="s">
        <v>6227</v>
      </c>
      <c r="C2763" s="51" t="s">
        <v>143</v>
      </c>
      <c r="D2763" s="51" t="s">
        <v>6239</v>
      </c>
      <c r="E2763" s="50">
        <v>2220</v>
      </c>
      <c r="F2763" s="50">
        <v>2660</v>
      </c>
      <c r="G2763" s="50" t="s">
        <v>3955</v>
      </c>
      <c r="H2763" s="50"/>
      <c r="I2763" s="105"/>
      <c r="J2763" s="50"/>
      <c r="K2763" s="50" t="s">
        <v>37</v>
      </c>
      <c r="L2763" s="50"/>
      <c r="M2763" s="50" t="s">
        <v>328</v>
      </c>
      <c r="N2763" s="50"/>
      <c r="O2763" s="50"/>
      <c r="P2763" s="50"/>
      <c r="Q2763" s="50"/>
      <c r="R2763" s="50"/>
      <c r="S2763" s="50" t="str">
        <f t="shared" si="260"/>
        <v/>
      </c>
      <c r="T2763" s="50" t="str">
        <f t="shared" si="258"/>
        <v/>
      </c>
      <c r="U2763" s="50" t="str">
        <f t="shared" si="259"/>
        <v/>
      </c>
      <c r="V2763" s="50" t="str">
        <f t="shared" si="261"/>
        <v/>
      </c>
      <c r="W2763" s="50"/>
      <c r="X2763" s="50"/>
      <c r="Y2763" s="50"/>
      <c r="Z2763" s="50"/>
      <c r="AA2763" s="50"/>
    </row>
    <row r="2764" spans="1:27" ht="25.5" customHeight="1">
      <c r="A2764" s="517" t="s">
        <v>779</v>
      </c>
      <c r="B2764" s="51" t="s">
        <v>6227</v>
      </c>
      <c r="C2764" s="51" t="s">
        <v>143</v>
      </c>
      <c r="D2764" s="51" t="s">
        <v>6240</v>
      </c>
      <c r="E2764" s="50">
        <v>4985</v>
      </c>
      <c r="F2764" s="50">
        <v>5608</v>
      </c>
      <c r="G2764" s="50" t="s">
        <v>3955</v>
      </c>
      <c r="H2764" s="50"/>
      <c r="I2764" s="105"/>
      <c r="J2764" s="50"/>
      <c r="K2764" s="50" t="s">
        <v>37</v>
      </c>
      <c r="L2764" s="50"/>
      <c r="M2764" s="50" t="s">
        <v>328</v>
      </c>
      <c r="N2764" s="50"/>
      <c r="O2764" s="50"/>
      <c r="P2764" s="50"/>
      <c r="Q2764" s="50"/>
      <c r="R2764" s="50"/>
      <c r="S2764" s="50" t="str">
        <f t="shared" si="260"/>
        <v/>
      </c>
      <c r="T2764" s="50" t="str">
        <f t="shared" si="258"/>
        <v/>
      </c>
      <c r="U2764" s="50" t="str">
        <f t="shared" si="259"/>
        <v/>
      </c>
      <c r="V2764" s="50" t="str">
        <f t="shared" si="261"/>
        <v/>
      </c>
      <c r="W2764" s="50"/>
      <c r="X2764" s="50"/>
      <c r="Y2764" s="50"/>
      <c r="Z2764" s="50"/>
      <c r="AA2764" s="50"/>
    </row>
    <row r="2765" spans="1:27" ht="25.5" customHeight="1">
      <c r="A2765" s="517" t="s">
        <v>779</v>
      </c>
      <c r="B2765" s="51" t="s">
        <v>6227</v>
      </c>
      <c r="C2765" s="51" t="s">
        <v>143</v>
      </c>
      <c r="D2765" s="51" t="s">
        <v>6241</v>
      </c>
      <c r="E2765" s="50">
        <v>1771</v>
      </c>
      <c r="F2765" s="50">
        <v>1815</v>
      </c>
      <c r="G2765" s="50" t="s">
        <v>3955</v>
      </c>
      <c r="H2765" s="50"/>
      <c r="I2765" s="105"/>
      <c r="J2765" s="50"/>
      <c r="K2765" s="50" t="s">
        <v>37</v>
      </c>
      <c r="L2765" s="50"/>
      <c r="M2765" s="50" t="s">
        <v>328</v>
      </c>
      <c r="N2765" s="50"/>
      <c r="O2765" s="50"/>
      <c r="P2765" s="50"/>
      <c r="Q2765" s="50"/>
      <c r="R2765" s="50"/>
      <c r="S2765" s="50" t="str">
        <f t="shared" si="260"/>
        <v/>
      </c>
      <c r="T2765" s="50" t="str">
        <f t="shared" si="258"/>
        <v/>
      </c>
      <c r="U2765" s="50" t="str">
        <f t="shared" si="259"/>
        <v/>
      </c>
      <c r="V2765" s="50" t="str">
        <f t="shared" si="261"/>
        <v/>
      </c>
      <c r="W2765" s="50"/>
      <c r="X2765" s="50"/>
      <c r="Y2765" s="50"/>
      <c r="Z2765" s="50"/>
      <c r="AA2765" s="50"/>
    </row>
    <row r="2766" spans="1:27" ht="25.5" customHeight="1">
      <c r="A2766" s="517" t="s">
        <v>779</v>
      </c>
      <c r="B2766" s="51" t="s">
        <v>6227</v>
      </c>
      <c r="C2766" s="51" t="s">
        <v>143</v>
      </c>
      <c r="D2766" s="51" t="s">
        <v>6242</v>
      </c>
      <c r="E2766" s="50">
        <v>2232</v>
      </c>
      <c r="F2766" s="50">
        <v>2560</v>
      </c>
      <c r="G2766" s="50" t="s">
        <v>3955</v>
      </c>
      <c r="H2766" s="50"/>
      <c r="I2766" s="105"/>
      <c r="J2766" s="50"/>
      <c r="K2766" s="50" t="s">
        <v>37</v>
      </c>
      <c r="L2766" s="50"/>
      <c r="M2766" s="50" t="s">
        <v>328</v>
      </c>
      <c r="N2766" s="50"/>
      <c r="O2766" s="50"/>
      <c r="P2766" s="50"/>
      <c r="Q2766" s="50"/>
      <c r="R2766" s="50"/>
      <c r="S2766" s="50" t="str">
        <f t="shared" si="260"/>
        <v/>
      </c>
      <c r="T2766" s="50" t="str">
        <f t="shared" si="258"/>
        <v/>
      </c>
      <c r="U2766" s="50" t="str">
        <f t="shared" si="259"/>
        <v/>
      </c>
      <c r="V2766" s="50" t="str">
        <f t="shared" si="261"/>
        <v/>
      </c>
      <c r="W2766" s="50"/>
      <c r="X2766" s="50"/>
      <c r="Y2766" s="50"/>
      <c r="Z2766" s="50"/>
      <c r="AA2766" s="50"/>
    </row>
    <row r="2767" spans="1:27" ht="25.5" customHeight="1">
      <c r="A2767" s="517" t="s">
        <v>779</v>
      </c>
      <c r="B2767" s="51" t="s">
        <v>6227</v>
      </c>
      <c r="C2767" s="51" t="s">
        <v>143</v>
      </c>
      <c r="D2767" s="51" t="s">
        <v>6243</v>
      </c>
      <c r="E2767" s="50">
        <v>1725</v>
      </c>
      <c r="F2767" s="50">
        <v>1961</v>
      </c>
      <c r="G2767" s="50" t="s">
        <v>3955</v>
      </c>
      <c r="H2767" s="50"/>
      <c r="I2767" s="105"/>
      <c r="J2767" s="50"/>
      <c r="K2767" s="50" t="s">
        <v>37</v>
      </c>
      <c r="L2767" s="50"/>
      <c r="M2767" s="50" t="s">
        <v>328</v>
      </c>
      <c r="N2767" s="50"/>
      <c r="O2767" s="50"/>
      <c r="P2767" s="50"/>
      <c r="Q2767" s="50"/>
      <c r="R2767" s="50"/>
      <c r="S2767" s="50" t="str">
        <f t="shared" si="260"/>
        <v/>
      </c>
      <c r="T2767" s="50" t="str">
        <f t="shared" si="258"/>
        <v/>
      </c>
      <c r="U2767" s="50" t="str">
        <f t="shared" si="259"/>
        <v/>
      </c>
      <c r="V2767" s="50" t="str">
        <f t="shared" si="261"/>
        <v/>
      </c>
      <c r="W2767" s="50"/>
      <c r="X2767" s="50"/>
      <c r="Y2767" s="50"/>
      <c r="Z2767" s="50"/>
      <c r="AA2767" s="50"/>
    </row>
    <row r="2768" spans="1:27" ht="25.5" customHeight="1">
      <c r="A2768" s="517" t="s">
        <v>779</v>
      </c>
      <c r="B2768" s="51" t="s">
        <v>6227</v>
      </c>
      <c r="C2768" s="51" t="s">
        <v>143</v>
      </c>
      <c r="D2768" s="51" t="s">
        <v>6244</v>
      </c>
      <c r="E2768" s="50">
        <v>4684</v>
      </c>
      <c r="F2768" s="50">
        <v>5445</v>
      </c>
      <c r="G2768" s="50" t="s">
        <v>3955</v>
      </c>
      <c r="H2768" s="50"/>
      <c r="I2768" s="105"/>
      <c r="J2768" s="50"/>
      <c r="K2768" s="50" t="s">
        <v>37</v>
      </c>
      <c r="L2768" s="50"/>
      <c r="M2768" s="50" t="s">
        <v>328</v>
      </c>
      <c r="N2768" s="50"/>
      <c r="O2768" s="50"/>
      <c r="P2768" s="50"/>
      <c r="Q2768" s="50"/>
      <c r="R2768" s="50"/>
      <c r="S2768" s="50" t="str">
        <f t="shared" si="260"/>
        <v/>
      </c>
      <c r="T2768" s="50" t="str">
        <f t="shared" si="258"/>
        <v/>
      </c>
      <c r="U2768" s="50" t="str">
        <f t="shared" si="259"/>
        <v/>
      </c>
      <c r="V2768" s="50" t="str">
        <f t="shared" si="261"/>
        <v/>
      </c>
      <c r="W2768" s="50"/>
      <c r="X2768" s="50"/>
      <c r="Y2768" s="50"/>
      <c r="Z2768" s="50"/>
      <c r="AA2768" s="50"/>
    </row>
    <row r="2769" spans="1:27" ht="25.5" customHeight="1">
      <c r="A2769" s="517" t="s">
        <v>779</v>
      </c>
      <c r="B2769" s="51" t="s">
        <v>6227</v>
      </c>
      <c r="C2769" s="51" t="s">
        <v>143</v>
      </c>
      <c r="D2769" s="51" t="s">
        <v>6245</v>
      </c>
      <c r="E2769" s="50">
        <v>2208</v>
      </c>
      <c r="F2769" s="50">
        <v>2118</v>
      </c>
      <c r="G2769" s="50" t="s">
        <v>3404</v>
      </c>
      <c r="H2769" s="50">
        <v>2025</v>
      </c>
      <c r="I2769" s="132">
        <v>45813</v>
      </c>
      <c r="J2769" s="50" t="s">
        <v>3689</v>
      </c>
      <c r="K2769" s="50" t="s">
        <v>37</v>
      </c>
      <c r="L2769" s="50"/>
      <c r="M2769" s="50" t="s">
        <v>328</v>
      </c>
      <c r="N2769" s="50" t="s">
        <v>6246</v>
      </c>
      <c r="O2769" s="60">
        <v>45814</v>
      </c>
      <c r="P2769" s="50"/>
      <c r="Q2769" s="60">
        <v>45824</v>
      </c>
      <c r="R2769" s="60">
        <v>45824</v>
      </c>
      <c r="S2769" s="50">
        <f t="shared" si="260"/>
        <v>1</v>
      </c>
      <c r="T2769" s="50" t="str">
        <f t="shared" si="258"/>
        <v/>
      </c>
      <c r="U2769" s="50">
        <f t="shared" si="259"/>
        <v>6</v>
      </c>
      <c r="V2769" s="50">
        <f t="shared" si="261"/>
        <v>1</v>
      </c>
      <c r="W2769" s="50" t="s">
        <v>150</v>
      </c>
      <c r="X2769" s="50" t="s">
        <v>3527</v>
      </c>
      <c r="Y2769" s="50" t="s">
        <v>3528</v>
      </c>
      <c r="Z2769" s="50" t="s">
        <v>3406</v>
      </c>
      <c r="AA2769" s="50"/>
    </row>
    <row r="2770" spans="1:27" ht="25.5" customHeight="1">
      <c r="A2770" s="517" t="s">
        <v>779</v>
      </c>
      <c r="B2770" s="51" t="s">
        <v>6227</v>
      </c>
      <c r="C2770" s="51" t="s">
        <v>143</v>
      </c>
      <c r="D2770" s="51" t="s">
        <v>6247</v>
      </c>
      <c r="E2770" s="50">
        <v>3533</v>
      </c>
      <c r="F2770" s="50">
        <v>4180</v>
      </c>
      <c r="G2770" s="50" t="s">
        <v>3955</v>
      </c>
      <c r="H2770" s="50"/>
      <c r="I2770" s="105"/>
      <c r="J2770" s="50"/>
      <c r="K2770" s="50" t="s">
        <v>37</v>
      </c>
      <c r="L2770" s="50"/>
      <c r="M2770" s="50" t="s">
        <v>328</v>
      </c>
      <c r="N2770" s="50"/>
      <c r="O2770" s="50"/>
      <c r="P2770" s="50"/>
      <c r="Q2770" s="50"/>
      <c r="R2770" s="50"/>
      <c r="S2770" s="50" t="str">
        <f t="shared" si="260"/>
        <v/>
      </c>
      <c r="T2770" s="50" t="str">
        <f t="shared" si="258"/>
        <v/>
      </c>
      <c r="U2770" s="50" t="str">
        <f t="shared" si="259"/>
        <v/>
      </c>
      <c r="V2770" s="50" t="str">
        <f t="shared" si="261"/>
        <v/>
      </c>
      <c r="W2770" s="50"/>
      <c r="X2770" s="50"/>
      <c r="Y2770" s="50"/>
      <c r="Z2770" s="50"/>
      <c r="AA2770" s="50"/>
    </row>
    <row r="2771" spans="1:27" ht="25.5" customHeight="1">
      <c r="A2771" s="517" t="s">
        <v>779</v>
      </c>
      <c r="B2771" s="51" t="s">
        <v>6227</v>
      </c>
      <c r="C2771" s="51" t="s">
        <v>143</v>
      </c>
      <c r="D2771" s="51" t="s">
        <v>6248</v>
      </c>
      <c r="E2771" s="50">
        <v>5962</v>
      </c>
      <c r="F2771" s="50">
        <v>6769</v>
      </c>
      <c r="G2771" s="50" t="s">
        <v>3955</v>
      </c>
      <c r="H2771" s="50"/>
      <c r="I2771" s="105"/>
      <c r="J2771" s="50"/>
      <c r="K2771" s="50" t="s">
        <v>37</v>
      </c>
      <c r="L2771" s="50"/>
      <c r="M2771" s="50" t="s">
        <v>328</v>
      </c>
      <c r="N2771" s="50"/>
      <c r="O2771" s="50"/>
      <c r="P2771" s="50"/>
      <c r="Q2771" s="50"/>
      <c r="R2771" s="50"/>
      <c r="S2771" s="50" t="str">
        <f t="shared" si="260"/>
        <v/>
      </c>
      <c r="T2771" s="50" t="str">
        <f t="shared" si="258"/>
        <v/>
      </c>
      <c r="U2771" s="50" t="str">
        <f t="shared" si="259"/>
        <v/>
      </c>
      <c r="V2771" s="50" t="str">
        <f t="shared" si="261"/>
        <v/>
      </c>
      <c r="W2771" s="50"/>
      <c r="X2771" s="50"/>
      <c r="Y2771" s="50"/>
      <c r="Z2771" s="50"/>
      <c r="AA2771" s="50"/>
    </row>
    <row r="2772" spans="1:27" ht="25.5" customHeight="1">
      <c r="A2772" s="517" t="s">
        <v>779</v>
      </c>
      <c r="B2772" s="51" t="s">
        <v>6227</v>
      </c>
      <c r="C2772" s="51" t="s">
        <v>143</v>
      </c>
      <c r="D2772" s="51" t="s">
        <v>5803</v>
      </c>
      <c r="E2772" s="50">
        <v>1048</v>
      </c>
      <c r="F2772" s="50">
        <v>1245</v>
      </c>
      <c r="G2772" s="50" t="s">
        <v>3955</v>
      </c>
      <c r="H2772" s="50"/>
      <c r="I2772" s="105"/>
      <c r="J2772" s="50"/>
      <c r="K2772" s="50" t="s">
        <v>37</v>
      </c>
      <c r="L2772" s="50"/>
      <c r="M2772" s="50" t="s">
        <v>328</v>
      </c>
      <c r="N2772" s="50"/>
      <c r="O2772" s="50"/>
      <c r="P2772" s="50"/>
      <c r="Q2772" s="50"/>
      <c r="R2772" s="50"/>
      <c r="S2772" s="50" t="str">
        <f t="shared" si="260"/>
        <v/>
      </c>
      <c r="T2772" s="50" t="str">
        <f t="shared" si="258"/>
        <v/>
      </c>
      <c r="U2772" s="50" t="str">
        <f t="shared" si="259"/>
        <v/>
      </c>
      <c r="V2772" s="50" t="str">
        <f t="shared" si="261"/>
        <v/>
      </c>
      <c r="W2772" s="50"/>
      <c r="X2772" s="50"/>
      <c r="Y2772" s="50"/>
      <c r="Z2772" s="50"/>
      <c r="AA2772" s="50"/>
    </row>
    <row r="2773" spans="1:27" ht="25.5" customHeight="1">
      <c r="A2773" s="517" t="s">
        <v>779</v>
      </c>
      <c r="B2773" s="51" t="s">
        <v>6227</v>
      </c>
      <c r="C2773" s="51" t="s">
        <v>143</v>
      </c>
      <c r="D2773" s="51" t="s">
        <v>1475</v>
      </c>
      <c r="E2773" s="50">
        <v>2192</v>
      </c>
      <c r="F2773" s="50">
        <v>2410</v>
      </c>
      <c r="G2773" s="50" t="s">
        <v>3955</v>
      </c>
      <c r="H2773" s="50"/>
      <c r="I2773" s="105"/>
      <c r="J2773" s="50"/>
      <c r="K2773" s="50" t="s">
        <v>37</v>
      </c>
      <c r="L2773" s="50"/>
      <c r="M2773" s="50" t="s">
        <v>328</v>
      </c>
      <c r="N2773" s="50"/>
      <c r="O2773" s="50"/>
      <c r="P2773" s="50"/>
      <c r="Q2773" s="50"/>
      <c r="R2773" s="50"/>
      <c r="S2773" s="50" t="str">
        <f t="shared" si="260"/>
        <v/>
      </c>
      <c r="T2773" s="50" t="str">
        <f t="shared" si="258"/>
        <v/>
      </c>
      <c r="U2773" s="50" t="str">
        <f t="shared" si="259"/>
        <v/>
      </c>
      <c r="V2773" s="50" t="str">
        <f t="shared" si="261"/>
        <v/>
      </c>
      <c r="W2773" s="50"/>
      <c r="X2773" s="50"/>
      <c r="Y2773" s="50"/>
      <c r="Z2773" s="50"/>
      <c r="AA2773" s="50"/>
    </row>
    <row r="2774" spans="1:27" ht="25.5" customHeight="1">
      <c r="A2774" s="517" t="s">
        <v>779</v>
      </c>
      <c r="B2774" s="51" t="s">
        <v>6227</v>
      </c>
      <c r="C2774" s="51" t="s">
        <v>143</v>
      </c>
      <c r="D2774" s="51" t="s">
        <v>6249</v>
      </c>
      <c r="E2774" s="50">
        <v>4338</v>
      </c>
      <c r="F2774" s="50">
        <v>5173</v>
      </c>
      <c r="G2774" s="50" t="s">
        <v>3955</v>
      </c>
      <c r="H2774" s="50"/>
      <c r="I2774" s="105"/>
      <c r="J2774" s="50"/>
      <c r="K2774" s="50" t="s">
        <v>37</v>
      </c>
      <c r="L2774" s="50"/>
      <c r="M2774" s="50" t="s">
        <v>328</v>
      </c>
      <c r="N2774" s="50"/>
      <c r="O2774" s="50"/>
      <c r="P2774" s="50"/>
      <c r="Q2774" s="50"/>
      <c r="R2774" s="50"/>
      <c r="S2774" s="50" t="str">
        <f t="shared" si="260"/>
        <v/>
      </c>
      <c r="T2774" s="50" t="str">
        <f t="shared" si="258"/>
        <v/>
      </c>
      <c r="U2774" s="50" t="str">
        <f t="shared" si="259"/>
        <v/>
      </c>
      <c r="V2774" s="50" t="str">
        <f t="shared" si="261"/>
        <v/>
      </c>
      <c r="W2774" s="50"/>
      <c r="X2774" s="50"/>
      <c r="Y2774" s="50"/>
      <c r="Z2774" s="50"/>
      <c r="AA2774" s="50"/>
    </row>
    <row r="2775" spans="1:27" ht="25.5" customHeight="1">
      <c r="A2775" s="517" t="s">
        <v>779</v>
      </c>
      <c r="B2775" s="51" t="s">
        <v>6227</v>
      </c>
      <c r="C2775" s="51" t="s">
        <v>143</v>
      </c>
      <c r="D2775" s="51" t="s">
        <v>6250</v>
      </c>
      <c r="E2775" s="50">
        <v>1666</v>
      </c>
      <c r="F2775" s="50">
        <v>2258</v>
      </c>
      <c r="G2775" s="50" t="s">
        <v>3955</v>
      </c>
      <c r="H2775" s="50"/>
      <c r="I2775" s="105"/>
      <c r="J2775" s="50"/>
      <c r="K2775" s="50" t="s">
        <v>37</v>
      </c>
      <c r="L2775" s="50"/>
      <c r="M2775" s="50" t="s">
        <v>328</v>
      </c>
      <c r="N2775" s="50"/>
      <c r="O2775" s="50"/>
      <c r="P2775" s="50"/>
      <c r="Q2775" s="50"/>
      <c r="R2775" s="50"/>
      <c r="S2775" s="50" t="str">
        <f t="shared" si="260"/>
        <v/>
      </c>
      <c r="T2775" s="50" t="str">
        <f t="shared" si="258"/>
        <v/>
      </c>
      <c r="U2775" s="50" t="str">
        <f t="shared" si="259"/>
        <v/>
      </c>
      <c r="V2775" s="50" t="str">
        <f t="shared" si="261"/>
        <v/>
      </c>
      <c r="W2775" s="50"/>
      <c r="X2775" s="50"/>
      <c r="Y2775" s="50"/>
      <c r="Z2775" s="50"/>
      <c r="AA2775" s="50"/>
    </row>
    <row r="2776" spans="1:27" ht="25.5" customHeight="1">
      <c r="A2776" s="517" t="s">
        <v>779</v>
      </c>
      <c r="B2776" s="51" t="s">
        <v>6227</v>
      </c>
      <c r="C2776" s="51" t="s">
        <v>143</v>
      </c>
      <c r="D2776" s="51" t="s">
        <v>6251</v>
      </c>
      <c r="E2776" s="50">
        <v>4498</v>
      </c>
      <c r="F2776" s="50">
        <v>5791</v>
      </c>
      <c r="G2776" s="50" t="s">
        <v>3955</v>
      </c>
      <c r="H2776" s="50"/>
      <c r="I2776" s="105"/>
      <c r="J2776" s="50"/>
      <c r="K2776" s="50" t="s">
        <v>37</v>
      </c>
      <c r="L2776" s="50"/>
      <c r="M2776" s="50" t="s">
        <v>328</v>
      </c>
      <c r="N2776" s="50"/>
      <c r="O2776" s="50"/>
      <c r="P2776" s="50"/>
      <c r="Q2776" s="50"/>
      <c r="R2776" s="50"/>
      <c r="S2776" s="50" t="str">
        <f t="shared" si="260"/>
        <v/>
      </c>
      <c r="T2776" s="50" t="str">
        <f t="shared" si="258"/>
        <v/>
      </c>
      <c r="U2776" s="50" t="str">
        <f t="shared" si="259"/>
        <v/>
      </c>
      <c r="V2776" s="50" t="str">
        <f t="shared" si="261"/>
        <v/>
      </c>
      <c r="W2776" s="50"/>
      <c r="X2776" s="50"/>
      <c r="Y2776" s="50"/>
      <c r="Z2776" s="50"/>
      <c r="AA2776" s="50"/>
    </row>
    <row r="2777" spans="1:27" ht="25.5" customHeight="1">
      <c r="A2777" s="517" t="s">
        <v>779</v>
      </c>
      <c r="B2777" s="51" t="s">
        <v>6227</v>
      </c>
      <c r="C2777" s="51" t="s">
        <v>143</v>
      </c>
      <c r="D2777" s="51" t="s">
        <v>6252</v>
      </c>
      <c r="E2777" s="50">
        <v>1708</v>
      </c>
      <c r="F2777" s="50">
        <v>2083</v>
      </c>
      <c r="G2777" s="50" t="s">
        <v>3955</v>
      </c>
      <c r="H2777" s="50"/>
      <c r="I2777" s="105"/>
      <c r="J2777" s="50"/>
      <c r="K2777" s="50" t="s">
        <v>37</v>
      </c>
      <c r="L2777" s="50"/>
      <c r="M2777" s="50" t="s">
        <v>328</v>
      </c>
      <c r="N2777" s="50"/>
      <c r="O2777" s="50"/>
      <c r="P2777" s="50"/>
      <c r="Q2777" s="50"/>
      <c r="R2777" s="50"/>
      <c r="S2777" s="50" t="str">
        <f t="shared" si="260"/>
        <v/>
      </c>
      <c r="T2777" s="50" t="str">
        <f t="shared" si="258"/>
        <v/>
      </c>
      <c r="U2777" s="50" t="str">
        <f t="shared" si="259"/>
        <v/>
      </c>
      <c r="V2777" s="50" t="str">
        <f t="shared" si="261"/>
        <v/>
      </c>
      <c r="W2777" s="50"/>
      <c r="X2777" s="50"/>
      <c r="Y2777" s="50"/>
      <c r="Z2777" s="50"/>
      <c r="AA2777" s="50"/>
    </row>
    <row r="2778" spans="1:27" ht="25.5" customHeight="1">
      <c r="A2778" s="517" t="s">
        <v>779</v>
      </c>
      <c r="B2778" s="51" t="s">
        <v>6227</v>
      </c>
      <c r="C2778" s="51" t="s">
        <v>143</v>
      </c>
      <c r="D2778" s="51" t="s">
        <v>3508</v>
      </c>
      <c r="E2778" s="50">
        <v>1249</v>
      </c>
      <c r="F2778" s="50">
        <v>1517</v>
      </c>
      <c r="G2778" s="50" t="s">
        <v>3955</v>
      </c>
      <c r="H2778" s="50"/>
      <c r="I2778" s="105"/>
      <c r="J2778" s="50"/>
      <c r="K2778" s="50" t="s">
        <v>37</v>
      </c>
      <c r="L2778" s="50"/>
      <c r="M2778" s="50" t="s">
        <v>328</v>
      </c>
      <c r="N2778" s="50"/>
      <c r="O2778" s="50"/>
      <c r="P2778" s="50"/>
      <c r="Q2778" s="50"/>
      <c r="R2778" s="50"/>
      <c r="S2778" s="50" t="str">
        <f t="shared" si="260"/>
        <v/>
      </c>
      <c r="T2778" s="50" t="str">
        <f t="shared" si="258"/>
        <v/>
      </c>
      <c r="U2778" s="50" t="str">
        <f t="shared" si="259"/>
        <v/>
      </c>
      <c r="V2778" s="50" t="str">
        <f t="shared" si="261"/>
        <v/>
      </c>
      <c r="W2778" s="50"/>
      <c r="X2778" s="50"/>
      <c r="Y2778" s="50"/>
      <c r="Z2778" s="50"/>
      <c r="AA2778" s="50"/>
    </row>
    <row r="2779" spans="1:27" ht="25.5" customHeight="1">
      <c r="A2779" s="517" t="s">
        <v>779</v>
      </c>
      <c r="B2779" s="51" t="s">
        <v>6227</v>
      </c>
      <c r="C2779" s="51" t="s">
        <v>143</v>
      </c>
      <c r="D2779" s="51" t="s">
        <v>6253</v>
      </c>
      <c r="E2779" s="50">
        <v>1771</v>
      </c>
      <c r="F2779" s="50">
        <v>2109</v>
      </c>
      <c r="G2779" s="50" t="s">
        <v>3955</v>
      </c>
      <c r="H2779" s="50"/>
      <c r="I2779" s="105"/>
      <c r="J2779" s="50"/>
      <c r="K2779" s="50" t="s">
        <v>37</v>
      </c>
      <c r="L2779" s="50"/>
      <c r="M2779" s="50" t="s">
        <v>328</v>
      </c>
      <c r="N2779" s="50"/>
      <c r="O2779" s="50"/>
      <c r="P2779" s="50"/>
      <c r="Q2779" s="50"/>
      <c r="R2779" s="50"/>
      <c r="S2779" s="50" t="str">
        <f t="shared" si="260"/>
        <v/>
      </c>
      <c r="T2779" s="50" t="str">
        <f t="shared" si="258"/>
        <v/>
      </c>
      <c r="U2779" s="50" t="str">
        <f t="shared" si="259"/>
        <v/>
      </c>
      <c r="V2779" s="50" t="str">
        <f t="shared" si="261"/>
        <v/>
      </c>
      <c r="W2779" s="50"/>
      <c r="X2779" s="50"/>
      <c r="Y2779" s="50"/>
      <c r="Z2779" s="50"/>
      <c r="AA2779" s="50"/>
    </row>
    <row r="2780" spans="1:27" ht="25.5" customHeight="1">
      <c r="A2780" s="517" t="s">
        <v>779</v>
      </c>
      <c r="B2780" s="51" t="s">
        <v>6227</v>
      </c>
      <c r="C2780" s="51" t="s">
        <v>143</v>
      </c>
      <c r="D2780" s="51" t="s">
        <v>6254</v>
      </c>
      <c r="E2780" s="50">
        <v>6105</v>
      </c>
      <c r="F2780" s="50">
        <v>7682</v>
      </c>
      <c r="G2780" s="50" t="s">
        <v>3404</v>
      </c>
      <c r="H2780" s="50">
        <v>2025</v>
      </c>
      <c r="I2780" s="132">
        <v>45798</v>
      </c>
      <c r="J2780" s="50" t="s">
        <v>3689</v>
      </c>
      <c r="K2780" s="50" t="s">
        <v>37</v>
      </c>
      <c r="L2780" s="50"/>
      <c r="M2780" s="50" t="s">
        <v>328</v>
      </c>
      <c r="N2780" s="50" t="s">
        <v>6255</v>
      </c>
      <c r="O2780" s="346">
        <v>45801</v>
      </c>
      <c r="P2780" s="50"/>
      <c r="Q2780" s="60">
        <v>45803</v>
      </c>
      <c r="R2780" s="60">
        <v>45803</v>
      </c>
      <c r="S2780" s="50">
        <f t="shared" si="260"/>
        <v>2</v>
      </c>
      <c r="T2780" s="50" t="str">
        <f t="shared" si="258"/>
        <v/>
      </c>
      <c r="U2780" s="50">
        <f t="shared" si="259"/>
        <v>1</v>
      </c>
      <c r="V2780" s="50">
        <f t="shared" si="261"/>
        <v>1</v>
      </c>
      <c r="W2780" s="50" t="s">
        <v>150</v>
      </c>
      <c r="X2780" s="50" t="s">
        <v>3527</v>
      </c>
      <c r="Y2780" s="50" t="s">
        <v>3528</v>
      </c>
      <c r="Z2780" s="50" t="s">
        <v>3406</v>
      </c>
      <c r="AA2780" s="50"/>
    </row>
    <row r="2781" spans="1:27" ht="25.5" customHeight="1">
      <c r="A2781" s="517" t="s">
        <v>779</v>
      </c>
      <c r="B2781" s="51" t="s">
        <v>6227</v>
      </c>
      <c r="C2781" s="51" t="s">
        <v>143</v>
      </c>
      <c r="D2781" s="51" t="s">
        <v>6256</v>
      </c>
      <c r="E2781" s="50">
        <v>3353</v>
      </c>
      <c r="F2781" s="50">
        <v>3679</v>
      </c>
      <c r="G2781" s="50" t="s">
        <v>3955</v>
      </c>
      <c r="H2781" s="50"/>
      <c r="I2781" s="105"/>
      <c r="J2781" s="50"/>
      <c r="K2781" s="50" t="s">
        <v>37</v>
      </c>
      <c r="L2781" s="50"/>
      <c r="M2781" s="50" t="s">
        <v>328</v>
      </c>
      <c r="N2781" s="50"/>
      <c r="O2781" s="50"/>
      <c r="P2781" s="50"/>
      <c r="Q2781" s="50"/>
      <c r="R2781" s="50"/>
      <c r="S2781" s="50" t="str">
        <f t="shared" si="260"/>
        <v/>
      </c>
      <c r="T2781" s="50" t="str">
        <f t="shared" si="258"/>
        <v/>
      </c>
      <c r="U2781" s="50" t="str">
        <f t="shared" si="259"/>
        <v/>
      </c>
      <c r="V2781" s="50" t="str">
        <f t="shared" si="261"/>
        <v/>
      </c>
      <c r="W2781" s="50"/>
      <c r="X2781" s="50"/>
      <c r="Y2781" s="50"/>
      <c r="Z2781" s="50"/>
      <c r="AA2781" s="50"/>
    </row>
    <row r="2782" spans="1:27" ht="25.5" customHeight="1">
      <c r="A2782" s="517" t="s">
        <v>779</v>
      </c>
      <c r="B2782" s="51" t="s">
        <v>6227</v>
      </c>
      <c r="C2782" s="51" t="s">
        <v>143</v>
      </c>
      <c r="D2782" s="51" t="s">
        <v>6257</v>
      </c>
      <c r="E2782" s="50">
        <v>1834</v>
      </c>
      <c r="F2782" s="50">
        <v>2239</v>
      </c>
      <c r="G2782" s="50" t="s">
        <v>3955</v>
      </c>
      <c r="H2782" s="50"/>
      <c r="I2782" s="105"/>
      <c r="J2782" s="50"/>
      <c r="K2782" s="50" t="s">
        <v>37</v>
      </c>
      <c r="L2782" s="50"/>
      <c r="M2782" s="50" t="s">
        <v>328</v>
      </c>
      <c r="N2782" s="50"/>
      <c r="O2782" s="50"/>
      <c r="P2782" s="50"/>
      <c r="Q2782" s="50"/>
      <c r="R2782" s="50"/>
      <c r="S2782" s="50" t="str">
        <f t="shared" si="260"/>
        <v/>
      </c>
      <c r="T2782" s="50" t="str">
        <f t="shared" si="258"/>
        <v/>
      </c>
      <c r="U2782" s="50" t="str">
        <f t="shared" si="259"/>
        <v/>
      </c>
      <c r="V2782" s="50" t="str">
        <f t="shared" si="261"/>
        <v/>
      </c>
      <c r="W2782" s="50"/>
      <c r="X2782" s="50"/>
      <c r="Y2782" s="50"/>
      <c r="Z2782" s="50"/>
      <c r="AA2782" s="50"/>
    </row>
    <row r="2783" spans="1:27" ht="25.5" customHeight="1">
      <c r="A2783" s="517" t="s">
        <v>779</v>
      </c>
      <c r="B2783" s="51" t="s">
        <v>6227</v>
      </c>
      <c r="C2783" s="51" t="s">
        <v>143</v>
      </c>
      <c r="D2783" s="51" t="s">
        <v>6258</v>
      </c>
      <c r="E2783" s="50">
        <v>9919</v>
      </c>
      <c r="F2783" s="50">
        <v>10195</v>
      </c>
      <c r="G2783" s="50" t="s">
        <v>3955</v>
      </c>
      <c r="H2783" s="50"/>
      <c r="I2783" s="105"/>
      <c r="J2783" s="50"/>
      <c r="K2783" s="50" t="s">
        <v>37</v>
      </c>
      <c r="L2783" s="50"/>
      <c r="M2783" s="50" t="s">
        <v>328</v>
      </c>
      <c r="N2783" s="50"/>
      <c r="O2783" s="50"/>
      <c r="P2783" s="50"/>
      <c r="Q2783" s="50"/>
      <c r="R2783" s="50"/>
      <c r="S2783" s="50" t="str">
        <f t="shared" si="260"/>
        <v/>
      </c>
      <c r="T2783" s="50" t="str">
        <f t="shared" si="258"/>
        <v/>
      </c>
      <c r="U2783" s="50" t="str">
        <f t="shared" si="259"/>
        <v/>
      </c>
      <c r="V2783" s="50" t="str">
        <f t="shared" si="261"/>
        <v/>
      </c>
      <c r="W2783" s="50"/>
      <c r="X2783" s="50"/>
      <c r="Y2783" s="50"/>
      <c r="Z2783" s="50"/>
      <c r="AA2783" s="50"/>
    </row>
    <row r="2784" spans="1:27" s="110" customFormat="1" ht="25.5" customHeight="1">
      <c r="A2784" s="517" t="s">
        <v>779</v>
      </c>
      <c r="B2784" s="51" t="s">
        <v>6227</v>
      </c>
      <c r="C2784" s="51" t="s">
        <v>143</v>
      </c>
      <c r="D2784" s="51" t="s">
        <v>3630</v>
      </c>
      <c r="E2784" s="50">
        <v>4127</v>
      </c>
      <c r="F2784" s="50">
        <v>4008</v>
      </c>
      <c r="G2784" s="50" t="s">
        <v>3955</v>
      </c>
      <c r="H2784" s="50"/>
      <c r="I2784" s="105"/>
      <c r="J2784" s="50"/>
      <c r="K2784" s="50" t="s">
        <v>37</v>
      </c>
      <c r="L2784" s="50"/>
      <c r="M2784" s="50" t="s">
        <v>328</v>
      </c>
      <c r="N2784" s="50"/>
      <c r="O2784" s="50"/>
      <c r="P2784" s="50"/>
      <c r="Q2784" s="50"/>
      <c r="R2784" s="50"/>
      <c r="S2784" s="50" t="str">
        <f t="shared" si="260"/>
        <v/>
      </c>
      <c r="T2784" s="50" t="str">
        <f t="shared" si="258"/>
        <v/>
      </c>
      <c r="U2784" s="50" t="str">
        <f t="shared" si="259"/>
        <v/>
      </c>
      <c r="V2784" s="50" t="str">
        <f t="shared" si="261"/>
        <v/>
      </c>
      <c r="W2784" s="50"/>
      <c r="X2784" s="50"/>
      <c r="Y2784" s="50"/>
      <c r="Z2784" s="50"/>
      <c r="AA2784" s="50"/>
    </row>
    <row r="2785" spans="1:27" ht="25.5" customHeight="1">
      <c r="A2785" s="517" t="s">
        <v>779</v>
      </c>
      <c r="B2785" s="51" t="s">
        <v>6227</v>
      </c>
      <c r="C2785" s="51" t="s">
        <v>143</v>
      </c>
      <c r="D2785" s="51" t="s">
        <v>6259</v>
      </c>
      <c r="E2785" s="50">
        <v>1898</v>
      </c>
      <c r="F2785" s="50">
        <v>2764</v>
      </c>
      <c r="G2785" s="50" t="s">
        <v>3955</v>
      </c>
      <c r="H2785" s="50"/>
      <c r="I2785" s="105"/>
      <c r="J2785" s="50"/>
      <c r="K2785" s="50" t="s">
        <v>37</v>
      </c>
      <c r="L2785" s="50"/>
      <c r="M2785" s="50" t="s">
        <v>328</v>
      </c>
      <c r="N2785" s="50"/>
      <c r="O2785" s="50"/>
      <c r="P2785" s="50"/>
      <c r="Q2785" s="50"/>
      <c r="R2785" s="50"/>
      <c r="S2785" s="50" t="str">
        <f t="shared" si="260"/>
        <v/>
      </c>
      <c r="T2785" s="50" t="str">
        <f t="shared" si="258"/>
        <v/>
      </c>
      <c r="U2785" s="50" t="str">
        <f t="shared" si="259"/>
        <v/>
      </c>
      <c r="V2785" s="50" t="str">
        <f t="shared" si="261"/>
        <v/>
      </c>
      <c r="W2785" s="50"/>
      <c r="X2785" s="50"/>
      <c r="Y2785" s="50"/>
      <c r="Z2785" s="50"/>
      <c r="AA2785" s="50"/>
    </row>
    <row r="2786" spans="1:27" ht="25.5" customHeight="1">
      <c r="A2786" s="517" t="s">
        <v>779</v>
      </c>
      <c r="B2786" s="51" t="s">
        <v>6227</v>
      </c>
      <c r="C2786" s="51" t="s">
        <v>143</v>
      </c>
      <c r="D2786" s="51" t="s">
        <v>6260</v>
      </c>
      <c r="E2786" s="50">
        <v>400</v>
      </c>
      <c r="F2786" s="50">
        <v>456</v>
      </c>
      <c r="G2786" s="50" t="s">
        <v>3955</v>
      </c>
      <c r="H2786" s="50"/>
      <c r="I2786" s="105"/>
      <c r="J2786" s="50"/>
      <c r="K2786" s="50" t="s">
        <v>37</v>
      </c>
      <c r="L2786" s="50"/>
      <c r="M2786" s="50" t="s">
        <v>328</v>
      </c>
      <c r="N2786" s="50"/>
      <c r="O2786" s="50"/>
      <c r="P2786" s="50"/>
      <c r="Q2786" s="50"/>
      <c r="R2786" s="50"/>
      <c r="S2786" s="50" t="str">
        <f t="shared" si="260"/>
        <v/>
      </c>
      <c r="T2786" s="50" t="str">
        <f t="shared" si="258"/>
        <v/>
      </c>
      <c r="U2786" s="50" t="str">
        <f t="shared" si="259"/>
        <v/>
      </c>
      <c r="V2786" s="50" t="str">
        <f t="shared" si="261"/>
        <v/>
      </c>
      <c r="W2786" s="50"/>
      <c r="X2786" s="50"/>
      <c r="Y2786" s="50"/>
      <c r="Z2786" s="50"/>
      <c r="AA2786" s="50"/>
    </row>
    <row r="2787" spans="1:27" s="110" customFormat="1" ht="25.5" customHeight="1">
      <c r="A2787" s="517" t="s">
        <v>779</v>
      </c>
      <c r="B2787" s="51" t="s">
        <v>6227</v>
      </c>
      <c r="C2787" s="51" t="s">
        <v>143</v>
      </c>
      <c r="D2787" s="51" t="s">
        <v>5456</v>
      </c>
      <c r="E2787" s="50">
        <v>3401</v>
      </c>
      <c r="F2787" s="50">
        <v>3912</v>
      </c>
      <c r="G2787" s="50" t="s">
        <v>3955</v>
      </c>
      <c r="H2787" s="50"/>
      <c r="I2787" s="105"/>
      <c r="J2787" s="50"/>
      <c r="K2787" s="50" t="s">
        <v>37</v>
      </c>
      <c r="L2787" s="50"/>
      <c r="M2787" s="50" t="s">
        <v>328</v>
      </c>
      <c r="N2787" s="50"/>
      <c r="O2787" s="50"/>
      <c r="P2787" s="50"/>
      <c r="Q2787" s="50"/>
      <c r="R2787" s="50"/>
      <c r="S2787" s="50" t="str">
        <f t="shared" si="260"/>
        <v/>
      </c>
      <c r="T2787" s="50" t="str">
        <f t="shared" si="258"/>
        <v/>
      </c>
      <c r="U2787" s="50" t="str">
        <f t="shared" si="259"/>
        <v/>
      </c>
      <c r="V2787" s="50" t="str">
        <f t="shared" si="261"/>
        <v/>
      </c>
      <c r="W2787" s="50"/>
      <c r="X2787" s="50"/>
      <c r="Y2787" s="50"/>
      <c r="Z2787" s="50"/>
      <c r="AA2787" s="50"/>
    </row>
    <row r="2788" spans="1:27" ht="25.5" customHeight="1">
      <c r="A2788" s="517" t="s">
        <v>779</v>
      </c>
      <c r="B2788" s="51" t="s">
        <v>6227</v>
      </c>
      <c r="C2788" s="51" t="s">
        <v>143</v>
      </c>
      <c r="D2788" s="51" t="s">
        <v>6261</v>
      </c>
      <c r="E2788" s="50">
        <v>2856</v>
      </c>
      <c r="F2788" s="50">
        <v>3410</v>
      </c>
      <c r="G2788" s="50" t="s">
        <v>3955</v>
      </c>
      <c r="H2788" s="50"/>
      <c r="I2788" s="105"/>
      <c r="J2788" s="50"/>
      <c r="K2788" s="50" t="s">
        <v>37</v>
      </c>
      <c r="L2788" s="50"/>
      <c r="M2788" s="50" t="s">
        <v>328</v>
      </c>
      <c r="N2788" s="50"/>
      <c r="O2788" s="50"/>
      <c r="P2788" s="50"/>
      <c r="Q2788" s="50"/>
      <c r="R2788" s="50"/>
      <c r="S2788" s="50" t="str">
        <f t="shared" si="260"/>
        <v/>
      </c>
      <c r="T2788" s="50" t="str">
        <f t="shared" si="258"/>
        <v/>
      </c>
      <c r="U2788" s="50" t="str">
        <f t="shared" si="259"/>
        <v/>
      </c>
      <c r="V2788" s="50" t="str">
        <f t="shared" si="261"/>
        <v/>
      </c>
      <c r="W2788" s="50"/>
      <c r="X2788" s="50"/>
      <c r="Y2788" s="50"/>
      <c r="Z2788" s="50"/>
      <c r="AA2788" s="50"/>
    </row>
    <row r="2789" spans="1:27" ht="25.5" customHeight="1">
      <c r="A2789" s="517" t="s">
        <v>779</v>
      </c>
      <c r="B2789" s="51" t="s">
        <v>6227</v>
      </c>
      <c r="C2789" s="51" t="s">
        <v>143</v>
      </c>
      <c r="D2789" s="51" t="s">
        <v>5197</v>
      </c>
      <c r="E2789" s="50">
        <v>3248</v>
      </c>
      <c r="F2789" s="50">
        <v>3972</v>
      </c>
      <c r="G2789" s="50" t="s">
        <v>3404</v>
      </c>
      <c r="H2789" s="50">
        <v>2025</v>
      </c>
      <c r="I2789" s="132">
        <v>45678</v>
      </c>
      <c r="J2789" s="50" t="s">
        <v>3424</v>
      </c>
      <c r="K2789" s="50" t="s">
        <v>37</v>
      </c>
      <c r="L2789" s="50"/>
      <c r="M2789" s="50" t="s">
        <v>328</v>
      </c>
      <c r="N2789" s="50" t="s">
        <v>6262</v>
      </c>
      <c r="O2789" s="60">
        <v>45679</v>
      </c>
      <c r="P2789" s="50"/>
      <c r="Q2789" s="60">
        <v>45680</v>
      </c>
      <c r="R2789" s="60">
        <v>45681</v>
      </c>
      <c r="S2789" s="50">
        <f t="shared" si="260"/>
        <v>1</v>
      </c>
      <c r="T2789" s="50" t="str">
        <f t="shared" si="258"/>
        <v/>
      </c>
      <c r="U2789" s="50">
        <f t="shared" si="259"/>
        <v>1</v>
      </c>
      <c r="V2789" s="50">
        <f t="shared" si="261"/>
        <v>1</v>
      </c>
      <c r="W2789" s="50" t="s">
        <v>150</v>
      </c>
      <c r="X2789" s="50" t="s">
        <v>4</v>
      </c>
      <c r="Y2789" s="50" t="s">
        <v>50</v>
      </c>
      <c r="Z2789" s="50" t="s">
        <v>3406</v>
      </c>
      <c r="AA2789" s="50"/>
    </row>
    <row r="2790" spans="1:27" ht="25.5" customHeight="1">
      <c r="A2790" s="517" t="s">
        <v>779</v>
      </c>
      <c r="B2790" s="51" t="s">
        <v>6227</v>
      </c>
      <c r="C2790" s="51" t="s">
        <v>143</v>
      </c>
      <c r="D2790" s="51" t="s">
        <v>6263</v>
      </c>
      <c r="E2790" s="50">
        <v>2596</v>
      </c>
      <c r="F2790" s="50">
        <v>2376</v>
      </c>
      <c r="G2790" s="50" t="s">
        <v>3955</v>
      </c>
      <c r="H2790" s="50"/>
      <c r="I2790" s="105"/>
      <c r="J2790" s="50"/>
      <c r="K2790" s="50" t="s">
        <v>37</v>
      </c>
      <c r="L2790" s="50"/>
      <c r="M2790" s="50" t="s">
        <v>328</v>
      </c>
      <c r="N2790" s="50"/>
      <c r="O2790" s="50"/>
      <c r="P2790" s="50"/>
      <c r="Q2790" s="50"/>
      <c r="R2790" s="50"/>
      <c r="S2790" s="50" t="str">
        <f t="shared" si="260"/>
        <v/>
      </c>
      <c r="T2790" s="50" t="str">
        <f t="shared" si="258"/>
        <v/>
      </c>
      <c r="U2790" s="50" t="str">
        <f t="shared" si="259"/>
        <v/>
      </c>
      <c r="V2790" s="50" t="str">
        <f t="shared" si="261"/>
        <v/>
      </c>
      <c r="W2790" s="50"/>
      <c r="X2790" s="50"/>
      <c r="Y2790" s="50"/>
      <c r="Z2790" s="50"/>
      <c r="AA2790" s="50"/>
    </row>
    <row r="2791" spans="1:27" ht="25.5" customHeight="1">
      <c r="A2791" s="517" t="s">
        <v>779</v>
      </c>
      <c r="B2791" s="51" t="s">
        <v>6227</v>
      </c>
      <c r="C2791" s="51" t="s">
        <v>143</v>
      </c>
      <c r="D2791" s="51" t="s">
        <v>4613</v>
      </c>
      <c r="E2791" s="50">
        <v>2649</v>
      </c>
      <c r="F2791" s="50">
        <v>2888</v>
      </c>
      <c r="G2791" s="50" t="s">
        <v>3955</v>
      </c>
      <c r="H2791" s="50"/>
      <c r="I2791" s="105"/>
      <c r="J2791" s="50"/>
      <c r="K2791" s="50" t="s">
        <v>37</v>
      </c>
      <c r="L2791" s="50"/>
      <c r="M2791" s="50" t="s">
        <v>328</v>
      </c>
      <c r="N2791" s="50"/>
      <c r="O2791" s="50"/>
      <c r="P2791" s="50"/>
      <c r="Q2791" s="50"/>
      <c r="R2791" s="50"/>
      <c r="S2791" s="50" t="str">
        <f t="shared" si="260"/>
        <v/>
      </c>
      <c r="T2791" s="50" t="str">
        <f t="shared" si="258"/>
        <v/>
      </c>
      <c r="U2791" s="50" t="str">
        <f t="shared" si="259"/>
        <v/>
      </c>
      <c r="V2791" s="50" t="str">
        <f t="shared" si="261"/>
        <v/>
      </c>
      <c r="W2791" s="50"/>
      <c r="X2791" s="50"/>
      <c r="Y2791" s="50"/>
      <c r="Z2791" s="50"/>
      <c r="AA2791" s="50"/>
    </row>
    <row r="2792" spans="1:27" ht="25.5" customHeight="1">
      <c r="A2792" s="517" t="s">
        <v>779</v>
      </c>
      <c r="B2792" s="51" t="s">
        <v>6227</v>
      </c>
      <c r="C2792" s="51" t="s">
        <v>143</v>
      </c>
      <c r="D2792" s="51" t="s">
        <v>4969</v>
      </c>
      <c r="E2792" s="50">
        <v>628</v>
      </c>
      <c r="F2792" s="50">
        <v>851</v>
      </c>
      <c r="G2792" s="50" t="s">
        <v>3955</v>
      </c>
      <c r="H2792" s="50"/>
      <c r="I2792" s="105"/>
      <c r="J2792" s="50"/>
      <c r="K2792" s="50" t="s">
        <v>37</v>
      </c>
      <c r="L2792" s="50"/>
      <c r="M2792" s="50" t="s">
        <v>328</v>
      </c>
      <c r="N2792" s="50"/>
      <c r="O2792" s="50"/>
      <c r="P2792" s="50"/>
      <c r="Q2792" s="50"/>
      <c r="R2792" s="50"/>
      <c r="S2792" s="50" t="str">
        <f t="shared" si="260"/>
        <v/>
      </c>
      <c r="T2792" s="50" t="str">
        <f t="shared" si="258"/>
        <v/>
      </c>
      <c r="U2792" s="50" t="str">
        <f t="shared" si="259"/>
        <v/>
      </c>
      <c r="V2792" s="50" t="str">
        <f t="shared" si="261"/>
        <v/>
      </c>
      <c r="W2792" s="50"/>
      <c r="X2792" s="50"/>
      <c r="Y2792" s="50"/>
      <c r="Z2792" s="50"/>
      <c r="AA2792" s="50"/>
    </row>
    <row r="2793" spans="1:27" ht="25.5" customHeight="1">
      <c r="A2793" s="517" t="s">
        <v>779</v>
      </c>
      <c r="B2793" s="51" t="s">
        <v>6227</v>
      </c>
      <c r="C2793" s="51" t="s">
        <v>143</v>
      </c>
      <c r="D2793" s="51" t="s">
        <v>1245</v>
      </c>
      <c r="E2793" s="50">
        <v>3615</v>
      </c>
      <c r="F2793" s="50">
        <v>4152</v>
      </c>
      <c r="G2793" s="50" t="s">
        <v>3955</v>
      </c>
      <c r="H2793" s="50"/>
      <c r="I2793" s="105"/>
      <c r="J2793" s="50"/>
      <c r="K2793" s="50" t="s">
        <v>37</v>
      </c>
      <c r="L2793" s="50"/>
      <c r="M2793" s="50" t="s">
        <v>328</v>
      </c>
      <c r="N2793" s="50"/>
      <c r="O2793" s="50"/>
      <c r="P2793" s="50"/>
      <c r="Q2793" s="50"/>
      <c r="R2793" s="50"/>
      <c r="S2793" s="50" t="str">
        <f t="shared" si="260"/>
        <v/>
      </c>
      <c r="T2793" s="50" t="str">
        <f t="shared" si="258"/>
        <v/>
      </c>
      <c r="U2793" s="50" t="str">
        <f t="shared" si="259"/>
        <v/>
      </c>
      <c r="V2793" s="50" t="str">
        <f t="shared" si="261"/>
        <v/>
      </c>
      <c r="W2793" s="50"/>
      <c r="X2793" s="50"/>
      <c r="Y2793" s="50"/>
      <c r="Z2793" s="50"/>
      <c r="AA2793" s="50"/>
    </row>
    <row r="2794" spans="1:27" ht="25.5" customHeight="1">
      <c r="A2794" s="517" t="s">
        <v>779</v>
      </c>
      <c r="B2794" s="51" t="s">
        <v>6227</v>
      </c>
      <c r="C2794" s="51" t="s">
        <v>143</v>
      </c>
      <c r="D2794" s="51" t="s">
        <v>2193</v>
      </c>
      <c r="E2794" s="50">
        <v>11891</v>
      </c>
      <c r="F2794" s="50">
        <v>16106</v>
      </c>
      <c r="G2794" s="50" t="s">
        <v>3955</v>
      </c>
      <c r="H2794" s="50"/>
      <c r="I2794" s="105"/>
      <c r="J2794" s="50"/>
      <c r="K2794" s="50" t="s">
        <v>37</v>
      </c>
      <c r="L2794" s="50"/>
      <c r="M2794" s="50" t="s">
        <v>328</v>
      </c>
      <c r="N2794" s="50"/>
      <c r="O2794" s="50"/>
      <c r="P2794" s="50"/>
      <c r="Q2794" s="50"/>
      <c r="R2794" s="50"/>
      <c r="S2794" s="50" t="str">
        <f t="shared" si="260"/>
        <v/>
      </c>
      <c r="T2794" s="50" t="str">
        <f t="shared" ref="T2794:T2861" si="262">IF(
    OR(ISBLANK(O2794), ISBLANK(P2794)),
    "",
    MAX(1, IF(
        NETWORKDAYS(O2794, P2794) &lt;= 0,
        1,
        NETWORKDAYS(O2794, P2794) - IF(O2794 = P2794, 0, 1)
    ))
)</f>
        <v/>
      </c>
      <c r="U2794" s="50" t="str">
        <f t="shared" si="259"/>
        <v/>
      </c>
      <c r="V2794" s="50" t="str">
        <f t="shared" si="261"/>
        <v/>
      </c>
      <c r="W2794" s="50"/>
      <c r="X2794" s="50"/>
      <c r="Y2794" s="50"/>
      <c r="Z2794" s="50"/>
      <c r="AA2794" s="50"/>
    </row>
    <row r="2795" spans="1:27" ht="25.5" customHeight="1">
      <c r="A2795" s="517" t="s">
        <v>779</v>
      </c>
      <c r="B2795" s="51" t="s">
        <v>6227</v>
      </c>
      <c r="C2795" s="51" t="s">
        <v>143</v>
      </c>
      <c r="D2795" s="51" t="s">
        <v>6264</v>
      </c>
      <c r="E2795" s="50">
        <v>5252</v>
      </c>
      <c r="F2795" s="50">
        <v>5922</v>
      </c>
      <c r="G2795" s="50" t="s">
        <v>3955</v>
      </c>
      <c r="H2795" s="50"/>
      <c r="I2795" s="105"/>
      <c r="J2795" s="50"/>
      <c r="K2795" s="50" t="s">
        <v>37</v>
      </c>
      <c r="L2795" s="50"/>
      <c r="M2795" s="50" t="s">
        <v>328</v>
      </c>
      <c r="N2795" s="50"/>
      <c r="O2795" s="50"/>
      <c r="P2795" s="50"/>
      <c r="Q2795" s="50"/>
      <c r="R2795" s="50"/>
      <c r="S2795" s="50" t="str">
        <f t="shared" si="260"/>
        <v/>
      </c>
      <c r="T2795" s="50" t="str">
        <f t="shared" si="262"/>
        <v/>
      </c>
      <c r="U2795" s="50" t="str">
        <f t="shared" si="259"/>
        <v/>
      </c>
      <c r="V2795" s="50" t="str">
        <f t="shared" si="261"/>
        <v/>
      </c>
      <c r="W2795" s="50"/>
      <c r="X2795" s="50"/>
      <c r="Y2795" s="50"/>
      <c r="Z2795" s="50"/>
      <c r="AA2795" s="50"/>
    </row>
    <row r="2796" spans="1:27" ht="25.5" customHeight="1">
      <c r="A2796" s="517" t="s">
        <v>779</v>
      </c>
      <c r="B2796" s="51" t="s">
        <v>6227</v>
      </c>
      <c r="C2796" s="51" t="s">
        <v>143</v>
      </c>
      <c r="D2796" s="51" t="s">
        <v>3474</v>
      </c>
      <c r="E2796" s="50">
        <v>612</v>
      </c>
      <c r="F2796" s="50">
        <v>678</v>
      </c>
      <c r="G2796" s="50" t="s">
        <v>3404</v>
      </c>
      <c r="H2796" s="50">
        <v>2025</v>
      </c>
      <c r="I2796" s="132">
        <v>45678</v>
      </c>
      <c r="J2796" s="50" t="s">
        <v>3424</v>
      </c>
      <c r="K2796" s="50" t="s">
        <v>37</v>
      </c>
      <c r="L2796" s="50"/>
      <c r="M2796" s="50" t="s">
        <v>328</v>
      </c>
      <c r="N2796" s="50" t="s">
        <v>6265</v>
      </c>
      <c r="O2796" s="60">
        <v>45679</v>
      </c>
      <c r="P2796" s="50"/>
      <c r="Q2796" s="60">
        <v>45680</v>
      </c>
      <c r="R2796" s="60">
        <v>45681</v>
      </c>
      <c r="S2796" s="50">
        <f t="shared" si="260"/>
        <v>1</v>
      </c>
      <c r="T2796" s="50" t="str">
        <f t="shared" si="262"/>
        <v/>
      </c>
      <c r="U2796" s="50">
        <f t="shared" si="259"/>
        <v>1</v>
      </c>
      <c r="V2796" s="50">
        <f t="shared" si="261"/>
        <v>1</v>
      </c>
      <c r="W2796" s="50" t="s">
        <v>150</v>
      </c>
      <c r="X2796" s="50" t="s">
        <v>1078</v>
      </c>
      <c r="Y2796" s="50" t="s">
        <v>50</v>
      </c>
      <c r="Z2796" s="50" t="s">
        <v>3406</v>
      </c>
      <c r="AA2796" s="50"/>
    </row>
    <row r="2797" spans="1:27" ht="25.5" customHeight="1">
      <c r="A2797" s="517" t="s">
        <v>779</v>
      </c>
      <c r="B2797" s="51" t="s">
        <v>6227</v>
      </c>
      <c r="C2797" s="51" t="s">
        <v>143</v>
      </c>
      <c r="D2797" s="51" t="s">
        <v>6266</v>
      </c>
      <c r="E2797" s="50">
        <v>2330</v>
      </c>
      <c r="F2797" s="50">
        <v>2184</v>
      </c>
      <c r="G2797" s="50" t="s">
        <v>3955</v>
      </c>
      <c r="H2797" s="50"/>
      <c r="I2797" s="105"/>
      <c r="J2797" s="50"/>
      <c r="K2797" s="50" t="s">
        <v>37</v>
      </c>
      <c r="L2797" s="50"/>
      <c r="M2797" s="50" t="s">
        <v>328</v>
      </c>
      <c r="N2797" s="50"/>
      <c r="O2797" s="50"/>
      <c r="P2797" s="50"/>
      <c r="Q2797" s="50"/>
      <c r="R2797" s="50"/>
      <c r="S2797" s="50" t="str">
        <f t="shared" si="260"/>
        <v/>
      </c>
      <c r="T2797" s="50" t="str">
        <f t="shared" si="262"/>
        <v/>
      </c>
      <c r="U2797" s="50" t="str">
        <f t="shared" si="259"/>
        <v/>
      </c>
      <c r="V2797" s="50" t="str">
        <f t="shared" si="261"/>
        <v/>
      </c>
      <c r="W2797" s="50"/>
      <c r="X2797" s="50"/>
      <c r="Y2797" s="50"/>
      <c r="Z2797" s="50"/>
      <c r="AA2797" s="50"/>
    </row>
    <row r="2798" spans="1:27" ht="25.5" customHeight="1">
      <c r="A2798" s="517" t="s">
        <v>779</v>
      </c>
      <c r="B2798" s="51" t="s">
        <v>6227</v>
      </c>
      <c r="C2798" s="51" t="s">
        <v>143</v>
      </c>
      <c r="D2798" s="51" t="s">
        <v>6267</v>
      </c>
      <c r="E2798" s="50">
        <v>24140</v>
      </c>
      <c r="F2798" s="50">
        <v>24944</v>
      </c>
      <c r="G2798" s="50" t="s">
        <v>3955</v>
      </c>
      <c r="H2798" s="50"/>
      <c r="I2798" s="105"/>
      <c r="J2798" s="50"/>
      <c r="K2798" s="50" t="s">
        <v>37</v>
      </c>
      <c r="L2798" s="50"/>
      <c r="M2798" s="50" t="s">
        <v>328</v>
      </c>
      <c r="N2798" s="50"/>
      <c r="O2798" s="50"/>
      <c r="P2798" s="50"/>
      <c r="Q2798" s="50"/>
      <c r="R2798" s="50"/>
      <c r="S2798" s="50" t="str">
        <f t="shared" si="260"/>
        <v/>
      </c>
      <c r="T2798" s="50" t="str">
        <f t="shared" si="262"/>
        <v/>
      </c>
      <c r="U2798" s="50" t="str">
        <f t="shared" ref="U2798:U2856" si="263">IF(
    OR(ISBLANK(O2798), ISBLANK(Q2798)),
    "",
    MAX(1, IF(
        NETWORKDAYS(O2798, Q2798) &lt;= 0,
        1,
        NETWORKDAYS(O2798, Q2798) - IF(O2798 = Q2798, 0, 1)
    ))
)</f>
        <v/>
      </c>
      <c r="V2798" s="50" t="str">
        <f t="shared" si="261"/>
        <v/>
      </c>
      <c r="W2798" s="50"/>
      <c r="X2798" s="50"/>
      <c r="Y2798" s="50"/>
      <c r="Z2798" s="50"/>
      <c r="AA2798" s="50"/>
    </row>
    <row r="2799" spans="1:27" ht="25.5" customHeight="1">
      <c r="A2799" s="517" t="s">
        <v>779</v>
      </c>
      <c r="B2799" s="51" t="s">
        <v>6227</v>
      </c>
      <c r="C2799" s="51" t="s">
        <v>143</v>
      </c>
      <c r="D2799" s="51" t="s">
        <v>6268</v>
      </c>
      <c r="E2799" s="50">
        <v>3439</v>
      </c>
      <c r="F2799" s="50">
        <v>3435</v>
      </c>
      <c r="G2799" s="50" t="s">
        <v>3955</v>
      </c>
      <c r="H2799" s="50"/>
      <c r="I2799" s="105"/>
      <c r="J2799" s="50"/>
      <c r="K2799" s="50" t="s">
        <v>37</v>
      </c>
      <c r="L2799" s="50"/>
      <c r="M2799" s="50" t="s">
        <v>328</v>
      </c>
      <c r="N2799" s="50"/>
      <c r="O2799" s="50"/>
      <c r="P2799" s="50"/>
      <c r="Q2799" s="50"/>
      <c r="R2799" s="50"/>
      <c r="S2799" s="50" t="str">
        <f t="shared" si="260"/>
        <v/>
      </c>
      <c r="T2799" s="50" t="str">
        <f t="shared" si="262"/>
        <v/>
      </c>
      <c r="U2799" s="50" t="str">
        <f t="shared" si="263"/>
        <v/>
      </c>
      <c r="V2799" s="50" t="str">
        <f t="shared" si="261"/>
        <v/>
      </c>
      <c r="W2799" s="50"/>
      <c r="X2799" s="50"/>
      <c r="Y2799" s="50"/>
      <c r="Z2799" s="50"/>
      <c r="AA2799" s="50"/>
    </row>
    <row r="2800" spans="1:27" ht="25.5" customHeight="1">
      <c r="A2800" s="517" t="s">
        <v>779</v>
      </c>
      <c r="B2800" s="51" t="s">
        <v>6227</v>
      </c>
      <c r="C2800" s="51" t="s">
        <v>143</v>
      </c>
      <c r="D2800" s="51" t="s">
        <v>1056</v>
      </c>
      <c r="E2800" s="50">
        <v>313</v>
      </c>
      <c r="F2800" s="50">
        <v>329</v>
      </c>
      <c r="G2800" s="50" t="s">
        <v>3955</v>
      </c>
      <c r="H2800" s="50"/>
      <c r="I2800" s="105"/>
      <c r="J2800" s="50"/>
      <c r="K2800" s="50" t="s">
        <v>37</v>
      </c>
      <c r="L2800" s="50"/>
      <c r="M2800" s="50" t="s">
        <v>328</v>
      </c>
      <c r="N2800" s="50"/>
      <c r="O2800" s="50"/>
      <c r="P2800" s="50"/>
      <c r="Q2800" s="50"/>
      <c r="R2800" s="50"/>
      <c r="S2800" s="50" t="str">
        <f t="shared" ref="S2800:S2863" si="264">IF(
    OR(ISBLANK(I2800), ISBLANK(O2800)),
    "",
    MAX(1, IF(
        NETWORKDAYS(I2800, O2800) &lt;= 0,
        1,
        NETWORKDAYS(I2800, O2800) - IF(I2800 = O2800, 0, 1)
    ))
)</f>
        <v/>
      </c>
      <c r="T2800" s="50" t="str">
        <f t="shared" si="262"/>
        <v/>
      </c>
      <c r="U2800" s="50" t="str">
        <f t="shared" si="263"/>
        <v/>
      </c>
      <c r="V2800" s="50" t="str">
        <f t="shared" ref="V2800:V2863" si="265">IF(
    OR(ISBLANK(Q2800), ISBLANK(R2800)),
    "",
    MAX(1, IF(
        NETWORKDAYS(Q2800, R2800) &lt;= 0,
        1,
        NETWORKDAYS(Q2800, R2800) - IF(Q2800 = R2800, 0, 1)
    ))
)</f>
        <v/>
      </c>
      <c r="W2800" s="50"/>
      <c r="X2800" s="50"/>
      <c r="Y2800" s="50"/>
      <c r="Z2800" s="50"/>
      <c r="AA2800" s="50"/>
    </row>
    <row r="2801" spans="1:27" ht="25.5" customHeight="1">
      <c r="A2801" s="517" t="s">
        <v>779</v>
      </c>
      <c r="B2801" s="51" t="s">
        <v>6227</v>
      </c>
      <c r="C2801" s="51" t="s">
        <v>143</v>
      </c>
      <c r="D2801" s="51" t="s">
        <v>4475</v>
      </c>
      <c r="E2801" s="50">
        <v>1740</v>
      </c>
      <c r="F2801" s="50">
        <v>2015</v>
      </c>
      <c r="G2801" s="50" t="s">
        <v>3404</v>
      </c>
      <c r="H2801" s="50">
        <v>2025</v>
      </c>
      <c r="I2801" s="132">
        <v>45749</v>
      </c>
      <c r="J2801" s="50" t="s">
        <v>3470</v>
      </c>
      <c r="K2801" s="50" t="s">
        <v>37</v>
      </c>
      <c r="L2801" s="50"/>
      <c r="M2801" s="50" t="s">
        <v>328</v>
      </c>
      <c r="N2801" s="50" t="s">
        <v>6269</v>
      </c>
      <c r="O2801" s="60">
        <v>45750</v>
      </c>
      <c r="P2801" s="50"/>
      <c r="Q2801" s="60">
        <v>45754</v>
      </c>
      <c r="R2801" s="60">
        <v>45757</v>
      </c>
      <c r="S2801" s="50">
        <f t="shared" si="264"/>
        <v>1</v>
      </c>
      <c r="T2801" s="50" t="str">
        <f t="shared" si="262"/>
        <v/>
      </c>
      <c r="U2801" s="50">
        <f t="shared" si="263"/>
        <v>2</v>
      </c>
      <c r="V2801" s="50">
        <f t="shared" si="265"/>
        <v>3</v>
      </c>
      <c r="W2801" s="50" t="s">
        <v>150</v>
      </c>
      <c r="X2801" s="50" t="s">
        <v>4350</v>
      </c>
      <c r="Y2801" s="50" t="s">
        <v>3528</v>
      </c>
      <c r="Z2801" s="50" t="s">
        <v>3406</v>
      </c>
      <c r="AA2801" s="50"/>
    </row>
    <row r="2802" spans="1:27" ht="25.5" customHeight="1">
      <c r="A2802" s="517" t="s">
        <v>779</v>
      </c>
      <c r="B2802" s="51" t="s">
        <v>6227</v>
      </c>
      <c r="C2802" s="51" t="s">
        <v>143</v>
      </c>
      <c r="D2802" s="51" t="s">
        <v>3809</v>
      </c>
      <c r="E2802" s="50">
        <v>1660</v>
      </c>
      <c r="F2802" s="50">
        <v>1703</v>
      </c>
      <c r="G2802" s="50" t="s">
        <v>3955</v>
      </c>
      <c r="H2802" s="50"/>
      <c r="I2802" s="105"/>
      <c r="J2802" s="50"/>
      <c r="K2802" s="50" t="s">
        <v>37</v>
      </c>
      <c r="L2802" s="50"/>
      <c r="M2802" s="50" t="s">
        <v>328</v>
      </c>
      <c r="N2802" s="50"/>
      <c r="O2802" s="50"/>
      <c r="P2802" s="50"/>
      <c r="Q2802" s="50"/>
      <c r="R2802" s="50"/>
      <c r="S2802" s="50" t="str">
        <f t="shared" si="264"/>
        <v/>
      </c>
      <c r="T2802" s="50" t="str">
        <f t="shared" si="262"/>
        <v/>
      </c>
      <c r="U2802" s="50" t="str">
        <f t="shared" si="263"/>
        <v/>
      </c>
      <c r="V2802" s="50" t="str">
        <f t="shared" si="265"/>
        <v/>
      </c>
      <c r="W2802" s="50"/>
      <c r="X2802" s="50"/>
      <c r="Y2802" s="50"/>
      <c r="Z2802" s="50"/>
      <c r="AA2802" s="50"/>
    </row>
    <row r="2803" spans="1:27" s="152" customFormat="1" ht="25.5" customHeight="1">
      <c r="A2803" s="517" t="s">
        <v>779</v>
      </c>
      <c r="B2803" s="51" t="s">
        <v>6227</v>
      </c>
      <c r="C2803" s="51" t="s">
        <v>143</v>
      </c>
      <c r="D2803" s="51" t="s">
        <v>4024</v>
      </c>
      <c r="E2803" s="50">
        <v>2650</v>
      </c>
      <c r="F2803" s="50">
        <v>2880</v>
      </c>
      <c r="G2803" s="50" t="s">
        <v>3955</v>
      </c>
      <c r="H2803" s="50"/>
      <c r="I2803" s="105"/>
      <c r="J2803" s="50"/>
      <c r="K2803" s="50" t="s">
        <v>37</v>
      </c>
      <c r="L2803" s="50"/>
      <c r="M2803" s="50" t="s">
        <v>328</v>
      </c>
      <c r="N2803" s="50"/>
      <c r="O2803" s="50"/>
      <c r="P2803" s="50"/>
      <c r="Q2803" s="50"/>
      <c r="R2803" s="50"/>
      <c r="S2803" s="50" t="str">
        <f t="shared" si="264"/>
        <v/>
      </c>
      <c r="T2803" s="50" t="str">
        <f t="shared" si="262"/>
        <v/>
      </c>
      <c r="U2803" s="50" t="str">
        <f t="shared" si="263"/>
        <v/>
      </c>
      <c r="V2803" s="50" t="str">
        <f t="shared" si="265"/>
        <v/>
      </c>
      <c r="W2803" s="50"/>
      <c r="X2803" s="50"/>
      <c r="Y2803" s="50"/>
      <c r="Z2803" s="50"/>
      <c r="AA2803" s="50"/>
    </row>
    <row r="2804" spans="1:27" ht="25.5" customHeight="1">
      <c r="A2804" s="50" t="s">
        <v>779</v>
      </c>
      <c r="B2804" s="51" t="s">
        <v>6227</v>
      </c>
      <c r="C2804" s="51" t="s">
        <v>143</v>
      </c>
      <c r="D2804" s="51" t="s">
        <v>1180</v>
      </c>
      <c r="E2804" s="50">
        <v>12555</v>
      </c>
      <c r="F2804" s="50">
        <v>14614</v>
      </c>
      <c r="G2804" s="50" t="s">
        <v>3404</v>
      </c>
      <c r="H2804" s="50">
        <v>2024</v>
      </c>
      <c r="I2804" s="132">
        <v>45545</v>
      </c>
      <c r="J2804" s="50"/>
      <c r="K2804" s="50" t="s">
        <v>37</v>
      </c>
      <c r="L2804" s="50"/>
      <c r="M2804" s="50" t="s">
        <v>328</v>
      </c>
      <c r="N2804" s="50"/>
      <c r="O2804" s="50"/>
      <c r="P2804" s="50"/>
      <c r="Q2804" s="50"/>
      <c r="R2804" s="50"/>
      <c r="S2804" s="50" t="str">
        <f t="shared" si="264"/>
        <v/>
      </c>
      <c r="T2804" s="50" t="str">
        <f t="shared" si="262"/>
        <v/>
      </c>
      <c r="U2804" s="50" t="str">
        <f t="shared" si="263"/>
        <v/>
      </c>
      <c r="V2804" s="50" t="str">
        <f t="shared" si="265"/>
        <v/>
      </c>
      <c r="W2804" s="50"/>
      <c r="X2804" s="50" t="s">
        <v>4</v>
      </c>
      <c r="Y2804" s="50" t="s">
        <v>50</v>
      </c>
      <c r="Z2804" s="50" t="s">
        <v>3406</v>
      </c>
      <c r="AA2804" s="50"/>
    </row>
    <row r="2805" spans="1:27" ht="25.5" customHeight="1">
      <c r="A2805" s="50" t="s">
        <v>779</v>
      </c>
      <c r="B2805" s="51" t="s">
        <v>6227</v>
      </c>
      <c r="C2805" s="51" t="s">
        <v>143</v>
      </c>
      <c r="D2805" s="51" t="s">
        <v>858</v>
      </c>
      <c r="E2805" s="50">
        <v>6974</v>
      </c>
      <c r="F2805" s="50">
        <v>9606</v>
      </c>
      <c r="G2805" s="50" t="s">
        <v>3404</v>
      </c>
      <c r="H2805" s="50">
        <v>2024</v>
      </c>
      <c r="I2805" s="132">
        <v>45575</v>
      </c>
      <c r="J2805" s="50"/>
      <c r="K2805" s="50" t="s">
        <v>37</v>
      </c>
      <c r="L2805" s="50"/>
      <c r="M2805" s="50" t="s">
        <v>328</v>
      </c>
      <c r="N2805" s="50"/>
      <c r="O2805" s="50"/>
      <c r="P2805" s="50"/>
      <c r="Q2805" s="50"/>
      <c r="R2805" s="50"/>
      <c r="S2805" s="50" t="str">
        <f t="shared" si="264"/>
        <v/>
      </c>
      <c r="T2805" s="50" t="str">
        <f t="shared" si="262"/>
        <v/>
      </c>
      <c r="U2805" s="50" t="str">
        <f t="shared" si="263"/>
        <v/>
      </c>
      <c r="V2805" s="50" t="str">
        <f t="shared" si="265"/>
        <v/>
      </c>
      <c r="W2805" s="50"/>
      <c r="X2805" s="50" t="s">
        <v>4</v>
      </c>
      <c r="Y2805" s="50" t="s">
        <v>50</v>
      </c>
      <c r="Z2805" s="50" t="s">
        <v>3406</v>
      </c>
      <c r="AA2805" s="50"/>
    </row>
    <row r="2806" spans="1:27" ht="25.5" customHeight="1">
      <c r="A2806" s="517" t="s">
        <v>779</v>
      </c>
      <c r="B2806" s="51" t="s">
        <v>6227</v>
      </c>
      <c r="C2806" s="51" t="s">
        <v>143</v>
      </c>
      <c r="D2806" s="51" t="s">
        <v>6270</v>
      </c>
      <c r="E2806" s="50">
        <v>1996</v>
      </c>
      <c r="F2806" s="50">
        <v>2441</v>
      </c>
      <c r="G2806" s="50" t="s">
        <v>3955</v>
      </c>
      <c r="H2806" s="50"/>
      <c r="I2806" s="105"/>
      <c r="J2806" s="50"/>
      <c r="K2806" s="50" t="s">
        <v>37</v>
      </c>
      <c r="L2806" s="50"/>
      <c r="M2806" s="50" t="s">
        <v>328</v>
      </c>
      <c r="N2806" s="50"/>
      <c r="O2806" s="50"/>
      <c r="P2806" s="50"/>
      <c r="Q2806" s="50"/>
      <c r="R2806" s="50"/>
      <c r="S2806" s="50" t="str">
        <f t="shared" si="264"/>
        <v/>
      </c>
      <c r="T2806" s="50" t="str">
        <f t="shared" si="262"/>
        <v/>
      </c>
      <c r="U2806" s="50" t="str">
        <f t="shared" si="263"/>
        <v/>
      </c>
      <c r="V2806" s="50" t="str">
        <f t="shared" si="265"/>
        <v/>
      </c>
      <c r="W2806" s="50"/>
      <c r="X2806" s="50"/>
      <c r="Y2806" s="50"/>
      <c r="Z2806" s="50"/>
      <c r="AA2806" s="50"/>
    </row>
    <row r="2807" spans="1:27" ht="25.5" customHeight="1">
      <c r="A2807" s="50" t="s">
        <v>779</v>
      </c>
      <c r="B2807" s="51" t="s">
        <v>6227</v>
      </c>
      <c r="C2807" s="51" t="s">
        <v>143</v>
      </c>
      <c r="D2807" s="51" t="s">
        <v>6271</v>
      </c>
      <c r="E2807" s="50">
        <v>3890</v>
      </c>
      <c r="F2807" s="50">
        <v>4412</v>
      </c>
      <c r="G2807" s="50" t="s">
        <v>3404</v>
      </c>
      <c r="H2807" s="50">
        <v>2024</v>
      </c>
      <c r="I2807" s="132">
        <v>45478</v>
      </c>
      <c r="J2807" s="50"/>
      <c r="K2807" s="50" t="s">
        <v>37</v>
      </c>
      <c r="L2807" s="50"/>
      <c r="M2807" s="50" t="s">
        <v>328</v>
      </c>
      <c r="N2807" s="50"/>
      <c r="O2807" s="50"/>
      <c r="P2807" s="50"/>
      <c r="Q2807" s="50"/>
      <c r="R2807" s="50"/>
      <c r="S2807" s="50" t="str">
        <f t="shared" si="264"/>
        <v/>
      </c>
      <c r="T2807" s="50" t="str">
        <f t="shared" si="262"/>
        <v/>
      </c>
      <c r="U2807" s="50" t="str">
        <f t="shared" si="263"/>
        <v/>
      </c>
      <c r="V2807" s="50" t="str">
        <f t="shared" si="265"/>
        <v/>
      </c>
      <c r="W2807" s="50"/>
      <c r="X2807" s="50" t="s">
        <v>1078</v>
      </c>
      <c r="Y2807" s="50" t="s">
        <v>50</v>
      </c>
      <c r="Z2807" s="50" t="s">
        <v>3406</v>
      </c>
      <c r="AA2807" s="50"/>
    </row>
    <row r="2808" spans="1:27" ht="25.5" customHeight="1">
      <c r="A2808" s="517" t="s">
        <v>779</v>
      </c>
      <c r="B2808" s="51" t="s">
        <v>6227</v>
      </c>
      <c r="C2808" s="51" t="s">
        <v>143</v>
      </c>
      <c r="D2808" s="51" t="s">
        <v>992</v>
      </c>
      <c r="E2808" s="50">
        <v>3144</v>
      </c>
      <c r="F2808" s="50">
        <v>3383</v>
      </c>
      <c r="G2808" s="50" t="s">
        <v>3955</v>
      </c>
      <c r="H2808" s="50"/>
      <c r="I2808" s="105"/>
      <c r="J2808" s="50"/>
      <c r="K2808" s="50" t="s">
        <v>37</v>
      </c>
      <c r="L2808" s="50"/>
      <c r="M2808" s="50" t="s">
        <v>328</v>
      </c>
      <c r="N2808" s="50"/>
      <c r="O2808" s="50"/>
      <c r="P2808" s="50"/>
      <c r="Q2808" s="50"/>
      <c r="R2808" s="50"/>
      <c r="S2808" s="50" t="str">
        <f t="shared" si="264"/>
        <v/>
      </c>
      <c r="T2808" s="50" t="str">
        <f t="shared" si="262"/>
        <v/>
      </c>
      <c r="U2808" s="50" t="str">
        <f t="shared" si="263"/>
        <v/>
      </c>
      <c r="V2808" s="50" t="str">
        <f t="shared" si="265"/>
        <v/>
      </c>
      <c r="W2808" s="50"/>
      <c r="X2808" s="50"/>
      <c r="Y2808" s="50"/>
      <c r="Z2808" s="50"/>
      <c r="AA2808" s="50"/>
    </row>
    <row r="2809" spans="1:27" ht="25.5" customHeight="1">
      <c r="A2809" s="517" t="s">
        <v>779</v>
      </c>
      <c r="B2809" s="51" t="s">
        <v>6227</v>
      </c>
      <c r="C2809" s="51" t="s">
        <v>143</v>
      </c>
      <c r="D2809" s="51" t="s">
        <v>1511</v>
      </c>
      <c r="E2809" s="50">
        <v>6344</v>
      </c>
      <c r="F2809" s="50">
        <v>7930</v>
      </c>
      <c r="G2809" s="50" t="s">
        <v>3404</v>
      </c>
      <c r="H2809" s="50">
        <v>2025</v>
      </c>
      <c r="I2809" s="132">
        <v>45723</v>
      </c>
      <c r="J2809" s="50" t="s">
        <v>3416</v>
      </c>
      <c r="K2809" s="50" t="s">
        <v>37</v>
      </c>
      <c r="L2809" s="50"/>
      <c r="M2809" s="50" t="s">
        <v>328</v>
      </c>
      <c r="N2809" s="50" t="s">
        <v>6272</v>
      </c>
      <c r="O2809" s="60">
        <v>45725</v>
      </c>
      <c r="P2809" s="50"/>
      <c r="Q2809" s="60">
        <v>45727</v>
      </c>
      <c r="R2809" s="60">
        <v>45728</v>
      </c>
      <c r="S2809" s="50">
        <f t="shared" si="264"/>
        <v>1</v>
      </c>
      <c r="T2809" s="50" t="str">
        <f t="shared" si="262"/>
        <v/>
      </c>
      <c r="U2809" s="50">
        <f t="shared" si="263"/>
        <v>1</v>
      </c>
      <c r="V2809" s="50">
        <f t="shared" si="265"/>
        <v>1</v>
      </c>
      <c r="W2809" s="50" t="s">
        <v>150</v>
      </c>
      <c r="X2809" s="50" t="s">
        <v>3527</v>
      </c>
      <c r="Y2809" s="50" t="s">
        <v>3528</v>
      </c>
      <c r="Z2809" s="50" t="s">
        <v>3406</v>
      </c>
      <c r="AA2809" s="50"/>
    </row>
    <row r="2810" spans="1:27" ht="25.5" customHeight="1">
      <c r="A2810" s="517" t="s">
        <v>779</v>
      </c>
      <c r="B2810" s="51" t="s">
        <v>6227</v>
      </c>
      <c r="C2810" s="51" t="s">
        <v>143</v>
      </c>
      <c r="D2810" s="51" t="s">
        <v>1151</v>
      </c>
      <c r="E2810" s="50">
        <v>8620</v>
      </c>
      <c r="F2810" s="50">
        <v>8515</v>
      </c>
      <c r="G2810" s="50" t="s">
        <v>3955</v>
      </c>
      <c r="H2810" s="50"/>
      <c r="I2810" s="105"/>
      <c r="J2810" s="50"/>
      <c r="K2810" s="50" t="s">
        <v>37</v>
      </c>
      <c r="L2810" s="50"/>
      <c r="M2810" s="50" t="s">
        <v>328</v>
      </c>
      <c r="N2810" s="50"/>
      <c r="O2810" s="50"/>
      <c r="P2810" s="50"/>
      <c r="Q2810" s="50"/>
      <c r="R2810" s="50"/>
      <c r="S2810" s="50" t="str">
        <f t="shared" si="264"/>
        <v/>
      </c>
      <c r="T2810" s="50" t="str">
        <f t="shared" si="262"/>
        <v/>
      </c>
      <c r="U2810" s="50" t="str">
        <f t="shared" si="263"/>
        <v/>
      </c>
      <c r="V2810" s="50" t="str">
        <f t="shared" si="265"/>
        <v/>
      </c>
      <c r="W2810" s="50"/>
      <c r="X2810" s="50"/>
      <c r="Y2810" s="50"/>
      <c r="Z2810" s="50"/>
      <c r="AA2810" s="50"/>
    </row>
    <row r="2811" spans="1:27" ht="25.5" customHeight="1">
      <c r="A2811" s="517" t="s">
        <v>779</v>
      </c>
      <c r="B2811" s="51" t="s">
        <v>6227</v>
      </c>
      <c r="C2811" s="51" t="s">
        <v>143</v>
      </c>
      <c r="D2811" s="51" t="s">
        <v>1439</v>
      </c>
      <c r="E2811" s="50">
        <v>7103</v>
      </c>
      <c r="F2811" s="50">
        <v>6807</v>
      </c>
      <c r="G2811" s="50" t="s">
        <v>3404</v>
      </c>
      <c r="H2811" s="50">
        <v>2025</v>
      </c>
      <c r="I2811" s="132">
        <v>45723</v>
      </c>
      <c r="J2811" s="50" t="s">
        <v>3416</v>
      </c>
      <c r="K2811" s="50" t="s">
        <v>37</v>
      </c>
      <c r="L2811" s="50"/>
      <c r="M2811" s="50" t="s">
        <v>328</v>
      </c>
      <c r="N2811" s="50" t="s">
        <v>6273</v>
      </c>
      <c r="O2811" s="60">
        <v>45725</v>
      </c>
      <c r="P2811" s="50"/>
      <c r="Q2811" s="60">
        <v>45727</v>
      </c>
      <c r="R2811" s="60">
        <v>45730</v>
      </c>
      <c r="S2811" s="50">
        <f t="shared" si="264"/>
        <v>1</v>
      </c>
      <c r="T2811" s="50" t="str">
        <f t="shared" si="262"/>
        <v/>
      </c>
      <c r="U2811" s="50">
        <f t="shared" si="263"/>
        <v>1</v>
      </c>
      <c r="V2811" s="50">
        <f t="shared" si="265"/>
        <v>3</v>
      </c>
      <c r="W2811" s="50" t="s">
        <v>150</v>
      </c>
      <c r="X2811" s="50" t="s">
        <v>3527</v>
      </c>
      <c r="Y2811" s="50" t="s">
        <v>3528</v>
      </c>
      <c r="Z2811" s="50" t="s">
        <v>3406</v>
      </c>
      <c r="AA2811" s="50"/>
    </row>
    <row r="2812" spans="1:27" ht="25.5" customHeight="1">
      <c r="A2812" s="517" t="s">
        <v>779</v>
      </c>
      <c r="B2812" s="51" t="s">
        <v>6227</v>
      </c>
      <c r="C2812" s="51" t="s">
        <v>143</v>
      </c>
      <c r="D2812" s="51" t="s">
        <v>3723</v>
      </c>
      <c r="E2812" s="50">
        <v>4582</v>
      </c>
      <c r="F2812" s="50">
        <v>4792</v>
      </c>
      <c r="G2812" s="50" t="s">
        <v>3955</v>
      </c>
      <c r="H2812" s="50"/>
      <c r="I2812" s="105"/>
      <c r="J2812" s="50"/>
      <c r="K2812" s="50" t="s">
        <v>37</v>
      </c>
      <c r="L2812" s="50"/>
      <c r="M2812" s="50" t="s">
        <v>328</v>
      </c>
      <c r="N2812" s="50"/>
      <c r="O2812" s="50"/>
      <c r="P2812" s="50"/>
      <c r="Q2812" s="50"/>
      <c r="R2812" s="50"/>
      <c r="S2812" s="50" t="str">
        <f t="shared" si="264"/>
        <v/>
      </c>
      <c r="T2812" s="50" t="str">
        <f t="shared" si="262"/>
        <v/>
      </c>
      <c r="U2812" s="50" t="str">
        <f t="shared" si="263"/>
        <v/>
      </c>
      <c r="V2812" s="50" t="str">
        <f t="shared" si="265"/>
        <v/>
      </c>
      <c r="W2812" s="50"/>
      <c r="X2812" s="50"/>
      <c r="Y2812" s="50"/>
      <c r="Z2812" s="50"/>
      <c r="AA2812" s="50"/>
    </row>
    <row r="2813" spans="1:27" ht="25.5" customHeight="1">
      <c r="A2813" s="517" t="s">
        <v>779</v>
      </c>
      <c r="B2813" s="51" t="s">
        <v>6227</v>
      </c>
      <c r="C2813" s="51" t="s">
        <v>143</v>
      </c>
      <c r="D2813" s="51" t="s">
        <v>1234</v>
      </c>
      <c r="E2813" s="50">
        <v>3080</v>
      </c>
      <c r="F2813" s="50">
        <v>3568</v>
      </c>
      <c r="G2813" s="50" t="s">
        <v>3955</v>
      </c>
      <c r="H2813" s="50"/>
      <c r="I2813" s="105"/>
      <c r="J2813" s="50"/>
      <c r="K2813" s="50" t="s">
        <v>37</v>
      </c>
      <c r="L2813" s="50"/>
      <c r="M2813" s="50" t="s">
        <v>328</v>
      </c>
      <c r="N2813" s="50"/>
      <c r="O2813" s="50"/>
      <c r="P2813" s="50"/>
      <c r="Q2813" s="50"/>
      <c r="R2813" s="50"/>
      <c r="S2813" s="50" t="str">
        <f t="shared" si="264"/>
        <v/>
      </c>
      <c r="T2813" s="50" t="str">
        <f t="shared" si="262"/>
        <v/>
      </c>
      <c r="U2813" s="50" t="str">
        <f t="shared" si="263"/>
        <v/>
      </c>
      <c r="V2813" s="50" t="str">
        <f t="shared" si="265"/>
        <v/>
      </c>
      <c r="W2813" s="50"/>
      <c r="X2813" s="50"/>
      <c r="Y2813" s="50"/>
      <c r="Z2813" s="50"/>
      <c r="AA2813" s="50"/>
    </row>
    <row r="2814" spans="1:27" ht="25.5" customHeight="1">
      <c r="A2814" s="517" t="s">
        <v>779</v>
      </c>
      <c r="B2814" s="51" t="s">
        <v>6227</v>
      </c>
      <c r="C2814" s="51" t="s">
        <v>143</v>
      </c>
      <c r="D2814" s="51" t="s">
        <v>1155</v>
      </c>
      <c r="E2814" s="50">
        <v>14341</v>
      </c>
      <c r="F2814" s="50">
        <v>20999</v>
      </c>
      <c r="G2814" s="50" t="s">
        <v>3955</v>
      </c>
      <c r="H2814" s="50"/>
      <c r="I2814" s="105"/>
      <c r="J2814" s="50"/>
      <c r="K2814" s="50" t="s">
        <v>37</v>
      </c>
      <c r="L2814" s="50"/>
      <c r="M2814" s="50" t="s">
        <v>328</v>
      </c>
      <c r="N2814" s="50"/>
      <c r="O2814" s="50"/>
      <c r="P2814" s="50"/>
      <c r="Q2814" s="50"/>
      <c r="R2814" s="50"/>
      <c r="S2814" s="50" t="str">
        <f t="shared" si="264"/>
        <v/>
      </c>
      <c r="T2814" s="50" t="str">
        <f t="shared" si="262"/>
        <v/>
      </c>
      <c r="U2814" s="50" t="str">
        <f t="shared" si="263"/>
        <v/>
      </c>
      <c r="V2814" s="50" t="str">
        <f t="shared" si="265"/>
        <v/>
      </c>
      <c r="W2814" s="50"/>
      <c r="X2814" s="50"/>
      <c r="Y2814" s="50"/>
      <c r="Z2814" s="50"/>
      <c r="AA2814" s="50"/>
    </row>
    <row r="2815" spans="1:27" ht="25.5" customHeight="1">
      <c r="A2815" s="517" t="s">
        <v>779</v>
      </c>
      <c r="B2815" s="51" t="s">
        <v>6227</v>
      </c>
      <c r="C2815" s="51" t="s">
        <v>143</v>
      </c>
      <c r="D2815" s="51" t="s">
        <v>3974</v>
      </c>
      <c r="E2815" s="50">
        <v>6514</v>
      </c>
      <c r="F2815" s="50">
        <v>6008</v>
      </c>
      <c r="G2815" s="50" t="s">
        <v>3404</v>
      </c>
      <c r="H2815" s="50">
        <v>2025</v>
      </c>
      <c r="I2815" s="132">
        <v>45847</v>
      </c>
      <c r="J2815" s="50" t="s">
        <v>3125</v>
      </c>
      <c r="K2815" s="50" t="s">
        <v>37</v>
      </c>
      <c r="L2815" s="50"/>
      <c r="M2815" s="50" t="s">
        <v>328</v>
      </c>
      <c r="N2815" s="50" t="s">
        <v>6274</v>
      </c>
      <c r="O2815" s="60">
        <v>45850</v>
      </c>
      <c r="P2815" s="50"/>
      <c r="Q2815" s="60">
        <v>45853</v>
      </c>
      <c r="R2815" s="60">
        <v>45855</v>
      </c>
      <c r="S2815" s="50">
        <f t="shared" si="264"/>
        <v>2</v>
      </c>
      <c r="T2815" s="50" t="str">
        <f t="shared" si="262"/>
        <v/>
      </c>
      <c r="U2815" s="50">
        <f t="shared" si="263"/>
        <v>1</v>
      </c>
      <c r="V2815" s="50">
        <f t="shared" si="265"/>
        <v>2</v>
      </c>
      <c r="W2815" s="50" t="s">
        <v>150</v>
      </c>
      <c r="X2815" s="50" t="s">
        <v>1078</v>
      </c>
      <c r="Y2815" s="50" t="s">
        <v>50</v>
      </c>
      <c r="Z2815" s="50" t="s">
        <v>3406</v>
      </c>
      <c r="AA2815" s="50"/>
    </row>
    <row r="2816" spans="1:27" ht="25.5" customHeight="1">
      <c r="A2816" s="517" t="s">
        <v>779</v>
      </c>
      <c r="B2816" s="51" t="s">
        <v>6227</v>
      </c>
      <c r="C2816" s="51" t="s">
        <v>143</v>
      </c>
      <c r="D2816" s="51" t="s">
        <v>4258</v>
      </c>
      <c r="E2816" s="50">
        <v>3654</v>
      </c>
      <c r="F2816" s="50">
        <v>4231</v>
      </c>
      <c r="G2816" s="50" t="s">
        <v>3404</v>
      </c>
      <c r="H2816" s="50">
        <v>2025</v>
      </c>
      <c r="I2816" s="132">
        <v>45847</v>
      </c>
      <c r="J2816" s="50" t="s">
        <v>3125</v>
      </c>
      <c r="K2816" s="50" t="s">
        <v>37</v>
      </c>
      <c r="L2816" s="50"/>
      <c r="M2816" s="50" t="s">
        <v>328</v>
      </c>
      <c r="N2816" s="50" t="s">
        <v>6275</v>
      </c>
      <c r="O2816" s="60">
        <v>45847</v>
      </c>
      <c r="P2816" s="50"/>
      <c r="Q2816" s="60">
        <v>45853</v>
      </c>
      <c r="R2816" s="60">
        <v>45855</v>
      </c>
      <c r="S2816" s="50">
        <f t="shared" si="264"/>
        <v>1</v>
      </c>
      <c r="T2816" s="50" t="str">
        <f t="shared" si="262"/>
        <v/>
      </c>
      <c r="U2816" s="50">
        <f t="shared" si="263"/>
        <v>4</v>
      </c>
      <c r="V2816" s="50">
        <f t="shared" si="265"/>
        <v>2</v>
      </c>
      <c r="W2816" s="50" t="s">
        <v>150</v>
      </c>
      <c r="X2816" s="50" t="s">
        <v>1078</v>
      </c>
      <c r="Y2816" s="50" t="s">
        <v>50</v>
      </c>
      <c r="Z2816" s="50" t="s">
        <v>3406</v>
      </c>
      <c r="AA2816" s="50"/>
    </row>
    <row r="2817" spans="1:27" ht="25.5" customHeight="1">
      <c r="A2817" s="517" t="s">
        <v>779</v>
      </c>
      <c r="B2817" s="51" t="s">
        <v>6227</v>
      </c>
      <c r="C2817" s="51" t="s">
        <v>143</v>
      </c>
      <c r="D2817" s="51" t="s">
        <v>1166</v>
      </c>
      <c r="E2817" s="50">
        <v>19040</v>
      </c>
      <c r="F2817" s="50">
        <v>18105</v>
      </c>
      <c r="G2817" s="50" t="s">
        <v>3955</v>
      </c>
      <c r="H2817" s="50"/>
      <c r="I2817" s="105"/>
      <c r="J2817" s="50"/>
      <c r="K2817" s="50" t="s">
        <v>37</v>
      </c>
      <c r="L2817" s="50"/>
      <c r="M2817" s="50" t="s">
        <v>328</v>
      </c>
      <c r="N2817" s="50"/>
      <c r="O2817" s="50"/>
      <c r="P2817" s="50"/>
      <c r="Q2817" s="50"/>
      <c r="R2817" s="50"/>
      <c r="S2817" s="50" t="str">
        <f t="shared" si="264"/>
        <v/>
      </c>
      <c r="T2817" s="50" t="str">
        <f t="shared" si="262"/>
        <v/>
      </c>
      <c r="U2817" s="50" t="str">
        <f t="shared" si="263"/>
        <v/>
      </c>
      <c r="V2817" s="50" t="str">
        <f t="shared" si="265"/>
        <v/>
      </c>
      <c r="W2817" s="50"/>
      <c r="X2817" s="50"/>
      <c r="Y2817" s="50"/>
      <c r="Z2817" s="50"/>
      <c r="AA2817" s="50"/>
    </row>
    <row r="2818" spans="1:27" s="110" customFormat="1" ht="25.5" customHeight="1">
      <c r="A2818" s="517" t="s">
        <v>779</v>
      </c>
      <c r="B2818" s="51" t="s">
        <v>6227</v>
      </c>
      <c r="C2818" s="51" t="s">
        <v>143</v>
      </c>
      <c r="D2818" s="51" t="s">
        <v>1899</v>
      </c>
      <c r="E2818" s="50">
        <v>3918</v>
      </c>
      <c r="F2818" s="50">
        <v>4265</v>
      </c>
      <c r="G2818" s="50" t="s">
        <v>3955</v>
      </c>
      <c r="H2818" s="50"/>
      <c r="I2818" s="105"/>
      <c r="J2818" s="50"/>
      <c r="K2818" s="50" t="s">
        <v>37</v>
      </c>
      <c r="L2818" s="50"/>
      <c r="M2818" s="50" t="s">
        <v>328</v>
      </c>
      <c r="N2818" s="50"/>
      <c r="O2818" s="50"/>
      <c r="P2818" s="50"/>
      <c r="Q2818" s="50"/>
      <c r="R2818" s="50"/>
      <c r="S2818" s="50" t="str">
        <f t="shared" si="264"/>
        <v/>
      </c>
      <c r="T2818" s="50" t="str">
        <f t="shared" si="262"/>
        <v/>
      </c>
      <c r="U2818" s="50" t="str">
        <f t="shared" si="263"/>
        <v/>
      </c>
      <c r="V2818" s="50" t="str">
        <f t="shared" si="265"/>
        <v/>
      </c>
      <c r="W2818" s="50"/>
      <c r="X2818" s="50"/>
      <c r="Y2818" s="50"/>
      <c r="Z2818" s="50"/>
      <c r="AA2818" s="50"/>
    </row>
    <row r="2819" spans="1:27" ht="25.5" customHeight="1">
      <c r="A2819" s="517" t="s">
        <v>779</v>
      </c>
      <c r="B2819" s="51" t="s">
        <v>6227</v>
      </c>
      <c r="C2819" s="51" t="s">
        <v>143</v>
      </c>
      <c r="D2819" s="51" t="s">
        <v>4950</v>
      </c>
      <c r="E2819" s="50">
        <v>1254</v>
      </c>
      <c r="F2819" s="50">
        <v>1256</v>
      </c>
      <c r="G2819" s="50" t="s">
        <v>3404</v>
      </c>
      <c r="H2819" s="50">
        <v>2025</v>
      </c>
      <c r="I2819" s="132">
        <v>45678</v>
      </c>
      <c r="J2819" s="50" t="s">
        <v>3424</v>
      </c>
      <c r="K2819" s="50" t="s">
        <v>37</v>
      </c>
      <c r="L2819" s="50"/>
      <c r="M2819" s="50" t="s">
        <v>328</v>
      </c>
      <c r="N2819" s="50" t="s">
        <v>6276</v>
      </c>
      <c r="O2819" s="60">
        <v>45679</v>
      </c>
      <c r="P2819" s="50"/>
      <c r="Q2819" s="60">
        <v>45680</v>
      </c>
      <c r="R2819" s="60">
        <v>45681</v>
      </c>
      <c r="S2819" s="50">
        <f t="shared" si="264"/>
        <v>1</v>
      </c>
      <c r="T2819" s="50" t="str">
        <f t="shared" si="262"/>
        <v/>
      </c>
      <c r="U2819" s="50">
        <f t="shared" si="263"/>
        <v>1</v>
      </c>
      <c r="V2819" s="50">
        <f t="shared" si="265"/>
        <v>1</v>
      </c>
      <c r="W2819" s="50" t="s">
        <v>150</v>
      </c>
      <c r="X2819" s="50" t="s">
        <v>3527</v>
      </c>
      <c r="Y2819" s="50" t="s">
        <v>3528</v>
      </c>
      <c r="Z2819" s="50" t="s">
        <v>3406</v>
      </c>
      <c r="AA2819" s="50"/>
    </row>
    <row r="2820" spans="1:27" ht="25.5" customHeight="1">
      <c r="A2820" s="141" t="s">
        <v>779</v>
      </c>
      <c r="B2820" s="141" t="s">
        <v>6227</v>
      </c>
      <c r="C2820" s="51" t="s">
        <v>143</v>
      </c>
      <c r="D2820" s="141" t="s">
        <v>3727</v>
      </c>
      <c r="E2820" s="141">
        <v>653</v>
      </c>
      <c r="F2820" s="141">
        <v>720</v>
      </c>
      <c r="G2820" s="141" t="s">
        <v>3404</v>
      </c>
      <c r="H2820" s="141">
        <v>2025</v>
      </c>
      <c r="I2820" s="470">
        <v>45679</v>
      </c>
      <c r="J2820" s="141" t="s">
        <v>3424</v>
      </c>
      <c r="K2820" s="141" t="s">
        <v>37</v>
      </c>
      <c r="L2820" s="141"/>
      <c r="M2820" s="141" t="s">
        <v>328</v>
      </c>
      <c r="N2820" s="50" t="s">
        <v>6277</v>
      </c>
      <c r="O2820" s="151">
        <v>45679</v>
      </c>
      <c r="P2820" s="141"/>
      <c r="Q2820" s="151">
        <v>45680</v>
      </c>
      <c r="R2820" s="151">
        <v>45681</v>
      </c>
      <c r="S2820" s="50">
        <f t="shared" si="264"/>
        <v>1</v>
      </c>
      <c r="T2820" s="50" t="str">
        <f t="shared" si="262"/>
        <v/>
      </c>
      <c r="U2820" s="50">
        <f t="shared" si="263"/>
        <v>1</v>
      </c>
      <c r="V2820" s="50">
        <f t="shared" si="265"/>
        <v>1</v>
      </c>
      <c r="W2820" s="141" t="s">
        <v>150</v>
      </c>
      <c r="X2820" s="50" t="s">
        <v>4</v>
      </c>
      <c r="Y2820" s="141" t="s">
        <v>50</v>
      </c>
      <c r="Z2820" s="141" t="s">
        <v>6278</v>
      </c>
      <c r="AA2820" s="141"/>
    </row>
    <row r="2821" spans="1:27" s="110" customFormat="1" ht="25.5" customHeight="1">
      <c r="A2821" s="517" t="s">
        <v>779</v>
      </c>
      <c r="B2821" s="51" t="s">
        <v>6227</v>
      </c>
      <c r="C2821" s="51" t="s">
        <v>143</v>
      </c>
      <c r="D2821" s="51" t="s">
        <v>6279</v>
      </c>
      <c r="E2821" s="50">
        <v>10682</v>
      </c>
      <c r="F2821" s="50">
        <v>12307</v>
      </c>
      <c r="G2821" s="50" t="s">
        <v>3955</v>
      </c>
      <c r="H2821" s="50"/>
      <c r="I2821" s="105"/>
      <c r="J2821" s="50"/>
      <c r="K2821" s="50" t="s">
        <v>37</v>
      </c>
      <c r="L2821" s="50"/>
      <c r="M2821" s="50" t="s">
        <v>328</v>
      </c>
      <c r="N2821" s="50"/>
      <c r="O2821" s="50"/>
      <c r="P2821" s="50"/>
      <c r="Q2821" s="50"/>
      <c r="R2821" s="50"/>
      <c r="S2821" s="50" t="str">
        <f t="shared" si="264"/>
        <v/>
      </c>
      <c r="T2821" s="50" t="str">
        <f t="shared" si="262"/>
        <v/>
      </c>
      <c r="U2821" s="50" t="str">
        <f t="shared" si="263"/>
        <v/>
      </c>
      <c r="V2821" s="50" t="str">
        <f t="shared" si="265"/>
        <v/>
      </c>
      <c r="W2821" s="50"/>
      <c r="X2821" s="50"/>
      <c r="Y2821" s="50"/>
      <c r="Z2821" s="50"/>
      <c r="AA2821" s="50"/>
    </row>
    <row r="2822" spans="1:27" ht="25.5" customHeight="1">
      <c r="A2822" s="517" t="s">
        <v>779</v>
      </c>
      <c r="B2822" s="51" t="s">
        <v>6227</v>
      </c>
      <c r="C2822" s="51" t="s">
        <v>143</v>
      </c>
      <c r="D2822" s="51" t="s">
        <v>6280</v>
      </c>
      <c r="E2822" s="50">
        <v>5550</v>
      </c>
      <c r="F2822" s="50">
        <v>5226</v>
      </c>
      <c r="G2822" s="50" t="s">
        <v>3955</v>
      </c>
      <c r="H2822" s="50"/>
      <c r="I2822" s="105"/>
      <c r="J2822" s="50"/>
      <c r="K2822" s="50" t="s">
        <v>37</v>
      </c>
      <c r="L2822" s="50"/>
      <c r="M2822" s="50" t="s">
        <v>328</v>
      </c>
      <c r="N2822" s="50"/>
      <c r="O2822" s="50"/>
      <c r="P2822" s="50"/>
      <c r="Q2822" s="50"/>
      <c r="R2822" s="50"/>
      <c r="S2822" s="50" t="str">
        <f t="shared" si="264"/>
        <v/>
      </c>
      <c r="T2822" s="50" t="str">
        <f t="shared" si="262"/>
        <v/>
      </c>
      <c r="U2822" s="50" t="str">
        <f t="shared" si="263"/>
        <v/>
      </c>
      <c r="V2822" s="50" t="str">
        <f t="shared" si="265"/>
        <v/>
      </c>
      <c r="W2822" s="50"/>
      <c r="X2822" s="50"/>
      <c r="Y2822" s="50"/>
      <c r="Z2822" s="50"/>
      <c r="AA2822" s="50"/>
    </row>
    <row r="2823" spans="1:27" ht="25.5" customHeight="1">
      <c r="A2823" s="517" t="s">
        <v>779</v>
      </c>
      <c r="B2823" s="51" t="s">
        <v>6227</v>
      </c>
      <c r="C2823" s="51" t="s">
        <v>143</v>
      </c>
      <c r="D2823" s="51" t="s">
        <v>6281</v>
      </c>
      <c r="E2823" s="50">
        <v>4817</v>
      </c>
      <c r="F2823" s="50">
        <v>4817</v>
      </c>
      <c r="G2823" s="50" t="s">
        <v>3955</v>
      </c>
      <c r="H2823" s="50"/>
      <c r="I2823" s="105"/>
      <c r="J2823" s="50"/>
      <c r="K2823" s="50" t="s">
        <v>37</v>
      </c>
      <c r="L2823" s="50"/>
      <c r="M2823" s="50" t="s">
        <v>328</v>
      </c>
      <c r="N2823" s="50"/>
      <c r="O2823" s="50"/>
      <c r="P2823" s="50"/>
      <c r="Q2823" s="50"/>
      <c r="R2823" s="50"/>
      <c r="S2823" s="50" t="str">
        <f t="shared" si="264"/>
        <v/>
      </c>
      <c r="T2823" s="50" t="str">
        <f t="shared" si="262"/>
        <v/>
      </c>
      <c r="U2823" s="50" t="str">
        <f t="shared" si="263"/>
        <v/>
      </c>
      <c r="V2823" s="50" t="str">
        <f t="shared" si="265"/>
        <v/>
      </c>
      <c r="W2823" s="50"/>
      <c r="X2823" s="50"/>
      <c r="Y2823" s="50"/>
      <c r="Z2823" s="50"/>
      <c r="AA2823" s="50"/>
    </row>
    <row r="2824" spans="1:27" ht="25.5" customHeight="1">
      <c r="A2824" s="517" t="s">
        <v>779</v>
      </c>
      <c r="B2824" s="51" t="s">
        <v>6227</v>
      </c>
      <c r="C2824" s="51" t="s">
        <v>143</v>
      </c>
      <c r="D2824" s="51" t="s">
        <v>6282</v>
      </c>
      <c r="E2824" s="50">
        <v>2234</v>
      </c>
      <c r="F2824" s="50">
        <v>2533</v>
      </c>
      <c r="G2824" s="50" t="s">
        <v>3955</v>
      </c>
      <c r="H2824" s="50"/>
      <c r="I2824" s="105"/>
      <c r="J2824" s="50"/>
      <c r="K2824" s="50" t="s">
        <v>37</v>
      </c>
      <c r="L2824" s="50"/>
      <c r="M2824" s="50" t="s">
        <v>328</v>
      </c>
      <c r="N2824" s="50"/>
      <c r="O2824" s="50"/>
      <c r="P2824" s="50"/>
      <c r="Q2824" s="50"/>
      <c r="R2824" s="50"/>
      <c r="S2824" s="50" t="str">
        <f t="shared" si="264"/>
        <v/>
      </c>
      <c r="T2824" s="50" t="str">
        <f t="shared" si="262"/>
        <v/>
      </c>
      <c r="U2824" s="50" t="str">
        <f t="shared" si="263"/>
        <v/>
      </c>
      <c r="V2824" s="50" t="str">
        <f t="shared" si="265"/>
        <v/>
      </c>
      <c r="W2824" s="50"/>
      <c r="X2824" s="50"/>
      <c r="Y2824" s="50"/>
      <c r="Z2824" s="50"/>
      <c r="AA2824" s="50"/>
    </row>
    <row r="2825" spans="1:27" s="110" customFormat="1" ht="25.5" customHeight="1">
      <c r="A2825" s="517" t="s">
        <v>779</v>
      </c>
      <c r="B2825" s="51" t="s">
        <v>6227</v>
      </c>
      <c r="C2825" s="51" t="s">
        <v>143</v>
      </c>
      <c r="D2825" s="51" t="s">
        <v>6283</v>
      </c>
      <c r="E2825" s="50">
        <v>4276</v>
      </c>
      <c r="F2825" s="50">
        <v>3967</v>
      </c>
      <c r="G2825" s="50" t="s">
        <v>3955</v>
      </c>
      <c r="H2825" s="50"/>
      <c r="I2825" s="105"/>
      <c r="J2825" s="50"/>
      <c r="K2825" s="50" t="s">
        <v>37</v>
      </c>
      <c r="L2825" s="50"/>
      <c r="M2825" s="50" t="s">
        <v>328</v>
      </c>
      <c r="N2825" s="50"/>
      <c r="O2825" s="50"/>
      <c r="P2825" s="50"/>
      <c r="Q2825" s="50"/>
      <c r="R2825" s="50"/>
      <c r="S2825" s="50" t="str">
        <f t="shared" si="264"/>
        <v/>
      </c>
      <c r="T2825" s="50" t="str">
        <f t="shared" si="262"/>
        <v/>
      </c>
      <c r="U2825" s="50" t="str">
        <f t="shared" si="263"/>
        <v/>
      </c>
      <c r="V2825" s="50" t="str">
        <f t="shared" si="265"/>
        <v/>
      </c>
      <c r="W2825" s="50"/>
      <c r="X2825" s="50"/>
      <c r="Y2825" s="50"/>
      <c r="Z2825" s="50"/>
      <c r="AA2825" s="50"/>
    </row>
    <row r="2826" spans="1:27" ht="25.5" customHeight="1">
      <c r="A2826" s="517" t="s">
        <v>779</v>
      </c>
      <c r="B2826" s="51" t="s">
        <v>6227</v>
      </c>
      <c r="C2826" s="51" t="s">
        <v>143</v>
      </c>
      <c r="D2826" s="51" t="s">
        <v>1462</v>
      </c>
      <c r="E2826" s="50">
        <v>16328</v>
      </c>
      <c r="F2826" s="50">
        <v>17800</v>
      </c>
      <c r="G2826" s="50" t="s">
        <v>3955</v>
      </c>
      <c r="H2826" s="50"/>
      <c r="I2826" s="105"/>
      <c r="J2826" s="50"/>
      <c r="K2826" s="50" t="s">
        <v>37</v>
      </c>
      <c r="L2826" s="50"/>
      <c r="M2826" s="50" t="s">
        <v>328</v>
      </c>
      <c r="N2826" s="50"/>
      <c r="O2826" s="50"/>
      <c r="P2826" s="50"/>
      <c r="Q2826" s="50"/>
      <c r="R2826" s="50"/>
      <c r="S2826" s="50" t="str">
        <f t="shared" si="264"/>
        <v/>
      </c>
      <c r="T2826" s="50" t="str">
        <f t="shared" si="262"/>
        <v/>
      </c>
      <c r="U2826" s="50" t="str">
        <f t="shared" si="263"/>
        <v/>
      </c>
      <c r="V2826" s="50" t="str">
        <f t="shared" si="265"/>
        <v/>
      </c>
      <c r="W2826" s="50"/>
      <c r="X2826" s="50"/>
      <c r="Y2826" s="50"/>
      <c r="Z2826" s="50"/>
      <c r="AA2826" s="50"/>
    </row>
    <row r="2827" spans="1:27" ht="25.5" customHeight="1">
      <c r="A2827" s="517" t="s">
        <v>779</v>
      </c>
      <c r="B2827" s="51" t="s">
        <v>6227</v>
      </c>
      <c r="C2827" s="51" t="s">
        <v>143</v>
      </c>
      <c r="D2827" s="51" t="s">
        <v>4044</v>
      </c>
      <c r="E2827" s="50">
        <v>5459</v>
      </c>
      <c r="F2827" s="50">
        <v>6486</v>
      </c>
      <c r="G2827" s="50" t="s">
        <v>3955</v>
      </c>
      <c r="H2827" s="50"/>
      <c r="I2827" s="105"/>
      <c r="J2827" s="50"/>
      <c r="K2827" s="50" t="s">
        <v>37</v>
      </c>
      <c r="L2827" s="50"/>
      <c r="M2827" s="50" t="s">
        <v>328</v>
      </c>
      <c r="N2827" s="50"/>
      <c r="O2827" s="50"/>
      <c r="P2827" s="50"/>
      <c r="Q2827" s="50"/>
      <c r="R2827" s="50"/>
      <c r="S2827" s="50" t="str">
        <f t="shared" si="264"/>
        <v/>
      </c>
      <c r="T2827" s="50" t="str">
        <f t="shared" si="262"/>
        <v/>
      </c>
      <c r="U2827" s="50" t="str">
        <f t="shared" si="263"/>
        <v/>
      </c>
      <c r="V2827" s="50" t="str">
        <f t="shared" si="265"/>
        <v/>
      </c>
      <c r="W2827" s="50"/>
      <c r="X2827" s="50"/>
      <c r="Y2827" s="50"/>
      <c r="Z2827" s="50"/>
      <c r="AA2827" s="50"/>
    </row>
    <row r="2828" spans="1:27" ht="25.5" customHeight="1">
      <c r="A2828" s="517" t="s">
        <v>779</v>
      </c>
      <c r="B2828" s="51" t="s">
        <v>6227</v>
      </c>
      <c r="C2828" s="51" t="s">
        <v>143</v>
      </c>
      <c r="D2828" s="51" t="s">
        <v>6284</v>
      </c>
      <c r="E2828" s="50">
        <v>1516</v>
      </c>
      <c r="F2828" s="50">
        <v>2095</v>
      </c>
      <c r="G2828" s="50" t="s">
        <v>3955</v>
      </c>
      <c r="H2828" s="50"/>
      <c r="I2828" s="105"/>
      <c r="J2828" s="50"/>
      <c r="K2828" s="50" t="s">
        <v>37</v>
      </c>
      <c r="L2828" s="50"/>
      <c r="M2828" s="50" t="s">
        <v>328</v>
      </c>
      <c r="N2828" s="50"/>
      <c r="O2828" s="50"/>
      <c r="P2828" s="50"/>
      <c r="Q2828" s="50"/>
      <c r="R2828" s="50"/>
      <c r="S2828" s="50" t="str">
        <f t="shared" si="264"/>
        <v/>
      </c>
      <c r="T2828" s="50" t="str">
        <f t="shared" si="262"/>
        <v/>
      </c>
      <c r="U2828" s="50" t="str">
        <f t="shared" si="263"/>
        <v/>
      </c>
      <c r="V2828" s="50" t="str">
        <f t="shared" si="265"/>
        <v/>
      </c>
      <c r="W2828" s="50"/>
      <c r="X2828" s="50"/>
      <c r="Y2828" s="50"/>
      <c r="Z2828" s="50"/>
      <c r="AA2828" s="50"/>
    </row>
    <row r="2829" spans="1:27" s="110" customFormat="1" ht="25.5" customHeight="1">
      <c r="A2829" s="517" t="s">
        <v>779</v>
      </c>
      <c r="B2829" s="51" t="s">
        <v>6227</v>
      </c>
      <c r="C2829" s="51" t="s">
        <v>143</v>
      </c>
      <c r="D2829" s="51" t="s">
        <v>6285</v>
      </c>
      <c r="E2829" s="50">
        <v>3343</v>
      </c>
      <c r="F2829" s="50">
        <v>4006</v>
      </c>
      <c r="G2829" s="50" t="s">
        <v>3955</v>
      </c>
      <c r="H2829" s="50"/>
      <c r="I2829" s="105"/>
      <c r="J2829" s="50"/>
      <c r="K2829" s="50" t="s">
        <v>37</v>
      </c>
      <c r="L2829" s="50"/>
      <c r="M2829" s="50" t="s">
        <v>328</v>
      </c>
      <c r="N2829" s="50"/>
      <c r="O2829" s="50"/>
      <c r="P2829" s="50"/>
      <c r="Q2829" s="50"/>
      <c r="R2829" s="50"/>
      <c r="S2829" s="50" t="str">
        <f t="shared" si="264"/>
        <v/>
      </c>
      <c r="T2829" s="50" t="str">
        <f t="shared" si="262"/>
        <v/>
      </c>
      <c r="U2829" s="50" t="str">
        <f t="shared" si="263"/>
        <v/>
      </c>
      <c r="V2829" s="50" t="str">
        <f t="shared" si="265"/>
        <v/>
      </c>
      <c r="W2829" s="50"/>
      <c r="X2829" s="50"/>
      <c r="Y2829" s="50"/>
      <c r="Z2829" s="50"/>
      <c r="AA2829" s="50"/>
    </row>
    <row r="2830" spans="1:27" ht="25.5" customHeight="1">
      <c r="A2830" s="517" t="s">
        <v>779</v>
      </c>
      <c r="B2830" s="51" t="s">
        <v>6227</v>
      </c>
      <c r="C2830" s="51" t="s">
        <v>143</v>
      </c>
      <c r="D2830" s="51" t="s">
        <v>6286</v>
      </c>
      <c r="E2830" s="50">
        <v>2123</v>
      </c>
      <c r="F2830" s="50">
        <v>2447</v>
      </c>
      <c r="G2830" s="50" t="s">
        <v>3404</v>
      </c>
      <c r="H2830" s="50">
        <v>2025</v>
      </c>
      <c r="I2830" s="132">
        <v>45749</v>
      </c>
      <c r="J2830" s="50" t="s">
        <v>3470</v>
      </c>
      <c r="K2830" s="50" t="s">
        <v>37</v>
      </c>
      <c r="L2830" s="50"/>
      <c r="M2830" s="50" t="s">
        <v>328</v>
      </c>
      <c r="N2830" s="50" t="s">
        <v>6287</v>
      </c>
      <c r="O2830" s="60">
        <v>45750</v>
      </c>
      <c r="P2830" s="50"/>
      <c r="Q2830" s="60">
        <v>45754</v>
      </c>
      <c r="R2830" s="60">
        <v>45757</v>
      </c>
      <c r="S2830" s="50">
        <f t="shared" si="264"/>
        <v>1</v>
      </c>
      <c r="T2830" s="50" t="str">
        <f t="shared" si="262"/>
        <v/>
      </c>
      <c r="U2830" s="50">
        <f t="shared" si="263"/>
        <v>2</v>
      </c>
      <c r="V2830" s="50">
        <f t="shared" si="265"/>
        <v>3</v>
      </c>
      <c r="W2830" s="50" t="s">
        <v>150</v>
      </c>
      <c r="X2830" s="50" t="s">
        <v>3527</v>
      </c>
      <c r="Y2830" s="50" t="s">
        <v>3528</v>
      </c>
      <c r="Z2830" s="50" t="s">
        <v>3406</v>
      </c>
      <c r="AA2830" s="50"/>
    </row>
    <row r="2831" spans="1:27" ht="25.5" customHeight="1">
      <c r="A2831" s="517" t="s">
        <v>779</v>
      </c>
      <c r="B2831" s="51" t="s">
        <v>1474</v>
      </c>
      <c r="C2831" s="51" t="s">
        <v>143</v>
      </c>
      <c r="D2831" s="51" t="s">
        <v>1520</v>
      </c>
      <c r="E2831" s="50">
        <v>1672</v>
      </c>
      <c r="F2831" s="50">
        <v>1774</v>
      </c>
      <c r="G2831" s="50" t="s">
        <v>3404</v>
      </c>
      <c r="H2831" s="50">
        <v>2025</v>
      </c>
      <c r="I2831" s="132">
        <v>45911</v>
      </c>
      <c r="J2831" s="50" t="s">
        <v>3127</v>
      </c>
      <c r="K2831" s="50" t="s">
        <v>39</v>
      </c>
      <c r="L2831" s="50"/>
      <c r="M2831" s="50" t="s">
        <v>328</v>
      </c>
      <c r="N2831" s="50" t="s">
        <v>6288</v>
      </c>
      <c r="O2831" s="60">
        <v>45915</v>
      </c>
      <c r="P2831" s="50"/>
      <c r="Q2831" s="60">
        <v>45917</v>
      </c>
      <c r="R2831" s="60">
        <v>45919</v>
      </c>
      <c r="S2831" s="50">
        <f t="shared" si="264"/>
        <v>2</v>
      </c>
      <c r="T2831" s="50" t="str">
        <f t="shared" si="262"/>
        <v/>
      </c>
      <c r="U2831" s="50">
        <f t="shared" si="263"/>
        <v>2</v>
      </c>
      <c r="V2831" s="50">
        <f t="shared" si="265"/>
        <v>2</v>
      </c>
      <c r="W2831" s="50" t="s">
        <v>150</v>
      </c>
      <c r="X2831" s="50" t="s">
        <v>1078</v>
      </c>
      <c r="Y2831" s="50" t="s">
        <v>50</v>
      </c>
      <c r="Z2831" s="50" t="s">
        <v>3406</v>
      </c>
      <c r="AA2831" s="50"/>
    </row>
    <row r="2832" spans="1:27" ht="25.5" customHeight="1">
      <c r="A2832" s="517" t="s">
        <v>779</v>
      </c>
      <c r="B2832" s="51" t="s">
        <v>1474</v>
      </c>
      <c r="C2832" s="51" t="s">
        <v>143</v>
      </c>
      <c r="D2832" s="51" t="s">
        <v>6289</v>
      </c>
      <c r="E2832" s="50">
        <v>4087</v>
      </c>
      <c r="F2832" s="50">
        <v>4325</v>
      </c>
      <c r="G2832" s="50" t="s">
        <v>3404</v>
      </c>
      <c r="H2832" s="50">
        <v>2025</v>
      </c>
      <c r="I2832" s="132">
        <v>45783</v>
      </c>
      <c r="J2832" s="50" t="s">
        <v>3532</v>
      </c>
      <c r="K2832" s="50" t="s">
        <v>39</v>
      </c>
      <c r="L2832" s="50"/>
      <c r="M2832" s="50" t="s">
        <v>328</v>
      </c>
      <c r="N2832" s="50" t="s">
        <v>6290</v>
      </c>
      <c r="O2832" s="60">
        <v>45792</v>
      </c>
      <c r="P2832" s="50"/>
      <c r="Q2832" s="60">
        <v>45793</v>
      </c>
      <c r="R2832" s="60">
        <v>45796</v>
      </c>
      <c r="S2832" s="50">
        <f t="shared" si="264"/>
        <v>7</v>
      </c>
      <c r="T2832" s="50" t="str">
        <f t="shared" si="262"/>
        <v/>
      </c>
      <c r="U2832" s="50">
        <f t="shared" si="263"/>
        <v>1</v>
      </c>
      <c r="V2832" s="50">
        <f t="shared" si="265"/>
        <v>1</v>
      </c>
      <c r="W2832" s="50" t="s">
        <v>150</v>
      </c>
      <c r="X2832" s="50" t="s">
        <v>1078</v>
      </c>
      <c r="Y2832" s="50" t="s">
        <v>50</v>
      </c>
      <c r="Z2832" s="50" t="s">
        <v>3406</v>
      </c>
      <c r="AA2832" s="50"/>
    </row>
    <row r="2833" spans="1:27" ht="25.5" customHeight="1">
      <c r="A2833" s="50" t="s">
        <v>779</v>
      </c>
      <c r="B2833" s="51" t="s">
        <v>1474</v>
      </c>
      <c r="C2833" s="51" t="s">
        <v>143</v>
      </c>
      <c r="D2833" s="51" t="s">
        <v>6291</v>
      </c>
      <c r="E2833" s="50">
        <v>3257</v>
      </c>
      <c r="F2833" s="50">
        <v>3713</v>
      </c>
      <c r="G2833" s="50" t="s">
        <v>3404</v>
      </c>
      <c r="H2833" s="50">
        <v>2024</v>
      </c>
      <c r="I2833" s="132">
        <v>45566</v>
      </c>
      <c r="J2833" s="50"/>
      <c r="K2833" s="50" t="s">
        <v>39</v>
      </c>
      <c r="L2833" s="50"/>
      <c r="M2833" s="50" t="s">
        <v>328</v>
      </c>
      <c r="N2833" s="50"/>
      <c r="O2833" s="50"/>
      <c r="P2833" s="50"/>
      <c r="Q2833" s="50"/>
      <c r="R2833" s="50"/>
      <c r="S2833" s="50" t="str">
        <f t="shared" si="264"/>
        <v/>
      </c>
      <c r="T2833" s="50" t="str">
        <f t="shared" si="262"/>
        <v/>
      </c>
      <c r="U2833" s="50" t="str">
        <f t="shared" si="263"/>
        <v/>
      </c>
      <c r="V2833" s="50" t="str">
        <f t="shared" si="265"/>
        <v/>
      </c>
      <c r="W2833" s="50"/>
      <c r="X2833" s="50" t="s">
        <v>1078</v>
      </c>
      <c r="Y2833" s="50" t="s">
        <v>50</v>
      </c>
      <c r="Z2833" s="50" t="s">
        <v>3406</v>
      </c>
      <c r="AA2833" s="50"/>
    </row>
    <row r="2834" spans="1:27" ht="25.5" customHeight="1">
      <c r="A2834" s="517" t="s">
        <v>779</v>
      </c>
      <c r="B2834" s="51" t="s">
        <v>1474</v>
      </c>
      <c r="C2834" s="51" t="s">
        <v>143</v>
      </c>
      <c r="D2834" s="51" t="s">
        <v>6292</v>
      </c>
      <c r="E2834" s="50">
        <v>1942</v>
      </c>
      <c r="F2834" s="50">
        <v>2211</v>
      </c>
      <c r="G2834" s="50" t="s">
        <v>3404</v>
      </c>
      <c r="H2834" s="50">
        <v>2025</v>
      </c>
      <c r="I2834" s="132">
        <v>45874</v>
      </c>
      <c r="J2834" s="50" t="s">
        <v>3126</v>
      </c>
      <c r="K2834" s="50" t="s">
        <v>39</v>
      </c>
      <c r="L2834" s="50"/>
      <c r="M2834" s="50" t="s">
        <v>328</v>
      </c>
      <c r="N2834" s="50" t="s">
        <v>6293</v>
      </c>
      <c r="O2834" s="60">
        <v>45885</v>
      </c>
      <c r="P2834" s="50"/>
      <c r="Q2834" s="60">
        <v>45887</v>
      </c>
      <c r="R2834" s="60">
        <v>45888</v>
      </c>
      <c r="S2834" s="50">
        <f t="shared" si="264"/>
        <v>8</v>
      </c>
      <c r="T2834" s="50" t="str">
        <f t="shared" si="262"/>
        <v/>
      </c>
      <c r="U2834" s="50">
        <f t="shared" si="263"/>
        <v>1</v>
      </c>
      <c r="V2834" s="50">
        <f t="shared" si="265"/>
        <v>1</v>
      </c>
      <c r="W2834" s="50" t="s">
        <v>150</v>
      </c>
      <c r="X2834" s="50" t="s">
        <v>4</v>
      </c>
      <c r="Y2834" s="50" t="s">
        <v>50</v>
      </c>
      <c r="Z2834" s="50" t="s">
        <v>3406</v>
      </c>
      <c r="AA2834" s="50"/>
    </row>
    <row r="2835" spans="1:27" ht="25.5" customHeight="1">
      <c r="A2835" s="517" t="s">
        <v>779</v>
      </c>
      <c r="B2835" s="51" t="s">
        <v>1474</v>
      </c>
      <c r="C2835" s="51" t="s">
        <v>143</v>
      </c>
      <c r="D2835" s="51" t="s">
        <v>6294</v>
      </c>
      <c r="E2835" s="50">
        <v>2255</v>
      </c>
      <c r="F2835" s="50">
        <v>2648</v>
      </c>
      <c r="G2835" s="50" t="s">
        <v>3404</v>
      </c>
      <c r="H2835" s="50">
        <v>2025</v>
      </c>
      <c r="I2835" s="132">
        <v>45874</v>
      </c>
      <c r="J2835" s="50" t="s">
        <v>3126</v>
      </c>
      <c r="K2835" s="50" t="s">
        <v>39</v>
      </c>
      <c r="L2835" s="50"/>
      <c r="M2835" s="50" t="s">
        <v>328</v>
      </c>
      <c r="N2835" s="50" t="s">
        <v>6295</v>
      </c>
      <c r="O2835" s="60">
        <v>45885</v>
      </c>
      <c r="P2835" s="50"/>
      <c r="Q2835" s="60">
        <v>45887</v>
      </c>
      <c r="R2835" s="60">
        <v>45888</v>
      </c>
      <c r="S2835" s="50">
        <f t="shared" si="264"/>
        <v>8</v>
      </c>
      <c r="T2835" s="50" t="str">
        <f t="shared" si="262"/>
        <v/>
      </c>
      <c r="U2835" s="50">
        <f t="shared" si="263"/>
        <v>1</v>
      </c>
      <c r="V2835" s="50">
        <f t="shared" si="265"/>
        <v>1</v>
      </c>
      <c r="W2835" s="50" t="s">
        <v>150</v>
      </c>
      <c r="X2835" s="50" t="s">
        <v>3527</v>
      </c>
      <c r="Y2835" s="50" t="s">
        <v>3528</v>
      </c>
      <c r="Z2835" s="50" t="s">
        <v>3406</v>
      </c>
      <c r="AA2835" s="50"/>
    </row>
    <row r="2836" spans="1:27" s="110" customFormat="1" ht="25.5" customHeight="1">
      <c r="A2836" s="50" t="s">
        <v>779</v>
      </c>
      <c r="B2836" s="51" t="s">
        <v>1474</v>
      </c>
      <c r="C2836" s="51" t="s">
        <v>143</v>
      </c>
      <c r="D2836" s="51" t="s">
        <v>1475</v>
      </c>
      <c r="E2836" s="50">
        <v>2207</v>
      </c>
      <c r="F2836" s="50">
        <v>2430</v>
      </c>
      <c r="G2836" s="50" t="s">
        <v>3404</v>
      </c>
      <c r="H2836" s="50">
        <v>2024</v>
      </c>
      <c r="I2836" s="132">
        <v>45539</v>
      </c>
      <c r="J2836" s="50"/>
      <c r="K2836" s="50" t="s">
        <v>39</v>
      </c>
      <c r="L2836" s="50"/>
      <c r="M2836" s="50" t="s">
        <v>328</v>
      </c>
      <c r="N2836" s="50"/>
      <c r="O2836" s="50"/>
      <c r="P2836" s="50"/>
      <c r="Q2836" s="50"/>
      <c r="R2836" s="50"/>
      <c r="S2836" s="50" t="str">
        <f t="shared" si="264"/>
        <v/>
      </c>
      <c r="T2836" s="50" t="str">
        <f t="shared" si="262"/>
        <v/>
      </c>
      <c r="U2836" s="50" t="str">
        <f t="shared" si="263"/>
        <v/>
      </c>
      <c r="V2836" s="50" t="str">
        <f t="shared" si="265"/>
        <v/>
      </c>
      <c r="W2836" s="50"/>
      <c r="X2836" s="50" t="s">
        <v>1078</v>
      </c>
      <c r="Y2836" s="50" t="s">
        <v>50</v>
      </c>
      <c r="Z2836" s="50" t="s">
        <v>3406</v>
      </c>
      <c r="AA2836" s="50"/>
    </row>
    <row r="2837" spans="1:27" ht="25.5" customHeight="1">
      <c r="A2837" s="50" t="s">
        <v>779</v>
      </c>
      <c r="B2837" s="51" t="s">
        <v>1474</v>
      </c>
      <c r="C2837" s="51" t="s">
        <v>143</v>
      </c>
      <c r="D2837" s="51" t="s">
        <v>6296</v>
      </c>
      <c r="E2837" s="50">
        <v>1380</v>
      </c>
      <c r="F2837" s="50">
        <v>1510</v>
      </c>
      <c r="G2837" s="50" t="s">
        <v>3404</v>
      </c>
      <c r="H2837" s="50">
        <v>2024</v>
      </c>
      <c r="I2837" s="132">
        <v>45566</v>
      </c>
      <c r="J2837" s="50"/>
      <c r="K2837" s="50" t="s">
        <v>39</v>
      </c>
      <c r="L2837" s="50"/>
      <c r="M2837" s="50" t="s">
        <v>328</v>
      </c>
      <c r="N2837" s="50"/>
      <c r="O2837" s="50"/>
      <c r="P2837" s="50"/>
      <c r="Q2837" s="50"/>
      <c r="R2837" s="50"/>
      <c r="S2837" s="50" t="str">
        <f t="shared" si="264"/>
        <v/>
      </c>
      <c r="T2837" s="50" t="str">
        <f t="shared" si="262"/>
        <v/>
      </c>
      <c r="U2837" s="50" t="str">
        <f t="shared" si="263"/>
        <v/>
      </c>
      <c r="V2837" s="50" t="str">
        <f t="shared" si="265"/>
        <v/>
      </c>
      <c r="W2837" s="50"/>
      <c r="X2837" s="50" t="s">
        <v>1078</v>
      </c>
      <c r="Y2837" s="50" t="s">
        <v>50</v>
      </c>
      <c r="Z2837" s="50" t="s">
        <v>3406</v>
      </c>
      <c r="AA2837" s="50"/>
    </row>
    <row r="2838" spans="1:27" ht="25.5" customHeight="1">
      <c r="A2838" s="517" t="s">
        <v>779</v>
      </c>
      <c r="B2838" s="51" t="s">
        <v>1474</v>
      </c>
      <c r="C2838" s="51" t="s">
        <v>143</v>
      </c>
      <c r="D2838" s="51" t="s">
        <v>6297</v>
      </c>
      <c r="E2838" s="50">
        <v>2428</v>
      </c>
      <c r="F2838" s="50">
        <v>3031</v>
      </c>
      <c r="G2838" s="50" t="s">
        <v>3404</v>
      </c>
      <c r="H2838" s="50">
        <v>2025</v>
      </c>
      <c r="I2838" s="132">
        <v>45875</v>
      </c>
      <c r="J2838" s="50" t="s">
        <v>3126</v>
      </c>
      <c r="K2838" s="50" t="s">
        <v>39</v>
      </c>
      <c r="L2838" s="50"/>
      <c r="M2838" s="50" t="s">
        <v>328</v>
      </c>
      <c r="N2838" s="50" t="s">
        <v>6298</v>
      </c>
      <c r="O2838" s="60">
        <v>45885</v>
      </c>
      <c r="P2838" s="50"/>
      <c r="Q2838" s="60">
        <v>45887</v>
      </c>
      <c r="R2838" s="60">
        <v>45888</v>
      </c>
      <c r="S2838" s="50">
        <f t="shared" si="264"/>
        <v>7</v>
      </c>
      <c r="T2838" s="50" t="str">
        <f t="shared" si="262"/>
        <v/>
      </c>
      <c r="U2838" s="50">
        <f t="shared" si="263"/>
        <v>1</v>
      </c>
      <c r="V2838" s="50">
        <f t="shared" si="265"/>
        <v>1</v>
      </c>
      <c r="W2838" s="50" t="s">
        <v>150</v>
      </c>
      <c r="X2838" s="50" t="s">
        <v>1078</v>
      </c>
      <c r="Y2838" s="50" t="s">
        <v>50</v>
      </c>
      <c r="Z2838" s="50" t="s">
        <v>3406</v>
      </c>
      <c r="AA2838" s="50"/>
    </row>
    <row r="2839" spans="1:27" ht="25.5" customHeight="1">
      <c r="A2839" s="517" t="s">
        <v>779</v>
      </c>
      <c r="B2839" s="51" t="s">
        <v>1474</v>
      </c>
      <c r="C2839" s="51" t="s">
        <v>143</v>
      </c>
      <c r="D2839" s="51" t="s">
        <v>6299</v>
      </c>
      <c r="E2839" s="50">
        <v>1339</v>
      </c>
      <c r="F2839" s="50">
        <v>1498</v>
      </c>
      <c r="G2839" s="50" t="s">
        <v>3404</v>
      </c>
      <c r="H2839" s="50">
        <v>2025</v>
      </c>
      <c r="I2839" s="132">
        <v>45874</v>
      </c>
      <c r="J2839" s="50" t="s">
        <v>3126</v>
      </c>
      <c r="K2839" s="50" t="s">
        <v>39</v>
      </c>
      <c r="L2839" s="50"/>
      <c r="M2839" s="50" t="s">
        <v>328</v>
      </c>
      <c r="N2839" s="50" t="s">
        <v>6300</v>
      </c>
      <c r="O2839" s="60">
        <v>45885</v>
      </c>
      <c r="P2839" s="50"/>
      <c r="Q2839" s="60">
        <v>45887</v>
      </c>
      <c r="R2839" s="60">
        <v>45888</v>
      </c>
      <c r="S2839" s="50">
        <f t="shared" si="264"/>
        <v>8</v>
      </c>
      <c r="T2839" s="50" t="str">
        <f t="shared" si="262"/>
        <v/>
      </c>
      <c r="U2839" s="50">
        <f t="shared" si="263"/>
        <v>1</v>
      </c>
      <c r="V2839" s="50">
        <f t="shared" si="265"/>
        <v>1</v>
      </c>
      <c r="W2839" s="50" t="s">
        <v>150</v>
      </c>
      <c r="X2839" s="50" t="s">
        <v>1078</v>
      </c>
      <c r="Y2839" s="50" t="s">
        <v>50</v>
      </c>
      <c r="Z2839" s="50" t="s">
        <v>3406</v>
      </c>
      <c r="AA2839" s="50"/>
    </row>
    <row r="2840" spans="1:27" ht="25.5" customHeight="1">
      <c r="A2840" s="50" t="s">
        <v>779</v>
      </c>
      <c r="B2840" s="51" t="s">
        <v>1474</v>
      </c>
      <c r="C2840" s="51" t="s">
        <v>143</v>
      </c>
      <c r="D2840" s="51" t="s">
        <v>6301</v>
      </c>
      <c r="E2840" s="50">
        <v>2363</v>
      </c>
      <c r="F2840" s="50">
        <v>2569</v>
      </c>
      <c r="G2840" s="50" t="s">
        <v>3404</v>
      </c>
      <c r="H2840" s="50">
        <v>2024</v>
      </c>
      <c r="I2840" s="132">
        <v>45393</v>
      </c>
      <c r="J2840" s="50"/>
      <c r="K2840" s="50" t="s">
        <v>39</v>
      </c>
      <c r="L2840" s="50"/>
      <c r="M2840" s="50" t="s">
        <v>328</v>
      </c>
      <c r="N2840" s="50"/>
      <c r="O2840" s="50"/>
      <c r="P2840" s="50"/>
      <c r="Q2840" s="50"/>
      <c r="R2840" s="50"/>
      <c r="S2840" s="50" t="str">
        <f t="shared" si="264"/>
        <v/>
      </c>
      <c r="T2840" s="50" t="str">
        <f t="shared" si="262"/>
        <v/>
      </c>
      <c r="U2840" s="50" t="str">
        <f t="shared" si="263"/>
        <v/>
      </c>
      <c r="V2840" s="50" t="str">
        <f t="shared" si="265"/>
        <v/>
      </c>
      <c r="W2840" s="50"/>
      <c r="X2840" s="50"/>
      <c r="Y2840" s="50"/>
      <c r="Z2840" s="50"/>
      <c r="AA2840" s="50"/>
    </row>
    <row r="2841" spans="1:27" s="110" customFormat="1" ht="25.5" customHeight="1">
      <c r="A2841" s="517" t="s">
        <v>779</v>
      </c>
      <c r="B2841" s="51" t="s">
        <v>1474</v>
      </c>
      <c r="C2841" s="51" t="s">
        <v>143</v>
      </c>
      <c r="D2841" s="51" t="s">
        <v>6302</v>
      </c>
      <c r="E2841" s="50">
        <v>2181</v>
      </c>
      <c r="F2841" s="50">
        <v>2401</v>
      </c>
      <c r="G2841" s="50" t="s">
        <v>3404</v>
      </c>
      <c r="H2841" s="50">
        <v>2025</v>
      </c>
      <c r="I2841" s="132">
        <v>45700</v>
      </c>
      <c r="J2841" s="50" t="s">
        <v>3458</v>
      </c>
      <c r="K2841" s="50" t="s">
        <v>39</v>
      </c>
      <c r="L2841" s="50"/>
      <c r="M2841" s="50" t="s">
        <v>328</v>
      </c>
      <c r="N2841" s="50" t="s">
        <v>6303</v>
      </c>
      <c r="O2841" s="60">
        <v>45703</v>
      </c>
      <c r="P2841" s="50"/>
      <c r="Q2841" s="60">
        <v>45705</v>
      </c>
      <c r="R2841" s="60">
        <v>45705</v>
      </c>
      <c r="S2841" s="50">
        <f t="shared" si="264"/>
        <v>2</v>
      </c>
      <c r="T2841" s="50" t="str">
        <f t="shared" si="262"/>
        <v/>
      </c>
      <c r="U2841" s="50">
        <f t="shared" si="263"/>
        <v>1</v>
      </c>
      <c r="V2841" s="50">
        <f t="shared" si="265"/>
        <v>1</v>
      </c>
      <c r="W2841" s="50" t="s">
        <v>150</v>
      </c>
      <c r="X2841" s="50" t="s">
        <v>4</v>
      </c>
      <c r="Y2841" s="50" t="s">
        <v>50</v>
      </c>
      <c r="Z2841" s="50" t="s">
        <v>3406</v>
      </c>
      <c r="AA2841" s="50"/>
    </row>
    <row r="2842" spans="1:27" ht="25.5" customHeight="1">
      <c r="A2842" s="517" t="s">
        <v>779</v>
      </c>
      <c r="B2842" s="51" t="s">
        <v>1474</v>
      </c>
      <c r="C2842" s="51" t="s">
        <v>143</v>
      </c>
      <c r="D2842" s="51" t="s">
        <v>4538</v>
      </c>
      <c r="E2842" s="50">
        <v>1869</v>
      </c>
      <c r="F2842" s="50">
        <v>1934</v>
      </c>
      <c r="G2842" s="50" t="s">
        <v>3404</v>
      </c>
      <c r="H2842" s="50">
        <v>2025</v>
      </c>
      <c r="I2842" s="132">
        <v>45874</v>
      </c>
      <c r="J2842" s="50" t="s">
        <v>3126</v>
      </c>
      <c r="K2842" s="50" t="s">
        <v>39</v>
      </c>
      <c r="L2842" s="50"/>
      <c r="M2842" s="50" t="s">
        <v>328</v>
      </c>
      <c r="N2842" s="50" t="s">
        <v>6304</v>
      </c>
      <c r="O2842" s="60">
        <v>45885</v>
      </c>
      <c r="P2842" s="50"/>
      <c r="Q2842" s="60">
        <v>45887</v>
      </c>
      <c r="R2842" s="60">
        <v>45888</v>
      </c>
      <c r="S2842" s="50">
        <f t="shared" si="264"/>
        <v>8</v>
      </c>
      <c r="T2842" s="50" t="str">
        <f t="shared" si="262"/>
        <v/>
      </c>
      <c r="U2842" s="50">
        <f t="shared" si="263"/>
        <v>1</v>
      </c>
      <c r="V2842" s="50">
        <f t="shared" si="265"/>
        <v>1</v>
      </c>
      <c r="W2842" s="50" t="s">
        <v>150</v>
      </c>
      <c r="X2842" s="50" t="s">
        <v>1078</v>
      </c>
      <c r="Y2842" s="50" t="s">
        <v>50</v>
      </c>
      <c r="Z2842" s="50" t="s">
        <v>3406</v>
      </c>
      <c r="AA2842" s="50"/>
    </row>
    <row r="2843" spans="1:27" ht="25.5" customHeight="1">
      <c r="A2843" s="517" t="s">
        <v>779</v>
      </c>
      <c r="B2843" s="51" t="s">
        <v>1474</v>
      </c>
      <c r="C2843" s="51" t="s">
        <v>143</v>
      </c>
      <c r="D2843" s="51" t="s">
        <v>6305</v>
      </c>
      <c r="E2843" s="50">
        <v>2221</v>
      </c>
      <c r="F2843" s="50">
        <v>2428</v>
      </c>
      <c r="G2843" s="50" t="s">
        <v>3404</v>
      </c>
      <c r="H2843" s="50">
        <v>2025</v>
      </c>
      <c r="I2843" s="132">
        <v>45875</v>
      </c>
      <c r="J2843" s="50" t="s">
        <v>3126</v>
      </c>
      <c r="K2843" s="50" t="s">
        <v>39</v>
      </c>
      <c r="L2843" s="50"/>
      <c r="M2843" s="50" t="s">
        <v>328</v>
      </c>
      <c r="N2843" s="50" t="s">
        <v>6306</v>
      </c>
      <c r="O2843" s="60">
        <v>45883</v>
      </c>
      <c r="P2843" s="50"/>
      <c r="Q2843" s="60">
        <v>45887</v>
      </c>
      <c r="R2843" s="60">
        <v>45888</v>
      </c>
      <c r="S2843" s="50">
        <f t="shared" si="264"/>
        <v>6</v>
      </c>
      <c r="T2843" s="50" t="str">
        <f t="shared" si="262"/>
        <v/>
      </c>
      <c r="U2843" s="50">
        <f t="shared" si="263"/>
        <v>2</v>
      </c>
      <c r="V2843" s="50">
        <f t="shared" si="265"/>
        <v>1</v>
      </c>
      <c r="W2843" s="50" t="s">
        <v>150</v>
      </c>
      <c r="X2843" s="50" t="s">
        <v>4</v>
      </c>
      <c r="Y2843" s="50" t="s">
        <v>50</v>
      </c>
      <c r="Z2843" s="50" t="s">
        <v>3406</v>
      </c>
      <c r="AA2843" s="50"/>
    </row>
    <row r="2844" spans="1:27" ht="25.5" customHeight="1">
      <c r="A2844" s="50" t="s">
        <v>779</v>
      </c>
      <c r="B2844" s="51" t="s">
        <v>1474</v>
      </c>
      <c r="C2844" s="51" t="s">
        <v>143</v>
      </c>
      <c r="D2844" s="51" t="s">
        <v>6307</v>
      </c>
      <c r="E2844" s="50">
        <v>3081</v>
      </c>
      <c r="F2844" s="50">
        <v>3193</v>
      </c>
      <c r="G2844" s="50" t="s">
        <v>3404</v>
      </c>
      <c r="H2844" s="50">
        <v>2024</v>
      </c>
      <c r="I2844" s="132">
        <v>45546</v>
      </c>
      <c r="J2844" s="50"/>
      <c r="K2844" s="50" t="s">
        <v>39</v>
      </c>
      <c r="L2844" s="50"/>
      <c r="M2844" s="50" t="s">
        <v>328</v>
      </c>
      <c r="N2844" s="50"/>
      <c r="O2844" s="50"/>
      <c r="P2844" s="50"/>
      <c r="Q2844" s="50"/>
      <c r="R2844" s="50"/>
      <c r="S2844" s="50" t="str">
        <f t="shared" si="264"/>
        <v/>
      </c>
      <c r="T2844" s="50" t="str">
        <f t="shared" si="262"/>
        <v/>
      </c>
      <c r="U2844" s="50" t="str">
        <f t="shared" si="263"/>
        <v/>
      </c>
      <c r="V2844" s="50" t="str">
        <f t="shared" si="265"/>
        <v/>
      </c>
      <c r="W2844" s="50"/>
      <c r="X2844" s="50" t="s">
        <v>1078</v>
      </c>
      <c r="Y2844" s="50" t="s">
        <v>50</v>
      </c>
      <c r="Z2844" s="50" t="s">
        <v>3406</v>
      </c>
      <c r="AA2844" s="50"/>
    </row>
    <row r="2845" spans="1:27" s="110" customFormat="1" ht="25.5" customHeight="1">
      <c r="A2845" s="517" t="s">
        <v>779</v>
      </c>
      <c r="B2845" s="51" t="s">
        <v>1474</v>
      </c>
      <c r="C2845" s="51" t="s">
        <v>143</v>
      </c>
      <c r="D2845" s="51" t="s">
        <v>6308</v>
      </c>
      <c r="E2845" s="50">
        <v>2477</v>
      </c>
      <c r="F2845" s="50">
        <v>2702</v>
      </c>
      <c r="G2845" s="50" t="s">
        <v>3404</v>
      </c>
      <c r="H2845" s="50">
        <v>2025</v>
      </c>
      <c r="I2845" s="132">
        <v>45700</v>
      </c>
      <c r="J2845" s="50" t="s">
        <v>3458</v>
      </c>
      <c r="K2845" s="50" t="s">
        <v>39</v>
      </c>
      <c r="L2845" s="50"/>
      <c r="M2845" s="50" t="s">
        <v>328</v>
      </c>
      <c r="N2845" s="50" t="s">
        <v>6309</v>
      </c>
      <c r="O2845" s="60">
        <v>45703</v>
      </c>
      <c r="P2845" s="50"/>
      <c r="Q2845" s="60">
        <v>45705</v>
      </c>
      <c r="R2845" s="60">
        <v>45705</v>
      </c>
      <c r="S2845" s="50">
        <f t="shared" si="264"/>
        <v>2</v>
      </c>
      <c r="T2845" s="50" t="str">
        <f t="shared" si="262"/>
        <v/>
      </c>
      <c r="U2845" s="50">
        <f t="shared" si="263"/>
        <v>1</v>
      </c>
      <c r="V2845" s="50">
        <f t="shared" si="265"/>
        <v>1</v>
      </c>
      <c r="W2845" s="50" t="s">
        <v>150</v>
      </c>
      <c r="X2845" s="50" t="s">
        <v>1078</v>
      </c>
      <c r="Y2845" s="50" t="s">
        <v>50</v>
      </c>
      <c r="Z2845" s="50" t="s">
        <v>3406</v>
      </c>
      <c r="AA2845" s="50"/>
    </row>
    <row r="2846" spans="1:27" ht="25.5" customHeight="1">
      <c r="A2846" s="517" t="s">
        <v>779</v>
      </c>
      <c r="B2846" s="51" t="s">
        <v>1474</v>
      </c>
      <c r="C2846" s="51" t="s">
        <v>143</v>
      </c>
      <c r="D2846" s="51" t="s">
        <v>6310</v>
      </c>
      <c r="E2846" s="50">
        <v>1691</v>
      </c>
      <c r="F2846" s="50">
        <v>1849</v>
      </c>
      <c r="G2846" s="50" t="s">
        <v>3404</v>
      </c>
      <c r="H2846" s="50">
        <v>2025</v>
      </c>
      <c r="I2846" s="132">
        <v>45700</v>
      </c>
      <c r="J2846" s="50" t="s">
        <v>3458</v>
      </c>
      <c r="K2846" s="50" t="s">
        <v>39</v>
      </c>
      <c r="L2846" s="50"/>
      <c r="M2846" s="50" t="s">
        <v>328</v>
      </c>
      <c r="N2846" s="50" t="s">
        <v>6311</v>
      </c>
      <c r="O2846" s="60">
        <v>45703</v>
      </c>
      <c r="P2846" s="50"/>
      <c r="Q2846" s="60">
        <v>45705</v>
      </c>
      <c r="R2846" s="60">
        <v>45706</v>
      </c>
      <c r="S2846" s="50">
        <f t="shared" si="264"/>
        <v>2</v>
      </c>
      <c r="T2846" s="50" t="str">
        <f t="shared" si="262"/>
        <v/>
      </c>
      <c r="U2846" s="50">
        <f t="shared" si="263"/>
        <v>1</v>
      </c>
      <c r="V2846" s="50">
        <f t="shared" si="265"/>
        <v>1</v>
      </c>
      <c r="W2846" s="50" t="s">
        <v>150</v>
      </c>
      <c r="X2846" s="50" t="s">
        <v>4</v>
      </c>
      <c r="Y2846" s="50" t="s">
        <v>50</v>
      </c>
      <c r="Z2846" s="50" t="s">
        <v>3406</v>
      </c>
      <c r="AA2846" s="50"/>
    </row>
    <row r="2847" spans="1:27" ht="25.5" customHeight="1">
      <c r="A2847" s="517" t="s">
        <v>779</v>
      </c>
      <c r="B2847" s="51" t="s">
        <v>1474</v>
      </c>
      <c r="C2847" s="51" t="s">
        <v>143</v>
      </c>
      <c r="D2847" s="51" t="s">
        <v>4126</v>
      </c>
      <c r="E2847" s="50">
        <v>3204</v>
      </c>
      <c r="F2847" s="50">
        <v>3587</v>
      </c>
      <c r="G2847" s="50" t="s">
        <v>3404</v>
      </c>
      <c r="H2847" s="50">
        <v>2025</v>
      </c>
      <c r="I2847" s="132">
        <v>45912</v>
      </c>
      <c r="J2847" s="50" t="s">
        <v>3128</v>
      </c>
      <c r="K2847" s="50" t="s">
        <v>39</v>
      </c>
      <c r="L2847" s="50"/>
      <c r="M2847" s="50" t="s">
        <v>28</v>
      </c>
      <c r="N2847" s="50" t="s">
        <v>6312</v>
      </c>
      <c r="O2847" s="60">
        <v>45918</v>
      </c>
      <c r="P2847" s="50"/>
      <c r="Q2847" s="60">
        <v>45933</v>
      </c>
      <c r="R2847" s="60">
        <v>45944</v>
      </c>
      <c r="S2847" s="50">
        <f t="shared" si="264"/>
        <v>4</v>
      </c>
      <c r="T2847" s="50" t="str">
        <f t="shared" si="262"/>
        <v/>
      </c>
      <c r="U2847" s="50">
        <f t="shared" si="263"/>
        <v>11</v>
      </c>
      <c r="V2847" s="50">
        <f t="shared" si="265"/>
        <v>7</v>
      </c>
      <c r="W2847" s="50" t="s">
        <v>150</v>
      </c>
      <c r="X2847" s="50" t="s">
        <v>4</v>
      </c>
      <c r="Y2847" s="50" t="s">
        <v>50</v>
      </c>
      <c r="Z2847" s="50" t="s">
        <v>3406</v>
      </c>
      <c r="AA2847" s="50"/>
    </row>
    <row r="2848" spans="1:27" ht="25.5" customHeight="1">
      <c r="A2848" s="517" t="s">
        <v>779</v>
      </c>
      <c r="B2848" s="51" t="s">
        <v>1474</v>
      </c>
      <c r="C2848" s="51" t="s">
        <v>143</v>
      </c>
      <c r="D2848" s="51" t="s">
        <v>4882</v>
      </c>
      <c r="E2848" s="50">
        <v>2211</v>
      </c>
      <c r="F2848" s="50">
        <v>2489</v>
      </c>
      <c r="G2848" s="50" t="s">
        <v>3404</v>
      </c>
      <c r="H2848" s="50">
        <v>2025</v>
      </c>
      <c r="I2848" s="132">
        <v>45783</v>
      </c>
      <c r="J2848" s="50" t="s">
        <v>3532</v>
      </c>
      <c r="K2848" s="50" t="s">
        <v>39</v>
      </c>
      <c r="L2848" s="50"/>
      <c r="M2848" s="50" t="s">
        <v>328</v>
      </c>
      <c r="N2848" s="50" t="s">
        <v>6313</v>
      </c>
      <c r="O2848" s="60">
        <v>45796</v>
      </c>
      <c r="P2848" s="50"/>
      <c r="Q2848" s="60">
        <v>45796</v>
      </c>
      <c r="R2848" s="60">
        <v>45797</v>
      </c>
      <c r="S2848" s="50">
        <f t="shared" si="264"/>
        <v>9</v>
      </c>
      <c r="T2848" s="50" t="str">
        <f t="shared" si="262"/>
        <v/>
      </c>
      <c r="U2848" s="50">
        <f t="shared" si="263"/>
        <v>1</v>
      </c>
      <c r="V2848" s="50">
        <f t="shared" si="265"/>
        <v>1</v>
      </c>
      <c r="W2848" s="50" t="s">
        <v>150</v>
      </c>
      <c r="X2848" s="50" t="s">
        <v>3527</v>
      </c>
      <c r="Y2848" s="50" t="s">
        <v>3528</v>
      </c>
      <c r="Z2848" s="50" t="s">
        <v>3406</v>
      </c>
      <c r="AA2848" s="50"/>
    </row>
    <row r="2849" spans="1:27" ht="25.5" customHeight="1">
      <c r="A2849" s="517" t="s">
        <v>779</v>
      </c>
      <c r="B2849" s="51" t="s">
        <v>1474</v>
      </c>
      <c r="C2849" s="51" t="s">
        <v>143</v>
      </c>
      <c r="D2849" s="51" t="s">
        <v>6314</v>
      </c>
      <c r="E2849" s="50">
        <v>3098</v>
      </c>
      <c r="F2849" s="50">
        <v>3329</v>
      </c>
      <c r="G2849" s="50" t="s">
        <v>3404</v>
      </c>
      <c r="H2849" s="50">
        <v>2025</v>
      </c>
      <c r="I2849" s="132">
        <v>45912</v>
      </c>
      <c r="J2849" s="50" t="s">
        <v>3128</v>
      </c>
      <c r="K2849" s="50" t="s">
        <v>39</v>
      </c>
      <c r="L2849" s="50"/>
      <c r="M2849" s="50" t="s">
        <v>28</v>
      </c>
      <c r="N2849" s="50" t="s">
        <v>6315</v>
      </c>
      <c r="O2849" s="60">
        <v>45918</v>
      </c>
      <c r="P2849" s="50"/>
      <c r="Q2849" s="60">
        <v>45940</v>
      </c>
      <c r="R2849" s="60">
        <v>45940</v>
      </c>
      <c r="S2849" s="50">
        <f t="shared" si="264"/>
        <v>4</v>
      </c>
      <c r="T2849" s="50" t="str">
        <f t="shared" si="262"/>
        <v/>
      </c>
      <c r="U2849" s="50">
        <f t="shared" si="263"/>
        <v>16</v>
      </c>
      <c r="V2849" s="50">
        <f t="shared" si="265"/>
        <v>1</v>
      </c>
      <c r="W2849" s="50" t="s">
        <v>150</v>
      </c>
      <c r="X2849" s="50" t="s">
        <v>1078</v>
      </c>
      <c r="Y2849" s="50" t="s">
        <v>50</v>
      </c>
      <c r="Z2849" s="50" t="s">
        <v>3406</v>
      </c>
      <c r="AA2849" s="50"/>
    </row>
    <row r="2850" spans="1:27" s="110" customFormat="1" ht="25.5" customHeight="1">
      <c r="A2850" s="50" t="s">
        <v>779</v>
      </c>
      <c r="B2850" s="51" t="s">
        <v>1474</v>
      </c>
      <c r="C2850" s="51" t="s">
        <v>143</v>
      </c>
      <c r="D2850" s="51" t="s">
        <v>4024</v>
      </c>
      <c r="E2850" s="50">
        <v>1603</v>
      </c>
      <c r="F2850" s="50">
        <v>1828</v>
      </c>
      <c r="G2850" s="50" t="s">
        <v>3404</v>
      </c>
      <c r="H2850" s="50">
        <v>2024</v>
      </c>
      <c r="I2850" s="132">
        <v>45611</v>
      </c>
      <c r="J2850" s="50"/>
      <c r="K2850" s="50" t="s">
        <v>39</v>
      </c>
      <c r="L2850" s="50"/>
      <c r="M2850" s="50" t="s">
        <v>328</v>
      </c>
      <c r="N2850" s="50"/>
      <c r="O2850" s="50"/>
      <c r="P2850" s="50"/>
      <c r="Q2850" s="50"/>
      <c r="R2850" s="50"/>
      <c r="S2850" s="50" t="str">
        <f t="shared" si="264"/>
        <v/>
      </c>
      <c r="T2850" s="50" t="str">
        <f t="shared" si="262"/>
        <v/>
      </c>
      <c r="U2850" s="50" t="str">
        <f t="shared" si="263"/>
        <v/>
      </c>
      <c r="V2850" s="50" t="str">
        <f t="shared" si="265"/>
        <v/>
      </c>
      <c r="W2850" s="50"/>
      <c r="X2850" s="50" t="s">
        <v>1078</v>
      </c>
      <c r="Y2850" s="50" t="s">
        <v>50</v>
      </c>
      <c r="Z2850" s="50" t="s">
        <v>3406</v>
      </c>
      <c r="AA2850" s="50"/>
    </row>
    <row r="2851" spans="1:27" ht="25.5" customHeight="1">
      <c r="A2851" s="517" t="s">
        <v>779</v>
      </c>
      <c r="B2851" s="51" t="s">
        <v>1474</v>
      </c>
      <c r="C2851" s="51" t="s">
        <v>143</v>
      </c>
      <c r="D2851" s="51" t="s">
        <v>6316</v>
      </c>
      <c r="E2851" s="50">
        <v>2268</v>
      </c>
      <c r="F2851" s="50">
        <v>2232</v>
      </c>
      <c r="G2851" s="50" t="s">
        <v>3955</v>
      </c>
      <c r="H2851" s="50"/>
      <c r="I2851" s="105"/>
      <c r="J2851" s="50"/>
      <c r="K2851" s="50" t="s">
        <v>39</v>
      </c>
      <c r="L2851" s="50"/>
      <c r="M2851" s="50" t="s">
        <v>328</v>
      </c>
      <c r="N2851" s="50"/>
      <c r="O2851" s="50"/>
      <c r="P2851" s="50"/>
      <c r="Q2851" s="50"/>
      <c r="R2851" s="50"/>
      <c r="S2851" s="50" t="str">
        <f t="shared" si="264"/>
        <v/>
      </c>
      <c r="T2851" s="50" t="str">
        <f t="shared" si="262"/>
        <v/>
      </c>
      <c r="U2851" s="50" t="str">
        <f t="shared" si="263"/>
        <v/>
      </c>
      <c r="V2851" s="50" t="str">
        <f t="shared" si="265"/>
        <v/>
      </c>
      <c r="W2851" s="50"/>
      <c r="X2851" s="50"/>
      <c r="Y2851" s="50"/>
      <c r="Z2851" s="50"/>
      <c r="AA2851" s="50"/>
    </row>
    <row r="2852" spans="1:27" ht="25.5" customHeight="1">
      <c r="A2852" s="517" t="s">
        <v>779</v>
      </c>
      <c r="B2852" s="51" t="s">
        <v>1474</v>
      </c>
      <c r="C2852" s="51" t="s">
        <v>143</v>
      </c>
      <c r="D2852" s="51" t="s">
        <v>6194</v>
      </c>
      <c r="E2852" s="50">
        <v>3248</v>
      </c>
      <c r="F2852" s="50">
        <v>3332</v>
      </c>
      <c r="G2852" s="50" t="s">
        <v>3404</v>
      </c>
      <c r="H2852" s="50">
        <v>2025</v>
      </c>
      <c r="I2852" s="132">
        <v>45784</v>
      </c>
      <c r="J2852" s="50" t="s">
        <v>3532</v>
      </c>
      <c r="K2852" s="50" t="s">
        <v>39</v>
      </c>
      <c r="L2852" s="50"/>
      <c r="M2852" s="50" t="s">
        <v>328</v>
      </c>
      <c r="N2852" s="50" t="s">
        <v>6317</v>
      </c>
      <c r="O2852" s="60">
        <v>45796</v>
      </c>
      <c r="P2852" s="50"/>
      <c r="Q2852" s="60">
        <v>45796</v>
      </c>
      <c r="R2852" s="60">
        <v>45796</v>
      </c>
      <c r="S2852" s="50">
        <f t="shared" si="264"/>
        <v>8</v>
      </c>
      <c r="T2852" s="50" t="str">
        <f t="shared" si="262"/>
        <v/>
      </c>
      <c r="U2852" s="50">
        <f t="shared" si="263"/>
        <v>1</v>
      </c>
      <c r="V2852" s="50">
        <f t="shared" si="265"/>
        <v>1</v>
      </c>
      <c r="W2852" s="50" t="s">
        <v>150</v>
      </c>
      <c r="X2852" s="50" t="s">
        <v>1078</v>
      </c>
      <c r="Y2852" s="50" t="s">
        <v>50</v>
      </c>
      <c r="Z2852" s="50" t="s">
        <v>3406</v>
      </c>
      <c r="AA2852" s="50"/>
    </row>
    <row r="2853" spans="1:27" ht="25.5" customHeight="1">
      <c r="A2853" s="517" t="s">
        <v>779</v>
      </c>
      <c r="B2853" s="51" t="s">
        <v>1474</v>
      </c>
      <c r="C2853" s="51" t="s">
        <v>143</v>
      </c>
      <c r="D2853" s="51" t="s">
        <v>5659</v>
      </c>
      <c r="E2853" s="50">
        <v>2739</v>
      </c>
      <c r="F2853" s="50">
        <v>2756</v>
      </c>
      <c r="G2853" s="50" t="s">
        <v>3955</v>
      </c>
      <c r="H2853" s="50"/>
      <c r="I2853" s="105"/>
      <c r="J2853" s="50"/>
      <c r="K2853" s="50" t="s">
        <v>39</v>
      </c>
      <c r="L2853" s="50"/>
      <c r="M2853" s="50" t="s">
        <v>328</v>
      </c>
      <c r="N2853" s="50"/>
      <c r="O2853" s="50"/>
      <c r="P2853" s="50"/>
      <c r="Q2853" s="50"/>
      <c r="R2853" s="50"/>
      <c r="S2853" s="50" t="str">
        <f t="shared" si="264"/>
        <v/>
      </c>
      <c r="T2853" s="50" t="str">
        <f t="shared" si="262"/>
        <v/>
      </c>
      <c r="U2853" s="50" t="str">
        <f t="shared" si="263"/>
        <v/>
      </c>
      <c r="V2853" s="50" t="str">
        <f t="shared" si="265"/>
        <v/>
      </c>
      <c r="W2853" s="50"/>
      <c r="X2853" s="50"/>
      <c r="Y2853" s="50"/>
      <c r="Z2853" s="50"/>
      <c r="AA2853" s="50"/>
    </row>
    <row r="2854" spans="1:27" ht="25.5" customHeight="1">
      <c r="A2854" s="517" t="s">
        <v>779</v>
      </c>
      <c r="B2854" s="51" t="s">
        <v>1474</v>
      </c>
      <c r="C2854" s="51" t="s">
        <v>143</v>
      </c>
      <c r="D2854" s="51" t="s">
        <v>1166</v>
      </c>
      <c r="E2854" s="50">
        <v>2103</v>
      </c>
      <c r="F2854" s="50">
        <v>2192</v>
      </c>
      <c r="G2854" s="50" t="s">
        <v>3404</v>
      </c>
      <c r="H2854" s="50">
        <v>2025</v>
      </c>
      <c r="I2854" s="132">
        <v>45784</v>
      </c>
      <c r="J2854" s="50" t="s">
        <v>3532</v>
      </c>
      <c r="K2854" s="50" t="s">
        <v>39</v>
      </c>
      <c r="L2854" s="50"/>
      <c r="M2854" s="50" t="s">
        <v>328</v>
      </c>
      <c r="N2854" s="50" t="s">
        <v>6318</v>
      </c>
      <c r="O2854" s="60">
        <v>45792</v>
      </c>
      <c r="P2854" s="50"/>
      <c r="Q2854" s="60">
        <v>45793</v>
      </c>
      <c r="R2854" s="60">
        <v>45796</v>
      </c>
      <c r="S2854" s="50">
        <f t="shared" si="264"/>
        <v>6</v>
      </c>
      <c r="T2854" s="50" t="str">
        <f t="shared" si="262"/>
        <v/>
      </c>
      <c r="U2854" s="50">
        <f t="shared" si="263"/>
        <v>1</v>
      </c>
      <c r="V2854" s="50">
        <f t="shared" si="265"/>
        <v>1</v>
      </c>
      <c r="W2854" s="50" t="s">
        <v>150</v>
      </c>
      <c r="X2854" s="50" t="s">
        <v>1078</v>
      </c>
      <c r="Y2854" s="50" t="s">
        <v>50</v>
      </c>
      <c r="Z2854" s="50" t="s">
        <v>3406</v>
      </c>
      <c r="AA2854" s="50"/>
    </row>
    <row r="2855" spans="1:27" ht="25.5" customHeight="1">
      <c r="A2855" s="50" t="s">
        <v>779</v>
      </c>
      <c r="B2855" s="51" t="s">
        <v>1474</v>
      </c>
      <c r="C2855" s="51" t="s">
        <v>143</v>
      </c>
      <c r="D2855" s="51" t="s">
        <v>3975</v>
      </c>
      <c r="E2855" s="50">
        <v>5230</v>
      </c>
      <c r="F2855" s="50">
        <v>5837</v>
      </c>
      <c r="G2855" s="50" t="s">
        <v>3404</v>
      </c>
      <c r="H2855" s="50">
        <v>2024</v>
      </c>
      <c r="I2855" s="132">
        <v>45567</v>
      </c>
      <c r="J2855" s="50"/>
      <c r="K2855" s="50" t="s">
        <v>39</v>
      </c>
      <c r="L2855" s="50"/>
      <c r="M2855" s="50" t="s">
        <v>328</v>
      </c>
      <c r="N2855" s="50"/>
      <c r="O2855" s="50"/>
      <c r="P2855" s="50"/>
      <c r="Q2855" s="50"/>
      <c r="R2855" s="50"/>
      <c r="S2855" s="50" t="str">
        <f t="shared" si="264"/>
        <v/>
      </c>
      <c r="T2855" s="50" t="str">
        <f t="shared" si="262"/>
        <v/>
      </c>
      <c r="U2855" s="50" t="str">
        <f t="shared" si="263"/>
        <v/>
      </c>
      <c r="V2855" s="50" t="str">
        <f t="shared" si="265"/>
        <v/>
      </c>
      <c r="W2855" s="50"/>
      <c r="X2855" s="50" t="s">
        <v>4</v>
      </c>
      <c r="Y2855" s="50" t="s">
        <v>50</v>
      </c>
      <c r="Z2855" s="50" t="s">
        <v>3406</v>
      </c>
      <c r="AA2855" s="50"/>
    </row>
    <row r="2856" spans="1:27" ht="25.5" customHeight="1">
      <c r="A2856" s="517" t="s">
        <v>779</v>
      </c>
      <c r="B2856" s="51" t="s">
        <v>1474</v>
      </c>
      <c r="C2856" s="51" t="s">
        <v>143</v>
      </c>
      <c r="D2856" s="51" t="s">
        <v>5583</v>
      </c>
      <c r="E2856" s="50">
        <v>1561</v>
      </c>
      <c r="F2856" s="50">
        <v>1572</v>
      </c>
      <c r="G2856" s="50" t="s">
        <v>3404</v>
      </c>
      <c r="H2856" s="50">
        <v>2025</v>
      </c>
      <c r="I2856" s="132">
        <v>45912</v>
      </c>
      <c r="J2856" s="50" t="s">
        <v>3128</v>
      </c>
      <c r="K2856" s="50" t="s">
        <v>39</v>
      </c>
      <c r="L2856" s="50"/>
      <c r="M2856" s="50" t="s">
        <v>28</v>
      </c>
      <c r="N2856" s="50" t="s">
        <v>6319</v>
      </c>
      <c r="O2856" s="60">
        <v>45918</v>
      </c>
      <c r="P2856" s="50"/>
      <c r="Q2856" s="60">
        <v>45940</v>
      </c>
      <c r="R2856" s="60">
        <v>45940</v>
      </c>
      <c r="S2856" s="50">
        <f t="shared" si="264"/>
        <v>4</v>
      </c>
      <c r="T2856" s="50" t="str">
        <f t="shared" si="262"/>
        <v/>
      </c>
      <c r="U2856" s="50">
        <f t="shared" si="263"/>
        <v>16</v>
      </c>
      <c r="V2856" s="50">
        <f t="shared" si="265"/>
        <v>1</v>
      </c>
      <c r="W2856" s="50" t="s">
        <v>150</v>
      </c>
      <c r="X2856" s="50" t="s">
        <v>1078</v>
      </c>
      <c r="Y2856" s="50" t="s">
        <v>50</v>
      </c>
      <c r="Z2856" s="50" t="s">
        <v>3406</v>
      </c>
      <c r="AA2856" s="50"/>
    </row>
    <row r="2857" spans="1:27" ht="25.5" customHeight="1">
      <c r="A2857" s="50" t="s">
        <v>780</v>
      </c>
      <c r="B2857" s="51" t="s">
        <v>1210</v>
      </c>
      <c r="C2857" s="51" t="s">
        <v>159</v>
      </c>
      <c r="D2857" s="51" t="s">
        <v>4143</v>
      </c>
      <c r="E2857" s="50">
        <v>1142</v>
      </c>
      <c r="F2857" s="50">
        <v>1146</v>
      </c>
      <c r="G2857" s="50" t="s">
        <v>3404</v>
      </c>
      <c r="H2857" s="50">
        <v>2024</v>
      </c>
      <c r="I2857" s="107">
        <v>45602</v>
      </c>
      <c r="J2857" s="105"/>
      <c r="K2857" s="50" t="s">
        <v>1212</v>
      </c>
      <c r="L2857" s="105" t="s">
        <v>163</v>
      </c>
      <c r="M2857" s="50" t="s">
        <v>2393</v>
      </c>
      <c r="N2857" s="105"/>
      <c r="O2857" s="105"/>
      <c r="P2857" s="105"/>
      <c r="Q2857" s="105"/>
      <c r="R2857" s="60"/>
      <c r="S2857" s="50" t="str">
        <f t="shared" si="264"/>
        <v/>
      </c>
      <c r="T2857" s="50" t="str">
        <f t="shared" si="262"/>
        <v/>
      </c>
      <c r="U2857" s="50" t="str">
        <f>IF(
    OR(ISBLANK(P2857), ISBLANK(Q2857)),
    "",
    MAX(1, IF(
        NETWORKDAYS(P2857, Q2857) &lt;= 0,
        1,
        NETWORKDAYS(P2857, Q2857) - IF(P2857 = Q2857, 0, 1)
    ))
)</f>
        <v/>
      </c>
      <c r="V2857" s="50" t="str">
        <f t="shared" si="265"/>
        <v/>
      </c>
      <c r="W2857" s="50"/>
      <c r="X2857" s="50" t="s">
        <v>4</v>
      </c>
      <c r="Y2857" s="50" t="s">
        <v>50</v>
      </c>
      <c r="Z2857" s="50" t="s">
        <v>3406</v>
      </c>
      <c r="AA2857" s="50"/>
    </row>
    <row r="2858" spans="1:27" ht="25.5" customHeight="1">
      <c r="A2858" s="517" t="s">
        <v>780</v>
      </c>
      <c r="B2858" s="51" t="s">
        <v>1210</v>
      </c>
      <c r="C2858" s="51" t="s">
        <v>159</v>
      </c>
      <c r="D2858" s="51" t="s">
        <v>6320</v>
      </c>
      <c r="E2858" s="50">
        <v>1327</v>
      </c>
      <c r="F2858" s="50">
        <v>1444</v>
      </c>
      <c r="G2858" s="50" t="s">
        <v>3404</v>
      </c>
      <c r="H2858" s="50">
        <v>2025</v>
      </c>
      <c r="I2858" s="107">
        <v>45937</v>
      </c>
      <c r="J2858" s="105" t="s">
        <v>3128</v>
      </c>
      <c r="K2858" s="50" t="s">
        <v>42</v>
      </c>
      <c r="L2858" s="105" t="s">
        <v>163</v>
      </c>
      <c r="M2858" s="50" t="s">
        <v>2393</v>
      </c>
      <c r="N2858" s="105" t="s">
        <v>6321</v>
      </c>
      <c r="O2858" s="132">
        <v>45943</v>
      </c>
      <c r="P2858" s="132">
        <v>45946</v>
      </c>
      <c r="Q2858" s="132">
        <v>45946</v>
      </c>
      <c r="R2858" s="132">
        <v>45947</v>
      </c>
      <c r="S2858" s="50">
        <f t="shared" si="264"/>
        <v>4</v>
      </c>
      <c r="T2858" s="50">
        <f t="shared" si="262"/>
        <v>3</v>
      </c>
      <c r="U2858" s="50">
        <f>IF(
    OR(ISBLANK(P2858), ISBLANK(Q2858)),
    "",
    MAX(1, IF(
        NETWORKDAYS(P2858, Q2858) &lt;= 0,
        1,
        NETWORKDAYS(P2858, Q2858) - IF(P2858 = Q2858, 0, 1)
    ))
)</f>
        <v>1</v>
      </c>
      <c r="V2858" s="50">
        <f t="shared" si="265"/>
        <v>1</v>
      </c>
      <c r="W2858" s="50" t="s">
        <v>150</v>
      </c>
      <c r="X2858" s="50" t="s">
        <v>4</v>
      </c>
      <c r="Y2858" s="50" t="s">
        <v>50</v>
      </c>
      <c r="Z2858" s="50" t="s">
        <v>3406</v>
      </c>
      <c r="AA2858" s="50"/>
    </row>
    <row r="2859" spans="1:27" ht="25.5" customHeight="1">
      <c r="A2859" s="517" t="s">
        <v>780</v>
      </c>
      <c r="B2859" s="51" t="s">
        <v>1210</v>
      </c>
      <c r="C2859" s="51" t="s">
        <v>159</v>
      </c>
      <c r="D2859" s="51" t="s">
        <v>6322</v>
      </c>
      <c r="E2859" s="50">
        <v>1092</v>
      </c>
      <c r="F2859" s="50">
        <v>1455</v>
      </c>
      <c r="G2859" s="50" t="s">
        <v>3404</v>
      </c>
      <c r="H2859" s="50">
        <v>2025</v>
      </c>
      <c r="I2859" s="107">
        <v>45910</v>
      </c>
      <c r="J2859" s="105" t="s">
        <v>3127</v>
      </c>
      <c r="K2859" s="50" t="s">
        <v>1212</v>
      </c>
      <c r="L2859" s="105" t="s">
        <v>163</v>
      </c>
      <c r="M2859" s="50" t="s">
        <v>2393</v>
      </c>
      <c r="N2859" s="105" t="s">
        <v>6323</v>
      </c>
      <c r="O2859" s="132">
        <v>45915</v>
      </c>
      <c r="P2859" s="132">
        <v>45917</v>
      </c>
      <c r="Q2859" s="132">
        <v>45917</v>
      </c>
      <c r="R2859" s="132">
        <v>45917</v>
      </c>
      <c r="S2859" s="50">
        <f t="shared" si="264"/>
        <v>3</v>
      </c>
      <c r="T2859" s="50">
        <f t="shared" si="262"/>
        <v>2</v>
      </c>
      <c r="U2859" s="50">
        <f>IF(
    OR(ISBLANK(P2859), ISBLANK(Q2859)),
    "",
    MAX(1, IF(
        NETWORKDAYS(P2859, Q2859) &lt;= 0,
        1,
        NETWORKDAYS(P2859, Q2859) - IF(P2859 = Q2859, 0, 1)
    ))
)</f>
        <v>1</v>
      </c>
      <c r="V2859" s="50">
        <f t="shared" si="265"/>
        <v>1</v>
      </c>
      <c r="W2859" s="50" t="s">
        <v>150</v>
      </c>
      <c r="X2859" s="50" t="s">
        <v>4</v>
      </c>
      <c r="Y2859" s="50" t="s">
        <v>50</v>
      </c>
      <c r="Z2859" s="50" t="s">
        <v>3406</v>
      </c>
      <c r="AA2859" s="50"/>
    </row>
    <row r="2860" spans="1:27" ht="25.5" customHeight="1">
      <c r="A2860" s="517" t="s">
        <v>780</v>
      </c>
      <c r="B2860" s="51" t="s">
        <v>1210</v>
      </c>
      <c r="C2860" s="51" t="s">
        <v>159</v>
      </c>
      <c r="D2860" s="51" t="s">
        <v>6324</v>
      </c>
      <c r="E2860" s="50">
        <v>372</v>
      </c>
      <c r="F2860" s="50">
        <v>376</v>
      </c>
      <c r="G2860" s="50" t="s">
        <v>3404</v>
      </c>
      <c r="H2860" s="50">
        <v>2025</v>
      </c>
      <c r="I2860" s="107">
        <v>45883</v>
      </c>
      <c r="J2860" s="50" t="s">
        <v>3126</v>
      </c>
      <c r="K2860" s="50" t="s">
        <v>1212</v>
      </c>
      <c r="L2860" s="105" t="s">
        <v>163</v>
      </c>
      <c r="M2860" s="50" t="s">
        <v>2393</v>
      </c>
      <c r="N2860" s="105" t="s">
        <v>6325</v>
      </c>
      <c r="O2860" s="132">
        <v>45887</v>
      </c>
      <c r="P2860" s="132">
        <v>45887</v>
      </c>
      <c r="Q2860" s="132">
        <v>45887</v>
      </c>
      <c r="R2860" s="132">
        <v>45887</v>
      </c>
      <c r="S2860" s="50">
        <f t="shared" si="264"/>
        <v>2</v>
      </c>
      <c r="T2860" s="50">
        <f t="shared" si="262"/>
        <v>1</v>
      </c>
      <c r="U2860" s="50">
        <f>IF(
    OR(ISBLANK(P2860), ISBLANK(Q2860)),
    "",
    MAX(1, IF(
        NETWORKDAYS(P2860, Q2860) &lt;= 0,
        1,
        NETWORKDAYS(P2860, Q2860) - IF(P2860 = Q2860, 0, 1)
    ))
)</f>
        <v>1</v>
      </c>
      <c r="V2860" s="50">
        <f t="shared" si="265"/>
        <v>1</v>
      </c>
      <c r="W2860" s="50" t="s">
        <v>150</v>
      </c>
      <c r="X2860" s="50" t="s">
        <v>3527</v>
      </c>
      <c r="Y2860" s="50" t="s">
        <v>3528</v>
      </c>
      <c r="Z2860" s="50" t="s">
        <v>3406</v>
      </c>
      <c r="AA2860" s="50"/>
    </row>
    <row r="2861" spans="1:27" ht="25.5" customHeight="1">
      <c r="A2861" s="517" t="s">
        <v>780</v>
      </c>
      <c r="B2861" s="51" t="s">
        <v>1210</v>
      </c>
      <c r="C2861" s="51" t="s">
        <v>159</v>
      </c>
      <c r="D2861" s="51" t="s">
        <v>6326</v>
      </c>
      <c r="E2861" s="50">
        <v>1575</v>
      </c>
      <c r="F2861" s="50">
        <v>1969</v>
      </c>
      <c r="G2861" s="50" t="s">
        <v>3404</v>
      </c>
      <c r="H2861" s="50">
        <v>2025</v>
      </c>
      <c r="I2861" s="107">
        <v>45937</v>
      </c>
      <c r="J2861" s="105" t="s">
        <v>3128</v>
      </c>
      <c r="K2861" s="50" t="s">
        <v>42</v>
      </c>
      <c r="L2861" s="105" t="s">
        <v>163</v>
      </c>
      <c r="M2861" s="50" t="s">
        <v>2393</v>
      </c>
      <c r="N2861" s="105" t="s">
        <v>6327</v>
      </c>
      <c r="O2861" s="132">
        <v>45943</v>
      </c>
      <c r="P2861" s="132">
        <v>45946</v>
      </c>
      <c r="Q2861" s="132">
        <v>45946</v>
      </c>
      <c r="R2861" s="132">
        <v>45947</v>
      </c>
      <c r="S2861" s="50">
        <f t="shared" si="264"/>
        <v>4</v>
      </c>
      <c r="T2861" s="50">
        <f t="shared" si="262"/>
        <v>3</v>
      </c>
      <c r="U2861" s="50">
        <f>IF(
    OR(ISBLANK(P2861), ISBLANK(Q2861)),
    "",
    MAX(1, IF(
        NETWORKDAYS(P2861, Q2861) &lt;= 0,
        1,
        NETWORKDAYS(P2861, Q2861) - IF(P2861 = Q2861, 0, 1)
    ))
)</f>
        <v>1</v>
      </c>
      <c r="V2861" s="50">
        <f t="shared" si="265"/>
        <v>1</v>
      </c>
      <c r="W2861" s="50" t="s">
        <v>150</v>
      </c>
      <c r="X2861" s="50" t="s">
        <v>4</v>
      </c>
      <c r="Y2861" s="50" t="s">
        <v>50</v>
      </c>
      <c r="Z2861" s="50" t="s">
        <v>3406</v>
      </c>
      <c r="AA2861" s="50"/>
    </row>
    <row r="2862" spans="1:27" ht="25.5" customHeight="1">
      <c r="A2862" s="517" t="s">
        <v>780</v>
      </c>
      <c r="B2862" s="51" t="s">
        <v>1210</v>
      </c>
      <c r="C2862" s="51" t="s">
        <v>159</v>
      </c>
      <c r="D2862" s="51" t="s">
        <v>6328</v>
      </c>
      <c r="E2862" s="50">
        <v>1126</v>
      </c>
      <c r="F2862" s="50">
        <v>1239</v>
      </c>
      <c r="G2862" s="50" t="s">
        <v>3404</v>
      </c>
      <c r="H2862" s="50">
        <v>2025</v>
      </c>
      <c r="I2862" s="107">
        <v>45791</v>
      </c>
      <c r="J2862" s="105" t="s">
        <v>3532</v>
      </c>
      <c r="K2862" s="50" t="s">
        <v>1212</v>
      </c>
      <c r="L2862" s="105" t="s">
        <v>163</v>
      </c>
      <c r="M2862" s="50" t="s">
        <v>2393</v>
      </c>
      <c r="N2862" s="105" t="s">
        <v>6329</v>
      </c>
      <c r="O2862" s="132">
        <v>45796</v>
      </c>
      <c r="P2862" s="132">
        <v>45797</v>
      </c>
      <c r="Q2862" s="132">
        <v>45797</v>
      </c>
      <c r="R2862" s="132">
        <v>45797</v>
      </c>
      <c r="S2862" s="50">
        <f t="shared" si="264"/>
        <v>3</v>
      </c>
      <c r="T2862" s="50">
        <f>IF(
    OR(ISBLANK(P2862), ISBLANK(Q2862)),
    "",
    MAX(1, IF(
        NETWORKDAYS(P2862, Q2862) &lt;= 0,
        1,
        NETWORKDAYS(P2862, Q2862) - IF(P2862 = Q2862, 0, 1)
    ))
)</f>
        <v>1</v>
      </c>
      <c r="U2862" s="50">
        <f>IF(
    OR(ISBLANK(Q2862), ISBLANK(R2862)),
    "",
    MAX(1, IF(
        NETWORKDAYS(P2862, Q2862) &lt;= 0,
        1,
        NETWORKDAYS(P2862, Q2862) - IF(P2862 = Q2862, 0, 1)
    ))
)</f>
        <v>1</v>
      </c>
      <c r="V2862" s="50">
        <f t="shared" si="265"/>
        <v>1</v>
      </c>
      <c r="W2862" s="50" t="s">
        <v>150</v>
      </c>
      <c r="X2862" s="50" t="s">
        <v>4</v>
      </c>
      <c r="Y2862" s="50" t="s">
        <v>50</v>
      </c>
      <c r="Z2862" s="50" t="s">
        <v>3406</v>
      </c>
      <c r="AA2862" s="50"/>
    </row>
    <row r="2863" spans="1:27" ht="25.5" customHeight="1">
      <c r="A2863" s="517" t="s">
        <v>780</v>
      </c>
      <c r="B2863" s="51" t="s">
        <v>1210</v>
      </c>
      <c r="C2863" s="51" t="s">
        <v>159</v>
      </c>
      <c r="D2863" s="51" t="s">
        <v>1490</v>
      </c>
      <c r="E2863" s="50">
        <v>650</v>
      </c>
      <c r="F2863" s="50">
        <v>741</v>
      </c>
      <c r="G2863" s="50" t="s">
        <v>3404</v>
      </c>
      <c r="H2863" s="50">
        <v>2025</v>
      </c>
      <c r="I2863" s="107">
        <v>45937</v>
      </c>
      <c r="J2863" s="105" t="s">
        <v>3128</v>
      </c>
      <c r="K2863" s="50" t="s">
        <v>42</v>
      </c>
      <c r="L2863" s="105" t="s">
        <v>163</v>
      </c>
      <c r="M2863" s="50" t="s">
        <v>2393</v>
      </c>
      <c r="N2863" s="105" t="s">
        <v>6330</v>
      </c>
      <c r="O2863" s="132">
        <v>45943</v>
      </c>
      <c r="P2863" s="132">
        <v>45944</v>
      </c>
      <c r="Q2863" s="132">
        <v>45946</v>
      </c>
      <c r="R2863" s="132">
        <v>45947</v>
      </c>
      <c r="S2863" s="50">
        <f t="shared" si="264"/>
        <v>4</v>
      </c>
      <c r="T2863" s="50">
        <f t="shared" ref="T2863:U2865" si="266">IF(
    OR(ISBLANK(O2863), ISBLANK(P2863)),
    "",
    MAX(1, IF(
        NETWORKDAYS(O2863, P2863) &lt;= 0,
        1,
        NETWORKDAYS(O2863, P2863) - IF(O2863 = P2863, 0, 1)
    ))
)</f>
        <v>1</v>
      </c>
      <c r="U2863" s="50">
        <f t="shared" si="266"/>
        <v>2</v>
      </c>
      <c r="V2863" s="50">
        <f t="shared" si="265"/>
        <v>1</v>
      </c>
      <c r="W2863" s="50" t="s">
        <v>150</v>
      </c>
      <c r="X2863" s="50" t="s">
        <v>1078</v>
      </c>
      <c r="Y2863" s="50" t="s">
        <v>50</v>
      </c>
      <c r="Z2863" s="50" t="s">
        <v>3406</v>
      </c>
      <c r="AA2863" s="50"/>
    </row>
    <row r="2864" spans="1:27" ht="25.5" customHeight="1">
      <c r="A2864" s="517" t="s">
        <v>780</v>
      </c>
      <c r="B2864" s="51" t="s">
        <v>1210</v>
      </c>
      <c r="C2864" s="51" t="s">
        <v>159</v>
      </c>
      <c r="D2864" s="51" t="s">
        <v>4753</v>
      </c>
      <c r="E2864" s="50">
        <v>507</v>
      </c>
      <c r="F2864" s="50">
        <v>814</v>
      </c>
      <c r="G2864" s="50" t="s">
        <v>3404</v>
      </c>
      <c r="H2864" s="50">
        <v>2025</v>
      </c>
      <c r="I2864" s="107">
        <v>45910</v>
      </c>
      <c r="J2864" s="105" t="s">
        <v>3127</v>
      </c>
      <c r="K2864" s="50" t="s">
        <v>1212</v>
      </c>
      <c r="L2864" s="105" t="s">
        <v>163</v>
      </c>
      <c r="M2864" s="50" t="s">
        <v>2393</v>
      </c>
      <c r="N2864" s="105" t="s">
        <v>6331</v>
      </c>
      <c r="O2864" s="132">
        <v>45915</v>
      </c>
      <c r="P2864" s="132">
        <v>45917</v>
      </c>
      <c r="Q2864" s="132">
        <v>45917</v>
      </c>
      <c r="R2864" s="132">
        <v>45917</v>
      </c>
      <c r="S2864" s="50">
        <f t="shared" ref="S2864:S2927" si="267">IF(
    OR(ISBLANK(I2864), ISBLANK(O2864)),
    "",
    MAX(1, IF(
        NETWORKDAYS(I2864, O2864) &lt;= 0,
        1,
        NETWORKDAYS(I2864, O2864) - IF(I2864 = O2864, 0, 1)
    ))
)</f>
        <v>3</v>
      </c>
      <c r="T2864" s="50">
        <f t="shared" si="266"/>
        <v>2</v>
      </c>
      <c r="U2864" s="50">
        <f t="shared" si="266"/>
        <v>1</v>
      </c>
      <c r="V2864" s="50">
        <f t="shared" ref="V2864:V2927" si="268">IF(
    OR(ISBLANK(Q2864), ISBLANK(R2864)),
    "",
    MAX(1, IF(
        NETWORKDAYS(Q2864, R2864) &lt;= 0,
        1,
        NETWORKDAYS(Q2864, R2864) - IF(Q2864 = R2864, 0, 1)
    ))
)</f>
        <v>1</v>
      </c>
      <c r="W2864" s="50" t="s">
        <v>150</v>
      </c>
      <c r="X2864" s="50" t="s">
        <v>3527</v>
      </c>
      <c r="Y2864" s="50" t="s">
        <v>3528</v>
      </c>
      <c r="Z2864" s="50" t="s">
        <v>3406</v>
      </c>
      <c r="AA2864" s="50"/>
    </row>
    <row r="2865" spans="1:27" s="110" customFormat="1" ht="25.5" customHeight="1">
      <c r="A2865" s="517" t="s">
        <v>780</v>
      </c>
      <c r="B2865" s="51" t="s">
        <v>1210</v>
      </c>
      <c r="C2865" s="51" t="s">
        <v>159</v>
      </c>
      <c r="D2865" s="51" t="s">
        <v>6332</v>
      </c>
      <c r="E2865" s="50">
        <v>1010</v>
      </c>
      <c r="F2865" s="50">
        <v>1187</v>
      </c>
      <c r="G2865" s="50" t="s">
        <v>3404</v>
      </c>
      <c r="H2865" s="50">
        <v>2025</v>
      </c>
      <c r="I2865" s="107">
        <v>45937</v>
      </c>
      <c r="J2865" s="105" t="s">
        <v>3128</v>
      </c>
      <c r="K2865" s="50" t="s">
        <v>42</v>
      </c>
      <c r="L2865" s="105" t="s">
        <v>163</v>
      </c>
      <c r="M2865" s="50" t="s">
        <v>2393</v>
      </c>
      <c r="N2865" s="105" t="s">
        <v>6333</v>
      </c>
      <c r="O2865" s="132">
        <v>45943</v>
      </c>
      <c r="P2865" s="132">
        <v>45946</v>
      </c>
      <c r="Q2865" s="132">
        <v>45946</v>
      </c>
      <c r="R2865" s="132">
        <v>45947</v>
      </c>
      <c r="S2865" s="50">
        <f t="shared" si="267"/>
        <v>4</v>
      </c>
      <c r="T2865" s="50">
        <f t="shared" si="266"/>
        <v>3</v>
      </c>
      <c r="U2865" s="50">
        <f t="shared" si="266"/>
        <v>1</v>
      </c>
      <c r="V2865" s="50">
        <f t="shared" si="268"/>
        <v>1</v>
      </c>
      <c r="W2865" s="50" t="s">
        <v>150</v>
      </c>
      <c r="X2865" s="50" t="s">
        <v>4</v>
      </c>
      <c r="Y2865" s="50" t="s">
        <v>50</v>
      </c>
      <c r="Z2865" s="50" t="s">
        <v>3406</v>
      </c>
      <c r="AA2865" s="50"/>
    </row>
    <row r="2866" spans="1:27" ht="25.5" customHeight="1">
      <c r="A2866" s="517" t="s">
        <v>780</v>
      </c>
      <c r="B2866" s="51" t="s">
        <v>1210</v>
      </c>
      <c r="C2866" s="51" t="s">
        <v>159</v>
      </c>
      <c r="D2866" s="51" t="s">
        <v>1525</v>
      </c>
      <c r="E2866" s="50">
        <v>2057</v>
      </c>
      <c r="F2866" s="50">
        <v>2405</v>
      </c>
      <c r="G2866" s="50" t="s">
        <v>3404</v>
      </c>
      <c r="H2866" s="50">
        <v>2025</v>
      </c>
      <c r="I2866" s="107">
        <v>45791</v>
      </c>
      <c r="J2866" s="105" t="s">
        <v>3532</v>
      </c>
      <c r="K2866" s="50" t="s">
        <v>1212</v>
      </c>
      <c r="L2866" s="105" t="s">
        <v>163</v>
      </c>
      <c r="M2866" s="50" t="s">
        <v>2393</v>
      </c>
      <c r="N2866" s="105" t="s">
        <v>6334</v>
      </c>
      <c r="O2866" s="132">
        <v>45796</v>
      </c>
      <c r="P2866" s="132">
        <v>45797</v>
      </c>
      <c r="Q2866" s="132">
        <v>45797</v>
      </c>
      <c r="R2866" s="132">
        <v>45797</v>
      </c>
      <c r="S2866" s="50">
        <f t="shared" si="267"/>
        <v>3</v>
      </c>
      <c r="T2866" s="50">
        <f>IF(
    OR(ISBLANK(P2866), ISBLANK(Q2866)),
    "",
    MAX(1, IF(
        NETWORKDAYS(P2866, Q2866) &lt;= 0,
        1,
        NETWORKDAYS(P2866, Q2866) - IF(P2866 = Q2866, 0, 1)
    ))
)</f>
        <v>1</v>
      </c>
      <c r="U2866" s="50">
        <f>IF(
    OR(ISBLANK(Q2866), ISBLANK(R2866)),
    "",
    MAX(1, IF(
        NETWORKDAYS(P2866, Q2866) &lt;= 0,
        1,
        NETWORKDAYS(P2866, Q2866) - IF(P2866 = Q2866, 0, 1)
    ))
)</f>
        <v>1</v>
      </c>
      <c r="V2866" s="50">
        <f t="shared" si="268"/>
        <v>1</v>
      </c>
      <c r="W2866" s="50" t="s">
        <v>150</v>
      </c>
      <c r="X2866" s="50" t="s">
        <v>4</v>
      </c>
      <c r="Y2866" s="50" t="s">
        <v>50</v>
      </c>
      <c r="Z2866" s="50" t="s">
        <v>3406</v>
      </c>
      <c r="AA2866" s="50"/>
    </row>
    <row r="2867" spans="1:27" ht="25.5" customHeight="1">
      <c r="A2867" s="517" t="s">
        <v>780</v>
      </c>
      <c r="B2867" s="51" t="s">
        <v>1210</v>
      </c>
      <c r="C2867" s="51" t="s">
        <v>159</v>
      </c>
      <c r="D2867" s="51" t="s">
        <v>6335</v>
      </c>
      <c r="E2867" s="50">
        <v>2970</v>
      </c>
      <c r="F2867" s="50">
        <v>3053</v>
      </c>
      <c r="G2867" s="50" t="s">
        <v>3404</v>
      </c>
      <c r="H2867" s="50">
        <v>2025</v>
      </c>
      <c r="I2867" s="107">
        <v>45937</v>
      </c>
      <c r="J2867" s="105" t="s">
        <v>3128</v>
      </c>
      <c r="K2867" s="50" t="s">
        <v>42</v>
      </c>
      <c r="L2867" s="105" t="s">
        <v>163</v>
      </c>
      <c r="M2867" s="50" t="s">
        <v>2393</v>
      </c>
      <c r="N2867" s="105" t="s">
        <v>6336</v>
      </c>
      <c r="O2867" s="132">
        <v>45943</v>
      </c>
      <c r="P2867" s="132">
        <v>45946</v>
      </c>
      <c r="Q2867" s="132">
        <v>45946</v>
      </c>
      <c r="R2867" s="132">
        <v>45947</v>
      </c>
      <c r="S2867" s="50">
        <f t="shared" si="267"/>
        <v>4</v>
      </c>
      <c r="T2867" s="50">
        <f t="shared" ref="T2867:T2887" si="269">IF(
    OR(ISBLANK(O2867), ISBLANK(P2867)),
    "",
    MAX(1, IF(
        NETWORKDAYS(O2867, P2867) &lt;= 0,
        1,
        NETWORKDAYS(O2867, P2867) - IF(O2867 = P2867, 0, 1)
    ))
)</f>
        <v>3</v>
      </c>
      <c r="U2867" s="50">
        <f t="shared" ref="U2867:U2887" si="270">IF(
    OR(ISBLANK(P2867), ISBLANK(Q2867)),
    "",
    MAX(1, IF(
        NETWORKDAYS(P2867, Q2867) &lt;= 0,
        1,
        NETWORKDAYS(P2867, Q2867) - IF(P2867 = Q2867, 0, 1)
    ))
)</f>
        <v>1</v>
      </c>
      <c r="V2867" s="50">
        <f t="shared" si="268"/>
        <v>1</v>
      </c>
      <c r="W2867" s="50" t="s">
        <v>150</v>
      </c>
      <c r="X2867" s="50" t="s">
        <v>4</v>
      </c>
      <c r="Y2867" s="50" t="s">
        <v>50</v>
      </c>
      <c r="Z2867" s="50" t="s">
        <v>3406</v>
      </c>
      <c r="AA2867" s="50"/>
    </row>
    <row r="2868" spans="1:27" s="110" customFormat="1" ht="25.5" customHeight="1">
      <c r="A2868" s="517" t="s">
        <v>780</v>
      </c>
      <c r="B2868" s="51" t="s">
        <v>1210</v>
      </c>
      <c r="C2868" s="51" t="s">
        <v>159</v>
      </c>
      <c r="D2868" s="51" t="s">
        <v>6337</v>
      </c>
      <c r="E2868" s="50">
        <v>664</v>
      </c>
      <c r="F2868" s="50">
        <v>598</v>
      </c>
      <c r="G2868" s="50" t="s">
        <v>3404</v>
      </c>
      <c r="H2868" s="50">
        <v>2025</v>
      </c>
      <c r="I2868" s="107">
        <v>45883</v>
      </c>
      <c r="J2868" s="105" t="s">
        <v>3127</v>
      </c>
      <c r="K2868" s="50" t="s">
        <v>1212</v>
      </c>
      <c r="L2868" s="105" t="s">
        <v>163</v>
      </c>
      <c r="M2868" s="50" t="s">
        <v>2393</v>
      </c>
      <c r="N2868" s="105" t="s">
        <v>6338</v>
      </c>
      <c r="O2868" s="132">
        <v>45887</v>
      </c>
      <c r="P2868" s="132">
        <v>45887</v>
      </c>
      <c r="Q2868" s="132">
        <v>45887</v>
      </c>
      <c r="R2868" s="132">
        <v>45887</v>
      </c>
      <c r="S2868" s="50">
        <f t="shared" si="267"/>
        <v>2</v>
      </c>
      <c r="T2868" s="50">
        <f t="shared" si="269"/>
        <v>1</v>
      </c>
      <c r="U2868" s="50">
        <f t="shared" si="270"/>
        <v>1</v>
      </c>
      <c r="V2868" s="50">
        <f t="shared" si="268"/>
        <v>1</v>
      </c>
      <c r="W2868" s="50" t="s">
        <v>150</v>
      </c>
      <c r="X2868" s="50" t="s">
        <v>1078</v>
      </c>
      <c r="Y2868" s="50" t="s">
        <v>50</v>
      </c>
      <c r="Z2868" s="50" t="s">
        <v>3406</v>
      </c>
      <c r="AA2868" s="50"/>
    </row>
    <row r="2869" spans="1:27" ht="25.5" customHeight="1">
      <c r="A2869" s="517" t="s">
        <v>780</v>
      </c>
      <c r="B2869" s="51" t="s">
        <v>1210</v>
      </c>
      <c r="C2869" s="51" t="s">
        <v>159</v>
      </c>
      <c r="D2869" s="51" t="s">
        <v>6339</v>
      </c>
      <c r="E2869" s="50">
        <v>276</v>
      </c>
      <c r="F2869" s="50">
        <v>864</v>
      </c>
      <c r="G2869" s="50" t="s">
        <v>3404</v>
      </c>
      <c r="H2869" s="50">
        <v>2025</v>
      </c>
      <c r="I2869" s="107">
        <v>45910</v>
      </c>
      <c r="J2869" s="105" t="s">
        <v>3127</v>
      </c>
      <c r="K2869" s="50" t="s">
        <v>1212</v>
      </c>
      <c r="L2869" s="105" t="s">
        <v>163</v>
      </c>
      <c r="M2869" s="50" t="s">
        <v>2393</v>
      </c>
      <c r="N2869" s="105" t="s">
        <v>6340</v>
      </c>
      <c r="O2869" s="132">
        <v>45915</v>
      </c>
      <c r="P2869" s="132">
        <v>45917</v>
      </c>
      <c r="Q2869" s="132">
        <v>45917</v>
      </c>
      <c r="R2869" s="132">
        <v>45917</v>
      </c>
      <c r="S2869" s="50">
        <f t="shared" si="267"/>
        <v>3</v>
      </c>
      <c r="T2869" s="50">
        <f t="shared" si="269"/>
        <v>2</v>
      </c>
      <c r="U2869" s="50">
        <f t="shared" si="270"/>
        <v>1</v>
      </c>
      <c r="V2869" s="50">
        <f t="shared" si="268"/>
        <v>1</v>
      </c>
      <c r="W2869" s="50" t="s">
        <v>150</v>
      </c>
      <c r="X2869" s="50" t="s">
        <v>4</v>
      </c>
      <c r="Y2869" s="50" t="s">
        <v>50</v>
      </c>
      <c r="Z2869" s="50" t="s">
        <v>3406</v>
      </c>
      <c r="AA2869" s="50"/>
    </row>
    <row r="2870" spans="1:27" ht="25.5" customHeight="1">
      <c r="A2870" s="517" t="s">
        <v>780</v>
      </c>
      <c r="B2870" s="51" t="s">
        <v>1210</v>
      </c>
      <c r="C2870" s="51" t="s">
        <v>159</v>
      </c>
      <c r="D2870" s="51" t="s">
        <v>885</v>
      </c>
      <c r="E2870" s="50">
        <v>4145</v>
      </c>
      <c r="F2870" s="50">
        <v>4524</v>
      </c>
      <c r="G2870" s="50" t="s">
        <v>3404</v>
      </c>
      <c r="H2870" s="50">
        <v>2025</v>
      </c>
      <c r="I2870" s="107">
        <v>45937</v>
      </c>
      <c r="J2870" s="105" t="s">
        <v>3128</v>
      </c>
      <c r="K2870" s="50" t="s">
        <v>42</v>
      </c>
      <c r="L2870" s="105" t="s">
        <v>163</v>
      </c>
      <c r="M2870" s="50" t="s">
        <v>2393</v>
      </c>
      <c r="N2870" s="105" t="s">
        <v>6341</v>
      </c>
      <c r="O2870" s="132">
        <v>45943</v>
      </c>
      <c r="P2870" s="132">
        <v>45944</v>
      </c>
      <c r="Q2870" s="132">
        <v>45946</v>
      </c>
      <c r="R2870" s="132">
        <v>45947</v>
      </c>
      <c r="S2870" s="50">
        <f t="shared" si="267"/>
        <v>4</v>
      </c>
      <c r="T2870" s="50">
        <f t="shared" si="269"/>
        <v>1</v>
      </c>
      <c r="U2870" s="50">
        <f t="shared" si="270"/>
        <v>2</v>
      </c>
      <c r="V2870" s="50">
        <f t="shared" si="268"/>
        <v>1</v>
      </c>
      <c r="W2870" s="50" t="s">
        <v>150</v>
      </c>
      <c r="X2870" s="50" t="s">
        <v>1078</v>
      </c>
      <c r="Y2870" s="50" t="s">
        <v>50</v>
      </c>
      <c r="Z2870" s="50" t="s">
        <v>3406</v>
      </c>
      <c r="AA2870" s="50"/>
    </row>
    <row r="2871" spans="1:27" s="110" customFormat="1" ht="25.5" customHeight="1">
      <c r="A2871" s="517" t="s">
        <v>780</v>
      </c>
      <c r="B2871" s="51" t="s">
        <v>1210</v>
      </c>
      <c r="C2871" s="51" t="s">
        <v>159</v>
      </c>
      <c r="D2871" s="51" t="s">
        <v>6342</v>
      </c>
      <c r="E2871" s="50">
        <v>501</v>
      </c>
      <c r="F2871" s="50">
        <v>453</v>
      </c>
      <c r="G2871" s="50" t="s">
        <v>3404</v>
      </c>
      <c r="H2871" s="50">
        <v>2025</v>
      </c>
      <c r="I2871" s="107">
        <v>45937</v>
      </c>
      <c r="J2871" s="105" t="s">
        <v>3128</v>
      </c>
      <c r="K2871" s="50" t="s">
        <v>42</v>
      </c>
      <c r="L2871" s="105" t="s">
        <v>163</v>
      </c>
      <c r="M2871" s="50" t="s">
        <v>2393</v>
      </c>
      <c r="N2871" s="105" t="s">
        <v>6343</v>
      </c>
      <c r="O2871" s="132">
        <v>45943</v>
      </c>
      <c r="P2871" s="132">
        <v>45944</v>
      </c>
      <c r="Q2871" s="132">
        <v>45946</v>
      </c>
      <c r="R2871" s="132">
        <v>45947</v>
      </c>
      <c r="S2871" s="50">
        <f t="shared" si="267"/>
        <v>4</v>
      </c>
      <c r="T2871" s="50">
        <f t="shared" si="269"/>
        <v>1</v>
      </c>
      <c r="U2871" s="50">
        <f t="shared" si="270"/>
        <v>2</v>
      </c>
      <c r="V2871" s="50">
        <f t="shared" si="268"/>
        <v>1</v>
      </c>
      <c r="W2871" s="50" t="s">
        <v>150</v>
      </c>
      <c r="X2871" s="50" t="s">
        <v>1078</v>
      </c>
      <c r="Y2871" s="50" t="s">
        <v>50</v>
      </c>
      <c r="Z2871" s="50" t="s">
        <v>3406</v>
      </c>
      <c r="AA2871" s="50"/>
    </row>
    <row r="2872" spans="1:27" ht="25.5" customHeight="1">
      <c r="A2872" s="517" t="s">
        <v>780</v>
      </c>
      <c r="B2872" s="51" t="s">
        <v>1210</v>
      </c>
      <c r="C2872" s="51" t="s">
        <v>159</v>
      </c>
      <c r="D2872" s="51" t="s">
        <v>6344</v>
      </c>
      <c r="E2872" s="50">
        <v>776</v>
      </c>
      <c r="F2872" s="50">
        <v>495</v>
      </c>
      <c r="G2872" s="50" t="s">
        <v>3404</v>
      </c>
      <c r="H2872" s="50">
        <v>2025</v>
      </c>
      <c r="I2872" s="107">
        <v>45937</v>
      </c>
      <c r="J2872" s="105" t="s">
        <v>3128</v>
      </c>
      <c r="K2872" s="50" t="s">
        <v>42</v>
      </c>
      <c r="L2872" s="105" t="s">
        <v>163</v>
      </c>
      <c r="M2872" s="50" t="s">
        <v>2393</v>
      </c>
      <c r="N2872" s="105" t="s">
        <v>6345</v>
      </c>
      <c r="O2872" s="132">
        <v>45943</v>
      </c>
      <c r="P2872" s="132">
        <v>45944</v>
      </c>
      <c r="Q2872" s="132">
        <v>45946</v>
      </c>
      <c r="R2872" s="132">
        <v>45947</v>
      </c>
      <c r="S2872" s="50">
        <f t="shared" si="267"/>
        <v>4</v>
      </c>
      <c r="T2872" s="50">
        <f t="shared" si="269"/>
        <v>1</v>
      </c>
      <c r="U2872" s="50">
        <f t="shared" si="270"/>
        <v>2</v>
      </c>
      <c r="V2872" s="50">
        <f t="shared" si="268"/>
        <v>1</v>
      </c>
      <c r="W2872" s="50" t="s">
        <v>150</v>
      </c>
      <c r="X2872" s="50" t="s">
        <v>1078</v>
      </c>
      <c r="Y2872" s="50" t="s">
        <v>50</v>
      </c>
      <c r="Z2872" s="50" t="s">
        <v>3406</v>
      </c>
      <c r="AA2872" s="50"/>
    </row>
    <row r="2873" spans="1:27" ht="25.5" customHeight="1">
      <c r="A2873" s="517" t="s">
        <v>780</v>
      </c>
      <c r="B2873" s="51" t="s">
        <v>1210</v>
      </c>
      <c r="C2873" s="51" t="s">
        <v>159</v>
      </c>
      <c r="D2873" s="51" t="s">
        <v>6346</v>
      </c>
      <c r="E2873" s="50">
        <v>479</v>
      </c>
      <c r="F2873" s="50">
        <v>420</v>
      </c>
      <c r="G2873" s="50" t="s">
        <v>3404</v>
      </c>
      <c r="H2873" s="50">
        <v>2025</v>
      </c>
      <c r="I2873" s="107">
        <v>45883</v>
      </c>
      <c r="J2873" s="50" t="s">
        <v>3126</v>
      </c>
      <c r="K2873" s="50" t="s">
        <v>1212</v>
      </c>
      <c r="L2873" s="105" t="s">
        <v>163</v>
      </c>
      <c r="M2873" s="50" t="s">
        <v>2393</v>
      </c>
      <c r="N2873" s="105" t="s">
        <v>6347</v>
      </c>
      <c r="O2873" s="132">
        <v>45887</v>
      </c>
      <c r="P2873" s="132">
        <v>45887</v>
      </c>
      <c r="Q2873" s="132">
        <v>45887</v>
      </c>
      <c r="R2873" s="132">
        <v>45887</v>
      </c>
      <c r="S2873" s="50">
        <f t="shared" si="267"/>
        <v>2</v>
      </c>
      <c r="T2873" s="50">
        <f t="shared" si="269"/>
        <v>1</v>
      </c>
      <c r="U2873" s="50">
        <f t="shared" si="270"/>
        <v>1</v>
      </c>
      <c r="V2873" s="50">
        <f t="shared" si="268"/>
        <v>1</v>
      </c>
      <c r="W2873" s="50" t="s">
        <v>150</v>
      </c>
      <c r="X2873" s="50" t="s">
        <v>3527</v>
      </c>
      <c r="Y2873" s="50" t="s">
        <v>3528</v>
      </c>
      <c r="Z2873" s="50" t="s">
        <v>3406</v>
      </c>
      <c r="AA2873" s="50"/>
    </row>
    <row r="2874" spans="1:27" ht="25.5" customHeight="1">
      <c r="A2874" s="50" t="s">
        <v>780</v>
      </c>
      <c r="B2874" s="51" t="s">
        <v>1210</v>
      </c>
      <c r="C2874" s="51" t="s">
        <v>159</v>
      </c>
      <c r="D2874" s="51" t="s">
        <v>6348</v>
      </c>
      <c r="E2874" s="50">
        <v>1598</v>
      </c>
      <c r="F2874" s="50">
        <v>1935</v>
      </c>
      <c r="G2874" s="50" t="s">
        <v>3404</v>
      </c>
      <c r="H2874" s="50">
        <v>2024</v>
      </c>
      <c r="I2874" s="107">
        <v>45602</v>
      </c>
      <c r="J2874" s="105"/>
      <c r="K2874" s="50" t="s">
        <v>1212</v>
      </c>
      <c r="L2874" s="105" t="s">
        <v>163</v>
      </c>
      <c r="M2874" s="50" t="s">
        <v>2393</v>
      </c>
      <c r="N2874" s="105"/>
      <c r="O2874" s="105"/>
      <c r="P2874" s="105"/>
      <c r="Q2874" s="105"/>
      <c r="R2874" s="60"/>
      <c r="S2874" s="50" t="str">
        <f t="shared" si="267"/>
        <v/>
      </c>
      <c r="T2874" s="50" t="str">
        <f t="shared" si="269"/>
        <v/>
      </c>
      <c r="U2874" s="50" t="str">
        <f t="shared" si="270"/>
        <v/>
      </c>
      <c r="V2874" s="50" t="str">
        <f t="shared" si="268"/>
        <v/>
      </c>
      <c r="W2874" s="50"/>
      <c r="X2874" s="50" t="s">
        <v>4</v>
      </c>
      <c r="Y2874" s="50" t="s">
        <v>50</v>
      </c>
      <c r="Z2874" s="50" t="s">
        <v>3406</v>
      </c>
      <c r="AA2874" s="50"/>
    </row>
    <row r="2875" spans="1:27" ht="25.5" customHeight="1">
      <c r="A2875" s="517" t="s">
        <v>780</v>
      </c>
      <c r="B2875" s="51" t="s">
        <v>1210</v>
      </c>
      <c r="C2875" s="51" t="s">
        <v>159</v>
      </c>
      <c r="D2875" s="51" t="s">
        <v>6349</v>
      </c>
      <c r="E2875" s="50">
        <v>409</v>
      </c>
      <c r="F2875" s="50">
        <v>455</v>
      </c>
      <c r="G2875" s="50" t="s">
        <v>3404</v>
      </c>
      <c r="H2875" s="50">
        <v>2025</v>
      </c>
      <c r="I2875" s="107">
        <v>45883</v>
      </c>
      <c r="J2875" s="105" t="s">
        <v>3127</v>
      </c>
      <c r="K2875" s="50" t="s">
        <v>1212</v>
      </c>
      <c r="L2875" s="105" t="s">
        <v>163</v>
      </c>
      <c r="M2875" s="50" t="s">
        <v>2393</v>
      </c>
      <c r="N2875" s="105" t="s">
        <v>6350</v>
      </c>
      <c r="O2875" s="132">
        <v>45887</v>
      </c>
      <c r="P2875" s="132">
        <v>45887</v>
      </c>
      <c r="Q2875" s="132">
        <v>45887</v>
      </c>
      <c r="R2875" s="132">
        <v>45887</v>
      </c>
      <c r="S2875" s="50">
        <f t="shared" si="267"/>
        <v>2</v>
      </c>
      <c r="T2875" s="50">
        <f t="shared" si="269"/>
        <v>1</v>
      </c>
      <c r="U2875" s="50">
        <f t="shared" si="270"/>
        <v>1</v>
      </c>
      <c r="V2875" s="50">
        <f t="shared" si="268"/>
        <v>1</v>
      </c>
      <c r="W2875" s="50" t="s">
        <v>150</v>
      </c>
      <c r="X2875" s="50" t="s">
        <v>4</v>
      </c>
      <c r="Y2875" s="50" t="s">
        <v>50</v>
      </c>
      <c r="Z2875" s="50" t="s">
        <v>3406</v>
      </c>
      <c r="AA2875" s="50"/>
    </row>
    <row r="2876" spans="1:27" s="110" customFormat="1" ht="25.5" customHeight="1">
      <c r="A2876" s="517" t="s">
        <v>780</v>
      </c>
      <c r="B2876" s="51" t="s">
        <v>1210</v>
      </c>
      <c r="C2876" s="51" t="s">
        <v>159</v>
      </c>
      <c r="D2876" s="51" t="s">
        <v>1211</v>
      </c>
      <c r="E2876" s="50">
        <v>2728</v>
      </c>
      <c r="F2876" s="50">
        <v>2926</v>
      </c>
      <c r="G2876" s="50" t="s">
        <v>3404</v>
      </c>
      <c r="H2876" s="50">
        <v>2025</v>
      </c>
      <c r="I2876" s="107">
        <v>45910</v>
      </c>
      <c r="J2876" s="105" t="s">
        <v>3127</v>
      </c>
      <c r="K2876" s="50" t="s">
        <v>1212</v>
      </c>
      <c r="L2876" s="105" t="s">
        <v>163</v>
      </c>
      <c r="M2876" s="50" t="s">
        <v>2393</v>
      </c>
      <c r="N2876" s="105" t="s">
        <v>6351</v>
      </c>
      <c r="O2876" s="132">
        <v>45915</v>
      </c>
      <c r="P2876" s="132">
        <v>45917</v>
      </c>
      <c r="Q2876" s="132">
        <v>45917</v>
      </c>
      <c r="R2876" s="132">
        <v>45917</v>
      </c>
      <c r="S2876" s="50">
        <f t="shared" si="267"/>
        <v>3</v>
      </c>
      <c r="T2876" s="50">
        <f t="shared" si="269"/>
        <v>2</v>
      </c>
      <c r="U2876" s="50">
        <f t="shared" si="270"/>
        <v>1</v>
      </c>
      <c r="V2876" s="50">
        <f t="shared" si="268"/>
        <v>1</v>
      </c>
      <c r="W2876" s="50" t="s">
        <v>150</v>
      </c>
      <c r="X2876" s="50" t="s">
        <v>4</v>
      </c>
      <c r="Y2876" s="50" t="s">
        <v>50</v>
      </c>
      <c r="Z2876" s="50" t="s">
        <v>3406</v>
      </c>
      <c r="AA2876" s="50"/>
    </row>
    <row r="2877" spans="1:27" ht="25.5" customHeight="1">
      <c r="A2877" s="517" t="s">
        <v>780</v>
      </c>
      <c r="B2877" s="51" t="s">
        <v>1210</v>
      </c>
      <c r="C2877" s="51" t="s">
        <v>159</v>
      </c>
      <c r="D2877" s="51" t="s">
        <v>6352</v>
      </c>
      <c r="E2877" s="50">
        <v>1091</v>
      </c>
      <c r="F2877" s="50">
        <v>1257</v>
      </c>
      <c r="G2877" s="50" t="s">
        <v>3404</v>
      </c>
      <c r="H2877" s="50">
        <v>2025</v>
      </c>
      <c r="I2877" s="107">
        <v>45937</v>
      </c>
      <c r="J2877" s="105" t="s">
        <v>3128</v>
      </c>
      <c r="K2877" s="50" t="s">
        <v>42</v>
      </c>
      <c r="L2877" s="105" t="s">
        <v>163</v>
      </c>
      <c r="M2877" s="50" t="s">
        <v>2393</v>
      </c>
      <c r="N2877" s="105" t="s">
        <v>6353</v>
      </c>
      <c r="O2877" s="132">
        <v>45943</v>
      </c>
      <c r="P2877" s="132">
        <v>45946</v>
      </c>
      <c r="Q2877" s="132">
        <v>45946</v>
      </c>
      <c r="R2877" s="132">
        <v>45947</v>
      </c>
      <c r="S2877" s="50">
        <f t="shared" si="267"/>
        <v>4</v>
      </c>
      <c r="T2877" s="50">
        <f t="shared" si="269"/>
        <v>3</v>
      </c>
      <c r="U2877" s="50">
        <f t="shared" si="270"/>
        <v>1</v>
      </c>
      <c r="V2877" s="50">
        <f t="shared" si="268"/>
        <v>1</v>
      </c>
      <c r="W2877" s="50" t="s">
        <v>150</v>
      </c>
      <c r="X2877" s="50" t="s">
        <v>4</v>
      </c>
      <c r="Y2877" s="50" t="s">
        <v>50</v>
      </c>
      <c r="Z2877" s="50" t="s">
        <v>3406</v>
      </c>
      <c r="AA2877" s="50"/>
    </row>
    <row r="2878" spans="1:27" s="110" customFormat="1" ht="25.5" customHeight="1">
      <c r="A2878" s="50" t="s">
        <v>780</v>
      </c>
      <c r="B2878" s="51" t="s">
        <v>1210</v>
      </c>
      <c r="C2878" s="51" t="s">
        <v>159</v>
      </c>
      <c r="D2878" s="51" t="s">
        <v>6354</v>
      </c>
      <c r="E2878" s="50">
        <v>860</v>
      </c>
      <c r="F2878" s="50">
        <v>946</v>
      </c>
      <c r="G2878" s="50" t="s">
        <v>3404</v>
      </c>
      <c r="H2878" s="50">
        <v>2024</v>
      </c>
      <c r="I2878" s="107">
        <v>45602</v>
      </c>
      <c r="J2878" s="105"/>
      <c r="K2878" s="50" t="s">
        <v>1212</v>
      </c>
      <c r="L2878" s="105" t="s">
        <v>163</v>
      </c>
      <c r="M2878" s="50" t="s">
        <v>2393</v>
      </c>
      <c r="N2878" s="105"/>
      <c r="O2878" s="105"/>
      <c r="P2878" s="105"/>
      <c r="Q2878" s="105"/>
      <c r="R2878" s="60"/>
      <c r="S2878" s="50" t="str">
        <f t="shared" si="267"/>
        <v/>
      </c>
      <c r="T2878" s="50" t="str">
        <f t="shared" si="269"/>
        <v/>
      </c>
      <c r="U2878" s="50" t="str">
        <f t="shared" si="270"/>
        <v/>
      </c>
      <c r="V2878" s="50" t="str">
        <f t="shared" si="268"/>
        <v/>
      </c>
      <c r="W2878" s="50"/>
      <c r="X2878" s="50" t="s">
        <v>4</v>
      </c>
      <c r="Y2878" s="50" t="s">
        <v>50</v>
      </c>
      <c r="Z2878" s="50" t="s">
        <v>3406</v>
      </c>
      <c r="AA2878" s="50"/>
    </row>
    <row r="2879" spans="1:27" ht="25.5" customHeight="1">
      <c r="A2879" s="517" t="s">
        <v>780</v>
      </c>
      <c r="B2879" s="51" t="s">
        <v>1210</v>
      </c>
      <c r="C2879" s="51" t="s">
        <v>159</v>
      </c>
      <c r="D2879" s="51" t="s">
        <v>6355</v>
      </c>
      <c r="E2879" s="50">
        <v>998</v>
      </c>
      <c r="F2879" s="50">
        <v>1333</v>
      </c>
      <c r="G2879" s="50" t="s">
        <v>3404</v>
      </c>
      <c r="H2879" s="50">
        <v>2025</v>
      </c>
      <c r="I2879" s="107">
        <v>45883</v>
      </c>
      <c r="J2879" s="105" t="s">
        <v>3127</v>
      </c>
      <c r="K2879" s="50" t="s">
        <v>1212</v>
      </c>
      <c r="L2879" s="105" t="s">
        <v>163</v>
      </c>
      <c r="M2879" s="50" t="s">
        <v>2393</v>
      </c>
      <c r="N2879" s="105" t="s">
        <v>6356</v>
      </c>
      <c r="O2879" s="132">
        <v>45887</v>
      </c>
      <c r="P2879" s="132">
        <v>45887</v>
      </c>
      <c r="Q2879" s="132">
        <v>45887</v>
      </c>
      <c r="R2879" s="132">
        <v>45887</v>
      </c>
      <c r="S2879" s="50">
        <f t="shared" si="267"/>
        <v>2</v>
      </c>
      <c r="T2879" s="50">
        <f t="shared" si="269"/>
        <v>1</v>
      </c>
      <c r="U2879" s="50">
        <f t="shared" si="270"/>
        <v>1</v>
      </c>
      <c r="V2879" s="50">
        <f t="shared" si="268"/>
        <v>1</v>
      </c>
      <c r="W2879" s="50" t="s">
        <v>150</v>
      </c>
      <c r="X2879" s="50" t="s">
        <v>1078</v>
      </c>
      <c r="Y2879" s="50" t="s">
        <v>57</v>
      </c>
      <c r="Z2879" s="50" t="s">
        <v>3406</v>
      </c>
      <c r="AA2879" s="50"/>
    </row>
    <row r="2880" spans="1:27" ht="25.5" customHeight="1">
      <c r="A2880" s="517" t="s">
        <v>780</v>
      </c>
      <c r="B2880" s="51" t="s">
        <v>1210</v>
      </c>
      <c r="C2880" s="51" t="s">
        <v>159</v>
      </c>
      <c r="D2880" s="51" t="s">
        <v>1415</v>
      </c>
      <c r="E2880" s="50">
        <v>3306</v>
      </c>
      <c r="F2880" s="50">
        <v>3579</v>
      </c>
      <c r="G2880" s="50" t="s">
        <v>3404</v>
      </c>
      <c r="H2880" s="50">
        <v>2025</v>
      </c>
      <c r="I2880" s="107">
        <v>45937</v>
      </c>
      <c r="J2880" s="105" t="s">
        <v>3128</v>
      </c>
      <c r="K2880" s="50" t="s">
        <v>42</v>
      </c>
      <c r="L2880" s="105" t="s">
        <v>163</v>
      </c>
      <c r="M2880" s="50" t="s">
        <v>2393</v>
      </c>
      <c r="N2880" s="105" t="s">
        <v>6357</v>
      </c>
      <c r="O2880" s="132">
        <v>45943</v>
      </c>
      <c r="P2880" s="132">
        <v>45945</v>
      </c>
      <c r="Q2880" s="132">
        <v>45946</v>
      </c>
      <c r="R2880" s="132">
        <v>45947</v>
      </c>
      <c r="S2880" s="50">
        <f t="shared" si="267"/>
        <v>4</v>
      </c>
      <c r="T2880" s="50">
        <f t="shared" si="269"/>
        <v>2</v>
      </c>
      <c r="U2880" s="50">
        <f t="shared" si="270"/>
        <v>1</v>
      </c>
      <c r="V2880" s="50">
        <f t="shared" si="268"/>
        <v>1</v>
      </c>
      <c r="W2880" s="50" t="s">
        <v>150</v>
      </c>
      <c r="X2880" s="50" t="s">
        <v>4</v>
      </c>
      <c r="Y2880" s="50" t="s">
        <v>50</v>
      </c>
      <c r="Z2880" s="50" t="s">
        <v>3406</v>
      </c>
      <c r="AA2880" s="50"/>
    </row>
    <row r="2881" spans="1:27" ht="25.5" customHeight="1">
      <c r="A2881" s="50" t="s">
        <v>780</v>
      </c>
      <c r="B2881" s="51" t="s">
        <v>1210</v>
      </c>
      <c r="C2881" s="51" t="s">
        <v>159</v>
      </c>
      <c r="D2881" s="51" t="s">
        <v>1180</v>
      </c>
      <c r="E2881" s="50">
        <v>1533</v>
      </c>
      <c r="F2881" s="50">
        <v>1802</v>
      </c>
      <c r="G2881" s="50" t="s">
        <v>3404</v>
      </c>
      <c r="H2881" s="50">
        <v>2024</v>
      </c>
      <c r="I2881" s="107">
        <v>45602</v>
      </c>
      <c r="J2881" s="105"/>
      <c r="K2881" s="50" t="s">
        <v>1212</v>
      </c>
      <c r="L2881" s="105" t="s">
        <v>163</v>
      </c>
      <c r="M2881" s="50" t="s">
        <v>2393</v>
      </c>
      <c r="N2881" s="105"/>
      <c r="O2881" s="105"/>
      <c r="P2881" s="105"/>
      <c r="Q2881" s="105"/>
      <c r="R2881" s="60"/>
      <c r="S2881" s="50" t="str">
        <f t="shared" si="267"/>
        <v/>
      </c>
      <c r="T2881" s="50" t="str">
        <f t="shared" si="269"/>
        <v/>
      </c>
      <c r="U2881" s="50" t="str">
        <f t="shared" si="270"/>
        <v/>
      </c>
      <c r="V2881" s="50" t="str">
        <f t="shared" si="268"/>
        <v/>
      </c>
      <c r="W2881" s="50"/>
      <c r="X2881" s="50" t="s">
        <v>4</v>
      </c>
      <c r="Y2881" s="50" t="s">
        <v>50</v>
      </c>
      <c r="Z2881" s="50" t="s">
        <v>3406</v>
      </c>
      <c r="AA2881" s="50"/>
    </row>
    <row r="2882" spans="1:27" ht="25.5" customHeight="1">
      <c r="A2882" s="50" t="s">
        <v>780</v>
      </c>
      <c r="B2882" s="51" t="s">
        <v>1210</v>
      </c>
      <c r="C2882" s="51" t="s">
        <v>159</v>
      </c>
      <c r="D2882" s="51" t="s">
        <v>918</v>
      </c>
      <c r="E2882" s="50">
        <v>7002</v>
      </c>
      <c r="F2882" s="50">
        <v>8856</v>
      </c>
      <c r="G2882" s="50" t="s">
        <v>3404</v>
      </c>
      <c r="H2882" s="50">
        <v>2024</v>
      </c>
      <c r="I2882" s="107">
        <v>45602</v>
      </c>
      <c r="J2882" s="105"/>
      <c r="K2882" s="50" t="s">
        <v>1212</v>
      </c>
      <c r="L2882" s="105" t="s">
        <v>163</v>
      </c>
      <c r="M2882" s="50" t="s">
        <v>2393</v>
      </c>
      <c r="N2882" s="105"/>
      <c r="O2882" s="105"/>
      <c r="P2882" s="105"/>
      <c r="Q2882" s="105"/>
      <c r="R2882" s="60"/>
      <c r="S2882" s="50" t="str">
        <f t="shared" si="267"/>
        <v/>
      </c>
      <c r="T2882" s="50" t="str">
        <f t="shared" si="269"/>
        <v/>
      </c>
      <c r="U2882" s="50" t="str">
        <f t="shared" si="270"/>
        <v/>
      </c>
      <c r="V2882" s="50" t="str">
        <f t="shared" si="268"/>
        <v/>
      </c>
      <c r="W2882" s="50"/>
      <c r="X2882" s="50" t="s">
        <v>4</v>
      </c>
      <c r="Y2882" s="50" t="s">
        <v>50</v>
      </c>
      <c r="Z2882" s="50" t="s">
        <v>3406</v>
      </c>
      <c r="AA2882" s="50"/>
    </row>
    <row r="2883" spans="1:27" ht="25.5" customHeight="1">
      <c r="A2883" s="50" t="s">
        <v>780</v>
      </c>
      <c r="B2883" s="51" t="s">
        <v>1210</v>
      </c>
      <c r="C2883" s="51" t="s">
        <v>159</v>
      </c>
      <c r="D2883" s="51" t="s">
        <v>1151</v>
      </c>
      <c r="E2883" s="50">
        <v>1355</v>
      </c>
      <c r="F2883" s="50">
        <v>1518</v>
      </c>
      <c r="G2883" s="50" t="s">
        <v>3404</v>
      </c>
      <c r="H2883" s="50">
        <v>2024</v>
      </c>
      <c r="I2883" s="107">
        <v>45602</v>
      </c>
      <c r="J2883" s="105"/>
      <c r="K2883" s="50" t="s">
        <v>1212</v>
      </c>
      <c r="L2883" s="105" t="s">
        <v>163</v>
      </c>
      <c r="M2883" s="50" t="s">
        <v>2393</v>
      </c>
      <c r="N2883" s="105"/>
      <c r="O2883" s="105"/>
      <c r="P2883" s="105"/>
      <c r="Q2883" s="105"/>
      <c r="R2883" s="60"/>
      <c r="S2883" s="50" t="str">
        <f t="shared" si="267"/>
        <v/>
      </c>
      <c r="T2883" s="50" t="str">
        <f t="shared" si="269"/>
        <v/>
      </c>
      <c r="U2883" s="50" t="str">
        <f t="shared" si="270"/>
        <v/>
      </c>
      <c r="V2883" s="50" t="str">
        <f t="shared" si="268"/>
        <v/>
      </c>
      <c r="W2883" s="50"/>
      <c r="X2883" s="50" t="s">
        <v>4</v>
      </c>
      <c r="Y2883" s="50" t="s">
        <v>50</v>
      </c>
      <c r="Z2883" s="50" t="s">
        <v>3406</v>
      </c>
      <c r="AA2883" s="50"/>
    </row>
    <row r="2884" spans="1:27" ht="25.5" customHeight="1">
      <c r="A2884" s="517" t="s">
        <v>780</v>
      </c>
      <c r="B2884" s="51" t="s">
        <v>1210</v>
      </c>
      <c r="C2884" s="51" t="s">
        <v>159</v>
      </c>
      <c r="D2884" s="51" t="s">
        <v>1170</v>
      </c>
      <c r="E2884" s="50">
        <v>2025</v>
      </c>
      <c r="F2884" s="50">
        <v>2331</v>
      </c>
      <c r="G2884" s="50" t="s">
        <v>3404</v>
      </c>
      <c r="H2884" s="50">
        <v>2025</v>
      </c>
      <c r="I2884" s="107">
        <v>45910</v>
      </c>
      <c r="J2884" s="105" t="s">
        <v>3127</v>
      </c>
      <c r="K2884" s="50" t="s">
        <v>1212</v>
      </c>
      <c r="L2884" s="105" t="s">
        <v>163</v>
      </c>
      <c r="M2884" s="50" t="s">
        <v>2393</v>
      </c>
      <c r="N2884" s="105" t="s">
        <v>6358</v>
      </c>
      <c r="O2884" s="132">
        <v>45915</v>
      </c>
      <c r="P2884" s="132">
        <v>45917</v>
      </c>
      <c r="Q2884" s="132">
        <v>45917</v>
      </c>
      <c r="R2884" s="132">
        <v>45917</v>
      </c>
      <c r="S2884" s="50">
        <f t="shared" si="267"/>
        <v>3</v>
      </c>
      <c r="T2884" s="50">
        <f t="shared" si="269"/>
        <v>2</v>
      </c>
      <c r="U2884" s="50">
        <f t="shared" si="270"/>
        <v>1</v>
      </c>
      <c r="V2884" s="50">
        <f t="shared" si="268"/>
        <v>1</v>
      </c>
      <c r="W2884" s="50" t="s">
        <v>150</v>
      </c>
      <c r="X2884" s="50" t="s">
        <v>4</v>
      </c>
      <c r="Y2884" s="50" t="s">
        <v>50</v>
      </c>
      <c r="Z2884" s="50" t="s">
        <v>3406</v>
      </c>
      <c r="AA2884" s="50"/>
    </row>
    <row r="2885" spans="1:27" ht="25.5" customHeight="1">
      <c r="A2885" s="517" t="s">
        <v>780</v>
      </c>
      <c r="B2885" s="51" t="s">
        <v>1210</v>
      </c>
      <c r="C2885" s="51" t="s">
        <v>159</v>
      </c>
      <c r="D2885" s="51" t="s">
        <v>6359</v>
      </c>
      <c r="E2885" s="50">
        <v>1733</v>
      </c>
      <c r="F2885" s="50">
        <v>1827</v>
      </c>
      <c r="G2885" s="50" t="s">
        <v>3404</v>
      </c>
      <c r="H2885" s="50">
        <v>2025</v>
      </c>
      <c r="I2885" s="107">
        <v>45910</v>
      </c>
      <c r="J2885" s="105" t="s">
        <v>3127</v>
      </c>
      <c r="K2885" s="50" t="s">
        <v>1212</v>
      </c>
      <c r="L2885" s="105" t="s">
        <v>163</v>
      </c>
      <c r="M2885" s="50" t="s">
        <v>2393</v>
      </c>
      <c r="N2885" s="105" t="s">
        <v>6360</v>
      </c>
      <c r="O2885" s="132">
        <v>45915</v>
      </c>
      <c r="P2885" s="132">
        <v>45917</v>
      </c>
      <c r="Q2885" s="132">
        <v>45917</v>
      </c>
      <c r="R2885" s="132">
        <v>45917</v>
      </c>
      <c r="S2885" s="50">
        <f t="shared" si="267"/>
        <v>3</v>
      </c>
      <c r="T2885" s="50">
        <f t="shared" si="269"/>
        <v>2</v>
      </c>
      <c r="U2885" s="50">
        <f t="shared" si="270"/>
        <v>1</v>
      </c>
      <c r="V2885" s="50">
        <f t="shared" si="268"/>
        <v>1</v>
      </c>
      <c r="W2885" s="50" t="s">
        <v>150</v>
      </c>
      <c r="X2885" s="50" t="s">
        <v>3527</v>
      </c>
      <c r="Y2885" s="50" t="s">
        <v>3528</v>
      </c>
      <c r="Z2885" s="50" t="s">
        <v>3406</v>
      </c>
      <c r="AA2885" s="50"/>
    </row>
    <row r="2886" spans="1:27" ht="25.5" customHeight="1">
      <c r="A2886" s="50" t="s">
        <v>780</v>
      </c>
      <c r="B2886" s="51" t="s">
        <v>1210</v>
      </c>
      <c r="C2886" s="51" t="s">
        <v>159</v>
      </c>
      <c r="D2886" s="51" t="s">
        <v>2042</v>
      </c>
      <c r="E2886" s="50">
        <v>11393</v>
      </c>
      <c r="F2886" s="50">
        <v>14122</v>
      </c>
      <c r="G2886" s="50" t="s">
        <v>3404</v>
      </c>
      <c r="H2886" s="50">
        <v>2024</v>
      </c>
      <c r="I2886" s="107">
        <v>45539</v>
      </c>
      <c r="J2886" s="105"/>
      <c r="K2886" s="50" t="s">
        <v>1212</v>
      </c>
      <c r="L2886" s="105" t="s">
        <v>163</v>
      </c>
      <c r="M2886" s="50" t="s">
        <v>2393</v>
      </c>
      <c r="N2886" s="105"/>
      <c r="O2886" s="105"/>
      <c r="P2886" s="105"/>
      <c r="Q2886" s="105"/>
      <c r="R2886" s="60"/>
      <c r="S2886" s="50" t="str">
        <f t="shared" si="267"/>
        <v/>
      </c>
      <c r="T2886" s="50" t="str">
        <f t="shared" si="269"/>
        <v/>
      </c>
      <c r="U2886" s="50" t="str">
        <f t="shared" si="270"/>
        <v/>
      </c>
      <c r="V2886" s="50" t="str">
        <f t="shared" si="268"/>
        <v/>
      </c>
      <c r="W2886" s="50"/>
      <c r="X2886" s="50" t="s">
        <v>4</v>
      </c>
      <c r="Y2886" s="50" t="s">
        <v>50</v>
      </c>
      <c r="Z2886" s="50" t="s">
        <v>3406</v>
      </c>
      <c r="AA2886" s="50"/>
    </row>
    <row r="2887" spans="1:27" ht="25.5" customHeight="1">
      <c r="A2887" s="517" t="s">
        <v>780</v>
      </c>
      <c r="B2887" s="51" t="s">
        <v>1210</v>
      </c>
      <c r="C2887" s="51" t="s">
        <v>159</v>
      </c>
      <c r="D2887" s="51" t="s">
        <v>6361</v>
      </c>
      <c r="E2887" s="50">
        <v>1007</v>
      </c>
      <c r="F2887" s="50">
        <v>669</v>
      </c>
      <c r="G2887" s="50" t="s">
        <v>3404</v>
      </c>
      <c r="H2887" s="50">
        <v>2025</v>
      </c>
      <c r="I2887" s="107">
        <v>45883</v>
      </c>
      <c r="J2887" s="50" t="s">
        <v>3126</v>
      </c>
      <c r="K2887" s="50" t="s">
        <v>1212</v>
      </c>
      <c r="L2887" s="105" t="s">
        <v>163</v>
      </c>
      <c r="M2887" s="50" t="s">
        <v>2393</v>
      </c>
      <c r="N2887" s="105" t="s">
        <v>6362</v>
      </c>
      <c r="O2887" s="132">
        <v>45887</v>
      </c>
      <c r="P2887" s="132">
        <v>45887</v>
      </c>
      <c r="Q2887" s="132">
        <v>45887</v>
      </c>
      <c r="R2887" s="132">
        <v>45887</v>
      </c>
      <c r="S2887" s="50">
        <f t="shared" si="267"/>
        <v>2</v>
      </c>
      <c r="T2887" s="50">
        <f t="shared" si="269"/>
        <v>1</v>
      </c>
      <c r="U2887" s="50">
        <f t="shared" si="270"/>
        <v>1</v>
      </c>
      <c r="V2887" s="50">
        <f t="shared" si="268"/>
        <v>1</v>
      </c>
      <c r="W2887" s="50" t="s">
        <v>150</v>
      </c>
      <c r="X2887" s="50" t="s">
        <v>3527</v>
      </c>
      <c r="Y2887" s="50" t="s">
        <v>3528</v>
      </c>
      <c r="Z2887" s="50" t="s">
        <v>3406</v>
      </c>
      <c r="AA2887" s="50"/>
    </row>
    <row r="2888" spans="1:27" s="110" customFormat="1" ht="25.5" customHeight="1">
      <c r="A2888" s="517" t="s">
        <v>780</v>
      </c>
      <c r="B2888" s="51" t="s">
        <v>1526</v>
      </c>
      <c r="C2888" s="51" t="s">
        <v>159</v>
      </c>
      <c r="D2888" s="51" t="s">
        <v>6363</v>
      </c>
      <c r="E2888" s="50">
        <v>890</v>
      </c>
      <c r="F2888" s="50">
        <v>937</v>
      </c>
      <c r="G2888" s="50" t="s">
        <v>3404</v>
      </c>
      <c r="H2888" s="50">
        <v>2025</v>
      </c>
      <c r="I2888" s="107">
        <v>45792</v>
      </c>
      <c r="J2888" s="105" t="s">
        <v>3532</v>
      </c>
      <c r="K2888" s="50" t="s">
        <v>1212</v>
      </c>
      <c r="L2888" s="105" t="s">
        <v>163</v>
      </c>
      <c r="M2888" s="50" t="s">
        <v>2393</v>
      </c>
      <c r="N2888" s="105" t="s">
        <v>6364</v>
      </c>
      <c r="O2888" s="132">
        <v>45796</v>
      </c>
      <c r="P2888" s="132">
        <v>45797</v>
      </c>
      <c r="Q2888" s="132">
        <v>45797</v>
      </c>
      <c r="R2888" s="132">
        <v>45797</v>
      </c>
      <c r="S2888" s="50">
        <f t="shared" si="267"/>
        <v>2</v>
      </c>
      <c r="T2888" s="50">
        <f>IF(
    OR(ISBLANK(P2888), ISBLANK(Q2888)),
    "",
    MAX(1, IF(
        NETWORKDAYS(P2888, Q2888) &lt;= 0,
        1,
        NETWORKDAYS(P2888, Q2888) - IF(P2888 = Q2888, 0, 1)
    ))
)</f>
        <v>1</v>
      </c>
      <c r="U2888" s="50">
        <f>IF(
    OR(ISBLANK(Q2888), ISBLANK(R2888)),
    "",
    MAX(1, IF(
        NETWORKDAYS(P2888, Q2888) &lt;= 0,
        1,
        NETWORKDAYS(P2888, Q2888) - IF(P2888 = Q2888, 0, 1)
    ))
)</f>
        <v>1</v>
      </c>
      <c r="V2888" s="50">
        <f t="shared" si="268"/>
        <v>1</v>
      </c>
      <c r="W2888" s="50" t="s">
        <v>150</v>
      </c>
      <c r="X2888" s="50" t="s">
        <v>4</v>
      </c>
      <c r="Y2888" s="50" t="s">
        <v>50</v>
      </c>
      <c r="Z2888" s="50" t="s">
        <v>3406</v>
      </c>
      <c r="AA2888" s="50"/>
    </row>
    <row r="2889" spans="1:27" ht="25.5" customHeight="1">
      <c r="A2889" s="50" t="s">
        <v>780</v>
      </c>
      <c r="B2889" s="51" t="s">
        <v>1526</v>
      </c>
      <c r="C2889" s="51" t="s">
        <v>159</v>
      </c>
      <c r="D2889" s="51" t="s">
        <v>6365</v>
      </c>
      <c r="E2889" s="50">
        <v>658</v>
      </c>
      <c r="F2889" s="50">
        <v>651</v>
      </c>
      <c r="G2889" s="50" t="s">
        <v>3404</v>
      </c>
      <c r="H2889" s="50">
        <v>2024</v>
      </c>
      <c r="I2889" s="107">
        <v>45582</v>
      </c>
      <c r="J2889" s="105"/>
      <c r="K2889" s="50" t="s">
        <v>1212</v>
      </c>
      <c r="L2889" s="105" t="s">
        <v>163</v>
      </c>
      <c r="M2889" s="50" t="s">
        <v>2393</v>
      </c>
      <c r="N2889" s="105"/>
      <c r="O2889" s="105"/>
      <c r="P2889" s="105"/>
      <c r="Q2889" s="105"/>
      <c r="R2889" s="60"/>
      <c r="S2889" s="50" t="str">
        <f t="shared" si="267"/>
        <v/>
      </c>
      <c r="T2889" s="50" t="str">
        <f t="shared" ref="T2889:U2892" si="271">IF(
    OR(ISBLANK(O2889), ISBLANK(P2889)),
    "",
    MAX(1, IF(
        NETWORKDAYS(O2889, P2889) &lt;= 0,
        1,
        NETWORKDAYS(O2889, P2889) - IF(O2889 = P2889, 0, 1)
    ))
)</f>
        <v/>
      </c>
      <c r="U2889" s="50" t="str">
        <f t="shared" si="271"/>
        <v/>
      </c>
      <c r="V2889" s="50" t="str">
        <f t="shared" si="268"/>
        <v/>
      </c>
      <c r="W2889" s="50"/>
      <c r="X2889" s="50" t="s">
        <v>4</v>
      </c>
      <c r="Y2889" s="50" t="s">
        <v>50</v>
      </c>
      <c r="Z2889" s="50" t="s">
        <v>3406</v>
      </c>
      <c r="AA2889" s="50"/>
    </row>
    <row r="2890" spans="1:27" s="110" customFormat="1" ht="25.5" customHeight="1">
      <c r="A2890" s="517" t="s">
        <v>780</v>
      </c>
      <c r="B2890" s="51" t="s">
        <v>1526</v>
      </c>
      <c r="C2890" s="51" t="s">
        <v>159</v>
      </c>
      <c r="D2890" s="51" t="s">
        <v>6366</v>
      </c>
      <c r="E2890" s="50">
        <v>1049</v>
      </c>
      <c r="F2890" s="50">
        <v>1239</v>
      </c>
      <c r="G2890" s="50" t="s">
        <v>3404</v>
      </c>
      <c r="H2890" s="50">
        <v>2025</v>
      </c>
      <c r="I2890" s="107">
        <v>45911</v>
      </c>
      <c r="J2890" s="105" t="s">
        <v>3127</v>
      </c>
      <c r="K2890" s="50" t="s">
        <v>1212</v>
      </c>
      <c r="L2890" s="105" t="s">
        <v>163</v>
      </c>
      <c r="M2890" s="50" t="s">
        <v>2393</v>
      </c>
      <c r="N2890" s="105" t="s">
        <v>6367</v>
      </c>
      <c r="O2890" s="132">
        <v>45915</v>
      </c>
      <c r="P2890" s="132">
        <v>45917</v>
      </c>
      <c r="Q2890" s="132">
        <v>45917</v>
      </c>
      <c r="R2890" s="132">
        <v>45917</v>
      </c>
      <c r="S2890" s="50">
        <f t="shared" si="267"/>
        <v>2</v>
      </c>
      <c r="T2890" s="50">
        <f t="shared" si="271"/>
        <v>2</v>
      </c>
      <c r="U2890" s="50">
        <f t="shared" si="271"/>
        <v>1</v>
      </c>
      <c r="V2890" s="50">
        <f t="shared" si="268"/>
        <v>1</v>
      </c>
      <c r="W2890" s="50" t="s">
        <v>150</v>
      </c>
      <c r="X2890" s="50" t="s">
        <v>4</v>
      </c>
      <c r="Y2890" s="50" t="s">
        <v>50</v>
      </c>
      <c r="Z2890" s="50" t="s">
        <v>3406</v>
      </c>
      <c r="AA2890" s="50"/>
    </row>
    <row r="2891" spans="1:27" ht="25.5" customHeight="1">
      <c r="A2891" s="50" t="s">
        <v>780</v>
      </c>
      <c r="B2891" s="51" t="s">
        <v>1526</v>
      </c>
      <c r="C2891" s="51" t="s">
        <v>159</v>
      </c>
      <c r="D2891" s="51" t="s">
        <v>6368</v>
      </c>
      <c r="E2891" s="50">
        <v>275</v>
      </c>
      <c r="F2891" s="50">
        <v>329</v>
      </c>
      <c r="G2891" s="50" t="s">
        <v>3404</v>
      </c>
      <c r="H2891" s="50">
        <v>2024</v>
      </c>
      <c r="I2891" s="107">
        <v>45484</v>
      </c>
      <c r="J2891" s="105"/>
      <c r="K2891" s="50" t="s">
        <v>1212</v>
      </c>
      <c r="L2891" s="105" t="s">
        <v>163</v>
      </c>
      <c r="M2891" s="50" t="s">
        <v>2393</v>
      </c>
      <c r="N2891" s="105"/>
      <c r="O2891" s="105"/>
      <c r="P2891" s="105"/>
      <c r="Q2891" s="105"/>
      <c r="R2891" s="60"/>
      <c r="S2891" s="50" t="str">
        <f t="shared" si="267"/>
        <v/>
      </c>
      <c r="T2891" s="50" t="str">
        <f t="shared" si="271"/>
        <v/>
      </c>
      <c r="U2891" s="50" t="str">
        <f t="shared" si="271"/>
        <v/>
      </c>
      <c r="V2891" s="50" t="str">
        <f t="shared" si="268"/>
        <v/>
      </c>
      <c r="W2891" s="50"/>
      <c r="X2891" s="50" t="s">
        <v>4</v>
      </c>
      <c r="Y2891" s="50" t="s">
        <v>50</v>
      </c>
      <c r="Z2891" s="50" t="s">
        <v>3406</v>
      </c>
      <c r="AA2891" s="50"/>
    </row>
    <row r="2892" spans="1:27" ht="25.5" customHeight="1">
      <c r="A2892" s="517" t="s">
        <v>780</v>
      </c>
      <c r="B2892" s="51" t="s">
        <v>1526</v>
      </c>
      <c r="C2892" s="51" t="s">
        <v>159</v>
      </c>
      <c r="D2892" s="51" t="s">
        <v>6369</v>
      </c>
      <c r="E2892" s="50">
        <v>2005</v>
      </c>
      <c r="F2892" s="50">
        <v>2427</v>
      </c>
      <c r="G2892" s="50" t="s">
        <v>3404</v>
      </c>
      <c r="H2892" s="50">
        <v>2025</v>
      </c>
      <c r="I2892" s="107">
        <v>45944</v>
      </c>
      <c r="J2892" s="105" t="s">
        <v>3128</v>
      </c>
      <c r="K2892" s="50" t="s">
        <v>42</v>
      </c>
      <c r="L2892" s="105" t="s">
        <v>163</v>
      </c>
      <c r="M2892" s="50" t="s">
        <v>2393</v>
      </c>
      <c r="N2892" s="105" t="s">
        <v>6370</v>
      </c>
      <c r="O2892" s="132">
        <v>45946</v>
      </c>
      <c r="P2892" s="132">
        <v>45946</v>
      </c>
      <c r="Q2892" s="132">
        <v>45946</v>
      </c>
      <c r="R2892" s="132">
        <v>45947</v>
      </c>
      <c r="S2892" s="50">
        <f t="shared" si="267"/>
        <v>2</v>
      </c>
      <c r="T2892" s="50">
        <f t="shared" si="271"/>
        <v>1</v>
      </c>
      <c r="U2892" s="50">
        <f t="shared" si="271"/>
        <v>1</v>
      </c>
      <c r="V2892" s="50">
        <f t="shared" si="268"/>
        <v>1</v>
      </c>
      <c r="W2892" s="50" t="s">
        <v>150</v>
      </c>
      <c r="X2892" s="50" t="s">
        <v>4</v>
      </c>
      <c r="Y2892" s="50" t="s">
        <v>50</v>
      </c>
      <c r="Z2892" s="50" t="s">
        <v>3406</v>
      </c>
      <c r="AA2892" s="50"/>
    </row>
    <row r="2893" spans="1:27" ht="25.5" customHeight="1">
      <c r="A2893" s="517" t="s">
        <v>780</v>
      </c>
      <c r="B2893" s="51" t="s">
        <v>1526</v>
      </c>
      <c r="C2893" s="51" t="s">
        <v>159</v>
      </c>
      <c r="D2893" s="51" t="s">
        <v>1469</v>
      </c>
      <c r="E2893" s="50">
        <v>1582</v>
      </c>
      <c r="F2893" s="50">
        <v>1685</v>
      </c>
      <c r="G2893" s="50" t="s">
        <v>3404</v>
      </c>
      <c r="H2893" s="50">
        <v>2025</v>
      </c>
      <c r="I2893" s="107">
        <v>45821</v>
      </c>
      <c r="J2893" s="105" t="s">
        <v>3689</v>
      </c>
      <c r="K2893" s="50" t="s">
        <v>1212</v>
      </c>
      <c r="L2893" s="105" t="s">
        <v>163</v>
      </c>
      <c r="M2893" s="50" t="s">
        <v>2393</v>
      </c>
      <c r="N2893" s="105" t="s">
        <v>6371</v>
      </c>
      <c r="O2893" s="107">
        <v>45824</v>
      </c>
      <c r="P2893" s="107">
        <v>45825</v>
      </c>
      <c r="Q2893" s="107">
        <v>45825</v>
      </c>
      <c r="R2893" s="107">
        <v>45825</v>
      </c>
      <c r="S2893" s="50">
        <f t="shared" si="267"/>
        <v>1</v>
      </c>
      <c r="T2893" s="50">
        <f>IF(
    OR(ISBLANK(P2893), ISBLANK(Q2893)),
    "",
    MAX(1, IF(
        NETWORKDAYS(P2893, Q2893) &lt;= 0,
        1,
        NETWORKDAYS(P2893, Q2893) - IF(P2893 = Q2893, 0, 1)
    ))
)</f>
        <v>1</v>
      </c>
      <c r="U2893" s="50">
        <f>IF(
    OR(ISBLANK(Q2893), ISBLANK(R2893)),
    "",
    MAX(1, IF(
        NETWORKDAYS(P2893, Q2893) &lt;= 0,
        1,
        NETWORKDAYS(P2893, Q2893) - IF(P2893 = Q2893, 0, 1)
    ))
)</f>
        <v>1</v>
      </c>
      <c r="V2893" s="50">
        <f t="shared" si="268"/>
        <v>1</v>
      </c>
      <c r="W2893" s="50" t="s">
        <v>150</v>
      </c>
      <c r="X2893" s="50" t="s">
        <v>4</v>
      </c>
      <c r="Y2893" s="50" t="s">
        <v>50</v>
      </c>
      <c r="Z2893" s="50" t="s">
        <v>3406</v>
      </c>
      <c r="AA2893" s="50"/>
    </row>
    <row r="2894" spans="1:27" ht="25.5" customHeight="1">
      <c r="A2894" s="517" t="s">
        <v>780</v>
      </c>
      <c r="B2894" s="51" t="s">
        <v>1526</v>
      </c>
      <c r="C2894" s="51" t="s">
        <v>159</v>
      </c>
      <c r="D2894" s="51" t="s">
        <v>6372</v>
      </c>
      <c r="E2894" s="50">
        <v>604</v>
      </c>
      <c r="F2894" s="50">
        <v>703</v>
      </c>
      <c r="G2894" s="50" t="s">
        <v>3404</v>
      </c>
      <c r="H2894" s="50">
        <v>2025</v>
      </c>
      <c r="I2894" s="107">
        <v>45701</v>
      </c>
      <c r="J2894" s="105" t="s">
        <v>3458</v>
      </c>
      <c r="K2894" s="50" t="s">
        <v>1212</v>
      </c>
      <c r="L2894" s="105" t="s">
        <v>163</v>
      </c>
      <c r="M2894" s="50" t="s">
        <v>2393</v>
      </c>
      <c r="N2894" s="50" t="s">
        <v>6373</v>
      </c>
      <c r="O2894" s="107">
        <v>45706</v>
      </c>
      <c r="P2894" s="132">
        <v>45707</v>
      </c>
      <c r="Q2894" s="132">
        <v>45707</v>
      </c>
      <c r="R2894" s="132">
        <v>45707</v>
      </c>
      <c r="S2894" s="50">
        <f t="shared" si="267"/>
        <v>3</v>
      </c>
      <c r="T2894" s="50">
        <f>IF(
    OR(ISBLANK(P2894), ISBLANK(Q2894)),
    "",
    MAX(1, IF(
        NETWORKDAYS(P2894, Q2894) &lt;= 0,
        1,
        NETWORKDAYS(P2894, Q2894) - IF(P2894 = Q2894, 0, 1)
    ))
)</f>
        <v>1</v>
      </c>
      <c r="U2894" s="50">
        <f>IF(
    OR(ISBLANK(Q2894), ISBLANK(R2894)),
    "",
    MAX(1, IF(
        NETWORKDAYS(P2894, Q2894) &lt;= 0,
        1,
        NETWORKDAYS(P2894, Q2894) - IF(P2894 = Q2894, 0, 1)
    ))
)</f>
        <v>1</v>
      </c>
      <c r="V2894" s="50">
        <f t="shared" si="268"/>
        <v>1</v>
      </c>
      <c r="W2894" s="50" t="s">
        <v>150</v>
      </c>
      <c r="X2894" s="50" t="s">
        <v>4</v>
      </c>
      <c r="Y2894" s="50" t="s">
        <v>50</v>
      </c>
      <c r="Z2894" s="50" t="s">
        <v>3406</v>
      </c>
      <c r="AA2894" s="50"/>
    </row>
    <row r="2895" spans="1:27" ht="25.5" customHeight="1">
      <c r="A2895" s="517" t="s">
        <v>780</v>
      </c>
      <c r="B2895" s="51" t="s">
        <v>1526</v>
      </c>
      <c r="C2895" s="51" t="s">
        <v>159</v>
      </c>
      <c r="D2895" s="51" t="s">
        <v>6374</v>
      </c>
      <c r="E2895" s="50">
        <v>392</v>
      </c>
      <c r="F2895" s="50">
        <v>379</v>
      </c>
      <c r="G2895" s="50" t="s">
        <v>3404</v>
      </c>
      <c r="H2895" s="50">
        <v>2025</v>
      </c>
      <c r="I2895" s="107">
        <v>45911</v>
      </c>
      <c r="J2895" s="105" t="s">
        <v>3127</v>
      </c>
      <c r="K2895" s="50" t="s">
        <v>1212</v>
      </c>
      <c r="L2895" s="105" t="s">
        <v>163</v>
      </c>
      <c r="M2895" s="50" t="s">
        <v>2393</v>
      </c>
      <c r="N2895" s="105" t="s">
        <v>6375</v>
      </c>
      <c r="O2895" s="132">
        <v>45915</v>
      </c>
      <c r="P2895" s="132">
        <v>45917</v>
      </c>
      <c r="Q2895" s="132">
        <v>45917</v>
      </c>
      <c r="R2895" s="132">
        <v>45917</v>
      </c>
      <c r="S2895" s="50">
        <f t="shared" si="267"/>
        <v>2</v>
      </c>
      <c r="T2895" s="50">
        <f>IF(
    OR(ISBLANK(O2895), ISBLANK(P2895)),
    "",
    MAX(1, IF(
        NETWORKDAYS(O2895, P2895) &lt;= 0,
        1,
        NETWORKDAYS(O2895, P2895) - IF(O2895 = P2895, 0, 1)
    ))
)</f>
        <v>2</v>
      </c>
      <c r="U2895" s="50">
        <f>IF(
    OR(ISBLANK(P2895), ISBLANK(Q2895)),
    "",
    MAX(1, IF(
        NETWORKDAYS(P2895, Q2895) &lt;= 0,
        1,
        NETWORKDAYS(P2895, Q2895) - IF(P2895 = Q2895, 0, 1)
    ))
)</f>
        <v>1</v>
      </c>
      <c r="V2895" s="50">
        <f t="shared" si="268"/>
        <v>1</v>
      </c>
      <c r="W2895" s="50" t="s">
        <v>150</v>
      </c>
      <c r="X2895" s="50" t="s">
        <v>4</v>
      </c>
      <c r="Y2895" s="50" t="s">
        <v>50</v>
      </c>
      <c r="Z2895" s="50" t="s">
        <v>3406</v>
      </c>
      <c r="AA2895" s="50"/>
    </row>
    <row r="2896" spans="1:27" ht="25.5" customHeight="1">
      <c r="A2896" s="517" t="s">
        <v>780</v>
      </c>
      <c r="B2896" s="51" t="s">
        <v>1526</v>
      </c>
      <c r="C2896" s="51" t="s">
        <v>159</v>
      </c>
      <c r="D2896" s="51" t="s">
        <v>6376</v>
      </c>
      <c r="E2896" s="50">
        <v>1219</v>
      </c>
      <c r="F2896" s="50">
        <v>1310</v>
      </c>
      <c r="G2896" s="50" t="s">
        <v>3404</v>
      </c>
      <c r="H2896" s="50">
        <v>2025</v>
      </c>
      <c r="I2896" s="107">
        <v>45728</v>
      </c>
      <c r="J2896" s="105" t="s">
        <v>3416</v>
      </c>
      <c r="K2896" s="50" t="s">
        <v>1212</v>
      </c>
      <c r="L2896" s="105" t="s">
        <v>163</v>
      </c>
      <c r="M2896" s="50" t="s">
        <v>2393</v>
      </c>
      <c r="N2896" s="105" t="s">
        <v>6377</v>
      </c>
      <c r="O2896" s="107">
        <v>45734</v>
      </c>
      <c r="P2896" s="107">
        <v>45734</v>
      </c>
      <c r="Q2896" s="107">
        <v>45734</v>
      </c>
      <c r="R2896" s="107">
        <v>45734</v>
      </c>
      <c r="S2896" s="50">
        <f t="shared" si="267"/>
        <v>4</v>
      </c>
      <c r="T2896" s="50">
        <f>IF(
    OR(ISBLANK(P2896), ISBLANK(Q2896)),
    "",
    MAX(1, IF(
        NETWORKDAYS(P2896, Q2896) &lt;= 0,
        1,
        NETWORKDAYS(P2896, Q2896) - IF(P2896 = Q2896, 0, 1)
    ))
)</f>
        <v>1</v>
      </c>
      <c r="U2896" s="50">
        <f>IF(
    OR(ISBLANK(Q2896), ISBLANK(R2896)),
    "",
    MAX(1, IF(
        NETWORKDAYS(P2896, Q2896) &lt;= 0,
        1,
        NETWORKDAYS(P2896, Q2896) - IF(P2896 = Q2896, 0, 1)
    ))
)</f>
        <v>1</v>
      </c>
      <c r="V2896" s="50">
        <f t="shared" si="268"/>
        <v>1</v>
      </c>
      <c r="W2896" s="50" t="s">
        <v>150</v>
      </c>
      <c r="X2896" s="50" t="s">
        <v>4</v>
      </c>
      <c r="Y2896" s="50" t="s">
        <v>50</v>
      </c>
      <c r="Z2896" s="50" t="s">
        <v>3406</v>
      </c>
      <c r="AA2896" s="50"/>
    </row>
    <row r="2897" spans="1:27" ht="25.5" customHeight="1">
      <c r="A2897" s="517" t="s">
        <v>780</v>
      </c>
      <c r="B2897" s="51" t="s">
        <v>1526</v>
      </c>
      <c r="C2897" s="51" t="s">
        <v>159</v>
      </c>
      <c r="D2897" s="51" t="s">
        <v>6378</v>
      </c>
      <c r="E2897" s="50">
        <v>499</v>
      </c>
      <c r="F2897" s="50">
        <v>612</v>
      </c>
      <c r="G2897" s="50" t="s">
        <v>3404</v>
      </c>
      <c r="H2897" s="50">
        <v>2025</v>
      </c>
      <c r="I2897" s="107">
        <v>45911</v>
      </c>
      <c r="J2897" s="105" t="s">
        <v>3127</v>
      </c>
      <c r="K2897" s="50" t="s">
        <v>1212</v>
      </c>
      <c r="L2897" s="105" t="s">
        <v>163</v>
      </c>
      <c r="M2897" s="50" t="s">
        <v>2393</v>
      </c>
      <c r="N2897" s="105" t="s">
        <v>6379</v>
      </c>
      <c r="O2897" s="132">
        <v>45915</v>
      </c>
      <c r="P2897" s="132">
        <v>45917</v>
      </c>
      <c r="Q2897" s="132">
        <v>45917</v>
      </c>
      <c r="R2897" s="132">
        <v>45917</v>
      </c>
      <c r="S2897" s="50">
        <f t="shared" si="267"/>
        <v>2</v>
      </c>
      <c r="T2897" s="50">
        <f>IF(
    OR(ISBLANK(O2897), ISBLANK(P2897)),
    "",
    MAX(1, IF(
        NETWORKDAYS(O2897, P2897) &lt;= 0,
        1,
        NETWORKDAYS(O2897, P2897) - IF(O2897 = P2897, 0, 1)
    ))
)</f>
        <v>2</v>
      </c>
      <c r="U2897" s="50">
        <f>IF(
    OR(ISBLANK(P2897), ISBLANK(Q2897)),
    "",
    MAX(1, IF(
        NETWORKDAYS(P2897, Q2897) &lt;= 0,
        1,
        NETWORKDAYS(P2897, Q2897) - IF(P2897 = Q2897, 0, 1)
    ))
)</f>
        <v>1</v>
      </c>
      <c r="V2897" s="50">
        <f t="shared" si="268"/>
        <v>1</v>
      </c>
      <c r="W2897" s="50" t="s">
        <v>150</v>
      </c>
      <c r="X2897" s="50" t="s">
        <v>4</v>
      </c>
      <c r="Y2897" s="50" t="s">
        <v>50</v>
      </c>
      <c r="Z2897" s="50" t="s">
        <v>3406</v>
      </c>
      <c r="AA2897" s="50"/>
    </row>
    <row r="2898" spans="1:27" s="110" customFormat="1" ht="25.5" customHeight="1">
      <c r="A2898" s="517" t="s">
        <v>780</v>
      </c>
      <c r="B2898" s="51" t="s">
        <v>1526</v>
      </c>
      <c r="C2898" s="51" t="s">
        <v>159</v>
      </c>
      <c r="D2898" s="51" t="s">
        <v>6380</v>
      </c>
      <c r="E2898" s="50">
        <v>1224</v>
      </c>
      <c r="F2898" s="50">
        <v>1458</v>
      </c>
      <c r="G2898" s="50" t="s">
        <v>3404</v>
      </c>
      <c r="H2898" s="50">
        <v>2025</v>
      </c>
      <c r="I2898" s="107">
        <v>45911</v>
      </c>
      <c r="J2898" s="105" t="s">
        <v>3127</v>
      </c>
      <c r="K2898" s="50" t="s">
        <v>1212</v>
      </c>
      <c r="L2898" s="105" t="s">
        <v>163</v>
      </c>
      <c r="M2898" s="50" t="s">
        <v>2393</v>
      </c>
      <c r="N2898" s="105" t="s">
        <v>6381</v>
      </c>
      <c r="O2898" s="132">
        <v>45915</v>
      </c>
      <c r="P2898" s="132">
        <v>45917</v>
      </c>
      <c r="Q2898" s="132">
        <v>45917</v>
      </c>
      <c r="R2898" s="132">
        <v>45917</v>
      </c>
      <c r="S2898" s="50">
        <f t="shared" si="267"/>
        <v>2</v>
      </c>
      <c r="T2898" s="50">
        <f>IF(
    OR(ISBLANK(O2898), ISBLANK(P2898)),
    "",
    MAX(1, IF(
        NETWORKDAYS(O2898, P2898) &lt;= 0,
        1,
        NETWORKDAYS(O2898, P2898) - IF(O2898 = P2898, 0, 1)
    ))
)</f>
        <v>2</v>
      </c>
      <c r="U2898" s="50">
        <f>IF(
    OR(ISBLANK(P2898), ISBLANK(Q2898)),
    "",
    MAX(1, IF(
        NETWORKDAYS(P2898, Q2898) &lt;= 0,
        1,
        NETWORKDAYS(P2898, Q2898) - IF(P2898 = Q2898, 0, 1)
    ))
)</f>
        <v>1</v>
      </c>
      <c r="V2898" s="50">
        <f t="shared" si="268"/>
        <v>1</v>
      </c>
      <c r="W2898" s="50" t="s">
        <v>150</v>
      </c>
      <c r="X2898" s="50" t="s">
        <v>4</v>
      </c>
      <c r="Y2898" s="50" t="s">
        <v>50</v>
      </c>
      <c r="Z2898" s="50" t="s">
        <v>3406</v>
      </c>
      <c r="AA2898" s="50"/>
    </row>
    <row r="2899" spans="1:27" ht="25.5" customHeight="1">
      <c r="A2899" s="517" t="s">
        <v>780</v>
      </c>
      <c r="B2899" s="51" t="s">
        <v>1526</v>
      </c>
      <c r="C2899" s="51" t="s">
        <v>159</v>
      </c>
      <c r="D2899" s="51" t="s">
        <v>5278</v>
      </c>
      <c r="E2899" s="50">
        <v>641</v>
      </c>
      <c r="F2899" s="50">
        <v>779</v>
      </c>
      <c r="G2899" s="50" t="s">
        <v>3404</v>
      </c>
      <c r="H2899" s="50">
        <v>2025</v>
      </c>
      <c r="I2899" s="107">
        <v>45821</v>
      </c>
      <c r="J2899" s="105" t="s">
        <v>3689</v>
      </c>
      <c r="K2899" s="50" t="s">
        <v>1212</v>
      </c>
      <c r="L2899" s="105" t="s">
        <v>163</v>
      </c>
      <c r="M2899" s="50" t="s">
        <v>2393</v>
      </c>
      <c r="N2899" s="105" t="s">
        <v>6382</v>
      </c>
      <c r="O2899" s="107">
        <v>45824</v>
      </c>
      <c r="P2899" s="107">
        <v>45825</v>
      </c>
      <c r="Q2899" s="107">
        <v>45825</v>
      </c>
      <c r="R2899" s="107">
        <v>45825</v>
      </c>
      <c r="S2899" s="50">
        <f t="shared" si="267"/>
        <v>1</v>
      </c>
      <c r="T2899" s="50">
        <f>IF(
    OR(ISBLANK(P2899), ISBLANK(Q2899)),
    "",
    MAX(1, IF(
        NETWORKDAYS(P2899, Q2899) &lt;= 0,
        1,
        NETWORKDAYS(P2899, Q2899) - IF(P2899 = Q2899, 0, 1)
    ))
)</f>
        <v>1</v>
      </c>
      <c r="U2899" s="50">
        <f>IF(
    OR(ISBLANK(Q2899), ISBLANK(R2899)),
    "",
    MAX(1, IF(
        NETWORKDAYS(P2899, Q2899) &lt;= 0,
        1,
        NETWORKDAYS(P2899, Q2899) - IF(P2899 = Q2899, 0, 1)
    ))
)</f>
        <v>1</v>
      </c>
      <c r="V2899" s="50">
        <f t="shared" si="268"/>
        <v>1</v>
      </c>
      <c r="W2899" s="50" t="s">
        <v>150</v>
      </c>
      <c r="X2899" s="50" t="s">
        <v>4</v>
      </c>
      <c r="Y2899" s="50" t="s">
        <v>50</v>
      </c>
      <c r="Z2899" s="50" t="s">
        <v>3406</v>
      </c>
      <c r="AA2899" s="50"/>
    </row>
    <row r="2900" spans="1:27" ht="25.5" customHeight="1">
      <c r="A2900" s="50" t="s">
        <v>780</v>
      </c>
      <c r="B2900" s="51" t="s">
        <v>1526</v>
      </c>
      <c r="C2900" s="51" t="s">
        <v>159</v>
      </c>
      <c r="D2900" s="51" t="s">
        <v>1831</v>
      </c>
      <c r="E2900" s="50">
        <v>1052</v>
      </c>
      <c r="F2900" s="50">
        <v>1192</v>
      </c>
      <c r="G2900" s="50" t="s">
        <v>3404</v>
      </c>
      <c r="H2900" s="50">
        <v>2024</v>
      </c>
      <c r="I2900" s="107">
        <v>45540</v>
      </c>
      <c r="J2900" s="105"/>
      <c r="K2900" s="50" t="s">
        <v>1212</v>
      </c>
      <c r="L2900" s="105" t="s">
        <v>163</v>
      </c>
      <c r="M2900" s="50" t="s">
        <v>2393</v>
      </c>
      <c r="N2900" s="105"/>
      <c r="O2900" s="105"/>
      <c r="P2900" s="105"/>
      <c r="Q2900" s="105"/>
      <c r="R2900" s="60"/>
      <c r="S2900" s="50" t="str">
        <f t="shared" si="267"/>
        <v/>
      </c>
      <c r="T2900" s="50" t="str">
        <f t="shared" ref="T2900:U2904" si="272">IF(
    OR(ISBLANK(O2900), ISBLANK(P2900)),
    "",
    MAX(1, IF(
        NETWORKDAYS(O2900, P2900) &lt;= 0,
        1,
        NETWORKDAYS(O2900, P2900) - IF(O2900 = P2900, 0, 1)
    ))
)</f>
        <v/>
      </c>
      <c r="U2900" s="50" t="str">
        <f t="shared" si="272"/>
        <v/>
      </c>
      <c r="V2900" s="50" t="str">
        <f t="shared" si="268"/>
        <v/>
      </c>
      <c r="W2900" s="50"/>
      <c r="X2900" s="50" t="s">
        <v>4</v>
      </c>
      <c r="Y2900" s="50" t="s">
        <v>50</v>
      </c>
      <c r="Z2900" s="50" t="s">
        <v>3406</v>
      </c>
      <c r="AA2900" s="50"/>
    </row>
    <row r="2901" spans="1:27" s="110" customFormat="1" ht="25.5" customHeight="1">
      <c r="A2901" s="517" t="s">
        <v>780</v>
      </c>
      <c r="B2901" s="51" t="s">
        <v>1526</v>
      </c>
      <c r="C2901" s="51" t="s">
        <v>159</v>
      </c>
      <c r="D2901" s="51" t="s">
        <v>6383</v>
      </c>
      <c r="E2901" s="50">
        <v>1991</v>
      </c>
      <c r="F2901" s="50">
        <v>2098</v>
      </c>
      <c r="G2901" s="50" t="s">
        <v>3404</v>
      </c>
      <c r="H2901" s="50">
        <v>2025</v>
      </c>
      <c r="I2901" s="107">
        <v>45911</v>
      </c>
      <c r="J2901" s="105" t="s">
        <v>3127</v>
      </c>
      <c r="K2901" s="50" t="s">
        <v>1212</v>
      </c>
      <c r="L2901" s="105" t="s">
        <v>163</v>
      </c>
      <c r="M2901" s="50" t="s">
        <v>2393</v>
      </c>
      <c r="N2901" s="105" t="s">
        <v>6384</v>
      </c>
      <c r="O2901" s="132">
        <v>45915</v>
      </c>
      <c r="P2901" s="132">
        <v>45917</v>
      </c>
      <c r="Q2901" s="132">
        <v>45917</v>
      </c>
      <c r="R2901" s="132">
        <v>45917</v>
      </c>
      <c r="S2901" s="50">
        <f t="shared" si="267"/>
        <v>2</v>
      </c>
      <c r="T2901" s="50">
        <f t="shared" si="272"/>
        <v>2</v>
      </c>
      <c r="U2901" s="50">
        <f t="shared" si="272"/>
        <v>1</v>
      </c>
      <c r="V2901" s="50">
        <f t="shared" si="268"/>
        <v>1</v>
      </c>
      <c r="W2901" s="50" t="s">
        <v>150</v>
      </c>
      <c r="X2901" s="50" t="s">
        <v>4</v>
      </c>
      <c r="Y2901" s="50" t="s">
        <v>50</v>
      </c>
      <c r="Z2901" s="50" t="s">
        <v>3406</v>
      </c>
      <c r="AA2901" s="50"/>
    </row>
    <row r="2902" spans="1:27" ht="25.5" customHeight="1">
      <c r="A2902" s="517" t="s">
        <v>780</v>
      </c>
      <c r="B2902" s="51" t="s">
        <v>1526</v>
      </c>
      <c r="C2902" s="51" t="s">
        <v>159</v>
      </c>
      <c r="D2902" s="51" t="s">
        <v>6385</v>
      </c>
      <c r="E2902" s="50">
        <v>1533</v>
      </c>
      <c r="F2902" s="50">
        <v>1848</v>
      </c>
      <c r="G2902" s="50" t="s">
        <v>3404</v>
      </c>
      <c r="H2902" s="50">
        <v>2025</v>
      </c>
      <c r="I2902" s="107">
        <v>45911</v>
      </c>
      <c r="J2902" s="105" t="s">
        <v>3127</v>
      </c>
      <c r="K2902" s="50" t="s">
        <v>1212</v>
      </c>
      <c r="L2902" s="105" t="s">
        <v>163</v>
      </c>
      <c r="M2902" s="50" t="s">
        <v>2393</v>
      </c>
      <c r="N2902" s="105" t="s">
        <v>6386</v>
      </c>
      <c r="O2902" s="132">
        <v>45915</v>
      </c>
      <c r="P2902" s="132">
        <v>45917</v>
      </c>
      <c r="Q2902" s="132">
        <v>45917</v>
      </c>
      <c r="R2902" s="132">
        <v>45917</v>
      </c>
      <c r="S2902" s="50">
        <f t="shared" si="267"/>
        <v>2</v>
      </c>
      <c r="T2902" s="50">
        <f t="shared" si="272"/>
        <v>2</v>
      </c>
      <c r="U2902" s="50">
        <f t="shared" si="272"/>
        <v>1</v>
      </c>
      <c r="V2902" s="50">
        <f t="shared" si="268"/>
        <v>1</v>
      </c>
      <c r="W2902" s="50" t="s">
        <v>150</v>
      </c>
      <c r="X2902" s="50" t="s">
        <v>4</v>
      </c>
      <c r="Y2902" s="50" t="s">
        <v>50</v>
      </c>
      <c r="Z2902" s="50" t="s">
        <v>3406</v>
      </c>
      <c r="AA2902" s="50"/>
    </row>
    <row r="2903" spans="1:27" ht="25.5" customHeight="1">
      <c r="A2903" s="50" t="s">
        <v>780</v>
      </c>
      <c r="B2903" s="51" t="s">
        <v>1526</v>
      </c>
      <c r="C2903" s="51" t="s">
        <v>159</v>
      </c>
      <c r="D2903" s="51" t="s">
        <v>914</v>
      </c>
      <c r="E2903" s="50">
        <v>742</v>
      </c>
      <c r="F2903" s="50">
        <v>788</v>
      </c>
      <c r="G2903" s="50" t="s">
        <v>3404</v>
      </c>
      <c r="H2903" s="50">
        <v>2024</v>
      </c>
      <c r="I2903" s="107">
        <v>45484</v>
      </c>
      <c r="J2903" s="105"/>
      <c r="K2903" s="50" t="s">
        <v>1212</v>
      </c>
      <c r="L2903" s="105" t="s">
        <v>163</v>
      </c>
      <c r="M2903" s="50" t="s">
        <v>2393</v>
      </c>
      <c r="N2903" s="105"/>
      <c r="O2903" s="105"/>
      <c r="P2903" s="105"/>
      <c r="Q2903" s="105"/>
      <c r="R2903" s="60"/>
      <c r="S2903" s="50" t="str">
        <f t="shared" si="267"/>
        <v/>
      </c>
      <c r="T2903" s="50" t="str">
        <f t="shared" si="272"/>
        <v/>
      </c>
      <c r="U2903" s="50" t="str">
        <f t="shared" si="272"/>
        <v/>
      </c>
      <c r="V2903" s="50" t="str">
        <f t="shared" si="268"/>
        <v/>
      </c>
      <c r="W2903" s="50"/>
      <c r="X2903" s="50" t="s">
        <v>4</v>
      </c>
      <c r="Y2903" s="50" t="s">
        <v>50</v>
      </c>
      <c r="Z2903" s="50" t="s">
        <v>3406</v>
      </c>
      <c r="AA2903" s="50"/>
    </row>
    <row r="2904" spans="1:27" ht="25.5" customHeight="1">
      <c r="A2904" s="517" t="s">
        <v>780</v>
      </c>
      <c r="B2904" s="51" t="s">
        <v>1526</v>
      </c>
      <c r="C2904" s="51" t="s">
        <v>159</v>
      </c>
      <c r="D2904" s="51" t="s">
        <v>1180</v>
      </c>
      <c r="E2904" s="50">
        <v>2180</v>
      </c>
      <c r="F2904" s="50">
        <v>2321</v>
      </c>
      <c r="G2904" s="50" t="s">
        <v>3404</v>
      </c>
      <c r="H2904" s="50">
        <v>2025</v>
      </c>
      <c r="I2904" s="107">
        <v>45911</v>
      </c>
      <c r="J2904" s="105" t="s">
        <v>3127</v>
      </c>
      <c r="K2904" s="50" t="s">
        <v>1212</v>
      </c>
      <c r="L2904" s="105" t="s">
        <v>163</v>
      </c>
      <c r="M2904" s="50" t="s">
        <v>2393</v>
      </c>
      <c r="N2904" s="105" t="s">
        <v>6387</v>
      </c>
      <c r="O2904" s="132">
        <v>45915</v>
      </c>
      <c r="P2904" s="132">
        <v>45917</v>
      </c>
      <c r="Q2904" s="132">
        <v>45917</v>
      </c>
      <c r="R2904" s="132">
        <v>45917</v>
      </c>
      <c r="S2904" s="50">
        <f t="shared" si="267"/>
        <v>2</v>
      </c>
      <c r="T2904" s="50">
        <f t="shared" si="272"/>
        <v>2</v>
      </c>
      <c r="U2904" s="50">
        <f t="shared" si="272"/>
        <v>1</v>
      </c>
      <c r="V2904" s="50">
        <f t="shared" si="268"/>
        <v>1</v>
      </c>
      <c r="W2904" s="50" t="s">
        <v>150</v>
      </c>
      <c r="X2904" s="50" t="s">
        <v>4</v>
      </c>
      <c r="Y2904" s="50" t="s">
        <v>50</v>
      </c>
      <c r="Z2904" s="50" t="s">
        <v>3406</v>
      </c>
      <c r="AA2904" s="50"/>
    </row>
    <row r="2905" spans="1:27" s="110" customFormat="1" ht="25.5" customHeight="1">
      <c r="A2905" s="517" t="s">
        <v>780</v>
      </c>
      <c r="B2905" s="51" t="s">
        <v>1526</v>
      </c>
      <c r="C2905" s="51" t="s">
        <v>159</v>
      </c>
      <c r="D2905" s="51" t="s">
        <v>3913</v>
      </c>
      <c r="E2905" s="50">
        <v>1655</v>
      </c>
      <c r="F2905" s="50">
        <v>1671</v>
      </c>
      <c r="G2905" s="50" t="s">
        <v>3404</v>
      </c>
      <c r="H2905" s="50">
        <v>2025</v>
      </c>
      <c r="I2905" s="107">
        <v>45757</v>
      </c>
      <c r="J2905" s="105" t="s">
        <v>3470</v>
      </c>
      <c r="K2905" s="50" t="s">
        <v>1212</v>
      </c>
      <c r="L2905" s="105" t="s">
        <v>163</v>
      </c>
      <c r="M2905" s="50" t="s">
        <v>2393</v>
      </c>
      <c r="N2905" s="105" t="s">
        <v>6388</v>
      </c>
      <c r="O2905" s="132">
        <v>45761</v>
      </c>
      <c r="P2905" s="132">
        <v>45762</v>
      </c>
      <c r="Q2905" s="132">
        <v>45768</v>
      </c>
      <c r="R2905" s="132">
        <v>45768</v>
      </c>
      <c r="S2905" s="50">
        <f t="shared" si="267"/>
        <v>2</v>
      </c>
      <c r="T2905" s="50">
        <f>IF(
    OR(ISBLANK(P2905), ISBLANK(Q2905)),
    "",
    MAX(1, IF(
        NETWORKDAYS(P2905, Q2905) &lt;= 0,
        1,
        NETWORKDAYS(P2905, Q2905) - IF(P2905 = Q2905, 0, 1)
    ))
)</f>
        <v>4</v>
      </c>
      <c r="U2905" s="50">
        <f>IF(
    OR(ISBLANK(Q2905), ISBLANK(R2905)),
    "",
    MAX(1, IF(
        NETWORKDAYS(P2905, Q2905) &lt;= 0,
        1,
        NETWORKDAYS(P2905, Q2905) - IF(P2905 = Q2905, 0, 1)
    ))
)</f>
        <v>4</v>
      </c>
      <c r="V2905" s="50">
        <f t="shared" si="268"/>
        <v>1</v>
      </c>
      <c r="W2905" s="50" t="s">
        <v>150</v>
      </c>
      <c r="X2905" s="50" t="s">
        <v>4</v>
      </c>
      <c r="Y2905" s="50" t="s">
        <v>50</v>
      </c>
      <c r="Z2905" s="50" t="s">
        <v>3406</v>
      </c>
      <c r="AA2905" s="50"/>
    </row>
    <row r="2906" spans="1:27" ht="25.5" customHeight="1">
      <c r="A2906" s="517" t="s">
        <v>780</v>
      </c>
      <c r="B2906" s="51" t="s">
        <v>1526</v>
      </c>
      <c r="C2906" s="51" t="s">
        <v>159</v>
      </c>
      <c r="D2906" s="51" t="s">
        <v>1155</v>
      </c>
      <c r="E2906" s="50">
        <v>932</v>
      </c>
      <c r="F2906" s="50">
        <v>1097</v>
      </c>
      <c r="G2906" s="50" t="s">
        <v>3404</v>
      </c>
      <c r="H2906" s="50">
        <v>2025</v>
      </c>
      <c r="I2906" s="107">
        <v>45944</v>
      </c>
      <c r="J2906" s="105" t="s">
        <v>3128</v>
      </c>
      <c r="K2906" s="50" t="s">
        <v>42</v>
      </c>
      <c r="L2906" s="105" t="s">
        <v>163</v>
      </c>
      <c r="M2906" s="50" t="s">
        <v>2393</v>
      </c>
      <c r="N2906" s="105" t="s">
        <v>6389</v>
      </c>
      <c r="O2906" s="132">
        <v>45946</v>
      </c>
      <c r="P2906" s="132">
        <v>45946</v>
      </c>
      <c r="Q2906" s="132">
        <v>45946</v>
      </c>
      <c r="R2906" s="132">
        <v>45947</v>
      </c>
      <c r="S2906" s="50">
        <f t="shared" si="267"/>
        <v>2</v>
      </c>
      <c r="T2906" s="50">
        <f t="shared" ref="T2906:U2908" si="273">IF(
    OR(ISBLANK(O2906), ISBLANK(P2906)),
    "",
    MAX(1, IF(
        NETWORKDAYS(O2906, P2906) &lt;= 0,
        1,
        NETWORKDAYS(O2906, P2906) - IF(O2906 = P2906, 0, 1)
    ))
)</f>
        <v>1</v>
      </c>
      <c r="U2906" s="50">
        <f t="shared" si="273"/>
        <v>1</v>
      </c>
      <c r="V2906" s="50">
        <f t="shared" si="268"/>
        <v>1</v>
      </c>
      <c r="W2906" s="50" t="s">
        <v>150</v>
      </c>
      <c r="X2906" s="50" t="s">
        <v>4</v>
      </c>
      <c r="Y2906" s="50" t="s">
        <v>50</v>
      </c>
      <c r="Z2906" s="50" t="s">
        <v>3406</v>
      </c>
      <c r="AA2906" s="50"/>
    </row>
    <row r="2907" spans="1:27" ht="25.5" customHeight="1">
      <c r="A2907" s="50" t="s">
        <v>780</v>
      </c>
      <c r="B2907" s="51" t="s">
        <v>1526</v>
      </c>
      <c r="C2907" s="51" t="s">
        <v>159</v>
      </c>
      <c r="D2907" s="51" t="s">
        <v>4242</v>
      </c>
      <c r="E2907" s="50">
        <v>1944</v>
      </c>
      <c r="F2907" s="50">
        <v>2130</v>
      </c>
      <c r="G2907" s="50" t="s">
        <v>3404</v>
      </c>
      <c r="H2907" s="50">
        <v>2024</v>
      </c>
      <c r="I2907" s="107">
        <v>45484</v>
      </c>
      <c r="J2907" s="105"/>
      <c r="K2907" s="50" t="s">
        <v>1212</v>
      </c>
      <c r="L2907" s="105" t="s">
        <v>163</v>
      </c>
      <c r="M2907" s="50" t="s">
        <v>2393</v>
      </c>
      <c r="N2907" s="105"/>
      <c r="O2907" s="105"/>
      <c r="P2907" s="105"/>
      <c r="Q2907" s="105"/>
      <c r="R2907" s="60"/>
      <c r="S2907" s="50" t="str">
        <f t="shared" si="267"/>
        <v/>
      </c>
      <c r="T2907" s="50" t="str">
        <f t="shared" si="273"/>
        <v/>
      </c>
      <c r="U2907" s="50" t="str">
        <f t="shared" si="273"/>
        <v/>
      </c>
      <c r="V2907" s="50" t="str">
        <f t="shared" si="268"/>
        <v/>
      </c>
      <c r="W2907" s="50"/>
      <c r="X2907" s="50" t="s">
        <v>4</v>
      </c>
      <c r="Y2907" s="50" t="s">
        <v>50</v>
      </c>
      <c r="Z2907" s="50" t="s">
        <v>3406</v>
      </c>
      <c r="AA2907" s="50"/>
    </row>
    <row r="2908" spans="1:27" ht="25.5" customHeight="1">
      <c r="A2908" s="50" t="s">
        <v>780</v>
      </c>
      <c r="B2908" s="51" t="s">
        <v>1526</v>
      </c>
      <c r="C2908" s="51" t="s">
        <v>159</v>
      </c>
      <c r="D2908" s="51" t="s">
        <v>3727</v>
      </c>
      <c r="E2908" s="50">
        <v>996</v>
      </c>
      <c r="F2908" s="50">
        <v>1185</v>
      </c>
      <c r="G2908" s="50" t="s">
        <v>3404</v>
      </c>
      <c r="H2908" s="50">
        <v>2024</v>
      </c>
      <c r="I2908" s="107">
        <v>45582</v>
      </c>
      <c r="J2908" s="105"/>
      <c r="K2908" s="50" t="s">
        <v>1212</v>
      </c>
      <c r="L2908" s="105" t="s">
        <v>163</v>
      </c>
      <c r="M2908" s="50" t="s">
        <v>2393</v>
      </c>
      <c r="N2908" s="105"/>
      <c r="O2908" s="105"/>
      <c r="P2908" s="105"/>
      <c r="Q2908" s="105"/>
      <c r="R2908" s="60"/>
      <c r="S2908" s="50" t="str">
        <f t="shared" si="267"/>
        <v/>
      </c>
      <c r="T2908" s="50" t="str">
        <f t="shared" si="273"/>
        <v/>
      </c>
      <c r="U2908" s="50" t="str">
        <f t="shared" si="273"/>
        <v/>
      </c>
      <c r="V2908" s="50" t="str">
        <f t="shared" si="268"/>
        <v/>
      </c>
      <c r="W2908" s="50"/>
      <c r="X2908" s="50" t="s">
        <v>4</v>
      </c>
      <c r="Y2908" s="50" t="s">
        <v>50</v>
      </c>
      <c r="Z2908" s="50" t="s">
        <v>3406</v>
      </c>
      <c r="AA2908" s="50"/>
    </row>
    <row r="2909" spans="1:27" ht="25.5" customHeight="1">
      <c r="A2909" s="517" t="s">
        <v>780</v>
      </c>
      <c r="B2909" s="51" t="s">
        <v>1526</v>
      </c>
      <c r="C2909" s="51" t="s">
        <v>159</v>
      </c>
      <c r="D2909" s="51" t="s">
        <v>6390</v>
      </c>
      <c r="E2909" s="50">
        <v>1100</v>
      </c>
      <c r="F2909" s="50">
        <v>1279</v>
      </c>
      <c r="G2909" s="50" t="s">
        <v>3404</v>
      </c>
      <c r="H2909" s="50">
        <v>2025</v>
      </c>
      <c r="I2909" s="107">
        <v>45792</v>
      </c>
      <c r="J2909" s="105" t="s">
        <v>3532</v>
      </c>
      <c r="K2909" s="50" t="s">
        <v>1212</v>
      </c>
      <c r="L2909" s="105" t="s">
        <v>163</v>
      </c>
      <c r="M2909" s="50" t="s">
        <v>2393</v>
      </c>
      <c r="N2909" s="105" t="s">
        <v>6391</v>
      </c>
      <c r="O2909" s="132">
        <v>45796</v>
      </c>
      <c r="P2909" s="132">
        <v>45797</v>
      </c>
      <c r="Q2909" s="132">
        <v>45797</v>
      </c>
      <c r="R2909" s="132">
        <v>45797</v>
      </c>
      <c r="S2909" s="50">
        <f t="shared" si="267"/>
        <v>2</v>
      </c>
      <c r="T2909" s="50">
        <f>IF(
    OR(ISBLANK(P2909), ISBLANK(Q2909)),
    "",
    MAX(1, IF(
        NETWORKDAYS(P2909, Q2909) &lt;= 0,
        1,
        NETWORKDAYS(P2909, Q2909) - IF(P2909 = Q2909, 0, 1)
    ))
)</f>
        <v>1</v>
      </c>
      <c r="U2909" s="50">
        <f>IF(
    OR(ISBLANK(Q2909), ISBLANK(R2909)),
    "",
    MAX(1, IF(
        NETWORKDAYS(P2909, Q2909) &lt;= 0,
        1,
        NETWORKDAYS(P2909, Q2909) - IF(P2909 = Q2909, 0, 1)
    ))
)</f>
        <v>1</v>
      </c>
      <c r="V2909" s="50">
        <f t="shared" si="268"/>
        <v>1</v>
      </c>
      <c r="W2909" s="50" t="s">
        <v>150</v>
      </c>
      <c r="X2909" s="50" t="s">
        <v>4</v>
      </c>
      <c r="Y2909" s="50" t="s">
        <v>50</v>
      </c>
      <c r="Z2909" s="50" t="s">
        <v>3406</v>
      </c>
      <c r="AA2909" s="50"/>
    </row>
    <row r="2910" spans="1:27" s="110" customFormat="1" ht="25.5" customHeight="1">
      <c r="A2910" s="517" t="s">
        <v>780</v>
      </c>
      <c r="B2910" s="51" t="s">
        <v>1531</v>
      </c>
      <c r="C2910" s="51" t="s">
        <v>159</v>
      </c>
      <c r="D2910" s="51" t="s">
        <v>6392</v>
      </c>
      <c r="E2910" s="50">
        <v>1769</v>
      </c>
      <c r="F2910" s="50">
        <v>1987</v>
      </c>
      <c r="G2910" s="50" t="s">
        <v>3404</v>
      </c>
      <c r="H2910" s="50">
        <v>2025</v>
      </c>
      <c r="I2910" s="107">
        <v>45750</v>
      </c>
      <c r="J2910" s="105" t="s">
        <v>3470</v>
      </c>
      <c r="K2910" s="105" t="s">
        <v>42</v>
      </c>
      <c r="L2910" s="105" t="s">
        <v>163</v>
      </c>
      <c r="M2910" s="50" t="s">
        <v>2393</v>
      </c>
      <c r="N2910" s="105" t="s">
        <v>6393</v>
      </c>
      <c r="O2910" s="132">
        <v>45754</v>
      </c>
      <c r="P2910" s="132">
        <v>45755</v>
      </c>
      <c r="Q2910" s="132">
        <v>45755</v>
      </c>
      <c r="R2910" s="132">
        <v>45755</v>
      </c>
      <c r="S2910" s="50">
        <f t="shared" si="267"/>
        <v>2</v>
      </c>
      <c r="T2910" s="50">
        <f>IF(
    OR(ISBLANK(P2910), ISBLANK(Q2910)),
    "",
    MAX(1, IF(
        NETWORKDAYS(P2910, Q2910) &lt;= 0,
        1,
        NETWORKDAYS(P2910, Q2910) - IF(P2910 = Q2910, 0, 1)
    ))
)</f>
        <v>1</v>
      </c>
      <c r="U2910" s="50">
        <f>IF(
    OR(ISBLANK(Q2910), ISBLANK(R2910)),
    "",
    MAX(1, IF(
        NETWORKDAYS(P2910, Q2910) &lt;= 0,
        1,
        NETWORKDAYS(P2910, Q2910) - IF(P2910 = Q2910, 0, 1)
    ))
)</f>
        <v>1</v>
      </c>
      <c r="V2910" s="50">
        <f t="shared" si="268"/>
        <v>1</v>
      </c>
      <c r="W2910" s="50" t="s">
        <v>150</v>
      </c>
      <c r="X2910" s="50" t="s">
        <v>4</v>
      </c>
      <c r="Y2910" s="50" t="s">
        <v>50</v>
      </c>
      <c r="Z2910" s="50" t="s">
        <v>3406</v>
      </c>
      <c r="AA2910" s="50"/>
    </row>
    <row r="2911" spans="1:27" ht="25.5" customHeight="1">
      <c r="A2911" s="50" t="s">
        <v>780</v>
      </c>
      <c r="B2911" s="51" t="s">
        <v>1531</v>
      </c>
      <c r="C2911" s="51" t="s">
        <v>159</v>
      </c>
      <c r="D2911" s="51" t="s">
        <v>6394</v>
      </c>
      <c r="E2911" s="50">
        <v>1951</v>
      </c>
      <c r="F2911" s="50">
        <v>2302</v>
      </c>
      <c r="G2911" s="50" t="s">
        <v>3404</v>
      </c>
      <c r="H2911" s="50">
        <v>2024</v>
      </c>
      <c r="I2911" s="107">
        <v>45484</v>
      </c>
      <c r="J2911" s="105"/>
      <c r="K2911" s="105" t="s">
        <v>42</v>
      </c>
      <c r="L2911" s="105" t="s">
        <v>163</v>
      </c>
      <c r="M2911" s="50" t="s">
        <v>2393</v>
      </c>
      <c r="N2911" s="105"/>
      <c r="O2911" s="105"/>
      <c r="P2911" s="105"/>
      <c r="Q2911" s="105"/>
      <c r="R2911" s="60"/>
      <c r="S2911" s="50" t="str">
        <f t="shared" si="267"/>
        <v/>
      </c>
      <c r="T2911" s="50" t="str">
        <f>IF(
    OR(ISBLANK(O2911), ISBLANK(P2911)),
    "",
    MAX(1, IF(
        NETWORKDAYS(O2911, P2911) &lt;= 0,
        1,
        NETWORKDAYS(O2911, P2911) - IF(O2911 = P2911, 0, 1)
    ))
)</f>
        <v/>
      </c>
      <c r="U2911" s="50" t="str">
        <f>IF(
    OR(ISBLANK(P2911), ISBLANK(Q2911)),
    "",
    MAX(1, IF(
        NETWORKDAYS(P2911, Q2911) &lt;= 0,
        1,
        NETWORKDAYS(P2911, Q2911) - IF(P2911 = Q2911, 0, 1)
    ))
)</f>
        <v/>
      </c>
      <c r="V2911" s="50" t="str">
        <f t="shared" si="268"/>
        <v/>
      </c>
      <c r="W2911" s="50"/>
      <c r="X2911" s="50" t="s">
        <v>4</v>
      </c>
      <c r="Y2911" s="50" t="s">
        <v>50</v>
      </c>
      <c r="Z2911" s="50" t="s">
        <v>3406</v>
      </c>
      <c r="AA2911" s="50"/>
    </row>
    <row r="2912" spans="1:27" ht="25.5" customHeight="1">
      <c r="A2912" s="50" t="s">
        <v>780</v>
      </c>
      <c r="B2912" s="51" t="s">
        <v>1531</v>
      </c>
      <c r="C2912" s="51" t="s">
        <v>159</v>
      </c>
      <c r="D2912" s="51" t="s">
        <v>6395</v>
      </c>
      <c r="E2912" s="50">
        <v>1344</v>
      </c>
      <c r="F2912" s="50">
        <v>1286</v>
      </c>
      <c r="G2912" s="50" t="s">
        <v>3404</v>
      </c>
      <c r="H2912" s="50">
        <v>2024</v>
      </c>
      <c r="I2912" s="107">
        <v>45484</v>
      </c>
      <c r="J2912" s="105"/>
      <c r="K2912" s="105" t="s">
        <v>42</v>
      </c>
      <c r="L2912" s="105" t="s">
        <v>163</v>
      </c>
      <c r="M2912" s="50" t="s">
        <v>2393</v>
      </c>
      <c r="N2912" s="105"/>
      <c r="O2912" s="105"/>
      <c r="P2912" s="105"/>
      <c r="Q2912" s="105"/>
      <c r="R2912" s="60"/>
      <c r="S2912" s="50" t="str">
        <f t="shared" si="267"/>
        <v/>
      </c>
      <c r="T2912" s="50" t="str">
        <f>IF(
    OR(ISBLANK(O2912), ISBLANK(P2912)),
    "",
    MAX(1, IF(
        NETWORKDAYS(O2912, P2912) &lt;= 0,
        1,
        NETWORKDAYS(O2912, P2912) - IF(O2912 = P2912, 0, 1)
    ))
)</f>
        <v/>
      </c>
      <c r="U2912" s="50" t="str">
        <f>IF(
    OR(ISBLANK(P2912), ISBLANK(Q2912)),
    "",
    MAX(1, IF(
        NETWORKDAYS(P2912, Q2912) &lt;= 0,
        1,
        NETWORKDAYS(P2912, Q2912) - IF(P2912 = Q2912, 0, 1)
    ))
)</f>
        <v/>
      </c>
      <c r="V2912" s="50" t="str">
        <f t="shared" si="268"/>
        <v/>
      </c>
      <c r="W2912" s="50"/>
      <c r="X2912" s="50" t="s">
        <v>4</v>
      </c>
      <c r="Y2912" s="50" t="s">
        <v>50</v>
      </c>
      <c r="Z2912" s="50" t="s">
        <v>3406</v>
      </c>
      <c r="AA2912" s="50"/>
    </row>
    <row r="2913" spans="1:27" s="110" customFormat="1" ht="25.5" customHeight="1">
      <c r="A2913" s="517" t="s">
        <v>780</v>
      </c>
      <c r="B2913" s="51" t="s">
        <v>1531</v>
      </c>
      <c r="C2913" s="51" t="s">
        <v>159</v>
      </c>
      <c r="D2913" s="51" t="s">
        <v>6396</v>
      </c>
      <c r="E2913" s="50">
        <v>927</v>
      </c>
      <c r="F2913" s="50">
        <v>963</v>
      </c>
      <c r="G2913" s="50" t="s">
        <v>3404</v>
      </c>
      <c r="H2913" s="50">
        <v>2025</v>
      </c>
      <c r="I2913" s="107">
        <v>45722</v>
      </c>
      <c r="J2913" s="105" t="s">
        <v>3416</v>
      </c>
      <c r="K2913" s="105" t="s">
        <v>42</v>
      </c>
      <c r="L2913" s="105" t="s">
        <v>163</v>
      </c>
      <c r="M2913" s="50" t="s">
        <v>2393</v>
      </c>
      <c r="N2913" s="105" t="s">
        <v>6397</v>
      </c>
      <c r="O2913" s="132">
        <v>45726</v>
      </c>
      <c r="P2913" s="132">
        <v>45728</v>
      </c>
      <c r="Q2913" s="132">
        <v>45728</v>
      </c>
      <c r="R2913" s="132">
        <v>45728</v>
      </c>
      <c r="S2913" s="50">
        <f t="shared" si="267"/>
        <v>2</v>
      </c>
      <c r="T2913" s="50">
        <f>IF(
    OR(ISBLANK(P2913), ISBLANK(Q2913)),
    "",
    MAX(1, IF(
        NETWORKDAYS(P2913, Q2913) &lt;= 0,
        1,
        NETWORKDAYS(P2913, Q2913) - IF(P2913 = Q2913, 0, 1)
    ))
)</f>
        <v>1</v>
      </c>
      <c r="U2913" s="50">
        <f>IF(
    OR(ISBLANK(Q2913), ISBLANK(R2913)),
    "",
    MAX(1, IF(
        NETWORKDAYS(P2913, Q2913) &lt;= 0,
        1,
        NETWORKDAYS(P2913, Q2913) - IF(P2913 = Q2913, 0, 1)
    ))
)</f>
        <v>1</v>
      </c>
      <c r="V2913" s="50">
        <f t="shared" si="268"/>
        <v>1</v>
      </c>
      <c r="W2913" s="50" t="s">
        <v>150</v>
      </c>
      <c r="X2913" s="50" t="s">
        <v>4</v>
      </c>
      <c r="Y2913" s="50" t="s">
        <v>50</v>
      </c>
      <c r="Z2913" s="50" t="s">
        <v>3406</v>
      </c>
      <c r="AA2913" s="50"/>
    </row>
    <row r="2914" spans="1:27" ht="25.5" customHeight="1">
      <c r="A2914" s="50" t="s">
        <v>780</v>
      </c>
      <c r="B2914" s="51" t="s">
        <v>1531</v>
      </c>
      <c r="C2914" s="51" t="s">
        <v>159</v>
      </c>
      <c r="D2914" s="51" t="s">
        <v>6398</v>
      </c>
      <c r="E2914" s="50">
        <v>1894</v>
      </c>
      <c r="F2914" s="50">
        <v>2133</v>
      </c>
      <c r="G2914" s="50" t="s">
        <v>3404</v>
      </c>
      <c r="H2914" s="50">
        <v>2024</v>
      </c>
      <c r="I2914" s="107">
        <v>45484</v>
      </c>
      <c r="J2914" s="105"/>
      <c r="K2914" s="105" t="s">
        <v>42</v>
      </c>
      <c r="L2914" s="105" t="s">
        <v>163</v>
      </c>
      <c r="M2914" s="50" t="s">
        <v>2393</v>
      </c>
      <c r="N2914" s="105"/>
      <c r="O2914" s="105"/>
      <c r="P2914" s="105"/>
      <c r="Q2914" s="105"/>
      <c r="R2914" s="60"/>
      <c r="S2914" s="50" t="str">
        <f t="shared" si="267"/>
        <v/>
      </c>
      <c r="T2914" s="50" t="str">
        <f t="shared" ref="T2914:U2919" si="274">IF(
    OR(ISBLANK(O2914), ISBLANK(P2914)),
    "",
    MAX(1, IF(
        NETWORKDAYS(O2914, P2914) &lt;= 0,
        1,
        NETWORKDAYS(O2914, P2914) - IF(O2914 = P2914, 0, 1)
    ))
)</f>
        <v/>
      </c>
      <c r="U2914" s="50" t="str">
        <f t="shared" si="274"/>
        <v/>
      </c>
      <c r="V2914" s="50" t="str">
        <f t="shared" si="268"/>
        <v/>
      </c>
      <c r="W2914" s="50"/>
      <c r="X2914" s="50" t="s">
        <v>4</v>
      </c>
      <c r="Y2914" s="50" t="s">
        <v>50</v>
      </c>
      <c r="Z2914" s="50" t="s">
        <v>3406</v>
      </c>
      <c r="AA2914" s="50"/>
    </row>
    <row r="2915" spans="1:27" s="110" customFormat="1" ht="25.5" customHeight="1">
      <c r="A2915" s="517" t="s">
        <v>780</v>
      </c>
      <c r="B2915" s="51" t="s">
        <v>1531</v>
      </c>
      <c r="C2915" s="51" t="s">
        <v>159</v>
      </c>
      <c r="D2915" s="51" t="s">
        <v>6399</v>
      </c>
      <c r="E2915" s="50">
        <v>1360</v>
      </c>
      <c r="F2915" s="50">
        <v>1416</v>
      </c>
      <c r="G2915" s="50" t="s">
        <v>3404</v>
      </c>
      <c r="H2915" s="50">
        <v>2025</v>
      </c>
      <c r="I2915" s="107">
        <v>45722</v>
      </c>
      <c r="J2915" s="105" t="s">
        <v>3416</v>
      </c>
      <c r="K2915" s="105" t="s">
        <v>42</v>
      </c>
      <c r="L2915" s="105" t="s">
        <v>163</v>
      </c>
      <c r="M2915" s="50" t="s">
        <v>2393</v>
      </c>
      <c r="N2915" s="50" t="s">
        <v>6400</v>
      </c>
      <c r="O2915" s="132">
        <v>45726</v>
      </c>
      <c r="P2915" s="132">
        <v>45728</v>
      </c>
      <c r="Q2915" s="132">
        <v>45728</v>
      </c>
      <c r="R2915" s="132">
        <v>45728</v>
      </c>
      <c r="S2915" s="50">
        <f t="shared" si="267"/>
        <v>2</v>
      </c>
      <c r="T2915" s="50">
        <f t="shared" si="274"/>
        <v>2</v>
      </c>
      <c r="U2915" s="50">
        <f t="shared" si="274"/>
        <v>1</v>
      </c>
      <c r="V2915" s="50">
        <f t="shared" si="268"/>
        <v>1</v>
      </c>
      <c r="W2915" s="50" t="s">
        <v>150</v>
      </c>
      <c r="X2915" s="50" t="s">
        <v>4</v>
      </c>
      <c r="Y2915" s="50" t="s">
        <v>57</v>
      </c>
      <c r="Z2915" s="50" t="s">
        <v>3406</v>
      </c>
      <c r="AA2915" s="50"/>
    </row>
    <row r="2916" spans="1:27" ht="25.5" customHeight="1">
      <c r="A2916" s="50" t="s">
        <v>780</v>
      </c>
      <c r="B2916" s="51" t="s">
        <v>1531</v>
      </c>
      <c r="C2916" s="51" t="s">
        <v>159</v>
      </c>
      <c r="D2916" s="51" t="s">
        <v>6401</v>
      </c>
      <c r="E2916" s="50">
        <v>2627</v>
      </c>
      <c r="F2916" s="50">
        <v>3175</v>
      </c>
      <c r="G2916" s="50" t="s">
        <v>3404</v>
      </c>
      <c r="H2916" s="50">
        <v>2024</v>
      </c>
      <c r="I2916" s="106" t="s">
        <v>6402</v>
      </c>
      <c r="J2916" s="105"/>
      <c r="K2916" s="105" t="s">
        <v>42</v>
      </c>
      <c r="L2916" s="105" t="s">
        <v>163</v>
      </c>
      <c r="M2916" s="50" t="s">
        <v>2393</v>
      </c>
      <c r="N2916" s="105"/>
      <c r="O2916" s="105"/>
      <c r="P2916" s="105"/>
      <c r="Q2916" s="105"/>
      <c r="R2916" s="60"/>
      <c r="S2916" s="50" t="str">
        <f t="shared" si="267"/>
        <v/>
      </c>
      <c r="T2916" s="50" t="str">
        <f t="shared" si="274"/>
        <v/>
      </c>
      <c r="U2916" s="50" t="str">
        <f t="shared" si="274"/>
        <v/>
      </c>
      <c r="V2916" s="50" t="str">
        <f t="shared" si="268"/>
        <v/>
      </c>
      <c r="W2916" s="50"/>
      <c r="X2916" s="50" t="s">
        <v>4</v>
      </c>
      <c r="Y2916" s="50" t="s">
        <v>50</v>
      </c>
      <c r="Z2916" s="50" t="s">
        <v>3406</v>
      </c>
      <c r="AA2916" s="50"/>
    </row>
    <row r="2917" spans="1:27" ht="25.5" customHeight="1">
      <c r="A2917" s="50" t="s">
        <v>780</v>
      </c>
      <c r="B2917" s="51" t="s">
        <v>1531</v>
      </c>
      <c r="C2917" s="51" t="s">
        <v>159</v>
      </c>
      <c r="D2917" s="51" t="s">
        <v>6403</v>
      </c>
      <c r="E2917" s="50">
        <v>1148</v>
      </c>
      <c r="F2917" s="50">
        <v>1228</v>
      </c>
      <c r="G2917" s="50" t="s">
        <v>3404</v>
      </c>
      <c r="H2917" s="50">
        <v>2024</v>
      </c>
      <c r="I2917" s="106" t="s">
        <v>6402</v>
      </c>
      <c r="J2917" s="105"/>
      <c r="K2917" s="105" t="s">
        <v>42</v>
      </c>
      <c r="L2917" s="105" t="s">
        <v>163</v>
      </c>
      <c r="M2917" s="50" t="s">
        <v>2393</v>
      </c>
      <c r="N2917" s="105"/>
      <c r="O2917" s="105"/>
      <c r="P2917" s="105"/>
      <c r="Q2917" s="105"/>
      <c r="R2917" s="60"/>
      <c r="S2917" s="50" t="str">
        <f t="shared" si="267"/>
        <v/>
      </c>
      <c r="T2917" s="50" t="str">
        <f t="shared" si="274"/>
        <v/>
      </c>
      <c r="U2917" s="50" t="str">
        <f t="shared" si="274"/>
        <v/>
      </c>
      <c r="V2917" s="50" t="str">
        <f t="shared" si="268"/>
        <v/>
      </c>
      <c r="W2917" s="50"/>
      <c r="X2917" s="50" t="s">
        <v>4</v>
      </c>
      <c r="Y2917" s="50" t="s">
        <v>50</v>
      </c>
      <c r="Z2917" s="50" t="s">
        <v>3406</v>
      </c>
      <c r="AA2917" s="50"/>
    </row>
    <row r="2918" spans="1:27" ht="25.5" customHeight="1">
      <c r="A2918" s="50" t="s">
        <v>780</v>
      </c>
      <c r="B2918" s="51" t="s">
        <v>1531</v>
      </c>
      <c r="C2918" s="51" t="s">
        <v>159</v>
      </c>
      <c r="D2918" s="51" t="s">
        <v>6404</v>
      </c>
      <c r="E2918" s="50">
        <v>1316</v>
      </c>
      <c r="F2918" s="50">
        <v>1431</v>
      </c>
      <c r="G2918" s="50" t="s">
        <v>3404</v>
      </c>
      <c r="H2918" s="50">
        <v>2024</v>
      </c>
      <c r="I2918" s="107">
        <v>45484</v>
      </c>
      <c r="J2918" s="105"/>
      <c r="K2918" s="105" t="s">
        <v>42</v>
      </c>
      <c r="L2918" s="105" t="s">
        <v>163</v>
      </c>
      <c r="M2918" s="50" t="s">
        <v>2393</v>
      </c>
      <c r="N2918" s="105"/>
      <c r="O2918" s="105"/>
      <c r="P2918" s="105"/>
      <c r="Q2918" s="105"/>
      <c r="R2918" s="60"/>
      <c r="S2918" s="50" t="str">
        <f t="shared" si="267"/>
        <v/>
      </c>
      <c r="T2918" s="50" t="str">
        <f t="shared" si="274"/>
        <v/>
      </c>
      <c r="U2918" s="50" t="str">
        <f t="shared" si="274"/>
        <v/>
      </c>
      <c r="V2918" s="50" t="str">
        <f t="shared" si="268"/>
        <v/>
      </c>
      <c r="W2918" s="50"/>
      <c r="X2918" s="50" t="s">
        <v>4</v>
      </c>
      <c r="Y2918" s="50" t="s">
        <v>50</v>
      </c>
      <c r="Z2918" s="50" t="s">
        <v>3406</v>
      </c>
      <c r="AA2918" s="50"/>
    </row>
    <row r="2919" spans="1:27" ht="25.5" customHeight="1">
      <c r="A2919" s="517" t="s">
        <v>780</v>
      </c>
      <c r="B2919" s="51" t="s">
        <v>1531</v>
      </c>
      <c r="C2919" s="51" t="s">
        <v>159</v>
      </c>
      <c r="D2919" s="51" t="s">
        <v>6405</v>
      </c>
      <c r="E2919" s="50">
        <v>1067</v>
      </c>
      <c r="F2919" s="50">
        <v>1216</v>
      </c>
      <c r="G2919" s="50" t="s">
        <v>3404</v>
      </c>
      <c r="H2919" s="50">
        <v>2025</v>
      </c>
      <c r="I2919" s="107">
        <v>45967</v>
      </c>
      <c r="J2919" s="105" t="s">
        <v>3129</v>
      </c>
      <c r="K2919" s="105" t="s">
        <v>42</v>
      </c>
      <c r="L2919" s="105" t="s">
        <v>163</v>
      </c>
      <c r="M2919" s="50" t="s">
        <v>2393</v>
      </c>
      <c r="N2919" s="105" t="s">
        <v>6406</v>
      </c>
      <c r="O2919" s="107">
        <v>45972</v>
      </c>
      <c r="P2919" s="107">
        <v>45972</v>
      </c>
      <c r="Q2919" s="107">
        <v>45972</v>
      </c>
      <c r="R2919" s="107">
        <v>45972</v>
      </c>
      <c r="S2919" s="50">
        <f t="shared" si="267"/>
        <v>3</v>
      </c>
      <c r="T2919" s="50">
        <f t="shared" si="274"/>
        <v>1</v>
      </c>
      <c r="U2919" s="50">
        <f t="shared" si="274"/>
        <v>1</v>
      </c>
      <c r="V2919" s="50">
        <f t="shared" si="268"/>
        <v>1</v>
      </c>
      <c r="W2919" s="50" t="s">
        <v>150</v>
      </c>
      <c r="X2919" s="50" t="s">
        <v>4</v>
      </c>
      <c r="Y2919" s="50" t="s">
        <v>50</v>
      </c>
      <c r="Z2919" s="50" t="s">
        <v>3406</v>
      </c>
      <c r="AA2919" s="50"/>
    </row>
    <row r="2920" spans="1:27" ht="25.5" customHeight="1">
      <c r="A2920" s="517" t="s">
        <v>780</v>
      </c>
      <c r="B2920" s="51" t="s">
        <v>1531</v>
      </c>
      <c r="C2920" s="51" t="s">
        <v>159</v>
      </c>
      <c r="D2920" s="51" t="s">
        <v>1532</v>
      </c>
      <c r="E2920" s="50">
        <v>1183</v>
      </c>
      <c r="F2920" s="50">
        <v>1441</v>
      </c>
      <c r="G2920" s="50" t="s">
        <v>3404</v>
      </c>
      <c r="H2920" s="50">
        <v>2025</v>
      </c>
      <c r="I2920" s="107">
        <v>45743</v>
      </c>
      <c r="J2920" s="105" t="s">
        <v>3470</v>
      </c>
      <c r="K2920" s="105" t="s">
        <v>42</v>
      </c>
      <c r="L2920" s="105" t="s">
        <v>163</v>
      </c>
      <c r="M2920" s="50" t="s">
        <v>2393</v>
      </c>
      <c r="N2920" s="105" t="s">
        <v>6407</v>
      </c>
      <c r="O2920" s="132">
        <v>45747</v>
      </c>
      <c r="P2920" s="132">
        <v>45747</v>
      </c>
      <c r="Q2920" s="132">
        <v>45747</v>
      </c>
      <c r="R2920" s="132">
        <v>45747</v>
      </c>
      <c r="S2920" s="50">
        <f t="shared" si="267"/>
        <v>2</v>
      </c>
      <c r="T2920" s="50">
        <f>IF(
    OR(ISBLANK(P2920), ISBLANK(Q2920)),
    "",
    MAX(1, IF(
        NETWORKDAYS(P2920, Q2920) &lt;= 0,
        1,
        NETWORKDAYS(P2920, Q2920) - IF(P2920 = Q2920, 0, 1)
    ))
)</f>
        <v>1</v>
      </c>
      <c r="U2920" s="50">
        <f>IF(
    OR(ISBLANK(Q2920), ISBLANK(R2920)),
    "",
    MAX(1, IF(
        NETWORKDAYS(P2920, Q2920) &lt;= 0,
        1,
        NETWORKDAYS(P2920, Q2920) - IF(P2920 = Q2920, 0, 1)
    ))
)</f>
        <v>1</v>
      </c>
      <c r="V2920" s="50">
        <f t="shared" si="268"/>
        <v>1</v>
      </c>
      <c r="W2920" s="50" t="s">
        <v>150</v>
      </c>
      <c r="X2920" s="50" t="s">
        <v>4</v>
      </c>
      <c r="Y2920" s="50" t="s">
        <v>50</v>
      </c>
      <c r="Z2920" s="50" t="s">
        <v>3406</v>
      </c>
      <c r="AA2920" s="50"/>
    </row>
    <row r="2921" spans="1:27" s="110" customFormat="1" ht="25.5" customHeight="1">
      <c r="A2921" s="517" t="s">
        <v>780</v>
      </c>
      <c r="B2921" s="51" t="s">
        <v>1531</v>
      </c>
      <c r="C2921" s="51" t="s">
        <v>159</v>
      </c>
      <c r="D2921" s="51" t="s">
        <v>1056</v>
      </c>
      <c r="E2921" s="50">
        <v>1093</v>
      </c>
      <c r="F2921" s="50">
        <v>1240</v>
      </c>
      <c r="G2921" s="50" t="s">
        <v>3404</v>
      </c>
      <c r="H2921" s="50">
        <v>2025</v>
      </c>
      <c r="I2921" s="107">
        <v>45722</v>
      </c>
      <c r="J2921" s="105" t="s">
        <v>3416</v>
      </c>
      <c r="K2921" s="105" t="s">
        <v>42</v>
      </c>
      <c r="L2921" s="105" t="s">
        <v>163</v>
      </c>
      <c r="M2921" s="50" t="s">
        <v>2393</v>
      </c>
      <c r="N2921" s="50" t="s">
        <v>6408</v>
      </c>
      <c r="O2921" s="132">
        <v>45726</v>
      </c>
      <c r="P2921" s="132">
        <v>45728</v>
      </c>
      <c r="Q2921" s="132">
        <v>45728</v>
      </c>
      <c r="R2921" s="132">
        <v>45728</v>
      </c>
      <c r="S2921" s="50">
        <f t="shared" si="267"/>
        <v>2</v>
      </c>
      <c r="T2921" s="50">
        <f>IF(
    OR(ISBLANK(P2921), ISBLANK(Q2921)),
    "",
    MAX(1, IF(
        NETWORKDAYS(P2921, Q2921) &lt;= 0,
        1,
        NETWORKDAYS(P2921, Q2921) - IF(P2921 = Q2921, 0, 1)
    ))
)</f>
        <v>1</v>
      </c>
      <c r="U2921" s="50">
        <f>IF(
    OR(ISBLANK(Q2921), ISBLANK(R2921)),
    "",
    MAX(1, IF(
        NETWORKDAYS(P2921, Q2921) &lt;= 0,
        1,
        NETWORKDAYS(P2921, Q2921) - IF(P2921 = Q2921, 0, 1)
    ))
)</f>
        <v>1</v>
      </c>
      <c r="V2921" s="50">
        <f t="shared" si="268"/>
        <v>1</v>
      </c>
      <c r="W2921" s="50" t="s">
        <v>150</v>
      </c>
      <c r="X2921" s="50" t="s">
        <v>1078</v>
      </c>
      <c r="Y2921" s="50" t="s">
        <v>50</v>
      </c>
      <c r="Z2921" s="50" t="s">
        <v>3406</v>
      </c>
      <c r="AA2921" s="50"/>
    </row>
    <row r="2922" spans="1:27" ht="25.5" customHeight="1">
      <c r="A2922" s="50" t="s">
        <v>780</v>
      </c>
      <c r="B2922" s="51" t="s">
        <v>1531</v>
      </c>
      <c r="C2922" s="51" t="s">
        <v>159</v>
      </c>
      <c r="D2922" s="51" t="s">
        <v>6409</v>
      </c>
      <c r="E2922" s="50">
        <v>3563</v>
      </c>
      <c r="F2922" s="50">
        <v>3906</v>
      </c>
      <c r="G2922" s="50" t="s">
        <v>3404</v>
      </c>
      <c r="H2922" s="50">
        <v>2024</v>
      </c>
      <c r="I2922" s="106" t="s">
        <v>6402</v>
      </c>
      <c r="J2922" s="105"/>
      <c r="K2922" s="105" t="s">
        <v>42</v>
      </c>
      <c r="L2922" s="105" t="s">
        <v>163</v>
      </c>
      <c r="M2922" s="50" t="s">
        <v>2393</v>
      </c>
      <c r="N2922" s="105"/>
      <c r="O2922" s="105"/>
      <c r="P2922" s="105"/>
      <c r="Q2922" s="105"/>
      <c r="R2922" s="60"/>
      <c r="S2922" s="50" t="str">
        <f t="shared" si="267"/>
        <v/>
      </c>
      <c r="T2922" s="50" t="str">
        <f>IF(
    OR(ISBLANK(O2922), ISBLANK(P2922)),
    "",
    MAX(1, IF(
        NETWORKDAYS(O2922, P2922) &lt;= 0,
        1,
        NETWORKDAYS(O2922, P2922) - IF(O2922 = P2922, 0, 1)
    ))
)</f>
        <v/>
      </c>
      <c r="U2922" s="50" t="str">
        <f>IF(
    OR(ISBLANK(P2922), ISBLANK(Q2922)),
    "",
    MAX(1, IF(
        NETWORKDAYS(P2922, Q2922) &lt;= 0,
        1,
        NETWORKDAYS(P2922, Q2922) - IF(P2922 = Q2922, 0, 1)
    ))
)</f>
        <v/>
      </c>
      <c r="V2922" s="50" t="str">
        <f t="shared" si="268"/>
        <v/>
      </c>
      <c r="W2922" s="50"/>
      <c r="X2922" s="50" t="s">
        <v>4</v>
      </c>
      <c r="Y2922" s="50" t="s">
        <v>50</v>
      </c>
      <c r="Z2922" s="50" t="s">
        <v>3406</v>
      </c>
      <c r="AA2922" s="50"/>
    </row>
    <row r="2923" spans="1:27" s="110" customFormat="1" ht="25.5" customHeight="1">
      <c r="A2923" s="517" t="s">
        <v>780</v>
      </c>
      <c r="B2923" s="51" t="s">
        <v>1531</v>
      </c>
      <c r="C2923" s="51" t="s">
        <v>159</v>
      </c>
      <c r="D2923" s="51" t="s">
        <v>6410</v>
      </c>
      <c r="E2923" s="50">
        <v>1088</v>
      </c>
      <c r="F2923" s="50">
        <v>1164</v>
      </c>
      <c r="G2923" s="50" t="s">
        <v>3404</v>
      </c>
      <c r="H2923" s="50">
        <v>2025</v>
      </c>
      <c r="I2923" s="107">
        <v>45750</v>
      </c>
      <c r="J2923" s="105" t="s">
        <v>3470</v>
      </c>
      <c r="K2923" s="105" t="s">
        <v>42</v>
      </c>
      <c r="L2923" s="105" t="s">
        <v>163</v>
      </c>
      <c r="M2923" s="50" t="s">
        <v>2393</v>
      </c>
      <c r="N2923" s="105" t="s">
        <v>6411</v>
      </c>
      <c r="O2923" s="132">
        <v>45754</v>
      </c>
      <c r="P2923" s="132">
        <v>45755</v>
      </c>
      <c r="Q2923" s="132">
        <v>45755</v>
      </c>
      <c r="R2923" s="132">
        <v>45755</v>
      </c>
      <c r="S2923" s="50">
        <f t="shared" si="267"/>
        <v>2</v>
      </c>
      <c r="T2923" s="50">
        <f>IF(
    OR(ISBLANK(P2923), ISBLANK(Q2923)),
    "",
    MAX(1, IF(
        NETWORKDAYS(P2923, Q2923) &lt;= 0,
        1,
        NETWORKDAYS(P2923, Q2923) - IF(P2923 = Q2923, 0, 1)
    ))
)</f>
        <v>1</v>
      </c>
      <c r="U2923" s="50">
        <f>IF(
    OR(ISBLANK(Q2923), ISBLANK(R2923)),
    "",
    MAX(1, IF(
        NETWORKDAYS(P2923, Q2923) &lt;= 0,
        1,
        NETWORKDAYS(P2923, Q2923) - IF(P2923 = Q2923, 0, 1)
    ))
)</f>
        <v>1</v>
      </c>
      <c r="V2923" s="50">
        <f t="shared" si="268"/>
        <v>1</v>
      </c>
      <c r="W2923" s="50" t="s">
        <v>150</v>
      </c>
      <c r="X2923" s="50" t="s">
        <v>1078</v>
      </c>
      <c r="Y2923" s="50" t="s">
        <v>50</v>
      </c>
      <c r="Z2923" s="50" t="s">
        <v>3406</v>
      </c>
      <c r="AA2923" s="50"/>
    </row>
    <row r="2924" spans="1:27" ht="25.5" customHeight="1">
      <c r="A2924" s="50" t="s">
        <v>780</v>
      </c>
      <c r="B2924" s="51" t="s">
        <v>1531</v>
      </c>
      <c r="C2924" s="51" t="s">
        <v>159</v>
      </c>
      <c r="D2924" s="51" t="s">
        <v>6412</v>
      </c>
      <c r="E2924" s="50">
        <v>3471</v>
      </c>
      <c r="F2924" s="50">
        <v>3851</v>
      </c>
      <c r="G2924" s="50" t="s">
        <v>3404</v>
      </c>
      <c r="H2924" s="50">
        <v>2024</v>
      </c>
      <c r="I2924" s="106" t="s">
        <v>6402</v>
      </c>
      <c r="J2924" s="105"/>
      <c r="K2924" s="105" t="s">
        <v>42</v>
      </c>
      <c r="L2924" s="105" t="s">
        <v>163</v>
      </c>
      <c r="M2924" s="50" t="s">
        <v>2393</v>
      </c>
      <c r="N2924" s="105"/>
      <c r="O2924" s="105"/>
      <c r="P2924" s="105"/>
      <c r="Q2924" s="105"/>
      <c r="R2924" s="60"/>
      <c r="S2924" s="50" t="str">
        <f t="shared" si="267"/>
        <v/>
      </c>
      <c r="T2924" s="50" t="str">
        <f t="shared" ref="T2924:T2932" si="275">IF(
    OR(ISBLANK(O2924), ISBLANK(P2924)),
    "",
    MAX(1, IF(
        NETWORKDAYS(O2924, P2924) &lt;= 0,
        1,
        NETWORKDAYS(O2924, P2924) - IF(O2924 = P2924, 0, 1)
    ))
)</f>
        <v/>
      </c>
      <c r="U2924" s="50" t="str">
        <f t="shared" ref="U2924:U2932" si="276">IF(
    OR(ISBLANK(P2924), ISBLANK(Q2924)),
    "",
    MAX(1, IF(
        NETWORKDAYS(P2924, Q2924) &lt;= 0,
        1,
        NETWORKDAYS(P2924, Q2924) - IF(P2924 = Q2924, 0, 1)
    ))
)</f>
        <v/>
      </c>
      <c r="V2924" s="50" t="str">
        <f t="shared" si="268"/>
        <v/>
      </c>
      <c r="W2924" s="50"/>
      <c r="X2924" s="50" t="s">
        <v>4</v>
      </c>
      <c r="Y2924" s="50" t="s">
        <v>50</v>
      </c>
      <c r="Z2924" s="50" t="s">
        <v>3406</v>
      </c>
      <c r="AA2924" s="50"/>
    </row>
    <row r="2925" spans="1:27" ht="25.5" customHeight="1">
      <c r="A2925" s="50" t="s">
        <v>780</v>
      </c>
      <c r="B2925" s="51" t="s">
        <v>1531</v>
      </c>
      <c r="C2925" s="51" t="s">
        <v>159</v>
      </c>
      <c r="D2925" s="51" t="s">
        <v>6413</v>
      </c>
      <c r="E2925" s="50">
        <v>1373</v>
      </c>
      <c r="F2925" s="50">
        <v>1524</v>
      </c>
      <c r="G2925" s="50" t="s">
        <v>3404</v>
      </c>
      <c r="H2925" s="50">
        <v>2024</v>
      </c>
      <c r="I2925" s="107">
        <v>45484</v>
      </c>
      <c r="J2925" s="105"/>
      <c r="K2925" s="105" t="s">
        <v>42</v>
      </c>
      <c r="L2925" s="105" t="s">
        <v>163</v>
      </c>
      <c r="M2925" s="50" t="s">
        <v>2393</v>
      </c>
      <c r="N2925" s="105"/>
      <c r="O2925" s="105"/>
      <c r="P2925" s="105"/>
      <c r="Q2925" s="105"/>
      <c r="R2925" s="60"/>
      <c r="S2925" s="50" t="str">
        <f t="shared" si="267"/>
        <v/>
      </c>
      <c r="T2925" s="50" t="str">
        <f t="shared" si="275"/>
        <v/>
      </c>
      <c r="U2925" s="50" t="str">
        <f t="shared" si="276"/>
        <v/>
      </c>
      <c r="V2925" s="50" t="str">
        <f t="shared" si="268"/>
        <v/>
      </c>
      <c r="W2925" s="50"/>
      <c r="X2925" s="50" t="s">
        <v>4</v>
      </c>
      <c r="Y2925" s="50" t="s">
        <v>57</v>
      </c>
      <c r="Z2925" s="50" t="s">
        <v>3406</v>
      </c>
      <c r="AA2925" s="50"/>
    </row>
    <row r="2926" spans="1:27" ht="25.5" customHeight="1">
      <c r="A2926" s="517" t="s">
        <v>780</v>
      </c>
      <c r="B2926" s="51" t="s">
        <v>1215</v>
      </c>
      <c r="C2926" s="51" t="s">
        <v>159</v>
      </c>
      <c r="D2926" s="51" t="s">
        <v>6414</v>
      </c>
      <c r="E2926" s="50">
        <v>11064</v>
      </c>
      <c r="F2926" s="50">
        <v>10127</v>
      </c>
      <c r="G2926" s="50" t="s">
        <v>3404</v>
      </c>
      <c r="H2926" s="50">
        <v>2025</v>
      </c>
      <c r="I2926" s="107">
        <v>45883</v>
      </c>
      <c r="J2926" s="50" t="s">
        <v>3126</v>
      </c>
      <c r="K2926" s="105" t="s">
        <v>42</v>
      </c>
      <c r="L2926" s="105" t="s">
        <v>163</v>
      </c>
      <c r="M2926" s="50" t="s">
        <v>2393</v>
      </c>
      <c r="N2926" s="105" t="s">
        <v>6415</v>
      </c>
      <c r="O2926" s="132">
        <v>45886</v>
      </c>
      <c r="P2926" s="132">
        <v>45887</v>
      </c>
      <c r="Q2926" s="132">
        <v>45887</v>
      </c>
      <c r="R2926" s="132">
        <v>45887</v>
      </c>
      <c r="S2926" s="50">
        <f t="shared" si="267"/>
        <v>1</v>
      </c>
      <c r="T2926" s="50">
        <f t="shared" si="275"/>
        <v>1</v>
      </c>
      <c r="U2926" s="50">
        <f t="shared" si="276"/>
        <v>1</v>
      </c>
      <c r="V2926" s="50">
        <f t="shared" si="268"/>
        <v>1</v>
      </c>
      <c r="W2926" s="50" t="s">
        <v>150</v>
      </c>
      <c r="X2926" s="50" t="s">
        <v>4</v>
      </c>
      <c r="Y2926" s="50" t="s">
        <v>57</v>
      </c>
      <c r="Z2926" s="50" t="s">
        <v>3406</v>
      </c>
      <c r="AA2926" s="50"/>
    </row>
    <row r="2927" spans="1:27" s="110" customFormat="1" ht="25.5" customHeight="1">
      <c r="A2927" s="517" t="s">
        <v>780</v>
      </c>
      <c r="B2927" s="51" t="s">
        <v>1215</v>
      </c>
      <c r="C2927" s="51" t="s">
        <v>159</v>
      </c>
      <c r="D2927" s="51" t="s">
        <v>3508</v>
      </c>
      <c r="E2927" s="50">
        <v>850</v>
      </c>
      <c r="F2927" s="50">
        <v>851</v>
      </c>
      <c r="G2927" s="50" t="s">
        <v>3404</v>
      </c>
      <c r="H2927" s="50">
        <v>2025</v>
      </c>
      <c r="I2927" s="107">
        <v>45883</v>
      </c>
      <c r="J2927" s="50" t="s">
        <v>3126</v>
      </c>
      <c r="K2927" s="105" t="s">
        <v>42</v>
      </c>
      <c r="L2927" s="105" t="s">
        <v>163</v>
      </c>
      <c r="M2927" s="50" t="s">
        <v>2393</v>
      </c>
      <c r="N2927" s="105" t="s">
        <v>6416</v>
      </c>
      <c r="O2927" s="132">
        <v>45886</v>
      </c>
      <c r="P2927" s="132">
        <v>45887</v>
      </c>
      <c r="Q2927" s="132">
        <v>45887</v>
      </c>
      <c r="R2927" s="132">
        <v>45887</v>
      </c>
      <c r="S2927" s="50">
        <f t="shared" si="267"/>
        <v>1</v>
      </c>
      <c r="T2927" s="50">
        <f t="shared" si="275"/>
        <v>1</v>
      </c>
      <c r="U2927" s="50">
        <f t="shared" si="276"/>
        <v>1</v>
      </c>
      <c r="V2927" s="50">
        <f t="shared" si="268"/>
        <v>1</v>
      </c>
      <c r="W2927" s="50" t="s">
        <v>150</v>
      </c>
      <c r="X2927" s="50" t="s">
        <v>4</v>
      </c>
      <c r="Y2927" s="50" t="s">
        <v>50</v>
      </c>
      <c r="Z2927" s="50" t="s">
        <v>3406</v>
      </c>
      <c r="AA2927" s="50"/>
    </row>
    <row r="2928" spans="1:27" ht="25.5" customHeight="1">
      <c r="A2928" s="50" t="s">
        <v>780</v>
      </c>
      <c r="B2928" s="51" t="s">
        <v>1215</v>
      </c>
      <c r="C2928" s="51" t="s">
        <v>159</v>
      </c>
      <c r="D2928" s="51" t="s">
        <v>5063</v>
      </c>
      <c r="E2928" s="50">
        <v>9115</v>
      </c>
      <c r="F2928" s="50">
        <v>12139</v>
      </c>
      <c r="G2928" s="50" t="s">
        <v>3404</v>
      </c>
      <c r="H2928" s="50">
        <v>2024</v>
      </c>
      <c r="I2928" s="107">
        <v>45568</v>
      </c>
      <c r="J2928" s="105"/>
      <c r="K2928" s="50" t="s">
        <v>1212</v>
      </c>
      <c r="L2928" s="105" t="s">
        <v>163</v>
      </c>
      <c r="M2928" s="50" t="s">
        <v>2393</v>
      </c>
      <c r="N2928" s="105"/>
      <c r="O2928" s="105"/>
      <c r="P2928" s="105"/>
      <c r="Q2928" s="105"/>
      <c r="R2928" s="60"/>
      <c r="S2928" s="50" t="str">
        <f t="shared" ref="S2928:S2991" si="277">IF(
    OR(ISBLANK(I2928), ISBLANK(O2928)),
    "",
    MAX(1, IF(
        NETWORKDAYS(I2928, O2928) &lt;= 0,
        1,
        NETWORKDAYS(I2928, O2928) - IF(I2928 = O2928, 0, 1)
    ))
)</f>
        <v/>
      </c>
      <c r="T2928" s="50" t="str">
        <f t="shared" si="275"/>
        <v/>
      </c>
      <c r="U2928" s="50" t="str">
        <f t="shared" si="276"/>
        <v/>
      </c>
      <c r="V2928" s="50" t="str">
        <f t="shared" ref="V2928:V2991" si="278">IF(
    OR(ISBLANK(Q2928), ISBLANK(R2928)),
    "",
    MAX(1, IF(
        NETWORKDAYS(Q2928, R2928) &lt;= 0,
        1,
        NETWORKDAYS(Q2928, R2928) - IF(Q2928 = R2928, 0, 1)
    ))
)</f>
        <v/>
      </c>
      <c r="W2928" s="50"/>
      <c r="X2928" s="50" t="s">
        <v>4</v>
      </c>
      <c r="Y2928" s="50" t="s">
        <v>50</v>
      </c>
      <c r="Z2928" s="50" t="s">
        <v>3406</v>
      </c>
      <c r="AA2928" s="50"/>
    </row>
    <row r="2929" spans="1:27" ht="25.5" customHeight="1">
      <c r="A2929" s="517" t="s">
        <v>780</v>
      </c>
      <c r="B2929" s="51" t="s">
        <v>1215</v>
      </c>
      <c r="C2929" s="51" t="s">
        <v>159</v>
      </c>
      <c r="D2929" s="51" t="s">
        <v>6417</v>
      </c>
      <c r="E2929" s="50">
        <v>1954</v>
      </c>
      <c r="F2929" s="50">
        <v>1967</v>
      </c>
      <c r="G2929" s="50" t="s">
        <v>3404</v>
      </c>
      <c r="H2929" s="50">
        <v>2025</v>
      </c>
      <c r="I2929" s="107">
        <v>45883</v>
      </c>
      <c r="J2929" s="50" t="s">
        <v>3126</v>
      </c>
      <c r="K2929" s="50" t="s">
        <v>1212</v>
      </c>
      <c r="L2929" s="105" t="s">
        <v>163</v>
      </c>
      <c r="M2929" s="50" t="s">
        <v>2393</v>
      </c>
      <c r="N2929" s="105" t="s">
        <v>6418</v>
      </c>
      <c r="O2929" s="132">
        <v>45886</v>
      </c>
      <c r="P2929" s="132">
        <v>45887</v>
      </c>
      <c r="Q2929" s="132">
        <v>45887</v>
      </c>
      <c r="R2929" s="132">
        <v>45887</v>
      </c>
      <c r="S2929" s="50">
        <f t="shared" si="277"/>
        <v>1</v>
      </c>
      <c r="T2929" s="50">
        <f t="shared" si="275"/>
        <v>1</v>
      </c>
      <c r="U2929" s="50">
        <f t="shared" si="276"/>
        <v>1</v>
      </c>
      <c r="V2929" s="50">
        <f t="shared" si="278"/>
        <v>1</v>
      </c>
      <c r="W2929" s="50" t="s">
        <v>150</v>
      </c>
      <c r="X2929" s="50" t="s">
        <v>4</v>
      </c>
      <c r="Y2929" s="50" t="s">
        <v>50</v>
      </c>
      <c r="Z2929" s="50" t="s">
        <v>3406</v>
      </c>
      <c r="AA2929" s="50"/>
    </row>
    <row r="2930" spans="1:27" s="110" customFormat="1" ht="25.5" customHeight="1">
      <c r="A2930" s="517" t="s">
        <v>780</v>
      </c>
      <c r="B2930" s="51" t="s">
        <v>1215</v>
      </c>
      <c r="C2930" s="51" t="s">
        <v>159</v>
      </c>
      <c r="D2930" s="51" t="s">
        <v>3699</v>
      </c>
      <c r="E2930" s="50">
        <v>3466</v>
      </c>
      <c r="F2930" s="50">
        <v>3673</v>
      </c>
      <c r="G2930" s="50" t="s">
        <v>3404</v>
      </c>
      <c r="H2930" s="50">
        <v>2025</v>
      </c>
      <c r="I2930" s="107">
        <v>45883</v>
      </c>
      <c r="J2930" s="50" t="s">
        <v>3126</v>
      </c>
      <c r="K2930" s="50" t="s">
        <v>1212</v>
      </c>
      <c r="L2930" s="105" t="s">
        <v>163</v>
      </c>
      <c r="M2930" s="50" t="s">
        <v>2393</v>
      </c>
      <c r="N2930" s="105" t="s">
        <v>6419</v>
      </c>
      <c r="O2930" s="132">
        <v>45886</v>
      </c>
      <c r="P2930" s="132">
        <v>45887</v>
      </c>
      <c r="Q2930" s="132">
        <v>45887</v>
      </c>
      <c r="R2930" s="132">
        <v>45887</v>
      </c>
      <c r="S2930" s="50">
        <f t="shared" si="277"/>
        <v>1</v>
      </c>
      <c r="T2930" s="50">
        <f t="shared" si="275"/>
        <v>1</v>
      </c>
      <c r="U2930" s="50">
        <f t="shared" si="276"/>
        <v>1</v>
      </c>
      <c r="V2930" s="50">
        <f t="shared" si="278"/>
        <v>1</v>
      </c>
      <c r="W2930" s="50" t="s">
        <v>150</v>
      </c>
      <c r="X2930" s="50" t="s">
        <v>4</v>
      </c>
      <c r="Y2930" s="50" t="s">
        <v>50</v>
      </c>
      <c r="Z2930" s="50" t="s">
        <v>3406</v>
      </c>
      <c r="AA2930" s="50"/>
    </row>
    <row r="2931" spans="1:27" ht="25.5" customHeight="1">
      <c r="A2931" s="50" t="s">
        <v>780</v>
      </c>
      <c r="B2931" s="51" t="s">
        <v>1215</v>
      </c>
      <c r="C2931" s="51" t="s">
        <v>159</v>
      </c>
      <c r="D2931" s="51" t="s">
        <v>1216</v>
      </c>
      <c r="E2931" s="50">
        <v>2978</v>
      </c>
      <c r="F2931" s="50">
        <v>3602</v>
      </c>
      <c r="G2931" s="50" t="s">
        <v>3404</v>
      </c>
      <c r="H2931" s="50">
        <v>2024</v>
      </c>
      <c r="I2931" s="107">
        <v>45610</v>
      </c>
      <c r="J2931" s="105"/>
      <c r="K2931" s="50" t="s">
        <v>1212</v>
      </c>
      <c r="L2931" s="105" t="s">
        <v>163</v>
      </c>
      <c r="M2931" s="50" t="s">
        <v>2393</v>
      </c>
      <c r="N2931" s="105"/>
      <c r="O2931" s="105"/>
      <c r="P2931" s="105"/>
      <c r="Q2931" s="105"/>
      <c r="R2931" s="60"/>
      <c r="S2931" s="50" t="str">
        <f t="shared" si="277"/>
        <v/>
      </c>
      <c r="T2931" s="50" t="str">
        <f t="shared" si="275"/>
        <v/>
      </c>
      <c r="U2931" s="50" t="str">
        <f t="shared" si="276"/>
        <v/>
      </c>
      <c r="V2931" s="50" t="str">
        <f t="shared" si="278"/>
        <v/>
      </c>
      <c r="W2931" s="50"/>
      <c r="X2931" s="50" t="s">
        <v>4</v>
      </c>
      <c r="Y2931" s="50" t="s">
        <v>50</v>
      </c>
      <c r="Z2931" s="50" t="s">
        <v>3406</v>
      </c>
      <c r="AA2931" s="50"/>
    </row>
    <row r="2932" spans="1:27" ht="25.5" customHeight="1">
      <c r="A2932" s="50" t="s">
        <v>780</v>
      </c>
      <c r="B2932" s="51" t="s">
        <v>1215</v>
      </c>
      <c r="C2932" s="51" t="s">
        <v>159</v>
      </c>
      <c r="D2932" s="51" t="s">
        <v>6420</v>
      </c>
      <c r="E2932" s="50">
        <v>6202</v>
      </c>
      <c r="F2932" s="50">
        <v>6962</v>
      </c>
      <c r="G2932" s="50" t="s">
        <v>3404</v>
      </c>
      <c r="H2932" s="50">
        <v>2024</v>
      </c>
      <c r="I2932" s="107">
        <v>45610</v>
      </c>
      <c r="J2932" s="105"/>
      <c r="K2932" s="50" t="s">
        <v>1212</v>
      </c>
      <c r="L2932" s="105" t="s">
        <v>163</v>
      </c>
      <c r="M2932" s="50" t="s">
        <v>2393</v>
      </c>
      <c r="N2932" s="105"/>
      <c r="O2932" s="132"/>
      <c r="P2932" s="132"/>
      <c r="Q2932" s="105"/>
      <c r="R2932" s="60"/>
      <c r="S2932" s="50" t="str">
        <f t="shared" si="277"/>
        <v/>
      </c>
      <c r="T2932" s="50" t="str">
        <f t="shared" si="275"/>
        <v/>
      </c>
      <c r="U2932" s="50" t="str">
        <f t="shared" si="276"/>
        <v/>
      </c>
      <c r="V2932" s="50" t="str">
        <f t="shared" si="278"/>
        <v/>
      </c>
      <c r="W2932" s="50"/>
      <c r="X2932" s="50" t="s">
        <v>4</v>
      </c>
      <c r="Y2932" s="50" t="s">
        <v>50</v>
      </c>
      <c r="Z2932" s="50" t="s">
        <v>3406</v>
      </c>
      <c r="AA2932" s="50"/>
    </row>
    <row r="2933" spans="1:27" s="110" customFormat="1" ht="25.5" customHeight="1">
      <c r="A2933" s="517" t="s">
        <v>780</v>
      </c>
      <c r="B2933" s="51" t="s">
        <v>1215</v>
      </c>
      <c r="C2933" s="51" t="s">
        <v>159</v>
      </c>
      <c r="D2933" s="51" t="s">
        <v>4126</v>
      </c>
      <c r="E2933" s="50">
        <v>4545</v>
      </c>
      <c r="F2933" s="50">
        <v>4827</v>
      </c>
      <c r="G2933" s="50" t="s">
        <v>3404</v>
      </c>
      <c r="H2933" s="50">
        <v>2025</v>
      </c>
      <c r="I2933" s="60">
        <v>45674</v>
      </c>
      <c r="J2933" s="50" t="s">
        <v>3424</v>
      </c>
      <c r="K2933" s="50" t="s">
        <v>1212</v>
      </c>
      <c r="L2933" s="105" t="s">
        <v>163</v>
      </c>
      <c r="M2933" s="50" t="s">
        <v>2393</v>
      </c>
      <c r="N2933" s="50" t="s">
        <v>6421</v>
      </c>
      <c r="O2933" s="60">
        <v>45677</v>
      </c>
      <c r="P2933" s="60">
        <v>45678</v>
      </c>
      <c r="Q2933" s="60">
        <v>45678</v>
      </c>
      <c r="R2933" s="60">
        <v>45678</v>
      </c>
      <c r="S2933" s="50">
        <f t="shared" si="277"/>
        <v>1</v>
      </c>
      <c r="T2933" s="50">
        <f>IF(
    OR(ISBLANK(P2933), ISBLANK(Q2933)),
    "",
    MAX(1, IF(
        NETWORKDAYS(P2933, Q2933) &lt;= 0,
        1,
        NETWORKDAYS(P2933, Q2933) - IF(P2933 = Q2933, 0, 1)
    ))
)</f>
        <v>1</v>
      </c>
      <c r="U2933" s="50">
        <f>IF(
    OR(ISBLANK(Q2933), ISBLANK(R2933)),
    "",
    MAX(1, IF(
        NETWORKDAYS(P2933, Q2933) &lt;= 0,
        1,
        NETWORKDAYS(P2933, Q2933) - IF(P2933 = Q2933, 0, 1)
    ))
)</f>
        <v>1</v>
      </c>
      <c r="V2933" s="50">
        <f t="shared" si="278"/>
        <v>1</v>
      </c>
      <c r="W2933" s="50" t="s">
        <v>150</v>
      </c>
      <c r="X2933" s="50" t="s">
        <v>4</v>
      </c>
      <c r="Y2933" s="50" t="s">
        <v>50</v>
      </c>
      <c r="Z2933" s="50" t="s">
        <v>3406</v>
      </c>
      <c r="AA2933" s="50"/>
    </row>
    <row r="2934" spans="1:27" ht="25.5" customHeight="1">
      <c r="A2934" s="50" t="s">
        <v>780</v>
      </c>
      <c r="B2934" s="51" t="s">
        <v>1215</v>
      </c>
      <c r="C2934" s="51" t="s">
        <v>159</v>
      </c>
      <c r="D2934" s="51" t="s">
        <v>4025</v>
      </c>
      <c r="E2934" s="50">
        <v>3589</v>
      </c>
      <c r="F2934" s="50">
        <v>3792</v>
      </c>
      <c r="G2934" s="50" t="s">
        <v>3404</v>
      </c>
      <c r="H2934" s="50">
        <v>2024</v>
      </c>
      <c r="I2934" s="107">
        <v>45610</v>
      </c>
      <c r="J2934" s="105"/>
      <c r="K2934" s="50" t="s">
        <v>1212</v>
      </c>
      <c r="L2934" s="105" t="s">
        <v>163</v>
      </c>
      <c r="M2934" s="50" t="s">
        <v>2393</v>
      </c>
      <c r="N2934" s="105"/>
      <c r="O2934" s="105"/>
      <c r="P2934" s="105"/>
      <c r="Q2934" s="105"/>
      <c r="R2934" s="60"/>
      <c r="S2934" s="50" t="str">
        <f t="shared" si="277"/>
        <v/>
      </c>
      <c r="T2934" s="50" t="str">
        <f t="shared" ref="T2934:T2953" si="279">IF(
    OR(ISBLANK(O2934), ISBLANK(P2934)),
    "",
    MAX(1, IF(
        NETWORKDAYS(O2934, P2934) &lt;= 0,
        1,
        NETWORKDAYS(O2934, P2934) - IF(O2934 = P2934, 0, 1)
    ))
)</f>
        <v/>
      </c>
      <c r="U2934" s="50" t="str">
        <f t="shared" ref="U2934:U2953" si="280">IF(
    OR(ISBLANK(P2934), ISBLANK(Q2934)),
    "",
    MAX(1, IF(
        NETWORKDAYS(P2934, Q2934) &lt;= 0,
        1,
        NETWORKDAYS(P2934, Q2934) - IF(P2934 = Q2934, 0, 1)
    ))
)</f>
        <v/>
      </c>
      <c r="V2934" s="50" t="str">
        <f t="shared" si="278"/>
        <v/>
      </c>
      <c r="W2934" s="50"/>
      <c r="X2934" s="50" t="s">
        <v>4</v>
      </c>
      <c r="Y2934" s="50" t="s">
        <v>50</v>
      </c>
      <c r="Z2934" s="50" t="s">
        <v>3406</v>
      </c>
      <c r="AA2934" s="50"/>
    </row>
    <row r="2935" spans="1:27" ht="25.5" customHeight="1">
      <c r="A2935" s="50" t="s">
        <v>780</v>
      </c>
      <c r="B2935" s="51" t="s">
        <v>1215</v>
      </c>
      <c r="C2935" s="51" t="s">
        <v>159</v>
      </c>
      <c r="D2935" s="51" t="s">
        <v>3913</v>
      </c>
      <c r="E2935" s="50">
        <v>991</v>
      </c>
      <c r="F2935" s="50">
        <v>989</v>
      </c>
      <c r="G2935" s="50" t="s">
        <v>3404</v>
      </c>
      <c r="H2935" s="50">
        <v>2024</v>
      </c>
      <c r="I2935" s="107">
        <v>45568</v>
      </c>
      <c r="J2935" s="105"/>
      <c r="K2935" s="50" t="s">
        <v>1212</v>
      </c>
      <c r="L2935" s="105" t="s">
        <v>163</v>
      </c>
      <c r="M2935" s="50" t="s">
        <v>2393</v>
      </c>
      <c r="N2935" s="105"/>
      <c r="O2935" s="105"/>
      <c r="P2935" s="105"/>
      <c r="Q2935" s="105"/>
      <c r="R2935" s="60"/>
      <c r="S2935" s="50" t="str">
        <f t="shared" si="277"/>
        <v/>
      </c>
      <c r="T2935" s="50" t="str">
        <f t="shared" si="279"/>
        <v/>
      </c>
      <c r="U2935" s="50" t="str">
        <f t="shared" si="280"/>
        <v/>
      </c>
      <c r="V2935" s="50" t="str">
        <f t="shared" si="278"/>
        <v/>
      </c>
      <c r="W2935" s="50"/>
      <c r="X2935" s="50" t="s">
        <v>4</v>
      </c>
      <c r="Y2935" s="50" t="s">
        <v>50</v>
      </c>
      <c r="Z2935" s="50" t="s">
        <v>3406</v>
      </c>
      <c r="AA2935" s="50"/>
    </row>
    <row r="2936" spans="1:27" ht="25.5" customHeight="1">
      <c r="A2936" s="50" t="s">
        <v>780</v>
      </c>
      <c r="B2936" s="51" t="s">
        <v>1215</v>
      </c>
      <c r="C2936" s="51" t="s">
        <v>159</v>
      </c>
      <c r="D2936" s="51" t="s">
        <v>1439</v>
      </c>
      <c r="E2936" s="50">
        <v>4893</v>
      </c>
      <c r="F2936" s="50">
        <v>4388</v>
      </c>
      <c r="G2936" s="50" t="s">
        <v>3404</v>
      </c>
      <c r="H2936" s="50">
        <v>2024</v>
      </c>
      <c r="I2936" s="107">
        <v>45610</v>
      </c>
      <c r="J2936" s="105"/>
      <c r="K2936" s="50" t="s">
        <v>1212</v>
      </c>
      <c r="L2936" s="105" t="s">
        <v>163</v>
      </c>
      <c r="M2936" s="50" t="s">
        <v>2393</v>
      </c>
      <c r="N2936" s="105"/>
      <c r="O2936" s="105"/>
      <c r="P2936" s="105"/>
      <c r="Q2936" s="105"/>
      <c r="R2936" s="60"/>
      <c r="S2936" s="50" t="str">
        <f t="shared" si="277"/>
        <v/>
      </c>
      <c r="T2936" s="50" t="str">
        <f t="shared" si="279"/>
        <v/>
      </c>
      <c r="U2936" s="50" t="str">
        <f t="shared" si="280"/>
        <v/>
      </c>
      <c r="V2936" s="50" t="str">
        <f t="shared" si="278"/>
        <v/>
      </c>
      <c r="W2936" s="50"/>
      <c r="X2936" s="50" t="s">
        <v>4</v>
      </c>
      <c r="Y2936" s="50" t="s">
        <v>50</v>
      </c>
      <c r="Z2936" s="50" t="s">
        <v>3406</v>
      </c>
      <c r="AA2936" s="50"/>
    </row>
    <row r="2937" spans="1:27" ht="25.5" customHeight="1">
      <c r="A2937" s="50" t="s">
        <v>780</v>
      </c>
      <c r="B2937" s="51" t="s">
        <v>1215</v>
      </c>
      <c r="C2937" s="51" t="s">
        <v>159</v>
      </c>
      <c r="D2937" s="51" t="s">
        <v>5638</v>
      </c>
      <c r="E2937" s="50">
        <v>11579</v>
      </c>
      <c r="F2937" s="50">
        <v>11139</v>
      </c>
      <c r="G2937" s="50" t="s">
        <v>3404</v>
      </c>
      <c r="H2937" s="50">
        <v>2024</v>
      </c>
      <c r="I2937" s="107">
        <v>45568</v>
      </c>
      <c r="J2937" s="105"/>
      <c r="K2937" s="50" t="s">
        <v>1212</v>
      </c>
      <c r="L2937" s="105" t="s">
        <v>163</v>
      </c>
      <c r="M2937" s="50" t="s">
        <v>2393</v>
      </c>
      <c r="N2937" s="105"/>
      <c r="O2937" s="105"/>
      <c r="P2937" s="105"/>
      <c r="Q2937" s="105"/>
      <c r="R2937" s="60"/>
      <c r="S2937" s="50" t="str">
        <f t="shared" si="277"/>
        <v/>
      </c>
      <c r="T2937" s="50" t="str">
        <f t="shared" si="279"/>
        <v/>
      </c>
      <c r="U2937" s="50" t="str">
        <f t="shared" si="280"/>
        <v/>
      </c>
      <c r="V2937" s="50" t="str">
        <f t="shared" si="278"/>
        <v/>
      </c>
      <c r="W2937" s="50"/>
      <c r="X2937" s="50" t="s">
        <v>4</v>
      </c>
      <c r="Y2937" s="50" t="s">
        <v>50</v>
      </c>
      <c r="Z2937" s="50" t="s">
        <v>3406</v>
      </c>
      <c r="AA2937" s="50"/>
    </row>
    <row r="2938" spans="1:27" ht="25.5" customHeight="1">
      <c r="A2938" s="50" t="s">
        <v>780</v>
      </c>
      <c r="B2938" s="51" t="s">
        <v>1215</v>
      </c>
      <c r="C2938" s="51" t="s">
        <v>159</v>
      </c>
      <c r="D2938" s="51" t="s">
        <v>3974</v>
      </c>
      <c r="E2938" s="50">
        <v>1571</v>
      </c>
      <c r="F2938" s="50">
        <v>1422</v>
      </c>
      <c r="G2938" s="50" t="s">
        <v>3404</v>
      </c>
      <c r="H2938" s="50">
        <v>2024</v>
      </c>
      <c r="I2938" s="107">
        <v>45568</v>
      </c>
      <c r="J2938" s="105"/>
      <c r="K2938" s="50" t="s">
        <v>1212</v>
      </c>
      <c r="L2938" s="105" t="s">
        <v>163</v>
      </c>
      <c r="M2938" s="50" t="s">
        <v>2393</v>
      </c>
      <c r="N2938" s="105"/>
      <c r="O2938" s="105"/>
      <c r="P2938" s="105"/>
      <c r="Q2938" s="105"/>
      <c r="R2938" s="60"/>
      <c r="S2938" s="50" t="str">
        <f t="shared" si="277"/>
        <v/>
      </c>
      <c r="T2938" s="50" t="str">
        <f t="shared" si="279"/>
        <v/>
      </c>
      <c r="U2938" s="50" t="str">
        <f t="shared" si="280"/>
        <v/>
      </c>
      <c r="V2938" s="50" t="str">
        <f t="shared" si="278"/>
        <v/>
      </c>
      <c r="W2938" s="50"/>
      <c r="X2938" s="50" t="s">
        <v>4</v>
      </c>
      <c r="Y2938" s="50" t="s">
        <v>50</v>
      </c>
      <c r="Z2938" s="50" t="s">
        <v>3406</v>
      </c>
      <c r="AA2938" s="50"/>
    </row>
    <row r="2939" spans="1:27" ht="25.5" customHeight="1">
      <c r="A2939" s="50" t="s">
        <v>780</v>
      </c>
      <c r="B2939" s="51" t="s">
        <v>1215</v>
      </c>
      <c r="C2939" s="51" t="s">
        <v>159</v>
      </c>
      <c r="D2939" s="51" t="s">
        <v>4950</v>
      </c>
      <c r="E2939" s="50">
        <v>2044</v>
      </c>
      <c r="F2939" s="50">
        <v>2011</v>
      </c>
      <c r="G2939" s="50" t="s">
        <v>3404</v>
      </c>
      <c r="H2939" s="50">
        <v>2024</v>
      </c>
      <c r="I2939" s="107">
        <v>45428</v>
      </c>
      <c r="J2939" s="105"/>
      <c r="K2939" s="50" t="s">
        <v>1212</v>
      </c>
      <c r="L2939" s="105" t="s">
        <v>163</v>
      </c>
      <c r="M2939" s="50" t="s">
        <v>2393</v>
      </c>
      <c r="N2939" s="105"/>
      <c r="O2939" s="105"/>
      <c r="P2939" s="105"/>
      <c r="Q2939" s="105"/>
      <c r="R2939" s="60"/>
      <c r="S2939" s="50" t="str">
        <f t="shared" si="277"/>
        <v/>
      </c>
      <c r="T2939" s="50" t="str">
        <f t="shared" si="279"/>
        <v/>
      </c>
      <c r="U2939" s="50" t="str">
        <f t="shared" si="280"/>
        <v/>
      </c>
      <c r="V2939" s="50" t="str">
        <f t="shared" si="278"/>
        <v/>
      </c>
      <c r="W2939" s="50"/>
      <c r="X2939" s="50" t="s">
        <v>4</v>
      </c>
      <c r="Y2939" s="50" t="s">
        <v>50</v>
      </c>
      <c r="Z2939" s="50" t="s">
        <v>3406</v>
      </c>
      <c r="AA2939" s="50"/>
    </row>
    <row r="2940" spans="1:27" ht="25.5" customHeight="1">
      <c r="A2940" s="50" t="s">
        <v>780</v>
      </c>
      <c r="B2940" s="51" t="s">
        <v>6422</v>
      </c>
      <c r="C2940" s="51" t="s">
        <v>159</v>
      </c>
      <c r="D2940" s="51" t="s">
        <v>1540</v>
      </c>
      <c r="E2940" s="50">
        <v>9017</v>
      </c>
      <c r="F2940" s="50">
        <v>10714</v>
      </c>
      <c r="G2940" s="50" t="s">
        <v>3404</v>
      </c>
      <c r="H2940" s="50">
        <v>2024</v>
      </c>
      <c r="I2940" s="150">
        <v>45427</v>
      </c>
      <c r="J2940" s="108"/>
      <c r="K2940" s="50" t="s">
        <v>1212</v>
      </c>
      <c r="L2940" s="105" t="s">
        <v>163</v>
      </c>
      <c r="M2940" s="50" t="s">
        <v>2393</v>
      </c>
      <c r="N2940" s="108"/>
      <c r="O2940" s="108"/>
      <c r="P2940" s="108"/>
      <c r="Q2940" s="108"/>
      <c r="R2940" s="60"/>
      <c r="S2940" s="50" t="str">
        <f t="shared" si="277"/>
        <v/>
      </c>
      <c r="T2940" s="50" t="str">
        <f t="shared" si="279"/>
        <v/>
      </c>
      <c r="U2940" s="50" t="str">
        <f t="shared" si="280"/>
        <v/>
      </c>
      <c r="V2940" s="50" t="str">
        <f t="shared" si="278"/>
        <v/>
      </c>
      <c r="W2940" s="50"/>
      <c r="X2940" s="50" t="s">
        <v>4</v>
      </c>
      <c r="Y2940" s="50" t="s">
        <v>50</v>
      </c>
      <c r="Z2940" s="50" t="s">
        <v>3406</v>
      </c>
      <c r="AA2940" s="50"/>
    </row>
    <row r="2941" spans="1:27" ht="25.5" customHeight="1">
      <c r="A2941" s="50" t="s">
        <v>780</v>
      </c>
      <c r="B2941" s="51" t="s">
        <v>6422</v>
      </c>
      <c r="C2941" s="51" t="s">
        <v>159</v>
      </c>
      <c r="D2941" s="51" t="s">
        <v>2177</v>
      </c>
      <c r="E2941" s="50">
        <v>4759</v>
      </c>
      <c r="F2941" s="50">
        <v>5188</v>
      </c>
      <c r="G2941" s="50" t="s">
        <v>3404</v>
      </c>
      <c r="H2941" s="50">
        <v>2024</v>
      </c>
      <c r="I2941" s="150">
        <v>45489</v>
      </c>
      <c r="J2941" s="108"/>
      <c r="K2941" s="50" t="s">
        <v>1212</v>
      </c>
      <c r="L2941" s="105" t="s">
        <v>163</v>
      </c>
      <c r="M2941" s="50" t="s">
        <v>2393</v>
      </c>
      <c r="N2941" s="108"/>
      <c r="O2941" s="108"/>
      <c r="P2941" s="108"/>
      <c r="Q2941" s="108"/>
      <c r="R2941" s="60"/>
      <c r="S2941" s="50" t="str">
        <f t="shared" si="277"/>
        <v/>
      </c>
      <c r="T2941" s="50" t="str">
        <f t="shared" si="279"/>
        <v/>
      </c>
      <c r="U2941" s="50" t="str">
        <f t="shared" si="280"/>
        <v/>
      </c>
      <c r="V2941" s="50" t="str">
        <f t="shared" si="278"/>
        <v/>
      </c>
      <c r="W2941" s="50"/>
      <c r="X2941" s="50" t="s">
        <v>4</v>
      </c>
      <c r="Y2941" s="50" t="s">
        <v>50</v>
      </c>
      <c r="Z2941" s="50" t="s">
        <v>3406</v>
      </c>
      <c r="AA2941" s="50"/>
    </row>
    <row r="2942" spans="1:27" ht="25.5" customHeight="1">
      <c r="A2942" s="50" t="s">
        <v>780</v>
      </c>
      <c r="B2942" s="51" t="s">
        <v>6422</v>
      </c>
      <c r="C2942" s="51" t="s">
        <v>159</v>
      </c>
      <c r="D2942" s="51" t="s">
        <v>2051</v>
      </c>
      <c r="E2942" s="50">
        <v>3162</v>
      </c>
      <c r="F2942" s="50">
        <v>3763</v>
      </c>
      <c r="G2942" s="50" t="s">
        <v>3404</v>
      </c>
      <c r="H2942" s="50">
        <v>2024</v>
      </c>
      <c r="I2942" s="150">
        <v>45427</v>
      </c>
      <c r="J2942" s="108"/>
      <c r="K2942" s="50" t="s">
        <v>1212</v>
      </c>
      <c r="L2942" s="105" t="s">
        <v>163</v>
      </c>
      <c r="M2942" s="50" t="s">
        <v>2393</v>
      </c>
      <c r="N2942" s="108"/>
      <c r="O2942" s="108"/>
      <c r="P2942" s="108"/>
      <c r="Q2942" s="108"/>
      <c r="R2942" s="60"/>
      <c r="S2942" s="50" t="str">
        <f t="shared" si="277"/>
        <v/>
      </c>
      <c r="T2942" s="50" t="str">
        <f t="shared" si="279"/>
        <v/>
      </c>
      <c r="U2942" s="50" t="str">
        <f t="shared" si="280"/>
        <v/>
      </c>
      <c r="V2942" s="50" t="str">
        <f t="shared" si="278"/>
        <v/>
      </c>
      <c r="W2942" s="50"/>
      <c r="X2942" s="50" t="s">
        <v>4</v>
      </c>
      <c r="Y2942" s="50" t="s">
        <v>50</v>
      </c>
      <c r="Z2942" s="50" t="s">
        <v>3406</v>
      </c>
      <c r="AA2942" s="50"/>
    </row>
    <row r="2943" spans="1:27" ht="25.5" customHeight="1">
      <c r="A2943" s="50" t="s">
        <v>780</v>
      </c>
      <c r="B2943" s="51" t="s">
        <v>6422</v>
      </c>
      <c r="C2943" s="51" t="s">
        <v>159</v>
      </c>
      <c r="D2943" s="51" t="s">
        <v>6423</v>
      </c>
      <c r="E2943" s="50">
        <v>2987</v>
      </c>
      <c r="F2943" s="50">
        <v>3406</v>
      </c>
      <c r="G2943" s="50" t="s">
        <v>3404</v>
      </c>
      <c r="H2943" s="50">
        <v>2024</v>
      </c>
      <c r="I2943" s="150">
        <v>45489</v>
      </c>
      <c r="J2943" s="108"/>
      <c r="K2943" s="50" t="s">
        <v>1212</v>
      </c>
      <c r="L2943" s="105" t="s">
        <v>163</v>
      </c>
      <c r="M2943" s="50" t="s">
        <v>2393</v>
      </c>
      <c r="N2943" s="108"/>
      <c r="O2943" s="108"/>
      <c r="P2943" s="108"/>
      <c r="Q2943" s="108"/>
      <c r="R2943" s="60"/>
      <c r="S2943" s="50" t="str">
        <f t="shared" si="277"/>
        <v/>
      </c>
      <c r="T2943" s="50" t="str">
        <f t="shared" si="279"/>
        <v/>
      </c>
      <c r="U2943" s="50" t="str">
        <f t="shared" si="280"/>
        <v/>
      </c>
      <c r="V2943" s="50" t="str">
        <f t="shared" si="278"/>
        <v/>
      </c>
      <c r="W2943" s="50"/>
      <c r="X2943" s="50" t="s">
        <v>1078</v>
      </c>
      <c r="Y2943" s="50" t="s">
        <v>3528</v>
      </c>
      <c r="Z2943" s="50" t="s">
        <v>3406</v>
      </c>
      <c r="AA2943" s="50"/>
    </row>
    <row r="2944" spans="1:27" ht="25.5" customHeight="1">
      <c r="A2944" s="50" t="s">
        <v>780</v>
      </c>
      <c r="B2944" s="51" t="s">
        <v>6422</v>
      </c>
      <c r="C2944" s="51" t="s">
        <v>159</v>
      </c>
      <c r="D2944" s="51" t="s">
        <v>6424</v>
      </c>
      <c r="E2944" s="50">
        <v>10413</v>
      </c>
      <c r="F2944" s="50">
        <v>10973</v>
      </c>
      <c r="G2944" s="50" t="s">
        <v>3404</v>
      </c>
      <c r="H2944" s="50">
        <v>2024</v>
      </c>
      <c r="I2944" s="150">
        <v>45489</v>
      </c>
      <c r="J2944" s="108"/>
      <c r="K2944" s="50" t="s">
        <v>1212</v>
      </c>
      <c r="L2944" s="105" t="s">
        <v>163</v>
      </c>
      <c r="M2944" s="50" t="s">
        <v>2393</v>
      </c>
      <c r="N2944" s="108"/>
      <c r="O2944" s="108"/>
      <c r="P2944" s="108"/>
      <c r="Q2944" s="108"/>
      <c r="R2944" s="60"/>
      <c r="S2944" s="50" t="str">
        <f t="shared" si="277"/>
        <v/>
      </c>
      <c r="T2944" s="50" t="str">
        <f t="shared" si="279"/>
        <v/>
      </c>
      <c r="U2944" s="50" t="str">
        <f t="shared" si="280"/>
        <v/>
      </c>
      <c r="V2944" s="50" t="str">
        <f t="shared" si="278"/>
        <v/>
      </c>
      <c r="W2944" s="50"/>
      <c r="X2944" s="50" t="s">
        <v>1078</v>
      </c>
      <c r="Y2944" s="50" t="s">
        <v>3528</v>
      </c>
      <c r="Z2944" s="50" t="s">
        <v>3406</v>
      </c>
      <c r="AA2944" s="50"/>
    </row>
    <row r="2945" spans="1:27" ht="25.5" customHeight="1">
      <c r="A2945" s="50" t="s">
        <v>780</v>
      </c>
      <c r="B2945" s="51" t="s">
        <v>6422</v>
      </c>
      <c r="C2945" s="51" t="s">
        <v>159</v>
      </c>
      <c r="D2945" s="51" t="s">
        <v>4126</v>
      </c>
      <c r="E2945" s="50">
        <v>5609</v>
      </c>
      <c r="F2945" s="50">
        <v>6301</v>
      </c>
      <c r="G2945" s="50" t="s">
        <v>3404</v>
      </c>
      <c r="H2945" s="50">
        <v>2024</v>
      </c>
      <c r="I2945" s="150">
        <v>45489</v>
      </c>
      <c r="J2945" s="108"/>
      <c r="K2945" s="50" t="s">
        <v>1212</v>
      </c>
      <c r="L2945" s="105" t="s">
        <v>163</v>
      </c>
      <c r="M2945" s="50" t="s">
        <v>2393</v>
      </c>
      <c r="N2945" s="108"/>
      <c r="O2945" s="108"/>
      <c r="P2945" s="108"/>
      <c r="Q2945" s="108"/>
      <c r="R2945" s="60"/>
      <c r="S2945" s="50" t="str">
        <f t="shared" si="277"/>
        <v/>
      </c>
      <c r="T2945" s="50" t="str">
        <f t="shared" si="279"/>
        <v/>
      </c>
      <c r="U2945" s="50" t="str">
        <f t="shared" si="280"/>
        <v/>
      </c>
      <c r="V2945" s="50" t="str">
        <f t="shared" si="278"/>
        <v/>
      </c>
      <c r="W2945" s="50"/>
      <c r="X2945" s="50" t="s">
        <v>4</v>
      </c>
      <c r="Y2945" s="50" t="s">
        <v>50</v>
      </c>
      <c r="Z2945" s="50" t="s">
        <v>3406</v>
      </c>
      <c r="AA2945" s="50"/>
    </row>
    <row r="2946" spans="1:27" ht="25.5" customHeight="1">
      <c r="A2946" s="50" t="s">
        <v>780</v>
      </c>
      <c r="B2946" s="51" t="s">
        <v>6422</v>
      </c>
      <c r="C2946" s="51" t="s">
        <v>159</v>
      </c>
      <c r="D2946" s="51" t="s">
        <v>3975</v>
      </c>
      <c r="E2946" s="50">
        <v>4345</v>
      </c>
      <c r="F2946" s="50">
        <v>4526</v>
      </c>
      <c r="G2946" s="50" t="s">
        <v>3404</v>
      </c>
      <c r="H2946" s="50">
        <v>2024</v>
      </c>
      <c r="I2946" s="150">
        <v>45427</v>
      </c>
      <c r="J2946" s="108"/>
      <c r="K2946" s="50" t="s">
        <v>1212</v>
      </c>
      <c r="L2946" s="105" t="s">
        <v>163</v>
      </c>
      <c r="M2946" s="50" t="s">
        <v>2393</v>
      </c>
      <c r="N2946" s="108"/>
      <c r="O2946" s="108"/>
      <c r="P2946" s="108"/>
      <c r="Q2946" s="108"/>
      <c r="R2946" s="60"/>
      <c r="S2946" s="50" t="str">
        <f t="shared" si="277"/>
        <v/>
      </c>
      <c r="T2946" s="50" t="str">
        <f t="shared" si="279"/>
        <v/>
      </c>
      <c r="U2946" s="50" t="str">
        <f t="shared" si="280"/>
        <v/>
      </c>
      <c r="V2946" s="50" t="str">
        <f t="shared" si="278"/>
        <v/>
      </c>
      <c r="W2946" s="50"/>
      <c r="X2946" s="50" t="s">
        <v>4</v>
      </c>
      <c r="Y2946" s="50" t="s">
        <v>50</v>
      </c>
      <c r="Z2946" s="50" t="s">
        <v>3406</v>
      </c>
      <c r="AA2946" s="50"/>
    </row>
    <row r="2947" spans="1:27" ht="25.5" customHeight="1">
      <c r="A2947" s="50" t="s">
        <v>780</v>
      </c>
      <c r="B2947" s="51" t="s">
        <v>6422</v>
      </c>
      <c r="C2947" s="51" t="s">
        <v>159</v>
      </c>
      <c r="D2947" s="51" t="s">
        <v>4261</v>
      </c>
      <c r="E2947" s="50">
        <v>3979</v>
      </c>
      <c r="F2947" s="50">
        <v>4366</v>
      </c>
      <c r="G2947" s="50" t="s">
        <v>3404</v>
      </c>
      <c r="H2947" s="50">
        <v>2024</v>
      </c>
      <c r="I2947" s="150">
        <v>45552</v>
      </c>
      <c r="J2947" s="108"/>
      <c r="K2947" s="50" t="s">
        <v>1212</v>
      </c>
      <c r="L2947" s="105" t="s">
        <v>163</v>
      </c>
      <c r="M2947" s="50" t="s">
        <v>2393</v>
      </c>
      <c r="N2947" s="108"/>
      <c r="O2947" s="108"/>
      <c r="P2947" s="108"/>
      <c r="Q2947" s="108"/>
      <c r="R2947" s="60"/>
      <c r="S2947" s="50" t="str">
        <f t="shared" si="277"/>
        <v/>
      </c>
      <c r="T2947" s="50" t="str">
        <f t="shared" si="279"/>
        <v/>
      </c>
      <c r="U2947" s="50" t="str">
        <f t="shared" si="280"/>
        <v/>
      </c>
      <c r="V2947" s="50" t="str">
        <f t="shared" si="278"/>
        <v/>
      </c>
      <c r="W2947" s="50"/>
      <c r="X2947" s="50" t="s">
        <v>1078</v>
      </c>
      <c r="Y2947" s="50" t="s">
        <v>3528</v>
      </c>
      <c r="Z2947" s="50" t="s">
        <v>3406</v>
      </c>
      <c r="AA2947" s="50"/>
    </row>
    <row r="2948" spans="1:27" ht="25.5" customHeight="1">
      <c r="A2948" s="50" t="s">
        <v>780</v>
      </c>
      <c r="B2948" s="51" t="s">
        <v>6422</v>
      </c>
      <c r="C2948" s="51" t="s">
        <v>159</v>
      </c>
      <c r="D2948" s="51" t="s">
        <v>6425</v>
      </c>
      <c r="E2948" s="50">
        <v>2136</v>
      </c>
      <c r="F2948" s="50">
        <v>2403</v>
      </c>
      <c r="G2948" s="50" t="s">
        <v>3404</v>
      </c>
      <c r="H2948" s="50">
        <v>2024</v>
      </c>
      <c r="I2948" s="150">
        <v>45552</v>
      </c>
      <c r="J2948" s="108"/>
      <c r="K2948" s="50" t="s">
        <v>1212</v>
      </c>
      <c r="L2948" s="105" t="s">
        <v>163</v>
      </c>
      <c r="M2948" s="50" t="s">
        <v>2393</v>
      </c>
      <c r="N2948" s="108"/>
      <c r="O2948" s="108"/>
      <c r="P2948" s="108"/>
      <c r="Q2948" s="108"/>
      <c r="R2948" s="60"/>
      <c r="S2948" s="50" t="str">
        <f t="shared" si="277"/>
        <v/>
      </c>
      <c r="T2948" s="50" t="str">
        <f t="shared" si="279"/>
        <v/>
      </c>
      <c r="U2948" s="50" t="str">
        <f t="shared" si="280"/>
        <v/>
      </c>
      <c r="V2948" s="50" t="str">
        <f t="shared" si="278"/>
        <v/>
      </c>
      <c r="W2948" s="50"/>
      <c r="X2948" s="50" t="s">
        <v>1078</v>
      </c>
      <c r="Y2948" s="50" t="s">
        <v>3528</v>
      </c>
      <c r="Z2948" s="50" t="s">
        <v>3406</v>
      </c>
      <c r="AA2948" s="50"/>
    </row>
    <row r="2949" spans="1:27" ht="25.5" customHeight="1">
      <c r="A2949" s="50" t="s">
        <v>780</v>
      </c>
      <c r="B2949" s="51" t="s">
        <v>6422</v>
      </c>
      <c r="C2949" s="51" t="s">
        <v>159</v>
      </c>
      <c r="D2949" s="51" t="s">
        <v>6426</v>
      </c>
      <c r="E2949" s="50">
        <v>860</v>
      </c>
      <c r="F2949" s="50">
        <v>755</v>
      </c>
      <c r="G2949" s="50" t="s">
        <v>3404</v>
      </c>
      <c r="H2949" s="50">
        <v>2024</v>
      </c>
      <c r="I2949" s="150">
        <v>45581</v>
      </c>
      <c r="J2949" s="108"/>
      <c r="K2949" s="50" t="s">
        <v>1212</v>
      </c>
      <c r="L2949" s="105" t="s">
        <v>163</v>
      </c>
      <c r="M2949" s="50" t="s">
        <v>2393</v>
      </c>
      <c r="N2949" s="108"/>
      <c r="O2949" s="108"/>
      <c r="P2949" s="108"/>
      <c r="Q2949" s="108"/>
      <c r="R2949" s="60"/>
      <c r="S2949" s="50" t="str">
        <f t="shared" si="277"/>
        <v/>
      </c>
      <c r="T2949" s="50" t="str">
        <f t="shared" si="279"/>
        <v/>
      </c>
      <c r="U2949" s="50" t="str">
        <f t="shared" si="280"/>
        <v/>
      </c>
      <c r="V2949" s="50" t="str">
        <f t="shared" si="278"/>
        <v/>
      </c>
      <c r="W2949" s="50"/>
      <c r="X2949" s="50" t="s">
        <v>1078</v>
      </c>
      <c r="Y2949" s="50" t="s">
        <v>50</v>
      </c>
      <c r="Z2949" s="50" t="s">
        <v>3406</v>
      </c>
      <c r="AA2949" s="50"/>
    </row>
    <row r="2950" spans="1:27" ht="25.5" customHeight="1">
      <c r="A2950" s="50" t="s">
        <v>780</v>
      </c>
      <c r="B2950" s="51" t="s">
        <v>6422</v>
      </c>
      <c r="C2950" s="51" t="s">
        <v>159</v>
      </c>
      <c r="D2950" s="51" t="s">
        <v>6427</v>
      </c>
      <c r="E2950" s="50">
        <v>415</v>
      </c>
      <c r="F2950" s="50">
        <v>549</v>
      </c>
      <c r="G2950" s="50" t="s">
        <v>3404</v>
      </c>
      <c r="H2950" s="50">
        <v>2024</v>
      </c>
      <c r="I2950" s="150">
        <v>45581</v>
      </c>
      <c r="J2950" s="108"/>
      <c r="K2950" s="50" t="s">
        <v>1212</v>
      </c>
      <c r="L2950" s="105" t="s">
        <v>163</v>
      </c>
      <c r="M2950" s="50" t="s">
        <v>2393</v>
      </c>
      <c r="N2950" s="108"/>
      <c r="O2950" s="108"/>
      <c r="P2950" s="108"/>
      <c r="Q2950" s="108"/>
      <c r="R2950" s="60"/>
      <c r="S2950" s="50" t="str">
        <f t="shared" si="277"/>
        <v/>
      </c>
      <c r="T2950" s="50" t="str">
        <f t="shared" si="279"/>
        <v/>
      </c>
      <c r="U2950" s="50" t="str">
        <f t="shared" si="280"/>
        <v/>
      </c>
      <c r="V2950" s="50" t="str">
        <f t="shared" si="278"/>
        <v/>
      </c>
      <c r="W2950" s="50"/>
      <c r="X2950" s="50" t="s">
        <v>1078</v>
      </c>
      <c r="Y2950" s="50" t="s">
        <v>50</v>
      </c>
      <c r="Z2950" s="50" t="s">
        <v>3406</v>
      </c>
      <c r="AA2950" s="50"/>
    </row>
    <row r="2951" spans="1:27" ht="25.5" customHeight="1">
      <c r="A2951" s="50" t="s">
        <v>780</v>
      </c>
      <c r="B2951" s="51" t="s">
        <v>6422</v>
      </c>
      <c r="C2951" s="51" t="s">
        <v>159</v>
      </c>
      <c r="D2951" s="51" t="s">
        <v>6428</v>
      </c>
      <c r="E2951" s="50">
        <v>523</v>
      </c>
      <c r="F2951" s="50">
        <v>443</v>
      </c>
      <c r="G2951" s="50" t="s">
        <v>3404</v>
      </c>
      <c r="H2951" s="50">
        <v>2024</v>
      </c>
      <c r="I2951" s="150">
        <v>45581</v>
      </c>
      <c r="J2951" s="108"/>
      <c r="K2951" s="50" t="s">
        <v>1212</v>
      </c>
      <c r="L2951" s="105" t="s">
        <v>163</v>
      </c>
      <c r="M2951" s="50" t="s">
        <v>2393</v>
      </c>
      <c r="N2951" s="108"/>
      <c r="O2951" s="108"/>
      <c r="P2951" s="108"/>
      <c r="Q2951" s="108"/>
      <c r="R2951" s="60"/>
      <c r="S2951" s="50" t="str">
        <f t="shared" si="277"/>
        <v/>
      </c>
      <c r="T2951" s="50" t="str">
        <f t="shared" si="279"/>
        <v/>
      </c>
      <c r="U2951" s="50" t="str">
        <f t="shared" si="280"/>
        <v/>
      </c>
      <c r="V2951" s="50" t="str">
        <f t="shared" si="278"/>
        <v/>
      </c>
      <c r="W2951" s="50"/>
      <c r="X2951" s="50" t="s">
        <v>1078</v>
      </c>
      <c r="Y2951" s="50" t="s">
        <v>50</v>
      </c>
      <c r="Z2951" s="50" t="s">
        <v>3406</v>
      </c>
      <c r="AA2951" s="50"/>
    </row>
    <row r="2952" spans="1:27" ht="25.5" customHeight="1">
      <c r="A2952" s="50" t="s">
        <v>780</v>
      </c>
      <c r="B2952" s="51" t="s">
        <v>6422</v>
      </c>
      <c r="C2952" s="51" t="s">
        <v>159</v>
      </c>
      <c r="D2952" s="51" t="s">
        <v>6429</v>
      </c>
      <c r="E2952" s="50">
        <v>1611</v>
      </c>
      <c r="F2952" s="50">
        <v>1407</v>
      </c>
      <c r="G2952" s="50" t="s">
        <v>3404</v>
      </c>
      <c r="H2952" s="50">
        <v>2024</v>
      </c>
      <c r="I2952" s="150">
        <v>45581</v>
      </c>
      <c r="J2952" s="108"/>
      <c r="K2952" s="50" t="s">
        <v>1212</v>
      </c>
      <c r="L2952" s="105" t="s">
        <v>163</v>
      </c>
      <c r="M2952" s="50" t="s">
        <v>2393</v>
      </c>
      <c r="N2952" s="108"/>
      <c r="O2952" s="108"/>
      <c r="P2952" s="108"/>
      <c r="Q2952" s="108"/>
      <c r="R2952" s="60"/>
      <c r="S2952" s="50" t="str">
        <f t="shared" si="277"/>
        <v/>
      </c>
      <c r="T2952" s="50" t="str">
        <f t="shared" si="279"/>
        <v/>
      </c>
      <c r="U2952" s="50" t="str">
        <f t="shared" si="280"/>
        <v/>
      </c>
      <c r="V2952" s="50" t="str">
        <f t="shared" si="278"/>
        <v/>
      </c>
      <c r="W2952" s="50"/>
      <c r="X2952" s="50" t="s">
        <v>1078</v>
      </c>
      <c r="Y2952" s="50" t="s">
        <v>50</v>
      </c>
      <c r="Z2952" s="50" t="s">
        <v>3406</v>
      </c>
      <c r="AA2952" s="50"/>
    </row>
    <row r="2953" spans="1:27" ht="25.5" customHeight="1">
      <c r="A2953" s="50" t="s">
        <v>780</v>
      </c>
      <c r="B2953" s="51" t="s">
        <v>6422</v>
      </c>
      <c r="C2953" s="51" t="s">
        <v>159</v>
      </c>
      <c r="D2953" s="51" t="s">
        <v>6430</v>
      </c>
      <c r="E2953" s="50">
        <v>690</v>
      </c>
      <c r="F2953" s="50">
        <v>787</v>
      </c>
      <c r="G2953" s="50" t="s">
        <v>3404</v>
      </c>
      <c r="H2953" s="50">
        <v>2024</v>
      </c>
      <c r="I2953" s="150">
        <v>45427</v>
      </c>
      <c r="J2953" s="108"/>
      <c r="K2953" s="50" t="s">
        <v>1212</v>
      </c>
      <c r="L2953" s="105" t="s">
        <v>163</v>
      </c>
      <c r="M2953" s="50" t="s">
        <v>2393</v>
      </c>
      <c r="N2953" s="108"/>
      <c r="O2953" s="108"/>
      <c r="P2953" s="108"/>
      <c r="Q2953" s="108"/>
      <c r="R2953" s="60"/>
      <c r="S2953" s="50" t="str">
        <f t="shared" si="277"/>
        <v/>
      </c>
      <c r="T2953" s="50" t="str">
        <f t="shared" si="279"/>
        <v/>
      </c>
      <c r="U2953" s="50" t="str">
        <f t="shared" si="280"/>
        <v/>
      </c>
      <c r="V2953" s="50" t="str">
        <f t="shared" si="278"/>
        <v/>
      </c>
      <c r="W2953" s="50"/>
      <c r="X2953" s="50" t="s">
        <v>4</v>
      </c>
      <c r="Y2953" s="50" t="s">
        <v>50</v>
      </c>
      <c r="Z2953" s="50" t="s">
        <v>3406</v>
      </c>
      <c r="AA2953" s="50"/>
    </row>
    <row r="2954" spans="1:27" ht="25.5" customHeight="1">
      <c r="A2954" s="517" t="s">
        <v>780</v>
      </c>
      <c r="B2954" s="51" t="s">
        <v>942</v>
      </c>
      <c r="C2954" s="51" t="s">
        <v>159</v>
      </c>
      <c r="D2954" s="51" t="s">
        <v>1543</v>
      </c>
      <c r="E2954" s="50">
        <v>6783</v>
      </c>
      <c r="F2954" s="50">
        <v>7786</v>
      </c>
      <c r="G2954" s="50" t="s">
        <v>3404</v>
      </c>
      <c r="H2954" s="50">
        <v>2025</v>
      </c>
      <c r="I2954" s="150">
        <v>45728</v>
      </c>
      <c r="J2954" s="105" t="s">
        <v>3416</v>
      </c>
      <c r="K2954" s="105" t="s">
        <v>42</v>
      </c>
      <c r="L2954" s="105" t="s">
        <v>163</v>
      </c>
      <c r="M2954" s="50" t="s">
        <v>2393</v>
      </c>
      <c r="N2954" s="50" t="s">
        <v>6431</v>
      </c>
      <c r="O2954" s="150">
        <v>45730</v>
      </c>
      <c r="P2954" s="150">
        <v>45733</v>
      </c>
      <c r="Q2954" s="150">
        <v>45733</v>
      </c>
      <c r="R2954" s="150">
        <v>45733</v>
      </c>
      <c r="S2954" s="50">
        <f t="shared" si="277"/>
        <v>2</v>
      </c>
      <c r="T2954" s="50">
        <f>IF(
    OR(ISBLANK(P2954), ISBLANK(Q2954)),
    "",
    MAX(1, IF(
        NETWORKDAYS(P2954, Q2954) &lt;= 0,
        1,
        NETWORKDAYS(P2954, Q2954) - IF(P2954 = Q2954, 0, 1)
    ))
)</f>
        <v>1</v>
      </c>
      <c r="U2954" s="50">
        <f>IF(
    OR(ISBLANK(Q2954), ISBLANK(R2954)),
    "",
    MAX(1, IF(
        NETWORKDAYS(P2954, Q2954) &lt;= 0,
        1,
        NETWORKDAYS(P2954, Q2954) - IF(P2954 = Q2954, 0, 1)
    ))
)</f>
        <v>1</v>
      </c>
      <c r="V2954" s="50">
        <f t="shared" si="278"/>
        <v>1</v>
      </c>
      <c r="W2954" s="50" t="s">
        <v>150</v>
      </c>
      <c r="X2954" s="50" t="s">
        <v>3527</v>
      </c>
      <c r="Y2954" s="50" t="s">
        <v>3528</v>
      </c>
      <c r="Z2954" s="50" t="s">
        <v>3406</v>
      </c>
      <c r="AA2954" s="50"/>
    </row>
    <row r="2955" spans="1:27" s="110" customFormat="1" ht="25.5" customHeight="1">
      <c r="A2955" s="517" t="s">
        <v>780</v>
      </c>
      <c r="B2955" s="51" t="s">
        <v>942</v>
      </c>
      <c r="C2955" s="51" t="s">
        <v>159</v>
      </c>
      <c r="D2955" s="51" t="s">
        <v>1445</v>
      </c>
      <c r="E2955" s="50">
        <v>2429</v>
      </c>
      <c r="F2955" s="50">
        <v>2666</v>
      </c>
      <c r="G2955" s="50" t="s">
        <v>3404</v>
      </c>
      <c r="H2955" s="50">
        <v>2025</v>
      </c>
      <c r="I2955" s="107">
        <v>45700</v>
      </c>
      <c r="J2955" s="105" t="s">
        <v>3458</v>
      </c>
      <c r="K2955" s="105" t="s">
        <v>42</v>
      </c>
      <c r="L2955" s="105" t="s">
        <v>163</v>
      </c>
      <c r="M2955" s="50" t="s">
        <v>2393</v>
      </c>
      <c r="N2955" s="50" t="s">
        <v>6432</v>
      </c>
      <c r="O2955" s="132">
        <v>45706</v>
      </c>
      <c r="P2955" s="132">
        <v>45706</v>
      </c>
      <c r="Q2955" s="132">
        <v>45706</v>
      </c>
      <c r="R2955" s="132">
        <v>45706</v>
      </c>
      <c r="S2955" s="50">
        <f t="shared" si="277"/>
        <v>4</v>
      </c>
      <c r="T2955" s="50">
        <f>IF(
    OR(ISBLANK(P2955), ISBLANK(Q2955)),
    "",
    MAX(1, IF(
        NETWORKDAYS(P2955, Q2955) &lt;= 0,
        1,
        NETWORKDAYS(P2955, Q2955) - IF(P2955 = Q2955, 0, 1)
    ))
)</f>
        <v>1</v>
      </c>
      <c r="U2955" s="50">
        <f>IF(
    OR(ISBLANK(Q2955), ISBLANK(R2955)),
    "",
    MAX(1, IF(
        NETWORKDAYS(P2955, Q2955) &lt;= 0,
        1,
        NETWORKDAYS(P2955, Q2955) - IF(P2955 = Q2955, 0, 1)
    ))
)</f>
        <v>1</v>
      </c>
      <c r="V2955" s="50">
        <f t="shared" si="278"/>
        <v>1</v>
      </c>
      <c r="W2955" s="50" t="s">
        <v>150</v>
      </c>
      <c r="X2955" s="50" t="s">
        <v>1078</v>
      </c>
      <c r="Y2955" s="50" t="s">
        <v>50</v>
      </c>
      <c r="Z2955" s="50" t="s">
        <v>3406</v>
      </c>
      <c r="AA2955" s="50"/>
    </row>
    <row r="2956" spans="1:27" ht="25.5" customHeight="1">
      <c r="A2956" s="50" t="s">
        <v>780</v>
      </c>
      <c r="B2956" s="51" t="s">
        <v>942</v>
      </c>
      <c r="C2956" s="51" t="s">
        <v>159</v>
      </c>
      <c r="D2956" s="51" t="s">
        <v>943</v>
      </c>
      <c r="E2956" s="50">
        <v>3972</v>
      </c>
      <c r="F2956" s="50">
        <v>5818</v>
      </c>
      <c r="G2956" s="50" t="s">
        <v>3404</v>
      </c>
      <c r="H2956" s="50">
        <v>2024</v>
      </c>
      <c r="I2956" s="107">
        <v>45513</v>
      </c>
      <c r="J2956" s="105"/>
      <c r="K2956" s="105" t="s">
        <v>42</v>
      </c>
      <c r="L2956" s="105" t="s">
        <v>163</v>
      </c>
      <c r="M2956" s="50" t="s">
        <v>2393</v>
      </c>
      <c r="N2956" s="105"/>
      <c r="O2956" s="105"/>
      <c r="P2956" s="105"/>
      <c r="Q2956" s="105"/>
      <c r="R2956" s="60"/>
      <c r="S2956" s="50" t="str">
        <f t="shared" si="277"/>
        <v/>
      </c>
      <c r="T2956" s="50" t="str">
        <f>IF(
    OR(ISBLANK(O2956), ISBLANK(P2956)),
    "",
    MAX(1, IF(
        NETWORKDAYS(O2956, P2956) &lt;= 0,
        1,
        NETWORKDAYS(O2956, P2956) - IF(O2956 = P2956, 0, 1)
    ))
)</f>
        <v/>
      </c>
      <c r="U2956" s="50" t="str">
        <f>IF(
    OR(ISBLANK(P2956), ISBLANK(Q2956)),
    "",
    MAX(1, IF(
        NETWORKDAYS(P2956, Q2956) &lt;= 0,
        1,
        NETWORKDAYS(P2956, Q2956) - IF(P2956 = Q2956, 0, 1)
    ))
)</f>
        <v/>
      </c>
      <c r="V2956" s="50" t="str">
        <f t="shared" si="278"/>
        <v/>
      </c>
      <c r="W2956" s="50"/>
      <c r="X2956" s="50" t="s">
        <v>4</v>
      </c>
      <c r="Y2956" s="50" t="s">
        <v>50</v>
      </c>
      <c r="Z2956" s="50" t="s">
        <v>3406</v>
      </c>
      <c r="AA2956" s="50"/>
    </row>
    <row r="2957" spans="1:27" ht="25.5" customHeight="1">
      <c r="A2957" s="517" t="s">
        <v>780</v>
      </c>
      <c r="B2957" s="51" t="s">
        <v>942</v>
      </c>
      <c r="C2957" s="51" t="s">
        <v>159</v>
      </c>
      <c r="D2957" s="51" t="s">
        <v>6433</v>
      </c>
      <c r="E2957" s="50">
        <v>2781</v>
      </c>
      <c r="F2957" s="50">
        <v>3184</v>
      </c>
      <c r="G2957" s="50" t="s">
        <v>3404</v>
      </c>
      <c r="H2957" s="50">
        <v>2025</v>
      </c>
      <c r="I2957" s="107">
        <v>45728</v>
      </c>
      <c r="J2957" s="105" t="s">
        <v>3416</v>
      </c>
      <c r="K2957" s="105" t="s">
        <v>42</v>
      </c>
      <c r="L2957" s="105" t="s">
        <v>163</v>
      </c>
      <c r="M2957" s="50" t="s">
        <v>2393</v>
      </c>
      <c r="N2957" s="50" t="s">
        <v>6434</v>
      </c>
      <c r="O2957" s="107">
        <v>45733</v>
      </c>
      <c r="P2957" s="107">
        <v>45733</v>
      </c>
      <c r="Q2957" s="107">
        <v>45733</v>
      </c>
      <c r="R2957" s="107">
        <v>45733</v>
      </c>
      <c r="S2957" s="50">
        <f t="shared" si="277"/>
        <v>3</v>
      </c>
      <c r="T2957" s="50">
        <f>IF(
    OR(ISBLANK(P2957), ISBLANK(Q2957)),
    "",
    MAX(1, IF(
        NETWORKDAYS(P2957, Q2957) &lt;= 0,
        1,
        NETWORKDAYS(P2957, Q2957) - IF(P2957 = Q2957, 0, 1)
    ))
)</f>
        <v>1</v>
      </c>
      <c r="U2957" s="50">
        <f>IF(
    OR(ISBLANK(Q2957), ISBLANK(R2957)),
    "",
    MAX(1, IF(
        NETWORKDAYS(P2957, Q2957) &lt;= 0,
        1,
        NETWORKDAYS(P2957, Q2957) - IF(P2957 = Q2957, 0, 1)
    ))
)</f>
        <v>1</v>
      </c>
      <c r="V2957" s="50">
        <f t="shared" si="278"/>
        <v>1</v>
      </c>
      <c r="W2957" s="50" t="s">
        <v>150</v>
      </c>
      <c r="X2957" s="50" t="s">
        <v>4</v>
      </c>
      <c r="Y2957" s="50" t="s">
        <v>50</v>
      </c>
      <c r="Z2957" s="50" t="s">
        <v>3406</v>
      </c>
      <c r="AA2957" s="50"/>
    </row>
    <row r="2958" spans="1:27" s="110" customFormat="1" ht="25.5" customHeight="1">
      <c r="A2958" s="517" t="s">
        <v>780</v>
      </c>
      <c r="B2958" s="51" t="s">
        <v>942</v>
      </c>
      <c r="C2958" s="51" t="s">
        <v>159</v>
      </c>
      <c r="D2958" s="51" t="s">
        <v>6435</v>
      </c>
      <c r="E2958" s="50">
        <v>8409</v>
      </c>
      <c r="F2958" s="50">
        <v>9799</v>
      </c>
      <c r="G2958" s="50" t="s">
        <v>3404</v>
      </c>
      <c r="H2958" s="50">
        <v>2025</v>
      </c>
      <c r="I2958" s="107">
        <v>45700</v>
      </c>
      <c r="J2958" s="105" t="s">
        <v>3458</v>
      </c>
      <c r="K2958" s="105" t="s">
        <v>42</v>
      </c>
      <c r="L2958" s="105" t="s">
        <v>163</v>
      </c>
      <c r="M2958" s="50" t="s">
        <v>2393</v>
      </c>
      <c r="N2958" s="50" t="s">
        <v>6436</v>
      </c>
      <c r="O2958" s="132">
        <v>45706</v>
      </c>
      <c r="P2958" s="132">
        <v>45706</v>
      </c>
      <c r="Q2958" s="132">
        <v>45706</v>
      </c>
      <c r="R2958" s="132">
        <v>45706</v>
      </c>
      <c r="S2958" s="50">
        <f t="shared" si="277"/>
        <v>4</v>
      </c>
      <c r="T2958" s="50">
        <f>IF(
    OR(ISBLANK(P2958), ISBLANK(Q2958)),
    "",
    MAX(1, IF(
        NETWORKDAYS(P2958, Q2958) &lt;= 0,
        1,
        NETWORKDAYS(P2958, Q2958) - IF(P2958 = Q2958, 0, 1)
    ))
)</f>
        <v>1</v>
      </c>
      <c r="U2958" s="50">
        <f>IF(
    OR(ISBLANK(Q2958), ISBLANK(R2958)),
    "",
    MAX(1, IF(
        NETWORKDAYS(P2958, Q2958) &lt;= 0,
        1,
        NETWORKDAYS(P2958, Q2958) - IF(P2958 = Q2958, 0, 1)
    ))
)</f>
        <v>1</v>
      </c>
      <c r="V2958" s="50">
        <f t="shared" si="278"/>
        <v>1</v>
      </c>
      <c r="W2958" s="50" t="s">
        <v>150</v>
      </c>
      <c r="X2958" s="50" t="s">
        <v>4</v>
      </c>
      <c r="Y2958" s="50" t="s">
        <v>50</v>
      </c>
      <c r="Z2958" s="50" t="s">
        <v>3406</v>
      </c>
      <c r="AA2958" s="50"/>
    </row>
    <row r="2959" spans="1:27" ht="25.5" customHeight="1">
      <c r="A2959" s="50" t="s">
        <v>780</v>
      </c>
      <c r="B2959" s="51" t="s">
        <v>942</v>
      </c>
      <c r="C2959" s="51" t="s">
        <v>159</v>
      </c>
      <c r="D2959" s="51" t="s">
        <v>947</v>
      </c>
      <c r="E2959" s="50">
        <v>1681</v>
      </c>
      <c r="F2959" s="50">
        <v>1672</v>
      </c>
      <c r="G2959" s="50" t="s">
        <v>3404</v>
      </c>
      <c r="H2959" s="50">
        <v>2024</v>
      </c>
      <c r="I2959" s="107">
        <v>45513</v>
      </c>
      <c r="J2959" s="105"/>
      <c r="K2959" s="105" t="s">
        <v>42</v>
      </c>
      <c r="L2959" s="105" t="s">
        <v>163</v>
      </c>
      <c r="M2959" s="50" t="s">
        <v>2393</v>
      </c>
      <c r="N2959" s="105"/>
      <c r="O2959" s="105"/>
      <c r="P2959" s="105"/>
      <c r="Q2959" s="105"/>
      <c r="R2959" s="60"/>
      <c r="S2959" s="50" t="str">
        <f t="shared" si="277"/>
        <v/>
      </c>
      <c r="T2959" s="50" t="str">
        <f t="shared" ref="T2959:U2962" si="281">IF(
    OR(ISBLANK(O2959), ISBLANK(P2959)),
    "",
    MAX(1, IF(
        NETWORKDAYS(O2959, P2959) &lt;= 0,
        1,
        NETWORKDAYS(O2959, P2959) - IF(O2959 = P2959, 0, 1)
    ))
)</f>
        <v/>
      </c>
      <c r="U2959" s="50" t="str">
        <f t="shared" si="281"/>
        <v/>
      </c>
      <c r="V2959" s="50" t="str">
        <f t="shared" si="278"/>
        <v/>
      </c>
      <c r="W2959" s="50"/>
      <c r="X2959" s="50" t="s">
        <v>4</v>
      </c>
      <c r="Y2959" s="50" t="s">
        <v>50</v>
      </c>
      <c r="Z2959" s="50" t="s">
        <v>3406</v>
      </c>
      <c r="AA2959" s="50"/>
    </row>
    <row r="2960" spans="1:27" ht="25.5" customHeight="1">
      <c r="A2960" s="50" t="s">
        <v>780</v>
      </c>
      <c r="B2960" s="51" t="s">
        <v>942</v>
      </c>
      <c r="C2960" s="51" t="s">
        <v>159</v>
      </c>
      <c r="D2960" s="51" t="s">
        <v>950</v>
      </c>
      <c r="E2960" s="50">
        <v>3151</v>
      </c>
      <c r="F2960" s="50">
        <v>3359</v>
      </c>
      <c r="G2960" s="50" t="s">
        <v>3404</v>
      </c>
      <c r="H2960" s="50">
        <v>2024</v>
      </c>
      <c r="I2960" s="107">
        <v>45513</v>
      </c>
      <c r="J2960" s="105"/>
      <c r="K2960" s="105" t="s">
        <v>42</v>
      </c>
      <c r="L2960" s="105" t="s">
        <v>163</v>
      </c>
      <c r="M2960" s="50" t="s">
        <v>2393</v>
      </c>
      <c r="N2960" s="105"/>
      <c r="O2960" s="105"/>
      <c r="P2960" s="105"/>
      <c r="Q2960" s="105"/>
      <c r="R2960" s="60"/>
      <c r="S2960" s="50" t="str">
        <f t="shared" si="277"/>
        <v/>
      </c>
      <c r="T2960" s="50" t="str">
        <f t="shared" si="281"/>
        <v/>
      </c>
      <c r="U2960" s="50" t="str">
        <f t="shared" si="281"/>
        <v/>
      </c>
      <c r="V2960" s="50" t="str">
        <f t="shared" si="278"/>
        <v/>
      </c>
      <c r="W2960" s="50"/>
      <c r="X2960" s="50" t="s">
        <v>4</v>
      </c>
      <c r="Y2960" s="50" t="s">
        <v>50</v>
      </c>
      <c r="Z2960" s="50" t="s">
        <v>3406</v>
      </c>
      <c r="AA2960" s="50"/>
    </row>
    <row r="2961" spans="1:27" s="110" customFormat="1" ht="25.5" customHeight="1">
      <c r="A2961" s="517" t="s">
        <v>780</v>
      </c>
      <c r="B2961" s="51" t="s">
        <v>942</v>
      </c>
      <c r="C2961" s="51" t="s">
        <v>159</v>
      </c>
      <c r="D2961" s="51" t="s">
        <v>6437</v>
      </c>
      <c r="E2961" s="50">
        <v>2214</v>
      </c>
      <c r="F2961" s="50">
        <v>2544</v>
      </c>
      <c r="G2961" s="50" t="s">
        <v>3955</v>
      </c>
      <c r="H2961" s="50"/>
      <c r="I2961" s="106"/>
      <c r="J2961" s="105"/>
      <c r="K2961" s="105" t="s">
        <v>42</v>
      </c>
      <c r="L2961" s="105" t="s">
        <v>163</v>
      </c>
      <c r="M2961" s="50" t="s">
        <v>2393</v>
      </c>
      <c r="N2961" s="105"/>
      <c r="O2961" s="105"/>
      <c r="P2961" s="105"/>
      <c r="Q2961" s="105"/>
      <c r="R2961" s="60"/>
      <c r="S2961" s="50" t="str">
        <f t="shared" si="277"/>
        <v/>
      </c>
      <c r="T2961" s="50" t="str">
        <f t="shared" si="281"/>
        <v/>
      </c>
      <c r="U2961" s="50" t="str">
        <f t="shared" si="281"/>
        <v/>
      </c>
      <c r="V2961" s="50" t="str">
        <f t="shared" si="278"/>
        <v/>
      </c>
      <c r="W2961" s="50"/>
      <c r="X2961" s="50"/>
      <c r="Y2961" s="50"/>
      <c r="Z2961" s="50"/>
      <c r="AA2961" s="50"/>
    </row>
    <row r="2962" spans="1:27" ht="25.5" customHeight="1">
      <c r="A2962" s="50" t="s">
        <v>780</v>
      </c>
      <c r="B2962" s="51" t="s">
        <v>942</v>
      </c>
      <c r="C2962" s="51" t="s">
        <v>159</v>
      </c>
      <c r="D2962" s="51" t="s">
        <v>4242</v>
      </c>
      <c r="E2962" s="50">
        <v>2840</v>
      </c>
      <c r="F2962" s="50">
        <v>3097</v>
      </c>
      <c r="G2962" s="50" t="s">
        <v>3404</v>
      </c>
      <c r="H2962" s="50">
        <v>2024</v>
      </c>
      <c r="I2962" s="107">
        <v>45513</v>
      </c>
      <c r="J2962" s="105"/>
      <c r="K2962" s="105" t="s">
        <v>42</v>
      </c>
      <c r="L2962" s="105" t="s">
        <v>163</v>
      </c>
      <c r="M2962" s="50" t="s">
        <v>2393</v>
      </c>
      <c r="N2962" s="105"/>
      <c r="O2962" s="105"/>
      <c r="P2962" s="105"/>
      <c r="Q2962" s="105"/>
      <c r="R2962" s="60"/>
      <c r="S2962" s="50" t="str">
        <f t="shared" si="277"/>
        <v/>
      </c>
      <c r="T2962" s="50" t="str">
        <f t="shared" si="281"/>
        <v/>
      </c>
      <c r="U2962" s="50" t="str">
        <f t="shared" si="281"/>
        <v/>
      </c>
      <c r="V2962" s="50" t="str">
        <f t="shared" si="278"/>
        <v/>
      </c>
      <c r="W2962" s="50"/>
      <c r="X2962" s="50" t="s">
        <v>4</v>
      </c>
      <c r="Y2962" s="50" t="s">
        <v>57</v>
      </c>
      <c r="Z2962" s="50" t="s">
        <v>3406</v>
      </c>
      <c r="AA2962" s="50"/>
    </row>
    <row r="2963" spans="1:27" s="110" customFormat="1" ht="25.5" customHeight="1">
      <c r="A2963" s="517" t="s">
        <v>780</v>
      </c>
      <c r="B2963" s="51" t="s">
        <v>942</v>
      </c>
      <c r="C2963" s="51" t="s">
        <v>159</v>
      </c>
      <c r="D2963" s="51" t="s">
        <v>4261</v>
      </c>
      <c r="E2963" s="50">
        <v>2102</v>
      </c>
      <c r="F2963" s="50">
        <v>2307</v>
      </c>
      <c r="G2963" s="50" t="s">
        <v>3404</v>
      </c>
      <c r="H2963" s="50">
        <v>2025</v>
      </c>
      <c r="I2963" s="107">
        <v>45700</v>
      </c>
      <c r="J2963" s="105" t="s">
        <v>3458</v>
      </c>
      <c r="K2963" s="105" t="s">
        <v>42</v>
      </c>
      <c r="L2963" s="105" t="s">
        <v>163</v>
      </c>
      <c r="M2963" s="50" t="s">
        <v>2393</v>
      </c>
      <c r="N2963" s="50" t="s">
        <v>6438</v>
      </c>
      <c r="O2963" s="132">
        <v>45706</v>
      </c>
      <c r="P2963" s="132">
        <v>45706</v>
      </c>
      <c r="Q2963" s="132">
        <v>45706</v>
      </c>
      <c r="R2963" s="132">
        <v>45706</v>
      </c>
      <c r="S2963" s="50">
        <f t="shared" si="277"/>
        <v>4</v>
      </c>
      <c r="T2963" s="50">
        <f>IF(
    OR(ISBLANK(P2963), ISBLANK(Q2963)),
    "",
    MAX(1, IF(
        NETWORKDAYS(P2963, Q2963) &lt;= 0,
        1,
        NETWORKDAYS(P2963, Q2963) - IF(P2963 = Q2963, 0, 1)
    ))
)</f>
        <v>1</v>
      </c>
      <c r="U2963" s="50">
        <f>IF(
    OR(ISBLANK(Q2963), ISBLANK(R2963)),
    "",
    MAX(1, IF(
        NETWORKDAYS(P2963, Q2963) &lt;= 0,
        1,
        NETWORKDAYS(P2963, Q2963) - IF(P2963 = Q2963, 0, 1)
    ))
)</f>
        <v>1</v>
      </c>
      <c r="V2963" s="50">
        <f t="shared" si="278"/>
        <v>1</v>
      </c>
      <c r="W2963" s="50" t="s">
        <v>150</v>
      </c>
      <c r="X2963" s="50" t="s">
        <v>1078</v>
      </c>
      <c r="Y2963" s="50" t="s">
        <v>50</v>
      </c>
      <c r="Z2963" s="50" t="s">
        <v>3406</v>
      </c>
      <c r="AA2963" s="50"/>
    </row>
    <row r="2964" spans="1:27" ht="25.5" customHeight="1">
      <c r="A2964" s="50" t="s">
        <v>780</v>
      </c>
      <c r="B2964" s="51" t="s">
        <v>942</v>
      </c>
      <c r="C2964" s="51" t="s">
        <v>159</v>
      </c>
      <c r="D2964" s="51" t="s">
        <v>954</v>
      </c>
      <c r="E2964" s="50">
        <v>4112</v>
      </c>
      <c r="F2964" s="50">
        <v>4403</v>
      </c>
      <c r="G2964" s="50" t="s">
        <v>3404</v>
      </c>
      <c r="H2964" s="50">
        <v>2024</v>
      </c>
      <c r="I2964" s="107">
        <v>45513</v>
      </c>
      <c r="J2964" s="105"/>
      <c r="K2964" s="105" t="s">
        <v>42</v>
      </c>
      <c r="L2964" s="105" t="s">
        <v>163</v>
      </c>
      <c r="M2964" s="50" t="s">
        <v>2393</v>
      </c>
      <c r="N2964" s="105"/>
      <c r="O2964" s="105"/>
      <c r="P2964" s="105"/>
      <c r="Q2964" s="105"/>
      <c r="R2964" s="60"/>
      <c r="S2964" s="50" t="str">
        <f t="shared" si="277"/>
        <v/>
      </c>
      <c r="T2964" s="50" t="str">
        <f t="shared" ref="T2964:T2985" si="282">IF(
    OR(ISBLANK(O2964), ISBLANK(P2964)),
    "",
    MAX(1, IF(
        NETWORKDAYS(O2964, P2964) &lt;= 0,
        1,
        NETWORKDAYS(O2964, P2964) - IF(O2964 = P2964, 0, 1)
    ))
)</f>
        <v/>
      </c>
      <c r="U2964" s="50" t="str">
        <f t="shared" ref="U2964:U2985" si="283">IF(
    OR(ISBLANK(P2964), ISBLANK(Q2964)),
    "",
    MAX(1, IF(
        NETWORKDAYS(P2964, Q2964) &lt;= 0,
        1,
        NETWORKDAYS(P2964, Q2964) - IF(P2964 = Q2964, 0, 1)
    ))
)</f>
        <v/>
      </c>
      <c r="V2964" s="50" t="str">
        <f t="shared" si="278"/>
        <v/>
      </c>
      <c r="W2964" s="50"/>
      <c r="X2964" s="50" t="s">
        <v>4</v>
      </c>
      <c r="Y2964" s="50" t="s">
        <v>50</v>
      </c>
      <c r="Z2964" s="50" t="s">
        <v>3406</v>
      </c>
      <c r="AA2964" s="50"/>
    </row>
    <row r="2965" spans="1:27" ht="25.5" customHeight="1">
      <c r="A2965" s="50" t="s">
        <v>780</v>
      </c>
      <c r="B2965" s="51" t="s">
        <v>942</v>
      </c>
      <c r="C2965" s="51" t="s">
        <v>159</v>
      </c>
      <c r="D2965" s="51" t="s">
        <v>960</v>
      </c>
      <c r="E2965" s="50">
        <v>4541</v>
      </c>
      <c r="F2965" s="50">
        <v>4807</v>
      </c>
      <c r="G2965" s="50" t="s">
        <v>3404</v>
      </c>
      <c r="H2965" s="50">
        <v>2024</v>
      </c>
      <c r="I2965" s="107">
        <v>45513</v>
      </c>
      <c r="J2965" s="105"/>
      <c r="K2965" s="105" t="s">
        <v>42</v>
      </c>
      <c r="L2965" s="105" t="s">
        <v>163</v>
      </c>
      <c r="M2965" s="50" t="s">
        <v>2393</v>
      </c>
      <c r="N2965" s="105"/>
      <c r="O2965" s="105"/>
      <c r="P2965" s="105"/>
      <c r="Q2965" s="105"/>
      <c r="R2965" s="60"/>
      <c r="S2965" s="50" t="str">
        <f t="shared" si="277"/>
        <v/>
      </c>
      <c r="T2965" s="50" t="str">
        <f t="shared" si="282"/>
        <v/>
      </c>
      <c r="U2965" s="50" t="str">
        <f t="shared" si="283"/>
        <v/>
      </c>
      <c r="V2965" s="50" t="str">
        <f t="shared" si="278"/>
        <v/>
      </c>
      <c r="W2965" s="50"/>
      <c r="X2965" s="50" t="s">
        <v>4</v>
      </c>
      <c r="Y2965" s="50" t="s">
        <v>50</v>
      </c>
      <c r="Z2965" s="50" t="s">
        <v>3406</v>
      </c>
      <c r="AA2965" s="50"/>
    </row>
    <row r="2966" spans="1:27" ht="25.5" customHeight="1">
      <c r="A2966" s="50" t="s">
        <v>780</v>
      </c>
      <c r="B2966" s="51" t="s">
        <v>942</v>
      </c>
      <c r="C2966" s="51" t="s">
        <v>159</v>
      </c>
      <c r="D2966" s="51" t="s">
        <v>963</v>
      </c>
      <c r="E2966" s="50">
        <v>2704</v>
      </c>
      <c r="F2966" s="50">
        <v>3087</v>
      </c>
      <c r="G2966" s="50" t="s">
        <v>3404</v>
      </c>
      <c r="H2966" s="50">
        <v>2024</v>
      </c>
      <c r="I2966" s="107">
        <v>45513</v>
      </c>
      <c r="J2966" s="105"/>
      <c r="K2966" s="105" t="s">
        <v>42</v>
      </c>
      <c r="L2966" s="105" t="s">
        <v>163</v>
      </c>
      <c r="M2966" s="50" t="s">
        <v>2393</v>
      </c>
      <c r="N2966" s="105"/>
      <c r="O2966" s="105"/>
      <c r="P2966" s="105"/>
      <c r="Q2966" s="105"/>
      <c r="R2966" s="60"/>
      <c r="S2966" s="50" t="str">
        <f t="shared" si="277"/>
        <v/>
      </c>
      <c r="T2966" s="50" t="str">
        <f t="shared" si="282"/>
        <v/>
      </c>
      <c r="U2966" s="50" t="str">
        <f t="shared" si="283"/>
        <v/>
      </c>
      <c r="V2966" s="50" t="str">
        <f t="shared" si="278"/>
        <v/>
      </c>
      <c r="W2966" s="50"/>
      <c r="X2966" s="50" t="s">
        <v>4</v>
      </c>
      <c r="Y2966" s="50" t="s">
        <v>57</v>
      </c>
      <c r="Z2966" s="50" t="s">
        <v>3406</v>
      </c>
      <c r="AA2966" s="50"/>
    </row>
    <row r="2967" spans="1:27" ht="25.5" customHeight="1">
      <c r="A2967" s="517" t="s">
        <v>780</v>
      </c>
      <c r="B2967" s="51" t="s">
        <v>1546</v>
      </c>
      <c r="C2967" s="51" t="s">
        <v>159</v>
      </c>
      <c r="D2967" s="51" t="s">
        <v>2072</v>
      </c>
      <c r="E2967" s="50">
        <v>3445</v>
      </c>
      <c r="F2967" s="50">
        <v>3485</v>
      </c>
      <c r="G2967" s="50" t="s">
        <v>3404</v>
      </c>
      <c r="H2967" s="50">
        <v>2025</v>
      </c>
      <c r="I2967" s="502">
        <v>45916</v>
      </c>
      <c r="J2967" s="105" t="s">
        <v>3127</v>
      </c>
      <c r="K2967" s="105" t="s">
        <v>42</v>
      </c>
      <c r="L2967" s="105" t="s">
        <v>163</v>
      </c>
      <c r="M2967" s="50" t="s">
        <v>2393</v>
      </c>
      <c r="N2967" s="105" t="s">
        <v>6439</v>
      </c>
      <c r="O2967" s="502">
        <v>45918</v>
      </c>
      <c r="P2967" s="502">
        <v>45918</v>
      </c>
      <c r="Q2967" s="502">
        <v>45918</v>
      </c>
      <c r="R2967" s="502">
        <v>45918</v>
      </c>
      <c r="S2967" s="50">
        <f t="shared" si="277"/>
        <v>2</v>
      </c>
      <c r="T2967" s="50">
        <f t="shared" si="282"/>
        <v>1</v>
      </c>
      <c r="U2967" s="50">
        <f t="shared" si="283"/>
        <v>1</v>
      </c>
      <c r="V2967" s="50">
        <f t="shared" si="278"/>
        <v>1</v>
      </c>
      <c r="W2967" s="50" t="s">
        <v>150</v>
      </c>
      <c r="X2967" s="50" t="s">
        <v>4</v>
      </c>
      <c r="Y2967" s="50" t="s">
        <v>50</v>
      </c>
      <c r="Z2967" s="50" t="s">
        <v>3406</v>
      </c>
      <c r="AA2967" s="50"/>
    </row>
    <row r="2968" spans="1:27" ht="25.5" customHeight="1">
      <c r="A2968" s="517" t="s">
        <v>780</v>
      </c>
      <c r="B2968" s="51" t="s">
        <v>1546</v>
      </c>
      <c r="C2968" s="51" t="s">
        <v>159</v>
      </c>
      <c r="D2968" s="51" t="s">
        <v>6440</v>
      </c>
      <c r="E2968" s="50">
        <v>6851</v>
      </c>
      <c r="F2968" s="50">
        <v>7563</v>
      </c>
      <c r="G2968" s="50" t="s">
        <v>3404</v>
      </c>
      <c r="H2968" s="50">
        <v>2025</v>
      </c>
      <c r="I2968" s="502">
        <v>45916</v>
      </c>
      <c r="J2968" s="105" t="s">
        <v>3127</v>
      </c>
      <c r="K2968" s="105" t="s">
        <v>42</v>
      </c>
      <c r="L2968" s="105" t="s">
        <v>163</v>
      </c>
      <c r="M2968" s="50" t="s">
        <v>2393</v>
      </c>
      <c r="N2968" s="105" t="s">
        <v>6441</v>
      </c>
      <c r="O2968" s="502">
        <v>45918</v>
      </c>
      <c r="P2968" s="502">
        <v>45918</v>
      </c>
      <c r="Q2968" s="502">
        <v>45918</v>
      </c>
      <c r="R2968" s="502">
        <v>45918</v>
      </c>
      <c r="S2968" s="50">
        <f t="shared" si="277"/>
        <v>2</v>
      </c>
      <c r="T2968" s="50">
        <f t="shared" si="282"/>
        <v>1</v>
      </c>
      <c r="U2968" s="50">
        <f t="shared" si="283"/>
        <v>1</v>
      </c>
      <c r="V2968" s="50">
        <f t="shared" si="278"/>
        <v>1</v>
      </c>
      <c r="W2968" s="50" t="s">
        <v>150</v>
      </c>
      <c r="X2968" s="50" t="s">
        <v>1078</v>
      </c>
      <c r="Y2968" s="50" t="s">
        <v>50</v>
      </c>
      <c r="Z2968" s="50" t="s">
        <v>3406</v>
      </c>
      <c r="AA2968" s="50"/>
    </row>
    <row r="2969" spans="1:27" ht="25.5" customHeight="1">
      <c r="A2969" s="517" t="s">
        <v>780</v>
      </c>
      <c r="B2969" s="51" t="s">
        <v>1546</v>
      </c>
      <c r="C2969" s="51" t="s">
        <v>159</v>
      </c>
      <c r="D2969" s="51" t="s">
        <v>6442</v>
      </c>
      <c r="E2969" s="50">
        <v>19340</v>
      </c>
      <c r="F2969" s="50">
        <v>21794</v>
      </c>
      <c r="G2969" s="50" t="s">
        <v>3955</v>
      </c>
      <c r="H2969" s="50"/>
      <c r="I2969" s="106"/>
      <c r="J2969" s="105"/>
      <c r="K2969" s="105"/>
      <c r="L2969" s="105" t="s">
        <v>163</v>
      </c>
      <c r="M2969" s="50" t="s">
        <v>2393</v>
      </c>
      <c r="N2969" s="105"/>
      <c r="O2969" s="105"/>
      <c r="P2969" s="105"/>
      <c r="Q2969" s="105"/>
      <c r="R2969" s="60"/>
      <c r="S2969" s="50" t="str">
        <f t="shared" si="277"/>
        <v/>
      </c>
      <c r="T2969" s="50" t="str">
        <f t="shared" si="282"/>
        <v/>
      </c>
      <c r="U2969" s="50" t="str">
        <f t="shared" si="283"/>
        <v/>
      </c>
      <c r="V2969" s="50" t="str">
        <f t="shared" si="278"/>
        <v/>
      </c>
      <c r="W2969" s="50"/>
      <c r="X2969" s="50"/>
      <c r="Y2969" s="50"/>
      <c r="Z2969" s="50"/>
      <c r="AA2969" s="50"/>
    </row>
    <row r="2970" spans="1:27" ht="25.5" customHeight="1">
      <c r="A2970" s="517" t="s">
        <v>780</v>
      </c>
      <c r="B2970" s="51" t="s">
        <v>1546</v>
      </c>
      <c r="C2970" s="51" t="s">
        <v>159</v>
      </c>
      <c r="D2970" s="51" t="s">
        <v>6443</v>
      </c>
      <c r="E2970" s="50">
        <v>17165</v>
      </c>
      <c r="F2970" s="50">
        <v>19387</v>
      </c>
      <c r="G2970" s="50" t="s">
        <v>3404</v>
      </c>
      <c r="H2970" s="50">
        <v>2025</v>
      </c>
      <c r="I2970" s="502">
        <v>45916</v>
      </c>
      <c r="J2970" s="105" t="s">
        <v>3127</v>
      </c>
      <c r="K2970" s="105" t="s">
        <v>42</v>
      </c>
      <c r="L2970" s="105" t="s">
        <v>163</v>
      </c>
      <c r="M2970" s="50" t="s">
        <v>2393</v>
      </c>
      <c r="N2970" s="105" t="s">
        <v>6444</v>
      </c>
      <c r="O2970" s="502">
        <v>45918</v>
      </c>
      <c r="P2970" s="502">
        <v>45918</v>
      </c>
      <c r="Q2970" s="502">
        <v>45918</v>
      </c>
      <c r="R2970" s="502">
        <v>45918</v>
      </c>
      <c r="S2970" s="50">
        <f t="shared" si="277"/>
        <v>2</v>
      </c>
      <c r="T2970" s="50">
        <f t="shared" si="282"/>
        <v>1</v>
      </c>
      <c r="U2970" s="50">
        <f t="shared" si="283"/>
        <v>1</v>
      </c>
      <c r="V2970" s="50">
        <f t="shared" si="278"/>
        <v>1</v>
      </c>
      <c r="W2970" s="50" t="s">
        <v>150</v>
      </c>
      <c r="X2970" s="50" t="s">
        <v>1078</v>
      </c>
      <c r="Y2970" s="50" t="s">
        <v>50</v>
      </c>
      <c r="Z2970" s="50" t="s">
        <v>3406</v>
      </c>
      <c r="AA2970" s="50"/>
    </row>
    <row r="2971" spans="1:27" ht="25.5" customHeight="1">
      <c r="A2971" s="517" t="s">
        <v>780</v>
      </c>
      <c r="B2971" s="51" t="s">
        <v>1546</v>
      </c>
      <c r="C2971" s="51" t="s">
        <v>159</v>
      </c>
      <c r="D2971" s="51" t="s">
        <v>6445</v>
      </c>
      <c r="E2971" s="50">
        <v>9253</v>
      </c>
      <c r="F2971" s="50">
        <v>9952</v>
      </c>
      <c r="G2971" s="50" t="s">
        <v>3404</v>
      </c>
      <c r="H2971" s="50">
        <v>2025</v>
      </c>
      <c r="I2971" s="502">
        <v>45916</v>
      </c>
      <c r="J2971" s="105" t="s">
        <v>3127</v>
      </c>
      <c r="K2971" s="105" t="s">
        <v>42</v>
      </c>
      <c r="L2971" s="105" t="s">
        <v>163</v>
      </c>
      <c r="M2971" s="50" t="s">
        <v>2393</v>
      </c>
      <c r="N2971" s="105" t="s">
        <v>6446</v>
      </c>
      <c r="O2971" s="502">
        <v>45918</v>
      </c>
      <c r="P2971" s="502">
        <v>45918</v>
      </c>
      <c r="Q2971" s="502">
        <v>45918</v>
      </c>
      <c r="R2971" s="502">
        <v>45918</v>
      </c>
      <c r="S2971" s="50">
        <f t="shared" si="277"/>
        <v>2</v>
      </c>
      <c r="T2971" s="50">
        <f t="shared" si="282"/>
        <v>1</v>
      </c>
      <c r="U2971" s="50">
        <f t="shared" si="283"/>
        <v>1</v>
      </c>
      <c r="V2971" s="50">
        <f t="shared" si="278"/>
        <v>1</v>
      </c>
      <c r="W2971" s="50" t="s">
        <v>150</v>
      </c>
      <c r="X2971" s="50" t="s">
        <v>1078</v>
      </c>
      <c r="Y2971" s="50" t="s">
        <v>50</v>
      </c>
      <c r="Z2971" s="50" t="s">
        <v>3406</v>
      </c>
      <c r="AA2971" s="50"/>
    </row>
    <row r="2972" spans="1:27" ht="25.5" customHeight="1">
      <c r="A2972" s="517" t="s">
        <v>780</v>
      </c>
      <c r="B2972" s="51" t="s">
        <v>1546</v>
      </c>
      <c r="C2972" s="51" t="s">
        <v>159</v>
      </c>
      <c r="D2972" s="51" t="s">
        <v>6447</v>
      </c>
      <c r="E2972" s="50">
        <v>27874</v>
      </c>
      <c r="F2972" s="50">
        <v>30729</v>
      </c>
      <c r="G2972" s="50" t="s">
        <v>3955</v>
      </c>
      <c r="H2972" s="50"/>
      <c r="I2972" s="106"/>
      <c r="J2972" s="105"/>
      <c r="K2972" s="105"/>
      <c r="L2972" s="105" t="s">
        <v>163</v>
      </c>
      <c r="M2972" s="50" t="s">
        <v>2393</v>
      </c>
      <c r="N2972" s="105"/>
      <c r="O2972" s="105"/>
      <c r="P2972" s="105"/>
      <c r="Q2972" s="105"/>
      <c r="R2972" s="60"/>
      <c r="S2972" s="50" t="str">
        <f t="shared" si="277"/>
        <v/>
      </c>
      <c r="T2972" s="50" t="str">
        <f t="shared" si="282"/>
        <v/>
      </c>
      <c r="U2972" s="50" t="str">
        <f t="shared" si="283"/>
        <v/>
      </c>
      <c r="V2972" s="50" t="str">
        <f t="shared" si="278"/>
        <v/>
      </c>
      <c r="W2972" s="50"/>
      <c r="X2972" s="50"/>
      <c r="Y2972" s="50"/>
      <c r="Z2972" s="50"/>
      <c r="AA2972" s="50"/>
    </row>
    <row r="2973" spans="1:27" ht="25.5" customHeight="1">
      <c r="A2973" s="517" t="s">
        <v>780</v>
      </c>
      <c r="B2973" s="51" t="s">
        <v>1546</v>
      </c>
      <c r="C2973" s="51" t="s">
        <v>159</v>
      </c>
      <c r="D2973" s="51" t="s">
        <v>6448</v>
      </c>
      <c r="E2973" s="50">
        <v>13137</v>
      </c>
      <c r="F2973" s="50">
        <v>14703</v>
      </c>
      <c r="G2973" s="50" t="s">
        <v>3955</v>
      </c>
      <c r="H2973" s="50"/>
      <c r="I2973" s="106"/>
      <c r="J2973" s="105"/>
      <c r="K2973" s="105"/>
      <c r="L2973" s="105" t="s">
        <v>163</v>
      </c>
      <c r="M2973" s="50" t="s">
        <v>2393</v>
      </c>
      <c r="N2973" s="105"/>
      <c r="O2973" s="105"/>
      <c r="P2973" s="105"/>
      <c r="Q2973" s="105"/>
      <c r="R2973" s="60"/>
      <c r="S2973" s="50" t="str">
        <f t="shared" si="277"/>
        <v/>
      </c>
      <c r="T2973" s="50" t="str">
        <f t="shared" si="282"/>
        <v/>
      </c>
      <c r="U2973" s="50" t="str">
        <f t="shared" si="283"/>
        <v/>
      </c>
      <c r="V2973" s="50" t="str">
        <f t="shared" si="278"/>
        <v/>
      </c>
      <c r="W2973" s="50"/>
      <c r="X2973" s="50"/>
      <c r="Y2973" s="50"/>
      <c r="Z2973" s="50"/>
      <c r="AA2973" s="50"/>
    </row>
    <row r="2974" spans="1:27" ht="25.5" customHeight="1">
      <c r="A2974" s="517" t="s">
        <v>780</v>
      </c>
      <c r="B2974" s="51" t="s">
        <v>1546</v>
      </c>
      <c r="C2974" s="51" t="s">
        <v>159</v>
      </c>
      <c r="D2974" s="51" t="s">
        <v>6449</v>
      </c>
      <c r="E2974" s="50">
        <v>10622</v>
      </c>
      <c r="F2974" s="50">
        <v>12436</v>
      </c>
      <c r="G2974" s="50" t="s">
        <v>3955</v>
      </c>
      <c r="H2974" s="50"/>
      <c r="I2974" s="106"/>
      <c r="J2974" s="105"/>
      <c r="K2974" s="105"/>
      <c r="L2974" s="105" t="s">
        <v>163</v>
      </c>
      <c r="M2974" s="50" t="s">
        <v>2393</v>
      </c>
      <c r="N2974" s="105"/>
      <c r="O2974" s="105"/>
      <c r="P2974" s="105"/>
      <c r="Q2974" s="105"/>
      <c r="R2974" s="60"/>
      <c r="S2974" s="50" t="str">
        <f t="shared" si="277"/>
        <v/>
      </c>
      <c r="T2974" s="50" t="str">
        <f t="shared" si="282"/>
        <v/>
      </c>
      <c r="U2974" s="50" t="str">
        <f t="shared" si="283"/>
        <v/>
      </c>
      <c r="V2974" s="50" t="str">
        <f t="shared" si="278"/>
        <v/>
      </c>
      <c r="W2974" s="50"/>
      <c r="X2974" s="50"/>
      <c r="Y2974" s="50"/>
      <c r="Z2974" s="50"/>
      <c r="AA2974" s="50"/>
    </row>
    <row r="2975" spans="1:27" ht="25.5" customHeight="1">
      <c r="A2975" s="517" t="s">
        <v>780</v>
      </c>
      <c r="B2975" s="51" t="s">
        <v>1546</v>
      </c>
      <c r="C2975" s="51" t="s">
        <v>159</v>
      </c>
      <c r="D2975" s="51" t="s">
        <v>1547</v>
      </c>
      <c r="E2975" s="50">
        <v>27714</v>
      </c>
      <c r="F2975" s="50">
        <v>33349</v>
      </c>
      <c r="G2975" s="50" t="s">
        <v>3955</v>
      </c>
      <c r="H2975" s="50"/>
      <c r="I2975" s="106"/>
      <c r="J2975" s="105"/>
      <c r="K2975" s="105"/>
      <c r="L2975" s="105" t="s">
        <v>163</v>
      </c>
      <c r="M2975" s="50" t="s">
        <v>2393</v>
      </c>
      <c r="N2975" s="105"/>
      <c r="O2975" s="105"/>
      <c r="P2975" s="105"/>
      <c r="Q2975" s="105"/>
      <c r="R2975" s="60"/>
      <c r="S2975" s="50" t="str">
        <f t="shared" si="277"/>
        <v/>
      </c>
      <c r="T2975" s="50" t="str">
        <f t="shared" si="282"/>
        <v/>
      </c>
      <c r="U2975" s="50" t="str">
        <f t="shared" si="283"/>
        <v/>
      </c>
      <c r="V2975" s="50" t="str">
        <f t="shared" si="278"/>
        <v/>
      </c>
      <c r="W2975" s="50"/>
      <c r="X2975" s="50"/>
      <c r="Y2975" s="50"/>
      <c r="Z2975" s="50"/>
      <c r="AA2975" s="50"/>
    </row>
    <row r="2976" spans="1:27" ht="25.5" customHeight="1">
      <c r="A2976" s="517" t="s">
        <v>780</v>
      </c>
      <c r="B2976" s="51" t="s">
        <v>1546</v>
      </c>
      <c r="C2976" s="51" t="s">
        <v>159</v>
      </c>
      <c r="D2976" s="51" t="s">
        <v>6450</v>
      </c>
      <c r="E2976" s="50">
        <v>1518</v>
      </c>
      <c r="F2976" s="50">
        <v>1561</v>
      </c>
      <c r="G2976" s="50" t="s">
        <v>3404</v>
      </c>
      <c r="H2976" s="50">
        <v>2025</v>
      </c>
      <c r="I2976" s="502">
        <v>45916</v>
      </c>
      <c r="J2976" s="105" t="s">
        <v>3127</v>
      </c>
      <c r="K2976" s="105" t="s">
        <v>42</v>
      </c>
      <c r="L2976" s="105" t="s">
        <v>163</v>
      </c>
      <c r="M2976" s="50" t="s">
        <v>2393</v>
      </c>
      <c r="N2976" s="471" t="s">
        <v>6451</v>
      </c>
      <c r="O2976" s="502">
        <v>45918</v>
      </c>
      <c r="P2976" s="502">
        <v>45918</v>
      </c>
      <c r="Q2976" s="502">
        <v>45918</v>
      </c>
      <c r="R2976" s="502">
        <v>45918</v>
      </c>
      <c r="S2976" s="50">
        <f t="shared" si="277"/>
        <v>2</v>
      </c>
      <c r="T2976" s="50">
        <f t="shared" si="282"/>
        <v>1</v>
      </c>
      <c r="U2976" s="50">
        <f t="shared" si="283"/>
        <v>1</v>
      </c>
      <c r="V2976" s="50">
        <f t="shared" si="278"/>
        <v>1</v>
      </c>
      <c r="W2976" s="50" t="s">
        <v>150</v>
      </c>
      <c r="X2976" s="61" t="s">
        <v>1078</v>
      </c>
      <c r="Y2976" s="61" t="s">
        <v>50</v>
      </c>
      <c r="Z2976" s="50" t="s">
        <v>3406</v>
      </c>
      <c r="AA2976" s="50"/>
    </row>
    <row r="2977" spans="1:27" ht="25.5" customHeight="1">
      <c r="A2977" s="517" t="s">
        <v>780</v>
      </c>
      <c r="B2977" s="51" t="s">
        <v>1546</v>
      </c>
      <c r="C2977" s="51" t="s">
        <v>159</v>
      </c>
      <c r="D2977" s="51" t="s">
        <v>6452</v>
      </c>
      <c r="E2977" s="50">
        <v>2404</v>
      </c>
      <c r="F2977" s="50">
        <v>2422</v>
      </c>
      <c r="G2977" s="50" t="s">
        <v>3404</v>
      </c>
      <c r="H2977" s="50">
        <v>2025</v>
      </c>
      <c r="I2977" s="502">
        <v>45916</v>
      </c>
      <c r="J2977" s="105" t="s">
        <v>3127</v>
      </c>
      <c r="K2977" s="105" t="s">
        <v>42</v>
      </c>
      <c r="L2977" s="105" t="s">
        <v>163</v>
      </c>
      <c r="M2977" s="50" t="s">
        <v>2393</v>
      </c>
      <c r="N2977" s="471" t="s">
        <v>6453</v>
      </c>
      <c r="O2977" s="502">
        <v>45918</v>
      </c>
      <c r="P2977" s="502">
        <v>45918</v>
      </c>
      <c r="Q2977" s="502">
        <v>45918</v>
      </c>
      <c r="R2977" s="502">
        <v>45918</v>
      </c>
      <c r="S2977" s="50">
        <f t="shared" si="277"/>
        <v>2</v>
      </c>
      <c r="T2977" s="50">
        <f t="shared" si="282"/>
        <v>1</v>
      </c>
      <c r="U2977" s="50">
        <f t="shared" si="283"/>
        <v>1</v>
      </c>
      <c r="V2977" s="50">
        <f t="shared" si="278"/>
        <v>1</v>
      </c>
      <c r="W2977" s="50" t="s">
        <v>150</v>
      </c>
      <c r="X2977" s="61" t="s">
        <v>1078</v>
      </c>
      <c r="Y2977" s="61" t="s">
        <v>50</v>
      </c>
      <c r="Z2977" s="50" t="s">
        <v>3406</v>
      </c>
      <c r="AA2977" s="50"/>
    </row>
    <row r="2978" spans="1:27" ht="25.5" customHeight="1">
      <c r="A2978" s="517" t="s">
        <v>780</v>
      </c>
      <c r="B2978" s="51" t="s">
        <v>1546</v>
      </c>
      <c r="C2978" s="51" t="s">
        <v>159</v>
      </c>
      <c r="D2978" s="51" t="s">
        <v>6454</v>
      </c>
      <c r="E2978" s="50">
        <v>9808</v>
      </c>
      <c r="F2978" s="50">
        <v>10296</v>
      </c>
      <c r="G2978" s="50" t="s">
        <v>3404</v>
      </c>
      <c r="H2978" s="50">
        <v>2025</v>
      </c>
      <c r="I2978" s="502">
        <v>45916</v>
      </c>
      <c r="J2978" s="105" t="s">
        <v>3127</v>
      </c>
      <c r="K2978" s="105" t="s">
        <v>42</v>
      </c>
      <c r="L2978" s="105" t="s">
        <v>163</v>
      </c>
      <c r="M2978" s="50" t="s">
        <v>2393</v>
      </c>
      <c r="N2978" s="471" t="s">
        <v>6455</v>
      </c>
      <c r="O2978" s="502">
        <v>45918</v>
      </c>
      <c r="P2978" s="502">
        <v>45918</v>
      </c>
      <c r="Q2978" s="502">
        <v>45918</v>
      </c>
      <c r="R2978" s="502">
        <v>45918</v>
      </c>
      <c r="S2978" s="50">
        <f t="shared" si="277"/>
        <v>2</v>
      </c>
      <c r="T2978" s="50">
        <f t="shared" si="282"/>
        <v>1</v>
      </c>
      <c r="U2978" s="50">
        <f t="shared" si="283"/>
        <v>1</v>
      </c>
      <c r="V2978" s="50">
        <f t="shared" si="278"/>
        <v>1</v>
      </c>
      <c r="W2978" s="50" t="s">
        <v>150</v>
      </c>
      <c r="X2978" s="61" t="s">
        <v>1078</v>
      </c>
      <c r="Y2978" s="61" t="s">
        <v>50</v>
      </c>
      <c r="Z2978" s="50" t="s">
        <v>3406</v>
      </c>
      <c r="AA2978" s="50"/>
    </row>
    <row r="2979" spans="1:27" ht="25.5" customHeight="1">
      <c r="A2979" s="517" t="s">
        <v>780</v>
      </c>
      <c r="B2979" s="51" t="s">
        <v>1546</v>
      </c>
      <c r="C2979" s="51" t="s">
        <v>159</v>
      </c>
      <c r="D2979" s="51" t="s">
        <v>6456</v>
      </c>
      <c r="E2979" s="50">
        <v>19274</v>
      </c>
      <c r="F2979" s="50">
        <v>23401</v>
      </c>
      <c r="G2979" s="50" t="s">
        <v>3955</v>
      </c>
      <c r="H2979" s="50"/>
      <c r="I2979" s="106"/>
      <c r="J2979" s="105"/>
      <c r="K2979" s="105"/>
      <c r="L2979" s="105" t="s">
        <v>163</v>
      </c>
      <c r="M2979" s="50" t="s">
        <v>2393</v>
      </c>
      <c r="N2979" s="105"/>
      <c r="O2979" s="105"/>
      <c r="P2979" s="105"/>
      <c r="Q2979" s="105"/>
      <c r="R2979" s="60"/>
      <c r="S2979" s="50" t="str">
        <f t="shared" si="277"/>
        <v/>
      </c>
      <c r="T2979" s="50" t="str">
        <f t="shared" si="282"/>
        <v/>
      </c>
      <c r="U2979" s="50" t="str">
        <f t="shared" si="283"/>
        <v/>
      </c>
      <c r="V2979" s="50" t="str">
        <f t="shared" si="278"/>
        <v/>
      </c>
      <c r="W2979" s="50"/>
      <c r="X2979" s="50"/>
      <c r="Y2979" s="50"/>
      <c r="Z2979" s="50"/>
      <c r="AA2979" s="50"/>
    </row>
    <row r="2980" spans="1:27" ht="25.5" customHeight="1">
      <c r="A2980" s="517" t="s">
        <v>780</v>
      </c>
      <c r="B2980" s="51" t="s">
        <v>1546</v>
      </c>
      <c r="C2980" s="51" t="s">
        <v>159</v>
      </c>
      <c r="D2980" s="51" t="s">
        <v>892</v>
      </c>
      <c r="E2980" s="50">
        <v>6070</v>
      </c>
      <c r="F2980" s="50">
        <v>6593</v>
      </c>
      <c r="G2980" s="50" t="s">
        <v>3404</v>
      </c>
      <c r="H2980" s="50">
        <v>2025</v>
      </c>
      <c r="I2980" s="502">
        <v>45916</v>
      </c>
      <c r="J2980" s="105" t="s">
        <v>3127</v>
      </c>
      <c r="K2980" s="105" t="s">
        <v>42</v>
      </c>
      <c r="L2980" s="105" t="s">
        <v>163</v>
      </c>
      <c r="M2980" s="50" t="s">
        <v>2393</v>
      </c>
      <c r="N2980" s="471" t="s">
        <v>6457</v>
      </c>
      <c r="O2980" s="502">
        <v>45918</v>
      </c>
      <c r="P2980" s="502">
        <v>45918</v>
      </c>
      <c r="Q2980" s="502">
        <v>45918</v>
      </c>
      <c r="R2980" s="502">
        <v>45918</v>
      </c>
      <c r="S2980" s="50">
        <f t="shared" si="277"/>
        <v>2</v>
      </c>
      <c r="T2980" s="50">
        <f t="shared" si="282"/>
        <v>1</v>
      </c>
      <c r="U2980" s="50">
        <f t="shared" si="283"/>
        <v>1</v>
      </c>
      <c r="V2980" s="50">
        <f t="shared" si="278"/>
        <v>1</v>
      </c>
      <c r="W2980" s="50" t="s">
        <v>150</v>
      </c>
      <c r="X2980" s="50" t="s">
        <v>4</v>
      </c>
      <c r="Y2980" s="50" t="s">
        <v>50</v>
      </c>
      <c r="Z2980" s="50" t="s">
        <v>3406</v>
      </c>
      <c r="AA2980" s="50"/>
    </row>
    <row r="2981" spans="1:27" ht="25.5" customHeight="1">
      <c r="A2981" s="517" t="s">
        <v>780</v>
      </c>
      <c r="B2981" s="51" t="s">
        <v>1546</v>
      </c>
      <c r="C2981" s="51" t="s">
        <v>159</v>
      </c>
      <c r="D2981" s="51" t="s">
        <v>4242</v>
      </c>
      <c r="E2981" s="50">
        <v>43632</v>
      </c>
      <c r="F2981" s="50">
        <v>47034</v>
      </c>
      <c r="G2981" s="50" t="s">
        <v>3955</v>
      </c>
      <c r="H2981" s="50"/>
      <c r="I2981" s="106"/>
      <c r="J2981" s="105"/>
      <c r="K2981" s="105"/>
      <c r="L2981" s="105" t="s">
        <v>163</v>
      </c>
      <c r="M2981" s="50" t="s">
        <v>2393</v>
      </c>
      <c r="N2981" s="471"/>
      <c r="O2981" s="502"/>
      <c r="P2981" s="502"/>
      <c r="Q2981" s="502"/>
      <c r="R2981" s="60"/>
      <c r="S2981" s="50" t="str">
        <f t="shared" si="277"/>
        <v/>
      </c>
      <c r="T2981" s="50" t="str">
        <f t="shared" si="282"/>
        <v/>
      </c>
      <c r="U2981" s="50" t="str">
        <f t="shared" si="283"/>
        <v/>
      </c>
      <c r="V2981" s="50" t="str">
        <f t="shared" si="278"/>
        <v/>
      </c>
      <c r="W2981" s="50"/>
      <c r="X2981" s="50"/>
      <c r="Y2981" s="50"/>
      <c r="Z2981" s="50"/>
      <c r="AA2981" s="50"/>
    </row>
    <row r="2982" spans="1:27" ht="25.5" customHeight="1">
      <c r="A2982" s="517" t="s">
        <v>780</v>
      </c>
      <c r="B2982" s="51" t="s">
        <v>1546</v>
      </c>
      <c r="C2982" s="51" t="s">
        <v>159</v>
      </c>
      <c r="D2982" s="51" t="s">
        <v>6458</v>
      </c>
      <c r="E2982" s="50">
        <v>8007</v>
      </c>
      <c r="F2982" s="50">
        <v>8433</v>
      </c>
      <c r="G2982" s="50" t="s">
        <v>3404</v>
      </c>
      <c r="H2982" s="50">
        <v>2025</v>
      </c>
      <c r="I2982" s="502">
        <v>45916</v>
      </c>
      <c r="J2982" s="105" t="s">
        <v>3127</v>
      </c>
      <c r="K2982" s="105" t="s">
        <v>42</v>
      </c>
      <c r="L2982" s="105" t="s">
        <v>163</v>
      </c>
      <c r="M2982" s="50" t="s">
        <v>2393</v>
      </c>
      <c r="N2982" s="471" t="s">
        <v>6459</v>
      </c>
      <c r="O2982" s="502">
        <v>45918</v>
      </c>
      <c r="P2982" s="502">
        <v>45918</v>
      </c>
      <c r="Q2982" s="502">
        <v>45918</v>
      </c>
      <c r="R2982" s="502">
        <v>45918</v>
      </c>
      <c r="S2982" s="50">
        <f t="shared" si="277"/>
        <v>2</v>
      </c>
      <c r="T2982" s="50">
        <f t="shared" si="282"/>
        <v>1</v>
      </c>
      <c r="U2982" s="50">
        <f t="shared" si="283"/>
        <v>1</v>
      </c>
      <c r="V2982" s="50">
        <f t="shared" si="278"/>
        <v>1</v>
      </c>
      <c r="W2982" s="50" t="s">
        <v>150</v>
      </c>
      <c r="X2982" s="50" t="s">
        <v>1078</v>
      </c>
      <c r="Y2982" s="50" t="s">
        <v>50</v>
      </c>
      <c r="Z2982" s="50" t="s">
        <v>3406</v>
      </c>
      <c r="AA2982" s="50"/>
    </row>
    <row r="2983" spans="1:27" s="110" customFormat="1" ht="25.5" customHeight="1">
      <c r="A2983" s="517" t="s">
        <v>780</v>
      </c>
      <c r="B2983" s="51" t="s">
        <v>1546</v>
      </c>
      <c r="C2983" s="51" t="s">
        <v>159</v>
      </c>
      <c r="D2983" s="51" t="s">
        <v>6460</v>
      </c>
      <c r="E2983" s="50">
        <v>6926</v>
      </c>
      <c r="F2983" s="50">
        <v>7179</v>
      </c>
      <c r="G2983" s="50" t="s">
        <v>3404</v>
      </c>
      <c r="H2983" s="50">
        <v>2025</v>
      </c>
      <c r="I2983" s="502">
        <v>45916</v>
      </c>
      <c r="J2983" s="105" t="s">
        <v>3127</v>
      </c>
      <c r="K2983" s="105" t="s">
        <v>42</v>
      </c>
      <c r="L2983" s="105" t="s">
        <v>163</v>
      </c>
      <c r="M2983" s="50" t="s">
        <v>2393</v>
      </c>
      <c r="N2983" s="471" t="s">
        <v>6461</v>
      </c>
      <c r="O2983" s="502">
        <v>45918</v>
      </c>
      <c r="P2983" s="502">
        <v>45918</v>
      </c>
      <c r="Q2983" s="502">
        <v>45918</v>
      </c>
      <c r="R2983" s="502">
        <v>45918</v>
      </c>
      <c r="S2983" s="50">
        <f t="shared" si="277"/>
        <v>2</v>
      </c>
      <c r="T2983" s="50">
        <f t="shared" si="282"/>
        <v>1</v>
      </c>
      <c r="U2983" s="50">
        <f t="shared" si="283"/>
        <v>1</v>
      </c>
      <c r="V2983" s="50">
        <f t="shared" si="278"/>
        <v>1</v>
      </c>
      <c r="W2983" s="50" t="s">
        <v>150</v>
      </c>
      <c r="X2983" s="50" t="s">
        <v>1078</v>
      </c>
      <c r="Y2983" s="50" t="s">
        <v>50</v>
      </c>
      <c r="Z2983" s="50" t="s">
        <v>3406</v>
      </c>
      <c r="AA2983" s="50"/>
    </row>
    <row r="2984" spans="1:27" ht="25.5" customHeight="1">
      <c r="A2984" s="50" t="s">
        <v>780</v>
      </c>
      <c r="B2984" s="51" t="s">
        <v>1221</v>
      </c>
      <c r="C2984" s="51" t="s">
        <v>159</v>
      </c>
      <c r="D2984" s="51" t="s">
        <v>6462</v>
      </c>
      <c r="E2984" s="50">
        <v>672</v>
      </c>
      <c r="F2984" s="50">
        <v>820</v>
      </c>
      <c r="G2984" s="50" t="s">
        <v>3404</v>
      </c>
      <c r="H2984" s="50">
        <v>2024</v>
      </c>
      <c r="I2984" s="107">
        <v>45447</v>
      </c>
      <c r="J2984" s="105"/>
      <c r="K2984" s="105" t="s">
        <v>42</v>
      </c>
      <c r="L2984" s="105" t="s">
        <v>163</v>
      </c>
      <c r="M2984" s="50" t="s">
        <v>2393</v>
      </c>
      <c r="N2984" s="105"/>
      <c r="O2984" s="105"/>
      <c r="P2984" s="105"/>
      <c r="Q2984" s="105"/>
      <c r="R2984" s="60"/>
      <c r="S2984" s="50" t="str">
        <f t="shared" si="277"/>
        <v/>
      </c>
      <c r="T2984" s="50" t="str">
        <f t="shared" si="282"/>
        <v/>
      </c>
      <c r="U2984" s="50" t="str">
        <f t="shared" si="283"/>
        <v/>
      </c>
      <c r="V2984" s="50" t="str">
        <f t="shared" si="278"/>
        <v/>
      </c>
      <c r="W2984" s="50"/>
      <c r="X2984" s="50" t="s">
        <v>1078</v>
      </c>
      <c r="Y2984" s="50" t="s">
        <v>57</v>
      </c>
      <c r="Z2984" s="50" t="s">
        <v>3406</v>
      </c>
      <c r="AA2984" s="50"/>
    </row>
    <row r="2985" spans="1:27" ht="25.5" customHeight="1">
      <c r="A2985" s="50" t="s">
        <v>780</v>
      </c>
      <c r="B2985" s="51" t="s">
        <v>1221</v>
      </c>
      <c r="C2985" s="51" t="s">
        <v>159</v>
      </c>
      <c r="D2985" s="51" t="s">
        <v>6463</v>
      </c>
      <c r="E2985" s="50">
        <v>1912</v>
      </c>
      <c r="F2985" s="50">
        <v>2010</v>
      </c>
      <c r="G2985" s="50" t="s">
        <v>3404</v>
      </c>
      <c r="H2985" s="50">
        <v>2024</v>
      </c>
      <c r="I2985" s="107">
        <v>45447</v>
      </c>
      <c r="J2985" s="105"/>
      <c r="K2985" s="105" t="s">
        <v>42</v>
      </c>
      <c r="L2985" s="105" t="s">
        <v>163</v>
      </c>
      <c r="M2985" s="50" t="s">
        <v>2393</v>
      </c>
      <c r="N2985" s="105"/>
      <c r="O2985" s="105"/>
      <c r="P2985" s="105"/>
      <c r="Q2985" s="105"/>
      <c r="R2985" s="60"/>
      <c r="S2985" s="50" t="str">
        <f t="shared" si="277"/>
        <v/>
      </c>
      <c r="T2985" s="50" t="str">
        <f t="shared" si="282"/>
        <v/>
      </c>
      <c r="U2985" s="50" t="str">
        <f t="shared" si="283"/>
        <v/>
      </c>
      <c r="V2985" s="50" t="str">
        <f t="shared" si="278"/>
        <v/>
      </c>
      <c r="W2985" s="50"/>
      <c r="X2985" s="50" t="s">
        <v>1078</v>
      </c>
      <c r="Y2985" s="50" t="s">
        <v>3528</v>
      </c>
      <c r="Z2985" s="50" t="s">
        <v>3406</v>
      </c>
      <c r="AA2985" s="50"/>
    </row>
    <row r="2986" spans="1:27" s="110" customFormat="1" ht="25.5" customHeight="1">
      <c r="A2986" s="517" t="s">
        <v>780</v>
      </c>
      <c r="B2986" s="51" t="s">
        <v>1221</v>
      </c>
      <c r="C2986" s="51" t="s">
        <v>159</v>
      </c>
      <c r="D2986" s="51" t="s">
        <v>6464</v>
      </c>
      <c r="E2986" s="50">
        <v>4939</v>
      </c>
      <c r="F2986" s="50">
        <v>5284</v>
      </c>
      <c r="G2986" s="50" t="s">
        <v>3404</v>
      </c>
      <c r="H2986" s="50">
        <v>2025</v>
      </c>
      <c r="I2986" s="107">
        <v>45678</v>
      </c>
      <c r="J2986" s="50" t="s">
        <v>3424</v>
      </c>
      <c r="K2986" s="105" t="s">
        <v>42</v>
      </c>
      <c r="L2986" s="105" t="s">
        <v>163</v>
      </c>
      <c r="M2986" s="50" t="s">
        <v>2393</v>
      </c>
      <c r="N2986" s="50" t="s">
        <v>6465</v>
      </c>
      <c r="O2986" s="60">
        <v>45680</v>
      </c>
      <c r="P2986" s="60">
        <v>45680</v>
      </c>
      <c r="Q2986" s="60">
        <v>45680</v>
      </c>
      <c r="R2986" s="60">
        <v>45680</v>
      </c>
      <c r="S2986" s="50">
        <f t="shared" si="277"/>
        <v>2</v>
      </c>
      <c r="T2986" s="50">
        <f>IF(
    OR(ISBLANK(P2986), ISBLANK(Q2986)),
    "",
    MAX(1, IF(
        NETWORKDAYS(P2986, Q2986) &lt;= 0,
        1,
        NETWORKDAYS(P2986, Q2986) - IF(P2986 = Q2986, 0, 1)
    ))
)</f>
        <v>1</v>
      </c>
      <c r="U2986" s="50">
        <f>IF(
    OR(ISBLANK(Q2986), ISBLANK(R2986)),
    "",
    MAX(1, IF(
        NETWORKDAYS(P2986, Q2986) &lt;= 0,
        1,
        NETWORKDAYS(P2986, Q2986) - IF(P2986 = Q2986, 0, 1)
    ))
)</f>
        <v>1</v>
      </c>
      <c r="V2986" s="50">
        <f t="shared" si="278"/>
        <v>1</v>
      </c>
      <c r="W2986" s="50" t="s">
        <v>150</v>
      </c>
      <c r="X2986" s="50" t="s">
        <v>1078</v>
      </c>
      <c r="Y2986" s="50" t="s">
        <v>3528</v>
      </c>
      <c r="Z2986" s="50" t="s">
        <v>3406</v>
      </c>
      <c r="AA2986" s="50"/>
    </row>
    <row r="2987" spans="1:27" ht="25.5" customHeight="1">
      <c r="A2987" s="50" t="s">
        <v>780</v>
      </c>
      <c r="B2987" s="51" t="s">
        <v>1221</v>
      </c>
      <c r="C2987" s="51" t="s">
        <v>159</v>
      </c>
      <c r="D2987" s="51" t="s">
        <v>6466</v>
      </c>
      <c r="E2987" s="50">
        <v>1081</v>
      </c>
      <c r="F2987" s="50">
        <v>1142</v>
      </c>
      <c r="G2987" s="50" t="s">
        <v>3404</v>
      </c>
      <c r="H2987" s="50">
        <v>2024</v>
      </c>
      <c r="I2987" s="107">
        <v>45616</v>
      </c>
      <c r="J2987" s="105"/>
      <c r="K2987" s="105" t="s">
        <v>42</v>
      </c>
      <c r="L2987" s="105" t="s">
        <v>163</v>
      </c>
      <c r="M2987" s="50" t="s">
        <v>2393</v>
      </c>
      <c r="N2987" s="105"/>
      <c r="O2987" s="105"/>
      <c r="P2987" s="105"/>
      <c r="Q2987" s="105"/>
      <c r="R2987" s="60"/>
      <c r="S2987" s="50" t="str">
        <f t="shared" si="277"/>
        <v/>
      </c>
      <c r="T2987" s="50" t="str">
        <f t="shared" ref="T2987:U2990" si="284">IF(
    OR(ISBLANK(O2987), ISBLANK(P2987)),
    "",
    MAX(1, IF(
        NETWORKDAYS(O2987, P2987) &lt;= 0,
        1,
        NETWORKDAYS(O2987, P2987) - IF(O2987 = P2987, 0, 1)
    ))
)</f>
        <v/>
      </c>
      <c r="U2987" s="50" t="str">
        <f t="shared" si="284"/>
        <v/>
      </c>
      <c r="V2987" s="50" t="str">
        <f t="shared" si="278"/>
        <v/>
      </c>
      <c r="W2987" s="50"/>
      <c r="X2987" s="50" t="s">
        <v>4</v>
      </c>
      <c r="Y2987" s="50" t="s">
        <v>50</v>
      </c>
      <c r="Z2987" s="50" t="s">
        <v>3406</v>
      </c>
      <c r="AA2987" s="50"/>
    </row>
    <row r="2988" spans="1:27" ht="25.5" customHeight="1">
      <c r="A2988" s="50" t="s">
        <v>780</v>
      </c>
      <c r="B2988" s="51" t="s">
        <v>1221</v>
      </c>
      <c r="C2988" s="51" t="s">
        <v>159</v>
      </c>
      <c r="D2988" s="51" t="s">
        <v>6467</v>
      </c>
      <c r="E2988" s="50">
        <v>1641</v>
      </c>
      <c r="F2988" s="50">
        <v>1778</v>
      </c>
      <c r="G2988" s="50" t="s">
        <v>3404</v>
      </c>
      <c r="H2988" s="50">
        <v>2024</v>
      </c>
      <c r="I2988" s="107">
        <v>45539</v>
      </c>
      <c r="J2988" s="105"/>
      <c r="K2988" s="105" t="s">
        <v>42</v>
      </c>
      <c r="L2988" s="105" t="s">
        <v>163</v>
      </c>
      <c r="M2988" s="50" t="s">
        <v>2393</v>
      </c>
      <c r="N2988" s="105"/>
      <c r="O2988" s="105"/>
      <c r="P2988" s="105"/>
      <c r="Q2988" s="105"/>
      <c r="R2988" s="60"/>
      <c r="S2988" s="50" t="str">
        <f t="shared" si="277"/>
        <v/>
      </c>
      <c r="T2988" s="50" t="str">
        <f t="shared" si="284"/>
        <v/>
      </c>
      <c r="U2988" s="50" t="str">
        <f t="shared" si="284"/>
        <v/>
      </c>
      <c r="V2988" s="50" t="str">
        <f t="shared" si="278"/>
        <v/>
      </c>
      <c r="W2988" s="50"/>
      <c r="X2988" s="50" t="s">
        <v>1078</v>
      </c>
      <c r="Y2988" s="50" t="s">
        <v>50</v>
      </c>
      <c r="Z2988" s="50" t="s">
        <v>3406</v>
      </c>
      <c r="AA2988" s="50"/>
    </row>
    <row r="2989" spans="1:27" ht="25.5" customHeight="1">
      <c r="A2989" s="50" t="s">
        <v>780</v>
      </c>
      <c r="B2989" s="51" t="s">
        <v>1221</v>
      </c>
      <c r="C2989" s="51" t="s">
        <v>159</v>
      </c>
      <c r="D2989" s="51" t="s">
        <v>6468</v>
      </c>
      <c r="E2989" s="50">
        <v>1369</v>
      </c>
      <c r="F2989" s="50">
        <v>1461</v>
      </c>
      <c r="G2989" s="50" t="s">
        <v>3404</v>
      </c>
      <c r="H2989" s="50">
        <v>2024</v>
      </c>
      <c r="I2989" s="107">
        <v>45616</v>
      </c>
      <c r="J2989" s="105"/>
      <c r="K2989" s="105" t="s">
        <v>42</v>
      </c>
      <c r="L2989" s="105" t="s">
        <v>163</v>
      </c>
      <c r="M2989" s="50" t="s">
        <v>2393</v>
      </c>
      <c r="N2989" s="105"/>
      <c r="O2989" s="105"/>
      <c r="P2989" s="105"/>
      <c r="Q2989" s="105"/>
      <c r="R2989" s="60"/>
      <c r="S2989" s="50" t="str">
        <f t="shared" si="277"/>
        <v/>
      </c>
      <c r="T2989" s="50" t="str">
        <f t="shared" si="284"/>
        <v/>
      </c>
      <c r="U2989" s="50" t="str">
        <f t="shared" si="284"/>
        <v/>
      </c>
      <c r="V2989" s="50" t="str">
        <f t="shared" si="278"/>
        <v/>
      </c>
      <c r="W2989" s="50"/>
      <c r="X2989" s="50" t="s">
        <v>1078</v>
      </c>
      <c r="Y2989" s="50" t="s">
        <v>3528</v>
      </c>
      <c r="Z2989" s="50" t="s">
        <v>3406</v>
      </c>
      <c r="AA2989" s="50"/>
    </row>
    <row r="2990" spans="1:27" ht="25.5" customHeight="1">
      <c r="A2990" s="50" t="s">
        <v>780</v>
      </c>
      <c r="B2990" s="51" t="s">
        <v>1221</v>
      </c>
      <c r="C2990" s="51" t="s">
        <v>159</v>
      </c>
      <c r="D2990" s="51" t="s">
        <v>6469</v>
      </c>
      <c r="E2990" s="50">
        <v>740</v>
      </c>
      <c r="F2990" s="50">
        <v>896</v>
      </c>
      <c r="G2990" s="50" t="s">
        <v>3404</v>
      </c>
      <c r="H2990" s="50">
        <v>2024</v>
      </c>
      <c r="I2990" s="107">
        <v>45539</v>
      </c>
      <c r="J2990" s="105"/>
      <c r="K2990" s="105" t="s">
        <v>42</v>
      </c>
      <c r="L2990" s="105" t="s">
        <v>163</v>
      </c>
      <c r="M2990" s="50" t="s">
        <v>2393</v>
      </c>
      <c r="N2990" s="105"/>
      <c r="O2990" s="105"/>
      <c r="P2990" s="105"/>
      <c r="Q2990" s="105"/>
      <c r="R2990" s="60"/>
      <c r="S2990" s="50" t="str">
        <f t="shared" si="277"/>
        <v/>
      </c>
      <c r="T2990" s="50" t="str">
        <f t="shared" si="284"/>
        <v/>
      </c>
      <c r="U2990" s="50" t="str">
        <f t="shared" si="284"/>
        <v/>
      </c>
      <c r="V2990" s="50" t="str">
        <f t="shared" si="278"/>
        <v/>
      </c>
      <c r="W2990" s="50"/>
      <c r="X2990" s="50" t="s">
        <v>1078</v>
      </c>
      <c r="Y2990" s="50" t="s">
        <v>50</v>
      </c>
      <c r="Z2990" s="50" t="s">
        <v>3406</v>
      </c>
      <c r="AA2990" s="50"/>
    </row>
    <row r="2991" spans="1:27" ht="25.5" customHeight="1">
      <c r="A2991" s="517" t="s">
        <v>780</v>
      </c>
      <c r="B2991" s="51" t="s">
        <v>1221</v>
      </c>
      <c r="C2991" s="51" t="s">
        <v>159</v>
      </c>
      <c r="D2991" s="51" t="s">
        <v>6470</v>
      </c>
      <c r="E2991" s="50">
        <v>3435</v>
      </c>
      <c r="F2991" s="50">
        <v>3613</v>
      </c>
      <c r="G2991" s="50" t="s">
        <v>3404</v>
      </c>
      <c r="H2991" s="50">
        <v>2025</v>
      </c>
      <c r="I2991" s="107">
        <v>45699</v>
      </c>
      <c r="J2991" s="50" t="s">
        <v>3458</v>
      </c>
      <c r="K2991" s="105" t="s">
        <v>42</v>
      </c>
      <c r="L2991" s="105" t="s">
        <v>163</v>
      </c>
      <c r="M2991" s="50" t="s">
        <v>2393</v>
      </c>
      <c r="N2991" s="50" t="s">
        <v>6471</v>
      </c>
      <c r="O2991" s="60">
        <v>45704</v>
      </c>
      <c r="P2991" s="60">
        <v>45705</v>
      </c>
      <c r="Q2991" s="60">
        <v>45705</v>
      </c>
      <c r="R2991" s="60">
        <v>45705</v>
      </c>
      <c r="S2991" s="50">
        <f t="shared" si="277"/>
        <v>3</v>
      </c>
      <c r="T2991" s="50">
        <f>IF(
    OR(ISBLANK(P2991), ISBLANK(Q2991)),
    "",
    MAX(1, IF(
        NETWORKDAYS(P2991, Q2991) &lt;= 0,
        1,
        NETWORKDAYS(P2991, Q2991) - IF(P2991 = Q2991, 0, 1)
    ))
)</f>
        <v>1</v>
      </c>
      <c r="U2991" s="50">
        <f>IF(
    OR(ISBLANK(Q2991), ISBLANK(R2991)),
    "",
    MAX(1, IF(
        NETWORKDAYS(P2991, Q2991) &lt;= 0,
        1,
        NETWORKDAYS(P2991, Q2991) - IF(P2991 = Q2991, 0, 1)
    ))
)</f>
        <v>1</v>
      </c>
      <c r="V2991" s="50">
        <f t="shared" si="278"/>
        <v>1</v>
      </c>
      <c r="W2991" s="50" t="s">
        <v>150</v>
      </c>
      <c r="X2991" s="50" t="s">
        <v>1078</v>
      </c>
      <c r="Y2991" s="50" t="s">
        <v>50</v>
      </c>
      <c r="Z2991" s="50" t="s">
        <v>3406</v>
      </c>
      <c r="AA2991" s="50"/>
    </row>
    <row r="2992" spans="1:27" s="110" customFormat="1" ht="25.5" customHeight="1">
      <c r="A2992" s="517" t="s">
        <v>780</v>
      </c>
      <c r="B2992" s="51" t="s">
        <v>1221</v>
      </c>
      <c r="C2992" s="51" t="s">
        <v>159</v>
      </c>
      <c r="D2992" s="51" t="s">
        <v>6472</v>
      </c>
      <c r="E2992" s="50">
        <v>2707</v>
      </c>
      <c r="F2992" s="50">
        <v>2906</v>
      </c>
      <c r="G2992" s="50" t="s">
        <v>3404</v>
      </c>
      <c r="H2992" s="50">
        <v>2025</v>
      </c>
      <c r="I2992" s="107">
        <v>45699</v>
      </c>
      <c r="J2992" s="50" t="s">
        <v>3458</v>
      </c>
      <c r="K2992" s="105" t="s">
        <v>42</v>
      </c>
      <c r="L2992" s="105" t="s">
        <v>163</v>
      </c>
      <c r="M2992" s="50" t="s">
        <v>2393</v>
      </c>
      <c r="N2992" s="50" t="s">
        <v>6473</v>
      </c>
      <c r="O2992" s="60">
        <v>45704</v>
      </c>
      <c r="P2992" s="60">
        <v>45705</v>
      </c>
      <c r="Q2992" s="60">
        <v>45705</v>
      </c>
      <c r="R2992" s="60">
        <v>45705</v>
      </c>
      <c r="S2992" s="50">
        <f t="shared" ref="S2992:S3055" si="285">IF(
    OR(ISBLANK(I2992), ISBLANK(O2992)),
    "",
    MAX(1, IF(
        NETWORKDAYS(I2992, O2992) &lt;= 0,
        1,
        NETWORKDAYS(I2992, O2992) - IF(I2992 = O2992, 0, 1)
    ))
)</f>
        <v>3</v>
      </c>
      <c r="T2992" s="50">
        <f>IF(
    OR(ISBLANK(P2992), ISBLANK(Q2992)),
    "",
    MAX(1, IF(
        NETWORKDAYS(P2992, Q2992) &lt;= 0,
        1,
        NETWORKDAYS(P2992, Q2992) - IF(P2992 = Q2992, 0, 1)
    ))
)</f>
        <v>1</v>
      </c>
      <c r="U2992" s="50">
        <f>IF(
    OR(ISBLANK(Q2992), ISBLANK(R2992)),
    "",
    MAX(1, IF(
        NETWORKDAYS(P2992, Q2992) &lt;= 0,
        1,
        NETWORKDAYS(P2992, Q2992) - IF(P2992 = Q2992, 0, 1)
    ))
)</f>
        <v>1</v>
      </c>
      <c r="V2992" s="50">
        <f t="shared" ref="V2992:V3055" si="286">IF(
    OR(ISBLANK(Q2992), ISBLANK(R2992)),
    "",
    MAX(1, IF(
        NETWORKDAYS(Q2992, R2992) &lt;= 0,
        1,
        NETWORKDAYS(Q2992, R2992) - IF(Q2992 = R2992, 0, 1)
    ))
)</f>
        <v>1</v>
      </c>
      <c r="W2992" s="50" t="s">
        <v>150</v>
      </c>
      <c r="X2992" s="50" t="s">
        <v>1078</v>
      </c>
      <c r="Y2992" s="50" t="s">
        <v>3528</v>
      </c>
      <c r="Z2992" s="50" t="s">
        <v>3406</v>
      </c>
      <c r="AA2992" s="50"/>
    </row>
    <row r="2993" spans="1:27" ht="25.5" customHeight="1">
      <c r="A2993" s="517" t="s">
        <v>780</v>
      </c>
      <c r="B2993" s="51" t="s">
        <v>1221</v>
      </c>
      <c r="C2993" s="51" t="s">
        <v>159</v>
      </c>
      <c r="D2993" s="51" t="s">
        <v>6474</v>
      </c>
      <c r="E2993" s="50">
        <v>1597</v>
      </c>
      <c r="F2993" s="50">
        <v>1938</v>
      </c>
      <c r="G2993" s="50" t="s">
        <v>3404</v>
      </c>
      <c r="H2993" s="50">
        <v>2025</v>
      </c>
      <c r="I2993" s="107">
        <v>45699</v>
      </c>
      <c r="J2993" s="50" t="s">
        <v>3458</v>
      </c>
      <c r="K2993" s="105" t="s">
        <v>42</v>
      </c>
      <c r="L2993" s="105" t="s">
        <v>163</v>
      </c>
      <c r="M2993" s="50" t="s">
        <v>2393</v>
      </c>
      <c r="N2993" s="50" t="s">
        <v>6475</v>
      </c>
      <c r="O2993" s="60">
        <v>45704</v>
      </c>
      <c r="P2993" s="60">
        <v>45705</v>
      </c>
      <c r="Q2993" s="60">
        <v>45705</v>
      </c>
      <c r="R2993" s="60">
        <v>45705</v>
      </c>
      <c r="S2993" s="50">
        <f t="shared" si="285"/>
        <v>3</v>
      </c>
      <c r="T2993" s="50">
        <f>IF(
    OR(ISBLANK(P2993), ISBLANK(Q2993)),
    "",
    MAX(1, IF(
        NETWORKDAYS(P2993, Q2993) &lt;= 0,
        1,
        NETWORKDAYS(P2993, Q2993) - IF(P2993 = Q2993, 0, 1)
    ))
)</f>
        <v>1</v>
      </c>
      <c r="U2993" s="50">
        <f>IF(
    OR(ISBLANK(Q2993), ISBLANK(R2993)),
    "",
    MAX(1, IF(
        NETWORKDAYS(P2993, Q2993) &lt;= 0,
        1,
        NETWORKDAYS(P2993, Q2993) - IF(P2993 = Q2993, 0, 1)
    ))
)</f>
        <v>1</v>
      </c>
      <c r="V2993" s="50">
        <f t="shared" si="286"/>
        <v>1</v>
      </c>
      <c r="W2993" s="50" t="s">
        <v>150</v>
      </c>
      <c r="X2993" s="50" t="s">
        <v>1078</v>
      </c>
      <c r="Y2993" s="50" t="s">
        <v>50</v>
      </c>
      <c r="Z2993" s="50" t="s">
        <v>3406</v>
      </c>
      <c r="AA2993" s="50"/>
    </row>
    <row r="2994" spans="1:27" s="110" customFormat="1" ht="25.5" customHeight="1">
      <c r="A2994" s="50" t="s">
        <v>780</v>
      </c>
      <c r="B2994" s="51" t="s">
        <v>1221</v>
      </c>
      <c r="C2994" s="51" t="s">
        <v>159</v>
      </c>
      <c r="D2994" s="51" t="s">
        <v>6476</v>
      </c>
      <c r="E2994" s="50">
        <v>1545</v>
      </c>
      <c r="F2994" s="50">
        <v>1746</v>
      </c>
      <c r="G2994" s="50" t="s">
        <v>3404</v>
      </c>
      <c r="H2994" s="50">
        <v>2024</v>
      </c>
      <c r="I2994" s="107">
        <v>45447</v>
      </c>
      <c r="J2994" s="105"/>
      <c r="K2994" s="105" t="s">
        <v>42</v>
      </c>
      <c r="L2994" s="105" t="s">
        <v>163</v>
      </c>
      <c r="M2994" s="50" t="s">
        <v>2393</v>
      </c>
      <c r="N2994" s="105"/>
      <c r="O2994" s="105"/>
      <c r="P2994" s="105"/>
      <c r="Q2994" s="105"/>
      <c r="R2994" s="60"/>
      <c r="S2994" s="50" t="str">
        <f t="shared" si="285"/>
        <v/>
      </c>
      <c r="T2994" s="50" t="str">
        <f t="shared" ref="T2994:U2998" si="287">IF(
    OR(ISBLANK(O2994), ISBLANK(P2994)),
    "",
    MAX(1, IF(
        NETWORKDAYS(O2994, P2994) &lt;= 0,
        1,
        NETWORKDAYS(O2994, P2994) - IF(O2994 = P2994, 0, 1)
    ))
)</f>
        <v/>
      </c>
      <c r="U2994" s="50" t="str">
        <f t="shared" si="287"/>
        <v/>
      </c>
      <c r="V2994" s="50" t="str">
        <f t="shared" si="286"/>
        <v/>
      </c>
      <c r="W2994" s="50"/>
      <c r="X2994" s="50" t="s">
        <v>1078</v>
      </c>
      <c r="Y2994" s="50" t="s">
        <v>57</v>
      </c>
      <c r="Z2994" s="50" t="s">
        <v>3406</v>
      </c>
      <c r="AA2994" s="50"/>
    </row>
    <row r="2995" spans="1:27" ht="25.5" customHeight="1">
      <c r="A2995" s="517" t="s">
        <v>780</v>
      </c>
      <c r="B2995" s="51" t="s">
        <v>1221</v>
      </c>
      <c r="C2995" s="51" t="s">
        <v>159</v>
      </c>
      <c r="D2995" s="51" t="s">
        <v>6477</v>
      </c>
      <c r="E2995" s="50">
        <v>373</v>
      </c>
      <c r="F2995" s="50">
        <v>419</v>
      </c>
      <c r="G2995" s="50" t="s">
        <v>3955</v>
      </c>
      <c r="H2995" s="50"/>
      <c r="I2995" s="106"/>
      <c r="J2995" s="105"/>
      <c r="K2995" s="105" t="s">
        <v>42</v>
      </c>
      <c r="L2995" s="105" t="s">
        <v>163</v>
      </c>
      <c r="M2995" s="50" t="s">
        <v>2393</v>
      </c>
      <c r="N2995" s="105"/>
      <c r="O2995" s="105"/>
      <c r="P2995" s="105"/>
      <c r="Q2995" s="105"/>
      <c r="R2995" s="60"/>
      <c r="S2995" s="50" t="str">
        <f t="shared" si="285"/>
        <v/>
      </c>
      <c r="T2995" s="50" t="str">
        <f t="shared" si="287"/>
        <v/>
      </c>
      <c r="U2995" s="50" t="str">
        <f t="shared" si="287"/>
        <v/>
      </c>
      <c r="V2995" s="50" t="str">
        <f t="shared" si="286"/>
        <v/>
      </c>
      <c r="W2995" s="50"/>
      <c r="X2995" s="50"/>
      <c r="Y2995" s="50"/>
      <c r="Z2995" s="50"/>
      <c r="AA2995" s="50"/>
    </row>
    <row r="2996" spans="1:27" ht="25.5" customHeight="1">
      <c r="A2996" s="50" t="s">
        <v>780</v>
      </c>
      <c r="B2996" s="51" t="s">
        <v>1221</v>
      </c>
      <c r="C2996" s="51" t="s">
        <v>159</v>
      </c>
      <c r="D2996" s="51" t="s">
        <v>6478</v>
      </c>
      <c r="E2996" s="50">
        <v>1791</v>
      </c>
      <c r="F2996" s="50">
        <v>2430</v>
      </c>
      <c r="G2996" s="50" t="s">
        <v>3404</v>
      </c>
      <c r="H2996" s="50">
        <v>2024</v>
      </c>
      <c r="I2996" s="107">
        <v>45539</v>
      </c>
      <c r="J2996" s="105"/>
      <c r="K2996" s="105" t="s">
        <v>42</v>
      </c>
      <c r="L2996" s="105" t="s">
        <v>163</v>
      </c>
      <c r="M2996" s="50" t="s">
        <v>2393</v>
      </c>
      <c r="N2996" s="105"/>
      <c r="O2996" s="105"/>
      <c r="P2996" s="105"/>
      <c r="Q2996" s="105"/>
      <c r="R2996" s="60"/>
      <c r="S2996" s="50" t="str">
        <f t="shared" si="285"/>
        <v/>
      </c>
      <c r="T2996" s="50" t="str">
        <f t="shared" si="287"/>
        <v/>
      </c>
      <c r="U2996" s="50" t="str">
        <f t="shared" si="287"/>
        <v/>
      </c>
      <c r="V2996" s="50" t="str">
        <f t="shared" si="286"/>
        <v/>
      </c>
      <c r="W2996" s="50"/>
      <c r="X2996" s="50" t="s">
        <v>1078</v>
      </c>
      <c r="Y2996" s="50" t="s">
        <v>50</v>
      </c>
      <c r="Z2996" s="50" t="s">
        <v>3406</v>
      </c>
      <c r="AA2996" s="50"/>
    </row>
    <row r="2997" spans="1:27" ht="25.5" customHeight="1">
      <c r="A2997" s="50" t="s">
        <v>780</v>
      </c>
      <c r="B2997" s="51" t="s">
        <v>1221</v>
      </c>
      <c r="C2997" s="51" t="s">
        <v>159</v>
      </c>
      <c r="D2997" s="51" t="s">
        <v>1222</v>
      </c>
      <c r="E2997" s="50">
        <v>4126</v>
      </c>
      <c r="F2997" s="50">
        <v>5130</v>
      </c>
      <c r="G2997" s="50" t="s">
        <v>3404</v>
      </c>
      <c r="H2997" s="50">
        <v>2024</v>
      </c>
      <c r="I2997" s="107">
        <v>45539</v>
      </c>
      <c r="J2997" s="105"/>
      <c r="K2997" s="105" t="s">
        <v>42</v>
      </c>
      <c r="L2997" s="105" t="s">
        <v>163</v>
      </c>
      <c r="M2997" s="50" t="s">
        <v>2393</v>
      </c>
      <c r="N2997" s="105"/>
      <c r="O2997" s="105"/>
      <c r="P2997" s="105"/>
      <c r="Q2997" s="105"/>
      <c r="R2997" s="60"/>
      <c r="S2997" s="50" t="str">
        <f t="shared" si="285"/>
        <v/>
      </c>
      <c r="T2997" s="50" t="str">
        <f t="shared" si="287"/>
        <v/>
      </c>
      <c r="U2997" s="50" t="str">
        <f t="shared" si="287"/>
        <v/>
      </c>
      <c r="V2997" s="50" t="str">
        <f t="shared" si="286"/>
        <v/>
      </c>
      <c r="W2997" s="50"/>
      <c r="X2997" s="50" t="s">
        <v>1078</v>
      </c>
      <c r="Y2997" s="50" t="s">
        <v>50</v>
      </c>
      <c r="Z2997" s="50" t="s">
        <v>3406</v>
      </c>
      <c r="AA2997" s="50"/>
    </row>
    <row r="2998" spans="1:27" ht="25.5" customHeight="1">
      <c r="A2998" s="50" t="s">
        <v>780</v>
      </c>
      <c r="B2998" s="51" t="s">
        <v>1221</v>
      </c>
      <c r="C2998" s="51" t="s">
        <v>159</v>
      </c>
      <c r="D2998" s="51" t="s">
        <v>918</v>
      </c>
      <c r="E2998" s="50">
        <v>1209</v>
      </c>
      <c r="F2998" s="50">
        <v>1352</v>
      </c>
      <c r="G2998" s="50" t="s">
        <v>3404</v>
      </c>
      <c r="H2998" s="50">
        <v>2024</v>
      </c>
      <c r="I2998" s="107">
        <v>45539</v>
      </c>
      <c r="J2998" s="105"/>
      <c r="K2998" s="105" t="s">
        <v>42</v>
      </c>
      <c r="L2998" s="105" t="s">
        <v>163</v>
      </c>
      <c r="M2998" s="50" t="s">
        <v>2393</v>
      </c>
      <c r="N2998" s="105"/>
      <c r="O2998" s="105"/>
      <c r="P2998" s="105"/>
      <c r="Q2998" s="105"/>
      <c r="R2998" s="60"/>
      <c r="S2998" s="50" t="str">
        <f t="shared" si="285"/>
        <v/>
      </c>
      <c r="T2998" s="50" t="str">
        <f t="shared" si="287"/>
        <v/>
      </c>
      <c r="U2998" s="50" t="str">
        <f t="shared" si="287"/>
        <v/>
      </c>
      <c r="V2998" s="50" t="str">
        <f t="shared" si="286"/>
        <v/>
      </c>
      <c r="W2998" s="50"/>
      <c r="X2998" s="50" t="s">
        <v>1078</v>
      </c>
      <c r="Y2998" s="50" t="s">
        <v>50</v>
      </c>
      <c r="Z2998" s="50" t="s">
        <v>3406</v>
      </c>
      <c r="AA2998" s="50"/>
    </row>
    <row r="2999" spans="1:27" ht="25.5" customHeight="1">
      <c r="A2999" s="517" t="s">
        <v>780</v>
      </c>
      <c r="B2999" s="51" t="s">
        <v>1221</v>
      </c>
      <c r="C2999" s="51" t="s">
        <v>159</v>
      </c>
      <c r="D2999" s="51" t="s">
        <v>3727</v>
      </c>
      <c r="E2999" s="50">
        <v>1739</v>
      </c>
      <c r="F2999" s="50">
        <v>2075</v>
      </c>
      <c r="G2999" s="50" t="s">
        <v>3404</v>
      </c>
      <c r="H2999" s="50">
        <v>2025</v>
      </c>
      <c r="I2999" s="107">
        <v>45699</v>
      </c>
      <c r="J2999" s="50" t="s">
        <v>3458</v>
      </c>
      <c r="K2999" s="105" t="s">
        <v>42</v>
      </c>
      <c r="L2999" s="105" t="s">
        <v>163</v>
      </c>
      <c r="M2999" s="50" t="s">
        <v>2393</v>
      </c>
      <c r="N2999" s="50" t="s">
        <v>6479</v>
      </c>
      <c r="O2999" s="60">
        <v>45704</v>
      </c>
      <c r="P2999" s="60">
        <v>45705</v>
      </c>
      <c r="Q2999" s="60">
        <v>45705</v>
      </c>
      <c r="R2999" s="60">
        <v>45705</v>
      </c>
      <c r="S2999" s="50">
        <f t="shared" si="285"/>
        <v>3</v>
      </c>
      <c r="T2999" s="50">
        <f>IF(
    OR(ISBLANK(P2999), ISBLANK(Q2999)),
    "",
    MAX(1, IF(
        NETWORKDAYS(P2999, Q2999) &lt;= 0,
        1,
        NETWORKDAYS(P2999, Q2999) - IF(P2999 = Q2999, 0, 1)
    ))
)</f>
        <v>1</v>
      </c>
      <c r="U2999" s="50">
        <f>IF(
    OR(ISBLANK(Q2999), ISBLANK(R2999)),
    "",
    MAX(1, IF(
        NETWORKDAYS(P2999, Q2999) &lt;= 0,
        1,
        NETWORKDAYS(P2999, Q2999) - IF(P2999 = Q2999, 0, 1)
    ))
)</f>
        <v>1</v>
      </c>
      <c r="V2999" s="50">
        <f t="shared" si="286"/>
        <v>1</v>
      </c>
      <c r="W2999" s="50" t="s">
        <v>150</v>
      </c>
      <c r="X2999" s="50" t="s">
        <v>1078</v>
      </c>
      <c r="Y2999" s="50" t="s">
        <v>3528</v>
      </c>
      <c r="Z2999" s="50" t="s">
        <v>3406</v>
      </c>
      <c r="AA2999" s="50"/>
    </row>
    <row r="3000" spans="1:27" s="110" customFormat="1" ht="25.5" customHeight="1">
      <c r="A3000" s="50" t="s">
        <v>780</v>
      </c>
      <c r="B3000" s="51" t="s">
        <v>1221</v>
      </c>
      <c r="C3000" s="51" t="s">
        <v>159</v>
      </c>
      <c r="D3000" s="51" t="s">
        <v>3566</v>
      </c>
      <c r="E3000" s="50">
        <v>1384</v>
      </c>
      <c r="F3000" s="50">
        <v>1744</v>
      </c>
      <c r="G3000" s="50" t="s">
        <v>3404</v>
      </c>
      <c r="H3000" s="50">
        <v>2024</v>
      </c>
      <c r="I3000" s="107">
        <v>45447</v>
      </c>
      <c r="J3000" s="105"/>
      <c r="K3000" s="105" t="s">
        <v>42</v>
      </c>
      <c r="L3000" s="105" t="s">
        <v>163</v>
      </c>
      <c r="M3000" s="50" t="s">
        <v>2393</v>
      </c>
      <c r="N3000" s="105"/>
      <c r="O3000" s="105"/>
      <c r="P3000" s="105"/>
      <c r="Q3000" s="105"/>
      <c r="R3000" s="60"/>
      <c r="S3000" s="50" t="str">
        <f t="shared" si="285"/>
        <v/>
      </c>
      <c r="T3000" s="50" t="str">
        <f t="shared" ref="T3000:T3017" si="288">IF(
    OR(ISBLANK(O3000), ISBLANK(P3000)),
    "",
    MAX(1, IF(
        NETWORKDAYS(O3000, P3000) &lt;= 0,
        1,
        NETWORKDAYS(O3000, P3000) - IF(O3000 = P3000, 0, 1)
    ))
)</f>
        <v/>
      </c>
      <c r="U3000" s="50" t="str">
        <f t="shared" ref="U3000:U3017" si="289">IF(
    OR(ISBLANK(P3000), ISBLANK(Q3000)),
    "",
    MAX(1, IF(
        NETWORKDAYS(P3000, Q3000) &lt;= 0,
        1,
        NETWORKDAYS(P3000, Q3000) - IF(P3000 = Q3000, 0, 1)
    ))
)</f>
        <v/>
      </c>
      <c r="V3000" s="50" t="str">
        <f t="shared" si="286"/>
        <v/>
      </c>
      <c r="W3000" s="50"/>
      <c r="X3000" s="50" t="s">
        <v>4</v>
      </c>
      <c r="Y3000" s="50" t="s">
        <v>57</v>
      </c>
      <c r="Z3000" s="50" t="s">
        <v>3406</v>
      </c>
      <c r="AA3000" s="50"/>
    </row>
    <row r="3001" spans="1:27" ht="25.5" customHeight="1">
      <c r="A3001" s="517" t="s">
        <v>780</v>
      </c>
      <c r="B3001" s="51" t="s">
        <v>1221</v>
      </c>
      <c r="C3001" s="51" t="s">
        <v>159</v>
      </c>
      <c r="D3001" s="51" t="s">
        <v>6480</v>
      </c>
      <c r="E3001" s="50">
        <v>1586</v>
      </c>
      <c r="F3001" s="50">
        <v>1858</v>
      </c>
      <c r="G3001" s="50" t="s">
        <v>3404</v>
      </c>
      <c r="H3001" s="50">
        <v>2025</v>
      </c>
      <c r="I3001" s="107">
        <v>45720</v>
      </c>
      <c r="J3001" s="105" t="s">
        <v>3416</v>
      </c>
      <c r="K3001" s="105" t="s">
        <v>42</v>
      </c>
      <c r="L3001" s="105" t="s">
        <v>163</v>
      </c>
      <c r="M3001" s="50" t="s">
        <v>2393</v>
      </c>
      <c r="N3001" s="50" t="s">
        <v>6481</v>
      </c>
      <c r="O3001" s="132">
        <v>45725</v>
      </c>
      <c r="P3001" s="132">
        <v>45728</v>
      </c>
      <c r="Q3001" s="132">
        <v>45728</v>
      </c>
      <c r="R3001" s="132">
        <v>45728</v>
      </c>
      <c r="S3001" s="50">
        <f t="shared" si="285"/>
        <v>3</v>
      </c>
      <c r="T3001" s="50">
        <f t="shared" si="288"/>
        <v>2</v>
      </c>
      <c r="U3001" s="50">
        <f t="shared" si="289"/>
        <v>1</v>
      </c>
      <c r="V3001" s="50">
        <f t="shared" si="286"/>
        <v>1</v>
      </c>
      <c r="W3001" s="50" t="s">
        <v>150</v>
      </c>
      <c r="X3001" s="50" t="s">
        <v>1078</v>
      </c>
      <c r="Y3001" s="50" t="s">
        <v>57</v>
      </c>
      <c r="Z3001" s="50" t="s">
        <v>3406</v>
      </c>
      <c r="AA3001" s="50"/>
    </row>
    <row r="3002" spans="1:27" ht="25.5" customHeight="1">
      <c r="A3002" s="50" t="s">
        <v>780</v>
      </c>
      <c r="B3002" s="51" t="s">
        <v>1221</v>
      </c>
      <c r="C3002" s="51" t="s">
        <v>159</v>
      </c>
      <c r="D3002" s="51" t="s">
        <v>5018</v>
      </c>
      <c r="E3002" s="50">
        <v>1101</v>
      </c>
      <c r="F3002" s="50">
        <v>1182</v>
      </c>
      <c r="G3002" s="50" t="s">
        <v>3404</v>
      </c>
      <c r="H3002" s="50">
        <v>2024</v>
      </c>
      <c r="I3002" s="107">
        <v>45616</v>
      </c>
      <c r="J3002" s="105"/>
      <c r="K3002" s="105" t="s">
        <v>42</v>
      </c>
      <c r="L3002" s="105" t="s">
        <v>163</v>
      </c>
      <c r="M3002" s="50" t="s">
        <v>2393</v>
      </c>
      <c r="N3002" s="105"/>
      <c r="O3002" s="105"/>
      <c r="P3002" s="105"/>
      <c r="Q3002" s="105"/>
      <c r="R3002" s="60"/>
      <c r="S3002" s="50" t="str">
        <f t="shared" si="285"/>
        <v/>
      </c>
      <c r="T3002" s="50" t="str">
        <f t="shared" si="288"/>
        <v/>
      </c>
      <c r="U3002" s="50" t="str">
        <f t="shared" si="289"/>
        <v/>
      </c>
      <c r="V3002" s="50" t="str">
        <f t="shared" si="286"/>
        <v/>
      </c>
      <c r="W3002" s="50"/>
      <c r="X3002" s="50" t="s">
        <v>1078</v>
      </c>
      <c r="Y3002" s="50" t="s">
        <v>3528</v>
      </c>
      <c r="Z3002" s="50" t="s">
        <v>3406</v>
      </c>
      <c r="AA3002" s="50"/>
    </row>
    <row r="3003" spans="1:27" ht="25.5" customHeight="1">
      <c r="A3003" s="517" t="s">
        <v>780</v>
      </c>
      <c r="B3003" s="51" t="s">
        <v>914</v>
      </c>
      <c r="C3003" s="51" t="s">
        <v>159</v>
      </c>
      <c r="D3003" s="51" t="s">
        <v>1916</v>
      </c>
      <c r="E3003" s="50">
        <v>1854</v>
      </c>
      <c r="F3003" s="50">
        <v>2136</v>
      </c>
      <c r="G3003" s="50" t="s">
        <v>3404</v>
      </c>
      <c r="H3003" s="50">
        <v>2025</v>
      </c>
      <c r="I3003" s="107">
        <v>45855</v>
      </c>
      <c r="J3003" s="50" t="s">
        <v>3125</v>
      </c>
      <c r="K3003" s="105" t="s">
        <v>42</v>
      </c>
      <c r="L3003" s="105" t="s">
        <v>163</v>
      </c>
      <c r="M3003" s="50" t="s">
        <v>2393</v>
      </c>
      <c r="N3003" s="50" t="s">
        <v>6482</v>
      </c>
      <c r="O3003" s="132">
        <v>45856</v>
      </c>
      <c r="P3003" s="132">
        <v>45856</v>
      </c>
      <c r="Q3003" s="132">
        <v>45856</v>
      </c>
      <c r="R3003" s="132">
        <v>45856</v>
      </c>
      <c r="S3003" s="50">
        <f t="shared" si="285"/>
        <v>1</v>
      </c>
      <c r="T3003" s="50">
        <f t="shared" si="288"/>
        <v>1</v>
      </c>
      <c r="U3003" s="50">
        <f t="shared" si="289"/>
        <v>1</v>
      </c>
      <c r="V3003" s="50">
        <f t="shared" si="286"/>
        <v>1</v>
      </c>
      <c r="W3003" s="50" t="s">
        <v>150</v>
      </c>
      <c r="X3003" s="50" t="s">
        <v>4</v>
      </c>
      <c r="Y3003" s="50" t="s">
        <v>50</v>
      </c>
      <c r="Z3003" s="50" t="s">
        <v>3406</v>
      </c>
      <c r="AA3003" s="50"/>
    </row>
    <row r="3004" spans="1:27" s="110" customFormat="1" ht="25.5" customHeight="1">
      <c r="A3004" s="517" t="s">
        <v>780</v>
      </c>
      <c r="B3004" s="51" t="s">
        <v>914</v>
      </c>
      <c r="C3004" s="51" t="s">
        <v>159</v>
      </c>
      <c r="D3004" s="51" t="s">
        <v>6483</v>
      </c>
      <c r="E3004" s="50">
        <v>1765</v>
      </c>
      <c r="F3004" s="50">
        <v>1940</v>
      </c>
      <c r="G3004" s="50" t="s">
        <v>3404</v>
      </c>
      <c r="H3004" s="50">
        <v>2025</v>
      </c>
      <c r="I3004" s="107">
        <v>45855</v>
      </c>
      <c r="J3004" s="50" t="s">
        <v>3125</v>
      </c>
      <c r="K3004" s="105" t="s">
        <v>42</v>
      </c>
      <c r="L3004" s="105" t="s">
        <v>163</v>
      </c>
      <c r="M3004" s="50" t="s">
        <v>2393</v>
      </c>
      <c r="N3004" s="50" t="s">
        <v>6484</v>
      </c>
      <c r="O3004" s="132">
        <v>45856</v>
      </c>
      <c r="P3004" s="132">
        <v>45856</v>
      </c>
      <c r="Q3004" s="132">
        <v>45856</v>
      </c>
      <c r="R3004" s="132">
        <v>45856</v>
      </c>
      <c r="S3004" s="50">
        <f t="shared" si="285"/>
        <v>1</v>
      </c>
      <c r="T3004" s="50">
        <f t="shared" si="288"/>
        <v>1</v>
      </c>
      <c r="U3004" s="50">
        <f t="shared" si="289"/>
        <v>1</v>
      </c>
      <c r="V3004" s="50">
        <f t="shared" si="286"/>
        <v>1</v>
      </c>
      <c r="W3004" s="50" t="s">
        <v>150</v>
      </c>
      <c r="X3004" s="50" t="s">
        <v>1078</v>
      </c>
      <c r="Y3004" s="50" t="s">
        <v>50</v>
      </c>
      <c r="Z3004" s="50" t="s">
        <v>3406</v>
      </c>
      <c r="AA3004" s="50"/>
    </row>
    <row r="3005" spans="1:27" ht="25.5" customHeight="1">
      <c r="A3005" s="50" t="s">
        <v>780</v>
      </c>
      <c r="B3005" s="51" t="s">
        <v>914</v>
      </c>
      <c r="C3005" s="51" t="s">
        <v>159</v>
      </c>
      <c r="D3005" s="51" t="s">
        <v>3674</v>
      </c>
      <c r="E3005" s="50">
        <v>5215</v>
      </c>
      <c r="F3005" s="50">
        <v>5898</v>
      </c>
      <c r="G3005" s="50" t="s">
        <v>3404</v>
      </c>
      <c r="H3005" s="50">
        <v>2024</v>
      </c>
      <c r="I3005" s="107">
        <v>45569</v>
      </c>
      <c r="J3005" s="105"/>
      <c r="K3005" s="105"/>
      <c r="L3005" s="105" t="s">
        <v>163</v>
      </c>
      <c r="M3005" s="50" t="s">
        <v>2393</v>
      </c>
      <c r="N3005" s="105"/>
      <c r="O3005" s="105"/>
      <c r="P3005" s="105"/>
      <c r="Q3005" s="105"/>
      <c r="R3005" s="60"/>
      <c r="S3005" s="50" t="str">
        <f t="shared" si="285"/>
        <v/>
      </c>
      <c r="T3005" s="50" t="str">
        <f t="shared" si="288"/>
        <v/>
      </c>
      <c r="U3005" s="50" t="str">
        <f t="shared" si="289"/>
        <v/>
      </c>
      <c r="V3005" s="50" t="str">
        <f t="shared" si="286"/>
        <v/>
      </c>
      <c r="W3005" s="50"/>
      <c r="X3005" s="50" t="s">
        <v>4</v>
      </c>
      <c r="Y3005" s="50" t="s">
        <v>50</v>
      </c>
      <c r="Z3005" s="50" t="s">
        <v>3406</v>
      </c>
      <c r="AA3005" s="50"/>
    </row>
    <row r="3006" spans="1:27" ht="25.5" customHeight="1">
      <c r="A3006" s="50" t="s">
        <v>780</v>
      </c>
      <c r="B3006" s="51" t="s">
        <v>914</v>
      </c>
      <c r="C3006" s="51" t="s">
        <v>159</v>
      </c>
      <c r="D3006" s="51" t="s">
        <v>6485</v>
      </c>
      <c r="E3006" s="50">
        <v>3573</v>
      </c>
      <c r="F3006" s="50">
        <v>3852</v>
      </c>
      <c r="G3006" s="50" t="s">
        <v>3404</v>
      </c>
      <c r="H3006" s="50" t="s">
        <v>3449</v>
      </c>
      <c r="I3006" s="107">
        <v>45855</v>
      </c>
      <c r="J3006" s="50" t="s">
        <v>3125</v>
      </c>
      <c r="K3006" s="105" t="s">
        <v>42</v>
      </c>
      <c r="L3006" s="105" t="s">
        <v>163</v>
      </c>
      <c r="M3006" s="50" t="s">
        <v>2393</v>
      </c>
      <c r="N3006" s="50" t="s">
        <v>6486</v>
      </c>
      <c r="O3006" s="132">
        <v>45856</v>
      </c>
      <c r="P3006" s="132">
        <v>45856</v>
      </c>
      <c r="Q3006" s="132">
        <v>45856</v>
      </c>
      <c r="R3006" s="132">
        <v>45856</v>
      </c>
      <c r="S3006" s="50">
        <f t="shared" si="285"/>
        <v>1</v>
      </c>
      <c r="T3006" s="50">
        <f t="shared" si="288"/>
        <v>1</v>
      </c>
      <c r="U3006" s="50">
        <f t="shared" si="289"/>
        <v>1</v>
      </c>
      <c r="V3006" s="50">
        <f t="shared" si="286"/>
        <v>1</v>
      </c>
      <c r="W3006" s="50" t="s">
        <v>150</v>
      </c>
      <c r="X3006" s="50" t="s">
        <v>4</v>
      </c>
      <c r="Y3006" s="50" t="s">
        <v>50</v>
      </c>
      <c r="Z3006" s="50" t="s">
        <v>3406</v>
      </c>
      <c r="AA3006" s="50"/>
    </row>
    <row r="3007" spans="1:27" ht="25.5" customHeight="1">
      <c r="A3007" s="517" t="s">
        <v>780</v>
      </c>
      <c r="B3007" s="51" t="s">
        <v>914</v>
      </c>
      <c r="C3007" s="51" t="s">
        <v>159</v>
      </c>
      <c r="D3007" s="51" t="s">
        <v>6487</v>
      </c>
      <c r="E3007" s="50">
        <v>2792</v>
      </c>
      <c r="F3007" s="50">
        <v>2675</v>
      </c>
      <c r="G3007" s="50" t="s">
        <v>3404</v>
      </c>
      <c r="H3007" s="50">
        <v>2025</v>
      </c>
      <c r="I3007" s="107">
        <v>45855</v>
      </c>
      <c r="J3007" s="50" t="s">
        <v>3125</v>
      </c>
      <c r="K3007" s="105" t="s">
        <v>42</v>
      </c>
      <c r="L3007" s="105" t="s">
        <v>163</v>
      </c>
      <c r="M3007" s="50" t="s">
        <v>2393</v>
      </c>
      <c r="N3007" s="50" t="s">
        <v>6488</v>
      </c>
      <c r="O3007" s="132">
        <v>45856</v>
      </c>
      <c r="P3007" s="132">
        <v>45856</v>
      </c>
      <c r="Q3007" s="132">
        <v>45856</v>
      </c>
      <c r="R3007" s="132">
        <v>45856</v>
      </c>
      <c r="S3007" s="50">
        <f t="shared" si="285"/>
        <v>1</v>
      </c>
      <c r="T3007" s="50">
        <f t="shared" si="288"/>
        <v>1</v>
      </c>
      <c r="U3007" s="50">
        <f t="shared" si="289"/>
        <v>1</v>
      </c>
      <c r="V3007" s="50">
        <f t="shared" si="286"/>
        <v>1</v>
      </c>
      <c r="W3007" s="50" t="s">
        <v>150</v>
      </c>
      <c r="X3007" s="50" t="s">
        <v>4</v>
      </c>
      <c r="Y3007" s="50" t="s">
        <v>50</v>
      </c>
      <c r="Z3007" s="50" t="s">
        <v>3406</v>
      </c>
      <c r="AA3007" s="50"/>
    </row>
    <row r="3008" spans="1:27" s="110" customFormat="1" ht="25.5" customHeight="1">
      <c r="A3008" s="50" t="s">
        <v>780</v>
      </c>
      <c r="B3008" s="51" t="s">
        <v>914</v>
      </c>
      <c r="C3008" s="51" t="s">
        <v>159</v>
      </c>
      <c r="D3008" s="51" t="s">
        <v>1550</v>
      </c>
      <c r="E3008" s="50">
        <v>2878</v>
      </c>
      <c r="F3008" s="50">
        <v>3476</v>
      </c>
      <c r="G3008" s="50" t="s">
        <v>3404</v>
      </c>
      <c r="H3008" s="50">
        <v>2024</v>
      </c>
      <c r="I3008" s="107">
        <v>45427</v>
      </c>
      <c r="J3008" s="105"/>
      <c r="K3008" s="105"/>
      <c r="L3008" s="105" t="s">
        <v>163</v>
      </c>
      <c r="M3008" s="50" t="s">
        <v>2393</v>
      </c>
      <c r="N3008" s="105"/>
      <c r="O3008" s="105"/>
      <c r="P3008" s="105"/>
      <c r="Q3008" s="105"/>
      <c r="R3008" s="60"/>
      <c r="S3008" s="50" t="str">
        <f t="shared" si="285"/>
        <v/>
      </c>
      <c r="T3008" s="50" t="str">
        <f t="shared" si="288"/>
        <v/>
      </c>
      <c r="U3008" s="50" t="str">
        <f t="shared" si="289"/>
        <v/>
      </c>
      <c r="V3008" s="50" t="str">
        <f t="shared" si="286"/>
        <v/>
      </c>
      <c r="W3008" s="50"/>
      <c r="X3008" s="50" t="s">
        <v>4</v>
      </c>
      <c r="Y3008" s="50" t="s">
        <v>50</v>
      </c>
      <c r="Z3008" s="50" t="s">
        <v>3406</v>
      </c>
      <c r="AA3008" s="50"/>
    </row>
    <row r="3009" spans="1:27" ht="25.5" customHeight="1">
      <c r="A3009" s="50" t="s">
        <v>780</v>
      </c>
      <c r="B3009" s="51" t="s">
        <v>914</v>
      </c>
      <c r="C3009" s="51" t="s">
        <v>159</v>
      </c>
      <c r="D3009" s="51" t="s">
        <v>1299</v>
      </c>
      <c r="E3009" s="50">
        <v>568</v>
      </c>
      <c r="F3009" s="50">
        <v>456</v>
      </c>
      <c r="G3009" s="50" t="s">
        <v>3404</v>
      </c>
      <c r="H3009" s="50">
        <v>2024</v>
      </c>
      <c r="I3009" s="107">
        <v>45427</v>
      </c>
      <c r="J3009" s="105"/>
      <c r="K3009" s="105"/>
      <c r="L3009" s="105" t="s">
        <v>163</v>
      </c>
      <c r="M3009" s="50" t="s">
        <v>2393</v>
      </c>
      <c r="N3009" s="105"/>
      <c r="O3009" s="105"/>
      <c r="P3009" s="105"/>
      <c r="Q3009" s="105"/>
      <c r="R3009" s="60"/>
      <c r="S3009" s="50" t="str">
        <f t="shared" si="285"/>
        <v/>
      </c>
      <c r="T3009" s="50" t="str">
        <f t="shared" si="288"/>
        <v/>
      </c>
      <c r="U3009" s="50" t="str">
        <f t="shared" si="289"/>
        <v/>
      </c>
      <c r="V3009" s="50" t="str">
        <f t="shared" si="286"/>
        <v/>
      </c>
      <c r="W3009" s="50"/>
      <c r="X3009" s="50" t="s">
        <v>4</v>
      </c>
      <c r="Y3009" s="50" t="s">
        <v>50</v>
      </c>
      <c r="Z3009" s="50" t="s">
        <v>3406</v>
      </c>
      <c r="AA3009" s="50"/>
    </row>
    <row r="3010" spans="1:27" ht="25.5" customHeight="1">
      <c r="A3010" s="517" t="s">
        <v>780</v>
      </c>
      <c r="B3010" s="51" t="s">
        <v>914</v>
      </c>
      <c r="C3010" s="51" t="s">
        <v>159</v>
      </c>
      <c r="D3010" s="51" t="s">
        <v>5065</v>
      </c>
      <c r="E3010" s="50">
        <v>1525</v>
      </c>
      <c r="F3010" s="50">
        <v>1671</v>
      </c>
      <c r="G3010" s="50" t="s">
        <v>3404</v>
      </c>
      <c r="H3010" s="50">
        <v>2025</v>
      </c>
      <c r="I3010" s="107">
        <v>45855</v>
      </c>
      <c r="J3010" s="50" t="s">
        <v>3125</v>
      </c>
      <c r="K3010" s="105" t="s">
        <v>42</v>
      </c>
      <c r="L3010" s="105" t="s">
        <v>163</v>
      </c>
      <c r="M3010" s="50" t="s">
        <v>2393</v>
      </c>
      <c r="N3010" s="50" t="s">
        <v>6489</v>
      </c>
      <c r="O3010" s="132">
        <v>45856</v>
      </c>
      <c r="P3010" s="132">
        <v>45856</v>
      </c>
      <c r="Q3010" s="132">
        <v>45856</v>
      </c>
      <c r="R3010" s="132">
        <v>45856</v>
      </c>
      <c r="S3010" s="50">
        <f t="shared" si="285"/>
        <v>1</v>
      </c>
      <c r="T3010" s="50">
        <f t="shared" si="288"/>
        <v>1</v>
      </c>
      <c r="U3010" s="50">
        <f t="shared" si="289"/>
        <v>1</v>
      </c>
      <c r="V3010" s="50">
        <f t="shared" si="286"/>
        <v>1</v>
      </c>
      <c r="W3010" s="50" t="s">
        <v>150</v>
      </c>
      <c r="X3010" s="50" t="s">
        <v>4</v>
      </c>
      <c r="Y3010" s="50" t="s">
        <v>50</v>
      </c>
      <c r="Z3010" s="50" t="s">
        <v>3406</v>
      </c>
      <c r="AA3010" s="50"/>
    </row>
    <row r="3011" spans="1:27" s="110" customFormat="1" ht="25.5" customHeight="1">
      <c r="A3011" s="517" t="s">
        <v>780</v>
      </c>
      <c r="B3011" s="51" t="s">
        <v>914</v>
      </c>
      <c r="C3011" s="51" t="s">
        <v>159</v>
      </c>
      <c r="D3011" s="51" t="s">
        <v>6490</v>
      </c>
      <c r="E3011" s="50">
        <v>931</v>
      </c>
      <c r="F3011" s="50">
        <v>1013</v>
      </c>
      <c r="G3011" s="50" t="s">
        <v>3404</v>
      </c>
      <c r="H3011" s="50">
        <v>2025</v>
      </c>
      <c r="I3011" s="107">
        <v>45855</v>
      </c>
      <c r="J3011" s="50" t="s">
        <v>3125</v>
      </c>
      <c r="K3011" s="105" t="s">
        <v>42</v>
      </c>
      <c r="L3011" s="105" t="s">
        <v>163</v>
      </c>
      <c r="M3011" s="50" t="s">
        <v>2393</v>
      </c>
      <c r="N3011" s="50" t="s">
        <v>6491</v>
      </c>
      <c r="O3011" s="132">
        <v>45856</v>
      </c>
      <c r="P3011" s="132">
        <v>45856</v>
      </c>
      <c r="Q3011" s="132">
        <v>45856</v>
      </c>
      <c r="R3011" s="132">
        <v>45856</v>
      </c>
      <c r="S3011" s="50">
        <f t="shared" si="285"/>
        <v>1</v>
      </c>
      <c r="T3011" s="50">
        <f t="shared" si="288"/>
        <v>1</v>
      </c>
      <c r="U3011" s="50">
        <f t="shared" si="289"/>
        <v>1</v>
      </c>
      <c r="V3011" s="50">
        <f t="shared" si="286"/>
        <v>1</v>
      </c>
      <c r="W3011" s="50" t="s">
        <v>150</v>
      </c>
      <c r="X3011" s="50" t="s">
        <v>1078</v>
      </c>
      <c r="Y3011" s="50" t="s">
        <v>50</v>
      </c>
      <c r="Z3011" s="50" t="s">
        <v>3406</v>
      </c>
      <c r="AA3011" s="50"/>
    </row>
    <row r="3012" spans="1:27" ht="25.5" customHeight="1">
      <c r="A3012" s="50" t="s">
        <v>780</v>
      </c>
      <c r="B3012" s="51" t="s">
        <v>914</v>
      </c>
      <c r="C3012" s="51" t="s">
        <v>159</v>
      </c>
      <c r="D3012" s="51" t="s">
        <v>3913</v>
      </c>
      <c r="E3012" s="50">
        <v>1645</v>
      </c>
      <c r="F3012" s="50">
        <v>1634</v>
      </c>
      <c r="G3012" s="50" t="s">
        <v>3404</v>
      </c>
      <c r="H3012" s="50">
        <v>2024</v>
      </c>
      <c r="I3012" s="107">
        <v>45611</v>
      </c>
      <c r="J3012" s="105"/>
      <c r="K3012" s="105"/>
      <c r="L3012" s="105" t="s">
        <v>163</v>
      </c>
      <c r="M3012" s="50" t="s">
        <v>2393</v>
      </c>
      <c r="N3012" s="105"/>
      <c r="O3012" s="105"/>
      <c r="P3012" s="105"/>
      <c r="Q3012" s="105"/>
      <c r="R3012" s="60"/>
      <c r="S3012" s="50" t="str">
        <f t="shared" si="285"/>
        <v/>
      </c>
      <c r="T3012" s="50" t="str">
        <f t="shared" si="288"/>
        <v/>
      </c>
      <c r="U3012" s="50" t="str">
        <f t="shared" si="289"/>
        <v/>
      </c>
      <c r="V3012" s="50" t="str">
        <f t="shared" si="286"/>
        <v/>
      </c>
      <c r="W3012" s="50"/>
      <c r="X3012" s="50" t="s">
        <v>4</v>
      </c>
      <c r="Y3012" s="50" t="s">
        <v>50</v>
      </c>
      <c r="Z3012" s="50" t="s">
        <v>3406</v>
      </c>
      <c r="AA3012" s="50"/>
    </row>
    <row r="3013" spans="1:27" ht="25.5" customHeight="1">
      <c r="A3013" s="50" t="s">
        <v>780</v>
      </c>
      <c r="B3013" s="51" t="s">
        <v>914</v>
      </c>
      <c r="C3013" s="51" t="s">
        <v>159</v>
      </c>
      <c r="D3013" s="51" t="s">
        <v>1151</v>
      </c>
      <c r="E3013" s="50">
        <v>4322</v>
      </c>
      <c r="F3013" s="50">
        <v>4079</v>
      </c>
      <c r="G3013" s="50" t="s">
        <v>3404</v>
      </c>
      <c r="H3013" s="50">
        <v>2024</v>
      </c>
      <c r="I3013" s="107">
        <v>45602</v>
      </c>
      <c r="J3013" s="105"/>
      <c r="K3013" s="105"/>
      <c r="L3013" s="105" t="s">
        <v>163</v>
      </c>
      <c r="M3013" s="50" t="s">
        <v>2393</v>
      </c>
      <c r="N3013" s="105"/>
      <c r="O3013" s="105"/>
      <c r="P3013" s="105"/>
      <c r="Q3013" s="105"/>
      <c r="R3013" s="60"/>
      <c r="S3013" s="50" t="str">
        <f t="shared" si="285"/>
        <v/>
      </c>
      <c r="T3013" s="50" t="str">
        <f t="shared" si="288"/>
        <v/>
      </c>
      <c r="U3013" s="50" t="str">
        <f t="shared" si="289"/>
        <v/>
      </c>
      <c r="V3013" s="50" t="str">
        <f t="shared" si="286"/>
        <v/>
      </c>
      <c r="W3013" s="50"/>
      <c r="X3013" s="50" t="s">
        <v>4</v>
      </c>
      <c r="Y3013" s="50" t="s">
        <v>50</v>
      </c>
      <c r="Z3013" s="50" t="s">
        <v>3406</v>
      </c>
      <c r="AA3013" s="50"/>
    </row>
    <row r="3014" spans="1:27" ht="25.5" customHeight="1">
      <c r="A3014" s="517" t="s">
        <v>780</v>
      </c>
      <c r="B3014" s="51" t="s">
        <v>914</v>
      </c>
      <c r="C3014" s="51" t="s">
        <v>159</v>
      </c>
      <c r="D3014" s="51" t="s">
        <v>5659</v>
      </c>
      <c r="E3014" s="50">
        <v>2933</v>
      </c>
      <c r="F3014" s="50">
        <v>3223</v>
      </c>
      <c r="G3014" s="50" t="s">
        <v>3404</v>
      </c>
      <c r="H3014" s="50">
        <v>2025</v>
      </c>
      <c r="I3014" s="107">
        <v>45855</v>
      </c>
      <c r="J3014" s="50" t="s">
        <v>3125</v>
      </c>
      <c r="K3014" s="105" t="s">
        <v>42</v>
      </c>
      <c r="L3014" s="105" t="s">
        <v>163</v>
      </c>
      <c r="M3014" s="50" t="s">
        <v>2393</v>
      </c>
      <c r="N3014" s="50" t="s">
        <v>6492</v>
      </c>
      <c r="O3014" s="132">
        <v>45856</v>
      </c>
      <c r="P3014" s="132">
        <v>45856</v>
      </c>
      <c r="Q3014" s="132">
        <v>45856</v>
      </c>
      <c r="R3014" s="132">
        <v>45856</v>
      </c>
      <c r="S3014" s="50">
        <f t="shared" si="285"/>
        <v>1</v>
      </c>
      <c r="T3014" s="50">
        <f t="shared" si="288"/>
        <v>1</v>
      </c>
      <c r="U3014" s="50">
        <f t="shared" si="289"/>
        <v>1</v>
      </c>
      <c r="V3014" s="50">
        <f t="shared" si="286"/>
        <v>1</v>
      </c>
      <c r="W3014" s="50" t="s">
        <v>150</v>
      </c>
      <c r="X3014" s="50" t="s">
        <v>1078</v>
      </c>
      <c r="Y3014" s="50" t="s">
        <v>50</v>
      </c>
      <c r="Z3014" s="50" t="s">
        <v>3406</v>
      </c>
      <c r="AA3014" s="50"/>
    </row>
    <row r="3015" spans="1:27" s="110" customFormat="1" ht="25.5" customHeight="1">
      <c r="A3015" s="517" t="s">
        <v>780</v>
      </c>
      <c r="B3015" s="51" t="s">
        <v>914</v>
      </c>
      <c r="C3015" s="51" t="s">
        <v>159</v>
      </c>
      <c r="D3015" s="51" t="s">
        <v>1170</v>
      </c>
      <c r="E3015" s="50">
        <v>1513</v>
      </c>
      <c r="F3015" s="50">
        <v>1552</v>
      </c>
      <c r="G3015" s="50" t="s">
        <v>3955</v>
      </c>
      <c r="H3015" s="50"/>
      <c r="I3015" s="106"/>
      <c r="J3015" s="105"/>
      <c r="K3015" s="105"/>
      <c r="L3015" s="105" t="s">
        <v>163</v>
      </c>
      <c r="M3015" s="50" t="s">
        <v>2393</v>
      </c>
      <c r="N3015" s="105"/>
      <c r="O3015" s="105"/>
      <c r="P3015" s="105"/>
      <c r="Q3015" s="105"/>
      <c r="R3015" s="60"/>
      <c r="S3015" s="50" t="str">
        <f t="shared" si="285"/>
        <v/>
      </c>
      <c r="T3015" s="50" t="str">
        <f t="shared" si="288"/>
        <v/>
      </c>
      <c r="U3015" s="50" t="str">
        <f t="shared" si="289"/>
        <v/>
      </c>
      <c r="V3015" s="50" t="str">
        <f t="shared" si="286"/>
        <v/>
      </c>
      <c r="W3015" s="50"/>
      <c r="X3015" s="50"/>
      <c r="Y3015" s="50"/>
      <c r="Z3015" s="50"/>
      <c r="AA3015" s="50"/>
    </row>
    <row r="3016" spans="1:27" ht="25.5" customHeight="1">
      <c r="A3016" s="50" t="s">
        <v>780</v>
      </c>
      <c r="B3016" s="51" t="s">
        <v>914</v>
      </c>
      <c r="C3016" s="51" t="s">
        <v>159</v>
      </c>
      <c r="D3016" s="51" t="s">
        <v>6493</v>
      </c>
      <c r="E3016" s="50">
        <v>3147</v>
      </c>
      <c r="F3016" s="50">
        <v>3845</v>
      </c>
      <c r="G3016" s="50" t="s">
        <v>3404</v>
      </c>
      <c r="H3016" s="50">
        <v>2024</v>
      </c>
      <c r="I3016" s="107">
        <v>45569</v>
      </c>
      <c r="J3016" s="105"/>
      <c r="K3016" s="105"/>
      <c r="L3016" s="105" t="s">
        <v>163</v>
      </c>
      <c r="M3016" s="50" t="s">
        <v>2393</v>
      </c>
      <c r="N3016" s="105"/>
      <c r="O3016" s="105"/>
      <c r="P3016" s="105"/>
      <c r="Q3016" s="105"/>
      <c r="R3016" s="60"/>
      <c r="S3016" s="50" t="str">
        <f t="shared" si="285"/>
        <v/>
      </c>
      <c r="T3016" s="50" t="str">
        <f t="shared" si="288"/>
        <v/>
      </c>
      <c r="U3016" s="50" t="str">
        <f t="shared" si="289"/>
        <v/>
      </c>
      <c r="V3016" s="50" t="str">
        <f t="shared" si="286"/>
        <v/>
      </c>
      <c r="W3016" s="50"/>
      <c r="X3016" s="50" t="s">
        <v>4</v>
      </c>
      <c r="Y3016" s="50" t="s">
        <v>50</v>
      </c>
      <c r="Z3016" s="50" t="s">
        <v>3406</v>
      </c>
      <c r="AA3016" s="50"/>
    </row>
    <row r="3017" spans="1:27" ht="25.5" customHeight="1">
      <c r="A3017" s="517" t="s">
        <v>780</v>
      </c>
      <c r="B3017" s="51" t="s">
        <v>1225</v>
      </c>
      <c r="C3017" s="51" t="s">
        <v>159</v>
      </c>
      <c r="D3017" s="51" t="s">
        <v>6494</v>
      </c>
      <c r="E3017" s="50">
        <v>1259</v>
      </c>
      <c r="F3017" s="50">
        <v>1282</v>
      </c>
      <c r="G3017" s="50" t="s">
        <v>3404</v>
      </c>
      <c r="H3017" s="50">
        <v>2025</v>
      </c>
      <c r="I3017" s="107">
        <v>45945</v>
      </c>
      <c r="J3017" s="105" t="s">
        <v>3128</v>
      </c>
      <c r="K3017" s="105" t="s">
        <v>42</v>
      </c>
      <c r="L3017" s="105" t="s">
        <v>163</v>
      </c>
      <c r="M3017" s="50" t="s">
        <v>2393</v>
      </c>
      <c r="N3017" s="105" t="s">
        <v>6495</v>
      </c>
      <c r="O3017" s="132">
        <v>45946</v>
      </c>
      <c r="P3017" s="132">
        <v>45946</v>
      </c>
      <c r="Q3017" s="132">
        <v>45946</v>
      </c>
      <c r="R3017" s="132">
        <v>45947</v>
      </c>
      <c r="S3017" s="50">
        <f t="shared" si="285"/>
        <v>1</v>
      </c>
      <c r="T3017" s="50">
        <f t="shared" si="288"/>
        <v>1</v>
      </c>
      <c r="U3017" s="50">
        <f t="shared" si="289"/>
        <v>1</v>
      </c>
      <c r="V3017" s="50">
        <f t="shared" si="286"/>
        <v>1</v>
      </c>
      <c r="W3017" s="50" t="s">
        <v>150</v>
      </c>
      <c r="X3017" s="50" t="s">
        <v>1078</v>
      </c>
      <c r="Y3017" s="50" t="s">
        <v>50</v>
      </c>
      <c r="Z3017" s="50" t="s">
        <v>3406</v>
      </c>
      <c r="AA3017" s="50"/>
    </row>
    <row r="3018" spans="1:27" ht="25.5" customHeight="1">
      <c r="A3018" s="517" t="s">
        <v>780</v>
      </c>
      <c r="B3018" s="51" t="s">
        <v>1225</v>
      </c>
      <c r="C3018" s="51" t="s">
        <v>159</v>
      </c>
      <c r="D3018" s="51" t="s">
        <v>6496</v>
      </c>
      <c r="E3018" s="50">
        <v>1832</v>
      </c>
      <c r="F3018" s="50">
        <v>1974</v>
      </c>
      <c r="G3018" s="50" t="s">
        <v>3404</v>
      </c>
      <c r="H3018" s="50">
        <v>2025</v>
      </c>
      <c r="I3018" s="107">
        <v>45758</v>
      </c>
      <c r="J3018" s="105" t="s">
        <v>3470</v>
      </c>
      <c r="K3018" s="105" t="s">
        <v>1212</v>
      </c>
      <c r="L3018" s="105" t="s">
        <v>163</v>
      </c>
      <c r="M3018" s="50" t="s">
        <v>2393</v>
      </c>
      <c r="N3018" s="105" t="s">
        <v>6497</v>
      </c>
      <c r="O3018" s="132">
        <v>45761</v>
      </c>
      <c r="P3018" s="132">
        <v>45762</v>
      </c>
      <c r="Q3018" s="132">
        <v>45768</v>
      </c>
      <c r="R3018" s="132">
        <v>45768</v>
      </c>
      <c r="S3018" s="50">
        <f t="shared" si="285"/>
        <v>1</v>
      </c>
      <c r="T3018" s="50">
        <f>IF(
    OR(ISBLANK(P3018), ISBLANK(Q3018)),
    "",
    MAX(1, IF(
        NETWORKDAYS(P3018, Q3018) &lt;= 0,
        1,
        NETWORKDAYS(P3018, Q3018) - IF(P3018 = Q3018, 0, 1)
    ))
)</f>
        <v>4</v>
      </c>
      <c r="U3018" s="50">
        <f>IF(
    OR(ISBLANK(Q3018), ISBLANK(R3018)),
    "",
    MAX(1, IF(
        NETWORKDAYS(P3018, Q3018) &lt;= 0,
        1,
        NETWORKDAYS(P3018, Q3018) - IF(P3018 = Q3018, 0, 1)
    ))
)</f>
        <v>4</v>
      </c>
      <c r="V3018" s="50">
        <f t="shared" si="286"/>
        <v>1</v>
      </c>
      <c r="W3018" s="50" t="s">
        <v>150</v>
      </c>
      <c r="X3018" s="50" t="s">
        <v>4</v>
      </c>
      <c r="Y3018" s="50" t="s">
        <v>50</v>
      </c>
      <c r="Z3018" s="50" t="s">
        <v>3406</v>
      </c>
      <c r="AA3018" s="50"/>
    </row>
    <row r="3019" spans="1:27" s="110" customFormat="1" ht="25.5" customHeight="1">
      <c r="A3019" s="517" t="s">
        <v>780</v>
      </c>
      <c r="B3019" s="51" t="s">
        <v>1225</v>
      </c>
      <c r="C3019" s="51" t="s">
        <v>159</v>
      </c>
      <c r="D3019" s="51" t="s">
        <v>6498</v>
      </c>
      <c r="E3019" s="50">
        <v>1027</v>
      </c>
      <c r="F3019" s="50">
        <v>1178</v>
      </c>
      <c r="G3019" s="50" t="s">
        <v>3404</v>
      </c>
      <c r="H3019" s="50">
        <v>2025</v>
      </c>
      <c r="I3019" s="107">
        <v>45972</v>
      </c>
      <c r="J3019" s="105" t="s">
        <v>3129</v>
      </c>
      <c r="K3019" s="105" t="s">
        <v>42</v>
      </c>
      <c r="L3019" s="105" t="s">
        <v>163</v>
      </c>
      <c r="M3019" s="50" t="s">
        <v>2393</v>
      </c>
      <c r="N3019" s="105" t="s">
        <v>6499</v>
      </c>
      <c r="O3019" s="107">
        <v>45972</v>
      </c>
      <c r="P3019" s="107">
        <v>45972</v>
      </c>
      <c r="Q3019" s="107">
        <v>45973</v>
      </c>
      <c r="R3019" s="107">
        <v>45975</v>
      </c>
      <c r="S3019" s="50">
        <f t="shared" si="285"/>
        <v>1</v>
      </c>
      <c r="T3019" s="50">
        <f t="shared" ref="T3019:U3022" si="290">IF(
    OR(ISBLANK(O3019), ISBLANK(P3019)),
    "",
    MAX(1, IF(
        NETWORKDAYS(O3019, P3019) &lt;= 0,
        1,
        NETWORKDAYS(O3019, P3019) - IF(O3019 = P3019, 0, 1)
    ))
)</f>
        <v>1</v>
      </c>
      <c r="U3019" s="50">
        <f t="shared" si="290"/>
        <v>1</v>
      </c>
      <c r="V3019" s="50">
        <f t="shared" si="286"/>
        <v>2</v>
      </c>
      <c r="W3019" s="50" t="s">
        <v>150</v>
      </c>
      <c r="X3019" s="50" t="s">
        <v>4</v>
      </c>
      <c r="Y3019" s="50" t="s">
        <v>50</v>
      </c>
      <c r="Z3019" s="50" t="s">
        <v>3406</v>
      </c>
      <c r="AA3019" s="50"/>
    </row>
    <row r="3020" spans="1:27" ht="25.5" customHeight="1">
      <c r="A3020" s="50" t="s">
        <v>780</v>
      </c>
      <c r="B3020" s="51" t="s">
        <v>1225</v>
      </c>
      <c r="C3020" s="51" t="s">
        <v>159</v>
      </c>
      <c r="D3020" s="51" t="s">
        <v>6500</v>
      </c>
      <c r="E3020" s="50">
        <v>1672</v>
      </c>
      <c r="F3020" s="50">
        <v>1824</v>
      </c>
      <c r="G3020" s="50" t="s">
        <v>3404</v>
      </c>
      <c r="H3020" s="50">
        <v>2024</v>
      </c>
      <c r="I3020" s="107">
        <v>45457</v>
      </c>
      <c r="J3020" s="105"/>
      <c r="K3020" s="105"/>
      <c r="L3020" s="105" t="s">
        <v>163</v>
      </c>
      <c r="M3020" s="50" t="s">
        <v>2393</v>
      </c>
      <c r="N3020" s="105"/>
      <c r="O3020" s="105"/>
      <c r="P3020" s="105"/>
      <c r="Q3020" s="105"/>
      <c r="R3020" s="60"/>
      <c r="S3020" s="50" t="str">
        <f t="shared" si="285"/>
        <v/>
      </c>
      <c r="T3020" s="50" t="str">
        <f t="shared" si="290"/>
        <v/>
      </c>
      <c r="U3020" s="50" t="str">
        <f t="shared" si="290"/>
        <v/>
      </c>
      <c r="V3020" s="50" t="str">
        <f t="shared" si="286"/>
        <v/>
      </c>
      <c r="W3020" s="50"/>
      <c r="X3020" s="50" t="s">
        <v>4</v>
      </c>
      <c r="Y3020" s="50" t="s">
        <v>50</v>
      </c>
      <c r="Z3020" s="50" t="s">
        <v>3406</v>
      </c>
      <c r="AA3020" s="50"/>
    </row>
    <row r="3021" spans="1:27" s="110" customFormat="1" ht="25.5" customHeight="1">
      <c r="A3021" s="517" t="s">
        <v>780</v>
      </c>
      <c r="B3021" s="51" t="s">
        <v>1225</v>
      </c>
      <c r="C3021" s="51" t="s">
        <v>159</v>
      </c>
      <c r="D3021" s="51" t="s">
        <v>6501</v>
      </c>
      <c r="E3021" s="50">
        <v>974</v>
      </c>
      <c r="F3021" s="50">
        <v>1093</v>
      </c>
      <c r="G3021" s="50" t="s">
        <v>3404</v>
      </c>
      <c r="H3021" s="50">
        <v>2025</v>
      </c>
      <c r="I3021" s="107">
        <v>45945</v>
      </c>
      <c r="J3021" s="105" t="s">
        <v>3128</v>
      </c>
      <c r="K3021" s="105" t="s">
        <v>42</v>
      </c>
      <c r="L3021" s="105" t="s">
        <v>163</v>
      </c>
      <c r="M3021" s="50" t="s">
        <v>2393</v>
      </c>
      <c r="N3021" s="105" t="s">
        <v>6502</v>
      </c>
      <c r="O3021" s="132">
        <v>45946</v>
      </c>
      <c r="P3021" s="132">
        <v>45946</v>
      </c>
      <c r="Q3021" s="132">
        <v>45946</v>
      </c>
      <c r="R3021" s="132">
        <v>45947</v>
      </c>
      <c r="S3021" s="50">
        <f t="shared" si="285"/>
        <v>1</v>
      </c>
      <c r="T3021" s="50">
        <f t="shared" si="290"/>
        <v>1</v>
      </c>
      <c r="U3021" s="50">
        <f t="shared" si="290"/>
        <v>1</v>
      </c>
      <c r="V3021" s="50">
        <f t="shared" si="286"/>
        <v>1</v>
      </c>
      <c r="W3021" s="50" t="s">
        <v>150</v>
      </c>
      <c r="X3021" s="50" t="s">
        <v>1078</v>
      </c>
      <c r="Y3021" s="50" t="s">
        <v>50</v>
      </c>
      <c r="Z3021" s="50" t="s">
        <v>3406</v>
      </c>
      <c r="AA3021" s="50"/>
    </row>
    <row r="3022" spans="1:27" ht="25.5" customHeight="1">
      <c r="A3022" s="50" t="s">
        <v>780</v>
      </c>
      <c r="B3022" s="51" t="s">
        <v>1225</v>
      </c>
      <c r="C3022" s="51" t="s">
        <v>159</v>
      </c>
      <c r="D3022" s="51" t="s">
        <v>6503</v>
      </c>
      <c r="E3022" s="50">
        <v>5290</v>
      </c>
      <c r="F3022" s="50">
        <v>6048</v>
      </c>
      <c r="G3022" s="50" t="s">
        <v>3404</v>
      </c>
      <c r="H3022" s="50">
        <v>2024</v>
      </c>
      <c r="I3022" s="107">
        <v>45457</v>
      </c>
      <c r="J3022" s="105"/>
      <c r="K3022" s="105"/>
      <c r="L3022" s="105" t="s">
        <v>163</v>
      </c>
      <c r="M3022" s="50" t="s">
        <v>2393</v>
      </c>
      <c r="N3022" s="105"/>
      <c r="O3022" s="105"/>
      <c r="P3022" s="105"/>
      <c r="Q3022" s="105"/>
      <c r="R3022" s="60"/>
      <c r="S3022" s="50" t="str">
        <f t="shared" si="285"/>
        <v/>
      </c>
      <c r="T3022" s="50" t="str">
        <f t="shared" si="290"/>
        <v/>
      </c>
      <c r="U3022" s="50" t="str">
        <f t="shared" si="290"/>
        <v/>
      </c>
      <c r="V3022" s="50" t="str">
        <f t="shared" si="286"/>
        <v/>
      </c>
      <c r="W3022" s="50"/>
      <c r="X3022" s="50" t="s">
        <v>4</v>
      </c>
      <c r="Y3022" s="50" t="s">
        <v>50</v>
      </c>
      <c r="Z3022" s="50" t="s">
        <v>3406</v>
      </c>
      <c r="AA3022" s="50"/>
    </row>
    <row r="3023" spans="1:27" s="110" customFormat="1" ht="25.5" customHeight="1">
      <c r="A3023" s="517" t="s">
        <v>780</v>
      </c>
      <c r="B3023" s="51" t="s">
        <v>1225</v>
      </c>
      <c r="C3023" s="51" t="s">
        <v>159</v>
      </c>
      <c r="D3023" s="51" t="s">
        <v>6504</v>
      </c>
      <c r="E3023" s="50">
        <v>1723</v>
      </c>
      <c r="F3023" s="50">
        <v>1742</v>
      </c>
      <c r="G3023" s="50" t="s">
        <v>3404</v>
      </c>
      <c r="H3023" s="50">
        <v>2025</v>
      </c>
      <c r="I3023" s="107">
        <v>45793</v>
      </c>
      <c r="J3023" s="105" t="s">
        <v>3532</v>
      </c>
      <c r="K3023" s="105" t="s">
        <v>6505</v>
      </c>
      <c r="L3023" s="105" t="s">
        <v>163</v>
      </c>
      <c r="M3023" s="50" t="s">
        <v>2393</v>
      </c>
      <c r="N3023" s="105" t="s">
        <v>6506</v>
      </c>
      <c r="O3023" s="107">
        <v>45796</v>
      </c>
      <c r="P3023" s="107">
        <v>45797</v>
      </c>
      <c r="Q3023" s="107">
        <v>45797</v>
      </c>
      <c r="R3023" s="107">
        <v>45797</v>
      </c>
      <c r="S3023" s="50">
        <f t="shared" si="285"/>
        <v>1</v>
      </c>
      <c r="T3023" s="50">
        <f>IF(
    OR(ISBLANK(P3023), ISBLANK(Q3023)),
    "",
    MAX(1, IF(
        NETWORKDAYS(P3023, Q3023) &lt;= 0,
        1,
        NETWORKDAYS(P3023, Q3023) - IF(P3023 = Q3023, 0, 1)
    ))
)</f>
        <v>1</v>
      </c>
      <c r="U3023" s="50">
        <f>IF(
    OR(ISBLANK(Q3023), ISBLANK(R3023)),
    "",
    MAX(1, IF(
        NETWORKDAYS(P3023, Q3023) &lt;= 0,
        1,
        NETWORKDAYS(P3023, Q3023) - IF(P3023 = Q3023, 0, 1)
    ))
)</f>
        <v>1</v>
      </c>
      <c r="V3023" s="50">
        <f t="shared" si="286"/>
        <v>1</v>
      </c>
      <c r="W3023" s="50" t="s">
        <v>150</v>
      </c>
      <c r="X3023" s="50" t="s">
        <v>3527</v>
      </c>
      <c r="Y3023" s="50" t="s">
        <v>3528</v>
      </c>
      <c r="Z3023" s="50" t="s">
        <v>3406</v>
      </c>
      <c r="AA3023" s="50"/>
    </row>
    <row r="3024" spans="1:27" ht="25.5" customHeight="1">
      <c r="A3024" s="50" t="s">
        <v>780</v>
      </c>
      <c r="B3024" s="51" t="s">
        <v>1225</v>
      </c>
      <c r="C3024" s="51" t="s">
        <v>159</v>
      </c>
      <c r="D3024" s="51" t="s">
        <v>6507</v>
      </c>
      <c r="E3024" s="50">
        <v>1520</v>
      </c>
      <c r="F3024" s="50">
        <v>1509</v>
      </c>
      <c r="G3024" s="50" t="s">
        <v>3404</v>
      </c>
      <c r="H3024" s="50">
        <v>2024</v>
      </c>
      <c r="I3024" s="107">
        <v>45457</v>
      </c>
      <c r="J3024" s="105"/>
      <c r="K3024" s="105"/>
      <c r="L3024" s="105" t="s">
        <v>163</v>
      </c>
      <c r="M3024" s="50" t="s">
        <v>2393</v>
      </c>
      <c r="N3024" s="105"/>
      <c r="O3024" s="105"/>
      <c r="P3024" s="105"/>
      <c r="Q3024" s="105"/>
      <c r="R3024" s="60"/>
      <c r="S3024" s="50" t="str">
        <f t="shared" si="285"/>
        <v/>
      </c>
      <c r="T3024" s="50" t="str">
        <f>IF(
    OR(ISBLANK(O3024), ISBLANK(P3024)),
    "",
    MAX(1, IF(
        NETWORKDAYS(O3024, P3024) &lt;= 0,
        1,
        NETWORKDAYS(O3024, P3024) - IF(O3024 = P3024, 0, 1)
    ))
)</f>
        <v/>
      </c>
      <c r="U3024" s="50" t="str">
        <f>IF(
    OR(ISBLANK(P3024), ISBLANK(Q3024)),
    "",
    MAX(1, IF(
        NETWORKDAYS(P3024, Q3024) &lt;= 0,
        1,
        NETWORKDAYS(P3024, Q3024) - IF(P3024 = Q3024, 0, 1)
    ))
)</f>
        <v/>
      </c>
      <c r="V3024" s="50" t="str">
        <f t="shared" si="286"/>
        <v/>
      </c>
      <c r="W3024" s="50"/>
      <c r="X3024" s="50" t="s">
        <v>4</v>
      </c>
      <c r="Y3024" s="50" t="s">
        <v>3528</v>
      </c>
      <c r="Z3024" s="50" t="s">
        <v>3406</v>
      </c>
      <c r="AA3024" s="50"/>
    </row>
    <row r="3025" spans="1:27" ht="25.5" customHeight="1">
      <c r="A3025" s="517" t="s">
        <v>780</v>
      </c>
      <c r="B3025" s="51" t="s">
        <v>1225</v>
      </c>
      <c r="C3025" s="51" t="s">
        <v>159</v>
      </c>
      <c r="D3025" s="51" t="s">
        <v>1155</v>
      </c>
      <c r="E3025" s="50">
        <v>1296</v>
      </c>
      <c r="F3025" s="50">
        <v>1167</v>
      </c>
      <c r="G3025" s="50" t="s">
        <v>3404</v>
      </c>
      <c r="H3025" s="50">
        <v>2025</v>
      </c>
      <c r="I3025" s="107">
        <v>45793</v>
      </c>
      <c r="J3025" s="105" t="s">
        <v>3532</v>
      </c>
      <c r="K3025" s="105" t="s">
        <v>6505</v>
      </c>
      <c r="L3025" s="105" t="s">
        <v>163</v>
      </c>
      <c r="M3025" s="50" t="s">
        <v>2393</v>
      </c>
      <c r="N3025" s="105" t="s">
        <v>6508</v>
      </c>
      <c r="O3025" s="107">
        <v>45796</v>
      </c>
      <c r="P3025" s="107">
        <v>45797</v>
      </c>
      <c r="Q3025" s="107">
        <v>45797</v>
      </c>
      <c r="R3025" s="107">
        <v>45797</v>
      </c>
      <c r="S3025" s="50">
        <f t="shared" si="285"/>
        <v>1</v>
      </c>
      <c r="T3025" s="50">
        <f>IF(
    OR(ISBLANK(P3025), ISBLANK(Q3025)),
    "",
    MAX(1, IF(
        NETWORKDAYS(P3025, Q3025) &lt;= 0,
        1,
        NETWORKDAYS(P3025, Q3025) - IF(P3025 = Q3025, 0, 1)
    ))
)</f>
        <v>1</v>
      </c>
      <c r="U3025" s="50">
        <f>IF(
    OR(ISBLANK(Q3025), ISBLANK(R3025)),
    "",
    MAX(1, IF(
        NETWORKDAYS(P3025, Q3025) &lt;= 0,
        1,
        NETWORKDAYS(P3025, Q3025) - IF(P3025 = Q3025, 0, 1)
    ))
)</f>
        <v>1</v>
      </c>
      <c r="V3025" s="50">
        <f t="shared" si="286"/>
        <v>1</v>
      </c>
      <c r="W3025" s="50" t="s">
        <v>150</v>
      </c>
      <c r="X3025" s="50" t="s">
        <v>4</v>
      </c>
      <c r="Y3025" s="50" t="s">
        <v>50</v>
      </c>
      <c r="Z3025" s="50" t="s">
        <v>3406</v>
      </c>
      <c r="AA3025" s="50"/>
    </row>
    <row r="3026" spans="1:27" ht="25.5" customHeight="1">
      <c r="A3026" s="517" t="s">
        <v>780</v>
      </c>
      <c r="B3026" s="51" t="s">
        <v>1225</v>
      </c>
      <c r="C3026" s="51" t="s">
        <v>159</v>
      </c>
      <c r="D3026" s="51" t="s">
        <v>3727</v>
      </c>
      <c r="E3026" s="50">
        <v>4307</v>
      </c>
      <c r="F3026" s="50">
        <v>4896</v>
      </c>
      <c r="G3026" s="50" t="s">
        <v>3404</v>
      </c>
      <c r="H3026" s="50">
        <v>2025</v>
      </c>
      <c r="I3026" s="107">
        <v>45793</v>
      </c>
      <c r="J3026" s="105" t="s">
        <v>3532</v>
      </c>
      <c r="K3026" s="105" t="s">
        <v>6505</v>
      </c>
      <c r="L3026" s="105" t="s">
        <v>163</v>
      </c>
      <c r="M3026" s="50" t="s">
        <v>2393</v>
      </c>
      <c r="N3026" s="105" t="s">
        <v>6509</v>
      </c>
      <c r="O3026" s="107">
        <v>45796</v>
      </c>
      <c r="P3026" s="107">
        <v>45797</v>
      </c>
      <c r="Q3026" s="107">
        <v>45797</v>
      </c>
      <c r="R3026" s="107">
        <v>45797</v>
      </c>
      <c r="S3026" s="50">
        <f t="shared" si="285"/>
        <v>1</v>
      </c>
      <c r="T3026" s="50">
        <f>IF(
    OR(ISBLANK(P3026), ISBLANK(Q3026)),
    "",
    MAX(1, IF(
        NETWORKDAYS(P3026, Q3026) &lt;= 0,
        1,
        NETWORKDAYS(P3026, Q3026) - IF(P3026 = Q3026, 0, 1)
    ))
)</f>
        <v>1</v>
      </c>
      <c r="U3026" s="50">
        <f>IF(
    OR(ISBLANK(Q3026), ISBLANK(R3026)),
    "",
    MAX(1, IF(
        NETWORKDAYS(P3026, Q3026) &lt;= 0,
        1,
        NETWORKDAYS(P3026, Q3026) - IF(P3026 = Q3026, 0, 1)
    ))
)</f>
        <v>1</v>
      </c>
      <c r="V3026" s="50">
        <f t="shared" si="286"/>
        <v>1</v>
      </c>
      <c r="W3026" s="50" t="s">
        <v>150</v>
      </c>
      <c r="X3026" s="50" t="s">
        <v>1078</v>
      </c>
      <c r="Y3026" s="50" t="s">
        <v>50</v>
      </c>
      <c r="Z3026" s="50" t="s">
        <v>3406</v>
      </c>
      <c r="AA3026" s="50"/>
    </row>
    <row r="3027" spans="1:27" s="110" customFormat="1" ht="25.5" customHeight="1">
      <c r="A3027" s="517" t="s">
        <v>780</v>
      </c>
      <c r="B3027" s="51" t="s">
        <v>1225</v>
      </c>
      <c r="C3027" s="51" t="s">
        <v>159</v>
      </c>
      <c r="D3027" s="51" t="s">
        <v>6510</v>
      </c>
      <c r="E3027" s="50">
        <v>2283</v>
      </c>
      <c r="F3027" s="50">
        <v>2320</v>
      </c>
      <c r="G3027" s="50" t="s">
        <v>3404</v>
      </c>
      <c r="H3027" s="50">
        <v>2025</v>
      </c>
      <c r="I3027" s="107">
        <v>45945</v>
      </c>
      <c r="J3027" s="105" t="s">
        <v>3128</v>
      </c>
      <c r="K3027" s="105" t="s">
        <v>42</v>
      </c>
      <c r="L3027" s="105" t="s">
        <v>163</v>
      </c>
      <c r="M3027" s="50" t="s">
        <v>2393</v>
      </c>
      <c r="N3027" s="105" t="s">
        <v>6511</v>
      </c>
      <c r="O3027" s="132">
        <v>45946</v>
      </c>
      <c r="P3027" s="132">
        <v>45946</v>
      </c>
      <c r="Q3027" s="132">
        <v>45946</v>
      </c>
      <c r="R3027" s="132">
        <v>45947</v>
      </c>
      <c r="S3027" s="50">
        <f t="shared" si="285"/>
        <v>1</v>
      </c>
      <c r="T3027" s="50">
        <f t="shared" ref="T3027:T3038" si="291">IF(
    OR(ISBLANK(O3027), ISBLANK(P3027)),
    "",
    MAX(1, IF(
        NETWORKDAYS(O3027, P3027) &lt;= 0,
        1,
        NETWORKDAYS(O3027, P3027) - IF(O3027 = P3027, 0, 1)
    ))
)</f>
        <v>1</v>
      </c>
      <c r="U3027" s="50">
        <f t="shared" ref="U3027:U3038" si="292">IF(
    OR(ISBLANK(P3027), ISBLANK(Q3027)),
    "",
    MAX(1, IF(
        NETWORKDAYS(P3027, Q3027) &lt;= 0,
        1,
        NETWORKDAYS(P3027, Q3027) - IF(P3027 = Q3027, 0, 1)
    ))
)</f>
        <v>1</v>
      </c>
      <c r="V3027" s="50">
        <f t="shared" si="286"/>
        <v>1</v>
      </c>
      <c r="W3027" s="50" t="s">
        <v>150</v>
      </c>
      <c r="X3027" s="50" t="s">
        <v>4</v>
      </c>
      <c r="Y3027" s="50" t="s">
        <v>50</v>
      </c>
      <c r="Z3027" s="50" t="s">
        <v>3406</v>
      </c>
      <c r="AA3027" s="50"/>
    </row>
    <row r="3028" spans="1:27" ht="25.5" customHeight="1">
      <c r="A3028" s="50" t="s">
        <v>780</v>
      </c>
      <c r="B3028" s="51" t="s">
        <v>1556</v>
      </c>
      <c r="C3028" s="51" t="s">
        <v>159</v>
      </c>
      <c r="D3028" s="51" t="s">
        <v>6512</v>
      </c>
      <c r="E3028" s="50">
        <v>1939</v>
      </c>
      <c r="F3028" s="50">
        <v>2380</v>
      </c>
      <c r="G3028" s="50" t="s">
        <v>3404</v>
      </c>
      <c r="H3028" s="50">
        <v>2024</v>
      </c>
      <c r="I3028" s="107">
        <v>45454</v>
      </c>
      <c r="J3028" s="105"/>
      <c r="K3028" s="105"/>
      <c r="L3028" s="105" t="s">
        <v>163</v>
      </c>
      <c r="M3028" s="50" t="s">
        <v>2393</v>
      </c>
      <c r="N3028" s="105"/>
      <c r="O3028" s="105"/>
      <c r="P3028" s="105"/>
      <c r="Q3028" s="105"/>
      <c r="R3028" s="60"/>
      <c r="S3028" s="50" t="str">
        <f t="shared" si="285"/>
        <v/>
      </c>
      <c r="T3028" s="50" t="str">
        <f t="shared" si="291"/>
        <v/>
      </c>
      <c r="U3028" s="50" t="str">
        <f t="shared" si="292"/>
        <v/>
      </c>
      <c r="V3028" s="50" t="str">
        <f t="shared" si="286"/>
        <v/>
      </c>
      <c r="W3028" s="50"/>
      <c r="X3028" s="50" t="s">
        <v>4</v>
      </c>
      <c r="Y3028" s="50" t="s">
        <v>50</v>
      </c>
      <c r="Z3028" s="50" t="s">
        <v>3406</v>
      </c>
      <c r="AA3028" s="50"/>
    </row>
    <row r="3029" spans="1:27" ht="25.5" customHeight="1">
      <c r="A3029" s="50" t="s">
        <v>780</v>
      </c>
      <c r="B3029" s="51" t="s">
        <v>1556</v>
      </c>
      <c r="C3029" s="51" t="s">
        <v>159</v>
      </c>
      <c r="D3029" s="51" t="s">
        <v>6513</v>
      </c>
      <c r="E3029" s="50">
        <v>2803</v>
      </c>
      <c r="F3029" s="50">
        <v>3256</v>
      </c>
      <c r="G3029" s="50" t="s">
        <v>3404</v>
      </c>
      <c r="H3029" s="50">
        <v>2024</v>
      </c>
      <c r="I3029" s="107">
        <v>45448</v>
      </c>
      <c r="J3029" s="105"/>
      <c r="K3029" s="105"/>
      <c r="L3029" s="105" t="s">
        <v>163</v>
      </c>
      <c r="M3029" s="50" t="s">
        <v>2393</v>
      </c>
      <c r="N3029" s="105"/>
      <c r="O3029" s="105"/>
      <c r="P3029" s="105"/>
      <c r="Q3029" s="105"/>
      <c r="R3029" s="60"/>
      <c r="S3029" s="50" t="str">
        <f t="shared" si="285"/>
        <v/>
      </c>
      <c r="T3029" s="50" t="str">
        <f t="shared" si="291"/>
        <v/>
      </c>
      <c r="U3029" s="50" t="str">
        <f t="shared" si="292"/>
        <v/>
      </c>
      <c r="V3029" s="50" t="str">
        <f t="shared" si="286"/>
        <v/>
      </c>
      <c r="W3029" s="50"/>
      <c r="X3029" s="50" t="s">
        <v>4</v>
      </c>
      <c r="Y3029" s="50" t="s">
        <v>50</v>
      </c>
      <c r="Z3029" s="50" t="s">
        <v>3406</v>
      </c>
      <c r="AA3029" s="50"/>
    </row>
    <row r="3030" spans="1:27" ht="25.5" customHeight="1">
      <c r="A3030" s="50" t="s">
        <v>780</v>
      </c>
      <c r="B3030" s="51" t="s">
        <v>1556</v>
      </c>
      <c r="C3030" s="51" t="s">
        <v>159</v>
      </c>
      <c r="D3030" s="51" t="s">
        <v>3674</v>
      </c>
      <c r="E3030" s="50">
        <v>2060</v>
      </c>
      <c r="F3030" s="50">
        <v>2155</v>
      </c>
      <c r="G3030" s="50" t="s">
        <v>3404</v>
      </c>
      <c r="H3030" s="50">
        <v>2024</v>
      </c>
      <c r="I3030" s="107">
        <v>45569</v>
      </c>
      <c r="J3030" s="105"/>
      <c r="K3030" s="105"/>
      <c r="L3030" s="105" t="s">
        <v>163</v>
      </c>
      <c r="M3030" s="50" t="s">
        <v>2393</v>
      </c>
      <c r="N3030" s="105"/>
      <c r="O3030" s="105"/>
      <c r="P3030" s="105"/>
      <c r="Q3030" s="105"/>
      <c r="R3030" s="60"/>
      <c r="S3030" s="50" t="str">
        <f t="shared" si="285"/>
        <v/>
      </c>
      <c r="T3030" s="50" t="str">
        <f t="shared" si="291"/>
        <v/>
      </c>
      <c r="U3030" s="50" t="str">
        <f t="shared" si="292"/>
        <v/>
      </c>
      <c r="V3030" s="50" t="str">
        <f t="shared" si="286"/>
        <v/>
      </c>
      <c r="W3030" s="50"/>
      <c r="X3030" s="50" t="s">
        <v>4</v>
      </c>
      <c r="Y3030" s="50" t="s">
        <v>50</v>
      </c>
      <c r="Z3030" s="50" t="s">
        <v>3406</v>
      </c>
      <c r="AA3030" s="50"/>
    </row>
    <row r="3031" spans="1:27" ht="25.5" customHeight="1">
      <c r="A3031" s="517" t="s">
        <v>780</v>
      </c>
      <c r="B3031" s="51" t="s">
        <v>1556</v>
      </c>
      <c r="C3031" s="51" t="s">
        <v>159</v>
      </c>
      <c r="D3031" s="51" t="s">
        <v>6514</v>
      </c>
      <c r="E3031" s="50">
        <v>761</v>
      </c>
      <c r="F3031" s="50">
        <v>694</v>
      </c>
      <c r="G3031" s="50" t="s">
        <v>3404</v>
      </c>
      <c r="H3031" s="50">
        <v>2025</v>
      </c>
      <c r="I3031" s="107">
        <v>45884</v>
      </c>
      <c r="J3031" s="105" t="s">
        <v>3129</v>
      </c>
      <c r="K3031" s="105" t="s">
        <v>42</v>
      </c>
      <c r="L3031" s="105" t="s">
        <v>163</v>
      </c>
      <c r="M3031" s="50" t="s">
        <v>2393</v>
      </c>
      <c r="N3031" s="105" t="s">
        <v>6515</v>
      </c>
      <c r="O3031" s="107">
        <v>45887</v>
      </c>
      <c r="P3031" s="107">
        <v>45887</v>
      </c>
      <c r="Q3031" s="107">
        <v>45887</v>
      </c>
      <c r="R3031" s="107">
        <v>45887</v>
      </c>
      <c r="S3031" s="50">
        <f t="shared" si="285"/>
        <v>1</v>
      </c>
      <c r="T3031" s="50">
        <f t="shared" si="291"/>
        <v>1</v>
      </c>
      <c r="U3031" s="50">
        <f t="shared" si="292"/>
        <v>1</v>
      </c>
      <c r="V3031" s="50">
        <f t="shared" si="286"/>
        <v>1</v>
      </c>
      <c r="W3031" s="50" t="s">
        <v>150</v>
      </c>
      <c r="X3031" s="50" t="s">
        <v>1078</v>
      </c>
      <c r="Y3031" s="50" t="s">
        <v>50</v>
      </c>
      <c r="Z3031" s="50" t="s">
        <v>3406</v>
      </c>
      <c r="AA3031" s="50"/>
    </row>
    <row r="3032" spans="1:27" ht="25.5" customHeight="1">
      <c r="A3032" s="50" t="s">
        <v>780</v>
      </c>
      <c r="B3032" s="51" t="s">
        <v>1556</v>
      </c>
      <c r="C3032" s="51" t="s">
        <v>159</v>
      </c>
      <c r="D3032" s="51" t="s">
        <v>6516</v>
      </c>
      <c r="E3032" s="50">
        <v>2013</v>
      </c>
      <c r="F3032" s="50">
        <v>2025</v>
      </c>
      <c r="G3032" s="50" t="s">
        <v>3404</v>
      </c>
      <c r="H3032" s="50">
        <v>2024</v>
      </c>
      <c r="I3032" s="107">
        <v>45569</v>
      </c>
      <c r="J3032" s="105"/>
      <c r="K3032" s="105"/>
      <c r="L3032" s="105" t="s">
        <v>163</v>
      </c>
      <c r="M3032" s="50" t="s">
        <v>2393</v>
      </c>
      <c r="N3032" s="105"/>
      <c r="O3032" s="105"/>
      <c r="P3032" s="105"/>
      <c r="Q3032" s="105"/>
      <c r="R3032" s="60"/>
      <c r="S3032" s="50" t="str">
        <f t="shared" si="285"/>
        <v/>
      </c>
      <c r="T3032" s="50" t="str">
        <f t="shared" si="291"/>
        <v/>
      </c>
      <c r="U3032" s="50" t="str">
        <f t="shared" si="292"/>
        <v/>
      </c>
      <c r="V3032" s="50" t="str">
        <f t="shared" si="286"/>
        <v/>
      </c>
      <c r="W3032" s="50"/>
      <c r="X3032" s="50" t="s">
        <v>4</v>
      </c>
      <c r="Y3032" s="50" t="s">
        <v>50</v>
      </c>
      <c r="Z3032" s="50" t="s">
        <v>3406</v>
      </c>
      <c r="AA3032" s="50"/>
    </row>
    <row r="3033" spans="1:27" ht="25.5" customHeight="1">
      <c r="A3033" s="517" t="s">
        <v>780</v>
      </c>
      <c r="B3033" s="51" t="s">
        <v>1556</v>
      </c>
      <c r="C3033" s="51" t="s">
        <v>159</v>
      </c>
      <c r="D3033" s="51" t="s">
        <v>6517</v>
      </c>
      <c r="E3033" s="50">
        <v>1931</v>
      </c>
      <c r="F3033" s="50">
        <v>2053</v>
      </c>
      <c r="G3033" s="50" t="s">
        <v>3404</v>
      </c>
      <c r="H3033" s="50">
        <v>2025</v>
      </c>
      <c r="I3033" s="107">
        <v>45884</v>
      </c>
      <c r="J3033" s="50" t="s">
        <v>3126</v>
      </c>
      <c r="K3033" s="105" t="s">
        <v>42</v>
      </c>
      <c r="L3033" s="105" t="s">
        <v>163</v>
      </c>
      <c r="M3033" s="50" t="s">
        <v>2393</v>
      </c>
      <c r="N3033" s="105" t="s">
        <v>6518</v>
      </c>
      <c r="O3033" s="107">
        <v>45887</v>
      </c>
      <c r="P3033" s="107">
        <v>45887</v>
      </c>
      <c r="Q3033" s="107">
        <v>45887</v>
      </c>
      <c r="R3033" s="107">
        <v>45887</v>
      </c>
      <c r="S3033" s="50">
        <f t="shared" si="285"/>
        <v>1</v>
      </c>
      <c r="T3033" s="50">
        <f t="shared" si="291"/>
        <v>1</v>
      </c>
      <c r="U3033" s="50">
        <f t="shared" si="292"/>
        <v>1</v>
      </c>
      <c r="V3033" s="50">
        <f t="shared" si="286"/>
        <v>1</v>
      </c>
      <c r="W3033" s="50" t="s">
        <v>150</v>
      </c>
      <c r="X3033" s="50" t="s">
        <v>4</v>
      </c>
      <c r="Y3033" s="50" t="s">
        <v>50</v>
      </c>
      <c r="Z3033" s="50" t="s">
        <v>3406</v>
      </c>
      <c r="AA3033" s="50"/>
    </row>
    <row r="3034" spans="1:27" ht="25.5" customHeight="1">
      <c r="A3034" s="517" t="s">
        <v>780</v>
      </c>
      <c r="B3034" s="51" t="s">
        <v>1556</v>
      </c>
      <c r="C3034" s="51" t="s">
        <v>159</v>
      </c>
      <c r="D3034" s="51" t="s">
        <v>6519</v>
      </c>
      <c r="E3034" s="50">
        <v>1236</v>
      </c>
      <c r="F3034" s="50">
        <v>1428</v>
      </c>
      <c r="G3034" s="50" t="s">
        <v>3404</v>
      </c>
      <c r="H3034" s="50">
        <v>2025</v>
      </c>
      <c r="I3034" s="107">
        <v>45884</v>
      </c>
      <c r="J3034" s="50" t="s">
        <v>3126</v>
      </c>
      <c r="K3034" s="105" t="s">
        <v>42</v>
      </c>
      <c r="L3034" s="105" t="s">
        <v>163</v>
      </c>
      <c r="M3034" s="50" t="s">
        <v>2393</v>
      </c>
      <c r="N3034" s="105" t="s">
        <v>6520</v>
      </c>
      <c r="O3034" s="107">
        <v>45887</v>
      </c>
      <c r="P3034" s="107">
        <v>45887</v>
      </c>
      <c r="Q3034" s="107">
        <v>45887</v>
      </c>
      <c r="R3034" s="107">
        <v>45887</v>
      </c>
      <c r="S3034" s="50">
        <f t="shared" si="285"/>
        <v>1</v>
      </c>
      <c r="T3034" s="50">
        <f t="shared" si="291"/>
        <v>1</v>
      </c>
      <c r="U3034" s="50">
        <f t="shared" si="292"/>
        <v>1</v>
      </c>
      <c r="V3034" s="50">
        <f t="shared" si="286"/>
        <v>1</v>
      </c>
      <c r="W3034" s="50" t="s">
        <v>150</v>
      </c>
      <c r="X3034" s="50" t="s">
        <v>4</v>
      </c>
      <c r="Y3034" s="50" t="s">
        <v>50</v>
      </c>
      <c r="Z3034" s="50" t="s">
        <v>3406</v>
      </c>
      <c r="AA3034" s="50"/>
    </row>
    <row r="3035" spans="1:27" ht="25.5" customHeight="1">
      <c r="A3035" s="517" t="s">
        <v>780</v>
      </c>
      <c r="B3035" s="51" t="s">
        <v>1556</v>
      </c>
      <c r="C3035" s="51" t="s">
        <v>159</v>
      </c>
      <c r="D3035" s="51" t="s">
        <v>6380</v>
      </c>
      <c r="E3035" s="50">
        <v>2900</v>
      </c>
      <c r="F3035" s="50">
        <v>3210</v>
      </c>
      <c r="G3035" s="50" t="s">
        <v>3404</v>
      </c>
      <c r="H3035" s="50">
        <v>2025</v>
      </c>
      <c r="I3035" s="107">
        <v>45884</v>
      </c>
      <c r="J3035" s="50" t="s">
        <v>3126</v>
      </c>
      <c r="K3035" s="105" t="s">
        <v>42</v>
      </c>
      <c r="L3035" s="105" t="s">
        <v>163</v>
      </c>
      <c r="M3035" s="50" t="s">
        <v>2393</v>
      </c>
      <c r="N3035" s="105" t="s">
        <v>6521</v>
      </c>
      <c r="O3035" s="107">
        <v>45887</v>
      </c>
      <c r="P3035" s="107">
        <v>45887</v>
      </c>
      <c r="Q3035" s="107">
        <v>45887</v>
      </c>
      <c r="R3035" s="107">
        <v>45887</v>
      </c>
      <c r="S3035" s="50">
        <f t="shared" si="285"/>
        <v>1</v>
      </c>
      <c r="T3035" s="50">
        <f t="shared" si="291"/>
        <v>1</v>
      </c>
      <c r="U3035" s="50">
        <f t="shared" si="292"/>
        <v>1</v>
      </c>
      <c r="V3035" s="50">
        <f t="shared" si="286"/>
        <v>1</v>
      </c>
      <c r="W3035" s="50" t="s">
        <v>150</v>
      </c>
      <c r="X3035" s="50" t="s">
        <v>4</v>
      </c>
      <c r="Y3035" s="50" t="s">
        <v>50</v>
      </c>
      <c r="Z3035" s="50" t="s">
        <v>3406</v>
      </c>
      <c r="AA3035" s="50"/>
    </row>
    <row r="3036" spans="1:27" ht="25.5" customHeight="1">
      <c r="A3036" s="517" t="s">
        <v>780</v>
      </c>
      <c r="B3036" s="51" t="s">
        <v>1556</v>
      </c>
      <c r="C3036" s="51" t="s">
        <v>159</v>
      </c>
      <c r="D3036" s="51" t="s">
        <v>1557</v>
      </c>
      <c r="E3036" s="50">
        <v>2544</v>
      </c>
      <c r="F3036" s="50">
        <v>3066</v>
      </c>
      <c r="G3036" s="50" t="s">
        <v>3404</v>
      </c>
      <c r="H3036" s="50">
        <v>2025</v>
      </c>
      <c r="I3036" s="107">
        <v>45884</v>
      </c>
      <c r="J3036" s="105" t="s">
        <v>3129</v>
      </c>
      <c r="K3036" s="105" t="s">
        <v>42</v>
      </c>
      <c r="L3036" s="105" t="s">
        <v>163</v>
      </c>
      <c r="M3036" s="50" t="s">
        <v>2393</v>
      </c>
      <c r="N3036" s="105" t="s">
        <v>6522</v>
      </c>
      <c r="O3036" s="107">
        <v>45887</v>
      </c>
      <c r="P3036" s="107">
        <v>45887</v>
      </c>
      <c r="Q3036" s="107">
        <v>45887</v>
      </c>
      <c r="R3036" s="107">
        <v>45887</v>
      </c>
      <c r="S3036" s="50">
        <f t="shared" si="285"/>
        <v>1</v>
      </c>
      <c r="T3036" s="50">
        <f t="shared" si="291"/>
        <v>1</v>
      </c>
      <c r="U3036" s="50">
        <f t="shared" si="292"/>
        <v>1</v>
      </c>
      <c r="V3036" s="50">
        <f t="shared" si="286"/>
        <v>1</v>
      </c>
      <c r="W3036" s="50" t="s">
        <v>150</v>
      </c>
      <c r="X3036" s="50" t="s">
        <v>4</v>
      </c>
      <c r="Y3036" s="50" t="s">
        <v>50</v>
      </c>
      <c r="Z3036" s="50" t="s">
        <v>3406</v>
      </c>
      <c r="AA3036" s="50"/>
    </row>
    <row r="3037" spans="1:27" s="110" customFormat="1" ht="25.5" customHeight="1">
      <c r="A3037" s="517" t="s">
        <v>780</v>
      </c>
      <c r="B3037" s="51" t="s">
        <v>1556</v>
      </c>
      <c r="C3037" s="51" t="s">
        <v>159</v>
      </c>
      <c r="D3037" s="51" t="s">
        <v>6523</v>
      </c>
      <c r="E3037" s="50">
        <v>1654</v>
      </c>
      <c r="F3037" s="50">
        <v>1686</v>
      </c>
      <c r="G3037" s="50" t="s">
        <v>3404</v>
      </c>
      <c r="H3037" s="50">
        <v>2025</v>
      </c>
      <c r="I3037" s="107">
        <v>45884</v>
      </c>
      <c r="J3037" s="50" t="s">
        <v>3126</v>
      </c>
      <c r="K3037" s="105" t="s">
        <v>42</v>
      </c>
      <c r="L3037" s="105" t="s">
        <v>163</v>
      </c>
      <c r="M3037" s="50" t="s">
        <v>2393</v>
      </c>
      <c r="N3037" s="105" t="s">
        <v>6524</v>
      </c>
      <c r="O3037" s="107">
        <v>45887</v>
      </c>
      <c r="P3037" s="107">
        <v>45887</v>
      </c>
      <c r="Q3037" s="107">
        <v>45887</v>
      </c>
      <c r="R3037" s="107">
        <v>45887</v>
      </c>
      <c r="S3037" s="50">
        <f t="shared" si="285"/>
        <v>1</v>
      </c>
      <c r="T3037" s="50">
        <f t="shared" si="291"/>
        <v>1</v>
      </c>
      <c r="U3037" s="50">
        <f t="shared" si="292"/>
        <v>1</v>
      </c>
      <c r="V3037" s="50">
        <f t="shared" si="286"/>
        <v>1</v>
      </c>
      <c r="W3037" s="50" t="s">
        <v>150</v>
      </c>
      <c r="X3037" s="50" t="s">
        <v>4</v>
      </c>
      <c r="Y3037" s="50" t="s">
        <v>50</v>
      </c>
      <c r="Z3037" s="50" t="s">
        <v>3406</v>
      </c>
      <c r="AA3037" s="50"/>
    </row>
    <row r="3038" spans="1:27" ht="25.5" customHeight="1">
      <c r="A3038" s="517" t="s">
        <v>780</v>
      </c>
      <c r="B3038" s="51" t="s">
        <v>1556</v>
      </c>
      <c r="C3038" s="51" t="s">
        <v>159</v>
      </c>
      <c r="D3038" s="51" t="s">
        <v>6525</v>
      </c>
      <c r="E3038" s="50">
        <v>1617</v>
      </c>
      <c r="F3038" s="50">
        <v>1745</v>
      </c>
      <c r="G3038" s="50" t="s">
        <v>3955</v>
      </c>
      <c r="H3038" s="50"/>
      <c r="I3038" s="106"/>
      <c r="J3038" s="105"/>
      <c r="K3038" s="105"/>
      <c r="L3038" s="105" t="s">
        <v>163</v>
      </c>
      <c r="M3038" s="50" t="s">
        <v>2393</v>
      </c>
      <c r="N3038" s="105"/>
      <c r="O3038" s="105"/>
      <c r="P3038" s="105"/>
      <c r="Q3038" s="105"/>
      <c r="R3038" s="60"/>
      <c r="S3038" s="50" t="str">
        <f t="shared" si="285"/>
        <v/>
      </c>
      <c r="T3038" s="50" t="str">
        <f t="shared" si="291"/>
        <v/>
      </c>
      <c r="U3038" s="50" t="str">
        <f t="shared" si="292"/>
        <v/>
      </c>
      <c r="V3038" s="50" t="str">
        <f t="shared" si="286"/>
        <v/>
      </c>
      <c r="W3038" s="50"/>
      <c r="X3038" s="50"/>
      <c r="Y3038" s="50"/>
      <c r="Z3038" s="50"/>
      <c r="AA3038" s="50"/>
    </row>
    <row r="3039" spans="1:27" ht="25.5" customHeight="1">
      <c r="A3039" s="50" t="s">
        <v>780</v>
      </c>
      <c r="B3039" s="51" t="s">
        <v>1556</v>
      </c>
      <c r="C3039" s="51" t="s">
        <v>159</v>
      </c>
      <c r="D3039" s="51" t="s">
        <v>6420</v>
      </c>
      <c r="E3039" s="50">
        <v>2129</v>
      </c>
      <c r="F3039" s="50">
        <v>2425</v>
      </c>
      <c r="G3039" s="50" t="s">
        <v>3404</v>
      </c>
      <c r="H3039" s="50">
        <v>2025</v>
      </c>
      <c r="I3039" s="107">
        <v>45825</v>
      </c>
      <c r="J3039" s="105" t="s">
        <v>3689</v>
      </c>
      <c r="K3039" s="105" t="s">
        <v>6505</v>
      </c>
      <c r="L3039" s="105" t="s">
        <v>163</v>
      </c>
      <c r="M3039" s="50" t="s">
        <v>2393</v>
      </c>
      <c r="N3039" s="105" t="s">
        <v>6526</v>
      </c>
      <c r="O3039" s="132">
        <v>45826</v>
      </c>
      <c r="P3039" s="132">
        <v>45827</v>
      </c>
      <c r="Q3039" s="132">
        <v>45827</v>
      </c>
      <c r="R3039" s="132">
        <v>45827</v>
      </c>
      <c r="S3039" s="50">
        <f t="shared" si="285"/>
        <v>1</v>
      </c>
      <c r="T3039" s="50">
        <f>IF(
    OR(ISBLANK(P3039), ISBLANK(Q3039)),
    "",
    MAX(1, IF(
        NETWORKDAYS(P3039, Q3039) &lt;= 0,
        1,
        NETWORKDAYS(P3039, Q3039) - IF(P3039 = Q3039, 0, 1)
    ))
)</f>
        <v>1</v>
      </c>
      <c r="U3039" s="50">
        <f>IF(
    OR(ISBLANK(Q3039), ISBLANK(R3039)),
    "",
    MAX(1, IF(
        NETWORKDAYS(P3039, Q3039) &lt;= 0,
        1,
        NETWORKDAYS(P3039, Q3039) - IF(P3039 = Q3039, 0, 1)
    ))
)</f>
        <v>1</v>
      </c>
      <c r="V3039" s="50">
        <f t="shared" si="286"/>
        <v>1</v>
      </c>
      <c r="W3039" s="50" t="s">
        <v>150</v>
      </c>
      <c r="X3039" s="50" t="s">
        <v>4</v>
      </c>
      <c r="Y3039" s="50" t="s">
        <v>50</v>
      </c>
      <c r="Z3039" s="50" t="s">
        <v>3406</v>
      </c>
      <c r="AA3039" s="50"/>
    </row>
    <row r="3040" spans="1:27" s="110" customFormat="1" ht="25.5" customHeight="1">
      <c r="A3040" s="517" t="s">
        <v>780</v>
      </c>
      <c r="B3040" s="51" t="s">
        <v>1556</v>
      </c>
      <c r="C3040" s="51" t="s">
        <v>159</v>
      </c>
      <c r="D3040" s="51" t="s">
        <v>6527</v>
      </c>
      <c r="E3040" s="50">
        <v>2035</v>
      </c>
      <c r="F3040" s="50">
        <v>2618</v>
      </c>
      <c r="G3040" s="50" t="s">
        <v>3404</v>
      </c>
      <c r="H3040" s="50">
        <v>2025</v>
      </c>
      <c r="I3040" s="107">
        <v>45884</v>
      </c>
      <c r="J3040" s="50" t="s">
        <v>3126</v>
      </c>
      <c r="K3040" s="105" t="s">
        <v>42</v>
      </c>
      <c r="L3040" s="105" t="s">
        <v>163</v>
      </c>
      <c r="M3040" s="50" t="s">
        <v>2393</v>
      </c>
      <c r="N3040" s="105" t="s">
        <v>6528</v>
      </c>
      <c r="O3040" s="107">
        <v>45887</v>
      </c>
      <c r="P3040" s="107">
        <v>45887</v>
      </c>
      <c r="Q3040" s="107">
        <v>45887</v>
      </c>
      <c r="R3040" s="107">
        <v>45887</v>
      </c>
      <c r="S3040" s="50">
        <f t="shared" si="285"/>
        <v>1</v>
      </c>
      <c r="T3040" s="50">
        <f>IF(
    OR(ISBLANK(O3040), ISBLANK(P3040)),
    "",
    MAX(1, IF(
        NETWORKDAYS(O3040, P3040) &lt;= 0,
        1,
        NETWORKDAYS(O3040, P3040) - IF(O3040 = P3040, 0, 1)
    ))
)</f>
        <v>1</v>
      </c>
      <c r="U3040" s="50">
        <f>IF(
    OR(ISBLANK(P3040), ISBLANK(Q3040)),
    "",
    MAX(1, IF(
        NETWORKDAYS(P3040, Q3040) &lt;= 0,
        1,
        NETWORKDAYS(P3040, Q3040) - IF(P3040 = Q3040, 0, 1)
    ))
)</f>
        <v>1</v>
      </c>
      <c r="V3040" s="50">
        <f t="shared" si="286"/>
        <v>1</v>
      </c>
      <c r="W3040" s="50" t="s">
        <v>150</v>
      </c>
      <c r="X3040" s="50" t="s">
        <v>4</v>
      </c>
      <c r="Y3040" s="50" t="s">
        <v>50</v>
      </c>
      <c r="Z3040" s="50" t="s">
        <v>3406</v>
      </c>
      <c r="AA3040" s="50"/>
    </row>
    <row r="3041" spans="1:27" ht="25.5" customHeight="1">
      <c r="A3041" s="50" t="s">
        <v>780</v>
      </c>
      <c r="B3041" s="51" t="s">
        <v>1556</v>
      </c>
      <c r="C3041" s="51" t="s">
        <v>159</v>
      </c>
      <c r="D3041" s="51" t="s">
        <v>3713</v>
      </c>
      <c r="E3041" s="50">
        <v>910</v>
      </c>
      <c r="F3041" s="50">
        <v>1115</v>
      </c>
      <c r="G3041" s="50" t="s">
        <v>3404</v>
      </c>
      <c r="H3041" s="50">
        <v>2025</v>
      </c>
      <c r="I3041" s="107">
        <v>45825</v>
      </c>
      <c r="J3041" s="105" t="s">
        <v>3689</v>
      </c>
      <c r="K3041" s="105" t="s">
        <v>6505</v>
      </c>
      <c r="L3041" s="105" t="s">
        <v>163</v>
      </c>
      <c r="M3041" s="50" t="s">
        <v>2393</v>
      </c>
      <c r="N3041" s="105" t="s">
        <v>6529</v>
      </c>
      <c r="O3041" s="132">
        <v>45826</v>
      </c>
      <c r="P3041" s="132">
        <v>45826</v>
      </c>
      <c r="Q3041" s="132">
        <v>45826</v>
      </c>
      <c r="R3041" s="132">
        <v>45826</v>
      </c>
      <c r="S3041" s="50">
        <f t="shared" si="285"/>
        <v>1</v>
      </c>
      <c r="T3041" s="50">
        <f>IF(
    OR(ISBLANK(P3041), ISBLANK(Q3041)),
    "",
    MAX(1, IF(
        NETWORKDAYS(P3041, Q3041) &lt;= 0,
        1,
        NETWORKDAYS(P3041, Q3041) - IF(P3041 = Q3041, 0, 1)
    ))
)</f>
        <v>1</v>
      </c>
      <c r="U3041" s="50">
        <f>IF(
    OR(ISBLANK(Q3041), ISBLANK(R3041)),
    "",
    MAX(1, IF(
        NETWORKDAYS(P3041, Q3041) &lt;= 0,
        1,
        NETWORKDAYS(P3041, Q3041) - IF(P3041 = Q3041, 0, 1)
    ))
)</f>
        <v>1</v>
      </c>
      <c r="V3041" s="50">
        <f t="shared" si="286"/>
        <v>1</v>
      </c>
      <c r="W3041" s="50" t="s">
        <v>150</v>
      </c>
      <c r="X3041" s="50" t="s">
        <v>4</v>
      </c>
      <c r="Y3041" s="50" t="s">
        <v>50</v>
      </c>
      <c r="Z3041" s="50" t="s">
        <v>3406</v>
      </c>
      <c r="AA3041" s="50"/>
    </row>
    <row r="3042" spans="1:27" ht="25.5" customHeight="1">
      <c r="A3042" s="517" t="s">
        <v>780</v>
      </c>
      <c r="B3042" s="51" t="s">
        <v>1556</v>
      </c>
      <c r="C3042" s="51" t="s">
        <v>159</v>
      </c>
      <c r="D3042" s="51" t="s">
        <v>6530</v>
      </c>
      <c r="E3042" s="50">
        <v>883</v>
      </c>
      <c r="F3042" s="50">
        <v>716</v>
      </c>
      <c r="G3042" s="50" t="s">
        <v>3404</v>
      </c>
      <c r="H3042" s="50">
        <v>2025</v>
      </c>
      <c r="I3042" s="107">
        <v>45825</v>
      </c>
      <c r="J3042" s="105" t="s">
        <v>3689</v>
      </c>
      <c r="K3042" s="105" t="s">
        <v>6505</v>
      </c>
      <c r="L3042" s="105" t="s">
        <v>163</v>
      </c>
      <c r="M3042" s="50" t="s">
        <v>2393</v>
      </c>
      <c r="N3042" s="105" t="s">
        <v>6531</v>
      </c>
      <c r="O3042" s="132">
        <v>45826</v>
      </c>
      <c r="P3042" s="132">
        <v>45826</v>
      </c>
      <c r="Q3042" s="132">
        <v>45826</v>
      </c>
      <c r="R3042" s="132">
        <v>45826</v>
      </c>
      <c r="S3042" s="50">
        <f t="shared" si="285"/>
        <v>1</v>
      </c>
      <c r="T3042" s="50">
        <f>IF(
    OR(ISBLANK(P3042), ISBLANK(Q3042)),
    "",
    MAX(1, IF(
        NETWORKDAYS(P3042, Q3042) &lt;= 0,
        1,
        NETWORKDAYS(P3042, Q3042) - IF(P3042 = Q3042, 0, 1)
    ))
)</f>
        <v>1</v>
      </c>
      <c r="U3042" s="50">
        <f>IF(
    OR(ISBLANK(Q3042), ISBLANK(R3042)),
    "",
    MAX(1, IF(
        NETWORKDAYS(P3042, Q3042) &lt;= 0,
        1,
        NETWORKDAYS(P3042, Q3042) - IF(P3042 = Q3042, 0, 1)
    ))
)</f>
        <v>1</v>
      </c>
      <c r="V3042" s="50">
        <f t="shared" si="286"/>
        <v>1</v>
      </c>
      <c r="W3042" s="50" t="s">
        <v>150</v>
      </c>
      <c r="X3042" s="50" t="s">
        <v>4</v>
      </c>
      <c r="Y3042" s="50" t="s">
        <v>57</v>
      </c>
      <c r="Z3042" s="50" t="s">
        <v>3406</v>
      </c>
      <c r="AA3042" s="50"/>
    </row>
    <row r="3043" spans="1:27" ht="25.5" customHeight="1">
      <c r="A3043" s="50" t="s">
        <v>780</v>
      </c>
      <c r="B3043" s="51" t="s">
        <v>1556</v>
      </c>
      <c r="C3043" s="51" t="s">
        <v>159</v>
      </c>
      <c r="D3043" s="51" t="s">
        <v>3721</v>
      </c>
      <c r="E3043" s="50">
        <v>1931</v>
      </c>
      <c r="F3043" s="50">
        <v>2095</v>
      </c>
      <c r="G3043" s="50" t="s">
        <v>3404</v>
      </c>
      <c r="H3043" s="50">
        <v>2024</v>
      </c>
      <c r="I3043" s="107">
        <v>45456</v>
      </c>
      <c r="J3043" s="105"/>
      <c r="K3043" s="105"/>
      <c r="L3043" s="105" t="s">
        <v>163</v>
      </c>
      <c r="M3043" s="50" t="s">
        <v>2393</v>
      </c>
      <c r="N3043" s="105"/>
      <c r="O3043" s="105"/>
      <c r="P3043" s="105"/>
      <c r="Q3043" s="105"/>
      <c r="R3043" s="60"/>
      <c r="S3043" s="50" t="str">
        <f t="shared" si="285"/>
        <v/>
      </c>
      <c r="T3043" s="50" t="str">
        <f t="shared" ref="T3043:U3045" si="293">IF(
    OR(ISBLANK(O3043), ISBLANK(P3043)),
    "",
    MAX(1, IF(
        NETWORKDAYS(O3043, P3043) &lt;= 0,
        1,
        NETWORKDAYS(O3043, P3043) - IF(O3043 = P3043, 0, 1)
    ))
)</f>
        <v/>
      </c>
      <c r="U3043" s="50" t="str">
        <f t="shared" si="293"/>
        <v/>
      </c>
      <c r="V3043" s="50" t="str">
        <f t="shared" si="286"/>
        <v/>
      </c>
      <c r="W3043" s="50"/>
      <c r="X3043" s="50" t="s">
        <v>4</v>
      </c>
      <c r="Y3043" s="50" t="s">
        <v>50</v>
      </c>
      <c r="Z3043" s="50" t="s">
        <v>3406</v>
      </c>
      <c r="AA3043" s="50"/>
    </row>
    <row r="3044" spans="1:27" ht="25.5" customHeight="1">
      <c r="A3044" s="50" t="s">
        <v>780</v>
      </c>
      <c r="B3044" s="51" t="s">
        <v>1556</v>
      </c>
      <c r="C3044" s="51" t="s">
        <v>159</v>
      </c>
      <c r="D3044" s="51" t="s">
        <v>1155</v>
      </c>
      <c r="E3044" s="50">
        <v>2480</v>
      </c>
      <c r="F3044" s="50">
        <v>2924</v>
      </c>
      <c r="G3044" s="50" t="s">
        <v>3404</v>
      </c>
      <c r="H3044" s="50">
        <v>2024</v>
      </c>
      <c r="I3044" s="107">
        <v>45461</v>
      </c>
      <c r="J3044" s="105"/>
      <c r="K3044" s="105"/>
      <c r="L3044" s="105" t="s">
        <v>163</v>
      </c>
      <c r="M3044" s="50" t="s">
        <v>2393</v>
      </c>
      <c r="N3044" s="105"/>
      <c r="O3044" s="105"/>
      <c r="P3044" s="105"/>
      <c r="Q3044" s="105"/>
      <c r="R3044" s="60"/>
      <c r="S3044" s="50" t="str">
        <f t="shared" si="285"/>
        <v/>
      </c>
      <c r="T3044" s="50" t="str">
        <f t="shared" si="293"/>
        <v/>
      </c>
      <c r="U3044" s="50" t="str">
        <f t="shared" si="293"/>
        <v/>
      </c>
      <c r="V3044" s="50" t="str">
        <f t="shared" si="286"/>
        <v/>
      </c>
      <c r="W3044" s="50"/>
      <c r="X3044" s="50" t="s">
        <v>4</v>
      </c>
      <c r="Y3044" s="50" t="s">
        <v>50</v>
      </c>
      <c r="Z3044" s="50" t="s">
        <v>3406</v>
      </c>
      <c r="AA3044" s="50"/>
    </row>
    <row r="3045" spans="1:27" ht="25.5" customHeight="1">
      <c r="A3045" s="517" t="s">
        <v>780</v>
      </c>
      <c r="B3045" s="51" t="s">
        <v>1556</v>
      </c>
      <c r="C3045" s="51" t="s">
        <v>159</v>
      </c>
      <c r="D3045" s="51" t="s">
        <v>6532</v>
      </c>
      <c r="E3045" s="50">
        <v>1839</v>
      </c>
      <c r="F3045" s="50">
        <v>2128</v>
      </c>
      <c r="G3045" s="50" t="s">
        <v>3404</v>
      </c>
      <c r="H3045" s="50">
        <v>2025</v>
      </c>
      <c r="I3045" s="107">
        <v>45884</v>
      </c>
      <c r="J3045" s="50" t="s">
        <v>3126</v>
      </c>
      <c r="K3045" s="105" t="s">
        <v>42</v>
      </c>
      <c r="L3045" s="105" t="s">
        <v>163</v>
      </c>
      <c r="M3045" s="50" t="s">
        <v>2393</v>
      </c>
      <c r="N3045" s="105" t="s">
        <v>6533</v>
      </c>
      <c r="O3045" s="132">
        <v>45887</v>
      </c>
      <c r="P3045" s="132">
        <v>45887</v>
      </c>
      <c r="Q3045" s="132">
        <v>45887</v>
      </c>
      <c r="R3045" s="132">
        <v>45887</v>
      </c>
      <c r="S3045" s="50">
        <f t="shared" si="285"/>
        <v>1</v>
      </c>
      <c r="T3045" s="50">
        <f t="shared" si="293"/>
        <v>1</v>
      </c>
      <c r="U3045" s="50">
        <f t="shared" si="293"/>
        <v>1</v>
      </c>
      <c r="V3045" s="50">
        <f t="shared" si="286"/>
        <v>1</v>
      </c>
      <c r="W3045" s="50" t="s">
        <v>150</v>
      </c>
      <c r="X3045" s="50" t="s">
        <v>4</v>
      </c>
      <c r="Y3045" s="50" t="s">
        <v>50</v>
      </c>
      <c r="Z3045" s="50" t="s">
        <v>3406</v>
      </c>
      <c r="AA3045" s="50"/>
    </row>
    <row r="3046" spans="1:27" s="110" customFormat="1" ht="25.5" customHeight="1">
      <c r="A3046" s="517" t="s">
        <v>780</v>
      </c>
      <c r="B3046" s="51" t="s">
        <v>1233</v>
      </c>
      <c r="C3046" s="51" t="s">
        <v>159</v>
      </c>
      <c r="D3046" s="51" t="s">
        <v>6534</v>
      </c>
      <c r="E3046" s="50">
        <v>1450</v>
      </c>
      <c r="F3046" s="50">
        <v>1484</v>
      </c>
      <c r="G3046" s="50" t="s">
        <v>3404</v>
      </c>
      <c r="H3046" s="50">
        <v>2025</v>
      </c>
      <c r="I3046" s="107">
        <v>45702</v>
      </c>
      <c r="J3046" s="105" t="s">
        <v>3458</v>
      </c>
      <c r="K3046" s="105" t="s">
        <v>6505</v>
      </c>
      <c r="L3046" s="105" t="s">
        <v>163</v>
      </c>
      <c r="M3046" s="50" t="s">
        <v>2393</v>
      </c>
      <c r="N3046" s="50" t="s">
        <v>6535</v>
      </c>
      <c r="O3046" s="107">
        <v>45706</v>
      </c>
      <c r="P3046" s="132">
        <v>45707</v>
      </c>
      <c r="Q3046" s="132">
        <v>45707</v>
      </c>
      <c r="R3046" s="132">
        <v>45707</v>
      </c>
      <c r="S3046" s="50">
        <f t="shared" si="285"/>
        <v>2</v>
      </c>
      <c r="T3046" s="50">
        <f>IF(
    OR(ISBLANK(P3046), ISBLANK(Q3046)),
    "",
    MAX(1, IF(
        NETWORKDAYS(P3046, Q3046) &lt;= 0,
        1,
        NETWORKDAYS(P3046, Q3046) - IF(P3046 = Q3046, 0, 1)
    ))
)</f>
        <v>1</v>
      </c>
      <c r="U3046" s="50">
        <f>IF(
    OR(ISBLANK(Q3046), ISBLANK(R3046)),
    "",
    MAX(1, IF(
        NETWORKDAYS(P3046, Q3046) &lt;= 0,
        1,
        NETWORKDAYS(P3046, Q3046) - IF(P3046 = Q3046, 0, 1)
    ))
)</f>
        <v>1</v>
      </c>
      <c r="V3046" s="50">
        <f t="shared" si="286"/>
        <v>1</v>
      </c>
      <c r="W3046" s="50" t="s">
        <v>150</v>
      </c>
      <c r="X3046" s="50" t="s">
        <v>4</v>
      </c>
      <c r="Y3046" s="50" t="s">
        <v>50</v>
      </c>
      <c r="Z3046" s="50" t="s">
        <v>3406</v>
      </c>
      <c r="AA3046" s="50"/>
    </row>
    <row r="3047" spans="1:27" ht="25.5" customHeight="1">
      <c r="A3047" s="50" t="s">
        <v>780</v>
      </c>
      <c r="B3047" s="51" t="s">
        <v>1233</v>
      </c>
      <c r="C3047" s="51" t="s">
        <v>159</v>
      </c>
      <c r="D3047" s="51" t="s">
        <v>6536</v>
      </c>
      <c r="E3047" s="50">
        <v>3293</v>
      </c>
      <c r="F3047" s="50">
        <v>3251</v>
      </c>
      <c r="G3047" s="50" t="s">
        <v>3404</v>
      </c>
      <c r="H3047" s="50">
        <v>2024</v>
      </c>
      <c r="I3047" s="107">
        <v>45511</v>
      </c>
      <c r="J3047" s="105"/>
      <c r="K3047" s="105"/>
      <c r="L3047" s="105" t="s">
        <v>163</v>
      </c>
      <c r="M3047" s="50" t="s">
        <v>2393</v>
      </c>
      <c r="N3047" s="105"/>
      <c r="O3047" s="105"/>
      <c r="P3047" s="105"/>
      <c r="Q3047" s="105"/>
      <c r="R3047" s="60"/>
      <c r="S3047" s="50" t="str">
        <f t="shared" si="285"/>
        <v/>
      </c>
      <c r="T3047" s="50" t="str">
        <f t="shared" ref="T3047:U3051" si="294">IF(
    OR(ISBLANK(O3047), ISBLANK(P3047)),
    "",
    MAX(1, IF(
        NETWORKDAYS(O3047, P3047) &lt;= 0,
        1,
        NETWORKDAYS(O3047, P3047) - IF(O3047 = P3047, 0, 1)
    ))
)</f>
        <v/>
      </c>
      <c r="U3047" s="50" t="str">
        <f t="shared" si="294"/>
        <v/>
      </c>
      <c r="V3047" s="50" t="str">
        <f t="shared" si="286"/>
        <v/>
      </c>
      <c r="W3047" s="50"/>
      <c r="X3047" s="50" t="s">
        <v>4</v>
      </c>
      <c r="Y3047" s="50" t="s">
        <v>50</v>
      </c>
      <c r="Z3047" s="50" t="s">
        <v>3406</v>
      </c>
      <c r="AA3047" s="50"/>
    </row>
    <row r="3048" spans="1:27" s="110" customFormat="1" ht="25.5" customHeight="1">
      <c r="A3048" s="517" t="s">
        <v>780</v>
      </c>
      <c r="B3048" s="51" t="s">
        <v>1233</v>
      </c>
      <c r="C3048" s="51" t="s">
        <v>159</v>
      </c>
      <c r="D3048" s="51" t="s">
        <v>6537</v>
      </c>
      <c r="E3048" s="50">
        <v>831</v>
      </c>
      <c r="F3048" s="50">
        <v>845</v>
      </c>
      <c r="G3048" s="50" t="s">
        <v>3404</v>
      </c>
      <c r="H3048" s="50">
        <v>2025</v>
      </c>
      <c r="I3048" s="107">
        <v>45848</v>
      </c>
      <c r="J3048" s="50" t="s">
        <v>3125</v>
      </c>
      <c r="K3048" s="105" t="s">
        <v>6505</v>
      </c>
      <c r="L3048" s="105" t="s">
        <v>163</v>
      </c>
      <c r="M3048" s="50" t="s">
        <v>2393</v>
      </c>
      <c r="N3048" s="50" t="s">
        <v>6538</v>
      </c>
      <c r="O3048" s="132">
        <v>45856</v>
      </c>
      <c r="P3048" s="132">
        <v>45856</v>
      </c>
      <c r="Q3048" s="132">
        <v>45856</v>
      </c>
      <c r="R3048" s="132">
        <v>45856</v>
      </c>
      <c r="S3048" s="50">
        <f t="shared" si="285"/>
        <v>6</v>
      </c>
      <c r="T3048" s="50">
        <f t="shared" si="294"/>
        <v>1</v>
      </c>
      <c r="U3048" s="50">
        <f t="shared" si="294"/>
        <v>1</v>
      </c>
      <c r="V3048" s="50">
        <f t="shared" si="286"/>
        <v>1</v>
      </c>
      <c r="W3048" s="50" t="s">
        <v>150</v>
      </c>
      <c r="X3048" s="50" t="s">
        <v>4</v>
      </c>
      <c r="Y3048" s="50" t="s">
        <v>50</v>
      </c>
      <c r="Z3048" s="50" t="s">
        <v>3406</v>
      </c>
      <c r="AA3048" s="50"/>
    </row>
    <row r="3049" spans="1:27" ht="25.5" customHeight="1">
      <c r="A3049" s="50" t="s">
        <v>780</v>
      </c>
      <c r="B3049" s="51" t="s">
        <v>1233</v>
      </c>
      <c r="C3049" s="51" t="s">
        <v>159</v>
      </c>
      <c r="D3049" s="51" t="s">
        <v>6539</v>
      </c>
      <c r="E3049" s="50">
        <v>1061</v>
      </c>
      <c r="F3049" s="50">
        <v>1016</v>
      </c>
      <c r="G3049" s="50" t="s">
        <v>3404</v>
      </c>
      <c r="H3049" s="50">
        <v>2024</v>
      </c>
      <c r="I3049" s="107">
        <v>45511</v>
      </c>
      <c r="J3049" s="105"/>
      <c r="K3049" s="105"/>
      <c r="L3049" s="105" t="s">
        <v>163</v>
      </c>
      <c r="M3049" s="50" t="s">
        <v>2393</v>
      </c>
      <c r="N3049" s="105"/>
      <c r="O3049" s="105"/>
      <c r="P3049" s="105"/>
      <c r="Q3049" s="105"/>
      <c r="R3049" s="60"/>
      <c r="S3049" s="50" t="str">
        <f t="shared" si="285"/>
        <v/>
      </c>
      <c r="T3049" s="50" t="str">
        <f t="shared" si="294"/>
        <v/>
      </c>
      <c r="U3049" s="50" t="str">
        <f t="shared" si="294"/>
        <v/>
      </c>
      <c r="V3049" s="50" t="str">
        <f t="shared" si="286"/>
        <v/>
      </c>
      <c r="W3049" s="50"/>
      <c r="X3049" s="50" t="s">
        <v>4</v>
      </c>
      <c r="Y3049" s="50" t="s">
        <v>50</v>
      </c>
      <c r="Z3049" s="50" t="s">
        <v>3406</v>
      </c>
      <c r="AA3049" s="50"/>
    </row>
    <row r="3050" spans="1:27" ht="25.5" customHeight="1">
      <c r="A3050" s="50" t="s">
        <v>780</v>
      </c>
      <c r="B3050" s="51" t="s">
        <v>1233</v>
      </c>
      <c r="C3050" s="51" t="s">
        <v>159</v>
      </c>
      <c r="D3050" s="51" t="s">
        <v>6540</v>
      </c>
      <c r="E3050" s="50">
        <v>1749</v>
      </c>
      <c r="F3050" s="50">
        <v>1891</v>
      </c>
      <c r="G3050" s="50" t="s">
        <v>3404</v>
      </c>
      <c r="H3050" s="50">
        <v>2024</v>
      </c>
      <c r="I3050" s="107">
        <v>45511</v>
      </c>
      <c r="J3050" s="105"/>
      <c r="K3050" s="105"/>
      <c r="L3050" s="105" t="s">
        <v>163</v>
      </c>
      <c r="M3050" s="50" t="s">
        <v>2393</v>
      </c>
      <c r="N3050" s="105"/>
      <c r="O3050" s="105"/>
      <c r="P3050" s="105"/>
      <c r="Q3050" s="105"/>
      <c r="R3050" s="60"/>
      <c r="S3050" s="50" t="str">
        <f t="shared" si="285"/>
        <v/>
      </c>
      <c r="T3050" s="50" t="str">
        <f t="shared" si="294"/>
        <v/>
      </c>
      <c r="U3050" s="50" t="str">
        <f t="shared" si="294"/>
        <v/>
      </c>
      <c r="V3050" s="50" t="str">
        <f t="shared" si="286"/>
        <v/>
      </c>
      <c r="W3050" s="50"/>
      <c r="X3050" s="50" t="s">
        <v>4</v>
      </c>
      <c r="Y3050" s="50" t="s">
        <v>50</v>
      </c>
      <c r="Z3050" s="50" t="s">
        <v>3406</v>
      </c>
      <c r="AA3050" s="50"/>
    </row>
    <row r="3051" spans="1:27" ht="25.5" customHeight="1">
      <c r="A3051" s="50" t="s">
        <v>780</v>
      </c>
      <c r="B3051" s="51" t="s">
        <v>1233</v>
      </c>
      <c r="C3051" s="51" t="s">
        <v>159</v>
      </c>
      <c r="D3051" s="51" t="s">
        <v>5396</v>
      </c>
      <c r="E3051" s="50">
        <v>3836</v>
      </c>
      <c r="F3051" s="50">
        <v>4322</v>
      </c>
      <c r="G3051" s="50" t="s">
        <v>3404</v>
      </c>
      <c r="H3051" s="50">
        <v>2024</v>
      </c>
      <c r="I3051" s="107">
        <v>45511</v>
      </c>
      <c r="J3051" s="105"/>
      <c r="K3051" s="105"/>
      <c r="L3051" s="105" t="s">
        <v>163</v>
      </c>
      <c r="M3051" s="50" t="s">
        <v>2393</v>
      </c>
      <c r="N3051" s="105"/>
      <c r="O3051" s="105"/>
      <c r="P3051" s="105"/>
      <c r="Q3051" s="105"/>
      <c r="R3051" s="60"/>
      <c r="S3051" s="50" t="str">
        <f t="shared" si="285"/>
        <v/>
      </c>
      <c r="T3051" s="50" t="str">
        <f t="shared" si="294"/>
        <v/>
      </c>
      <c r="U3051" s="50" t="str">
        <f t="shared" si="294"/>
        <v/>
      </c>
      <c r="V3051" s="50" t="str">
        <f t="shared" si="286"/>
        <v/>
      </c>
      <c r="W3051" s="50"/>
      <c r="X3051" s="50" t="s">
        <v>4</v>
      </c>
      <c r="Y3051" s="50" t="s">
        <v>50</v>
      </c>
      <c r="Z3051" s="50" t="s">
        <v>3406</v>
      </c>
      <c r="AA3051" s="50"/>
    </row>
    <row r="3052" spans="1:27" s="110" customFormat="1" ht="25.5" customHeight="1">
      <c r="A3052" s="517" t="s">
        <v>780</v>
      </c>
      <c r="B3052" s="51" t="s">
        <v>1233</v>
      </c>
      <c r="C3052" s="51" t="s">
        <v>159</v>
      </c>
      <c r="D3052" s="51" t="s">
        <v>6541</v>
      </c>
      <c r="E3052" s="50">
        <v>489</v>
      </c>
      <c r="F3052" s="50">
        <v>548</v>
      </c>
      <c r="G3052" s="50" t="s">
        <v>3404</v>
      </c>
      <c r="H3052" s="50">
        <v>2025</v>
      </c>
      <c r="I3052" s="107">
        <v>45730</v>
      </c>
      <c r="J3052" s="105" t="s">
        <v>3416</v>
      </c>
      <c r="K3052" s="105" t="s">
        <v>1212</v>
      </c>
      <c r="L3052" s="105" t="s">
        <v>163</v>
      </c>
      <c r="M3052" s="50" t="s">
        <v>2393</v>
      </c>
      <c r="N3052" s="105" t="s">
        <v>6542</v>
      </c>
      <c r="O3052" s="107">
        <v>45734</v>
      </c>
      <c r="P3052" s="107">
        <v>45734</v>
      </c>
      <c r="Q3052" s="107">
        <v>45734</v>
      </c>
      <c r="R3052" s="107">
        <v>45734</v>
      </c>
      <c r="S3052" s="50">
        <f t="shared" si="285"/>
        <v>2</v>
      </c>
      <c r="T3052" s="50">
        <f>IF(
    OR(ISBLANK(P3052), ISBLANK(Q3052)),
    "",
    MAX(1, IF(
        NETWORKDAYS(P3052, Q3052) &lt;= 0,
        1,
        NETWORKDAYS(P3052, Q3052) - IF(P3052 = Q3052, 0, 1)
    ))
)</f>
        <v>1</v>
      </c>
      <c r="U3052" s="50">
        <f>IF(
    OR(ISBLANK(Q3052), ISBLANK(R3052)),
    "",
    MAX(1, IF(
        NETWORKDAYS(P3052, Q3052) &lt;= 0,
        1,
        NETWORKDAYS(P3052, Q3052) - IF(P3052 = Q3052, 0, 1)
    ))
)</f>
        <v>1</v>
      </c>
      <c r="V3052" s="50">
        <f t="shared" si="286"/>
        <v>1</v>
      </c>
      <c r="W3052" s="50" t="s">
        <v>150</v>
      </c>
      <c r="X3052" s="50" t="s">
        <v>4</v>
      </c>
      <c r="Y3052" s="50" t="s">
        <v>50</v>
      </c>
      <c r="Z3052" s="50" t="s">
        <v>3406</v>
      </c>
      <c r="AA3052" s="50"/>
    </row>
    <row r="3053" spans="1:27" ht="25.5" customHeight="1">
      <c r="A3053" s="50" t="s">
        <v>780</v>
      </c>
      <c r="B3053" s="51" t="s">
        <v>1233</v>
      </c>
      <c r="C3053" s="51" t="s">
        <v>159</v>
      </c>
      <c r="D3053" s="51" t="s">
        <v>6543</v>
      </c>
      <c r="E3053" s="50">
        <v>1808</v>
      </c>
      <c r="F3053" s="50">
        <v>1867</v>
      </c>
      <c r="G3053" s="50" t="s">
        <v>3404</v>
      </c>
      <c r="H3053" s="50">
        <v>2024</v>
      </c>
      <c r="I3053" s="107">
        <v>45511</v>
      </c>
      <c r="J3053" s="105"/>
      <c r="K3053" s="105"/>
      <c r="L3053" s="105" t="s">
        <v>163</v>
      </c>
      <c r="M3053" s="50" t="s">
        <v>2393</v>
      </c>
      <c r="N3053" s="105"/>
      <c r="O3053" s="105"/>
      <c r="P3053" s="105"/>
      <c r="Q3053" s="105"/>
      <c r="R3053" s="60"/>
      <c r="S3053" s="50" t="str">
        <f t="shared" si="285"/>
        <v/>
      </c>
      <c r="T3053" s="50" t="str">
        <f t="shared" ref="T3053:U3059" si="295">IF(
    OR(ISBLANK(O3053), ISBLANK(P3053)),
    "",
    MAX(1, IF(
        NETWORKDAYS(O3053, P3053) &lt;= 0,
        1,
        NETWORKDAYS(O3053, P3053) - IF(O3053 = P3053, 0, 1)
    ))
)</f>
        <v/>
      </c>
      <c r="U3053" s="50" t="str">
        <f t="shared" si="295"/>
        <v/>
      </c>
      <c r="V3053" s="50" t="str">
        <f t="shared" si="286"/>
        <v/>
      </c>
      <c r="W3053" s="50"/>
      <c r="X3053" s="50" t="s">
        <v>4</v>
      </c>
      <c r="Y3053" s="50" t="s">
        <v>50</v>
      </c>
      <c r="Z3053" s="50" t="s">
        <v>3406</v>
      </c>
      <c r="AA3053" s="50"/>
    </row>
    <row r="3054" spans="1:27" s="110" customFormat="1" ht="25.5" customHeight="1">
      <c r="A3054" s="517" t="s">
        <v>780</v>
      </c>
      <c r="B3054" s="51" t="s">
        <v>1233</v>
      </c>
      <c r="C3054" s="51" t="s">
        <v>159</v>
      </c>
      <c r="D3054" s="51" t="s">
        <v>6544</v>
      </c>
      <c r="E3054" s="50">
        <v>3278</v>
      </c>
      <c r="F3054" s="50">
        <v>4237</v>
      </c>
      <c r="G3054" s="50" t="s">
        <v>3404</v>
      </c>
      <c r="H3054" s="50">
        <v>2025</v>
      </c>
      <c r="I3054" s="107">
        <v>45848</v>
      </c>
      <c r="J3054" s="50" t="s">
        <v>3125</v>
      </c>
      <c r="K3054" s="105" t="s">
        <v>1212</v>
      </c>
      <c r="L3054" s="105" t="s">
        <v>163</v>
      </c>
      <c r="M3054" s="50" t="s">
        <v>2393</v>
      </c>
      <c r="N3054" s="50" t="s">
        <v>6545</v>
      </c>
      <c r="O3054" s="132">
        <v>45855</v>
      </c>
      <c r="P3054" s="132">
        <v>45855</v>
      </c>
      <c r="Q3054" s="132">
        <v>45855</v>
      </c>
      <c r="R3054" s="132">
        <v>45855</v>
      </c>
      <c r="S3054" s="50">
        <f t="shared" si="285"/>
        <v>5</v>
      </c>
      <c r="T3054" s="50">
        <f t="shared" si="295"/>
        <v>1</v>
      </c>
      <c r="U3054" s="50">
        <f t="shared" si="295"/>
        <v>1</v>
      </c>
      <c r="V3054" s="50">
        <f t="shared" si="286"/>
        <v>1</v>
      </c>
      <c r="W3054" s="50" t="s">
        <v>150</v>
      </c>
      <c r="X3054" s="50" t="s">
        <v>4</v>
      </c>
      <c r="Y3054" s="50" t="s">
        <v>50</v>
      </c>
      <c r="Z3054" s="50" t="s">
        <v>3406</v>
      </c>
      <c r="AA3054" s="50"/>
    </row>
    <row r="3055" spans="1:27" ht="25.5" customHeight="1">
      <c r="A3055" s="50" t="s">
        <v>780</v>
      </c>
      <c r="B3055" s="51" t="s">
        <v>1233</v>
      </c>
      <c r="C3055" s="51" t="s">
        <v>159</v>
      </c>
      <c r="D3055" s="51" t="s">
        <v>6546</v>
      </c>
      <c r="E3055" s="50">
        <v>610</v>
      </c>
      <c r="F3055" s="50">
        <v>611</v>
      </c>
      <c r="G3055" s="50" t="s">
        <v>3404</v>
      </c>
      <c r="H3055" s="50">
        <v>2024</v>
      </c>
      <c r="I3055" s="107">
        <v>45511</v>
      </c>
      <c r="J3055" s="105"/>
      <c r="K3055" s="105"/>
      <c r="L3055" s="105" t="s">
        <v>163</v>
      </c>
      <c r="M3055" s="50" t="s">
        <v>2393</v>
      </c>
      <c r="N3055" s="105"/>
      <c r="O3055" s="105"/>
      <c r="P3055" s="105"/>
      <c r="Q3055" s="105"/>
      <c r="R3055" s="60"/>
      <c r="S3055" s="50" t="str">
        <f t="shared" si="285"/>
        <v/>
      </c>
      <c r="T3055" s="50" t="str">
        <f t="shared" si="295"/>
        <v/>
      </c>
      <c r="U3055" s="50" t="str">
        <f t="shared" si="295"/>
        <v/>
      </c>
      <c r="V3055" s="50" t="str">
        <f t="shared" si="286"/>
        <v/>
      </c>
      <c r="W3055" s="50"/>
      <c r="X3055" s="50" t="s">
        <v>4</v>
      </c>
      <c r="Y3055" s="50" t="s">
        <v>50</v>
      </c>
      <c r="Z3055" s="50" t="s">
        <v>3406</v>
      </c>
      <c r="AA3055" s="50"/>
    </row>
    <row r="3056" spans="1:27" ht="25.5" customHeight="1">
      <c r="A3056" s="50" t="s">
        <v>780</v>
      </c>
      <c r="B3056" s="51" t="s">
        <v>1233</v>
      </c>
      <c r="C3056" s="51" t="s">
        <v>159</v>
      </c>
      <c r="D3056" s="51" t="s">
        <v>6547</v>
      </c>
      <c r="E3056" s="50">
        <v>653</v>
      </c>
      <c r="F3056" s="50">
        <v>762</v>
      </c>
      <c r="G3056" s="50" t="s">
        <v>3404</v>
      </c>
      <c r="H3056" s="50">
        <v>2024</v>
      </c>
      <c r="I3056" s="107">
        <v>45511</v>
      </c>
      <c r="J3056" s="105"/>
      <c r="K3056" s="105"/>
      <c r="L3056" s="105" t="s">
        <v>163</v>
      </c>
      <c r="M3056" s="50" t="s">
        <v>2393</v>
      </c>
      <c r="N3056" s="105"/>
      <c r="O3056" s="105"/>
      <c r="P3056" s="105"/>
      <c r="Q3056" s="105"/>
      <c r="R3056" s="60"/>
      <c r="S3056" s="50" t="str">
        <f t="shared" ref="S3056:S3103" si="296">IF(
    OR(ISBLANK(I3056), ISBLANK(O3056)),
    "",
    MAX(1, IF(
        NETWORKDAYS(I3056, O3056) &lt;= 0,
        1,
        NETWORKDAYS(I3056, O3056) - IF(I3056 = O3056, 0, 1)
    ))
)</f>
        <v/>
      </c>
      <c r="T3056" s="50" t="str">
        <f t="shared" si="295"/>
        <v/>
      </c>
      <c r="U3056" s="50" t="str">
        <f t="shared" si="295"/>
        <v/>
      </c>
      <c r="V3056" s="50" t="str">
        <f t="shared" ref="V3056:V3103" si="297">IF(
    OR(ISBLANK(Q3056), ISBLANK(R3056)),
    "",
    MAX(1, IF(
        NETWORKDAYS(Q3056, R3056) &lt;= 0,
        1,
        NETWORKDAYS(Q3056, R3056) - IF(Q3056 = R3056, 0, 1)
    ))
)</f>
        <v/>
      </c>
      <c r="W3056" s="50"/>
      <c r="X3056" s="50" t="s">
        <v>4</v>
      </c>
      <c r="Y3056" s="50" t="s">
        <v>50</v>
      </c>
      <c r="Z3056" s="50" t="s">
        <v>3406</v>
      </c>
      <c r="AA3056" s="50"/>
    </row>
    <row r="3057" spans="1:27" ht="25.5" customHeight="1">
      <c r="A3057" s="517" t="s">
        <v>780</v>
      </c>
      <c r="B3057" s="51" t="s">
        <v>1233</v>
      </c>
      <c r="C3057" s="51" t="s">
        <v>159</v>
      </c>
      <c r="D3057" s="51" t="s">
        <v>6548</v>
      </c>
      <c r="E3057" s="50">
        <v>2291</v>
      </c>
      <c r="F3057" s="50">
        <v>2313</v>
      </c>
      <c r="G3057" s="50" t="s">
        <v>3404</v>
      </c>
      <c r="H3057" s="50">
        <v>2025</v>
      </c>
      <c r="I3057" s="107">
        <v>45848</v>
      </c>
      <c r="J3057" s="50" t="s">
        <v>3126</v>
      </c>
      <c r="K3057" s="105" t="s">
        <v>1212</v>
      </c>
      <c r="L3057" s="105" t="s">
        <v>163</v>
      </c>
      <c r="M3057" s="50" t="s">
        <v>2393</v>
      </c>
      <c r="N3057" s="50" t="s">
        <v>6549</v>
      </c>
      <c r="O3057" s="132">
        <v>45859</v>
      </c>
      <c r="P3057" s="132">
        <v>45859</v>
      </c>
      <c r="Q3057" s="132">
        <v>45859</v>
      </c>
      <c r="R3057" s="132">
        <v>45859</v>
      </c>
      <c r="S3057" s="50">
        <f t="shared" si="296"/>
        <v>7</v>
      </c>
      <c r="T3057" s="50">
        <f t="shared" si="295"/>
        <v>1</v>
      </c>
      <c r="U3057" s="50">
        <f t="shared" si="295"/>
        <v>1</v>
      </c>
      <c r="V3057" s="50">
        <f t="shared" si="297"/>
        <v>1</v>
      </c>
      <c r="W3057" s="50" t="s">
        <v>150</v>
      </c>
      <c r="X3057" s="50" t="s">
        <v>1078</v>
      </c>
      <c r="Y3057" s="50" t="s">
        <v>50</v>
      </c>
      <c r="Z3057" s="50" t="s">
        <v>3406</v>
      </c>
      <c r="AA3057" s="50"/>
    </row>
    <row r="3058" spans="1:27" ht="25.5" customHeight="1">
      <c r="A3058" s="517" t="s">
        <v>780</v>
      </c>
      <c r="B3058" s="51" t="s">
        <v>1233</v>
      </c>
      <c r="C3058" s="51" t="s">
        <v>159</v>
      </c>
      <c r="D3058" s="51" t="s">
        <v>4025</v>
      </c>
      <c r="E3058" s="50">
        <v>542</v>
      </c>
      <c r="F3058" s="50">
        <v>581</v>
      </c>
      <c r="G3058" s="50" t="s">
        <v>3404</v>
      </c>
      <c r="H3058" s="50">
        <v>2025</v>
      </c>
      <c r="I3058" s="107">
        <v>45848</v>
      </c>
      <c r="J3058" s="50" t="s">
        <v>3125</v>
      </c>
      <c r="K3058" s="105" t="s">
        <v>1212</v>
      </c>
      <c r="L3058" s="105" t="s">
        <v>163</v>
      </c>
      <c r="M3058" s="50" t="s">
        <v>2393</v>
      </c>
      <c r="N3058" s="50" t="s">
        <v>6550</v>
      </c>
      <c r="O3058" s="132">
        <v>45856</v>
      </c>
      <c r="P3058" s="132">
        <v>45856</v>
      </c>
      <c r="Q3058" s="132">
        <v>45856</v>
      </c>
      <c r="R3058" s="132">
        <v>45856</v>
      </c>
      <c r="S3058" s="50">
        <f t="shared" si="296"/>
        <v>6</v>
      </c>
      <c r="T3058" s="50">
        <f t="shared" si="295"/>
        <v>1</v>
      </c>
      <c r="U3058" s="50">
        <f t="shared" si="295"/>
        <v>1</v>
      </c>
      <c r="V3058" s="50">
        <f t="shared" si="297"/>
        <v>1</v>
      </c>
      <c r="W3058" s="50" t="s">
        <v>150</v>
      </c>
      <c r="X3058" s="50" t="s">
        <v>4</v>
      </c>
      <c r="Y3058" s="50" t="s">
        <v>50</v>
      </c>
      <c r="Z3058" s="50" t="s">
        <v>3406</v>
      </c>
      <c r="AA3058" s="50"/>
    </row>
    <row r="3059" spans="1:27" ht="25.5" customHeight="1">
      <c r="A3059" s="517" t="s">
        <v>780</v>
      </c>
      <c r="B3059" s="51" t="s">
        <v>1233</v>
      </c>
      <c r="C3059" s="51" t="s">
        <v>159</v>
      </c>
      <c r="D3059" s="51" t="s">
        <v>3913</v>
      </c>
      <c r="E3059" s="50">
        <v>1476</v>
      </c>
      <c r="F3059" s="50">
        <v>1516</v>
      </c>
      <c r="G3059" s="50" t="s">
        <v>3404</v>
      </c>
      <c r="H3059" s="50">
        <v>2025</v>
      </c>
      <c r="I3059" s="107">
        <v>45848</v>
      </c>
      <c r="J3059" s="50" t="s">
        <v>3125</v>
      </c>
      <c r="K3059" s="105" t="s">
        <v>1212</v>
      </c>
      <c r="L3059" s="105" t="s">
        <v>163</v>
      </c>
      <c r="M3059" s="50" t="s">
        <v>2393</v>
      </c>
      <c r="N3059" s="50" t="s">
        <v>6551</v>
      </c>
      <c r="O3059" s="132">
        <v>45856</v>
      </c>
      <c r="P3059" s="132">
        <v>45856</v>
      </c>
      <c r="Q3059" s="132">
        <v>45856</v>
      </c>
      <c r="R3059" s="132">
        <v>45856</v>
      </c>
      <c r="S3059" s="50">
        <f t="shared" si="296"/>
        <v>6</v>
      </c>
      <c r="T3059" s="50">
        <f t="shared" si="295"/>
        <v>1</v>
      </c>
      <c r="U3059" s="50">
        <f t="shared" si="295"/>
        <v>1</v>
      </c>
      <c r="V3059" s="50">
        <f t="shared" si="297"/>
        <v>1</v>
      </c>
      <c r="W3059" s="50" t="s">
        <v>150</v>
      </c>
      <c r="X3059" s="50" t="s">
        <v>4</v>
      </c>
      <c r="Y3059" s="50" t="s">
        <v>50</v>
      </c>
      <c r="Z3059" s="50" t="s">
        <v>3406</v>
      </c>
      <c r="AA3059" s="50"/>
    </row>
    <row r="3060" spans="1:27" s="110" customFormat="1" ht="25.5" customHeight="1">
      <c r="A3060" s="517" t="s">
        <v>780</v>
      </c>
      <c r="B3060" s="51" t="s">
        <v>1233</v>
      </c>
      <c r="C3060" s="51" t="s">
        <v>159</v>
      </c>
      <c r="D3060" s="51" t="s">
        <v>6552</v>
      </c>
      <c r="E3060" s="50">
        <v>1874</v>
      </c>
      <c r="F3060" s="50">
        <v>1956</v>
      </c>
      <c r="G3060" s="50" t="s">
        <v>3404</v>
      </c>
      <c r="H3060" s="50">
        <v>2025</v>
      </c>
      <c r="I3060" s="107">
        <v>45730</v>
      </c>
      <c r="J3060" s="105" t="s">
        <v>3416</v>
      </c>
      <c r="K3060" s="105" t="s">
        <v>1212</v>
      </c>
      <c r="L3060" s="105" t="s">
        <v>163</v>
      </c>
      <c r="M3060" s="50" t="s">
        <v>2393</v>
      </c>
      <c r="N3060" s="105" t="s">
        <v>6553</v>
      </c>
      <c r="O3060" s="107">
        <v>45734</v>
      </c>
      <c r="P3060" s="107">
        <v>45734</v>
      </c>
      <c r="Q3060" s="107">
        <v>45734</v>
      </c>
      <c r="R3060" s="107">
        <v>45734</v>
      </c>
      <c r="S3060" s="50">
        <f t="shared" si="296"/>
        <v>2</v>
      </c>
      <c r="T3060" s="50">
        <f>IF(
    OR(ISBLANK(P3060), ISBLANK(Q3060)),
    "",
    MAX(1, IF(
        NETWORKDAYS(P3060, Q3060) &lt;= 0,
        1,
        NETWORKDAYS(P3060, Q3060) - IF(P3060 = Q3060, 0, 1)
    ))
)</f>
        <v>1</v>
      </c>
      <c r="U3060" s="50">
        <f>IF(
    OR(ISBLANK(Q3060), ISBLANK(R3060)),
    "",
    MAX(1, IF(
        NETWORKDAYS(P3060, Q3060) &lt;= 0,
        1,
        NETWORKDAYS(P3060, Q3060) - IF(P3060 = Q3060, 0, 1)
    ))
)</f>
        <v>1</v>
      </c>
      <c r="V3060" s="50">
        <f t="shared" si="297"/>
        <v>1</v>
      </c>
      <c r="W3060" s="50" t="s">
        <v>150</v>
      </c>
      <c r="X3060" s="50" t="s">
        <v>4</v>
      </c>
      <c r="Y3060" s="50" t="s">
        <v>50</v>
      </c>
      <c r="Z3060" s="50" t="s">
        <v>3406</v>
      </c>
      <c r="AA3060" s="50"/>
    </row>
    <row r="3061" spans="1:27" ht="25.5" customHeight="1">
      <c r="A3061" s="517" t="s">
        <v>780</v>
      </c>
      <c r="B3061" s="51" t="s">
        <v>1233</v>
      </c>
      <c r="C3061" s="51" t="s">
        <v>159</v>
      </c>
      <c r="D3061" s="51" t="s">
        <v>6554</v>
      </c>
      <c r="E3061" s="50">
        <v>1297</v>
      </c>
      <c r="F3061" s="50">
        <v>1302</v>
      </c>
      <c r="G3061" s="50" t="s">
        <v>3404</v>
      </c>
      <c r="H3061" s="50">
        <v>2025</v>
      </c>
      <c r="I3061" s="107">
        <v>45848</v>
      </c>
      <c r="J3061" s="50" t="s">
        <v>3125</v>
      </c>
      <c r="K3061" s="105" t="s">
        <v>1212</v>
      </c>
      <c r="L3061" s="105" t="s">
        <v>163</v>
      </c>
      <c r="M3061" s="50" t="s">
        <v>2393</v>
      </c>
      <c r="N3061" s="50" t="s">
        <v>6555</v>
      </c>
      <c r="O3061" s="132">
        <v>45852</v>
      </c>
      <c r="P3061" s="132">
        <v>45854</v>
      </c>
      <c r="Q3061" s="132">
        <v>45854</v>
      </c>
      <c r="R3061" s="132">
        <v>45854</v>
      </c>
      <c r="S3061" s="50">
        <f t="shared" si="296"/>
        <v>2</v>
      </c>
      <c r="T3061" s="50">
        <f t="shared" ref="T3061:U3064" si="298">IF(
    OR(ISBLANK(O3061), ISBLANK(P3061)),
    "",
    MAX(1, IF(
        NETWORKDAYS(O3061, P3061) &lt;= 0,
        1,
        NETWORKDAYS(O3061, P3061) - IF(O3061 = P3061, 0, 1)
    ))
)</f>
        <v>2</v>
      </c>
      <c r="U3061" s="50">
        <f t="shared" si="298"/>
        <v>1</v>
      </c>
      <c r="V3061" s="50">
        <f t="shared" si="297"/>
        <v>1</v>
      </c>
      <c r="W3061" s="50" t="s">
        <v>150</v>
      </c>
      <c r="X3061" s="50" t="s">
        <v>4</v>
      </c>
      <c r="Y3061" s="50" t="s">
        <v>50</v>
      </c>
      <c r="Z3061" s="50" t="s">
        <v>3406</v>
      </c>
      <c r="AA3061" s="50"/>
    </row>
    <row r="3062" spans="1:27" ht="25.5" customHeight="1">
      <c r="A3062" s="50" t="s">
        <v>780</v>
      </c>
      <c r="B3062" s="51" t="s">
        <v>1233</v>
      </c>
      <c r="C3062" s="51" t="s">
        <v>159</v>
      </c>
      <c r="D3062" s="51" t="s">
        <v>6556</v>
      </c>
      <c r="E3062" s="50">
        <v>1822</v>
      </c>
      <c r="F3062" s="50">
        <v>2257</v>
      </c>
      <c r="G3062" s="50" t="s">
        <v>3404</v>
      </c>
      <c r="H3062" s="50">
        <v>2024</v>
      </c>
      <c r="I3062" s="107">
        <v>45511</v>
      </c>
      <c r="J3062" s="105"/>
      <c r="K3062" s="105"/>
      <c r="L3062" s="105" t="s">
        <v>163</v>
      </c>
      <c r="M3062" s="50" t="s">
        <v>2393</v>
      </c>
      <c r="N3062" s="105"/>
      <c r="O3062" s="105"/>
      <c r="P3062" s="105"/>
      <c r="Q3062" s="105"/>
      <c r="R3062" s="60"/>
      <c r="S3062" s="50" t="str">
        <f t="shared" si="296"/>
        <v/>
      </c>
      <c r="T3062" s="50" t="str">
        <f t="shared" si="298"/>
        <v/>
      </c>
      <c r="U3062" s="50" t="str">
        <f t="shared" si="298"/>
        <v/>
      </c>
      <c r="V3062" s="50" t="str">
        <f t="shared" si="297"/>
        <v/>
      </c>
      <c r="W3062" s="50"/>
      <c r="X3062" s="50" t="s">
        <v>4</v>
      </c>
      <c r="Y3062" s="50" t="s">
        <v>50</v>
      </c>
      <c r="Z3062" s="50" t="s">
        <v>3406</v>
      </c>
      <c r="AA3062" s="50"/>
    </row>
    <row r="3063" spans="1:27" ht="25.5" customHeight="1">
      <c r="A3063" s="517" t="s">
        <v>780</v>
      </c>
      <c r="B3063" s="51" t="s">
        <v>1240</v>
      </c>
      <c r="C3063" s="51" t="s">
        <v>159</v>
      </c>
      <c r="D3063" s="51" t="s">
        <v>6557</v>
      </c>
      <c r="E3063" s="50">
        <v>523</v>
      </c>
      <c r="F3063" s="50">
        <v>555</v>
      </c>
      <c r="G3063" s="50" t="s">
        <v>3955</v>
      </c>
      <c r="H3063" s="50"/>
      <c r="I3063" s="106"/>
      <c r="J3063" s="105"/>
      <c r="K3063" s="105"/>
      <c r="L3063" s="105" t="s">
        <v>163</v>
      </c>
      <c r="M3063" s="50" t="s">
        <v>2393</v>
      </c>
      <c r="N3063" s="105"/>
      <c r="O3063" s="105"/>
      <c r="P3063" s="105"/>
      <c r="Q3063" s="105"/>
      <c r="R3063" s="60"/>
      <c r="S3063" s="50" t="str">
        <f t="shared" si="296"/>
        <v/>
      </c>
      <c r="T3063" s="50" t="str">
        <f t="shared" si="298"/>
        <v/>
      </c>
      <c r="U3063" s="50" t="str">
        <f t="shared" si="298"/>
        <v/>
      </c>
      <c r="V3063" s="50" t="str">
        <f t="shared" si="297"/>
        <v/>
      </c>
      <c r="W3063" s="50"/>
      <c r="X3063" s="50"/>
      <c r="Y3063" s="50"/>
      <c r="Z3063" s="50" t="s">
        <v>3406</v>
      </c>
      <c r="AA3063" s="50"/>
    </row>
    <row r="3064" spans="1:27" s="110" customFormat="1" ht="25.5" customHeight="1">
      <c r="A3064" s="50" t="s">
        <v>780</v>
      </c>
      <c r="B3064" s="51" t="s">
        <v>1240</v>
      </c>
      <c r="C3064" s="51" t="s">
        <v>159</v>
      </c>
      <c r="D3064" s="51" t="s">
        <v>6558</v>
      </c>
      <c r="E3064" s="50">
        <v>925</v>
      </c>
      <c r="F3064" s="50">
        <v>1029</v>
      </c>
      <c r="G3064" s="50" t="s">
        <v>3404</v>
      </c>
      <c r="H3064" s="50">
        <v>2024</v>
      </c>
      <c r="I3064" s="107">
        <v>45581</v>
      </c>
      <c r="J3064" s="105"/>
      <c r="K3064" s="105"/>
      <c r="L3064" s="105" t="s">
        <v>163</v>
      </c>
      <c r="M3064" s="50" t="s">
        <v>2393</v>
      </c>
      <c r="N3064" s="105"/>
      <c r="O3064" s="105"/>
      <c r="P3064" s="105"/>
      <c r="Q3064" s="105"/>
      <c r="R3064" s="60"/>
      <c r="S3064" s="50" t="str">
        <f t="shared" si="296"/>
        <v/>
      </c>
      <c r="T3064" s="50" t="str">
        <f t="shared" si="298"/>
        <v/>
      </c>
      <c r="U3064" s="50" t="str">
        <f t="shared" si="298"/>
        <v/>
      </c>
      <c r="V3064" s="50" t="str">
        <f t="shared" si="297"/>
        <v/>
      </c>
      <c r="W3064" s="50"/>
      <c r="X3064" s="50" t="s">
        <v>1078</v>
      </c>
      <c r="Y3064" s="50" t="s">
        <v>50</v>
      </c>
      <c r="Z3064" s="50" t="s">
        <v>3406</v>
      </c>
      <c r="AA3064" s="50"/>
    </row>
    <row r="3065" spans="1:27" ht="25.5" customHeight="1">
      <c r="A3065" s="517" t="s">
        <v>780</v>
      </c>
      <c r="B3065" s="51" t="s">
        <v>1240</v>
      </c>
      <c r="C3065" s="51" t="s">
        <v>159</v>
      </c>
      <c r="D3065" s="51" t="s">
        <v>6559</v>
      </c>
      <c r="E3065" s="50">
        <v>3925</v>
      </c>
      <c r="F3065" s="50">
        <v>4116</v>
      </c>
      <c r="G3065" s="50" t="s">
        <v>3404</v>
      </c>
      <c r="H3065" s="50">
        <v>2025</v>
      </c>
      <c r="I3065" s="107">
        <v>45730</v>
      </c>
      <c r="J3065" s="105" t="s">
        <v>3416</v>
      </c>
      <c r="K3065" s="105" t="s">
        <v>42</v>
      </c>
      <c r="L3065" s="105" t="s">
        <v>163</v>
      </c>
      <c r="M3065" s="50" t="s">
        <v>2393</v>
      </c>
      <c r="N3065" s="50" t="s">
        <v>6560</v>
      </c>
      <c r="O3065" s="107">
        <v>45733</v>
      </c>
      <c r="P3065" s="107">
        <v>45733</v>
      </c>
      <c r="Q3065" s="107">
        <v>45733</v>
      </c>
      <c r="R3065" s="107">
        <v>45733</v>
      </c>
      <c r="S3065" s="50">
        <f t="shared" si="296"/>
        <v>1</v>
      </c>
      <c r="T3065" s="50">
        <f>IF(
    OR(ISBLANK(P3065), ISBLANK(Q3065)),
    "",
    MAX(1, IF(
        NETWORKDAYS(P3065, Q3065) &lt;= 0,
        1,
        NETWORKDAYS(P3065, Q3065) - IF(P3065 = Q3065, 0, 1)
    ))
)</f>
        <v>1</v>
      </c>
      <c r="U3065" s="50">
        <f>IF(
    OR(ISBLANK(Q3065), ISBLANK(R3065)),
    "",
    MAX(1, IF(
        NETWORKDAYS(P3065, Q3065) &lt;= 0,
        1,
        NETWORKDAYS(P3065, Q3065) - IF(P3065 = Q3065, 0, 1)
    ))
)</f>
        <v>1</v>
      </c>
      <c r="V3065" s="50">
        <f t="shared" si="297"/>
        <v>1</v>
      </c>
      <c r="W3065" s="50" t="s">
        <v>150</v>
      </c>
      <c r="X3065" s="50" t="s">
        <v>1078</v>
      </c>
      <c r="Y3065" s="50" t="s">
        <v>50</v>
      </c>
      <c r="Z3065" s="50" t="s">
        <v>3406</v>
      </c>
      <c r="AA3065" s="50"/>
    </row>
    <row r="3066" spans="1:27" s="110" customFormat="1" ht="25.5" customHeight="1">
      <c r="A3066" s="54" t="s">
        <v>780</v>
      </c>
      <c r="B3066" s="54" t="s">
        <v>1240</v>
      </c>
      <c r="C3066" s="51" t="s">
        <v>159</v>
      </c>
      <c r="D3066" s="54" t="s">
        <v>6561</v>
      </c>
      <c r="E3066" s="54">
        <v>2379</v>
      </c>
      <c r="F3066" s="54">
        <v>2645</v>
      </c>
      <c r="G3066" s="141" t="s">
        <v>3404</v>
      </c>
      <c r="H3066" s="141">
        <v>2024</v>
      </c>
      <c r="I3066" s="526">
        <v>45428</v>
      </c>
      <c r="J3066" s="109"/>
      <c r="K3066" s="109"/>
      <c r="L3066" s="140" t="s">
        <v>163</v>
      </c>
      <c r="M3066" s="141" t="s">
        <v>2393</v>
      </c>
      <c r="N3066" s="109"/>
      <c r="O3066" s="109"/>
      <c r="P3066" s="109"/>
      <c r="Q3066" s="109"/>
      <c r="R3066" s="60"/>
      <c r="S3066" s="50" t="str">
        <f t="shared" si="296"/>
        <v/>
      </c>
      <c r="T3066" s="50" t="str">
        <f>IF(
    OR(ISBLANK(O3066), ISBLANK(P3066)),
    "",
    MAX(1, IF(
        NETWORKDAYS(O3066, P3066) &lt;= 0,
        1,
        NETWORKDAYS(O3066, P3066) - IF(O3066 = P3066, 0, 1)
    ))
)</f>
        <v/>
      </c>
      <c r="U3066" s="50" t="str">
        <f>IF(
    OR(ISBLANK(P3066), ISBLANK(Q3066)),
    "",
    MAX(1, IF(
        NETWORKDAYS(P3066, Q3066) &lt;= 0,
        1,
        NETWORKDAYS(P3066, Q3066) - IF(P3066 = Q3066, 0, 1)
    ))
)</f>
        <v/>
      </c>
      <c r="V3066" s="50" t="str">
        <f t="shared" si="297"/>
        <v/>
      </c>
      <c r="W3066" s="50"/>
      <c r="X3066" s="50" t="s">
        <v>1078</v>
      </c>
      <c r="Y3066" s="54" t="s">
        <v>50</v>
      </c>
      <c r="Z3066" s="54" t="s">
        <v>3406</v>
      </c>
      <c r="AA3066" s="54"/>
    </row>
    <row r="3067" spans="1:27" ht="25.5" customHeight="1">
      <c r="A3067" s="517" t="s">
        <v>780</v>
      </c>
      <c r="B3067" s="51" t="s">
        <v>1240</v>
      </c>
      <c r="C3067" s="51" t="s">
        <v>159</v>
      </c>
      <c r="D3067" s="51" t="s">
        <v>6562</v>
      </c>
      <c r="E3067" s="50">
        <v>3375</v>
      </c>
      <c r="F3067" s="50">
        <v>3648</v>
      </c>
      <c r="G3067" s="50" t="s">
        <v>3404</v>
      </c>
      <c r="H3067" s="50">
        <v>2025</v>
      </c>
      <c r="I3067" s="107">
        <v>45793</v>
      </c>
      <c r="J3067" s="105" t="s">
        <v>3532</v>
      </c>
      <c r="K3067" s="105" t="s">
        <v>42</v>
      </c>
      <c r="L3067" s="105" t="s">
        <v>163</v>
      </c>
      <c r="M3067" s="50" t="s">
        <v>2393</v>
      </c>
      <c r="N3067" s="105" t="s">
        <v>6563</v>
      </c>
      <c r="O3067" s="132">
        <v>45797</v>
      </c>
      <c r="P3067" s="132">
        <v>45797</v>
      </c>
      <c r="Q3067" s="132">
        <v>45797</v>
      </c>
      <c r="R3067" s="132">
        <v>45797</v>
      </c>
      <c r="S3067" s="50">
        <f t="shared" si="296"/>
        <v>2</v>
      </c>
      <c r="T3067" s="50">
        <f>IF(
    OR(ISBLANK(P3067), ISBLANK(Q3067)),
    "",
    MAX(1, IF(
        NETWORKDAYS(P3067, Q3067) &lt;= 0,
        1,
        NETWORKDAYS(P3067, Q3067) - IF(P3067 = Q3067, 0, 1)
    ))
)</f>
        <v>1</v>
      </c>
      <c r="U3067" s="50">
        <f>IF(
    OR(ISBLANK(Q3067), ISBLANK(R3067)),
    "",
    MAX(1, IF(
        NETWORKDAYS(P3067, Q3067) &lt;= 0,
        1,
        NETWORKDAYS(P3067, Q3067) - IF(P3067 = Q3067, 0, 1)
    ))
)</f>
        <v>1</v>
      </c>
      <c r="V3067" s="50">
        <f t="shared" si="297"/>
        <v>1</v>
      </c>
      <c r="W3067" s="50" t="s">
        <v>150</v>
      </c>
      <c r="X3067" s="50" t="s">
        <v>1078</v>
      </c>
      <c r="Y3067" s="50" t="s">
        <v>50</v>
      </c>
      <c r="Z3067" s="50" t="s">
        <v>3406</v>
      </c>
      <c r="AA3067" s="50"/>
    </row>
    <row r="3068" spans="1:27" ht="25.5" customHeight="1">
      <c r="A3068" s="50" t="s">
        <v>780</v>
      </c>
      <c r="B3068" s="51" t="s">
        <v>1240</v>
      </c>
      <c r="C3068" s="51" t="s">
        <v>159</v>
      </c>
      <c r="D3068" s="51" t="s">
        <v>6564</v>
      </c>
      <c r="E3068" s="50">
        <v>1244</v>
      </c>
      <c r="F3068" s="50">
        <v>1441</v>
      </c>
      <c r="G3068" s="50" t="s">
        <v>3404</v>
      </c>
      <c r="H3068" s="50">
        <v>2024</v>
      </c>
      <c r="I3068" s="107">
        <v>45581</v>
      </c>
      <c r="J3068" s="105"/>
      <c r="K3068" s="105"/>
      <c r="L3068" s="105" t="s">
        <v>163</v>
      </c>
      <c r="M3068" s="50" t="s">
        <v>2393</v>
      </c>
      <c r="N3068" s="105"/>
      <c r="O3068" s="105"/>
      <c r="P3068" s="105"/>
      <c r="Q3068" s="105"/>
      <c r="R3068" s="60"/>
      <c r="S3068" s="50" t="str">
        <f t="shared" si="296"/>
        <v/>
      </c>
      <c r="T3068" s="50" t="str">
        <f>IF(
    OR(ISBLANK(O3068), ISBLANK(P3068)),
    "",
    MAX(1, IF(
        NETWORKDAYS(O3068, P3068) &lt;= 0,
        1,
        NETWORKDAYS(O3068, P3068) - IF(O3068 = P3068, 0, 1)
    ))
)</f>
        <v/>
      </c>
      <c r="U3068" s="50" t="str">
        <f>IF(
    OR(ISBLANK(P3068), ISBLANK(Q3068)),
    "",
    MAX(1, IF(
        NETWORKDAYS(P3068, Q3068) &lt;= 0,
        1,
        NETWORKDAYS(P3068, Q3068) - IF(P3068 = Q3068, 0, 1)
    ))
)</f>
        <v/>
      </c>
      <c r="V3068" s="50" t="str">
        <f t="shared" si="297"/>
        <v/>
      </c>
      <c r="W3068" s="50"/>
      <c r="X3068" s="50" t="s">
        <v>4</v>
      </c>
      <c r="Y3068" s="50" t="s">
        <v>50</v>
      </c>
      <c r="Z3068" s="50" t="s">
        <v>3406</v>
      </c>
      <c r="AA3068" s="50"/>
    </row>
    <row r="3069" spans="1:27" ht="25.5" customHeight="1">
      <c r="A3069" s="517" t="s">
        <v>780</v>
      </c>
      <c r="B3069" s="51" t="s">
        <v>1240</v>
      </c>
      <c r="C3069" s="51" t="s">
        <v>159</v>
      </c>
      <c r="D3069" s="51" t="s">
        <v>6565</v>
      </c>
      <c r="E3069" s="50">
        <v>1225</v>
      </c>
      <c r="F3069" s="50">
        <v>1180</v>
      </c>
      <c r="G3069" s="50" t="s">
        <v>3404</v>
      </c>
      <c r="H3069" s="50">
        <v>2025</v>
      </c>
      <c r="I3069" s="107">
        <v>45793</v>
      </c>
      <c r="J3069" s="105" t="s">
        <v>3532</v>
      </c>
      <c r="K3069" s="105" t="s">
        <v>42</v>
      </c>
      <c r="L3069" s="105" t="s">
        <v>163</v>
      </c>
      <c r="M3069" s="50" t="s">
        <v>2393</v>
      </c>
      <c r="N3069" s="105" t="s">
        <v>6566</v>
      </c>
      <c r="O3069" s="132">
        <v>45797</v>
      </c>
      <c r="P3069" s="132">
        <v>45797</v>
      </c>
      <c r="Q3069" s="132">
        <v>45797</v>
      </c>
      <c r="R3069" s="132">
        <v>45797</v>
      </c>
      <c r="S3069" s="50">
        <f t="shared" si="296"/>
        <v>2</v>
      </c>
      <c r="T3069" s="50">
        <f t="shared" ref="T3069:T3074" si="299">IF(
    OR(ISBLANK(P3069), ISBLANK(Q3069)),
    "",
    MAX(1, IF(
        NETWORKDAYS(P3069, Q3069) &lt;= 0,
        1,
        NETWORKDAYS(P3069, Q3069) - IF(P3069 = Q3069, 0, 1)
    ))
)</f>
        <v>1</v>
      </c>
      <c r="U3069" s="50">
        <f t="shared" ref="U3069:U3074" si="300">IF(
    OR(ISBLANK(Q3069), ISBLANK(R3069)),
    "",
    MAX(1, IF(
        NETWORKDAYS(P3069, Q3069) &lt;= 0,
        1,
        NETWORKDAYS(P3069, Q3069) - IF(P3069 = Q3069, 0, 1)
    ))
)</f>
        <v>1</v>
      </c>
      <c r="V3069" s="50">
        <f t="shared" si="297"/>
        <v>1</v>
      </c>
      <c r="W3069" s="50" t="s">
        <v>150</v>
      </c>
      <c r="X3069" s="50" t="s">
        <v>1078</v>
      </c>
      <c r="Y3069" s="50" t="s">
        <v>50</v>
      </c>
      <c r="Z3069" s="50" t="s">
        <v>3406</v>
      </c>
      <c r="AA3069" s="50"/>
    </row>
    <row r="3070" spans="1:27" ht="25.5" customHeight="1">
      <c r="A3070" s="517" t="s">
        <v>780</v>
      </c>
      <c r="B3070" s="51" t="s">
        <v>1240</v>
      </c>
      <c r="C3070" s="51" t="s">
        <v>159</v>
      </c>
      <c r="D3070" s="51" t="s">
        <v>6567</v>
      </c>
      <c r="E3070" s="50">
        <v>2025</v>
      </c>
      <c r="F3070" s="50">
        <v>2102</v>
      </c>
      <c r="G3070" s="50" t="s">
        <v>3404</v>
      </c>
      <c r="H3070" s="50">
        <v>2025</v>
      </c>
      <c r="I3070" s="107">
        <v>45751</v>
      </c>
      <c r="J3070" s="105" t="s">
        <v>3470</v>
      </c>
      <c r="K3070" s="105" t="s">
        <v>42</v>
      </c>
      <c r="L3070" s="105" t="s">
        <v>163</v>
      </c>
      <c r="M3070" s="50" t="s">
        <v>2393</v>
      </c>
      <c r="N3070" s="105" t="s">
        <v>6568</v>
      </c>
      <c r="O3070" s="132">
        <v>45754</v>
      </c>
      <c r="P3070" s="132">
        <v>45755</v>
      </c>
      <c r="Q3070" s="132">
        <v>45755</v>
      </c>
      <c r="R3070" s="132">
        <v>45755</v>
      </c>
      <c r="S3070" s="50">
        <f t="shared" si="296"/>
        <v>1</v>
      </c>
      <c r="T3070" s="50">
        <f t="shared" si="299"/>
        <v>1</v>
      </c>
      <c r="U3070" s="50">
        <f t="shared" si="300"/>
        <v>1</v>
      </c>
      <c r="V3070" s="50">
        <f t="shared" si="297"/>
        <v>1</v>
      </c>
      <c r="W3070" s="50" t="s">
        <v>150</v>
      </c>
      <c r="X3070" s="50" t="s">
        <v>1078</v>
      </c>
      <c r="Y3070" s="50" t="s">
        <v>50</v>
      </c>
      <c r="Z3070" s="50" t="s">
        <v>3406</v>
      </c>
      <c r="AA3070" s="50"/>
    </row>
    <row r="3071" spans="1:27" ht="25.5" customHeight="1">
      <c r="A3071" s="517" t="s">
        <v>780</v>
      </c>
      <c r="B3071" s="51" t="s">
        <v>1240</v>
      </c>
      <c r="C3071" s="51" t="s">
        <v>159</v>
      </c>
      <c r="D3071" s="51" t="s">
        <v>6569</v>
      </c>
      <c r="E3071" s="50">
        <v>1351</v>
      </c>
      <c r="F3071" s="50">
        <v>1657</v>
      </c>
      <c r="G3071" s="50" t="s">
        <v>3404</v>
      </c>
      <c r="H3071" s="50">
        <v>2025</v>
      </c>
      <c r="I3071" s="107">
        <v>45825</v>
      </c>
      <c r="J3071" s="105" t="s">
        <v>3689</v>
      </c>
      <c r="K3071" s="105" t="s">
        <v>42</v>
      </c>
      <c r="L3071" s="105" t="s">
        <v>163</v>
      </c>
      <c r="M3071" s="50" t="s">
        <v>2393</v>
      </c>
      <c r="N3071" s="105" t="s">
        <v>6570</v>
      </c>
      <c r="O3071" s="132">
        <v>45826</v>
      </c>
      <c r="P3071" s="132">
        <v>45826</v>
      </c>
      <c r="Q3071" s="132">
        <v>45826</v>
      </c>
      <c r="R3071" s="132">
        <v>45826</v>
      </c>
      <c r="S3071" s="50">
        <f t="shared" si="296"/>
        <v>1</v>
      </c>
      <c r="T3071" s="50">
        <f t="shared" si="299"/>
        <v>1</v>
      </c>
      <c r="U3071" s="50">
        <f t="shared" si="300"/>
        <v>1</v>
      </c>
      <c r="V3071" s="50">
        <f t="shared" si="297"/>
        <v>1</v>
      </c>
      <c r="W3071" s="50" t="s">
        <v>150</v>
      </c>
      <c r="X3071" s="50" t="s">
        <v>4</v>
      </c>
      <c r="Y3071" s="50" t="s">
        <v>50</v>
      </c>
      <c r="Z3071" s="50" t="s">
        <v>3406</v>
      </c>
      <c r="AA3071" s="50"/>
    </row>
    <row r="3072" spans="1:27" ht="25.5" customHeight="1">
      <c r="A3072" s="517" t="s">
        <v>780</v>
      </c>
      <c r="B3072" s="51" t="s">
        <v>1240</v>
      </c>
      <c r="C3072" s="51" t="s">
        <v>159</v>
      </c>
      <c r="D3072" s="51" t="s">
        <v>6571</v>
      </c>
      <c r="E3072" s="50">
        <v>3356</v>
      </c>
      <c r="F3072" s="50">
        <v>3418</v>
      </c>
      <c r="G3072" s="50" t="s">
        <v>3404</v>
      </c>
      <c r="H3072" s="50">
        <v>2025</v>
      </c>
      <c r="I3072" s="107">
        <v>45825</v>
      </c>
      <c r="J3072" s="105" t="s">
        <v>3689</v>
      </c>
      <c r="K3072" s="105" t="s">
        <v>42</v>
      </c>
      <c r="L3072" s="105" t="s">
        <v>163</v>
      </c>
      <c r="M3072" s="50" t="s">
        <v>2393</v>
      </c>
      <c r="N3072" s="105" t="s">
        <v>6572</v>
      </c>
      <c r="O3072" s="132">
        <v>45826</v>
      </c>
      <c r="P3072" s="132">
        <v>45826</v>
      </c>
      <c r="Q3072" s="132">
        <v>45826</v>
      </c>
      <c r="R3072" s="132">
        <v>45826</v>
      </c>
      <c r="S3072" s="50">
        <f t="shared" si="296"/>
        <v>1</v>
      </c>
      <c r="T3072" s="50">
        <f t="shared" si="299"/>
        <v>1</v>
      </c>
      <c r="U3072" s="50">
        <f t="shared" si="300"/>
        <v>1</v>
      </c>
      <c r="V3072" s="50">
        <f t="shared" si="297"/>
        <v>1</v>
      </c>
      <c r="W3072" s="50" t="s">
        <v>150</v>
      </c>
      <c r="X3072" s="50" t="s">
        <v>3527</v>
      </c>
      <c r="Y3072" s="50" t="s">
        <v>3528</v>
      </c>
      <c r="Z3072" s="50" t="s">
        <v>3406</v>
      </c>
      <c r="AA3072" s="50"/>
    </row>
    <row r="3073" spans="1:27" s="110" customFormat="1" ht="25.5" customHeight="1">
      <c r="A3073" s="517" t="s">
        <v>780</v>
      </c>
      <c r="B3073" s="51" t="s">
        <v>1240</v>
      </c>
      <c r="C3073" s="51" t="s">
        <v>159</v>
      </c>
      <c r="D3073" s="51" t="s">
        <v>6472</v>
      </c>
      <c r="E3073" s="50">
        <v>6190</v>
      </c>
      <c r="F3073" s="50">
        <v>6446</v>
      </c>
      <c r="G3073" s="50" t="s">
        <v>3404</v>
      </c>
      <c r="H3073" s="50">
        <v>2025</v>
      </c>
      <c r="I3073" s="107">
        <v>45751</v>
      </c>
      <c r="J3073" s="105" t="s">
        <v>3470</v>
      </c>
      <c r="K3073" s="105" t="s">
        <v>42</v>
      </c>
      <c r="L3073" s="105" t="s">
        <v>163</v>
      </c>
      <c r="M3073" s="50" t="s">
        <v>2393</v>
      </c>
      <c r="N3073" s="105" t="s">
        <v>6573</v>
      </c>
      <c r="O3073" s="132">
        <v>45754</v>
      </c>
      <c r="P3073" s="132">
        <v>45755</v>
      </c>
      <c r="Q3073" s="132">
        <v>45755</v>
      </c>
      <c r="R3073" s="132">
        <v>45755</v>
      </c>
      <c r="S3073" s="50">
        <f t="shared" si="296"/>
        <v>1</v>
      </c>
      <c r="T3073" s="50">
        <f t="shared" si="299"/>
        <v>1</v>
      </c>
      <c r="U3073" s="50">
        <f t="shared" si="300"/>
        <v>1</v>
      </c>
      <c r="V3073" s="50">
        <f t="shared" si="297"/>
        <v>1</v>
      </c>
      <c r="W3073" s="50" t="s">
        <v>150</v>
      </c>
      <c r="X3073" s="50" t="s">
        <v>1078</v>
      </c>
      <c r="Y3073" s="50" t="s">
        <v>50</v>
      </c>
      <c r="Z3073" s="50" t="s">
        <v>3406</v>
      </c>
      <c r="AA3073" s="50"/>
    </row>
    <row r="3074" spans="1:27" ht="25.5" customHeight="1">
      <c r="A3074" s="517" t="s">
        <v>780</v>
      </c>
      <c r="B3074" s="51" t="s">
        <v>1240</v>
      </c>
      <c r="C3074" s="51" t="s">
        <v>159</v>
      </c>
      <c r="D3074" s="51" t="s">
        <v>5278</v>
      </c>
      <c r="E3074" s="50">
        <v>1553</v>
      </c>
      <c r="F3074" s="50">
        <v>1801</v>
      </c>
      <c r="G3074" s="50" t="s">
        <v>3404</v>
      </c>
      <c r="H3074" s="50">
        <v>2025</v>
      </c>
      <c r="I3074" s="107">
        <v>45825</v>
      </c>
      <c r="J3074" s="105" t="s">
        <v>3689</v>
      </c>
      <c r="K3074" s="105" t="s">
        <v>42</v>
      </c>
      <c r="L3074" s="105" t="s">
        <v>163</v>
      </c>
      <c r="M3074" s="50" t="s">
        <v>2393</v>
      </c>
      <c r="N3074" s="105" t="s">
        <v>6574</v>
      </c>
      <c r="O3074" s="132">
        <v>45826</v>
      </c>
      <c r="P3074" s="132">
        <v>45826</v>
      </c>
      <c r="Q3074" s="132">
        <v>45826</v>
      </c>
      <c r="R3074" s="132">
        <v>45826</v>
      </c>
      <c r="S3074" s="50">
        <f t="shared" si="296"/>
        <v>1</v>
      </c>
      <c r="T3074" s="50">
        <f t="shared" si="299"/>
        <v>1</v>
      </c>
      <c r="U3074" s="50">
        <f t="shared" si="300"/>
        <v>1</v>
      </c>
      <c r="V3074" s="50">
        <f t="shared" si="297"/>
        <v>1</v>
      </c>
      <c r="W3074" s="50" t="s">
        <v>150</v>
      </c>
      <c r="X3074" s="50" t="s">
        <v>3527</v>
      </c>
      <c r="Y3074" s="50" t="s">
        <v>3528</v>
      </c>
      <c r="Z3074" s="50" t="s">
        <v>3406</v>
      </c>
      <c r="AA3074" s="50"/>
    </row>
    <row r="3075" spans="1:27" ht="25.5" customHeight="1">
      <c r="A3075" s="54" t="s">
        <v>780</v>
      </c>
      <c r="B3075" s="54" t="s">
        <v>1240</v>
      </c>
      <c r="C3075" s="51" t="s">
        <v>159</v>
      </c>
      <c r="D3075" s="54" t="s">
        <v>6575</v>
      </c>
      <c r="E3075" s="54">
        <v>2521</v>
      </c>
      <c r="F3075" s="54">
        <v>2657</v>
      </c>
      <c r="G3075" s="141" t="s">
        <v>3404</v>
      </c>
      <c r="H3075" s="141">
        <v>2024</v>
      </c>
      <c r="I3075" s="526">
        <v>45428</v>
      </c>
      <c r="J3075" s="109"/>
      <c r="K3075" s="109"/>
      <c r="L3075" s="140" t="s">
        <v>163</v>
      </c>
      <c r="M3075" s="141" t="s">
        <v>2393</v>
      </c>
      <c r="N3075" s="109"/>
      <c r="O3075" s="109"/>
      <c r="P3075" s="109"/>
      <c r="Q3075" s="109"/>
      <c r="R3075" s="60"/>
      <c r="S3075" s="50" t="str">
        <f t="shared" si="296"/>
        <v/>
      </c>
      <c r="T3075" s="50" t="str">
        <f t="shared" ref="T3075:U3079" si="301">IF(
    OR(ISBLANK(O3075), ISBLANK(P3075)),
    "",
    MAX(1, IF(
        NETWORKDAYS(O3075, P3075) &lt;= 0,
        1,
        NETWORKDAYS(O3075, P3075) - IF(O3075 = P3075, 0, 1)
    ))
)</f>
        <v/>
      </c>
      <c r="U3075" s="50" t="str">
        <f t="shared" si="301"/>
        <v/>
      </c>
      <c r="V3075" s="50" t="str">
        <f t="shared" si="297"/>
        <v/>
      </c>
      <c r="W3075" s="50"/>
      <c r="X3075" s="50" t="s">
        <v>1078</v>
      </c>
      <c r="Y3075" s="54" t="s">
        <v>50</v>
      </c>
      <c r="Z3075" s="54" t="s">
        <v>3406</v>
      </c>
      <c r="AA3075" s="54"/>
    </row>
    <row r="3076" spans="1:27" ht="25.5" customHeight="1">
      <c r="A3076" s="54" t="s">
        <v>780</v>
      </c>
      <c r="B3076" s="54" t="s">
        <v>1240</v>
      </c>
      <c r="C3076" s="51" t="s">
        <v>159</v>
      </c>
      <c r="D3076" s="54" t="s">
        <v>6576</v>
      </c>
      <c r="E3076" s="54">
        <v>3941</v>
      </c>
      <c r="F3076" s="54">
        <v>4284</v>
      </c>
      <c r="G3076" s="141" t="s">
        <v>3404</v>
      </c>
      <c r="H3076" s="141">
        <v>2024</v>
      </c>
      <c r="I3076" s="526">
        <v>45428</v>
      </c>
      <c r="J3076" s="109"/>
      <c r="K3076" s="109"/>
      <c r="L3076" s="140" t="s">
        <v>163</v>
      </c>
      <c r="M3076" s="141" t="s">
        <v>2393</v>
      </c>
      <c r="N3076" s="109"/>
      <c r="O3076" s="109"/>
      <c r="P3076" s="109"/>
      <c r="Q3076" s="109"/>
      <c r="R3076" s="60"/>
      <c r="S3076" s="50" t="str">
        <f t="shared" si="296"/>
        <v/>
      </c>
      <c r="T3076" s="50" t="str">
        <f t="shared" si="301"/>
        <v/>
      </c>
      <c r="U3076" s="50" t="str">
        <f t="shared" si="301"/>
        <v/>
      </c>
      <c r="V3076" s="50" t="str">
        <f t="shared" si="297"/>
        <v/>
      </c>
      <c r="W3076" s="50"/>
      <c r="X3076" s="50" t="s">
        <v>1078</v>
      </c>
      <c r="Y3076" s="54" t="s">
        <v>50</v>
      </c>
      <c r="Z3076" s="54" t="s">
        <v>3406</v>
      </c>
      <c r="AA3076" s="54"/>
    </row>
    <row r="3077" spans="1:27" ht="25.5" customHeight="1">
      <c r="A3077" s="50" t="s">
        <v>780</v>
      </c>
      <c r="B3077" s="51" t="s">
        <v>1240</v>
      </c>
      <c r="C3077" s="51" t="s">
        <v>159</v>
      </c>
      <c r="D3077" s="51" t="s">
        <v>6577</v>
      </c>
      <c r="E3077" s="50">
        <v>2299</v>
      </c>
      <c r="F3077" s="50">
        <v>2781</v>
      </c>
      <c r="G3077" s="50" t="s">
        <v>3404</v>
      </c>
      <c r="H3077" s="50">
        <v>2024</v>
      </c>
      <c r="I3077" s="107">
        <v>45581</v>
      </c>
      <c r="J3077" s="105"/>
      <c r="K3077" s="105"/>
      <c r="L3077" s="105" t="s">
        <v>163</v>
      </c>
      <c r="M3077" s="50" t="s">
        <v>2393</v>
      </c>
      <c r="N3077" s="105"/>
      <c r="O3077" s="105"/>
      <c r="P3077" s="105"/>
      <c r="Q3077" s="105"/>
      <c r="R3077" s="60"/>
      <c r="S3077" s="50" t="str">
        <f t="shared" si="296"/>
        <v/>
      </c>
      <c r="T3077" s="50" t="str">
        <f t="shared" si="301"/>
        <v/>
      </c>
      <c r="U3077" s="50" t="str">
        <f t="shared" si="301"/>
        <v/>
      </c>
      <c r="V3077" s="50" t="str">
        <f t="shared" si="297"/>
        <v/>
      </c>
      <c r="W3077" s="50"/>
      <c r="X3077" s="50" t="s">
        <v>1078</v>
      </c>
      <c r="Y3077" s="50" t="s">
        <v>3528</v>
      </c>
      <c r="Z3077" s="50" t="s">
        <v>3406</v>
      </c>
      <c r="AA3077" s="50"/>
    </row>
    <row r="3078" spans="1:27" ht="25.5" customHeight="1">
      <c r="A3078" s="50" t="s">
        <v>780</v>
      </c>
      <c r="B3078" s="51" t="s">
        <v>1240</v>
      </c>
      <c r="C3078" s="51" t="s">
        <v>159</v>
      </c>
      <c r="D3078" s="51" t="s">
        <v>6578</v>
      </c>
      <c r="E3078" s="50">
        <v>2021</v>
      </c>
      <c r="F3078" s="50">
        <v>2524</v>
      </c>
      <c r="G3078" s="50" t="s">
        <v>3404</v>
      </c>
      <c r="H3078" s="50">
        <v>2024</v>
      </c>
      <c r="I3078" s="107">
        <v>45428</v>
      </c>
      <c r="J3078" s="105"/>
      <c r="K3078" s="105"/>
      <c r="L3078" s="105" t="s">
        <v>163</v>
      </c>
      <c r="M3078" s="50" t="s">
        <v>2393</v>
      </c>
      <c r="N3078" s="105"/>
      <c r="O3078" s="105"/>
      <c r="P3078" s="105"/>
      <c r="Q3078" s="105"/>
      <c r="R3078" s="60"/>
      <c r="S3078" s="50" t="str">
        <f t="shared" si="296"/>
        <v/>
      </c>
      <c r="T3078" s="50" t="str">
        <f t="shared" si="301"/>
        <v/>
      </c>
      <c r="U3078" s="50" t="str">
        <f t="shared" si="301"/>
        <v/>
      </c>
      <c r="V3078" s="50" t="str">
        <f t="shared" si="297"/>
        <v/>
      </c>
      <c r="W3078" s="50"/>
      <c r="X3078" s="50" t="s">
        <v>1078</v>
      </c>
      <c r="Y3078" s="50" t="s">
        <v>50</v>
      </c>
      <c r="Z3078" s="50" t="s">
        <v>3406</v>
      </c>
      <c r="AA3078" s="50"/>
    </row>
    <row r="3079" spans="1:27" ht="25.5" customHeight="1">
      <c r="A3079" s="50" t="s">
        <v>780</v>
      </c>
      <c r="B3079" s="51" t="s">
        <v>1240</v>
      </c>
      <c r="C3079" s="51" t="s">
        <v>159</v>
      </c>
      <c r="D3079" s="51" t="s">
        <v>6579</v>
      </c>
      <c r="E3079" s="50">
        <v>3101</v>
      </c>
      <c r="F3079" s="50">
        <v>3560</v>
      </c>
      <c r="G3079" s="50" t="s">
        <v>3404</v>
      </c>
      <c r="H3079" s="50">
        <v>2024</v>
      </c>
      <c r="I3079" s="107">
        <v>45581</v>
      </c>
      <c r="J3079" s="105"/>
      <c r="K3079" s="105"/>
      <c r="L3079" s="105" t="s">
        <v>163</v>
      </c>
      <c r="M3079" s="50" t="s">
        <v>2393</v>
      </c>
      <c r="N3079" s="105"/>
      <c r="O3079" s="105"/>
      <c r="P3079" s="105"/>
      <c r="Q3079" s="105"/>
      <c r="R3079" s="60"/>
      <c r="S3079" s="50" t="str">
        <f t="shared" si="296"/>
        <v/>
      </c>
      <c r="T3079" s="50" t="str">
        <f t="shared" si="301"/>
        <v/>
      </c>
      <c r="U3079" s="50" t="str">
        <f t="shared" si="301"/>
        <v/>
      </c>
      <c r="V3079" s="50" t="str">
        <f t="shared" si="297"/>
        <v/>
      </c>
      <c r="W3079" s="50"/>
      <c r="X3079" s="50" t="s">
        <v>1078</v>
      </c>
      <c r="Y3079" s="50" t="s">
        <v>3528</v>
      </c>
      <c r="Z3079" s="50" t="s">
        <v>3406</v>
      </c>
      <c r="AA3079" s="50"/>
    </row>
    <row r="3080" spans="1:27" ht="25.5" customHeight="1">
      <c r="A3080" s="517" t="s">
        <v>780</v>
      </c>
      <c r="B3080" s="51" t="s">
        <v>1240</v>
      </c>
      <c r="C3080" s="51" t="s">
        <v>159</v>
      </c>
      <c r="D3080" s="51" t="s">
        <v>6580</v>
      </c>
      <c r="E3080" s="50">
        <v>1193</v>
      </c>
      <c r="F3080" s="50">
        <v>1261</v>
      </c>
      <c r="G3080" s="50" t="s">
        <v>3404</v>
      </c>
      <c r="H3080" s="50">
        <v>2025</v>
      </c>
      <c r="I3080" s="107">
        <v>45793</v>
      </c>
      <c r="J3080" s="105" t="s">
        <v>3532</v>
      </c>
      <c r="K3080" s="105" t="s">
        <v>42</v>
      </c>
      <c r="L3080" s="105" t="s">
        <v>163</v>
      </c>
      <c r="M3080" s="50" t="s">
        <v>2393</v>
      </c>
      <c r="N3080" s="105" t="s">
        <v>6581</v>
      </c>
      <c r="O3080" s="132">
        <v>45797</v>
      </c>
      <c r="P3080" s="132">
        <v>45797</v>
      </c>
      <c r="Q3080" s="132">
        <v>45797</v>
      </c>
      <c r="R3080" s="132">
        <v>45797</v>
      </c>
      <c r="S3080" s="50">
        <f t="shared" si="296"/>
        <v>2</v>
      </c>
      <c r="T3080" s="50">
        <f>IF(
    OR(ISBLANK(P3080), ISBLANK(Q3080)),
    "",
    MAX(1, IF(
        NETWORKDAYS(P3080, Q3080) &lt;= 0,
        1,
        NETWORKDAYS(P3080, Q3080) - IF(P3080 = Q3080, 0, 1)
    ))
)</f>
        <v>1</v>
      </c>
      <c r="U3080" s="50">
        <f>IF(
    OR(ISBLANK(Q3080), ISBLANK(R3080)),
    "",
    MAX(1, IF(
        NETWORKDAYS(P3080, Q3080) &lt;= 0,
        1,
        NETWORKDAYS(P3080, Q3080) - IF(P3080 = Q3080, 0, 1)
    ))
)</f>
        <v>1</v>
      </c>
      <c r="V3080" s="50">
        <f t="shared" si="297"/>
        <v>1</v>
      </c>
      <c r="W3080" s="50" t="s">
        <v>150</v>
      </c>
      <c r="X3080" s="50" t="s">
        <v>1078</v>
      </c>
      <c r="Y3080" s="50" t="s">
        <v>50</v>
      </c>
      <c r="Z3080" s="50" t="s">
        <v>3406</v>
      </c>
      <c r="AA3080" s="50"/>
    </row>
    <row r="3081" spans="1:27" ht="25.5" customHeight="1">
      <c r="A3081" s="50" t="s">
        <v>780</v>
      </c>
      <c r="B3081" s="51" t="s">
        <v>1240</v>
      </c>
      <c r="C3081" s="51" t="s">
        <v>159</v>
      </c>
      <c r="D3081" s="51" t="s">
        <v>4991</v>
      </c>
      <c r="E3081" s="50">
        <v>3033</v>
      </c>
      <c r="F3081" s="50">
        <v>3163</v>
      </c>
      <c r="G3081" s="50" t="s">
        <v>3404</v>
      </c>
      <c r="H3081" s="50">
        <v>2024</v>
      </c>
      <c r="I3081" s="107">
        <v>45581</v>
      </c>
      <c r="J3081" s="105"/>
      <c r="K3081" s="105"/>
      <c r="L3081" s="105" t="s">
        <v>163</v>
      </c>
      <c r="M3081" s="50" t="s">
        <v>2393</v>
      </c>
      <c r="N3081" s="105"/>
      <c r="O3081" s="105"/>
      <c r="P3081" s="105"/>
      <c r="Q3081" s="105"/>
      <c r="R3081" s="60"/>
      <c r="S3081" s="50" t="str">
        <f t="shared" si="296"/>
        <v/>
      </c>
      <c r="T3081" s="50" t="str">
        <f>IF(
    OR(ISBLANK(O3081), ISBLANK(P3081)),
    "",
    MAX(1, IF(
        NETWORKDAYS(O3081, P3081) &lt;= 0,
        1,
        NETWORKDAYS(O3081, P3081) - IF(O3081 = P3081, 0, 1)
    ))
)</f>
        <v/>
      </c>
      <c r="U3081" s="50" t="str">
        <f>IF(
    OR(ISBLANK(P3081), ISBLANK(Q3081)),
    "",
    MAX(1, IF(
        NETWORKDAYS(P3081, Q3081) &lt;= 0,
        1,
        NETWORKDAYS(P3081, Q3081) - IF(P3081 = Q3081, 0, 1)
    ))
)</f>
        <v/>
      </c>
      <c r="V3081" s="50" t="str">
        <f t="shared" si="297"/>
        <v/>
      </c>
      <c r="W3081" s="50"/>
      <c r="X3081" s="50" t="s">
        <v>1078</v>
      </c>
      <c r="Y3081" s="50" t="s">
        <v>3528</v>
      </c>
      <c r="Z3081" s="50" t="s">
        <v>3406</v>
      </c>
      <c r="AA3081" s="50"/>
    </row>
    <row r="3082" spans="1:27" ht="25.5" customHeight="1">
      <c r="A3082" s="517" t="s">
        <v>780</v>
      </c>
      <c r="B3082" s="51" t="s">
        <v>1240</v>
      </c>
      <c r="C3082" s="51" t="s">
        <v>159</v>
      </c>
      <c r="D3082" s="51" t="s">
        <v>2068</v>
      </c>
      <c r="E3082" s="50">
        <v>3437</v>
      </c>
      <c r="F3082" s="50">
        <v>3705</v>
      </c>
      <c r="G3082" s="50" t="s">
        <v>3404</v>
      </c>
      <c r="H3082" s="50">
        <v>2025</v>
      </c>
      <c r="I3082" s="107">
        <v>45758</v>
      </c>
      <c r="J3082" s="105" t="s">
        <v>3470</v>
      </c>
      <c r="K3082" s="105" t="s">
        <v>42</v>
      </c>
      <c r="L3082" s="105" t="s">
        <v>163</v>
      </c>
      <c r="M3082" s="50" t="s">
        <v>2393</v>
      </c>
      <c r="N3082" s="105" t="s">
        <v>6582</v>
      </c>
      <c r="O3082" s="132">
        <v>45761</v>
      </c>
      <c r="P3082" s="132">
        <v>45761</v>
      </c>
      <c r="Q3082" s="132">
        <v>45761</v>
      </c>
      <c r="R3082" s="132">
        <v>45761</v>
      </c>
      <c r="S3082" s="50">
        <f t="shared" si="296"/>
        <v>1</v>
      </c>
      <c r="T3082" s="50">
        <f>IF(
    OR(ISBLANK(P3082), ISBLANK(Q3082)),
    "",
    MAX(1, IF(
        NETWORKDAYS(P3082, Q3082) &lt;= 0,
        1,
        NETWORKDAYS(P3082, Q3082) - IF(P3082 = Q3082, 0, 1)
    ))
)</f>
        <v>1</v>
      </c>
      <c r="U3082" s="50">
        <f>IF(
    OR(ISBLANK(Q3082), ISBLANK(R3082)),
    "",
    MAX(1, IF(
        NETWORKDAYS(P3082, Q3082) &lt;= 0,
        1,
        NETWORKDAYS(P3082, Q3082) - IF(P3082 = Q3082, 0, 1)
    ))
)</f>
        <v>1</v>
      </c>
      <c r="V3082" s="50">
        <f t="shared" si="297"/>
        <v>1</v>
      </c>
      <c r="W3082" s="50" t="s">
        <v>150</v>
      </c>
      <c r="X3082" s="50" t="s">
        <v>3527</v>
      </c>
      <c r="Y3082" s="50" t="s">
        <v>3528</v>
      </c>
      <c r="Z3082" s="50" t="s">
        <v>3406</v>
      </c>
      <c r="AA3082" s="50"/>
    </row>
    <row r="3083" spans="1:27" ht="25.5" customHeight="1">
      <c r="A3083" s="517" t="s">
        <v>780</v>
      </c>
      <c r="B3083" s="51" t="s">
        <v>1240</v>
      </c>
      <c r="C3083" s="51" t="s">
        <v>159</v>
      </c>
      <c r="D3083" s="51" t="s">
        <v>1241</v>
      </c>
      <c r="E3083" s="50">
        <v>1138</v>
      </c>
      <c r="F3083" s="50">
        <v>1410</v>
      </c>
      <c r="G3083" s="50" t="s">
        <v>3404</v>
      </c>
      <c r="H3083" s="50">
        <v>2025</v>
      </c>
      <c r="I3083" s="107">
        <v>45793</v>
      </c>
      <c r="J3083" s="105" t="s">
        <v>3532</v>
      </c>
      <c r="K3083" s="105" t="s">
        <v>42</v>
      </c>
      <c r="L3083" s="105" t="s">
        <v>163</v>
      </c>
      <c r="M3083" s="50" t="s">
        <v>2393</v>
      </c>
      <c r="N3083" s="105" t="s">
        <v>6583</v>
      </c>
      <c r="O3083" s="132">
        <v>45797</v>
      </c>
      <c r="P3083" s="132">
        <v>45797</v>
      </c>
      <c r="Q3083" s="132">
        <v>45797</v>
      </c>
      <c r="R3083" s="132">
        <v>45797</v>
      </c>
      <c r="S3083" s="50">
        <f t="shared" si="296"/>
        <v>2</v>
      </c>
      <c r="T3083" s="50">
        <f>IF(
    OR(ISBLANK(P3083), ISBLANK(Q3083)),
    "",
    MAX(1, IF(
        NETWORKDAYS(P3083, Q3083) &lt;= 0,
        1,
        NETWORKDAYS(P3083, Q3083) - IF(P3083 = Q3083, 0, 1)
    ))
)</f>
        <v>1</v>
      </c>
      <c r="U3083" s="50">
        <f>IF(
    OR(ISBLANK(Q3083), ISBLANK(R3083)),
    "",
    MAX(1, IF(
        NETWORKDAYS(P3083, Q3083) &lt;= 0,
        1,
        NETWORKDAYS(P3083, Q3083) - IF(P3083 = Q3083, 0, 1)
    ))
)</f>
        <v>1</v>
      </c>
      <c r="V3083" s="50">
        <f t="shared" si="297"/>
        <v>1</v>
      </c>
      <c r="W3083" s="50" t="s">
        <v>150</v>
      </c>
      <c r="X3083" s="50" t="s">
        <v>1078</v>
      </c>
      <c r="Y3083" s="50" t="s">
        <v>50</v>
      </c>
      <c r="Z3083" s="50" t="s">
        <v>3406</v>
      </c>
      <c r="AA3083" s="50"/>
    </row>
    <row r="3084" spans="1:27" ht="25.5" customHeight="1">
      <c r="A3084" s="517" t="s">
        <v>780</v>
      </c>
      <c r="B3084" s="51" t="s">
        <v>1240</v>
      </c>
      <c r="C3084" s="51" t="s">
        <v>159</v>
      </c>
      <c r="D3084" s="51" t="s">
        <v>1953</v>
      </c>
      <c r="E3084" s="50">
        <v>2227</v>
      </c>
      <c r="F3084" s="50">
        <v>2597</v>
      </c>
      <c r="G3084" s="50" t="s">
        <v>3404</v>
      </c>
      <c r="H3084" s="50">
        <v>2025</v>
      </c>
      <c r="I3084" s="107">
        <v>45825</v>
      </c>
      <c r="J3084" s="105" t="s">
        <v>3689</v>
      </c>
      <c r="K3084" s="105" t="s">
        <v>42</v>
      </c>
      <c r="L3084" s="105" t="s">
        <v>163</v>
      </c>
      <c r="M3084" s="50" t="s">
        <v>2393</v>
      </c>
      <c r="N3084" s="105" t="s">
        <v>6584</v>
      </c>
      <c r="O3084" s="132">
        <v>45826</v>
      </c>
      <c r="P3084" s="132">
        <v>45826</v>
      </c>
      <c r="Q3084" s="132">
        <v>45826</v>
      </c>
      <c r="R3084" s="132">
        <v>45826</v>
      </c>
      <c r="S3084" s="50">
        <f t="shared" si="296"/>
        <v>1</v>
      </c>
      <c r="T3084" s="50">
        <f>IF(
    OR(ISBLANK(P3084), ISBLANK(Q3084)),
    "",
    MAX(1, IF(
        NETWORKDAYS(P3084, Q3084) &lt;= 0,
        1,
        NETWORKDAYS(P3084, Q3084) - IF(P3084 = Q3084, 0, 1)
    ))
)</f>
        <v>1</v>
      </c>
      <c r="U3084" s="50">
        <f>IF(
    OR(ISBLANK(Q3084), ISBLANK(R3084)),
    "",
    MAX(1, IF(
        NETWORKDAYS(P3084, Q3084) &lt;= 0,
        1,
        NETWORKDAYS(P3084, Q3084) - IF(P3084 = Q3084, 0, 1)
    ))
)</f>
        <v>1</v>
      </c>
      <c r="V3084" s="50">
        <f t="shared" si="297"/>
        <v>1</v>
      </c>
      <c r="W3084" s="50" t="s">
        <v>150</v>
      </c>
      <c r="X3084" s="50" t="s">
        <v>1078</v>
      </c>
      <c r="Y3084" s="50" t="s">
        <v>57</v>
      </c>
      <c r="Z3084" s="50" t="s">
        <v>3406</v>
      </c>
      <c r="AA3084" s="50"/>
    </row>
    <row r="3085" spans="1:27" ht="25.5" customHeight="1">
      <c r="A3085" s="517" t="s">
        <v>780</v>
      </c>
      <c r="B3085" s="51" t="s">
        <v>1240</v>
      </c>
      <c r="C3085" s="51" t="s">
        <v>159</v>
      </c>
      <c r="D3085" s="51" t="s">
        <v>6585</v>
      </c>
      <c r="E3085" s="50">
        <v>593</v>
      </c>
      <c r="F3085" s="50">
        <v>601</v>
      </c>
      <c r="G3085" s="50" t="s">
        <v>3404</v>
      </c>
      <c r="H3085" s="50">
        <v>2025</v>
      </c>
      <c r="I3085" s="107">
        <v>45751</v>
      </c>
      <c r="J3085" s="105" t="s">
        <v>3470</v>
      </c>
      <c r="K3085" s="105" t="s">
        <v>42</v>
      </c>
      <c r="L3085" s="105" t="s">
        <v>163</v>
      </c>
      <c r="M3085" s="50" t="s">
        <v>2393</v>
      </c>
      <c r="N3085" s="105" t="s">
        <v>6586</v>
      </c>
      <c r="O3085" s="132">
        <v>45754</v>
      </c>
      <c r="P3085" s="132">
        <v>45755</v>
      </c>
      <c r="Q3085" s="132">
        <v>45755</v>
      </c>
      <c r="R3085" s="132">
        <v>45755</v>
      </c>
      <c r="S3085" s="50">
        <f t="shared" si="296"/>
        <v>1</v>
      </c>
      <c r="T3085" s="50">
        <f>IF(
    OR(ISBLANK(P3085), ISBLANK(Q3085)),
    "",
    MAX(1, IF(
        NETWORKDAYS(P3085, Q3085) &lt;= 0,
        1,
        NETWORKDAYS(P3085, Q3085) - IF(P3085 = Q3085, 0, 1)
    ))
)</f>
        <v>1</v>
      </c>
      <c r="U3085" s="50">
        <f>IF(
    OR(ISBLANK(Q3085), ISBLANK(R3085)),
    "",
    MAX(1, IF(
        NETWORKDAYS(P3085, Q3085) &lt;= 0,
        1,
        NETWORKDAYS(P3085, Q3085) - IF(P3085 = Q3085, 0, 1)
    ))
)</f>
        <v>1</v>
      </c>
      <c r="V3085" s="50">
        <f t="shared" si="297"/>
        <v>1</v>
      </c>
      <c r="W3085" s="50" t="s">
        <v>150</v>
      </c>
      <c r="X3085" s="50" t="s">
        <v>1078</v>
      </c>
      <c r="Y3085" s="50" t="s">
        <v>50</v>
      </c>
      <c r="Z3085" s="50" t="s">
        <v>3406</v>
      </c>
      <c r="AA3085" s="50"/>
    </row>
    <row r="3086" spans="1:27" s="110" customFormat="1" ht="25.5" customHeight="1">
      <c r="A3086" s="517" t="s">
        <v>780</v>
      </c>
      <c r="B3086" s="51" t="s">
        <v>1240</v>
      </c>
      <c r="C3086" s="51" t="s">
        <v>159</v>
      </c>
      <c r="D3086" s="51" t="s">
        <v>6587</v>
      </c>
      <c r="E3086" s="50">
        <v>2514</v>
      </c>
      <c r="F3086" s="50">
        <v>2839</v>
      </c>
      <c r="G3086" s="50" t="s">
        <v>3404</v>
      </c>
      <c r="H3086" s="50">
        <v>2025</v>
      </c>
      <c r="I3086" s="107">
        <v>45825</v>
      </c>
      <c r="J3086" s="105" t="s">
        <v>3689</v>
      </c>
      <c r="K3086" s="105" t="s">
        <v>42</v>
      </c>
      <c r="L3086" s="105" t="s">
        <v>163</v>
      </c>
      <c r="M3086" s="50" t="s">
        <v>2393</v>
      </c>
      <c r="N3086" s="105" t="s">
        <v>6588</v>
      </c>
      <c r="O3086" s="107">
        <v>45826</v>
      </c>
      <c r="P3086" s="107">
        <v>45826</v>
      </c>
      <c r="Q3086" s="107">
        <v>45826</v>
      </c>
      <c r="R3086" s="107">
        <v>45826</v>
      </c>
      <c r="S3086" s="50">
        <f t="shared" si="296"/>
        <v>1</v>
      </c>
      <c r="T3086" s="50">
        <f>IF(
    OR(ISBLANK(P3086), ISBLANK(Q3086)),
    "",
    MAX(1, IF(
        NETWORKDAYS(P3086, Q3086) &lt;= 0,
        1,
        NETWORKDAYS(P3086, Q3086) - IF(P3086 = Q3086, 0, 1)
    ))
)</f>
        <v>1</v>
      </c>
      <c r="U3086" s="50">
        <f>IF(
    OR(ISBLANK(Q3086), ISBLANK(R3086)),
    "",
    MAX(1, IF(
        NETWORKDAYS(P3086, Q3086) &lt;= 0,
        1,
        NETWORKDAYS(P3086, Q3086) - IF(P3086 = Q3086, 0, 1)
    ))
)</f>
        <v>1</v>
      </c>
      <c r="V3086" s="50">
        <f t="shared" si="297"/>
        <v>1</v>
      </c>
      <c r="W3086" s="50" t="s">
        <v>150</v>
      </c>
      <c r="X3086" s="50" t="s">
        <v>1078</v>
      </c>
      <c r="Y3086" s="50" t="s">
        <v>50</v>
      </c>
      <c r="Z3086" s="50" t="s">
        <v>3406</v>
      </c>
      <c r="AA3086" s="50"/>
    </row>
    <row r="3087" spans="1:27" ht="25.5" customHeight="1">
      <c r="A3087" s="517" t="s">
        <v>780</v>
      </c>
      <c r="B3087" s="51" t="s">
        <v>1240</v>
      </c>
      <c r="C3087" s="51" t="s">
        <v>159</v>
      </c>
      <c r="D3087" s="51" t="s">
        <v>6589</v>
      </c>
      <c r="E3087" s="50">
        <v>2062</v>
      </c>
      <c r="F3087" s="50">
        <v>2419</v>
      </c>
      <c r="G3087" s="50" t="s">
        <v>3404</v>
      </c>
      <c r="H3087" s="50">
        <v>2025</v>
      </c>
      <c r="I3087" s="107">
        <v>45972</v>
      </c>
      <c r="J3087" s="105" t="s">
        <v>3129</v>
      </c>
      <c r="K3087" s="105" t="s">
        <v>42</v>
      </c>
      <c r="L3087" s="105" t="s">
        <v>163</v>
      </c>
      <c r="M3087" s="50" t="s">
        <v>2393</v>
      </c>
      <c r="N3087" s="107" t="s">
        <v>6590</v>
      </c>
      <c r="O3087" s="107">
        <v>45972</v>
      </c>
      <c r="P3087" s="107">
        <v>45972</v>
      </c>
      <c r="Q3087" s="107">
        <v>45973</v>
      </c>
      <c r="R3087" s="107">
        <v>45975</v>
      </c>
      <c r="S3087" s="50">
        <f t="shared" si="296"/>
        <v>1</v>
      </c>
      <c r="T3087" s="50">
        <f t="shared" ref="T3087:T3103" si="302">IF(
    OR(ISBLANK(O3087), ISBLANK(P3087)),
    "",
    MAX(1, IF(
        NETWORKDAYS(O3087, P3087) &lt;= 0,
        1,
        NETWORKDAYS(O3087, P3087) - IF(O3087 = P3087, 0, 1)
    ))
)</f>
        <v>1</v>
      </c>
      <c r="U3087" s="50">
        <f t="shared" ref="U3087:U3103" si="303">IF(
    OR(ISBLANK(P3087), ISBLANK(Q3087)),
    "",
    MAX(1, IF(
        NETWORKDAYS(P3087, Q3087) &lt;= 0,
        1,
        NETWORKDAYS(P3087, Q3087) - IF(P3087 = Q3087, 0, 1)
    ))
)</f>
        <v>1</v>
      </c>
      <c r="V3087" s="50">
        <f t="shared" si="297"/>
        <v>2</v>
      </c>
      <c r="W3087" s="50" t="s">
        <v>150</v>
      </c>
      <c r="X3087" s="50" t="s">
        <v>1078</v>
      </c>
      <c r="Y3087" s="50" t="s">
        <v>57</v>
      </c>
      <c r="Z3087" s="50" t="s">
        <v>3406</v>
      </c>
      <c r="AA3087" s="50"/>
    </row>
    <row r="3088" spans="1:27" ht="25.5" customHeight="1">
      <c r="A3088" s="50" t="s">
        <v>780</v>
      </c>
      <c r="B3088" s="51" t="s">
        <v>2071</v>
      </c>
      <c r="C3088" s="51" t="s">
        <v>159</v>
      </c>
      <c r="D3088" s="51" t="s">
        <v>6591</v>
      </c>
      <c r="E3088" s="50">
        <v>5357</v>
      </c>
      <c r="F3088" s="50">
        <v>5676</v>
      </c>
      <c r="G3088" s="50" t="s">
        <v>3404</v>
      </c>
      <c r="H3088" s="50">
        <v>2024</v>
      </c>
      <c r="I3088" s="107">
        <v>45545</v>
      </c>
      <c r="J3088" s="105"/>
      <c r="K3088" s="105"/>
      <c r="L3088" s="105" t="s">
        <v>163</v>
      </c>
      <c r="M3088" s="50" t="s">
        <v>2393</v>
      </c>
      <c r="N3088" s="105"/>
      <c r="O3088" s="105"/>
      <c r="P3088" s="105"/>
      <c r="Q3088" s="105"/>
      <c r="R3088" s="60"/>
      <c r="S3088" s="50" t="str">
        <f t="shared" si="296"/>
        <v/>
      </c>
      <c r="T3088" s="50" t="str">
        <f t="shared" si="302"/>
        <v/>
      </c>
      <c r="U3088" s="50" t="str">
        <f t="shared" si="303"/>
        <v/>
      </c>
      <c r="V3088" s="50" t="str">
        <f t="shared" si="297"/>
        <v/>
      </c>
      <c r="W3088" s="50"/>
      <c r="X3088" s="50" t="s">
        <v>4</v>
      </c>
      <c r="Y3088" s="50" t="s">
        <v>50</v>
      </c>
      <c r="Z3088" s="50" t="s">
        <v>3406</v>
      </c>
      <c r="AA3088" s="50"/>
    </row>
    <row r="3089" spans="1:27" ht="25.5" customHeight="1">
      <c r="A3089" s="517" t="s">
        <v>780</v>
      </c>
      <c r="B3089" s="51" t="s">
        <v>2071</v>
      </c>
      <c r="C3089" s="51" t="s">
        <v>159</v>
      </c>
      <c r="D3089" s="51" t="s">
        <v>6592</v>
      </c>
      <c r="E3089" s="50">
        <v>1212</v>
      </c>
      <c r="F3089" s="50">
        <v>1072</v>
      </c>
      <c r="G3089" s="50" t="s">
        <v>3404</v>
      </c>
      <c r="H3089" s="50">
        <v>2025</v>
      </c>
      <c r="I3089" s="107">
        <v>45938</v>
      </c>
      <c r="J3089" s="105" t="s">
        <v>3128</v>
      </c>
      <c r="K3089" s="105" t="s">
        <v>42</v>
      </c>
      <c r="L3089" s="105" t="s">
        <v>163</v>
      </c>
      <c r="M3089" s="50" t="s">
        <v>2393</v>
      </c>
      <c r="N3089" s="105" t="s">
        <v>6593</v>
      </c>
      <c r="O3089" s="132">
        <v>45944</v>
      </c>
      <c r="P3089" s="132">
        <v>45946</v>
      </c>
      <c r="Q3089" s="132">
        <v>45946</v>
      </c>
      <c r="R3089" s="132">
        <v>45947</v>
      </c>
      <c r="S3089" s="50">
        <f t="shared" si="296"/>
        <v>4</v>
      </c>
      <c r="T3089" s="50">
        <f t="shared" si="302"/>
        <v>2</v>
      </c>
      <c r="U3089" s="50">
        <f t="shared" si="303"/>
        <v>1</v>
      </c>
      <c r="V3089" s="50">
        <f t="shared" si="297"/>
        <v>1</v>
      </c>
      <c r="W3089" s="50" t="s">
        <v>150</v>
      </c>
      <c r="X3089" s="50" t="s">
        <v>4</v>
      </c>
      <c r="Y3089" s="50" t="s">
        <v>57</v>
      </c>
      <c r="Z3089" s="50" t="s">
        <v>3406</v>
      </c>
      <c r="AA3089" s="50"/>
    </row>
    <row r="3090" spans="1:27" ht="25.5" customHeight="1">
      <c r="A3090" s="517" t="s">
        <v>780</v>
      </c>
      <c r="B3090" s="51" t="s">
        <v>2071</v>
      </c>
      <c r="C3090" s="51" t="s">
        <v>159</v>
      </c>
      <c r="D3090" s="51" t="s">
        <v>6594</v>
      </c>
      <c r="E3090" s="50">
        <v>7855</v>
      </c>
      <c r="F3090" s="50">
        <v>9049</v>
      </c>
      <c r="G3090" s="50" t="s">
        <v>3404</v>
      </c>
      <c r="H3090" s="50">
        <v>2025</v>
      </c>
      <c r="I3090" s="107">
        <v>45939</v>
      </c>
      <c r="J3090" s="105" t="s">
        <v>3128</v>
      </c>
      <c r="K3090" s="105" t="s">
        <v>42</v>
      </c>
      <c r="L3090" s="105" t="s">
        <v>163</v>
      </c>
      <c r="M3090" s="50" t="s">
        <v>2393</v>
      </c>
      <c r="N3090" s="105" t="s">
        <v>6595</v>
      </c>
      <c r="O3090" s="132">
        <v>45946</v>
      </c>
      <c r="P3090" s="132">
        <v>45946</v>
      </c>
      <c r="Q3090" s="132">
        <v>45946</v>
      </c>
      <c r="R3090" s="132">
        <v>45947</v>
      </c>
      <c r="S3090" s="50">
        <f t="shared" si="296"/>
        <v>5</v>
      </c>
      <c r="T3090" s="50">
        <f t="shared" si="302"/>
        <v>1</v>
      </c>
      <c r="U3090" s="50">
        <f t="shared" si="303"/>
        <v>1</v>
      </c>
      <c r="V3090" s="50">
        <f t="shared" si="297"/>
        <v>1</v>
      </c>
      <c r="W3090" s="50" t="s">
        <v>150</v>
      </c>
      <c r="X3090" s="50" t="s">
        <v>4</v>
      </c>
      <c r="Y3090" s="50" t="s">
        <v>50</v>
      </c>
      <c r="Z3090" s="50" t="s">
        <v>3406</v>
      </c>
      <c r="AA3090" s="50"/>
    </row>
    <row r="3091" spans="1:27" ht="25.5" customHeight="1">
      <c r="A3091" s="517" t="s">
        <v>780</v>
      </c>
      <c r="B3091" s="51" t="s">
        <v>2071</v>
      </c>
      <c r="C3091" s="51" t="s">
        <v>159</v>
      </c>
      <c r="D3091" s="51" t="s">
        <v>6596</v>
      </c>
      <c r="E3091" s="50">
        <v>3596</v>
      </c>
      <c r="F3091" s="50">
        <v>3369</v>
      </c>
      <c r="G3091" s="50" t="s">
        <v>3404</v>
      </c>
      <c r="H3091" s="50">
        <v>2025</v>
      </c>
      <c r="I3091" s="107">
        <v>45939</v>
      </c>
      <c r="J3091" s="105" t="s">
        <v>3128</v>
      </c>
      <c r="K3091" s="105" t="s">
        <v>42</v>
      </c>
      <c r="L3091" s="105" t="s">
        <v>163</v>
      </c>
      <c r="M3091" s="50" t="s">
        <v>2393</v>
      </c>
      <c r="N3091" s="105" t="s">
        <v>6597</v>
      </c>
      <c r="O3091" s="132">
        <v>45946</v>
      </c>
      <c r="P3091" s="132">
        <v>45946</v>
      </c>
      <c r="Q3091" s="132">
        <v>45946</v>
      </c>
      <c r="R3091" s="132">
        <v>45947</v>
      </c>
      <c r="S3091" s="50">
        <f t="shared" si="296"/>
        <v>5</v>
      </c>
      <c r="T3091" s="50">
        <f t="shared" si="302"/>
        <v>1</v>
      </c>
      <c r="U3091" s="50">
        <f t="shared" si="303"/>
        <v>1</v>
      </c>
      <c r="V3091" s="50">
        <f t="shared" si="297"/>
        <v>1</v>
      </c>
      <c r="W3091" s="50" t="s">
        <v>150</v>
      </c>
      <c r="X3091" s="50" t="s">
        <v>4</v>
      </c>
      <c r="Y3091" s="50" t="s">
        <v>57</v>
      </c>
      <c r="Z3091" s="50" t="s">
        <v>3406</v>
      </c>
      <c r="AA3091" s="50"/>
    </row>
    <row r="3092" spans="1:27" ht="25.5" customHeight="1">
      <c r="A3092" s="517" t="s">
        <v>780</v>
      </c>
      <c r="B3092" s="51" t="s">
        <v>2071</v>
      </c>
      <c r="C3092" s="51" t="s">
        <v>159</v>
      </c>
      <c r="D3092" s="51" t="s">
        <v>6598</v>
      </c>
      <c r="E3092" s="50">
        <v>1310</v>
      </c>
      <c r="F3092" s="50">
        <v>1389</v>
      </c>
      <c r="G3092" s="50" t="s">
        <v>3955</v>
      </c>
      <c r="H3092" s="50"/>
      <c r="I3092" s="106"/>
      <c r="J3092" s="105"/>
      <c r="K3092" s="105"/>
      <c r="L3092" s="105" t="s">
        <v>163</v>
      </c>
      <c r="M3092" s="50" t="s">
        <v>2393</v>
      </c>
      <c r="N3092" s="105"/>
      <c r="O3092" s="105"/>
      <c r="P3092" s="105"/>
      <c r="Q3092" s="105"/>
      <c r="R3092" s="60"/>
      <c r="S3092" s="50" t="str">
        <f t="shared" si="296"/>
        <v/>
      </c>
      <c r="T3092" s="50" t="str">
        <f t="shared" si="302"/>
        <v/>
      </c>
      <c r="U3092" s="50" t="str">
        <f t="shared" si="303"/>
        <v/>
      </c>
      <c r="V3092" s="50" t="str">
        <f t="shared" si="297"/>
        <v/>
      </c>
      <c r="W3092" s="50"/>
      <c r="X3092" s="50"/>
      <c r="Y3092" s="50"/>
      <c r="Z3092" s="50"/>
      <c r="AA3092" s="50"/>
    </row>
    <row r="3093" spans="1:27" ht="25.5" customHeight="1">
      <c r="A3093" s="517" t="s">
        <v>780</v>
      </c>
      <c r="B3093" s="51" t="s">
        <v>2071</v>
      </c>
      <c r="C3093" s="51" t="s">
        <v>159</v>
      </c>
      <c r="D3093" s="51" t="s">
        <v>6599</v>
      </c>
      <c r="E3093" s="50">
        <v>14307</v>
      </c>
      <c r="F3093" s="50">
        <v>15626</v>
      </c>
      <c r="G3093" s="50" t="s">
        <v>3404</v>
      </c>
      <c r="H3093" s="50">
        <v>2025</v>
      </c>
      <c r="I3093" s="107">
        <v>45965</v>
      </c>
      <c r="J3093" s="105" t="s">
        <v>3129</v>
      </c>
      <c r="K3093" s="105" t="s">
        <v>42</v>
      </c>
      <c r="L3093" s="105" t="s">
        <v>163</v>
      </c>
      <c r="M3093" s="50" t="s">
        <v>2393</v>
      </c>
      <c r="N3093" s="105" t="s">
        <v>6600</v>
      </c>
      <c r="O3093" s="107">
        <v>45972</v>
      </c>
      <c r="P3093" s="107">
        <v>45972</v>
      </c>
      <c r="Q3093" s="107">
        <v>45973</v>
      </c>
      <c r="R3093" s="107">
        <v>45975</v>
      </c>
      <c r="S3093" s="50">
        <f t="shared" si="296"/>
        <v>5</v>
      </c>
      <c r="T3093" s="50">
        <f t="shared" si="302"/>
        <v>1</v>
      </c>
      <c r="U3093" s="50">
        <f t="shared" si="303"/>
        <v>1</v>
      </c>
      <c r="V3093" s="50">
        <f t="shared" si="297"/>
        <v>2</v>
      </c>
      <c r="W3093" s="50" t="s">
        <v>150</v>
      </c>
      <c r="X3093" s="50" t="s">
        <v>3527</v>
      </c>
      <c r="Y3093" s="50" t="s">
        <v>3528</v>
      </c>
      <c r="Z3093" s="50" t="s">
        <v>3406</v>
      </c>
      <c r="AA3093" s="50"/>
    </row>
    <row r="3094" spans="1:27" ht="25.5" customHeight="1">
      <c r="A3094" s="517" t="s">
        <v>780</v>
      </c>
      <c r="B3094" s="51" t="s">
        <v>2071</v>
      </c>
      <c r="C3094" s="51" t="s">
        <v>159</v>
      </c>
      <c r="D3094" s="51" t="s">
        <v>6601</v>
      </c>
      <c r="E3094" s="50">
        <v>9684</v>
      </c>
      <c r="F3094" s="50">
        <v>10343</v>
      </c>
      <c r="G3094" s="50" t="s">
        <v>3404</v>
      </c>
      <c r="H3094" s="50">
        <v>2025</v>
      </c>
      <c r="I3094" s="107">
        <v>45965</v>
      </c>
      <c r="J3094" s="105" t="s">
        <v>3129</v>
      </c>
      <c r="K3094" s="105" t="s">
        <v>42</v>
      </c>
      <c r="L3094" s="105" t="s">
        <v>163</v>
      </c>
      <c r="M3094" s="50" t="s">
        <v>2393</v>
      </c>
      <c r="N3094" s="105" t="s">
        <v>6602</v>
      </c>
      <c r="O3094" s="107">
        <v>45972</v>
      </c>
      <c r="P3094" s="107">
        <v>45972</v>
      </c>
      <c r="Q3094" s="107">
        <v>45973</v>
      </c>
      <c r="R3094" s="107">
        <v>45979</v>
      </c>
      <c r="S3094" s="50">
        <f t="shared" si="296"/>
        <v>5</v>
      </c>
      <c r="T3094" s="50">
        <f t="shared" si="302"/>
        <v>1</v>
      </c>
      <c r="U3094" s="50">
        <f t="shared" si="303"/>
        <v>1</v>
      </c>
      <c r="V3094" s="50">
        <f t="shared" si="297"/>
        <v>4</v>
      </c>
      <c r="W3094" s="50" t="s">
        <v>150</v>
      </c>
      <c r="X3094" s="50" t="s">
        <v>1078</v>
      </c>
      <c r="Y3094" s="50" t="s">
        <v>50</v>
      </c>
      <c r="Z3094" s="50" t="s">
        <v>3406</v>
      </c>
      <c r="AA3094" s="50"/>
    </row>
    <row r="3095" spans="1:27" ht="25.5" customHeight="1">
      <c r="A3095" s="517" t="s">
        <v>780</v>
      </c>
      <c r="B3095" s="51" t="s">
        <v>2071</v>
      </c>
      <c r="C3095" s="51" t="s">
        <v>159</v>
      </c>
      <c r="D3095" s="51" t="s">
        <v>6603</v>
      </c>
      <c r="E3095" s="50">
        <v>15956</v>
      </c>
      <c r="F3095" s="50">
        <v>16982</v>
      </c>
      <c r="G3095" s="50" t="s">
        <v>3404</v>
      </c>
      <c r="H3095" s="50">
        <v>2025</v>
      </c>
      <c r="I3095" s="107">
        <v>45939</v>
      </c>
      <c r="J3095" s="105" t="s">
        <v>3128</v>
      </c>
      <c r="K3095" s="105" t="s">
        <v>42</v>
      </c>
      <c r="L3095" s="105" t="s">
        <v>163</v>
      </c>
      <c r="M3095" s="50" t="s">
        <v>2393</v>
      </c>
      <c r="N3095" s="105" t="s">
        <v>6604</v>
      </c>
      <c r="O3095" s="132">
        <v>45946</v>
      </c>
      <c r="P3095" s="132">
        <v>45946</v>
      </c>
      <c r="Q3095" s="132">
        <v>45946</v>
      </c>
      <c r="R3095" s="132">
        <v>45947</v>
      </c>
      <c r="S3095" s="50">
        <f t="shared" si="296"/>
        <v>5</v>
      </c>
      <c r="T3095" s="50">
        <f t="shared" si="302"/>
        <v>1</v>
      </c>
      <c r="U3095" s="50">
        <f t="shared" si="303"/>
        <v>1</v>
      </c>
      <c r="V3095" s="50">
        <f t="shared" si="297"/>
        <v>1</v>
      </c>
      <c r="W3095" s="50" t="s">
        <v>150</v>
      </c>
      <c r="X3095" s="50" t="s">
        <v>4</v>
      </c>
      <c r="Y3095" s="50" t="s">
        <v>50</v>
      </c>
      <c r="Z3095" s="50" t="s">
        <v>3406</v>
      </c>
      <c r="AA3095" s="50"/>
    </row>
    <row r="3096" spans="1:27" ht="25.5" customHeight="1">
      <c r="A3096" s="517" t="s">
        <v>780</v>
      </c>
      <c r="B3096" s="51" t="s">
        <v>2071</v>
      </c>
      <c r="C3096" s="51" t="s">
        <v>159</v>
      </c>
      <c r="D3096" s="51" t="s">
        <v>6605</v>
      </c>
      <c r="E3096" s="50">
        <v>3226</v>
      </c>
      <c r="F3096" s="50">
        <v>2953</v>
      </c>
      <c r="G3096" s="50" t="s">
        <v>3404</v>
      </c>
      <c r="H3096" s="50">
        <v>2025</v>
      </c>
      <c r="I3096" s="107">
        <v>45965</v>
      </c>
      <c r="J3096" s="105" t="s">
        <v>3129</v>
      </c>
      <c r="K3096" s="105" t="s">
        <v>42</v>
      </c>
      <c r="L3096" s="105" t="s">
        <v>163</v>
      </c>
      <c r="M3096" s="50" t="s">
        <v>2393</v>
      </c>
      <c r="N3096" s="105" t="s">
        <v>6606</v>
      </c>
      <c r="O3096" s="107">
        <v>45972</v>
      </c>
      <c r="P3096" s="107">
        <v>45972</v>
      </c>
      <c r="Q3096" s="107">
        <v>45972</v>
      </c>
      <c r="R3096" s="107">
        <v>45972</v>
      </c>
      <c r="S3096" s="50">
        <f t="shared" si="296"/>
        <v>5</v>
      </c>
      <c r="T3096" s="50">
        <f t="shared" si="302"/>
        <v>1</v>
      </c>
      <c r="U3096" s="50">
        <f t="shared" si="303"/>
        <v>1</v>
      </c>
      <c r="V3096" s="50">
        <f t="shared" si="297"/>
        <v>1</v>
      </c>
      <c r="W3096" s="50" t="s">
        <v>150</v>
      </c>
      <c r="X3096" s="50" t="s">
        <v>4</v>
      </c>
      <c r="Y3096" s="50" t="s">
        <v>62</v>
      </c>
      <c r="Z3096" s="50" t="s">
        <v>3406</v>
      </c>
      <c r="AA3096" s="50"/>
    </row>
    <row r="3097" spans="1:27" ht="25.5" customHeight="1">
      <c r="A3097" s="517" t="s">
        <v>780</v>
      </c>
      <c r="B3097" s="51" t="s">
        <v>2071</v>
      </c>
      <c r="C3097" s="51" t="s">
        <v>159</v>
      </c>
      <c r="D3097" s="51" t="s">
        <v>6607</v>
      </c>
      <c r="E3097" s="50">
        <v>11557</v>
      </c>
      <c r="F3097" s="50">
        <v>13563</v>
      </c>
      <c r="G3097" s="50" t="s">
        <v>3404</v>
      </c>
      <c r="H3097" s="50">
        <v>2025</v>
      </c>
      <c r="I3097" s="107">
        <v>45939</v>
      </c>
      <c r="J3097" s="105" t="s">
        <v>3128</v>
      </c>
      <c r="K3097" s="105" t="s">
        <v>42</v>
      </c>
      <c r="L3097" s="105" t="s">
        <v>163</v>
      </c>
      <c r="M3097" s="50" t="s">
        <v>2393</v>
      </c>
      <c r="N3097" s="105" t="s">
        <v>6608</v>
      </c>
      <c r="O3097" s="132">
        <v>45944</v>
      </c>
      <c r="P3097" s="132">
        <v>45946</v>
      </c>
      <c r="Q3097" s="132">
        <v>45946</v>
      </c>
      <c r="R3097" s="132">
        <v>45947</v>
      </c>
      <c r="S3097" s="50">
        <f t="shared" si="296"/>
        <v>3</v>
      </c>
      <c r="T3097" s="50">
        <f t="shared" si="302"/>
        <v>2</v>
      </c>
      <c r="U3097" s="50">
        <f t="shared" si="303"/>
        <v>1</v>
      </c>
      <c r="V3097" s="50">
        <f t="shared" si="297"/>
        <v>1</v>
      </c>
      <c r="W3097" s="50" t="s">
        <v>150</v>
      </c>
      <c r="X3097" s="50" t="s">
        <v>3527</v>
      </c>
      <c r="Y3097" s="50" t="s">
        <v>3528</v>
      </c>
      <c r="Z3097" s="50" t="s">
        <v>3406</v>
      </c>
      <c r="AA3097" s="50"/>
    </row>
    <row r="3098" spans="1:27" s="110" customFormat="1" ht="25.5" customHeight="1">
      <c r="A3098" s="517" t="s">
        <v>780</v>
      </c>
      <c r="B3098" s="51" t="s">
        <v>2071</v>
      </c>
      <c r="C3098" s="51" t="s">
        <v>159</v>
      </c>
      <c r="D3098" s="51" t="s">
        <v>6609</v>
      </c>
      <c r="E3098" s="50">
        <v>8275</v>
      </c>
      <c r="F3098" s="50">
        <v>8230</v>
      </c>
      <c r="G3098" s="50" t="s">
        <v>3404</v>
      </c>
      <c r="H3098" s="50">
        <v>2025</v>
      </c>
      <c r="I3098" s="107">
        <v>45965</v>
      </c>
      <c r="J3098" s="105" t="s">
        <v>3129</v>
      </c>
      <c r="K3098" s="105" t="s">
        <v>42</v>
      </c>
      <c r="L3098" s="105" t="s">
        <v>163</v>
      </c>
      <c r="M3098" s="50" t="s">
        <v>2393</v>
      </c>
      <c r="N3098" s="105" t="s">
        <v>6610</v>
      </c>
      <c r="O3098" s="107">
        <v>45972</v>
      </c>
      <c r="P3098" s="107">
        <v>45972</v>
      </c>
      <c r="Q3098" s="107">
        <v>45972</v>
      </c>
      <c r="R3098" s="60">
        <v>45972</v>
      </c>
      <c r="S3098" s="50">
        <f t="shared" si="296"/>
        <v>5</v>
      </c>
      <c r="T3098" s="50">
        <f t="shared" si="302"/>
        <v>1</v>
      </c>
      <c r="U3098" s="50">
        <f t="shared" si="303"/>
        <v>1</v>
      </c>
      <c r="V3098" s="50">
        <f t="shared" si="297"/>
        <v>1</v>
      </c>
      <c r="W3098" s="50" t="s">
        <v>150</v>
      </c>
      <c r="X3098" s="50" t="s">
        <v>4</v>
      </c>
      <c r="Y3098" s="50" t="s">
        <v>50</v>
      </c>
      <c r="Z3098" s="50" t="s">
        <v>3406</v>
      </c>
      <c r="AA3098" s="50"/>
    </row>
    <row r="3099" spans="1:27" ht="25.5" customHeight="1">
      <c r="A3099" s="50" t="s">
        <v>780</v>
      </c>
      <c r="B3099" s="51" t="s">
        <v>2071</v>
      </c>
      <c r="C3099" s="51" t="s">
        <v>159</v>
      </c>
      <c r="D3099" s="51" t="s">
        <v>2122</v>
      </c>
      <c r="E3099" s="50">
        <v>2704</v>
      </c>
      <c r="F3099" s="50">
        <v>3257</v>
      </c>
      <c r="G3099" s="50" t="s">
        <v>3404</v>
      </c>
      <c r="H3099" s="50">
        <v>2024</v>
      </c>
      <c r="I3099" s="107">
        <v>45545</v>
      </c>
      <c r="J3099" s="105"/>
      <c r="K3099" s="105"/>
      <c r="L3099" s="105" t="s">
        <v>163</v>
      </c>
      <c r="M3099" s="50" t="s">
        <v>2393</v>
      </c>
      <c r="N3099" s="105"/>
      <c r="O3099" s="105"/>
      <c r="P3099" s="105"/>
      <c r="Q3099" s="105"/>
      <c r="R3099" s="60"/>
      <c r="S3099" s="50" t="str">
        <f t="shared" si="296"/>
        <v/>
      </c>
      <c r="T3099" s="50" t="str">
        <f t="shared" si="302"/>
        <v/>
      </c>
      <c r="U3099" s="50" t="str">
        <f t="shared" si="303"/>
        <v/>
      </c>
      <c r="V3099" s="50" t="str">
        <f t="shared" si="297"/>
        <v/>
      </c>
      <c r="W3099" s="50"/>
      <c r="X3099" s="50" t="s">
        <v>4</v>
      </c>
      <c r="Y3099" s="50" t="s">
        <v>50</v>
      </c>
      <c r="Z3099" s="50" t="s">
        <v>3406</v>
      </c>
      <c r="AA3099" s="50"/>
    </row>
    <row r="3100" spans="1:27" ht="25.5" customHeight="1">
      <c r="A3100" s="50" t="s">
        <v>780</v>
      </c>
      <c r="B3100" s="51" t="s">
        <v>2071</v>
      </c>
      <c r="C3100" s="51" t="s">
        <v>159</v>
      </c>
      <c r="D3100" s="51" t="s">
        <v>6611</v>
      </c>
      <c r="E3100" s="50">
        <v>4292</v>
      </c>
      <c r="F3100" s="50">
        <v>4923</v>
      </c>
      <c r="G3100" s="50" t="s">
        <v>3404</v>
      </c>
      <c r="H3100" s="50">
        <v>2024</v>
      </c>
      <c r="I3100" s="107">
        <v>45545</v>
      </c>
      <c r="J3100" s="105"/>
      <c r="K3100" s="105"/>
      <c r="L3100" s="105" t="s">
        <v>163</v>
      </c>
      <c r="M3100" s="50" t="s">
        <v>2393</v>
      </c>
      <c r="N3100" s="105"/>
      <c r="O3100" s="105"/>
      <c r="P3100" s="105"/>
      <c r="Q3100" s="105"/>
      <c r="R3100" s="60"/>
      <c r="S3100" s="50" t="str">
        <f t="shared" si="296"/>
        <v/>
      </c>
      <c r="T3100" s="50" t="str">
        <f t="shared" si="302"/>
        <v/>
      </c>
      <c r="U3100" s="50" t="str">
        <f t="shared" si="303"/>
        <v/>
      </c>
      <c r="V3100" s="50" t="str">
        <f t="shared" si="297"/>
        <v/>
      </c>
      <c r="W3100" s="50"/>
      <c r="X3100" s="50" t="s">
        <v>4</v>
      </c>
      <c r="Y3100" s="50" t="s">
        <v>50</v>
      </c>
      <c r="Z3100" s="50" t="s">
        <v>3406</v>
      </c>
      <c r="AA3100" s="50"/>
    </row>
    <row r="3101" spans="1:27" ht="25.5" customHeight="1">
      <c r="A3101" s="50" t="s">
        <v>780</v>
      </c>
      <c r="B3101" s="51" t="s">
        <v>2071</v>
      </c>
      <c r="C3101" s="51" t="s">
        <v>159</v>
      </c>
      <c r="D3101" s="51" t="s">
        <v>1180</v>
      </c>
      <c r="E3101" s="50">
        <v>7869</v>
      </c>
      <c r="F3101" s="50">
        <v>8709</v>
      </c>
      <c r="G3101" s="50" t="s">
        <v>3404</v>
      </c>
      <c r="H3101" s="50">
        <v>2024</v>
      </c>
      <c r="I3101" s="107">
        <v>45545</v>
      </c>
      <c r="J3101" s="105"/>
      <c r="K3101" s="105"/>
      <c r="L3101" s="105" t="s">
        <v>163</v>
      </c>
      <c r="M3101" s="50" t="s">
        <v>2393</v>
      </c>
      <c r="N3101" s="105"/>
      <c r="O3101" s="105"/>
      <c r="P3101" s="105"/>
      <c r="Q3101" s="105"/>
      <c r="R3101" s="60"/>
      <c r="S3101" s="50" t="str">
        <f t="shared" si="296"/>
        <v/>
      </c>
      <c r="T3101" s="50" t="str">
        <f t="shared" si="302"/>
        <v/>
      </c>
      <c r="U3101" s="50" t="str">
        <f t="shared" si="303"/>
        <v/>
      </c>
      <c r="V3101" s="50" t="str">
        <f t="shared" si="297"/>
        <v/>
      </c>
      <c r="W3101" s="50"/>
      <c r="X3101" s="50" t="s">
        <v>4</v>
      </c>
      <c r="Y3101" s="50" t="s">
        <v>50</v>
      </c>
      <c r="Z3101" s="50" t="s">
        <v>3406</v>
      </c>
      <c r="AA3101" s="50"/>
    </row>
    <row r="3102" spans="1:27" ht="25.5" customHeight="1">
      <c r="A3102" s="50" t="s">
        <v>780</v>
      </c>
      <c r="B3102" s="51" t="s">
        <v>2071</v>
      </c>
      <c r="C3102" s="51" t="s">
        <v>159</v>
      </c>
      <c r="D3102" s="51" t="s">
        <v>3566</v>
      </c>
      <c r="E3102" s="50">
        <v>5481</v>
      </c>
      <c r="F3102" s="50">
        <v>5427</v>
      </c>
      <c r="G3102" s="50" t="s">
        <v>3404</v>
      </c>
      <c r="H3102" s="50">
        <v>2024</v>
      </c>
      <c r="I3102" s="107">
        <v>45545</v>
      </c>
      <c r="J3102" s="105"/>
      <c r="K3102" s="105"/>
      <c r="L3102" s="105" t="s">
        <v>163</v>
      </c>
      <c r="M3102" s="50" t="s">
        <v>2393</v>
      </c>
      <c r="N3102" s="105"/>
      <c r="O3102" s="105"/>
      <c r="P3102" s="105"/>
      <c r="Q3102" s="105"/>
      <c r="R3102" s="60"/>
      <c r="S3102" s="50" t="str">
        <f t="shared" si="296"/>
        <v/>
      </c>
      <c r="T3102" s="50" t="str">
        <f t="shared" si="302"/>
        <v/>
      </c>
      <c r="U3102" s="50" t="str">
        <f t="shared" si="303"/>
        <v/>
      </c>
      <c r="V3102" s="50" t="str">
        <f t="shared" si="297"/>
        <v/>
      </c>
      <c r="W3102" s="50"/>
      <c r="X3102" s="50" t="s">
        <v>4</v>
      </c>
      <c r="Y3102" s="50" t="s">
        <v>50</v>
      </c>
      <c r="Z3102" s="50" t="s">
        <v>3406</v>
      </c>
      <c r="AA3102" s="50"/>
    </row>
    <row r="3103" spans="1:27" ht="25.5" customHeight="1">
      <c r="A3103" s="517" t="s">
        <v>780</v>
      </c>
      <c r="B3103" s="51" t="s">
        <v>2071</v>
      </c>
      <c r="C3103" s="51" t="s">
        <v>159</v>
      </c>
      <c r="D3103" s="51" t="s">
        <v>6612</v>
      </c>
      <c r="E3103" s="50">
        <v>2090</v>
      </c>
      <c r="F3103" s="50">
        <v>1344</v>
      </c>
      <c r="G3103" s="50" t="s">
        <v>3404</v>
      </c>
      <c r="H3103" s="50">
        <v>2025</v>
      </c>
      <c r="I3103" s="132">
        <v>45939</v>
      </c>
      <c r="J3103" s="50" t="s">
        <v>3128</v>
      </c>
      <c r="K3103" s="105" t="s">
        <v>42</v>
      </c>
      <c r="L3103" s="105" t="s">
        <v>163</v>
      </c>
      <c r="M3103" s="50" t="s">
        <v>2393</v>
      </c>
      <c r="N3103" s="50" t="s">
        <v>6613</v>
      </c>
      <c r="O3103" s="132">
        <v>45946</v>
      </c>
      <c r="P3103" s="132">
        <v>45946</v>
      </c>
      <c r="Q3103" s="132">
        <v>45946</v>
      </c>
      <c r="R3103" s="132">
        <v>45947</v>
      </c>
      <c r="S3103" s="50">
        <f t="shared" si="296"/>
        <v>5</v>
      </c>
      <c r="T3103" s="50">
        <f t="shared" si="302"/>
        <v>1</v>
      </c>
      <c r="U3103" s="50">
        <f t="shared" si="303"/>
        <v>1</v>
      </c>
      <c r="V3103" s="50">
        <f t="shared" si="297"/>
        <v>1</v>
      </c>
      <c r="W3103" s="50" t="s">
        <v>150</v>
      </c>
      <c r="X3103" s="50" t="s">
        <v>4</v>
      </c>
      <c r="Y3103" s="50" t="s">
        <v>50</v>
      </c>
      <c r="Z3103" s="50" t="s">
        <v>3406</v>
      </c>
      <c r="AA3103" s="50"/>
    </row>
    <row r="3104" spans="1:27" ht="25.5" customHeight="1">
      <c r="A3104" s="527"/>
      <c r="B3104" s="528"/>
      <c r="C3104" s="528"/>
      <c r="D3104" s="19"/>
      <c r="E3104" s="19"/>
      <c r="F3104" s="19"/>
      <c r="G3104" s="528"/>
      <c r="H3104" s="528"/>
      <c r="I3104" s="529"/>
      <c r="J3104" s="528"/>
      <c r="K3104" s="528"/>
      <c r="L3104" s="528"/>
      <c r="M3104" s="528"/>
      <c r="N3104" s="528"/>
      <c r="O3104" s="528"/>
      <c r="P3104" s="528"/>
      <c r="Q3104" s="528"/>
      <c r="R3104" s="60"/>
      <c r="S3104" s="528"/>
      <c r="T3104" s="50" t="str">
        <f>IF(
    OR(ISBLANK(P3104), ISBLANK(Q3104)),
    "",
    MAX(1, IF(
        NETWORKDAYS(P3104, Q3104) &lt;= 0,
        1,
        NETWORKDAYS(P3104, Q3104) - IF(P3104 = Q3104, 0, 1)
    ))
)</f>
        <v/>
      </c>
      <c r="U3104" s="528"/>
      <c r="V3104" s="528"/>
      <c r="W3104" s="528"/>
      <c r="X3104" s="528"/>
      <c r="Y3104" s="528"/>
      <c r="Z3104" s="528"/>
      <c r="AA3104" s="528"/>
    </row>
    <row r="3105" spans="1:27" ht="25.5" customHeight="1">
      <c r="A3105" s="527"/>
      <c r="B3105" s="528"/>
      <c r="C3105" s="528"/>
      <c r="D3105" s="19"/>
      <c r="E3105" s="19"/>
      <c r="F3105" s="19"/>
      <c r="G3105" s="528"/>
      <c r="H3105" s="528"/>
      <c r="I3105" s="530"/>
      <c r="J3105" s="528"/>
      <c r="K3105" s="528"/>
      <c r="L3105" s="528"/>
      <c r="M3105" s="528"/>
      <c r="N3105" s="528"/>
      <c r="O3105" s="531"/>
      <c r="P3105" s="528"/>
      <c r="Q3105" s="528"/>
      <c r="R3105" s="60"/>
      <c r="S3105" s="50" t="str">
        <f>IF(
    OR(
        ISBLANK(I3105), ISBLANK(O3105)
    ),
    "",
    IF(
        NETWORKDAYS(I3105, O3105) &lt;= 0,
        1,
        NETWORKDAYS(I3105, O3105) - IF(I3105 = O3105, 0, 1)
    )
)</f>
        <v/>
      </c>
      <c r="T3105" s="50" t="str">
        <f>IF(
    OR(ISBLANK(P3105), ISBLANK(Q3105)),
    "",
    MAX(1, IF(
        NETWORKDAYS(P3105, Q3105) &lt;= 0,
        1,
        NETWORKDAYS(P3105, Q3105) - IF(P3105 = Q3105, 0, 1)
    ))
)</f>
        <v/>
      </c>
      <c r="U3105" s="50" t="str">
        <f>IF(
    OR(
        ISBLANK(Q3105), ISBLANK(R3105)
    ),
    "",
    IF(
        NETWORKDAYS(Q3105, R3105) &lt;= 0,
        1,
        NETWORKDAYS(Q3105, R3105) - IF(Q3105 = R3105, 0, 1)
    )
)</f>
        <v/>
      </c>
      <c r="V3105" s="50" t="str">
        <f>IF(
    OR(
        ISBLANK(Q3105), ISBLANK(R3105)
    ),
    "",
    IF(
        NETWORKDAYS(Q3105, R3105) &lt;= 0,
        1,
        NETWORKDAYS(Q3105, R3105) - IF(Q3105 = R3105, 0, 1)
    )
)</f>
        <v/>
      </c>
      <c r="W3105" s="528"/>
      <c r="X3105" s="528"/>
      <c r="Y3105" s="528"/>
      <c r="Z3105" s="528"/>
      <c r="AA3105" s="528"/>
    </row>
    <row r="3106" spans="1:27" ht="25.5" customHeight="1">
      <c r="A3106" s="111"/>
      <c r="B3106" s="112"/>
      <c r="C3106" s="112"/>
      <c r="G3106" s="112"/>
      <c r="H3106" s="112"/>
      <c r="I3106" s="113"/>
      <c r="J3106" s="112"/>
      <c r="K3106" s="112"/>
      <c r="L3106" s="112"/>
      <c r="M3106" s="112"/>
      <c r="N3106" s="112"/>
      <c r="O3106" s="392"/>
      <c r="P3106" s="112"/>
      <c r="Q3106" s="392"/>
      <c r="R3106" s="392"/>
      <c r="S3106" s="52"/>
      <c r="T3106" s="52"/>
      <c r="U3106" s="52"/>
      <c r="V3106" s="112"/>
      <c r="W3106" s="112"/>
      <c r="X3106" s="112"/>
      <c r="Y3106" s="112"/>
      <c r="Z3106" s="112"/>
      <c r="AA3106" s="112"/>
    </row>
    <row r="3107" spans="1:27" ht="25.5" customHeight="1">
      <c r="A3107" s="111"/>
      <c r="B3107" s="112"/>
      <c r="C3107" s="112"/>
      <c r="G3107" s="112"/>
      <c r="H3107" s="112"/>
      <c r="I3107" s="113"/>
      <c r="J3107" s="112"/>
      <c r="K3107" s="112"/>
      <c r="L3107" s="112"/>
      <c r="M3107" s="112"/>
      <c r="N3107" s="112"/>
      <c r="O3107" s="112"/>
      <c r="P3107" s="112"/>
      <c r="Q3107" s="112"/>
      <c r="R3107" s="112"/>
      <c r="S3107" s="112"/>
      <c r="T3107" s="112"/>
      <c r="U3107" s="112"/>
      <c r="V3107" s="112"/>
      <c r="W3107" s="112"/>
      <c r="X3107" s="112"/>
      <c r="Y3107" s="112"/>
      <c r="Z3107" s="112"/>
      <c r="AA3107" s="112"/>
    </row>
    <row r="3108" spans="1:27" ht="25.5" customHeight="1">
      <c r="A3108" s="111"/>
      <c r="B3108" s="112"/>
      <c r="C3108" s="112"/>
      <c r="G3108" s="112" t="s">
        <v>956</v>
      </c>
      <c r="H3108" s="112"/>
      <c r="I3108" s="113"/>
      <c r="J3108" s="112"/>
      <c r="K3108" s="112"/>
      <c r="L3108" s="112"/>
      <c r="M3108" s="112"/>
      <c r="N3108" s="112"/>
      <c r="O3108" s="112"/>
      <c r="P3108" s="112"/>
      <c r="Q3108" s="112"/>
      <c r="R3108" s="112"/>
      <c r="S3108" s="112"/>
      <c r="T3108" s="112"/>
      <c r="U3108" s="112"/>
      <c r="V3108" s="112"/>
      <c r="W3108" s="112"/>
      <c r="X3108" s="112"/>
      <c r="Y3108" s="112"/>
      <c r="Z3108" s="112"/>
      <c r="AA3108" s="112"/>
    </row>
    <row r="3109" spans="1:27" ht="25.5" customHeight="1">
      <c r="A3109" s="111"/>
      <c r="B3109" s="112"/>
      <c r="C3109" s="112"/>
      <c r="G3109" s="112"/>
      <c r="H3109" s="112"/>
      <c r="I3109" s="113"/>
      <c r="J3109" s="112"/>
      <c r="K3109" s="112"/>
      <c r="L3109" s="112"/>
      <c r="M3109" s="112"/>
      <c r="N3109" s="112"/>
      <c r="O3109" s="112"/>
      <c r="P3109" s="112"/>
      <c r="Q3109" s="112"/>
      <c r="R3109" s="112"/>
      <c r="S3109" s="112"/>
      <c r="T3109" s="112"/>
      <c r="U3109" s="112"/>
      <c r="V3109" s="112"/>
      <c r="W3109" s="112"/>
      <c r="X3109" s="112"/>
      <c r="Y3109" s="112"/>
      <c r="Z3109" s="112"/>
      <c r="AA3109" s="112"/>
    </row>
    <row r="3110" spans="1:27" ht="25.5" customHeight="1">
      <c r="A3110" s="111"/>
      <c r="B3110" s="112"/>
      <c r="C3110" s="112"/>
      <c r="G3110" s="112"/>
      <c r="H3110" s="112"/>
      <c r="I3110" s="113"/>
      <c r="J3110" s="112"/>
      <c r="K3110" s="112"/>
      <c r="L3110" s="112"/>
      <c r="M3110" s="112"/>
      <c r="N3110" s="112"/>
      <c r="O3110" s="112"/>
      <c r="P3110" s="112"/>
      <c r="Q3110" s="112"/>
      <c r="R3110" s="112"/>
      <c r="S3110" s="112"/>
      <c r="T3110" s="112"/>
      <c r="U3110" s="112"/>
      <c r="V3110" s="112"/>
      <c r="W3110" s="112"/>
      <c r="X3110" s="112"/>
      <c r="Y3110" s="112"/>
      <c r="Z3110" s="112"/>
      <c r="AA3110" s="112"/>
    </row>
    <row r="3111" spans="1:27" ht="25.5" customHeight="1">
      <c r="A3111" s="111"/>
      <c r="B3111" s="112"/>
      <c r="C3111" s="112"/>
      <c r="G3111" s="112"/>
      <c r="H3111" s="112"/>
      <c r="I3111" s="113"/>
      <c r="J3111" s="112"/>
      <c r="K3111" s="112"/>
      <c r="L3111" s="112"/>
      <c r="M3111" s="112"/>
      <c r="N3111" s="112"/>
      <c r="O3111" s="389"/>
      <c r="P3111" s="112"/>
      <c r="Q3111" s="112"/>
      <c r="R3111" s="112"/>
      <c r="S3111" s="112"/>
      <c r="T3111" s="112"/>
      <c r="U3111" s="112"/>
      <c r="V3111" s="112"/>
      <c r="W3111" s="112"/>
      <c r="X3111" s="112"/>
      <c r="Y3111" s="112"/>
      <c r="Z3111" s="112"/>
      <c r="AA3111" s="112"/>
    </row>
    <row r="3112" spans="1:27" ht="25.5" customHeight="1">
      <c r="A3112" s="111"/>
      <c r="B3112" s="112"/>
      <c r="C3112" s="112"/>
      <c r="G3112" s="112"/>
      <c r="H3112" s="112"/>
      <c r="I3112" s="113"/>
      <c r="J3112" s="112"/>
      <c r="K3112" s="112"/>
      <c r="L3112" s="112"/>
      <c r="M3112" s="112"/>
      <c r="N3112" s="112"/>
      <c r="O3112" s="112"/>
      <c r="P3112" s="112"/>
      <c r="Q3112" s="112"/>
      <c r="R3112" s="112"/>
      <c r="S3112" s="112"/>
      <c r="T3112" s="112"/>
      <c r="U3112" s="112"/>
      <c r="V3112" s="112"/>
      <c r="W3112" s="112"/>
      <c r="X3112" s="112"/>
      <c r="Y3112" s="112"/>
      <c r="Z3112" s="112"/>
      <c r="AA3112" s="112"/>
    </row>
    <row r="3113" spans="1:27" ht="25.5" customHeight="1">
      <c r="A3113" s="111"/>
      <c r="B3113" s="112"/>
      <c r="C3113" s="112"/>
      <c r="G3113" s="112"/>
      <c r="H3113" s="112"/>
      <c r="I3113" s="113"/>
      <c r="J3113" s="112"/>
      <c r="K3113" s="112"/>
      <c r="L3113" s="112"/>
      <c r="M3113" s="112"/>
      <c r="N3113" s="112"/>
      <c r="O3113" s="112"/>
      <c r="P3113" s="112"/>
      <c r="Q3113" s="112"/>
      <c r="R3113" s="112"/>
      <c r="S3113" s="112"/>
      <c r="T3113" s="112"/>
      <c r="U3113" s="112"/>
      <c r="V3113" s="112"/>
      <c r="W3113" s="112"/>
      <c r="X3113" s="112"/>
      <c r="Y3113" s="112"/>
      <c r="Z3113" s="112"/>
      <c r="AA3113" s="112"/>
    </row>
    <row r="3114" spans="1:27" ht="25.5" customHeight="1">
      <c r="A3114" s="111"/>
      <c r="B3114" s="112"/>
      <c r="C3114" s="112"/>
      <c r="G3114" s="112"/>
      <c r="H3114" s="112"/>
      <c r="I3114" s="113"/>
      <c r="J3114" s="112"/>
      <c r="K3114" s="112"/>
      <c r="L3114" s="112"/>
      <c r="M3114" s="112"/>
      <c r="N3114" s="112"/>
      <c r="O3114" s="112"/>
      <c r="P3114" s="112"/>
      <c r="Q3114" s="112"/>
      <c r="R3114" s="112"/>
      <c r="S3114" s="112"/>
      <c r="T3114" s="112"/>
      <c r="U3114" s="112"/>
      <c r="V3114" s="112"/>
      <c r="W3114" s="112"/>
      <c r="X3114" s="112"/>
      <c r="Y3114" s="112"/>
      <c r="Z3114" s="112"/>
      <c r="AA3114" s="112"/>
    </row>
    <row r="3115" spans="1:27" ht="25.5" customHeight="1">
      <c r="A3115" s="111"/>
      <c r="B3115" s="112"/>
      <c r="C3115" s="112"/>
      <c r="G3115" s="112"/>
      <c r="H3115" s="112"/>
      <c r="I3115" s="113"/>
      <c r="J3115" s="112"/>
      <c r="K3115" s="112"/>
      <c r="L3115" s="112"/>
      <c r="M3115" s="112"/>
      <c r="N3115" s="112"/>
      <c r="O3115" s="112"/>
      <c r="P3115" s="112"/>
      <c r="Q3115" s="112"/>
      <c r="R3115" s="112"/>
      <c r="S3115" s="112"/>
      <c r="T3115" s="112"/>
      <c r="U3115" s="112"/>
      <c r="V3115" s="112"/>
      <c r="W3115" s="112"/>
      <c r="X3115" s="112"/>
      <c r="Y3115" s="112"/>
      <c r="Z3115" s="112"/>
      <c r="AA3115" s="112"/>
    </row>
    <row r="3116" spans="1:27" ht="25.5" customHeight="1">
      <c r="A3116" s="111"/>
      <c r="B3116" s="112"/>
      <c r="C3116" s="112"/>
      <c r="G3116" s="112"/>
      <c r="H3116" s="112"/>
      <c r="I3116" s="113"/>
      <c r="J3116" s="112"/>
      <c r="K3116" s="112"/>
      <c r="L3116" s="112"/>
      <c r="M3116" s="112"/>
      <c r="N3116" s="112"/>
      <c r="O3116" s="112"/>
      <c r="P3116" s="112"/>
      <c r="Q3116" s="112"/>
      <c r="R3116" s="112"/>
      <c r="S3116" s="112"/>
      <c r="T3116" s="112"/>
      <c r="U3116" s="112"/>
      <c r="V3116" s="112"/>
      <c r="W3116" s="112"/>
      <c r="X3116" s="112"/>
      <c r="Y3116" s="112"/>
      <c r="Z3116" s="112"/>
      <c r="AA3116" s="112"/>
    </row>
    <row r="3117" spans="1:27" ht="25.5" customHeight="1">
      <c r="A3117" s="111"/>
      <c r="B3117" s="112"/>
      <c r="C3117" s="112"/>
      <c r="G3117" s="112"/>
      <c r="H3117" s="112"/>
      <c r="I3117" s="113"/>
      <c r="J3117" s="112"/>
      <c r="K3117" s="112"/>
      <c r="L3117" s="112"/>
      <c r="M3117" s="112"/>
      <c r="N3117" s="112"/>
      <c r="O3117" s="112"/>
      <c r="P3117" s="112"/>
      <c r="Q3117" s="112"/>
      <c r="R3117" s="112"/>
      <c r="S3117" s="112"/>
      <c r="T3117" s="112"/>
      <c r="U3117" s="112"/>
      <c r="V3117" s="112"/>
      <c r="W3117" s="112"/>
      <c r="X3117" s="112"/>
      <c r="Y3117" s="112"/>
      <c r="Z3117" s="112"/>
      <c r="AA3117" s="112"/>
    </row>
    <row r="3118" spans="1:27" ht="25.5" customHeight="1">
      <c r="A3118" s="111"/>
      <c r="B3118" s="112"/>
      <c r="C3118" s="112"/>
      <c r="G3118" s="112"/>
      <c r="H3118" s="112"/>
      <c r="I3118" s="113"/>
      <c r="J3118" s="112"/>
      <c r="K3118" s="112"/>
      <c r="L3118" s="112"/>
      <c r="M3118" s="112"/>
      <c r="N3118" s="112"/>
      <c r="O3118" s="112"/>
      <c r="P3118" s="112"/>
      <c r="Q3118" s="112"/>
      <c r="R3118" s="112"/>
      <c r="S3118" s="112"/>
      <c r="T3118" s="112"/>
      <c r="U3118" s="112"/>
      <c r="V3118" s="112"/>
      <c r="W3118" s="112"/>
      <c r="X3118" s="112"/>
      <c r="Y3118" s="112"/>
      <c r="Z3118" s="112"/>
      <c r="AA3118" s="112"/>
    </row>
    <row r="3119" spans="1:27" ht="25.5" customHeight="1">
      <c r="A3119" s="111"/>
      <c r="B3119" s="112"/>
      <c r="C3119" s="112"/>
      <c r="G3119" s="112"/>
      <c r="H3119" s="112"/>
      <c r="I3119" s="113"/>
      <c r="J3119" s="112"/>
      <c r="K3119" s="112"/>
      <c r="L3119" s="112"/>
      <c r="M3119" s="112"/>
      <c r="N3119" s="112"/>
      <c r="O3119" s="112"/>
      <c r="P3119" s="112"/>
      <c r="Q3119" s="112"/>
      <c r="R3119" s="112"/>
      <c r="S3119" s="112"/>
      <c r="T3119" s="112"/>
      <c r="U3119" s="112"/>
      <c r="V3119" s="112"/>
      <c r="W3119" s="112"/>
      <c r="X3119" s="112"/>
      <c r="Y3119" s="112"/>
      <c r="Z3119" s="112"/>
      <c r="AA3119" s="112"/>
    </row>
    <row r="3120" spans="1:27" ht="25.5" customHeight="1">
      <c r="A3120" s="111"/>
      <c r="B3120" s="112"/>
      <c r="C3120" s="112"/>
      <c r="G3120" s="112"/>
      <c r="H3120" s="112"/>
      <c r="I3120" s="113"/>
      <c r="J3120" s="112"/>
      <c r="K3120" s="112"/>
      <c r="L3120" s="112"/>
      <c r="M3120" s="112"/>
      <c r="N3120" s="112"/>
      <c r="O3120" s="112"/>
      <c r="P3120" s="112"/>
      <c r="Q3120" s="112"/>
      <c r="R3120" s="112"/>
      <c r="S3120" s="112"/>
      <c r="T3120" s="112"/>
      <c r="U3120" s="112"/>
      <c r="V3120" s="112"/>
      <c r="W3120" s="112"/>
      <c r="X3120" s="112"/>
      <c r="Y3120" s="112"/>
      <c r="Z3120" s="112"/>
      <c r="AA3120" s="112"/>
    </row>
    <row r="3121" spans="1:27" ht="25.5" customHeight="1">
      <c r="A3121" s="111"/>
      <c r="B3121" s="112"/>
      <c r="C3121" s="112"/>
      <c r="G3121" s="112"/>
      <c r="H3121" s="112"/>
      <c r="I3121" s="113"/>
      <c r="J3121" s="112"/>
      <c r="K3121" s="112"/>
      <c r="L3121" s="112"/>
      <c r="M3121" s="112"/>
      <c r="N3121" s="112"/>
      <c r="O3121" s="112"/>
      <c r="P3121" s="112"/>
      <c r="Q3121" s="112"/>
      <c r="R3121" s="112"/>
      <c r="S3121" s="112"/>
      <c r="T3121" s="112"/>
      <c r="U3121" s="112"/>
      <c r="V3121" s="112"/>
      <c r="W3121" s="112"/>
      <c r="X3121" s="112"/>
      <c r="Y3121" s="112"/>
      <c r="Z3121" s="112"/>
      <c r="AA3121" s="112"/>
    </row>
    <row r="3122" spans="1:27" ht="25.5" customHeight="1">
      <c r="A3122" s="111"/>
      <c r="B3122" s="112"/>
      <c r="C3122" s="112"/>
      <c r="G3122" s="112"/>
      <c r="H3122" s="112"/>
      <c r="I3122" s="113"/>
      <c r="J3122" s="112"/>
      <c r="K3122" s="112"/>
      <c r="L3122" s="112"/>
      <c r="M3122" s="112"/>
      <c r="N3122" s="112"/>
      <c r="O3122" s="112"/>
      <c r="P3122" s="112"/>
      <c r="Q3122" s="112"/>
      <c r="R3122" s="112"/>
      <c r="S3122" s="112"/>
      <c r="T3122" s="112"/>
      <c r="U3122" s="112"/>
      <c r="V3122" s="112"/>
      <c r="W3122" s="112"/>
      <c r="X3122" s="112"/>
      <c r="Y3122" s="112"/>
      <c r="Z3122" s="112"/>
      <c r="AA3122" s="112"/>
    </row>
    <row r="3123" spans="1:27" ht="25.5" customHeight="1">
      <c r="A3123" s="111"/>
      <c r="B3123" s="112"/>
      <c r="C3123" s="112"/>
      <c r="G3123" s="112"/>
      <c r="H3123" s="112"/>
      <c r="I3123" s="113"/>
      <c r="J3123" s="112"/>
      <c r="K3123" s="112"/>
      <c r="L3123" s="112"/>
      <c r="M3123" s="112"/>
      <c r="N3123" s="112"/>
      <c r="O3123" s="112"/>
      <c r="P3123" s="112"/>
      <c r="Q3123" s="112"/>
      <c r="R3123" s="112"/>
      <c r="S3123" s="112"/>
      <c r="T3123" s="112"/>
      <c r="U3123" s="112"/>
      <c r="V3123" s="112"/>
      <c r="W3123" s="112"/>
      <c r="X3123" s="112"/>
      <c r="Y3123" s="112"/>
      <c r="Z3123" s="112"/>
      <c r="AA3123" s="112"/>
    </row>
    <row r="3124" spans="1:27" ht="25.5" customHeight="1">
      <c r="A3124" s="111"/>
      <c r="B3124" s="112"/>
      <c r="C3124" s="112"/>
      <c r="G3124" s="112"/>
      <c r="H3124" s="112"/>
      <c r="I3124" s="113"/>
      <c r="J3124" s="112"/>
      <c r="K3124" s="112"/>
      <c r="L3124" s="112"/>
      <c r="M3124" s="112"/>
      <c r="N3124" s="112"/>
      <c r="O3124" s="112"/>
      <c r="P3124" s="112"/>
      <c r="Q3124" s="112"/>
      <c r="R3124" s="112"/>
      <c r="S3124" s="112"/>
      <c r="T3124" s="112"/>
      <c r="U3124" s="112"/>
      <c r="V3124" s="112"/>
      <c r="W3124" s="112"/>
      <c r="X3124" s="112"/>
      <c r="Y3124" s="112"/>
      <c r="Z3124" s="112"/>
      <c r="AA3124" s="112"/>
    </row>
    <row r="3125" spans="1:27" ht="25.5" customHeight="1">
      <c r="A3125" s="111"/>
      <c r="B3125" s="112"/>
      <c r="C3125" s="112"/>
      <c r="G3125" s="112"/>
      <c r="H3125" s="112"/>
      <c r="I3125" s="113"/>
      <c r="J3125" s="112"/>
      <c r="K3125" s="112"/>
      <c r="L3125" s="112"/>
      <c r="M3125" s="112"/>
      <c r="N3125" s="112"/>
      <c r="O3125" s="112"/>
      <c r="P3125" s="112"/>
      <c r="Q3125" s="112"/>
      <c r="R3125" s="112"/>
      <c r="S3125" s="112"/>
      <c r="T3125" s="112"/>
      <c r="U3125" s="112"/>
      <c r="V3125" s="112"/>
      <c r="W3125" s="112"/>
      <c r="X3125" s="112"/>
      <c r="Y3125" s="112"/>
      <c r="Z3125" s="112"/>
      <c r="AA3125" s="112"/>
    </row>
    <row r="3126" spans="1:27" ht="25.5" customHeight="1">
      <c r="A3126" s="111"/>
      <c r="B3126" s="112"/>
      <c r="C3126" s="112"/>
      <c r="G3126" s="112"/>
      <c r="H3126" s="112"/>
      <c r="I3126" s="113"/>
      <c r="J3126" s="112"/>
      <c r="K3126" s="112"/>
      <c r="L3126" s="112"/>
      <c r="M3126" s="112"/>
      <c r="N3126" s="112"/>
      <c r="O3126" s="112"/>
      <c r="P3126" s="112"/>
      <c r="Q3126" s="112"/>
      <c r="R3126" s="112"/>
      <c r="S3126" s="112"/>
      <c r="T3126" s="112"/>
      <c r="U3126" s="112"/>
      <c r="V3126" s="112"/>
      <c r="W3126" s="112"/>
      <c r="X3126" s="112"/>
      <c r="Y3126" s="112"/>
      <c r="Z3126" s="112"/>
      <c r="AA3126" s="112"/>
    </row>
    <row r="3127" spans="1:27" ht="25.5" customHeight="1">
      <c r="A3127" s="111"/>
      <c r="B3127" s="112"/>
      <c r="C3127" s="112"/>
      <c r="G3127" s="112"/>
      <c r="H3127" s="112"/>
      <c r="I3127" s="113"/>
      <c r="J3127" s="112"/>
      <c r="K3127" s="112"/>
      <c r="L3127" s="112"/>
      <c r="M3127" s="112"/>
      <c r="N3127" s="112"/>
      <c r="O3127" s="112"/>
      <c r="P3127" s="112"/>
      <c r="Q3127" s="112"/>
      <c r="R3127" s="112"/>
      <c r="S3127" s="112"/>
      <c r="T3127" s="112"/>
      <c r="U3127" s="112"/>
      <c r="V3127" s="112"/>
      <c r="W3127" s="112"/>
      <c r="X3127" s="112"/>
      <c r="Y3127" s="112"/>
      <c r="Z3127" s="112"/>
      <c r="AA3127" s="112"/>
    </row>
    <row r="3128" spans="1:27" ht="25.5" customHeight="1">
      <c r="A3128" s="111"/>
      <c r="B3128" s="112"/>
      <c r="C3128" s="112"/>
      <c r="G3128" s="112"/>
      <c r="H3128" s="112"/>
      <c r="I3128" s="113"/>
      <c r="J3128" s="112"/>
      <c r="K3128" s="112"/>
      <c r="L3128" s="112"/>
      <c r="M3128" s="112"/>
      <c r="N3128" s="112"/>
      <c r="O3128" s="112"/>
      <c r="P3128" s="112"/>
      <c r="Q3128" s="112"/>
      <c r="R3128" s="112"/>
      <c r="S3128" s="112"/>
      <c r="T3128" s="112"/>
      <c r="U3128" s="112"/>
      <c r="V3128" s="112"/>
      <c r="W3128" s="112"/>
      <c r="X3128" s="112"/>
      <c r="Y3128" s="112"/>
      <c r="Z3128" s="112"/>
      <c r="AA3128" s="112"/>
    </row>
    <row r="3129" spans="1:27" ht="25.5" customHeight="1">
      <c r="A3129" s="111"/>
      <c r="B3129" s="112"/>
      <c r="C3129" s="112"/>
      <c r="G3129" s="112"/>
      <c r="H3129" s="112"/>
      <c r="I3129" s="113"/>
      <c r="J3129" s="112"/>
      <c r="K3129" s="112"/>
      <c r="L3129" s="112"/>
      <c r="M3129" s="112"/>
      <c r="N3129" s="112"/>
      <c r="O3129" s="112"/>
      <c r="P3129" s="112"/>
      <c r="Q3129" s="112"/>
      <c r="R3129" s="112"/>
      <c r="S3129" s="112"/>
      <c r="T3129" s="112"/>
      <c r="U3129" s="112"/>
      <c r="V3129" s="112"/>
      <c r="W3129" s="112"/>
      <c r="X3129" s="112"/>
      <c r="Y3129" s="112"/>
      <c r="Z3129" s="112"/>
      <c r="AA3129" s="112"/>
    </row>
    <row r="3130" spans="1:27" ht="25.5" customHeight="1">
      <c r="A3130" s="111"/>
      <c r="B3130" s="112"/>
      <c r="C3130" s="112"/>
      <c r="G3130" s="112"/>
      <c r="H3130" s="112"/>
      <c r="I3130" s="113"/>
      <c r="J3130" s="112"/>
      <c r="K3130" s="112"/>
      <c r="L3130" s="112"/>
      <c r="M3130" s="112"/>
      <c r="N3130" s="112"/>
      <c r="O3130" s="112"/>
      <c r="P3130" s="112"/>
      <c r="Q3130" s="112"/>
      <c r="R3130" s="112"/>
      <c r="S3130" s="112"/>
      <c r="T3130" s="112"/>
      <c r="U3130" s="112"/>
      <c r="V3130" s="112"/>
      <c r="W3130" s="112"/>
      <c r="X3130" s="112"/>
      <c r="Y3130" s="112"/>
      <c r="Z3130" s="112"/>
      <c r="AA3130" s="112"/>
    </row>
    <row r="3131" spans="1:27" ht="25.5" customHeight="1">
      <c r="A3131" s="111"/>
      <c r="B3131" s="112"/>
      <c r="C3131" s="112"/>
      <c r="G3131" s="112"/>
      <c r="H3131" s="112"/>
      <c r="I3131" s="113"/>
      <c r="J3131" s="112"/>
      <c r="K3131" s="112"/>
      <c r="L3131" s="112"/>
      <c r="M3131" s="112"/>
      <c r="N3131" s="112"/>
      <c r="O3131" s="112"/>
      <c r="P3131" s="112"/>
      <c r="Q3131" s="112"/>
      <c r="R3131" s="112"/>
      <c r="S3131" s="112"/>
      <c r="T3131" s="112"/>
      <c r="U3131" s="112"/>
      <c r="V3131" s="112"/>
      <c r="W3131" s="112"/>
      <c r="X3131" s="112"/>
      <c r="Y3131" s="112"/>
      <c r="Z3131" s="112"/>
      <c r="AA3131" s="112"/>
    </row>
    <row r="3132" spans="1:27" ht="25.5" customHeight="1">
      <c r="A3132" s="111"/>
      <c r="B3132" s="112"/>
      <c r="C3132" s="112"/>
      <c r="G3132" s="112"/>
      <c r="H3132" s="112"/>
      <c r="I3132" s="113"/>
      <c r="J3132" s="112"/>
      <c r="K3132" s="112"/>
      <c r="L3132" s="112"/>
      <c r="M3132" s="112"/>
      <c r="N3132" s="112"/>
      <c r="O3132" s="112"/>
      <c r="P3132" s="112"/>
      <c r="Q3132" s="112"/>
      <c r="R3132" s="112"/>
      <c r="S3132" s="112"/>
      <c r="T3132" s="112"/>
      <c r="U3132" s="112"/>
      <c r="V3132" s="112"/>
      <c r="W3132" s="112"/>
      <c r="X3132" s="112"/>
      <c r="Y3132" s="112"/>
      <c r="Z3132" s="112"/>
      <c r="AA3132" s="112"/>
    </row>
    <row r="3133" spans="1:27" ht="25.5" customHeight="1">
      <c r="A3133" s="111"/>
      <c r="B3133" s="112"/>
      <c r="C3133" s="112"/>
      <c r="G3133" s="112"/>
      <c r="H3133" s="112"/>
      <c r="I3133" s="113"/>
      <c r="J3133" s="112"/>
      <c r="K3133" s="112"/>
      <c r="L3133" s="112"/>
      <c r="M3133" s="112"/>
      <c r="N3133" s="112"/>
      <c r="O3133" s="112"/>
      <c r="P3133" s="112"/>
      <c r="Q3133" s="112"/>
      <c r="R3133" s="112"/>
      <c r="S3133" s="112"/>
      <c r="T3133" s="112"/>
      <c r="U3133" s="112"/>
      <c r="V3133" s="112"/>
      <c r="W3133" s="112"/>
      <c r="X3133" s="112"/>
      <c r="Y3133" s="112"/>
      <c r="Z3133" s="112"/>
      <c r="AA3133" s="112"/>
    </row>
    <row r="3134" spans="1:27" ht="25.5" customHeight="1">
      <c r="A3134" s="111"/>
      <c r="B3134" s="112"/>
      <c r="C3134" s="112"/>
      <c r="G3134" s="112"/>
      <c r="H3134" s="112"/>
      <c r="I3134" s="113"/>
      <c r="J3134" s="112"/>
      <c r="K3134" s="112"/>
      <c r="L3134" s="112"/>
      <c r="M3134" s="112"/>
      <c r="N3134" s="112"/>
      <c r="O3134" s="112"/>
      <c r="P3134" s="112"/>
      <c r="Q3134" s="112"/>
      <c r="R3134" s="112"/>
      <c r="S3134" s="112"/>
      <c r="T3134" s="112"/>
      <c r="U3134" s="112"/>
      <c r="V3134" s="112"/>
      <c r="W3134" s="112"/>
      <c r="X3134" s="112"/>
      <c r="Y3134" s="112"/>
      <c r="Z3134" s="112"/>
      <c r="AA3134" s="112"/>
    </row>
    <row r="3135" spans="1:27" ht="25.5" customHeight="1">
      <c r="A3135" s="111"/>
      <c r="B3135" s="112"/>
      <c r="C3135" s="112"/>
      <c r="G3135" s="112"/>
      <c r="H3135" s="112"/>
      <c r="I3135" s="113"/>
      <c r="J3135" s="112"/>
      <c r="K3135" s="112"/>
      <c r="L3135" s="112"/>
      <c r="M3135" s="112"/>
      <c r="N3135" s="112"/>
      <c r="O3135" s="112"/>
      <c r="P3135" s="112"/>
      <c r="Q3135" s="112"/>
      <c r="R3135" s="112"/>
      <c r="S3135" s="112"/>
      <c r="T3135" s="112"/>
      <c r="U3135" s="112"/>
      <c r="V3135" s="112"/>
      <c r="W3135" s="112"/>
      <c r="X3135" s="112"/>
      <c r="Y3135" s="112"/>
      <c r="Z3135" s="112"/>
      <c r="AA3135" s="112"/>
    </row>
    <row r="3136" spans="1:27" ht="25.5" customHeight="1">
      <c r="A3136" s="111"/>
      <c r="B3136" s="112"/>
      <c r="C3136" s="112"/>
      <c r="G3136" s="112"/>
      <c r="H3136" s="112"/>
      <c r="I3136" s="113"/>
      <c r="J3136" s="112"/>
      <c r="K3136" s="112"/>
      <c r="L3136" s="112"/>
      <c r="M3136" s="112"/>
      <c r="N3136" s="112"/>
      <c r="O3136" s="112"/>
      <c r="P3136" s="112"/>
      <c r="Q3136" s="112"/>
      <c r="R3136" s="112"/>
      <c r="S3136" s="112"/>
      <c r="T3136" s="112"/>
      <c r="U3136" s="112"/>
      <c r="V3136" s="112"/>
      <c r="W3136" s="112"/>
      <c r="X3136" s="112"/>
      <c r="Y3136" s="112"/>
      <c r="Z3136" s="112"/>
      <c r="AA3136" s="112"/>
    </row>
    <row r="3137" spans="1:27" ht="25.5" customHeight="1">
      <c r="A3137" s="111"/>
      <c r="B3137" s="112"/>
      <c r="C3137" s="112"/>
      <c r="G3137" s="112"/>
      <c r="H3137" s="112"/>
      <c r="I3137" s="113"/>
      <c r="J3137" s="112"/>
      <c r="K3137" s="112"/>
      <c r="L3137" s="112"/>
      <c r="M3137" s="112"/>
      <c r="N3137" s="112"/>
      <c r="O3137" s="112"/>
      <c r="P3137" s="112"/>
      <c r="Q3137" s="112"/>
      <c r="R3137" s="112"/>
      <c r="S3137" s="112"/>
      <c r="T3137" s="112"/>
      <c r="U3137" s="112"/>
      <c r="V3137" s="112"/>
      <c r="W3137" s="112"/>
      <c r="X3137" s="112"/>
      <c r="Y3137" s="112"/>
      <c r="Z3137" s="112"/>
      <c r="AA3137" s="112"/>
    </row>
    <row r="3138" spans="1:27" ht="25.5" customHeight="1">
      <c r="A3138" s="111"/>
      <c r="B3138" s="112"/>
      <c r="C3138" s="112"/>
      <c r="G3138" s="112"/>
      <c r="H3138" s="112"/>
      <c r="I3138" s="113"/>
      <c r="J3138" s="112"/>
      <c r="K3138" s="112"/>
      <c r="L3138" s="112"/>
      <c r="M3138" s="112"/>
      <c r="N3138" s="112"/>
      <c r="O3138" s="112"/>
      <c r="P3138" s="112"/>
      <c r="Q3138" s="112"/>
      <c r="R3138" s="112"/>
      <c r="S3138" s="112"/>
      <c r="T3138" s="112"/>
      <c r="U3138" s="112"/>
      <c r="V3138" s="112"/>
      <c r="W3138" s="112"/>
      <c r="X3138" s="112"/>
      <c r="Y3138" s="112"/>
      <c r="Z3138" s="112"/>
      <c r="AA3138" s="112"/>
    </row>
    <row r="3139" spans="1:27" ht="25.5" customHeight="1">
      <c r="A3139" s="111"/>
      <c r="B3139" s="112"/>
      <c r="C3139" s="112"/>
      <c r="G3139" s="112"/>
      <c r="H3139" s="112"/>
      <c r="I3139" s="113"/>
      <c r="J3139" s="112"/>
      <c r="K3139" s="112"/>
      <c r="L3139" s="112"/>
      <c r="M3139" s="112"/>
      <c r="N3139" s="112"/>
      <c r="O3139" s="112"/>
      <c r="P3139" s="112"/>
      <c r="Q3139" s="112"/>
      <c r="R3139" s="112"/>
      <c r="S3139" s="112"/>
      <c r="T3139" s="112"/>
      <c r="U3139" s="112"/>
      <c r="V3139" s="112"/>
      <c r="W3139" s="112"/>
      <c r="X3139" s="112"/>
      <c r="Y3139" s="112"/>
      <c r="Z3139" s="112"/>
      <c r="AA3139" s="112"/>
    </row>
    <row r="3140" spans="1:27" ht="25.5" customHeight="1">
      <c r="A3140" s="111"/>
      <c r="B3140" s="112"/>
      <c r="C3140" s="112"/>
      <c r="G3140" s="112"/>
      <c r="H3140" s="112"/>
      <c r="I3140" s="113"/>
      <c r="J3140" s="112"/>
      <c r="K3140" s="112"/>
      <c r="L3140" s="112"/>
      <c r="M3140" s="112"/>
      <c r="N3140" s="112"/>
      <c r="O3140" s="112"/>
      <c r="P3140" s="112"/>
      <c r="Q3140" s="112"/>
      <c r="R3140" s="112"/>
      <c r="S3140" s="112"/>
      <c r="T3140" s="112"/>
      <c r="U3140" s="112"/>
      <c r="V3140" s="112"/>
      <c r="W3140" s="112"/>
      <c r="X3140" s="112"/>
      <c r="Y3140" s="112"/>
      <c r="Z3140" s="112"/>
      <c r="AA3140" s="112"/>
    </row>
    <row r="3141" spans="1:27" ht="25.5" customHeight="1">
      <c r="A3141" s="111"/>
      <c r="B3141" s="112"/>
      <c r="C3141" s="112"/>
      <c r="G3141" s="112"/>
      <c r="H3141" s="112"/>
      <c r="I3141" s="113"/>
      <c r="J3141" s="112"/>
      <c r="K3141" s="112"/>
      <c r="L3141" s="112"/>
      <c r="M3141" s="112"/>
      <c r="N3141" s="112"/>
      <c r="O3141" s="112"/>
      <c r="P3141" s="112"/>
      <c r="Q3141" s="112"/>
      <c r="R3141" s="112"/>
      <c r="S3141" s="112"/>
      <c r="T3141" s="112"/>
      <c r="U3141" s="112"/>
      <c r="V3141" s="112"/>
      <c r="W3141" s="112"/>
      <c r="X3141" s="112"/>
      <c r="Y3141" s="112"/>
      <c r="Z3141" s="112"/>
      <c r="AA3141" s="112"/>
    </row>
    <row r="3142" spans="1:27" ht="25.5" customHeight="1">
      <c r="A3142" s="111"/>
      <c r="B3142" s="112"/>
      <c r="C3142" s="112"/>
      <c r="G3142" s="112"/>
      <c r="H3142" s="112"/>
      <c r="I3142" s="113"/>
      <c r="J3142" s="112"/>
      <c r="K3142" s="112"/>
      <c r="L3142" s="112"/>
      <c r="M3142" s="112"/>
      <c r="N3142" s="112"/>
      <c r="O3142" s="112"/>
      <c r="P3142" s="112"/>
      <c r="Q3142" s="112"/>
      <c r="R3142" s="112"/>
      <c r="S3142" s="112"/>
      <c r="T3142" s="112"/>
      <c r="U3142" s="112"/>
      <c r="V3142" s="112"/>
      <c r="W3142" s="112"/>
      <c r="X3142" s="112"/>
      <c r="Y3142" s="112"/>
      <c r="Z3142" s="112"/>
      <c r="AA3142" s="112"/>
    </row>
    <row r="3143" spans="1:27" ht="25.5" customHeight="1">
      <c r="A3143" s="111"/>
      <c r="B3143" s="112"/>
      <c r="C3143" s="112"/>
      <c r="G3143" s="112"/>
      <c r="H3143" s="112"/>
      <c r="I3143" s="113"/>
      <c r="J3143" s="50"/>
      <c r="K3143" s="53"/>
      <c r="L3143" s="53"/>
      <c r="M3143" s="53"/>
      <c r="N3143" s="53"/>
      <c r="O3143" s="53"/>
      <c r="P3143" s="53"/>
      <c r="Q3143" s="53"/>
      <c r="R3143" s="53"/>
      <c r="S3143" s="53"/>
      <c r="T3143" s="53"/>
      <c r="U3143" s="53"/>
      <c r="V3143" s="53"/>
      <c r="W3143" s="53"/>
      <c r="X3143" s="53"/>
      <c r="Y3143" s="53"/>
      <c r="Z3143" s="112"/>
      <c r="AA3143" s="112"/>
    </row>
  </sheetData>
  <autoFilter ref="A1:AA3105" xr:uid="{8C2AAE6C-F7EA-4E46-96D9-FB70A89339CC}"/>
  <conditionalFormatting sqref="N2976:N2978">
    <cfRule type="duplicateValues" dxfId="3" priority="1"/>
  </conditionalFormatting>
  <conditionalFormatting sqref="N2980">
    <cfRule type="duplicateValues" dxfId="2" priority="2"/>
  </conditionalFormatting>
  <conditionalFormatting sqref="N2981:N2983">
    <cfRule type="duplicateValues" dxfId="1" priority="3"/>
  </conditionalFormatting>
  <dataValidations count="1">
    <dataValidation type="list" allowBlank="1" showInputMessage="1" showErrorMessage="1" sqref="A2:A1048576" xr:uid="{BD025554-946F-4684-8D22-2F5046521E83}">
      <formula1>"Aurora, Bataan, Bulacan, Nueva_Ecija, Pampanga, Tarlac, Zambales"</formula1>
    </dataValidation>
  </dataValidations>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C7B82-C509-4AFF-9A62-1C88540437BB}">
  <sheetPr codeName="Sheet18"/>
  <dimension ref="A1:S3105"/>
  <sheetViews>
    <sheetView workbookViewId="0">
      <selection activeCell="M1" sqref="M1"/>
    </sheetView>
  </sheetViews>
  <sheetFormatPr defaultColWidth="16" defaultRowHeight="15"/>
  <cols>
    <col min="3" max="3" width="30.28515625" customWidth="1"/>
  </cols>
  <sheetData>
    <row r="1" spans="1:19" ht="57">
      <c r="A1" s="153" t="s">
        <v>85</v>
      </c>
      <c r="B1" s="154" t="s">
        <v>86</v>
      </c>
      <c r="C1" s="155" t="s">
        <v>782</v>
      </c>
      <c r="D1" s="153" t="s">
        <v>3392</v>
      </c>
      <c r="E1" s="153" t="s">
        <v>3393</v>
      </c>
      <c r="F1" s="153" t="s">
        <v>3394</v>
      </c>
      <c r="G1" s="153" t="s">
        <v>3395</v>
      </c>
      <c r="H1" s="156" t="s">
        <v>3396</v>
      </c>
      <c r="I1" s="157" t="s">
        <v>6614</v>
      </c>
      <c r="J1" s="158" t="s">
        <v>6615</v>
      </c>
      <c r="K1" s="159" t="s">
        <v>6616</v>
      </c>
      <c r="L1" s="153" t="s">
        <v>3124</v>
      </c>
      <c r="M1" s="160" t="s">
        <v>3398</v>
      </c>
      <c r="N1" s="160" t="s">
        <v>3399</v>
      </c>
      <c r="O1" s="160" t="s">
        <v>3400</v>
      </c>
      <c r="P1" s="160" t="s">
        <v>3401</v>
      </c>
      <c r="Q1" s="161" t="s">
        <v>6617</v>
      </c>
      <c r="R1" s="162" t="s">
        <v>127</v>
      </c>
      <c r="S1" s="163"/>
    </row>
    <row r="2" spans="1:19" ht="42.75">
      <c r="A2" s="164" t="s">
        <v>773</v>
      </c>
      <c r="B2" s="165" t="s">
        <v>3402</v>
      </c>
      <c r="C2" s="165" t="s">
        <v>3403</v>
      </c>
      <c r="D2" s="164">
        <v>587</v>
      </c>
      <c r="E2" s="164">
        <v>514</v>
      </c>
      <c r="F2" s="164" t="s">
        <v>3404</v>
      </c>
      <c r="G2" s="164">
        <v>2024</v>
      </c>
      <c r="H2" s="166">
        <v>45352</v>
      </c>
      <c r="I2" s="167"/>
      <c r="J2" s="168" t="s">
        <v>6618</v>
      </c>
      <c r="K2" s="169"/>
      <c r="L2" s="129" t="s">
        <v>3416</v>
      </c>
      <c r="M2" s="129" t="s">
        <v>4</v>
      </c>
      <c r="N2" s="129"/>
      <c r="O2" s="129" t="s">
        <v>3406</v>
      </c>
      <c r="P2" s="146"/>
      <c r="Q2" s="170"/>
      <c r="R2" s="171"/>
      <c r="S2" s="172"/>
    </row>
    <row r="3" spans="1:19" ht="42.75">
      <c r="A3" s="164" t="s">
        <v>773</v>
      </c>
      <c r="B3" s="165" t="s">
        <v>3402</v>
      </c>
      <c r="C3" s="165" t="s">
        <v>3407</v>
      </c>
      <c r="D3" s="164">
        <v>312</v>
      </c>
      <c r="E3" s="164">
        <v>346</v>
      </c>
      <c r="F3" s="164" t="s">
        <v>3404</v>
      </c>
      <c r="G3" s="164">
        <v>2024</v>
      </c>
      <c r="H3" s="166">
        <v>45420</v>
      </c>
      <c r="I3" s="173">
        <v>45425</v>
      </c>
      <c r="J3" s="168" t="s">
        <v>6619</v>
      </c>
      <c r="K3" s="174">
        <v>45427</v>
      </c>
      <c r="L3" s="129" t="s">
        <v>3532</v>
      </c>
      <c r="M3" s="129" t="s">
        <v>1078</v>
      </c>
      <c r="N3" s="129"/>
      <c r="O3" s="129" t="s">
        <v>3406</v>
      </c>
      <c r="P3" s="146"/>
      <c r="Q3" s="170"/>
      <c r="R3" s="171"/>
      <c r="S3" s="172"/>
    </row>
    <row r="4" spans="1:19" ht="42.75">
      <c r="A4" s="164" t="s">
        <v>773</v>
      </c>
      <c r="B4" s="165" t="s">
        <v>3402</v>
      </c>
      <c r="C4" s="165" t="s">
        <v>3409</v>
      </c>
      <c r="D4" s="164">
        <v>357</v>
      </c>
      <c r="E4" s="164">
        <v>375</v>
      </c>
      <c r="F4" s="164" t="s">
        <v>3404</v>
      </c>
      <c r="G4" s="164">
        <v>2024</v>
      </c>
      <c r="H4" s="175">
        <v>45392</v>
      </c>
      <c r="I4" s="175">
        <v>45399</v>
      </c>
      <c r="J4" s="168" t="s">
        <v>6620</v>
      </c>
      <c r="K4" s="174">
        <v>45407</v>
      </c>
      <c r="L4" s="129" t="s">
        <v>3532</v>
      </c>
      <c r="M4" s="129"/>
      <c r="N4" s="129"/>
      <c r="O4" s="129" t="s">
        <v>3406</v>
      </c>
      <c r="P4" s="146"/>
      <c r="Q4" s="170"/>
      <c r="R4" s="171"/>
      <c r="S4" s="172"/>
    </row>
    <row r="5" spans="1:19" ht="42.75">
      <c r="A5" s="164" t="s">
        <v>773</v>
      </c>
      <c r="B5" s="165" t="s">
        <v>3402</v>
      </c>
      <c r="C5" s="165" t="s">
        <v>3410</v>
      </c>
      <c r="D5" s="164">
        <v>363</v>
      </c>
      <c r="E5" s="164">
        <v>324</v>
      </c>
      <c r="F5" s="164" t="s">
        <v>3404</v>
      </c>
      <c r="G5" s="164">
        <v>2024</v>
      </c>
      <c r="H5" s="175">
        <v>45405</v>
      </c>
      <c r="I5" s="175">
        <v>45405</v>
      </c>
      <c r="J5" s="168" t="s">
        <v>6621</v>
      </c>
      <c r="K5" s="174">
        <v>45407</v>
      </c>
      <c r="L5" s="129" t="s">
        <v>3532</v>
      </c>
      <c r="M5" s="129"/>
      <c r="N5" s="129"/>
      <c r="O5" s="129" t="s">
        <v>3406</v>
      </c>
      <c r="P5" s="146"/>
      <c r="Q5" s="170"/>
      <c r="R5" s="171"/>
      <c r="S5" s="172"/>
    </row>
    <row r="6" spans="1:19" ht="42.75">
      <c r="A6" s="164" t="s">
        <v>773</v>
      </c>
      <c r="B6" s="165" t="s">
        <v>3402</v>
      </c>
      <c r="C6" s="176" t="s">
        <v>3411</v>
      </c>
      <c r="D6" s="164">
        <v>1718</v>
      </c>
      <c r="E6" s="164">
        <v>1647</v>
      </c>
      <c r="F6" s="164" t="s">
        <v>3404</v>
      </c>
      <c r="G6" s="164">
        <v>2024</v>
      </c>
      <c r="H6" s="166">
        <v>45482</v>
      </c>
      <c r="I6" s="166">
        <v>45488</v>
      </c>
      <c r="J6" s="168" t="s">
        <v>6622</v>
      </c>
      <c r="K6" s="174">
        <v>45490</v>
      </c>
      <c r="L6" s="129" t="s">
        <v>3125</v>
      </c>
      <c r="M6" s="129" t="s">
        <v>4</v>
      </c>
      <c r="N6" s="129" t="s">
        <v>50</v>
      </c>
      <c r="O6" s="129" t="s">
        <v>3406</v>
      </c>
      <c r="P6" s="146"/>
      <c r="Q6" s="170">
        <v>45491</v>
      </c>
      <c r="R6" s="171"/>
      <c r="S6" s="172"/>
    </row>
    <row r="7" spans="1:19" ht="42.75">
      <c r="A7" s="164" t="s">
        <v>773</v>
      </c>
      <c r="B7" s="165" t="s">
        <v>3402</v>
      </c>
      <c r="C7" s="176" t="s">
        <v>811</v>
      </c>
      <c r="D7" s="164">
        <v>5310</v>
      </c>
      <c r="E7" s="164">
        <v>5985</v>
      </c>
      <c r="F7" s="164" t="s">
        <v>3404</v>
      </c>
      <c r="G7" s="164">
        <v>2024</v>
      </c>
      <c r="H7" s="166">
        <v>45478</v>
      </c>
      <c r="I7" s="166">
        <v>45481</v>
      </c>
      <c r="J7" s="168" t="s">
        <v>6623</v>
      </c>
      <c r="K7" s="174">
        <v>45488</v>
      </c>
      <c r="L7" s="129" t="s">
        <v>3125</v>
      </c>
      <c r="M7" s="129" t="s">
        <v>4</v>
      </c>
      <c r="N7" s="129" t="s">
        <v>50</v>
      </c>
      <c r="O7" s="129" t="s">
        <v>3406</v>
      </c>
      <c r="P7" s="146"/>
      <c r="Q7" s="170">
        <v>45489</v>
      </c>
      <c r="R7" s="171"/>
      <c r="S7" s="172"/>
    </row>
    <row r="8" spans="1:19" ht="42.75">
      <c r="A8" s="164" t="s">
        <v>773</v>
      </c>
      <c r="B8" s="165" t="s">
        <v>3402</v>
      </c>
      <c r="C8" s="165" t="s">
        <v>1972</v>
      </c>
      <c r="D8" s="164">
        <v>3895</v>
      </c>
      <c r="E8" s="164">
        <v>5536</v>
      </c>
      <c r="F8" s="164" t="s">
        <v>3404</v>
      </c>
      <c r="G8" s="164">
        <v>2024</v>
      </c>
      <c r="H8" s="166">
        <v>45420</v>
      </c>
      <c r="I8" s="173">
        <v>45425</v>
      </c>
      <c r="J8" s="168" t="s">
        <v>6624</v>
      </c>
      <c r="K8" s="174">
        <v>45427</v>
      </c>
      <c r="L8" s="129" t="s">
        <v>3532</v>
      </c>
      <c r="M8" s="129"/>
      <c r="N8" s="129"/>
      <c r="O8" s="129" t="s">
        <v>3406</v>
      </c>
      <c r="P8" s="146"/>
      <c r="Q8" s="170"/>
      <c r="R8" s="171"/>
      <c r="S8" s="172"/>
    </row>
    <row r="9" spans="1:19" ht="42.75">
      <c r="A9" s="164" t="s">
        <v>773</v>
      </c>
      <c r="B9" s="165" t="s">
        <v>3402</v>
      </c>
      <c r="C9" s="176" t="s">
        <v>3414</v>
      </c>
      <c r="D9" s="164">
        <v>1215</v>
      </c>
      <c r="E9" s="164">
        <v>1392</v>
      </c>
      <c r="F9" s="164" t="s">
        <v>3404</v>
      </c>
      <c r="G9" s="164">
        <v>2024</v>
      </c>
      <c r="H9" s="166">
        <v>45478</v>
      </c>
      <c r="I9" s="166">
        <v>45481</v>
      </c>
      <c r="J9" s="168" t="s">
        <v>6625</v>
      </c>
      <c r="K9" s="174">
        <v>45488</v>
      </c>
      <c r="L9" s="129" t="s">
        <v>3125</v>
      </c>
      <c r="M9" s="129" t="s">
        <v>4</v>
      </c>
      <c r="N9" s="129" t="s">
        <v>50</v>
      </c>
      <c r="O9" s="129" t="s">
        <v>3406</v>
      </c>
      <c r="P9" s="146"/>
      <c r="Q9" s="170">
        <v>45489</v>
      </c>
      <c r="R9" s="171"/>
      <c r="S9" s="172"/>
    </row>
    <row r="10" spans="1:19" ht="42.75">
      <c r="A10" s="164" t="s">
        <v>773</v>
      </c>
      <c r="B10" s="165" t="s">
        <v>3402</v>
      </c>
      <c r="C10" s="176" t="s">
        <v>966</v>
      </c>
      <c r="D10" s="164">
        <v>5913</v>
      </c>
      <c r="E10" s="164">
        <v>6563</v>
      </c>
      <c r="F10" s="164" t="s">
        <v>3404</v>
      </c>
      <c r="G10" s="164">
        <v>2024</v>
      </c>
      <c r="H10" s="166">
        <v>45488</v>
      </c>
      <c r="I10" s="166">
        <v>45475</v>
      </c>
      <c r="J10" s="168" t="s">
        <v>6626</v>
      </c>
      <c r="K10" s="174">
        <v>45489</v>
      </c>
      <c r="L10" s="129" t="s">
        <v>3125</v>
      </c>
      <c r="M10" s="129" t="s">
        <v>4</v>
      </c>
      <c r="N10" s="129" t="s">
        <v>50</v>
      </c>
      <c r="O10" s="129" t="s">
        <v>3406</v>
      </c>
      <c r="P10" s="146"/>
      <c r="Q10" s="170">
        <v>45490</v>
      </c>
      <c r="R10" s="171"/>
      <c r="S10" s="172"/>
    </row>
    <row r="11" spans="1:19" ht="42.75">
      <c r="A11" s="164" t="s">
        <v>773</v>
      </c>
      <c r="B11" s="165" t="s">
        <v>3402</v>
      </c>
      <c r="C11" s="165" t="s">
        <v>3421</v>
      </c>
      <c r="D11" s="164">
        <v>4580</v>
      </c>
      <c r="E11" s="164">
        <v>5158</v>
      </c>
      <c r="F11" s="164" t="s">
        <v>3404</v>
      </c>
      <c r="G11" s="164">
        <v>2024</v>
      </c>
      <c r="H11" s="166">
        <v>45328</v>
      </c>
      <c r="I11" s="167"/>
      <c r="J11" s="168" t="s">
        <v>6627</v>
      </c>
      <c r="K11" s="169"/>
      <c r="L11" s="129" t="s">
        <v>3458</v>
      </c>
      <c r="M11" s="129"/>
      <c r="N11" s="129"/>
      <c r="O11" s="129" t="s">
        <v>3406</v>
      </c>
      <c r="P11" s="146"/>
      <c r="Q11" s="170"/>
      <c r="R11" s="171"/>
      <c r="S11" s="172"/>
    </row>
    <row r="12" spans="1:19" ht="42.75">
      <c r="A12" s="164" t="s">
        <v>773</v>
      </c>
      <c r="B12" s="165" t="s">
        <v>3402</v>
      </c>
      <c r="C12" s="165" t="s">
        <v>1241</v>
      </c>
      <c r="D12" s="164">
        <v>4833</v>
      </c>
      <c r="E12" s="164">
        <v>4423</v>
      </c>
      <c r="F12" s="164" t="s">
        <v>3404</v>
      </c>
      <c r="G12" s="164">
        <v>2024</v>
      </c>
      <c r="H12" s="175">
        <v>45420</v>
      </c>
      <c r="I12" s="175">
        <v>45425</v>
      </c>
      <c r="J12" s="168" t="s">
        <v>6628</v>
      </c>
      <c r="K12" s="174">
        <v>45427</v>
      </c>
      <c r="L12" s="129" t="s">
        <v>3532</v>
      </c>
      <c r="M12" s="129"/>
      <c r="N12" s="129"/>
      <c r="O12" s="129" t="s">
        <v>3406</v>
      </c>
      <c r="P12" s="146"/>
      <c r="Q12" s="170"/>
      <c r="R12" s="171"/>
      <c r="S12" s="172"/>
    </row>
    <row r="13" spans="1:19" ht="42.75">
      <c r="A13" s="164" t="s">
        <v>773</v>
      </c>
      <c r="B13" s="165" t="s">
        <v>3402</v>
      </c>
      <c r="C13" s="165" t="s">
        <v>3423</v>
      </c>
      <c r="D13" s="164">
        <v>6341</v>
      </c>
      <c r="E13" s="164">
        <v>6573</v>
      </c>
      <c r="F13" s="164" t="s">
        <v>3955</v>
      </c>
      <c r="G13" s="164">
        <v>2025</v>
      </c>
      <c r="H13" s="166"/>
      <c r="I13" s="167"/>
      <c r="J13" s="167"/>
      <c r="K13" s="169"/>
      <c r="L13" s="129" t="s">
        <v>3424</v>
      </c>
      <c r="M13" s="129"/>
      <c r="N13" s="129"/>
      <c r="O13" s="129"/>
      <c r="P13" s="146"/>
      <c r="Q13" s="170"/>
      <c r="R13" s="171"/>
      <c r="S13" s="172"/>
    </row>
    <row r="14" spans="1:19" ht="42.75">
      <c r="A14" s="164" t="s">
        <v>773</v>
      </c>
      <c r="B14" s="165" t="s">
        <v>3402</v>
      </c>
      <c r="C14" s="176" t="s">
        <v>821</v>
      </c>
      <c r="D14" s="164">
        <v>4138</v>
      </c>
      <c r="E14" s="164">
        <v>4949</v>
      </c>
      <c r="F14" s="164" t="s">
        <v>3404</v>
      </c>
      <c r="G14" s="164">
        <v>2024</v>
      </c>
      <c r="H14" s="166">
        <v>45482</v>
      </c>
      <c r="I14" s="166">
        <v>45488</v>
      </c>
      <c r="J14" s="168" t="s">
        <v>6629</v>
      </c>
      <c r="K14" s="174">
        <v>45490</v>
      </c>
      <c r="L14" s="129" t="s">
        <v>3125</v>
      </c>
      <c r="M14" s="129" t="s">
        <v>4</v>
      </c>
      <c r="N14" s="129" t="s">
        <v>50</v>
      </c>
      <c r="O14" s="129" t="s">
        <v>3406</v>
      </c>
      <c r="P14" s="146"/>
      <c r="Q14" s="170">
        <v>45493</v>
      </c>
      <c r="R14" s="171"/>
      <c r="S14" s="172"/>
    </row>
    <row r="15" spans="1:19" ht="42.75">
      <c r="A15" s="164" t="s">
        <v>773</v>
      </c>
      <c r="B15" s="165" t="s">
        <v>969</v>
      </c>
      <c r="C15" s="165" t="s">
        <v>3427</v>
      </c>
      <c r="D15" s="164">
        <v>790</v>
      </c>
      <c r="E15" s="164">
        <v>808</v>
      </c>
      <c r="F15" s="164" t="s">
        <v>3404</v>
      </c>
      <c r="G15" s="164">
        <v>2024</v>
      </c>
      <c r="H15" s="166">
        <v>45329</v>
      </c>
      <c r="I15" s="167"/>
      <c r="J15" s="168" t="s">
        <v>6630</v>
      </c>
      <c r="K15" s="169"/>
      <c r="L15" s="129" t="s">
        <v>3458</v>
      </c>
      <c r="M15" s="129"/>
      <c r="N15" s="129" t="s">
        <v>50</v>
      </c>
      <c r="O15" s="129" t="s">
        <v>3406</v>
      </c>
      <c r="P15" s="146"/>
      <c r="Q15" s="170"/>
      <c r="R15" s="171"/>
      <c r="S15" s="172"/>
    </row>
    <row r="16" spans="1:19" ht="42.75">
      <c r="A16" s="164" t="s">
        <v>773</v>
      </c>
      <c r="B16" s="165" t="s">
        <v>969</v>
      </c>
      <c r="C16" s="165" t="s">
        <v>3429</v>
      </c>
      <c r="D16" s="164">
        <v>665</v>
      </c>
      <c r="E16" s="164">
        <v>655</v>
      </c>
      <c r="F16" s="164" t="s">
        <v>3404</v>
      </c>
      <c r="G16" s="164">
        <v>2024</v>
      </c>
      <c r="H16" s="166">
        <v>45329</v>
      </c>
      <c r="I16" s="167"/>
      <c r="J16" s="168" t="s">
        <v>6631</v>
      </c>
      <c r="K16" s="169"/>
      <c r="L16" s="129" t="s">
        <v>3458</v>
      </c>
      <c r="M16" s="129"/>
      <c r="N16" s="129" t="s">
        <v>50</v>
      </c>
      <c r="O16" s="129" t="s">
        <v>3406</v>
      </c>
      <c r="P16" s="146"/>
      <c r="Q16" s="170"/>
      <c r="R16" s="171"/>
      <c r="S16" s="172"/>
    </row>
    <row r="17" spans="1:19" ht="42.75">
      <c r="A17" s="164" t="s">
        <v>773</v>
      </c>
      <c r="B17" s="165" t="s">
        <v>969</v>
      </c>
      <c r="C17" s="165" t="s">
        <v>3430</v>
      </c>
      <c r="D17" s="164">
        <v>235</v>
      </c>
      <c r="E17" s="164">
        <v>239</v>
      </c>
      <c r="F17" s="164" t="s">
        <v>3404</v>
      </c>
      <c r="G17" s="164">
        <v>2024</v>
      </c>
      <c r="H17" s="166">
        <v>45338</v>
      </c>
      <c r="I17" s="167"/>
      <c r="J17" s="168" t="s">
        <v>6632</v>
      </c>
      <c r="K17" s="169"/>
      <c r="L17" s="129" t="s">
        <v>3458</v>
      </c>
      <c r="M17" s="129"/>
      <c r="N17" s="129" t="s">
        <v>50</v>
      </c>
      <c r="O17" s="129" t="s">
        <v>3406</v>
      </c>
      <c r="P17" s="146"/>
      <c r="Q17" s="170"/>
      <c r="R17" s="171"/>
      <c r="S17" s="172"/>
    </row>
    <row r="18" spans="1:19" ht="42.75">
      <c r="A18" s="164" t="s">
        <v>773</v>
      </c>
      <c r="B18" s="165" t="s">
        <v>969</v>
      </c>
      <c r="C18" s="165" t="s">
        <v>3432</v>
      </c>
      <c r="D18" s="164">
        <v>307</v>
      </c>
      <c r="E18" s="164">
        <v>313</v>
      </c>
      <c r="F18" s="164" t="s">
        <v>3404</v>
      </c>
      <c r="G18" s="164">
        <v>2024</v>
      </c>
      <c r="H18" s="166">
        <v>45338</v>
      </c>
      <c r="I18" s="167"/>
      <c r="J18" s="168" t="s">
        <v>6633</v>
      </c>
      <c r="K18" s="169"/>
      <c r="L18" s="129" t="s">
        <v>3458</v>
      </c>
      <c r="M18" s="129"/>
      <c r="N18" s="129" t="s">
        <v>50</v>
      </c>
      <c r="O18" s="129" t="s">
        <v>3406</v>
      </c>
      <c r="P18" s="146"/>
      <c r="Q18" s="170"/>
      <c r="R18" s="171"/>
      <c r="S18" s="172"/>
    </row>
    <row r="19" spans="1:19" ht="42.75">
      <c r="A19" s="164" t="s">
        <v>773</v>
      </c>
      <c r="B19" s="165" t="s">
        <v>969</v>
      </c>
      <c r="C19" s="165" t="s">
        <v>3433</v>
      </c>
      <c r="D19" s="164">
        <v>439</v>
      </c>
      <c r="E19" s="164">
        <v>438</v>
      </c>
      <c r="F19" s="164" t="s">
        <v>3404</v>
      </c>
      <c r="G19" s="164">
        <v>2024</v>
      </c>
      <c r="H19" s="175">
        <v>45414</v>
      </c>
      <c r="I19" s="175">
        <v>45419</v>
      </c>
      <c r="J19" s="168" t="s">
        <v>6634</v>
      </c>
      <c r="K19" s="174">
        <v>45427</v>
      </c>
      <c r="L19" s="129" t="s">
        <v>3532</v>
      </c>
      <c r="M19" s="129"/>
      <c r="N19" s="129" t="s">
        <v>50</v>
      </c>
      <c r="O19" s="129" t="s">
        <v>3406</v>
      </c>
      <c r="P19" s="146"/>
      <c r="Q19" s="170"/>
      <c r="R19" s="171"/>
      <c r="S19" s="172"/>
    </row>
    <row r="20" spans="1:19" ht="42.75">
      <c r="A20" s="164" t="s">
        <v>773</v>
      </c>
      <c r="B20" s="165" t="s">
        <v>969</v>
      </c>
      <c r="C20" s="165" t="s">
        <v>3434</v>
      </c>
      <c r="D20" s="164">
        <v>325</v>
      </c>
      <c r="E20" s="164">
        <v>254</v>
      </c>
      <c r="F20" s="164" t="s">
        <v>3404</v>
      </c>
      <c r="G20" s="164">
        <v>2024</v>
      </c>
      <c r="H20" s="175">
        <v>45414</v>
      </c>
      <c r="I20" s="175">
        <v>45419</v>
      </c>
      <c r="J20" s="168" t="s">
        <v>6635</v>
      </c>
      <c r="K20" s="174">
        <v>45427</v>
      </c>
      <c r="L20" s="129" t="s">
        <v>3532</v>
      </c>
      <c r="M20" s="129"/>
      <c r="N20" s="129" t="s">
        <v>50</v>
      </c>
      <c r="O20" s="129" t="s">
        <v>3406</v>
      </c>
      <c r="P20" s="146"/>
      <c r="Q20" s="170"/>
      <c r="R20" s="171"/>
      <c r="S20" s="172"/>
    </row>
    <row r="21" spans="1:19" ht="42.75">
      <c r="A21" s="164" t="s">
        <v>773</v>
      </c>
      <c r="B21" s="165" t="s">
        <v>969</v>
      </c>
      <c r="C21" s="165" t="s">
        <v>3435</v>
      </c>
      <c r="D21" s="164">
        <v>288</v>
      </c>
      <c r="E21" s="164">
        <v>438</v>
      </c>
      <c r="F21" s="164" t="s">
        <v>3404</v>
      </c>
      <c r="G21" s="164">
        <v>2024</v>
      </c>
      <c r="H21" s="175">
        <v>45415</v>
      </c>
      <c r="I21" s="175">
        <v>45419</v>
      </c>
      <c r="J21" s="168" t="s">
        <v>6636</v>
      </c>
      <c r="K21" s="174">
        <v>45420</v>
      </c>
      <c r="L21" s="129" t="s">
        <v>3532</v>
      </c>
      <c r="M21" s="129"/>
      <c r="N21" s="129" t="s">
        <v>50</v>
      </c>
      <c r="O21" s="129" t="s">
        <v>3406</v>
      </c>
      <c r="P21" s="146"/>
      <c r="Q21" s="170"/>
      <c r="R21" s="171"/>
      <c r="S21" s="172"/>
    </row>
    <row r="22" spans="1:19" ht="42.75">
      <c r="A22" s="164" t="s">
        <v>773</v>
      </c>
      <c r="B22" s="165" t="s">
        <v>969</v>
      </c>
      <c r="C22" s="165" t="s">
        <v>3436</v>
      </c>
      <c r="D22" s="164">
        <v>612</v>
      </c>
      <c r="E22" s="164">
        <v>600</v>
      </c>
      <c r="F22" s="164" t="s">
        <v>3404</v>
      </c>
      <c r="G22" s="164">
        <v>2024</v>
      </c>
      <c r="H22" s="175">
        <v>45415</v>
      </c>
      <c r="I22" s="166">
        <v>45364</v>
      </c>
      <c r="J22" s="168" t="s">
        <v>6637</v>
      </c>
      <c r="K22" s="174">
        <v>45427</v>
      </c>
      <c r="L22" s="129" t="s">
        <v>3532</v>
      </c>
      <c r="M22" s="129"/>
      <c r="N22" s="129" t="s">
        <v>50</v>
      </c>
      <c r="O22" s="129" t="s">
        <v>3406</v>
      </c>
      <c r="P22" s="146"/>
      <c r="Q22" s="170"/>
      <c r="R22" s="171"/>
      <c r="S22" s="172"/>
    </row>
    <row r="23" spans="1:19" ht="42.75">
      <c r="A23" s="164" t="s">
        <v>773</v>
      </c>
      <c r="B23" s="165" t="s">
        <v>969</v>
      </c>
      <c r="C23" s="165" t="s">
        <v>3438</v>
      </c>
      <c r="D23" s="164">
        <v>652</v>
      </c>
      <c r="E23" s="164">
        <v>736</v>
      </c>
      <c r="F23" s="164" t="s">
        <v>3404</v>
      </c>
      <c r="G23" s="164">
        <v>2024</v>
      </c>
      <c r="H23" s="166">
        <v>45363</v>
      </c>
      <c r="I23" s="167"/>
      <c r="J23" s="168" t="s">
        <v>6638</v>
      </c>
      <c r="K23" s="169"/>
      <c r="L23" s="129" t="s">
        <v>3416</v>
      </c>
      <c r="M23" s="129"/>
      <c r="N23" s="129" t="s">
        <v>50</v>
      </c>
      <c r="O23" s="129" t="s">
        <v>3406</v>
      </c>
      <c r="P23" s="146"/>
      <c r="Q23" s="170"/>
      <c r="R23" s="171"/>
      <c r="S23" s="172"/>
    </row>
    <row r="24" spans="1:19" ht="42.75">
      <c r="A24" s="164" t="s">
        <v>773</v>
      </c>
      <c r="B24" s="165" t="s">
        <v>969</v>
      </c>
      <c r="C24" s="165" t="s">
        <v>3440</v>
      </c>
      <c r="D24" s="164">
        <v>1104</v>
      </c>
      <c r="E24" s="164">
        <v>1150</v>
      </c>
      <c r="F24" s="164" t="s">
        <v>3404</v>
      </c>
      <c r="G24" s="164">
        <v>2024</v>
      </c>
      <c r="H24" s="175">
        <v>45448</v>
      </c>
      <c r="I24" s="175">
        <v>45452</v>
      </c>
      <c r="J24" s="168" t="s">
        <v>6639</v>
      </c>
      <c r="K24" s="174">
        <v>45461</v>
      </c>
      <c r="L24" s="129" t="s">
        <v>3689</v>
      </c>
      <c r="M24" s="129"/>
      <c r="N24" s="129" t="s">
        <v>50</v>
      </c>
      <c r="O24" s="129" t="s">
        <v>3406</v>
      </c>
      <c r="P24" s="146"/>
      <c r="Q24" s="170">
        <v>45462</v>
      </c>
      <c r="R24" s="171"/>
      <c r="S24" s="172"/>
    </row>
    <row r="25" spans="1:19" ht="42.75">
      <c r="A25" s="164" t="s">
        <v>773</v>
      </c>
      <c r="B25" s="165" t="s">
        <v>969</v>
      </c>
      <c r="C25" s="165" t="s">
        <v>970</v>
      </c>
      <c r="D25" s="164">
        <v>1916</v>
      </c>
      <c r="E25" s="164">
        <v>1982</v>
      </c>
      <c r="F25" s="164" t="s">
        <v>3404</v>
      </c>
      <c r="G25" s="164">
        <v>2024</v>
      </c>
      <c r="H25" s="175">
        <v>45398</v>
      </c>
      <c r="I25" s="175">
        <v>45398</v>
      </c>
      <c r="J25" s="168" t="s">
        <v>6640</v>
      </c>
      <c r="K25" s="174">
        <v>45399</v>
      </c>
      <c r="L25" s="129" t="s">
        <v>3470</v>
      </c>
      <c r="M25" s="129"/>
      <c r="N25" s="129" t="s">
        <v>50</v>
      </c>
      <c r="O25" s="129" t="s">
        <v>3406</v>
      </c>
      <c r="P25" s="146"/>
      <c r="Q25" s="170"/>
      <c r="R25" s="171"/>
      <c r="S25" s="172"/>
    </row>
    <row r="26" spans="1:19" ht="42.75">
      <c r="A26" s="164" t="s">
        <v>773</v>
      </c>
      <c r="B26" s="165" t="s">
        <v>969</v>
      </c>
      <c r="C26" s="165" t="s">
        <v>3442</v>
      </c>
      <c r="D26" s="164">
        <v>776</v>
      </c>
      <c r="E26" s="164">
        <v>1074</v>
      </c>
      <c r="F26" s="164" t="s">
        <v>3404</v>
      </c>
      <c r="G26" s="164">
        <v>2024</v>
      </c>
      <c r="H26" s="175">
        <v>45454</v>
      </c>
      <c r="I26" s="175">
        <v>45460</v>
      </c>
      <c r="J26" s="168" t="s">
        <v>6641</v>
      </c>
      <c r="K26" s="174">
        <v>45463</v>
      </c>
      <c r="L26" s="129" t="s">
        <v>3689</v>
      </c>
      <c r="M26" s="129"/>
      <c r="N26" s="129" t="s">
        <v>50</v>
      </c>
      <c r="O26" s="129" t="s">
        <v>3406</v>
      </c>
      <c r="P26" s="146"/>
      <c r="Q26" s="170">
        <v>45464</v>
      </c>
      <c r="R26" s="171"/>
      <c r="S26" s="172"/>
    </row>
    <row r="27" spans="1:19" ht="42.75">
      <c r="A27" s="164" t="s">
        <v>773</v>
      </c>
      <c r="B27" s="165" t="s">
        <v>969</v>
      </c>
      <c r="C27" s="165" t="s">
        <v>3444</v>
      </c>
      <c r="D27" s="164">
        <v>973</v>
      </c>
      <c r="E27" s="164">
        <v>1147</v>
      </c>
      <c r="F27" s="164" t="s">
        <v>3404</v>
      </c>
      <c r="G27" s="164">
        <v>2024</v>
      </c>
      <c r="H27" s="175">
        <v>45574</v>
      </c>
      <c r="I27" s="175">
        <v>45574</v>
      </c>
      <c r="J27" s="168" t="s">
        <v>6642</v>
      </c>
      <c r="K27" s="174">
        <v>45580</v>
      </c>
      <c r="L27" s="129" t="s">
        <v>3128</v>
      </c>
      <c r="M27" s="129" t="s">
        <v>4</v>
      </c>
      <c r="N27" s="129" t="s">
        <v>50</v>
      </c>
      <c r="O27" s="129" t="s">
        <v>3406</v>
      </c>
      <c r="P27" s="146"/>
      <c r="Q27" s="170">
        <v>45580</v>
      </c>
      <c r="R27" s="171" t="s">
        <v>6643</v>
      </c>
      <c r="S27" s="172"/>
    </row>
    <row r="28" spans="1:19" ht="42.75">
      <c r="A28" s="164" t="s">
        <v>773</v>
      </c>
      <c r="B28" s="165" t="s">
        <v>969</v>
      </c>
      <c r="C28" s="165" t="s">
        <v>3446</v>
      </c>
      <c r="D28" s="164">
        <v>502</v>
      </c>
      <c r="E28" s="164">
        <v>594</v>
      </c>
      <c r="F28" s="164" t="s">
        <v>3404</v>
      </c>
      <c r="G28" s="164">
        <v>2024</v>
      </c>
      <c r="H28" s="175">
        <v>45604</v>
      </c>
      <c r="I28" s="175">
        <v>45608</v>
      </c>
      <c r="J28" s="168" t="s">
        <v>6644</v>
      </c>
      <c r="K28" s="174">
        <v>45613</v>
      </c>
      <c r="L28" s="129" t="s">
        <v>3129</v>
      </c>
      <c r="M28" s="129" t="s">
        <v>4</v>
      </c>
      <c r="N28" s="129" t="s">
        <v>50</v>
      </c>
      <c r="O28" s="129" t="s">
        <v>3406</v>
      </c>
      <c r="P28" s="146"/>
      <c r="Q28" s="170">
        <v>45614</v>
      </c>
      <c r="R28" s="171" t="s">
        <v>6643</v>
      </c>
      <c r="S28" s="172"/>
    </row>
    <row r="29" spans="1:19" ht="42.75">
      <c r="A29" s="164" t="s">
        <v>773</v>
      </c>
      <c r="B29" s="165" t="s">
        <v>969</v>
      </c>
      <c r="C29" s="165" t="s">
        <v>3448</v>
      </c>
      <c r="D29" s="164">
        <v>1588</v>
      </c>
      <c r="E29" s="164">
        <v>1661</v>
      </c>
      <c r="F29" s="164" t="s">
        <v>3404</v>
      </c>
      <c r="G29" s="164">
        <v>2024</v>
      </c>
      <c r="H29" s="175">
        <v>45398</v>
      </c>
      <c r="I29" s="175">
        <v>45398</v>
      </c>
      <c r="J29" s="168" t="s">
        <v>6645</v>
      </c>
      <c r="K29" s="174">
        <v>45399</v>
      </c>
      <c r="L29" s="129" t="s">
        <v>3470</v>
      </c>
      <c r="M29" s="129"/>
      <c r="N29" s="129" t="s">
        <v>50</v>
      </c>
      <c r="O29" s="129" t="s">
        <v>3406</v>
      </c>
      <c r="P29" s="146"/>
      <c r="Q29" s="170"/>
      <c r="R29" s="171"/>
      <c r="S29" s="172"/>
    </row>
    <row r="30" spans="1:19" ht="42.75">
      <c r="A30" s="164" t="s">
        <v>773</v>
      </c>
      <c r="B30" s="165" t="s">
        <v>969</v>
      </c>
      <c r="C30" s="165" t="s">
        <v>3454</v>
      </c>
      <c r="D30" s="164">
        <v>735</v>
      </c>
      <c r="E30" s="164">
        <v>964</v>
      </c>
      <c r="F30" s="164" t="s">
        <v>3404</v>
      </c>
      <c r="G30" s="164">
        <v>2024</v>
      </c>
      <c r="H30" s="175">
        <v>45581</v>
      </c>
      <c r="I30" s="175">
        <v>45581</v>
      </c>
      <c r="J30" s="168" t="s">
        <v>6646</v>
      </c>
      <c r="K30" s="174">
        <v>45584</v>
      </c>
      <c r="L30" s="129" t="s">
        <v>3128</v>
      </c>
      <c r="M30" s="129" t="s">
        <v>4</v>
      </c>
      <c r="N30" s="129" t="s">
        <v>50</v>
      </c>
      <c r="O30" s="129" t="s">
        <v>3406</v>
      </c>
      <c r="P30" s="146"/>
      <c r="Q30" s="170">
        <v>45586</v>
      </c>
      <c r="R30" s="171" t="s">
        <v>6643</v>
      </c>
      <c r="S30" s="172"/>
    </row>
    <row r="31" spans="1:19" ht="42.75">
      <c r="A31" s="164" t="s">
        <v>773</v>
      </c>
      <c r="B31" s="165" t="s">
        <v>969</v>
      </c>
      <c r="C31" s="165" t="s">
        <v>3455</v>
      </c>
      <c r="D31" s="164">
        <v>1043</v>
      </c>
      <c r="E31" s="164">
        <v>1199</v>
      </c>
      <c r="F31" s="164" t="s">
        <v>3404</v>
      </c>
      <c r="G31" s="164">
        <v>2024</v>
      </c>
      <c r="H31" s="175">
        <v>45604</v>
      </c>
      <c r="I31" s="175">
        <v>45608</v>
      </c>
      <c r="J31" s="168" t="s">
        <v>6647</v>
      </c>
      <c r="K31" s="174">
        <v>45613</v>
      </c>
      <c r="L31" s="129" t="s">
        <v>3129</v>
      </c>
      <c r="M31" s="129" t="s">
        <v>4</v>
      </c>
      <c r="N31" s="129" t="s">
        <v>50</v>
      </c>
      <c r="O31" s="129" t="s">
        <v>3406</v>
      </c>
      <c r="P31" s="146"/>
      <c r="Q31" s="170">
        <v>45614</v>
      </c>
      <c r="R31" s="171" t="s">
        <v>6643</v>
      </c>
      <c r="S31" s="172"/>
    </row>
    <row r="32" spans="1:19" ht="42.75">
      <c r="A32" s="164" t="s">
        <v>773</v>
      </c>
      <c r="B32" s="165" t="s">
        <v>969</v>
      </c>
      <c r="C32" s="165" t="s">
        <v>3456</v>
      </c>
      <c r="D32" s="164">
        <v>830</v>
      </c>
      <c r="E32" s="164">
        <v>862</v>
      </c>
      <c r="F32" s="164" t="s">
        <v>3404</v>
      </c>
      <c r="G32" s="164">
        <v>2024</v>
      </c>
      <c r="H32" s="175">
        <v>45581</v>
      </c>
      <c r="I32" s="175">
        <v>45581</v>
      </c>
      <c r="J32" s="168" t="s">
        <v>6648</v>
      </c>
      <c r="K32" s="174">
        <v>45584</v>
      </c>
      <c r="L32" s="129" t="s">
        <v>3128</v>
      </c>
      <c r="M32" s="129" t="s">
        <v>4</v>
      </c>
      <c r="N32" s="129" t="s">
        <v>50</v>
      </c>
      <c r="O32" s="129" t="s">
        <v>3406</v>
      </c>
      <c r="P32" s="146"/>
      <c r="Q32" s="170">
        <v>45586</v>
      </c>
      <c r="R32" s="171" t="s">
        <v>6643</v>
      </c>
      <c r="S32" s="172"/>
    </row>
    <row r="33" spans="1:19" ht="42.75">
      <c r="A33" s="164" t="s">
        <v>773</v>
      </c>
      <c r="B33" s="165" t="s">
        <v>969</v>
      </c>
      <c r="C33" s="165" t="s">
        <v>3437</v>
      </c>
      <c r="D33" s="164">
        <v>3443</v>
      </c>
      <c r="E33" s="164">
        <v>3770</v>
      </c>
      <c r="F33" s="164" t="s">
        <v>3404</v>
      </c>
      <c r="G33" s="164">
        <v>2024</v>
      </c>
      <c r="H33" s="175">
        <v>45545</v>
      </c>
      <c r="I33" s="175">
        <v>45545</v>
      </c>
      <c r="J33" s="168" t="s">
        <v>6649</v>
      </c>
      <c r="K33" s="174">
        <v>45552</v>
      </c>
      <c r="L33" s="129" t="s">
        <v>3127</v>
      </c>
      <c r="M33" s="129" t="s">
        <v>4</v>
      </c>
      <c r="N33" s="129" t="s">
        <v>50</v>
      </c>
      <c r="O33" s="129" t="s">
        <v>3406</v>
      </c>
      <c r="P33" s="146"/>
      <c r="Q33" s="170">
        <v>45552</v>
      </c>
      <c r="R33" s="171" t="s">
        <v>6643</v>
      </c>
      <c r="S33" s="172"/>
    </row>
    <row r="34" spans="1:19" ht="42.75">
      <c r="A34" s="164" t="s">
        <v>773</v>
      </c>
      <c r="B34" s="165" t="s">
        <v>969</v>
      </c>
      <c r="C34" s="165" t="s">
        <v>3441</v>
      </c>
      <c r="D34" s="164">
        <v>1637</v>
      </c>
      <c r="E34" s="164">
        <v>1929</v>
      </c>
      <c r="F34" s="164" t="s">
        <v>3404</v>
      </c>
      <c r="G34" s="164">
        <v>2024</v>
      </c>
      <c r="H34" s="175">
        <v>45611</v>
      </c>
      <c r="I34" s="175">
        <v>45628</v>
      </c>
      <c r="J34" s="168" t="s">
        <v>6650</v>
      </c>
      <c r="K34" s="174">
        <v>45635</v>
      </c>
      <c r="L34" s="129" t="s">
        <v>3129</v>
      </c>
      <c r="M34" s="129" t="s">
        <v>4</v>
      </c>
      <c r="N34" s="129" t="s">
        <v>50</v>
      </c>
      <c r="O34" s="129" t="s">
        <v>3406</v>
      </c>
      <c r="P34" s="146"/>
      <c r="Q34" s="170">
        <v>45636</v>
      </c>
      <c r="R34" s="171" t="s">
        <v>6643</v>
      </c>
      <c r="S34" s="172"/>
    </row>
    <row r="35" spans="1:19" ht="42.75">
      <c r="A35" s="164" t="s">
        <v>773</v>
      </c>
      <c r="B35" s="165" t="s">
        <v>969</v>
      </c>
      <c r="C35" s="165" t="s">
        <v>3443</v>
      </c>
      <c r="D35" s="164">
        <v>1954</v>
      </c>
      <c r="E35" s="164">
        <v>2192</v>
      </c>
      <c r="F35" s="164" t="s">
        <v>3404</v>
      </c>
      <c r="G35" s="164">
        <v>2024</v>
      </c>
      <c r="H35" s="175">
        <v>45545</v>
      </c>
      <c r="I35" s="175">
        <v>45545</v>
      </c>
      <c r="J35" s="168" t="s">
        <v>6651</v>
      </c>
      <c r="K35" s="174">
        <v>45552</v>
      </c>
      <c r="L35" s="129" t="s">
        <v>3127</v>
      </c>
      <c r="M35" s="129" t="s">
        <v>4</v>
      </c>
      <c r="N35" s="129" t="s">
        <v>50</v>
      </c>
      <c r="O35" s="129"/>
      <c r="P35" s="146"/>
      <c r="Q35" s="170">
        <v>45552</v>
      </c>
      <c r="R35" s="171" t="s">
        <v>6643</v>
      </c>
      <c r="S35" s="172"/>
    </row>
    <row r="36" spans="1:19" ht="42.75">
      <c r="A36" s="164" t="s">
        <v>773</v>
      </c>
      <c r="B36" s="165" t="s">
        <v>969</v>
      </c>
      <c r="C36" s="165" t="s">
        <v>3445</v>
      </c>
      <c r="D36" s="164">
        <v>591</v>
      </c>
      <c r="E36" s="164">
        <v>546</v>
      </c>
      <c r="F36" s="164" t="s">
        <v>3404</v>
      </c>
      <c r="G36" s="164">
        <v>2024</v>
      </c>
      <c r="H36" s="175">
        <v>45574</v>
      </c>
      <c r="I36" s="175">
        <v>45574</v>
      </c>
      <c r="J36" s="168" t="s">
        <v>6652</v>
      </c>
      <c r="K36" s="174">
        <v>45580</v>
      </c>
      <c r="L36" s="129" t="s">
        <v>3128</v>
      </c>
      <c r="M36" s="129" t="s">
        <v>4</v>
      </c>
      <c r="N36" s="129" t="s">
        <v>50</v>
      </c>
      <c r="O36" s="129" t="s">
        <v>3406</v>
      </c>
      <c r="P36" s="146"/>
      <c r="Q36" s="170">
        <v>45580</v>
      </c>
      <c r="R36" s="171" t="s">
        <v>6643</v>
      </c>
      <c r="S36" s="172"/>
    </row>
    <row r="37" spans="1:19" ht="42.75">
      <c r="A37" s="164" t="s">
        <v>773</v>
      </c>
      <c r="B37" s="165" t="s">
        <v>969</v>
      </c>
      <c r="C37" s="165" t="s">
        <v>3447</v>
      </c>
      <c r="D37" s="164">
        <v>1793</v>
      </c>
      <c r="E37" s="164">
        <v>1895</v>
      </c>
      <c r="F37" s="164" t="s">
        <v>3404</v>
      </c>
      <c r="G37" s="164">
        <v>2024</v>
      </c>
      <c r="H37" s="166">
        <v>45352</v>
      </c>
      <c r="I37" s="167"/>
      <c r="J37" s="168" t="s">
        <v>6653</v>
      </c>
      <c r="K37" s="169"/>
      <c r="L37" s="129" t="s">
        <v>3416</v>
      </c>
      <c r="M37" s="129"/>
      <c r="N37" s="129" t="s">
        <v>50</v>
      </c>
      <c r="O37" s="129" t="s">
        <v>3406</v>
      </c>
      <c r="P37" s="146"/>
      <c r="Q37" s="170"/>
      <c r="R37" s="171"/>
      <c r="S37" s="172"/>
    </row>
    <row r="38" spans="1:19" ht="42.75">
      <c r="A38" s="164" t="s">
        <v>773</v>
      </c>
      <c r="B38" s="165" t="s">
        <v>969</v>
      </c>
      <c r="C38" s="165" t="s">
        <v>1148</v>
      </c>
      <c r="D38" s="164">
        <v>1115</v>
      </c>
      <c r="E38" s="164">
        <v>1118</v>
      </c>
      <c r="F38" s="164" t="s">
        <v>3404</v>
      </c>
      <c r="G38" s="164">
        <v>2024</v>
      </c>
      <c r="H38" s="175">
        <v>45611</v>
      </c>
      <c r="I38" s="175">
        <v>45628</v>
      </c>
      <c r="J38" s="168" t="s">
        <v>6654</v>
      </c>
      <c r="K38" s="174">
        <v>45635</v>
      </c>
      <c r="L38" s="129" t="s">
        <v>3129</v>
      </c>
      <c r="M38" s="129" t="s">
        <v>4</v>
      </c>
      <c r="N38" s="129" t="s">
        <v>50</v>
      </c>
      <c r="O38" s="129" t="s">
        <v>3406</v>
      </c>
      <c r="P38" s="146"/>
      <c r="Q38" s="170">
        <v>45636</v>
      </c>
      <c r="R38" s="171" t="s">
        <v>6643</v>
      </c>
      <c r="S38" s="172"/>
    </row>
    <row r="39" spans="1:19" ht="42.75">
      <c r="A39" s="164" t="s">
        <v>773</v>
      </c>
      <c r="B39" s="165" t="s">
        <v>1244</v>
      </c>
      <c r="C39" s="176" t="s">
        <v>3457</v>
      </c>
      <c r="D39" s="164">
        <v>2418</v>
      </c>
      <c r="E39" s="164">
        <v>2579</v>
      </c>
      <c r="F39" s="164" t="s">
        <v>3955</v>
      </c>
      <c r="G39" s="164"/>
      <c r="H39" s="167"/>
      <c r="I39" s="167"/>
      <c r="J39" s="167"/>
      <c r="K39" s="169"/>
      <c r="L39" s="129"/>
      <c r="M39" s="129"/>
      <c r="N39" s="129"/>
      <c r="O39" s="129"/>
      <c r="P39" s="146"/>
      <c r="Q39" s="170"/>
      <c r="R39" s="171"/>
      <c r="S39" s="172"/>
    </row>
    <row r="40" spans="1:19" ht="42.75">
      <c r="A40" s="164" t="s">
        <v>773</v>
      </c>
      <c r="B40" s="165" t="s">
        <v>1244</v>
      </c>
      <c r="C40" s="165" t="s">
        <v>3460</v>
      </c>
      <c r="D40" s="164">
        <v>734</v>
      </c>
      <c r="E40" s="164">
        <v>776</v>
      </c>
      <c r="F40" s="164" t="s">
        <v>3404</v>
      </c>
      <c r="G40" s="164">
        <v>2024</v>
      </c>
      <c r="H40" s="175">
        <v>45602</v>
      </c>
      <c r="I40" s="175">
        <v>45602</v>
      </c>
      <c r="J40" s="168" t="s">
        <v>6655</v>
      </c>
      <c r="K40" s="174">
        <v>45612</v>
      </c>
      <c r="L40" s="129" t="s">
        <v>3129</v>
      </c>
      <c r="M40" s="129" t="s">
        <v>4</v>
      </c>
      <c r="N40" s="129" t="s">
        <v>50</v>
      </c>
      <c r="O40" s="129" t="s">
        <v>3406</v>
      </c>
      <c r="P40" s="146"/>
      <c r="Q40" s="170">
        <v>45614</v>
      </c>
      <c r="R40" s="171" t="s">
        <v>6643</v>
      </c>
      <c r="S40" s="172"/>
    </row>
    <row r="41" spans="1:19" ht="42.75">
      <c r="A41" s="164" t="s">
        <v>773</v>
      </c>
      <c r="B41" s="165" t="s">
        <v>1244</v>
      </c>
      <c r="C41" s="165" t="s">
        <v>3461</v>
      </c>
      <c r="D41" s="164">
        <v>915</v>
      </c>
      <c r="E41" s="164">
        <v>920</v>
      </c>
      <c r="F41" s="164" t="s">
        <v>3404</v>
      </c>
      <c r="G41" s="164">
        <v>2024</v>
      </c>
      <c r="H41" s="175">
        <v>45602</v>
      </c>
      <c r="I41" s="175">
        <v>45602</v>
      </c>
      <c r="J41" s="168" t="s">
        <v>6656</v>
      </c>
      <c r="K41" s="174">
        <v>45612</v>
      </c>
      <c r="L41" s="129" t="s">
        <v>3129</v>
      </c>
      <c r="M41" s="129" t="s">
        <v>4</v>
      </c>
      <c r="N41" s="129" t="s">
        <v>50</v>
      </c>
      <c r="O41" s="129" t="s">
        <v>3406</v>
      </c>
      <c r="P41" s="146"/>
      <c r="Q41" s="170">
        <v>45614</v>
      </c>
      <c r="R41" s="171" t="s">
        <v>6643</v>
      </c>
      <c r="S41" s="172"/>
    </row>
    <row r="42" spans="1:19" ht="42.75">
      <c r="A42" s="164" t="s">
        <v>773</v>
      </c>
      <c r="B42" s="165" t="s">
        <v>1244</v>
      </c>
      <c r="C42" s="165" t="s">
        <v>3462</v>
      </c>
      <c r="D42" s="164">
        <v>1420</v>
      </c>
      <c r="E42" s="164">
        <v>1466</v>
      </c>
      <c r="F42" s="164" t="s">
        <v>3404</v>
      </c>
      <c r="G42" s="164">
        <v>2024</v>
      </c>
      <c r="H42" s="175">
        <v>45552</v>
      </c>
      <c r="I42" s="175">
        <v>45552</v>
      </c>
      <c r="J42" s="168" t="s">
        <v>6657</v>
      </c>
      <c r="K42" s="174">
        <v>45553</v>
      </c>
      <c r="L42" s="129" t="s">
        <v>3127</v>
      </c>
      <c r="M42" s="129" t="s">
        <v>4</v>
      </c>
      <c r="N42" s="129" t="s">
        <v>50</v>
      </c>
      <c r="O42" s="129"/>
      <c r="P42" s="146"/>
      <c r="Q42" s="170">
        <v>45553</v>
      </c>
      <c r="R42" s="171" t="s">
        <v>6643</v>
      </c>
      <c r="S42" s="172"/>
    </row>
    <row r="43" spans="1:19" ht="42.75">
      <c r="A43" s="164" t="s">
        <v>773</v>
      </c>
      <c r="B43" s="165" t="s">
        <v>1244</v>
      </c>
      <c r="C43" s="165" t="s">
        <v>3463</v>
      </c>
      <c r="D43" s="164">
        <v>2485</v>
      </c>
      <c r="E43" s="164">
        <v>2726</v>
      </c>
      <c r="F43" s="164" t="s">
        <v>3404</v>
      </c>
      <c r="G43" s="164">
        <v>2024</v>
      </c>
      <c r="H43" s="175">
        <v>45601</v>
      </c>
      <c r="I43" s="175">
        <v>45601</v>
      </c>
      <c r="J43" s="168" t="s">
        <v>6658</v>
      </c>
      <c r="K43" s="174">
        <v>45612</v>
      </c>
      <c r="L43" s="129" t="s">
        <v>3129</v>
      </c>
      <c r="M43" s="129" t="s">
        <v>4</v>
      </c>
      <c r="N43" s="129" t="s">
        <v>50</v>
      </c>
      <c r="O43" s="129" t="s">
        <v>3406</v>
      </c>
      <c r="P43" s="146"/>
      <c r="Q43" s="170">
        <v>45614</v>
      </c>
      <c r="R43" s="171" t="s">
        <v>6643</v>
      </c>
      <c r="S43" s="172"/>
    </row>
    <row r="44" spans="1:19" ht="42.75">
      <c r="A44" s="164" t="s">
        <v>773</v>
      </c>
      <c r="B44" s="165" t="s">
        <v>1244</v>
      </c>
      <c r="C44" s="176" t="s">
        <v>3464</v>
      </c>
      <c r="D44" s="164">
        <v>511</v>
      </c>
      <c r="E44" s="164">
        <v>473</v>
      </c>
      <c r="F44" s="164" t="s">
        <v>3955</v>
      </c>
      <c r="G44" s="164"/>
      <c r="H44" s="167"/>
      <c r="I44" s="167"/>
      <c r="J44" s="167"/>
      <c r="K44" s="169"/>
      <c r="L44" s="129"/>
      <c r="M44" s="129"/>
      <c r="N44" s="129"/>
      <c r="O44" s="129"/>
      <c r="P44" s="146"/>
      <c r="Q44" s="170"/>
      <c r="R44" s="171"/>
      <c r="S44" s="172"/>
    </row>
    <row r="45" spans="1:19" ht="42.75">
      <c r="A45" s="164" t="s">
        <v>773</v>
      </c>
      <c r="B45" s="165" t="s">
        <v>1244</v>
      </c>
      <c r="C45" s="165" t="s">
        <v>3466</v>
      </c>
      <c r="D45" s="164">
        <v>1869</v>
      </c>
      <c r="E45" s="164">
        <v>1915</v>
      </c>
      <c r="F45" s="164" t="s">
        <v>3404</v>
      </c>
      <c r="G45" s="164">
        <v>2024</v>
      </c>
      <c r="H45" s="175">
        <v>45580</v>
      </c>
      <c r="I45" s="175">
        <v>45580</v>
      </c>
      <c r="J45" s="168" t="s">
        <v>6659</v>
      </c>
      <c r="K45" s="174">
        <v>45581</v>
      </c>
      <c r="L45" s="129" t="s">
        <v>3128</v>
      </c>
      <c r="M45" s="129" t="s">
        <v>4</v>
      </c>
      <c r="N45" s="129" t="s">
        <v>50</v>
      </c>
      <c r="O45" s="129" t="s">
        <v>3406</v>
      </c>
      <c r="P45" s="146"/>
      <c r="Q45" s="170">
        <v>45582</v>
      </c>
      <c r="R45" s="171" t="s">
        <v>6643</v>
      </c>
      <c r="S45" s="172"/>
    </row>
    <row r="46" spans="1:19" ht="42.75">
      <c r="A46" s="164" t="s">
        <v>773</v>
      </c>
      <c r="B46" s="165" t="s">
        <v>1244</v>
      </c>
      <c r="C46" s="165" t="s">
        <v>3467</v>
      </c>
      <c r="D46" s="164">
        <v>1742</v>
      </c>
      <c r="E46" s="164">
        <v>1841</v>
      </c>
      <c r="F46" s="164" t="s">
        <v>3404</v>
      </c>
      <c r="G46" s="164">
        <v>2024</v>
      </c>
      <c r="H46" s="175">
        <v>45552</v>
      </c>
      <c r="I46" s="175">
        <v>45552</v>
      </c>
      <c r="J46" s="168" t="s">
        <v>6660</v>
      </c>
      <c r="K46" s="174">
        <v>45553</v>
      </c>
      <c r="L46" s="129" t="s">
        <v>3127</v>
      </c>
      <c r="M46" s="129" t="s">
        <v>4</v>
      </c>
      <c r="N46" s="129" t="s">
        <v>50</v>
      </c>
      <c r="O46" s="129" t="s">
        <v>3406</v>
      </c>
      <c r="P46" s="146"/>
      <c r="Q46" s="170">
        <v>45553</v>
      </c>
      <c r="R46" s="171" t="s">
        <v>6643</v>
      </c>
      <c r="S46" s="172"/>
    </row>
    <row r="47" spans="1:19" ht="42.75">
      <c r="A47" s="164" t="s">
        <v>773</v>
      </c>
      <c r="B47" s="165" t="s">
        <v>1244</v>
      </c>
      <c r="C47" s="165" t="s">
        <v>3468</v>
      </c>
      <c r="D47" s="164">
        <v>1841</v>
      </c>
      <c r="E47" s="164">
        <v>2280</v>
      </c>
      <c r="F47" s="164" t="s">
        <v>3404</v>
      </c>
      <c r="G47" s="164">
        <v>2024</v>
      </c>
      <c r="H47" s="175">
        <v>45580</v>
      </c>
      <c r="I47" s="175">
        <v>45580</v>
      </c>
      <c r="J47" s="168" t="s">
        <v>6661</v>
      </c>
      <c r="K47" s="174">
        <v>45581</v>
      </c>
      <c r="L47" s="129" t="s">
        <v>3128</v>
      </c>
      <c r="M47" s="129" t="s">
        <v>4</v>
      </c>
      <c r="N47" s="129" t="s">
        <v>50</v>
      </c>
      <c r="O47" s="129" t="s">
        <v>3406</v>
      </c>
      <c r="P47" s="146"/>
      <c r="Q47" s="170">
        <v>45582</v>
      </c>
      <c r="R47" s="171" t="s">
        <v>6643</v>
      </c>
      <c r="S47" s="172"/>
    </row>
    <row r="48" spans="1:19" ht="42.75">
      <c r="A48" s="164" t="s">
        <v>773</v>
      </c>
      <c r="B48" s="165" t="s">
        <v>1244</v>
      </c>
      <c r="C48" s="176" t="s">
        <v>3469</v>
      </c>
      <c r="D48" s="164">
        <v>634</v>
      </c>
      <c r="E48" s="164">
        <v>719</v>
      </c>
      <c r="F48" s="164" t="s">
        <v>3955</v>
      </c>
      <c r="G48" s="164"/>
      <c r="H48" s="167"/>
      <c r="I48" s="167"/>
      <c r="J48" s="167"/>
      <c r="K48" s="169"/>
      <c r="L48" s="129"/>
      <c r="M48" s="129"/>
      <c r="N48" s="129"/>
      <c r="O48" s="129"/>
      <c r="P48" s="146"/>
      <c r="Q48" s="170"/>
      <c r="R48" s="171"/>
      <c r="S48" s="172"/>
    </row>
    <row r="49" spans="1:19" ht="42.75">
      <c r="A49" s="164" t="s">
        <v>773</v>
      </c>
      <c r="B49" s="165" t="s">
        <v>1244</v>
      </c>
      <c r="C49" s="165" t="s">
        <v>3446</v>
      </c>
      <c r="D49" s="164">
        <v>1266</v>
      </c>
      <c r="E49" s="164">
        <v>1407</v>
      </c>
      <c r="F49" s="164" t="s">
        <v>3404</v>
      </c>
      <c r="G49" s="164">
        <v>2024</v>
      </c>
      <c r="H49" s="175">
        <v>45610</v>
      </c>
      <c r="I49" s="175">
        <v>45610</v>
      </c>
      <c r="J49" s="168" t="s">
        <v>6662</v>
      </c>
      <c r="K49" s="174">
        <v>45616</v>
      </c>
      <c r="L49" s="129" t="s">
        <v>3129</v>
      </c>
      <c r="M49" s="129" t="s">
        <v>4</v>
      </c>
      <c r="N49" s="129" t="s">
        <v>50</v>
      </c>
      <c r="O49" s="129" t="s">
        <v>3406</v>
      </c>
      <c r="P49" s="146"/>
      <c r="Q49" s="170">
        <v>45616</v>
      </c>
      <c r="R49" s="171" t="s">
        <v>6643</v>
      </c>
      <c r="S49" s="172"/>
    </row>
    <row r="50" spans="1:19" ht="42.75">
      <c r="A50" s="164" t="s">
        <v>773</v>
      </c>
      <c r="B50" s="165" t="s">
        <v>974</v>
      </c>
      <c r="C50" s="165" t="s">
        <v>3472</v>
      </c>
      <c r="D50" s="164">
        <v>1236</v>
      </c>
      <c r="E50" s="164">
        <v>1293</v>
      </c>
      <c r="F50" s="164" t="s">
        <v>3404</v>
      </c>
      <c r="G50" s="164">
        <v>2024</v>
      </c>
      <c r="H50" s="175">
        <v>45546</v>
      </c>
      <c r="I50" s="175">
        <v>45546</v>
      </c>
      <c r="J50" s="168" t="s">
        <v>6663</v>
      </c>
      <c r="K50" s="174">
        <v>45552</v>
      </c>
      <c r="L50" s="129" t="s">
        <v>3127</v>
      </c>
      <c r="M50" s="129"/>
      <c r="N50" s="129" t="s">
        <v>50</v>
      </c>
      <c r="O50" s="129" t="s">
        <v>3406</v>
      </c>
      <c r="P50" s="146"/>
      <c r="Q50" s="170">
        <v>45552</v>
      </c>
      <c r="R50" s="171" t="s">
        <v>6643</v>
      </c>
      <c r="S50" s="172"/>
    </row>
    <row r="51" spans="1:19" ht="42.75">
      <c r="A51" s="164" t="s">
        <v>773</v>
      </c>
      <c r="B51" s="165" t="s">
        <v>974</v>
      </c>
      <c r="C51" s="165" t="s">
        <v>3485</v>
      </c>
      <c r="D51" s="164">
        <v>1881</v>
      </c>
      <c r="E51" s="164">
        <v>1553</v>
      </c>
      <c r="F51" s="164" t="s">
        <v>3404</v>
      </c>
      <c r="G51" s="164">
        <v>2024</v>
      </c>
      <c r="H51" s="166">
        <v>45357</v>
      </c>
      <c r="I51" s="167"/>
      <c r="J51" s="168" t="s">
        <v>6664</v>
      </c>
      <c r="K51" s="169"/>
      <c r="L51" s="129" t="s">
        <v>3416</v>
      </c>
      <c r="M51" s="129"/>
      <c r="N51" s="129"/>
      <c r="O51" s="129" t="s">
        <v>3406</v>
      </c>
      <c r="P51" s="146"/>
      <c r="Q51" s="170"/>
      <c r="R51" s="171"/>
      <c r="S51" s="172"/>
    </row>
    <row r="52" spans="1:19" ht="42.75">
      <c r="A52" s="164" t="s">
        <v>773</v>
      </c>
      <c r="B52" s="165" t="s">
        <v>974</v>
      </c>
      <c r="C52" s="165" t="s">
        <v>3487</v>
      </c>
      <c r="D52" s="164">
        <v>1666</v>
      </c>
      <c r="E52" s="164">
        <v>1848</v>
      </c>
      <c r="F52" s="164" t="s">
        <v>3404</v>
      </c>
      <c r="G52" s="164">
        <v>2024</v>
      </c>
      <c r="H52" s="166">
        <v>45357</v>
      </c>
      <c r="I52" s="167"/>
      <c r="J52" s="168" t="s">
        <v>6665</v>
      </c>
      <c r="K52" s="169"/>
      <c r="L52" s="129" t="s">
        <v>3416</v>
      </c>
      <c r="M52" s="129"/>
      <c r="N52" s="129"/>
      <c r="O52" s="129" t="s">
        <v>3406</v>
      </c>
      <c r="P52" s="146"/>
      <c r="Q52" s="170"/>
      <c r="R52" s="171"/>
      <c r="S52" s="172"/>
    </row>
    <row r="53" spans="1:19" ht="42.75">
      <c r="A53" s="164" t="s">
        <v>773</v>
      </c>
      <c r="B53" s="165" t="s">
        <v>974</v>
      </c>
      <c r="C53" s="165" t="s">
        <v>3475</v>
      </c>
      <c r="D53" s="164">
        <v>905</v>
      </c>
      <c r="E53" s="164">
        <v>1355</v>
      </c>
      <c r="F53" s="164" t="s">
        <v>3404</v>
      </c>
      <c r="G53" s="164">
        <v>2024</v>
      </c>
      <c r="H53" s="175">
        <v>45575</v>
      </c>
      <c r="I53" s="175">
        <v>45575</v>
      </c>
      <c r="J53" s="168" t="s">
        <v>6666</v>
      </c>
      <c r="K53" s="174">
        <v>45580</v>
      </c>
      <c r="L53" s="129" t="s">
        <v>3128</v>
      </c>
      <c r="M53" s="129" t="s">
        <v>4</v>
      </c>
      <c r="N53" s="129" t="s">
        <v>50</v>
      </c>
      <c r="O53" s="129" t="s">
        <v>3406</v>
      </c>
      <c r="P53" s="146"/>
      <c r="Q53" s="170">
        <v>45580</v>
      </c>
      <c r="R53" s="171" t="s">
        <v>6643</v>
      </c>
      <c r="S53" s="172"/>
    </row>
    <row r="54" spans="1:19" ht="42.75">
      <c r="A54" s="164" t="s">
        <v>773</v>
      </c>
      <c r="B54" s="165" t="s">
        <v>974</v>
      </c>
      <c r="C54" s="165" t="s">
        <v>1746</v>
      </c>
      <c r="D54" s="164">
        <v>1292</v>
      </c>
      <c r="E54" s="164">
        <v>1682</v>
      </c>
      <c r="F54" s="164" t="s">
        <v>3404</v>
      </c>
      <c r="G54" s="164">
        <v>2024</v>
      </c>
      <c r="H54" s="175">
        <v>45393</v>
      </c>
      <c r="I54" s="175">
        <v>45397</v>
      </c>
      <c r="J54" s="168" t="s">
        <v>6667</v>
      </c>
      <c r="K54" s="174">
        <v>45398</v>
      </c>
      <c r="L54" s="129" t="s">
        <v>3470</v>
      </c>
      <c r="M54" s="129"/>
      <c r="N54" s="129"/>
      <c r="O54" s="129" t="s">
        <v>3406</v>
      </c>
      <c r="P54" s="146"/>
      <c r="Q54" s="170"/>
      <c r="R54" s="171"/>
      <c r="S54" s="172"/>
    </row>
    <row r="55" spans="1:19" ht="42.75">
      <c r="A55" s="164" t="s">
        <v>773</v>
      </c>
      <c r="B55" s="165" t="s">
        <v>974</v>
      </c>
      <c r="C55" s="165" t="s">
        <v>3473</v>
      </c>
      <c r="D55" s="164">
        <v>659</v>
      </c>
      <c r="E55" s="164">
        <v>777</v>
      </c>
      <c r="F55" s="164" t="s">
        <v>3404</v>
      </c>
      <c r="G55" s="164">
        <v>2024</v>
      </c>
      <c r="H55" s="175">
        <v>45546</v>
      </c>
      <c r="I55" s="175">
        <v>45546</v>
      </c>
      <c r="J55" s="168" t="s">
        <v>6668</v>
      </c>
      <c r="K55" s="174">
        <v>45552</v>
      </c>
      <c r="L55" s="129" t="s">
        <v>3127</v>
      </c>
      <c r="M55" s="129" t="s">
        <v>4</v>
      </c>
      <c r="N55" s="129" t="s">
        <v>50</v>
      </c>
      <c r="O55" s="129" t="s">
        <v>3406</v>
      </c>
      <c r="P55" s="146"/>
      <c r="Q55" s="170">
        <v>45552</v>
      </c>
      <c r="R55" s="171" t="s">
        <v>6643</v>
      </c>
      <c r="S55" s="172"/>
    </row>
    <row r="56" spans="1:19" ht="42.75">
      <c r="A56" s="164" t="s">
        <v>773</v>
      </c>
      <c r="B56" s="165" t="s">
        <v>974</v>
      </c>
      <c r="C56" s="165" t="s">
        <v>3474</v>
      </c>
      <c r="D56" s="164">
        <v>763</v>
      </c>
      <c r="E56" s="164">
        <v>952</v>
      </c>
      <c r="F56" s="164" t="s">
        <v>3404</v>
      </c>
      <c r="G56" s="164">
        <v>2024</v>
      </c>
      <c r="H56" s="175">
        <v>45449</v>
      </c>
      <c r="I56" s="175">
        <v>45452</v>
      </c>
      <c r="J56" s="168" t="s">
        <v>6669</v>
      </c>
      <c r="K56" s="174">
        <v>45461</v>
      </c>
      <c r="L56" s="129" t="s">
        <v>3689</v>
      </c>
      <c r="M56" s="129"/>
      <c r="N56" s="129"/>
      <c r="O56" s="129" t="s">
        <v>3406</v>
      </c>
      <c r="P56" s="146"/>
      <c r="Q56" s="130">
        <v>45462</v>
      </c>
      <c r="R56" s="171"/>
      <c r="S56" s="172"/>
    </row>
    <row r="57" spans="1:19" ht="42.75">
      <c r="A57" s="164" t="s">
        <v>773</v>
      </c>
      <c r="B57" s="165" t="s">
        <v>974</v>
      </c>
      <c r="C57" s="165" t="s">
        <v>3480</v>
      </c>
      <c r="D57" s="164">
        <v>1203</v>
      </c>
      <c r="E57" s="164">
        <v>1298</v>
      </c>
      <c r="F57" s="164" t="s">
        <v>3404</v>
      </c>
      <c r="G57" s="164">
        <v>2024</v>
      </c>
      <c r="H57" s="175">
        <v>45394</v>
      </c>
      <c r="I57" s="175">
        <v>45397</v>
      </c>
      <c r="J57" s="168" t="s">
        <v>6670</v>
      </c>
      <c r="K57" s="174">
        <v>45398</v>
      </c>
      <c r="L57" s="129" t="s">
        <v>3470</v>
      </c>
      <c r="M57" s="129"/>
      <c r="N57" s="129"/>
      <c r="O57" s="129" t="s">
        <v>3406</v>
      </c>
      <c r="P57" s="146"/>
      <c r="Q57" s="170"/>
      <c r="R57" s="171"/>
      <c r="S57" s="172"/>
    </row>
    <row r="58" spans="1:19" ht="42.75">
      <c r="A58" s="164" t="s">
        <v>773</v>
      </c>
      <c r="B58" s="165" t="s">
        <v>974</v>
      </c>
      <c r="C58" s="165" t="s">
        <v>3484</v>
      </c>
      <c r="D58" s="164">
        <v>1717</v>
      </c>
      <c r="E58" s="164">
        <v>1750</v>
      </c>
      <c r="F58" s="164" t="s">
        <v>3404</v>
      </c>
      <c r="G58" s="164">
        <v>2024</v>
      </c>
      <c r="H58" s="175">
        <v>45450</v>
      </c>
      <c r="I58" s="175">
        <v>45452</v>
      </c>
      <c r="J58" s="168" t="s">
        <v>6671</v>
      </c>
      <c r="K58" s="174">
        <v>45462</v>
      </c>
      <c r="L58" s="129" t="s">
        <v>3689</v>
      </c>
      <c r="M58" s="129"/>
      <c r="N58" s="129"/>
      <c r="O58" s="129" t="s">
        <v>3406</v>
      </c>
      <c r="P58" s="146"/>
      <c r="Q58" s="130">
        <v>45462</v>
      </c>
      <c r="R58" s="171"/>
      <c r="S58" s="172"/>
    </row>
    <row r="59" spans="1:19" ht="42.75">
      <c r="A59" s="164" t="s">
        <v>773</v>
      </c>
      <c r="B59" s="165" t="s">
        <v>825</v>
      </c>
      <c r="C59" s="165" t="s">
        <v>3488</v>
      </c>
      <c r="D59" s="164">
        <v>1802</v>
      </c>
      <c r="E59" s="164">
        <v>2148</v>
      </c>
      <c r="F59" s="164" t="s">
        <v>3404</v>
      </c>
      <c r="G59" s="164">
        <v>2024</v>
      </c>
      <c r="H59" s="173">
        <v>45611</v>
      </c>
      <c r="I59" s="173">
        <v>45611</v>
      </c>
      <c r="J59" s="168" t="s">
        <v>6672</v>
      </c>
      <c r="K59" s="174">
        <v>45616</v>
      </c>
      <c r="L59" s="129" t="s">
        <v>3129</v>
      </c>
      <c r="M59" s="129" t="s">
        <v>4</v>
      </c>
      <c r="N59" s="129" t="s">
        <v>50</v>
      </c>
      <c r="O59" s="129" t="s">
        <v>3406</v>
      </c>
      <c r="P59" s="146"/>
      <c r="Q59" s="170">
        <v>45616</v>
      </c>
      <c r="R59" s="171" t="s">
        <v>6643</v>
      </c>
      <c r="S59" s="172"/>
    </row>
    <row r="60" spans="1:19" ht="42.75">
      <c r="A60" s="164" t="s">
        <v>773</v>
      </c>
      <c r="B60" s="165" t="s">
        <v>825</v>
      </c>
      <c r="C60" s="165" t="s">
        <v>3489</v>
      </c>
      <c r="D60" s="164">
        <v>909</v>
      </c>
      <c r="E60" s="164">
        <v>996</v>
      </c>
      <c r="F60" s="164" t="s">
        <v>3404</v>
      </c>
      <c r="G60" s="164">
        <v>2024</v>
      </c>
      <c r="H60" s="175">
        <v>45611</v>
      </c>
      <c r="I60" s="175">
        <v>45611</v>
      </c>
      <c r="J60" s="168" t="s">
        <v>6673</v>
      </c>
      <c r="K60" s="174">
        <v>45616</v>
      </c>
      <c r="L60" s="129" t="s">
        <v>3129</v>
      </c>
      <c r="M60" s="129" t="s">
        <v>4</v>
      </c>
      <c r="N60" s="129" t="s">
        <v>50</v>
      </c>
      <c r="O60" s="129" t="s">
        <v>3406</v>
      </c>
      <c r="P60" s="146"/>
      <c r="Q60" s="170">
        <v>45616</v>
      </c>
      <c r="R60" s="171" t="s">
        <v>6643</v>
      </c>
      <c r="S60" s="172"/>
    </row>
    <row r="61" spans="1:19" ht="42.75">
      <c r="A61" s="164" t="s">
        <v>773</v>
      </c>
      <c r="B61" s="165" t="s">
        <v>825</v>
      </c>
      <c r="C61" s="165" t="s">
        <v>3490</v>
      </c>
      <c r="D61" s="164">
        <v>3356</v>
      </c>
      <c r="E61" s="164">
        <v>3502</v>
      </c>
      <c r="F61" s="164" t="s">
        <v>3404</v>
      </c>
      <c r="G61" s="164">
        <v>2024</v>
      </c>
      <c r="H61" s="175">
        <v>45610</v>
      </c>
      <c r="I61" s="175">
        <v>45611</v>
      </c>
      <c r="J61" s="168" t="s">
        <v>6674</v>
      </c>
      <c r="K61" s="174">
        <v>45616</v>
      </c>
      <c r="L61" s="129" t="s">
        <v>3129</v>
      </c>
      <c r="M61" s="129" t="s">
        <v>4</v>
      </c>
      <c r="N61" s="129" t="s">
        <v>50</v>
      </c>
      <c r="O61" s="129" t="s">
        <v>3406</v>
      </c>
      <c r="P61" s="146"/>
      <c r="Q61" s="170">
        <v>45616</v>
      </c>
      <c r="R61" s="171" t="s">
        <v>6643</v>
      </c>
      <c r="S61" s="172"/>
    </row>
    <row r="62" spans="1:19" ht="42.75">
      <c r="A62" s="164" t="s">
        <v>773</v>
      </c>
      <c r="B62" s="165" t="s">
        <v>825</v>
      </c>
      <c r="C62" s="165" t="s">
        <v>1248</v>
      </c>
      <c r="D62" s="164">
        <v>2992</v>
      </c>
      <c r="E62" s="164">
        <v>3502</v>
      </c>
      <c r="F62" s="164" t="s">
        <v>3404</v>
      </c>
      <c r="G62" s="164">
        <v>2024</v>
      </c>
      <c r="H62" s="175">
        <v>45545</v>
      </c>
      <c r="I62" s="175">
        <v>45545</v>
      </c>
      <c r="J62" s="168" t="s">
        <v>6675</v>
      </c>
      <c r="K62" s="174">
        <v>45552</v>
      </c>
      <c r="L62" s="129" t="s">
        <v>3127</v>
      </c>
      <c r="M62" s="129" t="s">
        <v>4</v>
      </c>
      <c r="N62" s="129" t="s">
        <v>50</v>
      </c>
      <c r="O62" s="129"/>
      <c r="P62" s="146"/>
      <c r="Q62" s="170">
        <v>45552</v>
      </c>
      <c r="R62" s="171" t="s">
        <v>6643</v>
      </c>
      <c r="S62" s="172"/>
    </row>
    <row r="63" spans="1:19" ht="42.75">
      <c r="A63" s="164" t="s">
        <v>773</v>
      </c>
      <c r="B63" s="165" t="s">
        <v>825</v>
      </c>
      <c r="C63" s="165" t="s">
        <v>3496</v>
      </c>
      <c r="D63" s="164">
        <v>1036</v>
      </c>
      <c r="E63" s="164">
        <v>1064</v>
      </c>
      <c r="F63" s="164" t="s">
        <v>3404</v>
      </c>
      <c r="G63" s="164">
        <v>2024</v>
      </c>
      <c r="H63" s="166">
        <v>45365</v>
      </c>
      <c r="I63" s="167"/>
      <c r="J63" s="168" t="s">
        <v>6676</v>
      </c>
      <c r="K63" s="169"/>
      <c r="L63" s="129" t="s">
        <v>3416</v>
      </c>
      <c r="M63" s="129"/>
      <c r="N63" s="129"/>
      <c r="O63" s="129"/>
      <c r="P63" s="146"/>
      <c r="Q63" s="170"/>
      <c r="R63" s="171"/>
      <c r="S63" s="172"/>
    </row>
    <row r="64" spans="1:19" ht="42.75">
      <c r="A64" s="164" t="s">
        <v>773</v>
      </c>
      <c r="B64" s="165" t="s">
        <v>825</v>
      </c>
      <c r="C64" s="176" t="s">
        <v>3498</v>
      </c>
      <c r="D64" s="164">
        <v>404</v>
      </c>
      <c r="E64" s="164">
        <v>414</v>
      </c>
      <c r="F64" s="164" t="s">
        <v>3955</v>
      </c>
      <c r="G64" s="164"/>
      <c r="H64" s="167"/>
      <c r="I64" s="167"/>
      <c r="J64" s="167"/>
      <c r="K64" s="169"/>
      <c r="L64" s="129"/>
      <c r="M64" s="129"/>
      <c r="N64" s="129"/>
      <c r="O64" s="129"/>
      <c r="P64" s="146"/>
      <c r="Q64" s="170"/>
      <c r="R64" s="171"/>
      <c r="S64" s="172"/>
    </row>
    <row r="65" spans="1:19" ht="42.75">
      <c r="A65" s="164" t="s">
        <v>773</v>
      </c>
      <c r="B65" s="165" t="s">
        <v>825</v>
      </c>
      <c r="C65" s="165" t="s">
        <v>3500</v>
      </c>
      <c r="D65" s="164">
        <v>3624</v>
      </c>
      <c r="E65" s="164">
        <v>3814</v>
      </c>
      <c r="F65" s="164" t="s">
        <v>3404</v>
      </c>
      <c r="G65" s="164">
        <v>2024</v>
      </c>
      <c r="H65" s="175">
        <v>45421</v>
      </c>
      <c r="I65" s="175">
        <v>45425</v>
      </c>
      <c r="J65" s="168" t="s">
        <v>6677</v>
      </c>
      <c r="K65" s="174">
        <v>45427</v>
      </c>
      <c r="L65" s="129" t="s">
        <v>3532</v>
      </c>
      <c r="M65" s="129"/>
      <c r="N65" s="129"/>
      <c r="O65" s="129" t="s">
        <v>3406</v>
      </c>
      <c r="P65" s="146"/>
      <c r="Q65" s="170"/>
      <c r="R65" s="171"/>
      <c r="S65" s="172"/>
    </row>
    <row r="66" spans="1:19" ht="42.75">
      <c r="A66" s="164" t="s">
        <v>773</v>
      </c>
      <c r="B66" s="165" t="s">
        <v>825</v>
      </c>
      <c r="C66" s="165" t="s">
        <v>3501</v>
      </c>
      <c r="D66" s="164">
        <v>5075</v>
      </c>
      <c r="E66" s="164">
        <v>5754</v>
      </c>
      <c r="F66" s="164" t="s">
        <v>3404</v>
      </c>
      <c r="G66" s="164">
        <v>2024</v>
      </c>
      <c r="H66" s="175">
        <v>45610</v>
      </c>
      <c r="I66" s="175">
        <v>45611</v>
      </c>
      <c r="J66" s="168" t="s">
        <v>6678</v>
      </c>
      <c r="K66" s="174">
        <v>45616</v>
      </c>
      <c r="L66" s="129" t="s">
        <v>3129</v>
      </c>
      <c r="M66" s="129" t="s">
        <v>4</v>
      </c>
      <c r="N66" s="129" t="s">
        <v>50</v>
      </c>
      <c r="O66" s="129" t="s">
        <v>3406</v>
      </c>
      <c r="P66" s="146"/>
      <c r="Q66" s="170">
        <v>45616</v>
      </c>
      <c r="R66" s="171" t="s">
        <v>6643</v>
      </c>
      <c r="S66" s="172"/>
    </row>
    <row r="67" spans="1:19" ht="42.75">
      <c r="A67" s="164" t="s">
        <v>773</v>
      </c>
      <c r="B67" s="165" t="s">
        <v>825</v>
      </c>
      <c r="C67" s="165" t="s">
        <v>1056</v>
      </c>
      <c r="D67" s="164">
        <v>1084</v>
      </c>
      <c r="E67" s="164">
        <v>1092</v>
      </c>
      <c r="F67" s="164" t="s">
        <v>3404</v>
      </c>
      <c r="G67" s="164">
        <v>2024</v>
      </c>
      <c r="H67" s="166">
        <v>45352</v>
      </c>
      <c r="I67" s="167"/>
      <c r="J67" s="168" t="s">
        <v>6679</v>
      </c>
      <c r="K67" s="169"/>
      <c r="L67" s="129" t="s">
        <v>3416</v>
      </c>
      <c r="M67" s="129"/>
      <c r="N67" s="129"/>
      <c r="O67" s="129" t="s">
        <v>3406</v>
      </c>
      <c r="P67" s="146"/>
      <c r="Q67" s="170"/>
      <c r="R67" s="171"/>
      <c r="S67" s="172"/>
    </row>
    <row r="68" spans="1:19" ht="42.75">
      <c r="A68" s="164" t="s">
        <v>773</v>
      </c>
      <c r="B68" s="165" t="s">
        <v>825</v>
      </c>
      <c r="C68" s="165" t="s">
        <v>1819</v>
      </c>
      <c r="D68" s="164">
        <v>820</v>
      </c>
      <c r="E68" s="164">
        <v>1039</v>
      </c>
      <c r="F68" s="164" t="s">
        <v>3404</v>
      </c>
      <c r="G68" s="164">
        <v>2024</v>
      </c>
      <c r="H68" s="175">
        <v>45422</v>
      </c>
      <c r="I68" s="175">
        <v>45425</v>
      </c>
      <c r="J68" s="168" t="s">
        <v>6680</v>
      </c>
      <c r="K68" s="174">
        <v>45427</v>
      </c>
      <c r="L68" s="129" t="s">
        <v>3532</v>
      </c>
      <c r="M68" s="129"/>
      <c r="N68" s="129"/>
      <c r="O68" s="129" t="s">
        <v>3406</v>
      </c>
      <c r="P68" s="146"/>
      <c r="Q68" s="170"/>
      <c r="R68" s="171"/>
      <c r="S68" s="172"/>
    </row>
    <row r="69" spans="1:19" ht="42.75">
      <c r="A69" s="164" t="s">
        <v>773</v>
      </c>
      <c r="B69" s="165" t="s">
        <v>825</v>
      </c>
      <c r="C69" s="165" t="s">
        <v>826</v>
      </c>
      <c r="D69" s="164">
        <v>4380</v>
      </c>
      <c r="E69" s="164">
        <v>4553</v>
      </c>
      <c r="F69" s="164" t="s">
        <v>3404</v>
      </c>
      <c r="G69" s="164">
        <v>2024</v>
      </c>
      <c r="H69" s="175">
        <v>45610</v>
      </c>
      <c r="I69" s="175">
        <v>45611</v>
      </c>
      <c r="J69" s="168" t="s">
        <v>6681</v>
      </c>
      <c r="K69" s="174">
        <v>45616</v>
      </c>
      <c r="L69" s="129" t="s">
        <v>3129</v>
      </c>
      <c r="M69" s="129" t="s">
        <v>4</v>
      </c>
      <c r="N69" s="129" t="s">
        <v>50</v>
      </c>
      <c r="O69" s="129" t="s">
        <v>3406</v>
      </c>
      <c r="P69" s="146"/>
      <c r="Q69" s="170">
        <v>45616</v>
      </c>
      <c r="R69" s="171" t="s">
        <v>6643</v>
      </c>
      <c r="S69" s="172"/>
    </row>
    <row r="70" spans="1:19" ht="42.75">
      <c r="A70" s="164" t="s">
        <v>773</v>
      </c>
      <c r="B70" s="165" t="s">
        <v>829</v>
      </c>
      <c r="C70" s="165" t="s">
        <v>3506</v>
      </c>
      <c r="D70" s="164">
        <v>915</v>
      </c>
      <c r="E70" s="164">
        <v>929</v>
      </c>
      <c r="F70" s="164" t="s">
        <v>3404</v>
      </c>
      <c r="G70" s="164">
        <v>2024</v>
      </c>
      <c r="H70" s="175">
        <v>45568</v>
      </c>
      <c r="I70" s="175">
        <v>45573</v>
      </c>
      <c r="J70" s="168" t="s">
        <v>6682</v>
      </c>
      <c r="K70" s="174">
        <v>45580</v>
      </c>
      <c r="L70" s="129" t="s">
        <v>3128</v>
      </c>
      <c r="M70" s="129" t="s">
        <v>4</v>
      </c>
      <c r="N70" s="129" t="s">
        <v>50</v>
      </c>
      <c r="O70" s="129" t="s">
        <v>3406</v>
      </c>
      <c r="P70" s="146"/>
      <c r="Q70" s="170">
        <v>45580</v>
      </c>
      <c r="R70" s="171" t="s">
        <v>6643</v>
      </c>
      <c r="S70" s="172"/>
    </row>
    <row r="71" spans="1:19" ht="42.75">
      <c r="A71" s="164" t="s">
        <v>773</v>
      </c>
      <c r="B71" s="165" t="s">
        <v>829</v>
      </c>
      <c r="C71" s="165" t="s">
        <v>3508</v>
      </c>
      <c r="D71" s="164">
        <v>569</v>
      </c>
      <c r="E71" s="164">
        <v>736</v>
      </c>
      <c r="F71" s="164" t="s">
        <v>3404</v>
      </c>
      <c r="G71" s="164">
        <v>2024</v>
      </c>
      <c r="H71" s="175">
        <v>45449</v>
      </c>
      <c r="I71" s="175">
        <v>45460</v>
      </c>
      <c r="J71" s="168" t="s">
        <v>6683</v>
      </c>
      <c r="K71" s="174">
        <v>45460</v>
      </c>
      <c r="L71" s="129" t="s">
        <v>3689</v>
      </c>
      <c r="M71" s="129"/>
      <c r="N71" s="129"/>
      <c r="O71" s="129" t="s">
        <v>3406</v>
      </c>
      <c r="P71" s="146"/>
      <c r="Q71" s="170">
        <v>45464</v>
      </c>
      <c r="R71" s="171"/>
      <c r="S71" s="172"/>
    </row>
    <row r="72" spans="1:19" ht="42.75">
      <c r="A72" s="164" t="s">
        <v>773</v>
      </c>
      <c r="B72" s="165" t="s">
        <v>829</v>
      </c>
      <c r="C72" s="165" t="s">
        <v>3507</v>
      </c>
      <c r="D72" s="164">
        <v>2416</v>
      </c>
      <c r="E72" s="164">
        <v>2756</v>
      </c>
      <c r="F72" s="164" t="s">
        <v>3404</v>
      </c>
      <c r="G72" s="164">
        <v>2024</v>
      </c>
      <c r="H72" s="175">
        <v>45609</v>
      </c>
      <c r="I72" s="175">
        <v>45610</v>
      </c>
      <c r="J72" s="168" t="s">
        <v>6684</v>
      </c>
      <c r="K72" s="174">
        <v>45613</v>
      </c>
      <c r="L72" s="129" t="s">
        <v>3129</v>
      </c>
      <c r="M72" s="129" t="s">
        <v>4</v>
      </c>
      <c r="N72" s="129" t="s">
        <v>50</v>
      </c>
      <c r="O72" s="129"/>
      <c r="P72" s="146"/>
      <c r="Q72" s="170">
        <v>45614</v>
      </c>
      <c r="R72" s="171" t="s">
        <v>6643</v>
      </c>
      <c r="S72" s="172"/>
    </row>
    <row r="73" spans="1:19" ht="42.75">
      <c r="A73" s="164" t="s">
        <v>773</v>
      </c>
      <c r="B73" s="165" t="s">
        <v>829</v>
      </c>
      <c r="C73" s="176" t="s">
        <v>3509</v>
      </c>
      <c r="D73" s="164">
        <v>816</v>
      </c>
      <c r="E73" s="164">
        <v>838</v>
      </c>
      <c r="F73" s="164" t="s">
        <v>3404</v>
      </c>
      <c r="G73" s="164">
        <v>2024</v>
      </c>
      <c r="H73" s="175">
        <v>45608</v>
      </c>
      <c r="I73" s="175">
        <v>45609</v>
      </c>
      <c r="J73" s="168" t="s">
        <v>6685</v>
      </c>
      <c r="K73" s="174">
        <v>45613</v>
      </c>
      <c r="L73" s="129" t="s">
        <v>3129</v>
      </c>
      <c r="M73" s="129" t="s">
        <v>4</v>
      </c>
      <c r="N73" s="129" t="s">
        <v>50</v>
      </c>
      <c r="O73" s="129" t="s">
        <v>3406</v>
      </c>
      <c r="P73" s="146"/>
      <c r="Q73" s="170">
        <v>45622</v>
      </c>
      <c r="R73" s="171" t="s">
        <v>6643</v>
      </c>
      <c r="S73" s="172"/>
    </row>
    <row r="74" spans="1:19" ht="42.75">
      <c r="A74" s="164" t="s">
        <v>773</v>
      </c>
      <c r="B74" s="165" t="s">
        <v>829</v>
      </c>
      <c r="C74" s="165" t="s">
        <v>3510</v>
      </c>
      <c r="D74" s="164">
        <v>722</v>
      </c>
      <c r="E74" s="164">
        <v>780</v>
      </c>
      <c r="F74" s="164" t="s">
        <v>3404</v>
      </c>
      <c r="G74" s="164">
        <v>2024</v>
      </c>
      <c r="H74" s="175">
        <v>45608</v>
      </c>
      <c r="I74" s="175">
        <v>45609</v>
      </c>
      <c r="J74" s="168" t="s">
        <v>6686</v>
      </c>
      <c r="K74" s="174">
        <v>45613</v>
      </c>
      <c r="L74" s="129" t="s">
        <v>3129</v>
      </c>
      <c r="M74" s="129" t="s">
        <v>4</v>
      </c>
      <c r="N74" s="129" t="s">
        <v>50</v>
      </c>
      <c r="O74" s="129"/>
      <c r="P74" s="146"/>
      <c r="Q74" s="170">
        <v>45614</v>
      </c>
      <c r="R74" s="171" t="s">
        <v>6643</v>
      </c>
      <c r="S74" s="172"/>
    </row>
    <row r="75" spans="1:19" ht="42.75">
      <c r="A75" s="164" t="s">
        <v>773</v>
      </c>
      <c r="B75" s="165" t="s">
        <v>829</v>
      </c>
      <c r="C75" s="165" t="s">
        <v>3511</v>
      </c>
      <c r="D75" s="164">
        <v>1730</v>
      </c>
      <c r="E75" s="164">
        <v>1801</v>
      </c>
      <c r="F75" s="164" t="s">
        <v>3404</v>
      </c>
      <c r="G75" s="164">
        <v>2024</v>
      </c>
      <c r="H75" s="175">
        <v>45609</v>
      </c>
      <c r="I75" s="175">
        <v>45610</v>
      </c>
      <c r="J75" s="168" t="s">
        <v>6687</v>
      </c>
      <c r="K75" s="174">
        <v>45613</v>
      </c>
      <c r="L75" s="129" t="s">
        <v>3129</v>
      </c>
      <c r="M75" s="129" t="s">
        <v>4</v>
      </c>
      <c r="N75" s="129" t="s">
        <v>50</v>
      </c>
      <c r="O75" s="129"/>
      <c r="P75" s="146"/>
      <c r="Q75" s="170">
        <v>45614</v>
      </c>
      <c r="R75" s="171" t="s">
        <v>6643</v>
      </c>
      <c r="S75" s="172"/>
    </row>
    <row r="76" spans="1:19" ht="42.75">
      <c r="A76" s="164" t="s">
        <v>773</v>
      </c>
      <c r="B76" s="165" t="s">
        <v>829</v>
      </c>
      <c r="C76" s="165" t="s">
        <v>3512</v>
      </c>
      <c r="D76" s="164">
        <v>860</v>
      </c>
      <c r="E76" s="164">
        <v>878</v>
      </c>
      <c r="F76" s="164" t="s">
        <v>3404</v>
      </c>
      <c r="G76" s="164">
        <v>2024</v>
      </c>
      <c r="H76" s="175">
        <v>45519</v>
      </c>
      <c r="I76" s="175">
        <v>45523</v>
      </c>
      <c r="J76" s="168" t="s">
        <v>6688</v>
      </c>
      <c r="K76" s="174">
        <v>45523</v>
      </c>
      <c r="L76" s="129" t="s">
        <v>3126</v>
      </c>
      <c r="M76" s="129" t="s">
        <v>4</v>
      </c>
      <c r="N76" s="129" t="s">
        <v>50</v>
      </c>
      <c r="O76" s="129" t="s">
        <v>3406</v>
      </c>
      <c r="P76" s="146"/>
      <c r="Q76" s="170">
        <v>45531</v>
      </c>
      <c r="R76" s="171" t="s">
        <v>6643</v>
      </c>
      <c r="S76" s="172"/>
    </row>
    <row r="77" spans="1:19" ht="42.75">
      <c r="A77" s="164" t="s">
        <v>773</v>
      </c>
      <c r="B77" s="165" t="s">
        <v>829</v>
      </c>
      <c r="C77" s="176" t="s">
        <v>3513</v>
      </c>
      <c r="D77" s="164">
        <v>1195</v>
      </c>
      <c r="E77" s="164">
        <v>1378</v>
      </c>
      <c r="F77" s="164" t="s">
        <v>3404</v>
      </c>
      <c r="G77" s="164">
        <v>2024</v>
      </c>
      <c r="H77" s="175">
        <v>45520</v>
      </c>
      <c r="I77" s="175">
        <v>45523</v>
      </c>
      <c r="J77" s="168" t="s">
        <v>6689</v>
      </c>
      <c r="K77" s="174">
        <v>45523</v>
      </c>
      <c r="L77" s="129" t="s">
        <v>3126</v>
      </c>
      <c r="M77" s="129" t="s">
        <v>4</v>
      </c>
      <c r="N77" s="129" t="s">
        <v>50</v>
      </c>
      <c r="O77" s="129" t="s">
        <v>3406</v>
      </c>
      <c r="P77" s="146"/>
      <c r="Q77" s="170">
        <v>45531</v>
      </c>
      <c r="R77" s="171" t="s">
        <v>6643</v>
      </c>
      <c r="S77" s="172"/>
    </row>
    <row r="78" spans="1:19" ht="42.75">
      <c r="A78" s="164" t="s">
        <v>773</v>
      </c>
      <c r="B78" s="165" t="s">
        <v>829</v>
      </c>
      <c r="C78" s="165" t="s">
        <v>833</v>
      </c>
      <c r="D78" s="164">
        <v>3733</v>
      </c>
      <c r="E78" s="164">
        <v>4344</v>
      </c>
      <c r="F78" s="164" t="s">
        <v>3404</v>
      </c>
      <c r="G78" s="164">
        <v>2024</v>
      </c>
      <c r="H78" s="175">
        <v>45520</v>
      </c>
      <c r="I78" s="175">
        <v>45523</v>
      </c>
      <c r="J78" s="168" t="s">
        <v>6690</v>
      </c>
      <c r="K78" s="174">
        <v>45523</v>
      </c>
      <c r="L78" s="129" t="s">
        <v>3126</v>
      </c>
      <c r="M78" s="129" t="s">
        <v>4</v>
      </c>
      <c r="N78" s="129" t="s">
        <v>50</v>
      </c>
      <c r="O78" s="129" t="s">
        <v>3406</v>
      </c>
      <c r="P78" s="146"/>
      <c r="Q78" s="170">
        <v>45531</v>
      </c>
      <c r="R78" s="171" t="s">
        <v>6643</v>
      </c>
      <c r="S78" s="172"/>
    </row>
    <row r="79" spans="1:19" ht="42.75">
      <c r="A79" s="164" t="s">
        <v>773</v>
      </c>
      <c r="B79" s="165" t="s">
        <v>829</v>
      </c>
      <c r="C79" s="165" t="s">
        <v>3514</v>
      </c>
      <c r="D79" s="164">
        <v>1398</v>
      </c>
      <c r="E79" s="164">
        <v>1651</v>
      </c>
      <c r="F79" s="164" t="s">
        <v>3404</v>
      </c>
      <c r="G79" s="164">
        <v>2024</v>
      </c>
      <c r="H79" s="175">
        <v>45519</v>
      </c>
      <c r="I79" s="175">
        <v>45523</v>
      </c>
      <c r="J79" s="177" t="s">
        <v>6691</v>
      </c>
      <c r="K79" s="174">
        <v>45523</v>
      </c>
      <c r="L79" s="129" t="s">
        <v>3126</v>
      </c>
      <c r="M79" s="129" t="s">
        <v>1078</v>
      </c>
      <c r="N79" s="129" t="s">
        <v>50</v>
      </c>
      <c r="O79" s="129" t="s">
        <v>3406</v>
      </c>
      <c r="P79" s="146"/>
      <c r="Q79" s="170">
        <v>45531</v>
      </c>
      <c r="R79" s="171" t="s">
        <v>6643</v>
      </c>
      <c r="S79" s="172"/>
    </row>
    <row r="80" spans="1:19" ht="42.75">
      <c r="A80" s="164" t="s">
        <v>773</v>
      </c>
      <c r="B80" s="165" t="s">
        <v>829</v>
      </c>
      <c r="C80" s="165" t="s">
        <v>835</v>
      </c>
      <c r="D80" s="164">
        <v>1037</v>
      </c>
      <c r="E80" s="164">
        <v>1114</v>
      </c>
      <c r="F80" s="164" t="s">
        <v>3404</v>
      </c>
      <c r="G80" s="164">
        <v>2024</v>
      </c>
      <c r="H80" s="175">
        <v>45512</v>
      </c>
      <c r="I80" s="175">
        <v>45513</v>
      </c>
      <c r="J80" s="168" t="s">
        <v>6692</v>
      </c>
      <c r="K80" s="174">
        <v>45517</v>
      </c>
      <c r="L80" s="129" t="s">
        <v>3126</v>
      </c>
      <c r="M80" s="129" t="s">
        <v>4</v>
      </c>
      <c r="N80" s="129" t="s">
        <v>50</v>
      </c>
      <c r="O80" s="129" t="s">
        <v>3406</v>
      </c>
      <c r="P80" s="146"/>
      <c r="Q80" s="170">
        <v>45517</v>
      </c>
      <c r="R80" s="171" t="s">
        <v>6643</v>
      </c>
      <c r="S80" s="172"/>
    </row>
    <row r="81" spans="1:19" ht="42.75">
      <c r="A81" s="164" t="s">
        <v>773</v>
      </c>
      <c r="B81" s="165" t="s">
        <v>829</v>
      </c>
      <c r="C81" s="165" t="s">
        <v>3515</v>
      </c>
      <c r="D81" s="164">
        <v>1154</v>
      </c>
      <c r="E81" s="164">
        <v>1272</v>
      </c>
      <c r="F81" s="164" t="s">
        <v>3404</v>
      </c>
      <c r="G81" s="164">
        <v>2024</v>
      </c>
      <c r="H81" s="166">
        <v>45366</v>
      </c>
      <c r="I81" s="167"/>
      <c r="J81" s="168" t="s">
        <v>6693</v>
      </c>
      <c r="K81" s="169"/>
      <c r="L81" s="129" t="s">
        <v>3416</v>
      </c>
      <c r="M81" s="129"/>
      <c r="N81" s="129"/>
      <c r="O81" s="129"/>
      <c r="P81" s="146"/>
      <c r="Q81" s="170"/>
      <c r="R81" s="171"/>
      <c r="S81" s="172"/>
    </row>
    <row r="82" spans="1:19" ht="42.75">
      <c r="A82" s="164" t="s">
        <v>773</v>
      </c>
      <c r="B82" s="165" t="s">
        <v>829</v>
      </c>
      <c r="C82" s="165" t="s">
        <v>3517</v>
      </c>
      <c r="D82" s="164">
        <v>454</v>
      </c>
      <c r="E82" s="164">
        <v>515</v>
      </c>
      <c r="F82" s="164" t="s">
        <v>3404</v>
      </c>
      <c r="G82" s="164">
        <v>2024</v>
      </c>
      <c r="H82" s="175">
        <v>45568</v>
      </c>
      <c r="I82" s="175">
        <v>45573</v>
      </c>
      <c r="J82" s="168" t="s">
        <v>6694</v>
      </c>
      <c r="K82" s="174">
        <v>45580</v>
      </c>
      <c r="L82" s="129" t="s">
        <v>3128</v>
      </c>
      <c r="M82" s="129" t="s">
        <v>4</v>
      </c>
      <c r="N82" s="129" t="s">
        <v>50</v>
      </c>
      <c r="O82" s="129" t="s">
        <v>3406</v>
      </c>
      <c r="P82" s="146"/>
      <c r="Q82" s="170">
        <v>45580</v>
      </c>
      <c r="R82" s="171" t="s">
        <v>6643</v>
      </c>
      <c r="S82" s="172"/>
    </row>
    <row r="83" spans="1:19" ht="42.75">
      <c r="A83" s="164" t="s">
        <v>773</v>
      </c>
      <c r="B83" s="165" t="s">
        <v>829</v>
      </c>
      <c r="C83" s="165" t="s">
        <v>3518</v>
      </c>
      <c r="D83" s="164">
        <v>968</v>
      </c>
      <c r="E83" s="164">
        <v>1073</v>
      </c>
      <c r="F83" s="164" t="s">
        <v>3404</v>
      </c>
      <c r="G83" s="164">
        <v>2024</v>
      </c>
      <c r="H83" s="175">
        <v>45552</v>
      </c>
      <c r="I83" s="175">
        <v>45554</v>
      </c>
      <c r="J83" s="168" t="s">
        <v>6695</v>
      </c>
      <c r="K83" s="174">
        <v>45554</v>
      </c>
      <c r="L83" s="129" t="s">
        <v>3127</v>
      </c>
      <c r="M83" s="129" t="s">
        <v>4</v>
      </c>
      <c r="N83" s="129" t="s">
        <v>50</v>
      </c>
      <c r="O83" s="129" t="s">
        <v>3406</v>
      </c>
      <c r="P83" s="146"/>
      <c r="Q83" s="170">
        <v>45555</v>
      </c>
      <c r="R83" s="171" t="s">
        <v>6643</v>
      </c>
      <c r="S83" s="172"/>
    </row>
    <row r="84" spans="1:19" ht="42.75">
      <c r="A84" s="164" t="s">
        <v>773</v>
      </c>
      <c r="B84" s="165" t="s">
        <v>829</v>
      </c>
      <c r="C84" s="165" t="s">
        <v>3519</v>
      </c>
      <c r="D84" s="164">
        <v>580</v>
      </c>
      <c r="E84" s="164">
        <v>622</v>
      </c>
      <c r="F84" s="164" t="s">
        <v>3404</v>
      </c>
      <c r="G84" s="164">
        <v>2024</v>
      </c>
      <c r="H84" s="175">
        <v>45575</v>
      </c>
      <c r="I84" s="175">
        <v>45575</v>
      </c>
      <c r="J84" s="168" t="s">
        <v>6696</v>
      </c>
      <c r="K84" s="174">
        <v>45580</v>
      </c>
      <c r="L84" s="129" t="s">
        <v>3128</v>
      </c>
      <c r="M84" s="129" t="s">
        <v>4</v>
      </c>
      <c r="N84" s="129" t="s">
        <v>50</v>
      </c>
      <c r="O84" s="129" t="s">
        <v>3406</v>
      </c>
      <c r="P84" s="146"/>
      <c r="Q84" s="170">
        <v>45580</v>
      </c>
      <c r="R84" s="171" t="s">
        <v>6643</v>
      </c>
      <c r="S84" s="172"/>
    </row>
    <row r="85" spans="1:19" ht="42.75">
      <c r="A85" s="164" t="s">
        <v>773</v>
      </c>
      <c r="B85" s="165" t="s">
        <v>829</v>
      </c>
      <c r="C85" s="165" t="s">
        <v>1245</v>
      </c>
      <c r="D85" s="164">
        <v>665</v>
      </c>
      <c r="E85" s="164">
        <v>822</v>
      </c>
      <c r="F85" s="164" t="s">
        <v>3404</v>
      </c>
      <c r="G85" s="164">
        <v>2024</v>
      </c>
      <c r="H85" s="175">
        <v>45552</v>
      </c>
      <c r="I85" s="175">
        <v>45554</v>
      </c>
      <c r="J85" s="168" t="s">
        <v>6697</v>
      </c>
      <c r="K85" s="174">
        <v>45554</v>
      </c>
      <c r="L85" s="129" t="s">
        <v>3127</v>
      </c>
      <c r="M85" s="129" t="s">
        <v>4</v>
      </c>
      <c r="N85" s="129" t="s">
        <v>50</v>
      </c>
      <c r="O85" s="129" t="s">
        <v>3406</v>
      </c>
      <c r="P85" s="146"/>
      <c r="Q85" s="170">
        <v>45555</v>
      </c>
      <c r="R85" s="171" t="s">
        <v>6643</v>
      </c>
      <c r="S85" s="172"/>
    </row>
    <row r="86" spans="1:19" ht="42.75">
      <c r="A86" s="164" t="s">
        <v>773</v>
      </c>
      <c r="B86" s="165" t="s">
        <v>829</v>
      </c>
      <c r="C86" s="165" t="s">
        <v>3520</v>
      </c>
      <c r="D86" s="164">
        <v>1134</v>
      </c>
      <c r="E86" s="164">
        <v>1240</v>
      </c>
      <c r="F86" s="164" t="s">
        <v>3404</v>
      </c>
      <c r="G86" s="164">
        <v>2024</v>
      </c>
      <c r="H86" s="175">
        <v>45516</v>
      </c>
      <c r="I86" s="175">
        <v>45513</v>
      </c>
      <c r="J86" s="168" t="s">
        <v>6698</v>
      </c>
      <c r="K86" s="174">
        <v>45517</v>
      </c>
      <c r="L86" s="129" t="s">
        <v>3126</v>
      </c>
      <c r="M86" s="129" t="s">
        <v>4</v>
      </c>
      <c r="N86" s="129" t="s">
        <v>50</v>
      </c>
      <c r="O86" s="129" t="s">
        <v>3406</v>
      </c>
      <c r="P86" s="146"/>
      <c r="Q86" s="130">
        <v>45517</v>
      </c>
      <c r="R86" s="171" t="s">
        <v>6643</v>
      </c>
      <c r="S86" s="172"/>
    </row>
    <row r="87" spans="1:19" ht="42.75">
      <c r="A87" s="164" t="s">
        <v>773</v>
      </c>
      <c r="B87" s="165" t="s">
        <v>829</v>
      </c>
      <c r="C87" s="165" t="s">
        <v>3521</v>
      </c>
      <c r="D87" s="164">
        <v>1479</v>
      </c>
      <c r="E87" s="164">
        <v>1497</v>
      </c>
      <c r="F87" s="164" t="s">
        <v>3404</v>
      </c>
      <c r="G87" s="164">
        <v>2024</v>
      </c>
      <c r="H87" s="175">
        <v>45546</v>
      </c>
      <c r="I87" s="175">
        <v>45551</v>
      </c>
      <c r="J87" s="168" t="s">
        <v>6699</v>
      </c>
      <c r="K87" s="174">
        <v>45552</v>
      </c>
      <c r="L87" s="129" t="s">
        <v>3127</v>
      </c>
      <c r="M87" s="129" t="s">
        <v>4</v>
      </c>
      <c r="N87" s="129" t="s">
        <v>50</v>
      </c>
      <c r="O87" s="129" t="s">
        <v>3406</v>
      </c>
      <c r="P87" s="146"/>
      <c r="Q87" s="170">
        <v>45553</v>
      </c>
      <c r="R87" s="171" t="s">
        <v>6643</v>
      </c>
      <c r="S87" s="172"/>
    </row>
    <row r="88" spans="1:19" ht="42.75">
      <c r="A88" s="164" t="s">
        <v>773</v>
      </c>
      <c r="B88" s="165" t="s">
        <v>829</v>
      </c>
      <c r="C88" s="165" t="s">
        <v>947</v>
      </c>
      <c r="D88" s="164">
        <v>2059</v>
      </c>
      <c r="E88" s="164">
        <v>2181</v>
      </c>
      <c r="F88" s="164" t="s">
        <v>3404</v>
      </c>
      <c r="G88" s="164">
        <v>2024</v>
      </c>
      <c r="H88" s="175">
        <v>45546</v>
      </c>
      <c r="I88" s="175">
        <v>45551</v>
      </c>
      <c r="J88" s="168" t="s">
        <v>6700</v>
      </c>
      <c r="K88" s="174">
        <v>45552</v>
      </c>
      <c r="L88" s="129" t="s">
        <v>3127</v>
      </c>
      <c r="M88" s="129" t="s">
        <v>6701</v>
      </c>
      <c r="N88" s="129"/>
      <c r="O88" s="129" t="s">
        <v>3406</v>
      </c>
      <c r="P88" s="146"/>
      <c r="Q88" s="170">
        <v>45553</v>
      </c>
      <c r="R88" s="171" t="s">
        <v>6643</v>
      </c>
      <c r="S88" s="172"/>
    </row>
    <row r="89" spans="1:19" ht="42.75">
      <c r="A89" s="164" t="s">
        <v>773</v>
      </c>
      <c r="B89" s="165" t="s">
        <v>829</v>
      </c>
      <c r="C89" s="165" t="s">
        <v>3529</v>
      </c>
      <c r="D89" s="164">
        <v>1430</v>
      </c>
      <c r="E89" s="164">
        <v>1789</v>
      </c>
      <c r="F89" s="164" t="s">
        <v>3404</v>
      </c>
      <c r="G89" s="164">
        <v>2024</v>
      </c>
      <c r="H89" s="175">
        <v>45450</v>
      </c>
      <c r="I89" s="175">
        <v>45460</v>
      </c>
      <c r="J89" s="168" t="s">
        <v>6702</v>
      </c>
      <c r="K89" s="174">
        <v>45463</v>
      </c>
      <c r="L89" s="129" t="s">
        <v>3689</v>
      </c>
      <c r="M89" s="129" t="s">
        <v>4</v>
      </c>
      <c r="N89" s="129"/>
      <c r="O89" s="129" t="s">
        <v>3406</v>
      </c>
      <c r="P89" s="146"/>
      <c r="Q89" s="170">
        <v>45464</v>
      </c>
      <c r="R89" s="171"/>
      <c r="S89" s="172"/>
    </row>
    <row r="90" spans="1:19" ht="42.75">
      <c r="A90" s="164" t="s">
        <v>773</v>
      </c>
      <c r="B90" s="165" t="s">
        <v>829</v>
      </c>
      <c r="C90" s="165" t="s">
        <v>3530</v>
      </c>
      <c r="D90" s="164">
        <v>1417</v>
      </c>
      <c r="E90" s="164">
        <v>1440</v>
      </c>
      <c r="F90" s="164" t="s">
        <v>3404</v>
      </c>
      <c r="G90" s="164">
        <v>2024</v>
      </c>
      <c r="H90" s="175">
        <v>45604</v>
      </c>
      <c r="I90" s="175">
        <v>45607</v>
      </c>
      <c r="J90" s="168" t="s">
        <v>6703</v>
      </c>
      <c r="K90" s="174">
        <v>45612</v>
      </c>
      <c r="L90" s="129" t="s">
        <v>3129</v>
      </c>
      <c r="M90" s="129" t="s">
        <v>4</v>
      </c>
      <c r="N90" s="129"/>
      <c r="O90" s="129" t="s">
        <v>3406</v>
      </c>
      <c r="P90" s="146"/>
      <c r="Q90" s="170">
        <v>45614</v>
      </c>
      <c r="R90" s="171" t="s">
        <v>6643</v>
      </c>
      <c r="S90" s="172"/>
    </row>
    <row r="91" spans="1:19" ht="42.75">
      <c r="A91" s="164" t="s">
        <v>773</v>
      </c>
      <c r="B91" s="165" t="s">
        <v>829</v>
      </c>
      <c r="C91" s="176" t="s">
        <v>3531</v>
      </c>
      <c r="D91" s="164">
        <v>405</v>
      </c>
      <c r="E91" s="164">
        <v>442</v>
      </c>
      <c r="F91" s="164" t="s">
        <v>3955</v>
      </c>
      <c r="G91" s="164"/>
      <c r="H91" s="167"/>
      <c r="I91" s="167"/>
      <c r="J91" s="167"/>
      <c r="K91" s="169"/>
      <c r="L91" s="129"/>
      <c r="M91" s="129"/>
      <c r="N91" s="129"/>
      <c r="O91" s="129"/>
      <c r="P91" s="146"/>
      <c r="Q91" s="170"/>
      <c r="R91" s="171"/>
      <c r="S91" s="172"/>
    </row>
    <row r="92" spans="1:19" ht="42.75">
      <c r="A92" s="164" t="s">
        <v>773</v>
      </c>
      <c r="B92" s="165" t="s">
        <v>829</v>
      </c>
      <c r="C92" s="165" t="s">
        <v>954</v>
      </c>
      <c r="D92" s="164">
        <v>1693</v>
      </c>
      <c r="E92" s="164">
        <v>1924</v>
      </c>
      <c r="F92" s="164" t="s">
        <v>3404</v>
      </c>
      <c r="G92" s="164">
        <v>2024</v>
      </c>
      <c r="H92" s="175">
        <v>45575</v>
      </c>
      <c r="I92" s="175">
        <v>45575</v>
      </c>
      <c r="J92" s="168" t="s">
        <v>6704</v>
      </c>
      <c r="K92" s="174">
        <v>45580</v>
      </c>
      <c r="L92" s="129" t="s">
        <v>3128</v>
      </c>
      <c r="M92" s="129" t="s">
        <v>6701</v>
      </c>
      <c r="N92" s="129"/>
      <c r="O92" s="129" t="s">
        <v>3406</v>
      </c>
      <c r="P92" s="146"/>
      <c r="Q92" s="170">
        <v>45580</v>
      </c>
      <c r="R92" s="171" t="s">
        <v>6643</v>
      </c>
      <c r="S92" s="172"/>
    </row>
    <row r="93" spans="1:19" ht="42.75">
      <c r="A93" s="164" t="s">
        <v>773</v>
      </c>
      <c r="B93" s="165" t="s">
        <v>829</v>
      </c>
      <c r="C93" s="165" t="s">
        <v>979</v>
      </c>
      <c r="D93" s="164">
        <v>576</v>
      </c>
      <c r="E93" s="164">
        <v>706</v>
      </c>
      <c r="F93" s="164" t="s">
        <v>3404</v>
      </c>
      <c r="G93" s="164">
        <v>2024</v>
      </c>
      <c r="H93" s="175">
        <v>45576</v>
      </c>
      <c r="I93" s="175">
        <v>45576</v>
      </c>
      <c r="J93" s="168" t="s">
        <v>6705</v>
      </c>
      <c r="K93" s="174">
        <v>45580</v>
      </c>
      <c r="L93" s="129" t="s">
        <v>3128</v>
      </c>
      <c r="M93" s="129" t="s">
        <v>4</v>
      </c>
      <c r="N93" s="129" t="s">
        <v>50</v>
      </c>
      <c r="O93" s="129" t="s">
        <v>3406</v>
      </c>
      <c r="P93" s="146"/>
      <c r="Q93" s="170">
        <v>45580</v>
      </c>
      <c r="R93" s="171" t="s">
        <v>6643</v>
      </c>
      <c r="S93" s="172"/>
    </row>
    <row r="94" spans="1:19" ht="42.75">
      <c r="A94" s="164" t="s">
        <v>773</v>
      </c>
      <c r="B94" s="165" t="s">
        <v>829</v>
      </c>
      <c r="C94" s="176" t="s">
        <v>3534</v>
      </c>
      <c r="D94" s="164">
        <v>331</v>
      </c>
      <c r="E94" s="164">
        <v>403</v>
      </c>
      <c r="F94" s="164" t="s">
        <v>3955</v>
      </c>
      <c r="G94" s="164"/>
      <c r="H94" s="167"/>
      <c r="I94" s="167"/>
      <c r="J94" s="167"/>
      <c r="K94" s="169"/>
      <c r="L94" s="129"/>
      <c r="M94" s="129"/>
      <c r="N94" s="129"/>
      <c r="O94" s="129"/>
      <c r="P94" s="146"/>
      <c r="Q94" s="170"/>
      <c r="R94" s="171"/>
      <c r="S94" s="172"/>
    </row>
    <row r="95" spans="1:19" ht="42.75">
      <c r="A95" s="164" t="s">
        <v>773</v>
      </c>
      <c r="B95" s="165" t="s">
        <v>983</v>
      </c>
      <c r="C95" s="165" t="s">
        <v>3536</v>
      </c>
      <c r="D95" s="164">
        <v>553</v>
      </c>
      <c r="E95" s="164">
        <v>613</v>
      </c>
      <c r="F95" s="164" t="s">
        <v>3404</v>
      </c>
      <c r="G95" s="164">
        <v>2024</v>
      </c>
      <c r="H95" s="175">
        <v>45448</v>
      </c>
      <c r="I95" s="175">
        <v>45448</v>
      </c>
      <c r="J95" s="168" t="s">
        <v>6706</v>
      </c>
      <c r="K95" s="174">
        <v>45461</v>
      </c>
      <c r="L95" s="129" t="s">
        <v>3689</v>
      </c>
      <c r="M95" s="129"/>
      <c r="N95" s="129"/>
      <c r="O95" s="129" t="s">
        <v>3406</v>
      </c>
      <c r="P95" s="146"/>
      <c r="Q95" s="130">
        <v>45462</v>
      </c>
      <c r="R95" s="171"/>
      <c r="S95" s="172"/>
    </row>
    <row r="96" spans="1:19" ht="42.75">
      <c r="A96" s="164" t="s">
        <v>773</v>
      </c>
      <c r="B96" s="165" t="s">
        <v>983</v>
      </c>
      <c r="C96" s="165" t="s">
        <v>3537</v>
      </c>
      <c r="D96" s="164">
        <v>779</v>
      </c>
      <c r="E96" s="164">
        <v>849</v>
      </c>
      <c r="F96" s="164" t="s">
        <v>3404</v>
      </c>
      <c r="G96" s="164">
        <v>2024</v>
      </c>
      <c r="H96" s="175">
        <v>45482</v>
      </c>
      <c r="I96" s="175">
        <v>45484</v>
      </c>
      <c r="J96" s="168" t="s">
        <v>6707</v>
      </c>
      <c r="K96" s="174">
        <v>45489</v>
      </c>
      <c r="L96" s="129" t="s">
        <v>3125</v>
      </c>
      <c r="M96" s="128" t="s">
        <v>4</v>
      </c>
      <c r="N96" s="128" t="s">
        <v>50</v>
      </c>
      <c r="O96" s="172" t="s">
        <v>3406</v>
      </c>
      <c r="P96" s="146"/>
      <c r="Q96" s="170">
        <v>45490</v>
      </c>
      <c r="R96" s="171"/>
      <c r="S96" s="172"/>
    </row>
    <row r="97" spans="1:19" ht="42.75">
      <c r="A97" s="164" t="s">
        <v>773</v>
      </c>
      <c r="B97" s="165" t="s">
        <v>983</v>
      </c>
      <c r="C97" s="165" t="s">
        <v>3538</v>
      </c>
      <c r="D97" s="164">
        <v>676</v>
      </c>
      <c r="E97" s="164">
        <v>766</v>
      </c>
      <c r="F97" s="164" t="s">
        <v>3404</v>
      </c>
      <c r="G97" s="164">
        <v>2024</v>
      </c>
      <c r="H97" s="175">
        <v>45454</v>
      </c>
      <c r="I97" s="175">
        <v>45454</v>
      </c>
      <c r="J97" s="168" t="s">
        <v>6708</v>
      </c>
      <c r="K97" s="174">
        <v>45462</v>
      </c>
      <c r="L97" s="129" t="s">
        <v>3689</v>
      </c>
      <c r="M97" s="129"/>
      <c r="N97" s="129"/>
      <c r="O97" s="129" t="s">
        <v>3406</v>
      </c>
      <c r="P97" s="146"/>
      <c r="Q97" s="130">
        <v>45462</v>
      </c>
      <c r="R97" s="171"/>
      <c r="S97" s="172"/>
    </row>
    <row r="98" spans="1:19" ht="42.75">
      <c r="A98" s="164" t="s">
        <v>773</v>
      </c>
      <c r="B98" s="165" t="s">
        <v>983</v>
      </c>
      <c r="C98" s="165" t="s">
        <v>984</v>
      </c>
      <c r="D98" s="164">
        <v>496</v>
      </c>
      <c r="E98" s="164">
        <v>603</v>
      </c>
      <c r="F98" s="164" t="s">
        <v>3404</v>
      </c>
      <c r="G98" s="164">
        <v>2024</v>
      </c>
      <c r="H98" s="175">
        <v>45552</v>
      </c>
      <c r="I98" s="175">
        <v>45552</v>
      </c>
      <c r="J98" s="168" t="s">
        <v>6709</v>
      </c>
      <c r="K98" s="174">
        <v>45552</v>
      </c>
      <c r="L98" s="129" t="s">
        <v>3127</v>
      </c>
      <c r="M98" s="129" t="s">
        <v>4</v>
      </c>
      <c r="N98" s="129" t="s">
        <v>50</v>
      </c>
      <c r="O98" s="129" t="s">
        <v>3406</v>
      </c>
      <c r="P98" s="146"/>
      <c r="Q98" s="170">
        <v>45553</v>
      </c>
      <c r="R98" s="171" t="s">
        <v>6643</v>
      </c>
      <c r="S98" s="172"/>
    </row>
    <row r="99" spans="1:19" ht="42.75">
      <c r="A99" s="164" t="s">
        <v>773</v>
      </c>
      <c r="B99" s="165" t="s">
        <v>983</v>
      </c>
      <c r="C99" s="165" t="s">
        <v>3403</v>
      </c>
      <c r="D99" s="164">
        <v>1356</v>
      </c>
      <c r="E99" s="164">
        <v>1327</v>
      </c>
      <c r="F99" s="164" t="s">
        <v>3404</v>
      </c>
      <c r="G99" s="164">
        <v>2024</v>
      </c>
      <c r="H99" s="166">
        <v>45393</v>
      </c>
      <c r="I99" s="175">
        <v>45393</v>
      </c>
      <c r="J99" s="168" t="s">
        <v>6710</v>
      </c>
      <c r="K99" s="174">
        <v>45394</v>
      </c>
      <c r="L99" s="129" t="s">
        <v>3470</v>
      </c>
      <c r="M99" s="129"/>
      <c r="N99" s="129"/>
      <c r="O99" s="129" t="s">
        <v>3406</v>
      </c>
      <c r="P99" s="146"/>
      <c r="Q99" s="170"/>
      <c r="R99" s="171"/>
      <c r="S99" s="172"/>
    </row>
    <row r="100" spans="1:19" ht="42.75">
      <c r="A100" s="164" t="s">
        <v>773</v>
      </c>
      <c r="B100" s="165" t="s">
        <v>983</v>
      </c>
      <c r="C100" s="165" t="s">
        <v>3407</v>
      </c>
      <c r="D100" s="164">
        <v>1930</v>
      </c>
      <c r="E100" s="164">
        <v>2317</v>
      </c>
      <c r="F100" s="164" t="s">
        <v>3404</v>
      </c>
      <c r="G100" s="164">
        <v>2024</v>
      </c>
      <c r="H100" s="166">
        <v>45398</v>
      </c>
      <c r="I100" s="166">
        <v>45398</v>
      </c>
      <c r="J100" s="168" t="s">
        <v>6711</v>
      </c>
      <c r="K100" s="174">
        <v>45398</v>
      </c>
      <c r="L100" s="129" t="s">
        <v>3470</v>
      </c>
      <c r="M100" s="129"/>
      <c r="N100" s="129"/>
      <c r="O100" s="129" t="s">
        <v>3406</v>
      </c>
      <c r="P100" s="146"/>
      <c r="Q100" s="170"/>
      <c r="R100" s="171"/>
      <c r="S100" s="172"/>
    </row>
    <row r="101" spans="1:19" ht="42.75">
      <c r="A101" s="164" t="s">
        <v>773</v>
      </c>
      <c r="B101" s="165" t="s">
        <v>983</v>
      </c>
      <c r="C101" s="165" t="s">
        <v>3409</v>
      </c>
      <c r="D101" s="164">
        <v>894</v>
      </c>
      <c r="E101" s="164">
        <v>1052</v>
      </c>
      <c r="F101" s="164" t="s">
        <v>3404</v>
      </c>
      <c r="G101" s="164">
        <v>2024</v>
      </c>
      <c r="H101" s="166">
        <v>45328</v>
      </c>
      <c r="I101" s="167"/>
      <c r="J101" s="168" t="s">
        <v>6712</v>
      </c>
      <c r="K101" s="169"/>
      <c r="L101" s="129" t="s">
        <v>3458</v>
      </c>
      <c r="M101" s="129"/>
      <c r="N101" s="129"/>
      <c r="O101" s="129"/>
      <c r="P101" s="146"/>
      <c r="Q101" s="170"/>
      <c r="R101" s="171"/>
      <c r="S101" s="172"/>
    </row>
    <row r="102" spans="1:19" ht="42.75">
      <c r="A102" s="164" t="s">
        <v>773</v>
      </c>
      <c r="B102" s="165" t="s">
        <v>983</v>
      </c>
      <c r="C102" s="165" t="s">
        <v>3410</v>
      </c>
      <c r="D102" s="164">
        <v>2458</v>
      </c>
      <c r="E102" s="164">
        <v>2535</v>
      </c>
      <c r="F102" s="164" t="s">
        <v>3404</v>
      </c>
      <c r="G102" s="164">
        <v>2024</v>
      </c>
      <c r="H102" s="175">
        <v>45511</v>
      </c>
      <c r="I102" s="175">
        <v>45511</v>
      </c>
      <c r="J102" s="168" t="s">
        <v>6713</v>
      </c>
      <c r="K102" s="174">
        <v>45516</v>
      </c>
      <c r="L102" s="129" t="s">
        <v>3126</v>
      </c>
      <c r="M102" s="129" t="s">
        <v>4</v>
      </c>
      <c r="N102" s="129" t="s">
        <v>50</v>
      </c>
      <c r="O102" s="129" t="s">
        <v>3406</v>
      </c>
      <c r="P102" s="146"/>
      <c r="Q102" s="170">
        <v>45517</v>
      </c>
      <c r="R102" s="171" t="s">
        <v>6643</v>
      </c>
      <c r="S102" s="172"/>
    </row>
    <row r="103" spans="1:19" ht="42.75">
      <c r="A103" s="164" t="s">
        <v>773</v>
      </c>
      <c r="B103" s="165" t="s">
        <v>983</v>
      </c>
      <c r="C103" s="165" t="s">
        <v>3541</v>
      </c>
      <c r="D103" s="164">
        <v>642</v>
      </c>
      <c r="E103" s="164">
        <v>683</v>
      </c>
      <c r="F103" s="164" t="s">
        <v>3404</v>
      </c>
      <c r="G103" s="164">
        <v>2024</v>
      </c>
      <c r="H103" s="175">
        <v>45510</v>
      </c>
      <c r="I103" s="175">
        <v>45511</v>
      </c>
      <c r="J103" s="168" t="s">
        <v>6714</v>
      </c>
      <c r="K103" s="174">
        <v>45516</v>
      </c>
      <c r="L103" s="129" t="s">
        <v>3126</v>
      </c>
      <c r="M103" s="129" t="s">
        <v>4</v>
      </c>
      <c r="N103" s="129" t="s">
        <v>50</v>
      </c>
      <c r="O103" s="129" t="s">
        <v>3406</v>
      </c>
      <c r="P103" s="146"/>
      <c r="Q103" s="170">
        <v>45517</v>
      </c>
      <c r="R103" s="171" t="s">
        <v>6643</v>
      </c>
      <c r="S103" s="172"/>
    </row>
    <row r="104" spans="1:19" ht="42.75">
      <c r="A104" s="164" t="s">
        <v>773</v>
      </c>
      <c r="B104" s="165" t="s">
        <v>983</v>
      </c>
      <c r="C104" s="165" t="s">
        <v>3542</v>
      </c>
      <c r="D104" s="164">
        <v>1425</v>
      </c>
      <c r="E104" s="164">
        <v>1418</v>
      </c>
      <c r="F104" s="164" t="s">
        <v>3404</v>
      </c>
      <c r="G104" s="164">
        <v>2024</v>
      </c>
      <c r="H104" s="175">
        <v>45552</v>
      </c>
      <c r="I104" s="175">
        <v>45552</v>
      </c>
      <c r="J104" s="168" t="s">
        <v>6715</v>
      </c>
      <c r="K104" s="175">
        <v>45552</v>
      </c>
      <c r="L104" s="129" t="s">
        <v>3127</v>
      </c>
      <c r="M104" s="129" t="s">
        <v>4</v>
      </c>
      <c r="N104" s="129" t="s">
        <v>50</v>
      </c>
      <c r="O104" s="129" t="s">
        <v>3406</v>
      </c>
      <c r="P104" s="146"/>
      <c r="Q104" s="170">
        <v>45553</v>
      </c>
      <c r="R104" s="171" t="s">
        <v>6643</v>
      </c>
      <c r="S104" s="172"/>
    </row>
    <row r="105" spans="1:19" ht="42.75">
      <c r="A105" s="164" t="s">
        <v>773</v>
      </c>
      <c r="B105" s="165" t="s">
        <v>983</v>
      </c>
      <c r="C105" s="165" t="s">
        <v>3543</v>
      </c>
      <c r="D105" s="164">
        <v>1368</v>
      </c>
      <c r="E105" s="164">
        <v>1538</v>
      </c>
      <c r="F105" s="164" t="s">
        <v>3404</v>
      </c>
      <c r="G105" s="164">
        <v>2024</v>
      </c>
      <c r="H105" s="166">
        <v>45329</v>
      </c>
      <c r="I105" s="167"/>
      <c r="J105" s="168" t="s">
        <v>6716</v>
      </c>
      <c r="K105" s="169"/>
      <c r="L105" s="129" t="s">
        <v>3458</v>
      </c>
      <c r="M105" s="129"/>
      <c r="N105" s="129"/>
      <c r="O105" s="129"/>
      <c r="P105" s="146"/>
      <c r="Q105" s="170"/>
      <c r="R105" s="171"/>
      <c r="S105" s="172"/>
    </row>
    <row r="106" spans="1:19" ht="42.75">
      <c r="A106" s="164" t="s">
        <v>773</v>
      </c>
      <c r="B106" s="165" t="s">
        <v>983</v>
      </c>
      <c r="C106" s="165" t="s">
        <v>3544</v>
      </c>
      <c r="D106" s="164">
        <v>676</v>
      </c>
      <c r="E106" s="164">
        <v>679</v>
      </c>
      <c r="F106" s="164" t="s">
        <v>3404</v>
      </c>
      <c r="G106" s="164">
        <v>2024</v>
      </c>
      <c r="H106" s="175">
        <v>45540</v>
      </c>
      <c r="I106" s="175">
        <v>45544</v>
      </c>
      <c r="J106" s="168" t="s">
        <v>6717</v>
      </c>
      <c r="K106" s="174">
        <v>45552</v>
      </c>
      <c r="L106" s="129" t="s">
        <v>3127</v>
      </c>
      <c r="M106" s="129" t="s">
        <v>4</v>
      </c>
      <c r="N106" s="129" t="s">
        <v>50</v>
      </c>
      <c r="O106" s="129" t="s">
        <v>3406</v>
      </c>
      <c r="P106" s="146"/>
      <c r="Q106" s="170">
        <v>45552</v>
      </c>
      <c r="R106" s="171" t="s">
        <v>6643</v>
      </c>
      <c r="S106" s="172"/>
    </row>
    <row r="107" spans="1:19" ht="42.75">
      <c r="A107" s="164" t="s">
        <v>773</v>
      </c>
      <c r="B107" s="165" t="s">
        <v>983</v>
      </c>
      <c r="C107" s="165" t="s">
        <v>3545</v>
      </c>
      <c r="D107" s="164">
        <v>534</v>
      </c>
      <c r="E107" s="164">
        <v>604</v>
      </c>
      <c r="F107" s="164" t="s">
        <v>3404</v>
      </c>
      <c r="G107" s="164">
        <v>2024</v>
      </c>
      <c r="H107" s="166">
        <v>45363</v>
      </c>
      <c r="I107" s="167"/>
      <c r="J107" s="168" t="s">
        <v>6718</v>
      </c>
      <c r="K107" s="169"/>
      <c r="L107" s="129" t="s">
        <v>3416</v>
      </c>
      <c r="M107" s="129"/>
      <c r="N107" s="129"/>
      <c r="O107" s="129"/>
      <c r="P107" s="146"/>
      <c r="Q107" s="170"/>
      <c r="R107" s="171"/>
      <c r="S107" s="172"/>
    </row>
    <row r="108" spans="1:19" ht="42.75">
      <c r="A108" s="164" t="s">
        <v>773</v>
      </c>
      <c r="B108" s="165" t="s">
        <v>983</v>
      </c>
      <c r="C108" s="165" t="s">
        <v>3547</v>
      </c>
      <c r="D108" s="164">
        <v>1385</v>
      </c>
      <c r="E108" s="164">
        <v>1479</v>
      </c>
      <c r="F108" s="164" t="s">
        <v>3404</v>
      </c>
      <c r="G108" s="164">
        <v>2024</v>
      </c>
      <c r="H108" s="175">
        <v>45483</v>
      </c>
      <c r="I108" s="175">
        <v>45484</v>
      </c>
      <c r="J108" s="168" t="s">
        <v>6719</v>
      </c>
      <c r="K108" s="174">
        <v>45489</v>
      </c>
      <c r="L108" s="129" t="s">
        <v>3125</v>
      </c>
      <c r="M108" s="129" t="s">
        <v>4</v>
      </c>
      <c r="N108" s="129" t="s">
        <v>50</v>
      </c>
      <c r="O108" s="129" t="s">
        <v>3406</v>
      </c>
      <c r="P108" s="146"/>
      <c r="Q108" s="170">
        <v>45490</v>
      </c>
      <c r="R108" s="171"/>
      <c r="S108" s="172"/>
    </row>
    <row r="109" spans="1:19" ht="42.75">
      <c r="A109" s="164" t="s">
        <v>773</v>
      </c>
      <c r="B109" s="165" t="s">
        <v>983</v>
      </c>
      <c r="C109" s="165" t="s">
        <v>3548</v>
      </c>
      <c r="D109" s="164">
        <v>472</v>
      </c>
      <c r="E109" s="164">
        <v>486</v>
      </c>
      <c r="F109" s="164" t="s">
        <v>3404</v>
      </c>
      <c r="G109" s="164">
        <v>2024</v>
      </c>
      <c r="H109" s="175">
        <v>45573</v>
      </c>
      <c r="I109" s="175">
        <v>45574</v>
      </c>
      <c r="J109" s="168" t="s">
        <v>6720</v>
      </c>
      <c r="K109" s="174">
        <v>45580</v>
      </c>
      <c r="L109" s="129" t="s">
        <v>3128</v>
      </c>
      <c r="M109" s="129" t="s">
        <v>4</v>
      </c>
      <c r="N109" s="129" t="s">
        <v>50</v>
      </c>
      <c r="O109" s="129" t="s">
        <v>3406</v>
      </c>
      <c r="P109" s="146"/>
      <c r="Q109" s="170">
        <v>45580</v>
      </c>
      <c r="R109" s="171" t="s">
        <v>6643</v>
      </c>
      <c r="S109" s="172"/>
    </row>
    <row r="110" spans="1:19" ht="42.75">
      <c r="A110" s="164" t="s">
        <v>773</v>
      </c>
      <c r="B110" s="165" t="s">
        <v>983</v>
      </c>
      <c r="C110" s="165" t="s">
        <v>3549</v>
      </c>
      <c r="D110" s="164">
        <v>879</v>
      </c>
      <c r="E110" s="164">
        <v>989</v>
      </c>
      <c r="F110" s="164" t="s">
        <v>3404</v>
      </c>
      <c r="G110" s="164">
        <v>2024</v>
      </c>
      <c r="H110" s="175">
        <v>45419</v>
      </c>
      <c r="I110" s="175">
        <v>45420</v>
      </c>
      <c r="J110" s="168" t="s">
        <v>6721</v>
      </c>
      <c r="K110" s="174">
        <v>45421</v>
      </c>
      <c r="L110" s="129" t="s">
        <v>3532</v>
      </c>
      <c r="M110" s="129"/>
      <c r="N110" s="129"/>
      <c r="O110" s="129" t="s">
        <v>3406</v>
      </c>
      <c r="P110" s="146"/>
      <c r="Q110" s="170"/>
      <c r="R110" s="171"/>
      <c r="S110" s="172"/>
    </row>
    <row r="111" spans="1:19" ht="42.75">
      <c r="A111" s="164" t="s">
        <v>773</v>
      </c>
      <c r="B111" s="165" t="s">
        <v>983</v>
      </c>
      <c r="C111" s="165" t="s">
        <v>3550</v>
      </c>
      <c r="D111" s="164">
        <v>1528</v>
      </c>
      <c r="E111" s="164">
        <v>1576</v>
      </c>
      <c r="F111" s="164" t="s">
        <v>3404</v>
      </c>
      <c r="G111" s="164">
        <v>2024</v>
      </c>
      <c r="H111" s="175">
        <v>45517</v>
      </c>
      <c r="I111" s="175">
        <v>45518</v>
      </c>
      <c r="J111" s="168" t="s">
        <v>6722</v>
      </c>
      <c r="K111" s="174">
        <v>45523</v>
      </c>
      <c r="L111" s="129" t="s">
        <v>3126</v>
      </c>
      <c r="M111" s="129" t="s">
        <v>4</v>
      </c>
      <c r="N111" s="129" t="s">
        <v>50</v>
      </c>
      <c r="O111" s="129" t="s">
        <v>3406</v>
      </c>
      <c r="P111" s="146"/>
      <c r="Q111" s="170">
        <v>45531</v>
      </c>
      <c r="R111" s="171" t="s">
        <v>6643</v>
      </c>
      <c r="S111" s="172"/>
    </row>
    <row r="112" spans="1:19" ht="42.75">
      <c r="A112" s="164" t="s">
        <v>773</v>
      </c>
      <c r="B112" s="165" t="s">
        <v>983</v>
      </c>
      <c r="C112" s="165" t="s">
        <v>3551</v>
      </c>
      <c r="D112" s="164">
        <v>198</v>
      </c>
      <c r="E112" s="164">
        <v>229</v>
      </c>
      <c r="F112" s="164" t="s">
        <v>3404</v>
      </c>
      <c r="G112" s="164">
        <v>2024</v>
      </c>
      <c r="H112" s="175">
        <v>45580</v>
      </c>
      <c r="I112" s="175">
        <v>45581</v>
      </c>
      <c r="J112" s="168" t="s">
        <v>6723</v>
      </c>
      <c r="K112" s="174">
        <v>45523</v>
      </c>
      <c r="L112" s="129" t="s">
        <v>3128</v>
      </c>
      <c r="M112" s="129" t="s">
        <v>4</v>
      </c>
      <c r="N112" s="129" t="s">
        <v>50</v>
      </c>
      <c r="O112" s="129" t="s">
        <v>3406</v>
      </c>
      <c r="P112" s="146"/>
      <c r="Q112" s="170">
        <v>45586</v>
      </c>
      <c r="R112" s="171" t="s">
        <v>6643</v>
      </c>
      <c r="S112" s="172"/>
    </row>
    <row r="113" spans="1:19" ht="42.75">
      <c r="A113" s="164" t="s">
        <v>773</v>
      </c>
      <c r="B113" s="165" t="s">
        <v>983</v>
      </c>
      <c r="C113" s="165" t="s">
        <v>3552</v>
      </c>
      <c r="D113" s="164">
        <v>257</v>
      </c>
      <c r="E113" s="164">
        <v>252</v>
      </c>
      <c r="F113" s="164" t="s">
        <v>3404</v>
      </c>
      <c r="G113" s="164">
        <v>2024</v>
      </c>
      <c r="H113" s="175">
        <v>45580</v>
      </c>
      <c r="I113" s="175">
        <v>45581</v>
      </c>
      <c r="J113" s="168" t="s">
        <v>6724</v>
      </c>
      <c r="K113" s="174">
        <v>45584</v>
      </c>
      <c r="L113" s="129" t="s">
        <v>3128</v>
      </c>
      <c r="M113" s="129" t="s">
        <v>4</v>
      </c>
      <c r="N113" s="129" t="s">
        <v>50</v>
      </c>
      <c r="O113" s="129" t="s">
        <v>3406</v>
      </c>
      <c r="P113" s="146"/>
      <c r="Q113" s="170">
        <v>45586</v>
      </c>
      <c r="R113" s="171" t="s">
        <v>6643</v>
      </c>
      <c r="S113" s="172"/>
    </row>
    <row r="114" spans="1:19" ht="42.75">
      <c r="A114" s="164" t="s">
        <v>773</v>
      </c>
      <c r="B114" s="165" t="s">
        <v>983</v>
      </c>
      <c r="C114" s="165" t="s">
        <v>3553</v>
      </c>
      <c r="D114" s="164">
        <v>1191</v>
      </c>
      <c r="E114" s="164">
        <v>1343</v>
      </c>
      <c r="F114" s="164" t="s">
        <v>3404</v>
      </c>
      <c r="G114" s="164">
        <v>2024</v>
      </c>
      <c r="H114" s="175">
        <v>45576</v>
      </c>
      <c r="I114" s="175">
        <v>45576</v>
      </c>
      <c r="J114" s="168" t="s">
        <v>6725</v>
      </c>
      <c r="K114" s="174">
        <v>45580</v>
      </c>
      <c r="L114" s="129" t="s">
        <v>3128</v>
      </c>
      <c r="M114" s="129" t="s">
        <v>4</v>
      </c>
      <c r="N114" s="129" t="s">
        <v>50</v>
      </c>
      <c r="O114" s="129" t="s">
        <v>3406</v>
      </c>
      <c r="P114" s="146"/>
      <c r="Q114" s="170">
        <v>45580</v>
      </c>
      <c r="R114" s="171" t="s">
        <v>6643</v>
      </c>
      <c r="S114" s="172"/>
    </row>
    <row r="115" spans="1:19" ht="42.75">
      <c r="A115" s="164" t="s">
        <v>773</v>
      </c>
      <c r="B115" s="165" t="s">
        <v>983</v>
      </c>
      <c r="C115" s="165" t="s">
        <v>3554</v>
      </c>
      <c r="D115" s="164">
        <v>1019</v>
      </c>
      <c r="E115" s="164">
        <v>1208</v>
      </c>
      <c r="F115" s="164" t="s">
        <v>3404</v>
      </c>
      <c r="G115" s="164">
        <v>2024</v>
      </c>
      <c r="H115" s="166">
        <v>45329</v>
      </c>
      <c r="I115" s="167"/>
      <c r="J115" s="168" t="s">
        <v>6726</v>
      </c>
      <c r="K115" s="169"/>
      <c r="L115" s="129" t="s">
        <v>3458</v>
      </c>
      <c r="M115" s="129"/>
      <c r="N115" s="129"/>
      <c r="O115" s="129"/>
      <c r="P115" s="146"/>
      <c r="Q115" s="170"/>
      <c r="R115" s="171"/>
      <c r="S115" s="172"/>
    </row>
    <row r="116" spans="1:19" ht="42.75">
      <c r="A116" s="164" t="s">
        <v>773</v>
      </c>
      <c r="B116" s="165" t="s">
        <v>983</v>
      </c>
      <c r="C116" s="165" t="s">
        <v>3555</v>
      </c>
      <c r="D116" s="164">
        <v>1353</v>
      </c>
      <c r="E116" s="164">
        <v>1440</v>
      </c>
      <c r="F116" s="164" t="s">
        <v>3404</v>
      </c>
      <c r="G116" s="164">
        <v>2024</v>
      </c>
      <c r="H116" s="166">
        <v>45363</v>
      </c>
      <c r="I116" s="167"/>
      <c r="J116" s="168" t="s">
        <v>6727</v>
      </c>
      <c r="K116" s="169"/>
      <c r="L116" s="129" t="s">
        <v>3416</v>
      </c>
      <c r="M116" s="129"/>
      <c r="N116" s="129"/>
      <c r="O116" s="129"/>
      <c r="P116" s="146"/>
      <c r="Q116" s="170"/>
      <c r="R116" s="171"/>
      <c r="S116" s="172"/>
    </row>
    <row r="117" spans="1:19" ht="42.75">
      <c r="A117" s="164" t="s">
        <v>773</v>
      </c>
      <c r="B117" s="165" t="s">
        <v>983</v>
      </c>
      <c r="C117" s="165" t="s">
        <v>3556</v>
      </c>
      <c r="D117" s="164">
        <v>857</v>
      </c>
      <c r="E117" s="164">
        <v>872</v>
      </c>
      <c r="F117" s="164" t="s">
        <v>3404</v>
      </c>
      <c r="G117" s="164">
        <v>2024</v>
      </c>
      <c r="H117" s="175">
        <v>45517</v>
      </c>
      <c r="I117" s="175">
        <v>45518</v>
      </c>
      <c r="J117" s="168" t="s">
        <v>6728</v>
      </c>
      <c r="K117" s="174">
        <v>45523</v>
      </c>
      <c r="L117" s="129" t="s">
        <v>3126</v>
      </c>
      <c r="M117" s="129" t="s">
        <v>4</v>
      </c>
      <c r="N117" s="129" t="s">
        <v>50</v>
      </c>
      <c r="O117" s="129" t="s">
        <v>3406</v>
      </c>
      <c r="P117" s="146"/>
      <c r="Q117" s="170">
        <v>45531</v>
      </c>
      <c r="R117" s="171" t="s">
        <v>6643</v>
      </c>
      <c r="S117" s="172"/>
    </row>
    <row r="118" spans="1:19" ht="42.75">
      <c r="A118" s="164" t="s">
        <v>773</v>
      </c>
      <c r="B118" s="165" t="s">
        <v>983</v>
      </c>
      <c r="C118" s="165" t="s">
        <v>3557</v>
      </c>
      <c r="D118" s="164">
        <v>784</v>
      </c>
      <c r="E118" s="164">
        <v>900</v>
      </c>
      <c r="F118" s="164" t="s">
        <v>3404</v>
      </c>
      <c r="G118" s="164">
        <v>2024</v>
      </c>
      <c r="H118" s="178">
        <v>45544</v>
      </c>
      <c r="I118" s="178">
        <v>45541</v>
      </c>
      <c r="J118" s="168" t="s">
        <v>6729</v>
      </c>
      <c r="K118" s="174">
        <v>45523</v>
      </c>
      <c r="L118" s="129" t="s">
        <v>3127</v>
      </c>
      <c r="M118" s="129" t="s">
        <v>4</v>
      </c>
      <c r="N118" s="129" t="s">
        <v>57</v>
      </c>
      <c r="O118" s="129" t="s">
        <v>3406</v>
      </c>
      <c r="P118" s="146"/>
      <c r="Q118" s="170">
        <v>45552</v>
      </c>
      <c r="R118" s="171" t="s">
        <v>6643</v>
      </c>
      <c r="S118" s="172"/>
    </row>
    <row r="119" spans="1:19" ht="42.75">
      <c r="A119" s="164" t="s">
        <v>773</v>
      </c>
      <c r="B119" s="165" t="s">
        <v>983</v>
      </c>
      <c r="C119" s="165" t="s">
        <v>3558</v>
      </c>
      <c r="D119" s="164">
        <v>1825</v>
      </c>
      <c r="E119" s="164">
        <v>2210</v>
      </c>
      <c r="F119" s="164" t="s">
        <v>3404</v>
      </c>
      <c r="G119" s="164">
        <v>2024</v>
      </c>
      <c r="H119" s="175">
        <v>45608</v>
      </c>
      <c r="I119" s="175">
        <v>45608</v>
      </c>
      <c r="J119" s="179" t="s">
        <v>6730</v>
      </c>
      <c r="K119" s="174">
        <v>45613</v>
      </c>
      <c r="L119" s="129" t="s">
        <v>3129</v>
      </c>
      <c r="M119" s="129" t="s">
        <v>4</v>
      </c>
      <c r="N119" s="129" t="s">
        <v>50</v>
      </c>
      <c r="O119" s="129" t="s">
        <v>3406</v>
      </c>
      <c r="P119" s="146"/>
      <c r="Q119" s="170">
        <v>45614</v>
      </c>
      <c r="R119" s="171" t="s">
        <v>6643</v>
      </c>
      <c r="S119" s="172"/>
    </row>
    <row r="120" spans="1:19" ht="42.75">
      <c r="A120" s="164" t="s">
        <v>773</v>
      </c>
      <c r="B120" s="165" t="s">
        <v>983</v>
      </c>
      <c r="C120" s="165" t="s">
        <v>3559</v>
      </c>
      <c r="D120" s="164">
        <v>729</v>
      </c>
      <c r="E120" s="164">
        <v>974</v>
      </c>
      <c r="F120" s="164" t="s">
        <v>3404</v>
      </c>
      <c r="G120" s="164">
        <v>2024</v>
      </c>
      <c r="H120" s="175">
        <v>45576</v>
      </c>
      <c r="I120" s="175">
        <v>45575</v>
      </c>
      <c r="J120" s="168" t="s">
        <v>6731</v>
      </c>
      <c r="K120" s="174">
        <v>45580</v>
      </c>
      <c r="L120" s="129" t="s">
        <v>3128</v>
      </c>
      <c r="M120" s="129" t="s">
        <v>4</v>
      </c>
      <c r="N120" s="129" t="s">
        <v>50</v>
      </c>
      <c r="O120" s="129" t="s">
        <v>3406</v>
      </c>
      <c r="P120" s="146"/>
      <c r="Q120" s="170">
        <v>45580</v>
      </c>
      <c r="R120" s="171" t="s">
        <v>6643</v>
      </c>
      <c r="S120" s="172"/>
    </row>
    <row r="121" spans="1:19" ht="42.75">
      <c r="A121" s="164" t="s">
        <v>773</v>
      </c>
      <c r="B121" s="165" t="s">
        <v>983</v>
      </c>
      <c r="C121" s="165" t="s">
        <v>3546</v>
      </c>
      <c r="D121" s="164">
        <v>1357</v>
      </c>
      <c r="E121" s="164">
        <v>1531</v>
      </c>
      <c r="F121" s="164" t="s">
        <v>3404</v>
      </c>
      <c r="G121" s="164">
        <v>2024</v>
      </c>
      <c r="H121" s="175">
        <v>45483</v>
      </c>
      <c r="I121" s="175">
        <v>45484</v>
      </c>
      <c r="J121" s="168" t="s">
        <v>6732</v>
      </c>
      <c r="K121" s="174">
        <v>45489</v>
      </c>
      <c r="L121" s="129" t="s">
        <v>3125</v>
      </c>
      <c r="M121" s="129" t="s">
        <v>4</v>
      </c>
      <c r="N121" s="129" t="s">
        <v>50</v>
      </c>
      <c r="O121" s="129" t="s">
        <v>3406</v>
      </c>
      <c r="P121" s="146"/>
      <c r="Q121" s="170">
        <v>45490</v>
      </c>
      <c r="R121" s="171"/>
      <c r="S121" s="172"/>
    </row>
    <row r="122" spans="1:19" ht="42.75">
      <c r="A122" s="164" t="s">
        <v>773</v>
      </c>
      <c r="B122" s="165" t="s">
        <v>983</v>
      </c>
      <c r="C122" s="165" t="s">
        <v>1867</v>
      </c>
      <c r="D122" s="164">
        <v>654</v>
      </c>
      <c r="E122" s="164">
        <v>788</v>
      </c>
      <c r="F122" s="164" t="s">
        <v>3404</v>
      </c>
      <c r="G122" s="164">
        <v>2024</v>
      </c>
      <c r="H122" s="175">
        <v>45420</v>
      </c>
      <c r="I122" s="175">
        <v>45420</v>
      </c>
      <c r="J122" s="168" t="s">
        <v>6733</v>
      </c>
      <c r="K122" s="174">
        <v>45427</v>
      </c>
      <c r="L122" s="129" t="s">
        <v>3532</v>
      </c>
      <c r="M122" s="129"/>
      <c r="N122" s="129"/>
      <c r="O122" s="129" t="s">
        <v>3406</v>
      </c>
      <c r="P122" s="146"/>
      <c r="Q122" s="170"/>
      <c r="R122" s="171"/>
      <c r="S122" s="172"/>
    </row>
    <row r="123" spans="1:19" ht="42.75">
      <c r="A123" s="164" t="s">
        <v>773</v>
      </c>
      <c r="B123" s="165" t="s">
        <v>983</v>
      </c>
      <c r="C123" s="176" t="s">
        <v>3560</v>
      </c>
      <c r="D123" s="164">
        <v>466</v>
      </c>
      <c r="E123" s="164">
        <v>448</v>
      </c>
      <c r="F123" s="164" t="s">
        <v>3955</v>
      </c>
      <c r="G123" s="164"/>
      <c r="H123" s="167"/>
      <c r="I123" s="167"/>
      <c r="J123" s="167"/>
      <c r="K123" s="169"/>
      <c r="L123" s="129"/>
      <c r="M123" s="129"/>
      <c r="N123" s="129"/>
      <c r="O123" s="129"/>
      <c r="P123" s="146"/>
      <c r="Q123" s="170"/>
      <c r="R123" s="171"/>
      <c r="S123" s="172"/>
    </row>
    <row r="124" spans="1:19" ht="42.75">
      <c r="A124" s="164" t="s">
        <v>773</v>
      </c>
      <c r="B124" s="165" t="s">
        <v>983</v>
      </c>
      <c r="C124" s="165" t="s">
        <v>3562</v>
      </c>
      <c r="D124" s="164">
        <v>1843</v>
      </c>
      <c r="E124" s="164">
        <v>1913</v>
      </c>
      <c r="F124" s="164" t="s">
        <v>3404</v>
      </c>
      <c r="G124" s="164">
        <v>2024</v>
      </c>
      <c r="H124" s="175">
        <v>45552</v>
      </c>
      <c r="I124" s="175">
        <v>45552</v>
      </c>
      <c r="J124" s="168" t="s">
        <v>6734</v>
      </c>
      <c r="K124" s="174">
        <v>45553</v>
      </c>
      <c r="L124" s="129" t="s">
        <v>3127</v>
      </c>
      <c r="M124" s="129" t="s">
        <v>4</v>
      </c>
      <c r="N124" s="129" t="s">
        <v>50</v>
      </c>
      <c r="O124" s="129" t="s">
        <v>3406</v>
      </c>
      <c r="P124" s="146"/>
      <c r="Q124" s="170">
        <v>45553</v>
      </c>
      <c r="R124" s="171" t="s">
        <v>6643</v>
      </c>
      <c r="S124" s="172"/>
    </row>
    <row r="125" spans="1:19" ht="42.75">
      <c r="A125" s="164" t="s">
        <v>773</v>
      </c>
      <c r="B125" s="165" t="s">
        <v>983</v>
      </c>
      <c r="C125" s="165" t="s">
        <v>3563</v>
      </c>
      <c r="D125" s="164">
        <v>1843</v>
      </c>
      <c r="E125" s="164">
        <v>1382</v>
      </c>
      <c r="F125" s="164" t="s">
        <v>3404</v>
      </c>
      <c r="G125" s="164">
        <v>2024</v>
      </c>
      <c r="H125" s="175">
        <v>45399</v>
      </c>
      <c r="I125" s="175">
        <v>45399</v>
      </c>
      <c r="J125" s="168" t="s">
        <v>6735</v>
      </c>
      <c r="K125" s="174">
        <v>45399</v>
      </c>
      <c r="L125" s="129" t="s">
        <v>3470</v>
      </c>
      <c r="M125" s="129"/>
      <c r="N125" s="129"/>
      <c r="O125" s="129" t="s">
        <v>3406</v>
      </c>
      <c r="P125" s="146"/>
      <c r="Q125" s="170"/>
      <c r="R125" s="171"/>
      <c r="S125" s="172"/>
    </row>
    <row r="126" spans="1:19" ht="42.75">
      <c r="A126" s="164" t="s">
        <v>773</v>
      </c>
      <c r="B126" s="165" t="s">
        <v>983</v>
      </c>
      <c r="C126" s="165" t="s">
        <v>987</v>
      </c>
      <c r="D126" s="164">
        <v>1714</v>
      </c>
      <c r="E126" s="164">
        <v>2086</v>
      </c>
      <c r="F126" s="164" t="s">
        <v>3404</v>
      </c>
      <c r="G126" s="164">
        <v>2024</v>
      </c>
      <c r="H126" s="166">
        <v>45328</v>
      </c>
      <c r="I126" s="167"/>
      <c r="J126" s="168" t="s">
        <v>6736</v>
      </c>
      <c r="K126" s="169"/>
      <c r="L126" s="129" t="s">
        <v>3458</v>
      </c>
      <c r="M126" s="129"/>
      <c r="N126" s="129"/>
      <c r="O126" s="129"/>
      <c r="P126" s="146"/>
      <c r="Q126" s="170"/>
      <c r="R126" s="171"/>
      <c r="S126" s="172"/>
    </row>
    <row r="127" spans="1:19" ht="42.75">
      <c r="A127" s="164" t="s">
        <v>773</v>
      </c>
      <c r="B127" s="165" t="s">
        <v>983</v>
      </c>
      <c r="C127" s="165" t="s">
        <v>858</v>
      </c>
      <c r="D127" s="164">
        <v>1677</v>
      </c>
      <c r="E127" s="164">
        <v>1773</v>
      </c>
      <c r="F127" s="164" t="s">
        <v>3404</v>
      </c>
      <c r="G127" s="164">
        <v>2024</v>
      </c>
      <c r="H127" s="166">
        <v>45385</v>
      </c>
      <c r="I127" s="166">
        <v>45385</v>
      </c>
      <c r="J127" s="168" t="s">
        <v>6737</v>
      </c>
      <c r="K127" s="174">
        <v>45393</v>
      </c>
      <c r="L127" s="129" t="s">
        <v>3470</v>
      </c>
      <c r="M127" s="129"/>
      <c r="N127" s="129"/>
      <c r="O127" s="129" t="s">
        <v>3406</v>
      </c>
      <c r="P127" s="146"/>
      <c r="Q127" s="170"/>
      <c r="R127" s="171"/>
      <c r="S127" s="172"/>
    </row>
    <row r="128" spans="1:19" ht="42.75">
      <c r="A128" s="164" t="s">
        <v>773</v>
      </c>
      <c r="B128" s="165" t="s">
        <v>983</v>
      </c>
      <c r="C128" s="165" t="s">
        <v>1314</v>
      </c>
      <c r="D128" s="164">
        <v>455</v>
      </c>
      <c r="E128" s="164">
        <v>595</v>
      </c>
      <c r="F128" s="164" t="s">
        <v>3404</v>
      </c>
      <c r="G128" s="164">
        <v>2024</v>
      </c>
      <c r="H128" s="175">
        <v>45449</v>
      </c>
      <c r="I128" s="175">
        <v>45449</v>
      </c>
      <c r="J128" s="168" t="s">
        <v>6738</v>
      </c>
      <c r="K128" s="174">
        <v>45461</v>
      </c>
      <c r="L128" s="129" t="s">
        <v>3689</v>
      </c>
      <c r="M128" s="129"/>
      <c r="N128" s="129"/>
      <c r="O128" s="129" t="s">
        <v>3406</v>
      </c>
      <c r="P128" s="146"/>
      <c r="Q128" s="170">
        <v>45462</v>
      </c>
      <c r="R128" s="171"/>
      <c r="S128" s="172"/>
    </row>
    <row r="129" spans="1:19" ht="42.75">
      <c r="A129" s="164" t="s">
        <v>773</v>
      </c>
      <c r="B129" s="165" t="s">
        <v>983</v>
      </c>
      <c r="C129" s="165" t="s">
        <v>3565</v>
      </c>
      <c r="D129" s="164">
        <v>578</v>
      </c>
      <c r="E129" s="164">
        <v>566</v>
      </c>
      <c r="F129" s="164" t="s">
        <v>3404</v>
      </c>
      <c r="G129" s="164">
        <v>2024</v>
      </c>
      <c r="H129" s="175">
        <v>45454</v>
      </c>
      <c r="I129" s="175">
        <v>45454</v>
      </c>
      <c r="J129" s="168" t="s">
        <v>6739</v>
      </c>
      <c r="K129" s="174">
        <v>45462</v>
      </c>
      <c r="L129" s="129" t="s">
        <v>3689</v>
      </c>
      <c r="M129" s="129"/>
      <c r="N129" s="129"/>
      <c r="O129" s="129" t="s">
        <v>3406</v>
      </c>
      <c r="P129" s="146"/>
      <c r="Q129" s="170">
        <v>45462</v>
      </c>
      <c r="R129" s="171"/>
      <c r="S129" s="172"/>
    </row>
    <row r="130" spans="1:19" ht="42.75">
      <c r="A130" s="164" t="s">
        <v>773</v>
      </c>
      <c r="B130" s="165" t="s">
        <v>983</v>
      </c>
      <c r="C130" s="165" t="s">
        <v>3566</v>
      </c>
      <c r="D130" s="164">
        <v>697</v>
      </c>
      <c r="E130" s="164">
        <v>776</v>
      </c>
      <c r="F130" s="164" t="s">
        <v>3404</v>
      </c>
      <c r="G130" s="164">
        <v>2024</v>
      </c>
      <c r="H130" s="175">
        <v>45510</v>
      </c>
      <c r="I130" s="175">
        <v>45511</v>
      </c>
      <c r="J130" s="168" t="s">
        <v>6740</v>
      </c>
      <c r="K130" s="174">
        <v>45516</v>
      </c>
      <c r="L130" s="129" t="s">
        <v>3126</v>
      </c>
      <c r="M130" s="129" t="s">
        <v>4</v>
      </c>
      <c r="N130" s="129" t="s">
        <v>50</v>
      </c>
      <c r="O130" s="129" t="s">
        <v>3406</v>
      </c>
      <c r="P130" s="146"/>
      <c r="Q130" s="170">
        <v>45517</v>
      </c>
      <c r="R130" s="171" t="s">
        <v>6643</v>
      </c>
      <c r="S130" s="172"/>
    </row>
    <row r="131" spans="1:19" ht="42.75">
      <c r="A131" s="164" t="s">
        <v>773</v>
      </c>
      <c r="B131" s="165" t="s">
        <v>983</v>
      </c>
      <c r="C131" s="165" t="s">
        <v>3567</v>
      </c>
      <c r="D131" s="164">
        <v>604</v>
      </c>
      <c r="E131" s="164">
        <v>608</v>
      </c>
      <c r="F131" s="164" t="s">
        <v>3404</v>
      </c>
      <c r="G131" s="164">
        <v>2024</v>
      </c>
      <c r="H131" s="175">
        <v>45581</v>
      </c>
      <c r="I131" s="175">
        <v>45582</v>
      </c>
      <c r="J131" s="168" t="s">
        <v>6741</v>
      </c>
      <c r="K131" s="174">
        <v>45584</v>
      </c>
      <c r="L131" s="129" t="s">
        <v>3128</v>
      </c>
      <c r="M131" s="129" t="s">
        <v>4</v>
      </c>
      <c r="N131" s="129" t="s">
        <v>50</v>
      </c>
      <c r="O131" s="129" t="s">
        <v>3406</v>
      </c>
      <c r="P131" s="146"/>
      <c r="Q131" s="170">
        <v>45586</v>
      </c>
      <c r="R131" s="171" t="s">
        <v>6643</v>
      </c>
      <c r="S131" s="172"/>
    </row>
    <row r="132" spans="1:19" ht="42.75">
      <c r="A132" s="164" t="s">
        <v>773</v>
      </c>
      <c r="B132" s="165" t="s">
        <v>983</v>
      </c>
      <c r="C132" s="165" t="s">
        <v>3568</v>
      </c>
      <c r="D132" s="164">
        <v>878</v>
      </c>
      <c r="E132" s="164">
        <v>845</v>
      </c>
      <c r="F132" s="164" t="s">
        <v>3404</v>
      </c>
      <c r="G132" s="164">
        <v>2024</v>
      </c>
      <c r="H132" s="175">
        <v>45609</v>
      </c>
      <c r="I132" s="175">
        <v>45610</v>
      </c>
      <c r="J132" s="168" t="s">
        <v>6742</v>
      </c>
      <c r="K132" s="174">
        <v>45616</v>
      </c>
      <c r="L132" s="129" t="s">
        <v>3129</v>
      </c>
      <c r="M132" s="129" t="s">
        <v>4</v>
      </c>
      <c r="N132" s="129" t="s">
        <v>50</v>
      </c>
      <c r="O132" s="129" t="s">
        <v>3406</v>
      </c>
      <c r="P132" s="146"/>
      <c r="Q132" s="170">
        <v>45616</v>
      </c>
      <c r="R132" s="171" t="s">
        <v>6643</v>
      </c>
      <c r="S132" s="172"/>
    </row>
    <row r="133" spans="1:19" ht="42.75">
      <c r="A133" s="164" t="s">
        <v>773</v>
      </c>
      <c r="B133" s="165" t="s">
        <v>983</v>
      </c>
      <c r="C133" s="165" t="s">
        <v>3569</v>
      </c>
      <c r="D133" s="164">
        <v>1499</v>
      </c>
      <c r="E133" s="164">
        <v>1657</v>
      </c>
      <c r="F133" s="164" t="s">
        <v>3404</v>
      </c>
      <c r="G133" s="164">
        <v>2024</v>
      </c>
      <c r="H133" s="175">
        <v>45482</v>
      </c>
      <c r="I133" s="175">
        <v>45484</v>
      </c>
      <c r="J133" s="168" t="s">
        <v>6743</v>
      </c>
      <c r="K133" s="174">
        <v>45489</v>
      </c>
      <c r="L133" s="129" t="s">
        <v>3125</v>
      </c>
      <c r="M133" s="129" t="s">
        <v>4</v>
      </c>
      <c r="N133" s="129" t="s">
        <v>50</v>
      </c>
      <c r="O133" s="129" t="s">
        <v>3406</v>
      </c>
      <c r="P133" s="146"/>
      <c r="Q133" s="170">
        <v>45490</v>
      </c>
      <c r="R133" s="171"/>
      <c r="S133" s="172"/>
    </row>
    <row r="134" spans="1:19" ht="42.75">
      <c r="A134" s="164" t="s">
        <v>773</v>
      </c>
      <c r="B134" s="165" t="s">
        <v>983</v>
      </c>
      <c r="C134" s="165" t="s">
        <v>918</v>
      </c>
      <c r="D134" s="164">
        <v>876</v>
      </c>
      <c r="E134" s="164">
        <v>1048</v>
      </c>
      <c r="F134" s="164" t="s">
        <v>3404</v>
      </c>
      <c r="G134" s="164">
        <v>2024</v>
      </c>
      <c r="H134" s="175">
        <v>45574</v>
      </c>
      <c r="I134" s="175">
        <v>45574</v>
      </c>
      <c r="J134" s="168" t="s">
        <v>6744</v>
      </c>
      <c r="K134" s="174">
        <v>45580</v>
      </c>
      <c r="L134" s="129" t="s">
        <v>3128</v>
      </c>
      <c r="M134" s="129" t="s">
        <v>4</v>
      </c>
      <c r="N134" s="129" t="s">
        <v>50</v>
      </c>
      <c r="O134" s="129" t="s">
        <v>3406</v>
      </c>
      <c r="P134" s="146"/>
      <c r="Q134" s="170">
        <v>45580</v>
      </c>
      <c r="R134" s="171" t="s">
        <v>6643</v>
      </c>
      <c r="S134" s="172"/>
    </row>
    <row r="135" spans="1:19" ht="42.75">
      <c r="A135" s="164" t="s">
        <v>773</v>
      </c>
      <c r="B135" s="165" t="s">
        <v>992</v>
      </c>
      <c r="C135" s="165" t="s">
        <v>3570</v>
      </c>
      <c r="D135" s="164">
        <v>1773</v>
      </c>
      <c r="E135" s="164">
        <v>2026</v>
      </c>
      <c r="F135" s="164" t="s">
        <v>3404</v>
      </c>
      <c r="G135" s="164">
        <v>2024</v>
      </c>
      <c r="H135" s="175">
        <v>45385</v>
      </c>
      <c r="I135" s="175">
        <v>45399</v>
      </c>
      <c r="J135" s="168" t="s">
        <v>6745</v>
      </c>
      <c r="K135" s="174">
        <v>45407</v>
      </c>
      <c r="L135" s="129" t="s">
        <v>3532</v>
      </c>
      <c r="M135" s="129"/>
      <c r="N135" s="129"/>
      <c r="O135" s="129" t="s">
        <v>3406</v>
      </c>
      <c r="P135" s="146"/>
      <c r="Q135" s="170"/>
      <c r="R135" s="171"/>
      <c r="S135" s="172"/>
    </row>
    <row r="136" spans="1:19" ht="42.75">
      <c r="A136" s="164" t="s">
        <v>773</v>
      </c>
      <c r="B136" s="165" t="s">
        <v>992</v>
      </c>
      <c r="C136" s="165" t="s">
        <v>3403</v>
      </c>
      <c r="D136" s="164">
        <v>368</v>
      </c>
      <c r="E136" s="164">
        <v>449</v>
      </c>
      <c r="F136" s="164" t="s">
        <v>3404</v>
      </c>
      <c r="G136" s="164">
        <v>2024</v>
      </c>
      <c r="H136" s="166">
        <v>45357</v>
      </c>
      <c r="I136" s="167"/>
      <c r="J136" s="168" t="s">
        <v>6746</v>
      </c>
      <c r="K136" s="169"/>
      <c r="L136" s="129" t="s">
        <v>3416</v>
      </c>
      <c r="M136" s="129"/>
      <c r="N136" s="129"/>
      <c r="O136" s="129"/>
      <c r="P136" s="146"/>
      <c r="Q136" s="170"/>
      <c r="R136" s="171"/>
      <c r="S136" s="172"/>
    </row>
    <row r="137" spans="1:19" ht="42.75">
      <c r="A137" s="164" t="s">
        <v>773</v>
      </c>
      <c r="B137" s="165" t="s">
        <v>992</v>
      </c>
      <c r="C137" s="165" t="s">
        <v>3407</v>
      </c>
      <c r="D137" s="164">
        <v>756</v>
      </c>
      <c r="E137" s="164">
        <v>737</v>
      </c>
      <c r="F137" s="164" t="s">
        <v>3404</v>
      </c>
      <c r="G137" s="164">
        <v>2024</v>
      </c>
      <c r="H137" s="167" t="s">
        <v>3575</v>
      </c>
      <c r="I137" s="167"/>
      <c r="J137" s="168" t="s">
        <v>6747</v>
      </c>
      <c r="K137" s="169"/>
      <c r="L137" s="129" t="s">
        <v>3458</v>
      </c>
      <c r="M137" s="129"/>
      <c r="N137" s="129"/>
      <c r="O137" s="129"/>
      <c r="P137" s="146"/>
      <c r="Q137" s="170"/>
      <c r="R137" s="171"/>
      <c r="S137" s="172"/>
    </row>
    <row r="138" spans="1:19" ht="42.75">
      <c r="A138" s="164" t="s">
        <v>773</v>
      </c>
      <c r="B138" s="165" t="s">
        <v>992</v>
      </c>
      <c r="C138" s="165" t="s">
        <v>3409</v>
      </c>
      <c r="D138" s="164">
        <v>730</v>
      </c>
      <c r="E138" s="164">
        <v>842</v>
      </c>
      <c r="F138" s="164" t="s">
        <v>3404</v>
      </c>
      <c r="G138" s="164">
        <v>2024</v>
      </c>
      <c r="H138" s="167" t="s">
        <v>3575</v>
      </c>
      <c r="I138" s="167"/>
      <c r="J138" s="168" t="s">
        <v>6748</v>
      </c>
      <c r="K138" s="169"/>
      <c r="L138" s="129" t="s">
        <v>3458</v>
      </c>
      <c r="M138" s="129"/>
      <c r="N138" s="129"/>
      <c r="O138" s="129"/>
      <c r="P138" s="146"/>
      <c r="Q138" s="170"/>
      <c r="R138" s="171"/>
      <c r="S138" s="172"/>
    </row>
    <row r="139" spans="1:19" ht="42.75">
      <c r="A139" s="164" t="s">
        <v>773</v>
      </c>
      <c r="B139" s="165" t="s">
        <v>992</v>
      </c>
      <c r="C139" s="165" t="s">
        <v>3410</v>
      </c>
      <c r="D139" s="164">
        <v>1301</v>
      </c>
      <c r="E139" s="164">
        <v>1214</v>
      </c>
      <c r="F139" s="164" t="s">
        <v>3404</v>
      </c>
      <c r="G139" s="164">
        <v>2024</v>
      </c>
      <c r="H139" s="175">
        <v>45569</v>
      </c>
      <c r="I139" s="175">
        <v>45573</v>
      </c>
      <c r="J139" s="168" t="s">
        <v>6749</v>
      </c>
      <c r="K139" s="174">
        <v>45580</v>
      </c>
      <c r="L139" s="129" t="s">
        <v>3128</v>
      </c>
      <c r="M139" s="129" t="s">
        <v>4</v>
      </c>
      <c r="N139" s="129" t="s">
        <v>50</v>
      </c>
      <c r="O139" s="129" t="s">
        <v>3406</v>
      </c>
      <c r="P139" s="146"/>
      <c r="Q139" s="170">
        <v>45580</v>
      </c>
      <c r="R139" s="171" t="s">
        <v>6643</v>
      </c>
      <c r="S139" s="172"/>
    </row>
    <row r="140" spans="1:19" ht="42.75">
      <c r="A140" s="164" t="s">
        <v>773</v>
      </c>
      <c r="B140" s="165" t="s">
        <v>992</v>
      </c>
      <c r="C140" s="176" t="s">
        <v>3576</v>
      </c>
      <c r="D140" s="164">
        <v>137</v>
      </c>
      <c r="E140" s="164">
        <v>182</v>
      </c>
      <c r="F140" s="164" t="s">
        <v>3404</v>
      </c>
      <c r="G140" s="164">
        <v>2024</v>
      </c>
      <c r="H140" s="175">
        <v>45603</v>
      </c>
      <c r="I140" s="175">
        <v>45611</v>
      </c>
      <c r="J140" s="168" t="s">
        <v>6750</v>
      </c>
      <c r="K140" s="174">
        <v>45616</v>
      </c>
      <c r="L140" s="129" t="s">
        <v>3129</v>
      </c>
      <c r="M140" s="129" t="s">
        <v>6701</v>
      </c>
      <c r="N140" s="129" t="s">
        <v>3528</v>
      </c>
      <c r="O140" s="129" t="s">
        <v>3406</v>
      </c>
      <c r="P140" s="146"/>
      <c r="Q140" s="170">
        <v>45616</v>
      </c>
      <c r="R140" s="171" t="s">
        <v>6643</v>
      </c>
      <c r="S140" s="172"/>
    </row>
    <row r="141" spans="1:19" ht="42.75">
      <c r="A141" s="164" t="s">
        <v>773</v>
      </c>
      <c r="B141" s="165" t="s">
        <v>992</v>
      </c>
      <c r="C141" s="176" t="s">
        <v>3577</v>
      </c>
      <c r="D141" s="164">
        <v>1177</v>
      </c>
      <c r="E141" s="164">
        <v>1008</v>
      </c>
      <c r="F141" s="164" t="s">
        <v>3955</v>
      </c>
      <c r="G141" s="164"/>
      <c r="H141" s="167"/>
      <c r="I141" s="167"/>
      <c r="J141" s="167"/>
      <c r="K141" s="169"/>
      <c r="L141" s="129"/>
      <c r="M141" s="129"/>
      <c r="N141" s="129"/>
      <c r="O141" s="129"/>
      <c r="P141" s="146"/>
      <c r="Q141" s="170"/>
      <c r="R141" s="171"/>
      <c r="S141" s="172"/>
    </row>
    <row r="142" spans="1:19" ht="42.75">
      <c r="A142" s="164" t="s">
        <v>773</v>
      </c>
      <c r="B142" s="165" t="s">
        <v>992</v>
      </c>
      <c r="C142" s="176" t="s">
        <v>3579</v>
      </c>
      <c r="D142" s="164">
        <v>909</v>
      </c>
      <c r="E142" s="164">
        <v>779</v>
      </c>
      <c r="F142" s="164" t="s">
        <v>3955</v>
      </c>
      <c r="G142" s="164"/>
      <c r="H142" s="167"/>
      <c r="I142" s="167"/>
      <c r="J142" s="167"/>
      <c r="K142" s="169"/>
      <c r="L142" s="129"/>
      <c r="M142" s="129"/>
      <c r="N142" s="129"/>
      <c r="O142" s="129"/>
      <c r="P142" s="146"/>
      <c r="Q142" s="170"/>
      <c r="R142" s="171"/>
      <c r="S142" s="172"/>
    </row>
    <row r="143" spans="1:19" ht="42.75">
      <c r="A143" s="164" t="s">
        <v>773</v>
      </c>
      <c r="B143" s="165" t="s">
        <v>992</v>
      </c>
      <c r="C143" s="176" t="s">
        <v>3581</v>
      </c>
      <c r="D143" s="164">
        <v>2159</v>
      </c>
      <c r="E143" s="164">
        <v>1836</v>
      </c>
      <c r="F143" s="164" t="s">
        <v>3955</v>
      </c>
      <c r="G143" s="164"/>
      <c r="H143" s="167"/>
      <c r="I143" s="167"/>
      <c r="J143" s="167"/>
      <c r="K143" s="169"/>
      <c r="L143" s="129"/>
      <c r="M143" s="129"/>
      <c r="N143" s="129"/>
      <c r="O143" s="129"/>
      <c r="P143" s="146"/>
      <c r="Q143" s="170"/>
      <c r="R143" s="171"/>
      <c r="S143" s="172"/>
    </row>
    <row r="144" spans="1:19" ht="42.75">
      <c r="A144" s="164" t="s">
        <v>773</v>
      </c>
      <c r="B144" s="165" t="s">
        <v>992</v>
      </c>
      <c r="C144" s="176" t="s">
        <v>3583</v>
      </c>
      <c r="D144" s="164">
        <v>1243</v>
      </c>
      <c r="E144" s="164">
        <v>1322</v>
      </c>
      <c r="F144" s="164" t="s">
        <v>3955</v>
      </c>
      <c r="G144" s="164"/>
      <c r="H144" s="167"/>
      <c r="I144" s="167"/>
      <c r="J144" s="167"/>
      <c r="K144" s="169"/>
      <c r="L144" s="129"/>
      <c r="M144" s="129"/>
      <c r="N144" s="129"/>
      <c r="O144" s="129"/>
      <c r="P144" s="146"/>
      <c r="Q144" s="170"/>
      <c r="R144" s="171"/>
      <c r="S144" s="172"/>
    </row>
    <row r="145" spans="1:19" ht="42.75">
      <c r="A145" s="164" t="s">
        <v>773</v>
      </c>
      <c r="B145" s="165" t="s">
        <v>992</v>
      </c>
      <c r="C145" s="165" t="s">
        <v>3585</v>
      </c>
      <c r="D145" s="164">
        <v>1573</v>
      </c>
      <c r="E145" s="164">
        <v>1784</v>
      </c>
      <c r="F145" s="164" t="s">
        <v>3404</v>
      </c>
      <c r="G145" s="164">
        <v>2024</v>
      </c>
      <c r="H145" s="166">
        <v>45357</v>
      </c>
      <c r="I145" s="167"/>
      <c r="J145" s="168" t="s">
        <v>6751</v>
      </c>
      <c r="K145" s="169"/>
      <c r="L145" s="129" t="s">
        <v>3416</v>
      </c>
      <c r="M145" s="129"/>
      <c r="N145" s="129"/>
      <c r="O145" s="129"/>
      <c r="P145" s="146"/>
      <c r="Q145" s="170"/>
      <c r="R145" s="171"/>
      <c r="S145" s="172"/>
    </row>
    <row r="146" spans="1:19" ht="42.75">
      <c r="A146" s="164" t="s">
        <v>773</v>
      </c>
      <c r="B146" s="165" t="s">
        <v>992</v>
      </c>
      <c r="C146" s="165" t="s">
        <v>3586</v>
      </c>
      <c r="D146" s="164">
        <v>3485</v>
      </c>
      <c r="E146" s="164">
        <v>3888</v>
      </c>
      <c r="F146" s="164" t="s">
        <v>3404</v>
      </c>
      <c r="G146" s="164">
        <v>2024</v>
      </c>
      <c r="H146" s="175">
        <v>45454</v>
      </c>
      <c r="I146" s="175">
        <v>45460</v>
      </c>
      <c r="J146" s="168" t="s">
        <v>6752</v>
      </c>
      <c r="K146" s="174">
        <v>45463</v>
      </c>
      <c r="L146" s="129" t="s">
        <v>3689</v>
      </c>
      <c r="M146" s="129"/>
      <c r="N146" s="129"/>
      <c r="O146" s="129" t="s">
        <v>3406</v>
      </c>
      <c r="P146" s="146"/>
      <c r="Q146" s="170">
        <v>45464</v>
      </c>
      <c r="R146" s="171"/>
      <c r="S146" s="172"/>
    </row>
    <row r="147" spans="1:19" ht="42.75">
      <c r="A147" s="164" t="s">
        <v>773</v>
      </c>
      <c r="B147" s="165" t="s">
        <v>992</v>
      </c>
      <c r="C147" s="165" t="s">
        <v>993</v>
      </c>
      <c r="D147" s="164">
        <v>1074</v>
      </c>
      <c r="E147" s="164">
        <v>1220</v>
      </c>
      <c r="F147" s="164" t="s">
        <v>3404</v>
      </c>
      <c r="G147" s="164">
        <v>2024</v>
      </c>
      <c r="H147" s="175">
        <v>45545</v>
      </c>
      <c r="I147" s="175">
        <v>45545</v>
      </c>
      <c r="J147" s="168" t="s">
        <v>6753</v>
      </c>
      <c r="K147" s="174">
        <v>45552</v>
      </c>
      <c r="L147" s="129" t="s">
        <v>3127</v>
      </c>
      <c r="M147" s="129" t="s">
        <v>4</v>
      </c>
      <c r="N147" s="129" t="s">
        <v>50</v>
      </c>
      <c r="O147" s="129" t="s">
        <v>3406</v>
      </c>
      <c r="P147" s="146"/>
      <c r="Q147" s="170">
        <v>45552</v>
      </c>
      <c r="R147" s="171" t="s">
        <v>6643</v>
      </c>
      <c r="S147" s="172"/>
    </row>
    <row r="148" spans="1:19" ht="42.75">
      <c r="A148" s="164" t="s">
        <v>773</v>
      </c>
      <c r="B148" s="165" t="s">
        <v>992</v>
      </c>
      <c r="C148" s="165" t="s">
        <v>3587</v>
      </c>
      <c r="D148" s="164">
        <v>4278</v>
      </c>
      <c r="E148" s="164">
        <v>5206</v>
      </c>
      <c r="F148" s="164" t="s">
        <v>3404</v>
      </c>
      <c r="G148" s="164">
        <v>2024</v>
      </c>
      <c r="H148" s="175">
        <v>45393</v>
      </c>
      <c r="I148" s="175">
        <v>45399</v>
      </c>
      <c r="J148" s="168" t="s">
        <v>6754</v>
      </c>
      <c r="K148" s="174">
        <v>45399</v>
      </c>
      <c r="L148" s="129" t="s">
        <v>3470</v>
      </c>
      <c r="M148" s="129"/>
      <c r="N148" s="129"/>
      <c r="O148" s="129" t="s">
        <v>3406</v>
      </c>
      <c r="P148" s="146"/>
      <c r="Q148" s="170"/>
      <c r="R148" s="171"/>
      <c r="S148" s="172"/>
    </row>
    <row r="149" spans="1:19" ht="42.75">
      <c r="A149" s="164" t="s">
        <v>773</v>
      </c>
      <c r="B149" s="165" t="s">
        <v>992</v>
      </c>
      <c r="C149" s="165" t="s">
        <v>3588</v>
      </c>
      <c r="D149" s="164">
        <v>1228</v>
      </c>
      <c r="E149" s="164">
        <v>1300</v>
      </c>
      <c r="F149" s="164" t="s">
        <v>3404</v>
      </c>
      <c r="G149" s="164">
        <v>2024</v>
      </c>
      <c r="H149" s="166">
        <v>45335</v>
      </c>
      <c r="I149" s="167"/>
      <c r="J149" s="168" t="s">
        <v>6755</v>
      </c>
      <c r="K149" s="169"/>
      <c r="L149" s="129" t="s">
        <v>3458</v>
      </c>
      <c r="M149" s="129"/>
      <c r="N149" s="129"/>
      <c r="O149" s="129"/>
      <c r="P149" s="146"/>
      <c r="Q149" s="170"/>
      <c r="R149" s="171"/>
      <c r="S149" s="172"/>
    </row>
    <row r="150" spans="1:19" ht="42.75">
      <c r="A150" s="164" t="s">
        <v>773</v>
      </c>
      <c r="B150" s="165" t="s">
        <v>992</v>
      </c>
      <c r="C150" s="165" t="s">
        <v>1180</v>
      </c>
      <c r="D150" s="164">
        <v>2171</v>
      </c>
      <c r="E150" s="164">
        <v>2596</v>
      </c>
      <c r="F150" s="164" t="s">
        <v>3404</v>
      </c>
      <c r="G150" s="164">
        <v>2024</v>
      </c>
      <c r="H150" s="175">
        <v>45461</v>
      </c>
      <c r="I150" s="175">
        <v>45454</v>
      </c>
      <c r="J150" s="168" t="s">
        <v>6756</v>
      </c>
      <c r="K150" s="174">
        <v>45463</v>
      </c>
      <c r="L150" s="129" t="s">
        <v>3689</v>
      </c>
      <c r="M150" s="129"/>
      <c r="N150" s="129"/>
      <c r="O150" s="129" t="s">
        <v>3406</v>
      </c>
      <c r="P150" s="146"/>
      <c r="Q150" s="170">
        <v>45464</v>
      </c>
      <c r="R150" s="171"/>
      <c r="S150" s="172"/>
    </row>
    <row r="151" spans="1:19" ht="42.75">
      <c r="A151" s="164" t="s">
        <v>773</v>
      </c>
      <c r="B151" s="165" t="s">
        <v>992</v>
      </c>
      <c r="C151" s="165" t="s">
        <v>858</v>
      </c>
      <c r="D151" s="164">
        <v>541</v>
      </c>
      <c r="E151" s="164">
        <v>547</v>
      </c>
      <c r="F151" s="164" t="s">
        <v>3404</v>
      </c>
      <c r="G151" s="164">
        <v>2024</v>
      </c>
      <c r="H151" s="175">
        <v>45545</v>
      </c>
      <c r="I151" s="175">
        <v>45545</v>
      </c>
      <c r="J151" s="168" t="s">
        <v>6757</v>
      </c>
      <c r="K151" s="174">
        <v>45552</v>
      </c>
      <c r="L151" s="129" t="s">
        <v>3127</v>
      </c>
      <c r="M151" s="129" t="s">
        <v>4</v>
      </c>
      <c r="N151" s="129" t="s">
        <v>50</v>
      </c>
      <c r="O151" s="129" t="s">
        <v>3406</v>
      </c>
      <c r="P151" s="146"/>
      <c r="Q151" s="170">
        <v>45552</v>
      </c>
      <c r="R151" s="171" t="s">
        <v>6643</v>
      </c>
      <c r="S151" s="172"/>
    </row>
    <row r="152" spans="1:19" ht="42.75">
      <c r="A152" s="164" t="s">
        <v>773</v>
      </c>
      <c r="B152" s="165" t="s">
        <v>992</v>
      </c>
      <c r="C152" s="165" t="s">
        <v>3590</v>
      </c>
      <c r="D152" s="164">
        <v>2449</v>
      </c>
      <c r="E152" s="164">
        <v>2888</v>
      </c>
      <c r="F152" s="164" t="s">
        <v>3404</v>
      </c>
      <c r="G152" s="164">
        <v>2024</v>
      </c>
      <c r="H152" s="175">
        <v>45428</v>
      </c>
      <c r="I152" s="175">
        <v>45429</v>
      </c>
      <c r="J152" s="168" t="s">
        <v>6758</v>
      </c>
      <c r="K152" s="174">
        <v>45429</v>
      </c>
      <c r="L152" s="129" t="s">
        <v>3532</v>
      </c>
      <c r="M152" s="129"/>
      <c r="N152" s="129"/>
      <c r="O152" s="129" t="s">
        <v>3406</v>
      </c>
      <c r="P152" s="146"/>
      <c r="Q152" s="170">
        <v>45432</v>
      </c>
      <c r="R152" s="171"/>
      <c r="S152" s="172"/>
    </row>
    <row r="153" spans="1:19" ht="42.75">
      <c r="A153" s="164" t="s">
        <v>774</v>
      </c>
      <c r="B153" s="165" t="s">
        <v>842</v>
      </c>
      <c r="C153" s="165" t="s">
        <v>3591</v>
      </c>
      <c r="D153" s="164">
        <v>695</v>
      </c>
      <c r="E153" s="164">
        <v>843</v>
      </c>
      <c r="F153" s="164" t="s">
        <v>3404</v>
      </c>
      <c r="G153" s="164">
        <v>2024</v>
      </c>
      <c r="H153" s="180" t="s">
        <v>3592</v>
      </c>
      <c r="I153" s="180" t="s">
        <v>6759</v>
      </c>
      <c r="J153" s="181" t="s">
        <v>6760</v>
      </c>
      <c r="K153" s="174">
        <v>45446</v>
      </c>
      <c r="L153" s="129" t="s">
        <v>3689</v>
      </c>
      <c r="M153" s="129" t="s">
        <v>1078</v>
      </c>
      <c r="N153" s="129" t="s">
        <v>50</v>
      </c>
      <c r="O153" s="129" t="s">
        <v>3406</v>
      </c>
      <c r="P153" s="146"/>
      <c r="Q153" s="170">
        <v>45447</v>
      </c>
      <c r="R153" s="171"/>
      <c r="S153" s="172"/>
    </row>
    <row r="154" spans="1:19" ht="42.75">
      <c r="A154" s="164" t="s">
        <v>774</v>
      </c>
      <c r="B154" s="165" t="s">
        <v>842</v>
      </c>
      <c r="C154" s="165" t="s">
        <v>3593</v>
      </c>
      <c r="D154" s="164">
        <v>4833</v>
      </c>
      <c r="E154" s="164">
        <v>5627</v>
      </c>
      <c r="F154" s="164" t="s">
        <v>3404</v>
      </c>
      <c r="G154" s="164">
        <v>2024</v>
      </c>
      <c r="H154" s="182">
        <v>45343</v>
      </c>
      <c r="I154" s="182">
        <v>45344</v>
      </c>
      <c r="J154" s="181" t="s">
        <v>6761</v>
      </c>
      <c r="K154" s="182">
        <v>45349</v>
      </c>
      <c r="L154" s="129" t="s">
        <v>3458</v>
      </c>
      <c r="M154" s="129" t="s">
        <v>4</v>
      </c>
      <c r="N154" s="129" t="s">
        <v>50</v>
      </c>
      <c r="O154" s="129" t="s">
        <v>3406</v>
      </c>
      <c r="P154" s="146"/>
      <c r="Q154" s="170"/>
      <c r="R154" s="171"/>
      <c r="S154" s="172"/>
    </row>
    <row r="155" spans="1:19" ht="42.75">
      <c r="A155" s="164" t="s">
        <v>774</v>
      </c>
      <c r="B155" s="165" t="s">
        <v>842</v>
      </c>
      <c r="C155" s="183" t="s">
        <v>843</v>
      </c>
      <c r="D155" s="164">
        <v>6742</v>
      </c>
      <c r="E155" s="164">
        <v>7280</v>
      </c>
      <c r="F155" s="164" t="s">
        <v>3404</v>
      </c>
      <c r="G155" s="164">
        <v>2024</v>
      </c>
      <c r="H155" s="184" t="s">
        <v>3595</v>
      </c>
      <c r="I155" s="184" t="s">
        <v>6762</v>
      </c>
      <c r="J155" s="168" t="s">
        <v>6763</v>
      </c>
      <c r="K155" s="180" t="s">
        <v>3751</v>
      </c>
      <c r="L155" s="129" t="s">
        <v>3532</v>
      </c>
      <c r="M155" s="129" t="s">
        <v>6701</v>
      </c>
      <c r="N155" s="129" t="s">
        <v>3528</v>
      </c>
      <c r="O155" s="129" t="s">
        <v>3406</v>
      </c>
      <c r="P155" s="146"/>
      <c r="Q155" s="170"/>
      <c r="R155" s="171"/>
      <c r="S155" s="172"/>
    </row>
    <row r="156" spans="1:19" ht="42.75">
      <c r="A156" s="164" t="s">
        <v>774</v>
      </c>
      <c r="B156" s="165" t="s">
        <v>842</v>
      </c>
      <c r="C156" s="183" t="s">
        <v>3596</v>
      </c>
      <c r="D156" s="164">
        <v>5405</v>
      </c>
      <c r="E156" s="164">
        <v>5707</v>
      </c>
      <c r="F156" s="164" t="s">
        <v>3404</v>
      </c>
      <c r="G156" s="164">
        <v>2024</v>
      </c>
      <c r="H156" s="166">
        <v>45373</v>
      </c>
      <c r="I156" s="166">
        <v>45376</v>
      </c>
      <c r="J156" s="168" t="s">
        <v>6764</v>
      </c>
      <c r="K156" s="182">
        <v>45377</v>
      </c>
      <c r="L156" s="129" t="s">
        <v>3470</v>
      </c>
      <c r="M156" s="129" t="s">
        <v>1078</v>
      </c>
      <c r="N156" s="129" t="s">
        <v>50</v>
      </c>
      <c r="O156" s="129" t="s">
        <v>3406</v>
      </c>
      <c r="P156" s="146"/>
      <c r="Q156" s="170"/>
      <c r="R156" s="171"/>
      <c r="S156" s="172"/>
    </row>
    <row r="157" spans="1:19" ht="42.75">
      <c r="A157" s="164" t="s">
        <v>774</v>
      </c>
      <c r="B157" s="165" t="s">
        <v>842</v>
      </c>
      <c r="C157" s="183" t="s">
        <v>3598</v>
      </c>
      <c r="D157" s="164">
        <v>2303</v>
      </c>
      <c r="E157" s="164">
        <v>2415</v>
      </c>
      <c r="F157" s="164" t="s">
        <v>3404</v>
      </c>
      <c r="G157" s="164">
        <v>2024</v>
      </c>
      <c r="H157" s="184" t="s">
        <v>3599</v>
      </c>
      <c r="I157" s="184" t="s">
        <v>3706</v>
      </c>
      <c r="J157" s="168" t="s">
        <v>6765</v>
      </c>
      <c r="K157" s="180" t="s">
        <v>3894</v>
      </c>
      <c r="L157" s="129" t="s">
        <v>3532</v>
      </c>
      <c r="M157" s="129" t="s">
        <v>1078</v>
      </c>
      <c r="N157" s="129" t="s">
        <v>50</v>
      </c>
      <c r="O157" s="129" t="s">
        <v>3406</v>
      </c>
      <c r="P157" s="146"/>
      <c r="Q157" s="170"/>
      <c r="R157" s="171"/>
      <c r="S157" s="172"/>
    </row>
    <row r="158" spans="1:19" ht="42.75">
      <c r="A158" s="164" t="s">
        <v>774</v>
      </c>
      <c r="B158" s="165" t="s">
        <v>842</v>
      </c>
      <c r="C158" s="185" t="s">
        <v>3600</v>
      </c>
      <c r="D158" s="164">
        <v>9165</v>
      </c>
      <c r="E158" s="164">
        <v>9650</v>
      </c>
      <c r="F158" s="164" t="s">
        <v>3404</v>
      </c>
      <c r="G158" s="164">
        <v>2024</v>
      </c>
      <c r="H158" s="166">
        <v>45379</v>
      </c>
      <c r="I158" s="186">
        <v>45383</v>
      </c>
      <c r="J158" s="168" t="s">
        <v>6766</v>
      </c>
      <c r="K158" s="187">
        <v>45384</v>
      </c>
      <c r="L158" s="129" t="s">
        <v>3470</v>
      </c>
      <c r="M158" s="129" t="s">
        <v>1078</v>
      </c>
      <c r="N158" s="129" t="s">
        <v>50</v>
      </c>
      <c r="O158" s="129" t="s">
        <v>3406</v>
      </c>
      <c r="P158" s="146"/>
      <c r="Q158" s="170"/>
      <c r="R158" s="171"/>
      <c r="S158" s="172"/>
    </row>
    <row r="159" spans="1:19" ht="42.75">
      <c r="A159" s="164" t="s">
        <v>774</v>
      </c>
      <c r="B159" s="165" t="s">
        <v>842</v>
      </c>
      <c r="C159" s="185" t="s">
        <v>3602</v>
      </c>
      <c r="D159" s="164">
        <v>3149</v>
      </c>
      <c r="E159" s="164">
        <v>3387</v>
      </c>
      <c r="F159" s="164" t="s">
        <v>3404</v>
      </c>
      <c r="G159" s="164">
        <v>2024</v>
      </c>
      <c r="H159" s="166">
        <v>45379</v>
      </c>
      <c r="I159" s="186">
        <v>45383</v>
      </c>
      <c r="J159" s="168" t="s">
        <v>6767</v>
      </c>
      <c r="K159" s="187">
        <v>45384</v>
      </c>
      <c r="L159" s="129" t="s">
        <v>3470</v>
      </c>
      <c r="M159" s="129" t="s">
        <v>1078</v>
      </c>
      <c r="N159" s="129" t="s">
        <v>50</v>
      </c>
      <c r="O159" s="129" t="s">
        <v>3406</v>
      </c>
      <c r="P159" s="146"/>
      <c r="Q159" s="170"/>
      <c r="R159" s="171"/>
      <c r="S159" s="172"/>
    </row>
    <row r="160" spans="1:19" ht="42.75">
      <c r="A160" s="164" t="s">
        <v>774</v>
      </c>
      <c r="B160" s="165" t="s">
        <v>842</v>
      </c>
      <c r="C160" s="165" t="s">
        <v>3603</v>
      </c>
      <c r="D160" s="164">
        <v>3199</v>
      </c>
      <c r="E160" s="164">
        <v>3832</v>
      </c>
      <c r="F160" s="164" t="s">
        <v>3404</v>
      </c>
      <c r="G160" s="164">
        <v>2024</v>
      </c>
      <c r="H160" s="184" t="s">
        <v>3604</v>
      </c>
      <c r="I160" s="184" t="s">
        <v>6768</v>
      </c>
      <c r="J160" s="168" t="s">
        <v>6769</v>
      </c>
      <c r="K160" s="174">
        <v>45488</v>
      </c>
      <c r="L160" s="129" t="s">
        <v>3125</v>
      </c>
      <c r="M160" s="129" t="s">
        <v>1078</v>
      </c>
      <c r="N160" s="129" t="s">
        <v>50</v>
      </c>
      <c r="O160" s="129" t="s">
        <v>3406</v>
      </c>
      <c r="P160" s="146"/>
      <c r="Q160" s="170">
        <v>45489</v>
      </c>
      <c r="R160" s="171"/>
      <c r="S160" s="172"/>
    </row>
    <row r="161" spans="1:19" ht="42.75">
      <c r="A161" s="164" t="s">
        <v>774</v>
      </c>
      <c r="B161" s="165" t="s">
        <v>842</v>
      </c>
      <c r="C161" s="183" t="s">
        <v>3605</v>
      </c>
      <c r="D161" s="164">
        <v>4389</v>
      </c>
      <c r="E161" s="164">
        <v>4243</v>
      </c>
      <c r="F161" s="164" t="s">
        <v>3404</v>
      </c>
      <c r="G161" s="164">
        <v>2024</v>
      </c>
      <c r="H161" s="188" t="s">
        <v>3606</v>
      </c>
      <c r="I161" s="188" t="s">
        <v>6770</v>
      </c>
      <c r="J161" s="168" t="s">
        <v>6771</v>
      </c>
      <c r="K161" s="180" t="s">
        <v>6772</v>
      </c>
      <c r="L161" s="129" t="s">
        <v>3532</v>
      </c>
      <c r="M161" s="129" t="s">
        <v>1078</v>
      </c>
      <c r="N161" s="129" t="s">
        <v>50</v>
      </c>
      <c r="O161" s="129" t="s">
        <v>3406</v>
      </c>
      <c r="P161" s="146"/>
      <c r="Q161" s="170"/>
      <c r="R161" s="171"/>
      <c r="S161" s="172"/>
    </row>
    <row r="162" spans="1:19" ht="42.75">
      <c r="A162" s="164" t="s">
        <v>774</v>
      </c>
      <c r="B162" s="165" t="s">
        <v>848</v>
      </c>
      <c r="C162" s="165" t="s">
        <v>3608</v>
      </c>
      <c r="D162" s="164">
        <v>1978</v>
      </c>
      <c r="E162" s="164">
        <v>2135</v>
      </c>
      <c r="F162" s="164" t="s">
        <v>3404</v>
      </c>
      <c r="G162" s="164">
        <v>2024</v>
      </c>
      <c r="H162" s="184" t="s">
        <v>3609</v>
      </c>
      <c r="I162" s="184" t="s">
        <v>3662</v>
      </c>
      <c r="J162" s="168" t="s">
        <v>6773</v>
      </c>
      <c r="K162" s="174">
        <v>45572</v>
      </c>
      <c r="L162" s="129" t="s">
        <v>3128</v>
      </c>
      <c r="M162" s="129" t="s">
        <v>4</v>
      </c>
      <c r="N162" s="129" t="s">
        <v>50</v>
      </c>
      <c r="O162" s="129" t="s">
        <v>3406</v>
      </c>
      <c r="P162" s="146"/>
      <c r="Q162" s="189">
        <v>45573</v>
      </c>
      <c r="R162" s="115" t="s">
        <v>6643</v>
      </c>
      <c r="S162" s="163"/>
    </row>
    <row r="163" spans="1:19" ht="42.75">
      <c r="A163" s="164" t="s">
        <v>774</v>
      </c>
      <c r="B163" s="165" t="s">
        <v>848</v>
      </c>
      <c r="C163" s="165" t="s">
        <v>849</v>
      </c>
      <c r="D163" s="164">
        <v>2784</v>
      </c>
      <c r="E163" s="164">
        <v>3460</v>
      </c>
      <c r="F163" s="164" t="s">
        <v>3404</v>
      </c>
      <c r="G163" s="164">
        <v>2024</v>
      </c>
      <c r="H163" s="184" t="s">
        <v>3610</v>
      </c>
      <c r="I163" s="184" t="s">
        <v>6774</v>
      </c>
      <c r="J163" s="168" t="s">
        <v>6775</v>
      </c>
      <c r="K163" s="174">
        <v>45574</v>
      </c>
      <c r="L163" s="129" t="s">
        <v>3128</v>
      </c>
      <c r="M163" s="129" t="s">
        <v>4</v>
      </c>
      <c r="N163" s="129" t="s">
        <v>50</v>
      </c>
      <c r="O163" s="129" t="s">
        <v>3406</v>
      </c>
      <c r="P163" s="146"/>
      <c r="Q163" s="189">
        <v>45575</v>
      </c>
      <c r="R163" s="115" t="s">
        <v>6643</v>
      </c>
      <c r="S163" s="163"/>
    </row>
    <row r="164" spans="1:19" ht="42.75">
      <c r="A164" s="164" t="s">
        <v>774</v>
      </c>
      <c r="B164" s="165" t="s">
        <v>848</v>
      </c>
      <c r="C164" s="165" t="s">
        <v>902</v>
      </c>
      <c r="D164" s="164">
        <v>613</v>
      </c>
      <c r="E164" s="164">
        <v>752</v>
      </c>
      <c r="F164" s="164" t="s">
        <v>3404</v>
      </c>
      <c r="G164" s="164">
        <v>2024</v>
      </c>
      <c r="H164" s="175">
        <v>45601</v>
      </c>
      <c r="I164" s="175">
        <v>45607</v>
      </c>
      <c r="J164" s="168" t="s">
        <v>6776</v>
      </c>
      <c r="K164" s="174">
        <v>45612</v>
      </c>
      <c r="L164" s="129" t="s">
        <v>3129</v>
      </c>
      <c r="M164" s="129" t="s">
        <v>4</v>
      </c>
      <c r="N164" s="129" t="s">
        <v>50</v>
      </c>
      <c r="O164" s="129" t="s">
        <v>3406</v>
      </c>
      <c r="P164" s="146"/>
      <c r="Q164" s="170">
        <v>45614</v>
      </c>
      <c r="R164" s="171" t="s">
        <v>6643</v>
      </c>
      <c r="S164" s="172"/>
    </row>
    <row r="165" spans="1:19" ht="42.75">
      <c r="A165" s="164" t="s">
        <v>774</v>
      </c>
      <c r="B165" s="165" t="s">
        <v>848</v>
      </c>
      <c r="C165" s="165" t="s">
        <v>3611</v>
      </c>
      <c r="D165" s="164">
        <v>2356</v>
      </c>
      <c r="E165" s="164">
        <v>2814</v>
      </c>
      <c r="F165" s="164" t="s">
        <v>3404</v>
      </c>
      <c r="G165" s="164">
        <v>2024</v>
      </c>
      <c r="H165" s="184" t="s">
        <v>3612</v>
      </c>
      <c r="I165" s="184" t="s">
        <v>6777</v>
      </c>
      <c r="J165" s="168" t="s">
        <v>6778</v>
      </c>
      <c r="K165" s="174">
        <v>45565</v>
      </c>
      <c r="L165" s="129" t="s">
        <v>3128</v>
      </c>
      <c r="M165" s="129" t="s">
        <v>4</v>
      </c>
      <c r="N165" s="129" t="s">
        <v>50</v>
      </c>
      <c r="O165" s="129" t="s">
        <v>3406</v>
      </c>
      <c r="P165" s="146"/>
      <c r="Q165" s="189">
        <v>45565</v>
      </c>
      <c r="R165" s="115" t="s">
        <v>6643</v>
      </c>
      <c r="S165" s="163"/>
    </row>
    <row r="166" spans="1:19" ht="42.75">
      <c r="A166" s="164" t="s">
        <v>774</v>
      </c>
      <c r="B166" s="165" t="s">
        <v>848</v>
      </c>
      <c r="C166" s="176" t="s">
        <v>3613</v>
      </c>
      <c r="D166" s="164">
        <v>1689</v>
      </c>
      <c r="E166" s="164">
        <v>1920</v>
      </c>
      <c r="F166" s="164" t="s">
        <v>3955</v>
      </c>
      <c r="G166" s="164"/>
      <c r="H166" s="167"/>
      <c r="I166" s="167"/>
      <c r="J166" s="167"/>
      <c r="K166" s="169"/>
      <c r="L166" s="129"/>
      <c r="M166" s="129"/>
      <c r="N166" s="129"/>
      <c r="O166" s="129"/>
      <c r="P166" s="146"/>
      <c r="Q166" s="170"/>
      <c r="R166" s="171"/>
      <c r="S166" s="172"/>
    </row>
    <row r="167" spans="1:19" ht="42.75">
      <c r="A167" s="164" t="s">
        <v>774</v>
      </c>
      <c r="B167" s="165" t="s">
        <v>848</v>
      </c>
      <c r="C167" s="165" t="s">
        <v>3615</v>
      </c>
      <c r="D167" s="164">
        <v>1660</v>
      </c>
      <c r="E167" s="164">
        <v>1884</v>
      </c>
      <c r="F167" s="164" t="s">
        <v>3404</v>
      </c>
      <c r="G167" s="164">
        <v>2024</v>
      </c>
      <c r="H167" s="175">
        <v>45594</v>
      </c>
      <c r="I167" s="175">
        <v>45600</v>
      </c>
      <c r="J167" s="168" t="s">
        <v>6779</v>
      </c>
      <c r="K167" s="174">
        <v>45601</v>
      </c>
      <c r="L167" s="129" t="s">
        <v>3129</v>
      </c>
      <c r="M167" s="129" t="s">
        <v>4</v>
      </c>
      <c r="N167" s="129" t="s">
        <v>50</v>
      </c>
      <c r="O167" s="129" t="s">
        <v>3406</v>
      </c>
      <c r="P167" s="146"/>
      <c r="Q167" s="170">
        <v>45602</v>
      </c>
      <c r="R167" s="171" t="s">
        <v>6643</v>
      </c>
      <c r="S167" s="172"/>
    </row>
    <row r="168" spans="1:19" ht="42.75">
      <c r="A168" s="164" t="s">
        <v>774</v>
      </c>
      <c r="B168" s="165" t="s">
        <v>848</v>
      </c>
      <c r="C168" s="165" t="s">
        <v>892</v>
      </c>
      <c r="D168" s="164">
        <v>3271</v>
      </c>
      <c r="E168" s="164">
        <v>3729</v>
      </c>
      <c r="F168" s="164" t="s">
        <v>3404</v>
      </c>
      <c r="G168" s="164">
        <v>2024</v>
      </c>
      <c r="H168" s="175">
        <v>45587</v>
      </c>
      <c r="I168" s="175">
        <v>45593</v>
      </c>
      <c r="J168" s="168" t="s">
        <v>6780</v>
      </c>
      <c r="K168" s="174">
        <v>45601</v>
      </c>
      <c r="L168" s="129" t="s">
        <v>3129</v>
      </c>
      <c r="M168" s="129" t="s">
        <v>4</v>
      </c>
      <c r="N168" s="129" t="s">
        <v>50</v>
      </c>
      <c r="O168" s="129" t="s">
        <v>3406</v>
      </c>
      <c r="P168" s="146"/>
      <c r="Q168" s="170">
        <v>45602</v>
      </c>
      <c r="R168" s="171" t="s">
        <v>6643</v>
      </c>
      <c r="S168" s="172"/>
    </row>
    <row r="169" spans="1:19" ht="42.75">
      <c r="A169" s="164" t="s">
        <v>774</v>
      </c>
      <c r="B169" s="165" t="s">
        <v>848</v>
      </c>
      <c r="C169" s="165" t="s">
        <v>3616</v>
      </c>
      <c r="D169" s="164">
        <v>3248</v>
      </c>
      <c r="E169" s="164">
        <v>3480</v>
      </c>
      <c r="F169" s="164" t="s">
        <v>3404</v>
      </c>
      <c r="G169" s="164">
        <v>2024</v>
      </c>
      <c r="H169" s="184" t="s">
        <v>3617</v>
      </c>
      <c r="I169" s="184" t="s">
        <v>6781</v>
      </c>
      <c r="J169" s="168" t="s">
        <v>6782</v>
      </c>
      <c r="K169" s="174">
        <v>45552</v>
      </c>
      <c r="L169" s="129" t="s">
        <v>3127</v>
      </c>
      <c r="M169" s="129" t="s">
        <v>4</v>
      </c>
      <c r="N169" s="129" t="s">
        <v>50</v>
      </c>
      <c r="O169" s="129" t="s">
        <v>3406</v>
      </c>
      <c r="P169" s="146"/>
      <c r="Q169" s="170">
        <v>45552</v>
      </c>
      <c r="R169" s="171" t="s">
        <v>6643</v>
      </c>
      <c r="S169" s="172"/>
    </row>
    <row r="170" spans="1:19" ht="42.75">
      <c r="A170" s="164" t="s">
        <v>774</v>
      </c>
      <c r="B170" s="165" t="s">
        <v>848</v>
      </c>
      <c r="C170" s="165" t="s">
        <v>3618</v>
      </c>
      <c r="D170" s="164">
        <v>731</v>
      </c>
      <c r="E170" s="164">
        <v>862</v>
      </c>
      <c r="F170" s="164" t="s">
        <v>3404</v>
      </c>
      <c r="G170" s="164">
        <v>2024</v>
      </c>
      <c r="H170" s="175">
        <v>45601</v>
      </c>
      <c r="I170" s="175">
        <v>45607</v>
      </c>
      <c r="J170" s="168" t="s">
        <v>6783</v>
      </c>
      <c r="K170" s="174">
        <v>45612</v>
      </c>
      <c r="L170" s="129" t="s">
        <v>3129</v>
      </c>
      <c r="M170" s="129" t="s">
        <v>4</v>
      </c>
      <c r="N170" s="129" t="s">
        <v>50</v>
      </c>
      <c r="O170" s="129" t="s">
        <v>3406</v>
      </c>
      <c r="P170" s="146"/>
      <c r="Q170" s="170">
        <v>45614</v>
      </c>
      <c r="R170" s="171" t="s">
        <v>6643</v>
      </c>
      <c r="S170" s="172"/>
    </row>
    <row r="171" spans="1:19" ht="42.75">
      <c r="A171" s="164" t="s">
        <v>774</v>
      </c>
      <c r="B171" s="165" t="s">
        <v>848</v>
      </c>
      <c r="C171" s="165" t="s">
        <v>912</v>
      </c>
      <c r="D171" s="164">
        <v>574</v>
      </c>
      <c r="E171" s="164">
        <v>710</v>
      </c>
      <c r="F171" s="164" t="s">
        <v>3404</v>
      </c>
      <c r="G171" s="164">
        <v>2024</v>
      </c>
      <c r="H171" s="175">
        <v>45604</v>
      </c>
      <c r="I171" s="175">
        <v>45607</v>
      </c>
      <c r="J171" s="168" t="s">
        <v>6784</v>
      </c>
      <c r="K171" s="174">
        <v>45612</v>
      </c>
      <c r="L171" s="129" t="s">
        <v>3129</v>
      </c>
      <c r="M171" s="129" t="s">
        <v>4</v>
      </c>
      <c r="N171" s="129" t="s">
        <v>50</v>
      </c>
      <c r="O171" s="129" t="s">
        <v>3406</v>
      </c>
      <c r="P171" s="146"/>
      <c r="Q171" s="170">
        <v>45614</v>
      </c>
      <c r="R171" s="171" t="s">
        <v>6643</v>
      </c>
      <c r="S171" s="172"/>
    </row>
    <row r="172" spans="1:19" ht="42.75">
      <c r="A172" s="164" t="s">
        <v>774</v>
      </c>
      <c r="B172" s="165" t="s">
        <v>848</v>
      </c>
      <c r="C172" s="165" t="s">
        <v>914</v>
      </c>
      <c r="D172" s="164">
        <v>1445</v>
      </c>
      <c r="E172" s="164">
        <v>1511</v>
      </c>
      <c r="F172" s="164" t="s">
        <v>3404</v>
      </c>
      <c r="G172" s="164">
        <v>2024</v>
      </c>
      <c r="H172" s="184" t="s">
        <v>3619</v>
      </c>
      <c r="I172" s="175">
        <v>45561</v>
      </c>
      <c r="J172" s="168" t="s">
        <v>6785</v>
      </c>
      <c r="K172" s="174">
        <v>45569</v>
      </c>
      <c r="L172" s="129" t="s">
        <v>3128</v>
      </c>
      <c r="M172" s="129" t="s">
        <v>4</v>
      </c>
      <c r="N172" s="129" t="s">
        <v>50</v>
      </c>
      <c r="O172" s="129" t="s">
        <v>3406</v>
      </c>
      <c r="P172" s="146"/>
      <c r="Q172" s="189">
        <v>45569</v>
      </c>
      <c r="R172" s="115" t="s">
        <v>6643</v>
      </c>
      <c r="S172" s="163"/>
    </row>
    <row r="173" spans="1:19" ht="42.75">
      <c r="A173" s="164" t="s">
        <v>774</v>
      </c>
      <c r="B173" s="165" t="s">
        <v>848</v>
      </c>
      <c r="C173" s="165" t="s">
        <v>3620</v>
      </c>
      <c r="D173" s="164">
        <v>2859</v>
      </c>
      <c r="E173" s="164">
        <v>3468</v>
      </c>
      <c r="F173" s="164" t="s">
        <v>3404</v>
      </c>
      <c r="G173" s="164">
        <v>2024</v>
      </c>
      <c r="H173" s="175">
        <v>45596</v>
      </c>
      <c r="I173" s="175">
        <v>45600</v>
      </c>
      <c r="J173" s="168" t="s">
        <v>6786</v>
      </c>
      <c r="K173" s="174">
        <v>45601</v>
      </c>
      <c r="L173" s="129" t="s">
        <v>3129</v>
      </c>
      <c r="M173" s="129" t="s">
        <v>4</v>
      </c>
      <c r="N173" s="129" t="s">
        <v>50</v>
      </c>
      <c r="O173" s="129" t="s">
        <v>3406</v>
      </c>
      <c r="P173" s="146"/>
      <c r="Q173" s="170">
        <v>45601</v>
      </c>
      <c r="R173" s="171" t="s">
        <v>6643</v>
      </c>
      <c r="S173" s="172"/>
    </row>
    <row r="174" spans="1:19" ht="42.75">
      <c r="A174" s="164" t="s">
        <v>774</v>
      </c>
      <c r="B174" s="165" t="s">
        <v>848</v>
      </c>
      <c r="C174" s="165" t="s">
        <v>3621</v>
      </c>
      <c r="D174" s="164">
        <v>1281</v>
      </c>
      <c r="E174" s="164">
        <v>1321</v>
      </c>
      <c r="F174" s="164" t="s">
        <v>3404</v>
      </c>
      <c r="G174" s="164">
        <v>2024</v>
      </c>
      <c r="H174" s="175">
        <v>45583</v>
      </c>
      <c r="I174" s="175">
        <v>45587</v>
      </c>
      <c r="J174" s="168" t="s">
        <v>6787</v>
      </c>
      <c r="K174" s="174">
        <v>45593</v>
      </c>
      <c r="L174" s="129" t="s">
        <v>3129</v>
      </c>
      <c r="M174" s="129" t="s">
        <v>4</v>
      </c>
      <c r="N174" s="129" t="s">
        <v>50</v>
      </c>
      <c r="O174" s="129" t="s">
        <v>3406</v>
      </c>
      <c r="P174" s="146"/>
      <c r="Q174" s="170">
        <v>45593</v>
      </c>
      <c r="R174" s="171" t="s">
        <v>6643</v>
      </c>
      <c r="S174" s="172"/>
    </row>
    <row r="175" spans="1:19" ht="42.75">
      <c r="A175" s="164" t="s">
        <v>774</v>
      </c>
      <c r="B175" s="165" t="s">
        <v>848</v>
      </c>
      <c r="C175" s="165" t="s">
        <v>3607</v>
      </c>
      <c r="D175" s="164">
        <v>2447</v>
      </c>
      <c r="E175" s="164">
        <v>3319</v>
      </c>
      <c r="F175" s="164" t="s">
        <v>3404</v>
      </c>
      <c r="G175" s="164">
        <v>2024</v>
      </c>
      <c r="H175" s="175">
        <v>45580</v>
      </c>
      <c r="I175" s="175">
        <v>45580</v>
      </c>
      <c r="J175" s="168" t="s">
        <v>6788</v>
      </c>
      <c r="K175" s="174">
        <v>45581</v>
      </c>
      <c r="L175" s="129" t="s">
        <v>3128</v>
      </c>
      <c r="M175" s="129" t="s">
        <v>4</v>
      </c>
      <c r="N175" s="129" t="s">
        <v>50</v>
      </c>
      <c r="O175" s="129" t="s">
        <v>3406</v>
      </c>
      <c r="P175" s="146"/>
      <c r="Q175" s="170">
        <v>45582</v>
      </c>
      <c r="R175" s="171" t="s">
        <v>6643</v>
      </c>
      <c r="S175" s="172"/>
    </row>
    <row r="176" spans="1:19" ht="42.75">
      <c r="A176" s="164" t="s">
        <v>774</v>
      </c>
      <c r="B176" s="165" t="s">
        <v>3622</v>
      </c>
      <c r="C176" s="165" t="s">
        <v>1881</v>
      </c>
      <c r="D176" s="164">
        <v>2074</v>
      </c>
      <c r="E176" s="164">
        <v>2067</v>
      </c>
      <c r="F176" s="164" t="s">
        <v>3404</v>
      </c>
      <c r="G176" s="164">
        <v>2024</v>
      </c>
      <c r="H176" s="166">
        <v>45370</v>
      </c>
      <c r="I176" s="166">
        <v>45372</v>
      </c>
      <c r="J176" s="168" t="s">
        <v>6789</v>
      </c>
      <c r="K176" s="182">
        <v>45377</v>
      </c>
      <c r="L176" s="129" t="s">
        <v>3470</v>
      </c>
      <c r="M176" s="129" t="s">
        <v>4</v>
      </c>
      <c r="N176" s="129" t="s">
        <v>50</v>
      </c>
      <c r="O176" s="129" t="s">
        <v>3406</v>
      </c>
      <c r="P176" s="146"/>
      <c r="Q176" s="170"/>
      <c r="R176" s="171"/>
      <c r="S176" s="172"/>
    </row>
    <row r="177" spans="1:19" ht="42.75">
      <c r="A177" s="164" t="s">
        <v>774</v>
      </c>
      <c r="B177" s="165" t="s">
        <v>3622</v>
      </c>
      <c r="C177" s="165" t="s">
        <v>3624</v>
      </c>
      <c r="D177" s="164">
        <v>2046</v>
      </c>
      <c r="E177" s="164">
        <v>2211</v>
      </c>
      <c r="F177" s="164" t="s">
        <v>3404</v>
      </c>
      <c r="G177" s="164">
        <v>2024</v>
      </c>
      <c r="H177" s="184" t="s">
        <v>3625</v>
      </c>
      <c r="I177" s="184" t="s">
        <v>3644</v>
      </c>
      <c r="J177" s="168" t="s">
        <v>6790</v>
      </c>
      <c r="K177" s="174">
        <v>45463</v>
      </c>
      <c r="L177" s="129" t="s">
        <v>3689</v>
      </c>
      <c r="M177" s="129" t="s">
        <v>4</v>
      </c>
      <c r="N177" s="129" t="s">
        <v>50</v>
      </c>
      <c r="O177" s="129" t="s">
        <v>3406</v>
      </c>
      <c r="P177" s="146"/>
      <c r="Q177" s="170">
        <v>45464</v>
      </c>
      <c r="R177" s="171"/>
      <c r="S177" s="172"/>
    </row>
    <row r="178" spans="1:19" ht="42.75">
      <c r="A178" s="164" t="s">
        <v>774</v>
      </c>
      <c r="B178" s="165" t="s">
        <v>3622</v>
      </c>
      <c r="C178" s="165" t="s">
        <v>873</v>
      </c>
      <c r="D178" s="164">
        <v>2755</v>
      </c>
      <c r="E178" s="164">
        <v>3320</v>
      </c>
      <c r="F178" s="164" t="s">
        <v>3404</v>
      </c>
      <c r="G178" s="164">
        <v>2024</v>
      </c>
      <c r="H178" s="166">
        <v>45350</v>
      </c>
      <c r="I178" s="186">
        <v>45355</v>
      </c>
      <c r="J178" s="168" t="s">
        <v>6791</v>
      </c>
      <c r="K178" s="187">
        <v>45357</v>
      </c>
      <c r="L178" s="129" t="s">
        <v>3416</v>
      </c>
      <c r="M178" s="129" t="s">
        <v>4</v>
      </c>
      <c r="N178" s="129" t="s">
        <v>50</v>
      </c>
      <c r="O178" s="129" t="s">
        <v>3406</v>
      </c>
      <c r="P178" s="146"/>
      <c r="Q178" s="170"/>
      <c r="R178" s="171"/>
      <c r="S178" s="172"/>
    </row>
    <row r="179" spans="1:19" ht="42.75">
      <c r="A179" s="164" t="s">
        <v>774</v>
      </c>
      <c r="B179" s="165" t="s">
        <v>3622</v>
      </c>
      <c r="C179" s="165" t="s">
        <v>3628</v>
      </c>
      <c r="D179" s="164">
        <v>8137</v>
      </c>
      <c r="E179" s="164">
        <v>9775</v>
      </c>
      <c r="F179" s="164" t="s">
        <v>3404</v>
      </c>
      <c r="G179" s="164">
        <v>2024</v>
      </c>
      <c r="H179" s="184" t="s">
        <v>3629</v>
      </c>
      <c r="I179" s="184" t="s">
        <v>6792</v>
      </c>
      <c r="J179" s="168" t="s">
        <v>6793</v>
      </c>
      <c r="K179" s="174">
        <v>45462</v>
      </c>
      <c r="L179" s="129" t="s">
        <v>3689</v>
      </c>
      <c r="M179" s="129" t="s">
        <v>4</v>
      </c>
      <c r="N179" s="129" t="s">
        <v>50</v>
      </c>
      <c r="O179" s="129" t="s">
        <v>3406</v>
      </c>
      <c r="P179" s="146"/>
      <c r="Q179" s="170">
        <v>45462</v>
      </c>
      <c r="R179" s="171"/>
      <c r="S179" s="172"/>
    </row>
    <row r="180" spans="1:19" ht="42.75">
      <c r="A180" s="164" t="s">
        <v>774</v>
      </c>
      <c r="B180" s="165" t="s">
        <v>3622</v>
      </c>
      <c r="C180" s="176" t="s">
        <v>3630</v>
      </c>
      <c r="D180" s="164">
        <v>5472</v>
      </c>
      <c r="E180" s="164">
        <v>7083</v>
      </c>
      <c r="F180" s="164" t="s">
        <v>3955</v>
      </c>
      <c r="G180" s="164"/>
      <c r="H180" s="167"/>
      <c r="I180" s="167"/>
      <c r="J180" s="167"/>
      <c r="K180" s="169"/>
      <c r="L180" s="129"/>
      <c r="M180" s="129"/>
      <c r="N180" s="129"/>
      <c r="O180" s="129"/>
      <c r="P180" s="146"/>
      <c r="Q180" s="170"/>
      <c r="R180" s="171"/>
      <c r="S180" s="172"/>
    </row>
    <row r="181" spans="1:19" ht="42.75">
      <c r="A181" s="164" t="s">
        <v>774</v>
      </c>
      <c r="B181" s="165" t="s">
        <v>3622</v>
      </c>
      <c r="C181" s="176" t="s">
        <v>3634</v>
      </c>
      <c r="D181" s="164">
        <v>9583</v>
      </c>
      <c r="E181" s="164">
        <v>11581</v>
      </c>
      <c r="F181" s="164" t="s">
        <v>3955</v>
      </c>
      <c r="G181" s="164"/>
      <c r="H181" s="167"/>
      <c r="I181" s="167"/>
      <c r="J181" s="167"/>
      <c r="K181" s="169"/>
      <c r="L181" s="129"/>
      <c r="M181" s="129"/>
      <c r="N181" s="129"/>
      <c r="O181" s="129"/>
      <c r="P181" s="146"/>
      <c r="Q181" s="170"/>
      <c r="R181" s="171"/>
      <c r="S181" s="172"/>
    </row>
    <row r="182" spans="1:19" ht="42.75">
      <c r="A182" s="164" t="s">
        <v>774</v>
      </c>
      <c r="B182" s="165" t="s">
        <v>3622</v>
      </c>
      <c r="C182" s="176" t="s">
        <v>3636</v>
      </c>
      <c r="D182" s="164">
        <v>1811</v>
      </c>
      <c r="E182" s="164">
        <v>2031</v>
      </c>
      <c r="F182" s="164" t="s">
        <v>3955</v>
      </c>
      <c r="G182" s="164">
        <v>2025</v>
      </c>
      <c r="H182" s="167"/>
      <c r="I182" s="167"/>
      <c r="J182" s="167"/>
      <c r="K182" s="169"/>
      <c r="L182" s="129" t="s">
        <v>3424</v>
      </c>
      <c r="M182" s="129"/>
      <c r="N182" s="129"/>
      <c r="O182" s="129"/>
      <c r="P182" s="146"/>
      <c r="Q182" s="170"/>
      <c r="R182" s="171"/>
      <c r="S182" s="172"/>
    </row>
    <row r="183" spans="1:19" ht="42.75">
      <c r="A183" s="164" t="s">
        <v>774</v>
      </c>
      <c r="B183" s="165" t="s">
        <v>3622</v>
      </c>
      <c r="C183" s="176" t="s">
        <v>3638</v>
      </c>
      <c r="D183" s="164">
        <v>1784</v>
      </c>
      <c r="E183" s="164">
        <v>1776</v>
      </c>
      <c r="F183" s="164" t="s">
        <v>3955</v>
      </c>
      <c r="G183" s="164"/>
      <c r="H183" s="167"/>
      <c r="I183" s="167"/>
      <c r="J183" s="167"/>
      <c r="K183" s="169"/>
      <c r="L183" s="129"/>
      <c r="M183" s="129"/>
      <c r="N183" s="129"/>
      <c r="O183" s="129"/>
      <c r="P183" s="146"/>
      <c r="Q183" s="170"/>
      <c r="R183" s="171"/>
      <c r="S183" s="172"/>
    </row>
    <row r="184" spans="1:19" ht="42.75">
      <c r="A184" s="164" t="s">
        <v>774</v>
      </c>
      <c r="B184" s="165" t="s">
        <v>3622</v>
      </c>
      <c r="C184" s="165" t="s">
        <v>3641</v>
      </c>
      <c r="D184" s="164">
        <v>2570</v>
      </c>
      <c r="E184" s="164">
        <v>2277</v>
      </c>
      <c r="F184" s="164" t="s">
        <v>3404</v>
      </c>
      <c r="G184" s="164">
        <v>2024</v>
      </c>
      <c r="H184" s="166">
        <v>45349</v>
      </c>
      <c r="I184" s="186">
        <v>45355</v>
      </c>
      <c r="J184" s="168" t="s">
        <v>6794</v>
      </c>
      <c r="K184" s="187">
        <v>45356</v>
      </c>
      <c r="L184" s="129"/>
      <c r="M184" s="129" t="s">
        <v>4</v>
      </c>
      <c r="N184" s="129" t="s">
        <v>50</v>
      </c>
      <c r="O184" s="129" t="s">
        <v>3406</v>
      </c>
      <c r="P184" s="146"/>
      <c r="Q184" s="170"/>
      <c r="R184" s="171"/>
      <c r="S184" s="172"/>
    </row>
    <row r="185" spans="1:19" ht="42.75">
      <c r="A185" s="164" t="s">
        <v>774</v>
      </c>
      <c r="B185" s="165" t="s">
        <v>3622</v>
      </c>
      <c r="C185" s="165" t="s">
        <v>3645</v>
      </c>
      <c r="D185" s="164">
        <v>723</v>
      </c>
      <c r="E185" s="164">
        <v>725</v>
      </c>
      <c r="F185" s="164" t="s">
        <v>3404</v>
      </c>
      <c r="G185" s="164">
        <v>2024</v>
      </c>
      <c r="H185" s="166">
        <v>45345</v>
      </c>
      <c r="I185" s="166">
        <v>45348</v>
      </c>
      <c r="J185" s="168" t="s">
        <v>6795</v>
      </c>
      <c r="K185" s="182">
        <v>45349</v>
      </c>
      <c r="L185" s="129"/>
      <c r="M185" s="129" t="s">
        <v>4</v>
      </c>
      <c r="N185" s="129" t="s">
        <v>50</v>
      </c>
      <c r="O185" s="129" t="s">
        <v>3406</v>
      </c>
      <c r="P185" s="146"/>
      <c r="Q185" s="170"/>
      <c r="R185" s="171"/>
      <c r="S185" s="172"/>
    </row>
    <row r="186" spans="1:19" ht="42.75">
      <c r="A186" s="164" t="s">
        <v>774</v>
      </c>
      <c r="B186" s="165" t="s">
        <v>3622</v>
      </c>
      <c r="C186" s="165" t="s">
        <v>1056</v>
      </c>
      <c r="D186" s="164">
        <v>799</v>
      </c>
      <c r="E186" s="164">
        <v>736</v>
      </c>
      <c r="F186" s="164" t="s">
        <v>3404</v>
      </c>
      <c r="G186" s="164">
        <v>2024</v>
      </c>
      <c r="H186" s="184" t="s">
        <v>3648</v>
      </c>
      <c r="I186" s="184" t="s">
        <v>6768</v>
      </c>
      <c r="J186" s="168" t="s">
        <v>6796</v>
      </c>
      <c r="K186" s="174">
        <v>45488</v>
      </c>
      <c r="L186" s="129" t="s">
        <v>3125</v>
      </c>
      <c r="M186" s="129" t="s">
        <v>4</v>
      </c>
      <c r="N186" s="129" t="s">
        <v>50</v>
      </c>
      <c r="O186" s="129" t="s">
        <v>3406</v>
      </c>
      <c r="P186" s="146"/>
      <c r="Q186" s="170">
        <v>45489</v>
      </c>
      <c r="R186" s="171"/>
      <c r="S186" s="172"/>
    </row>
    <row r="187" spans="1:19" ht="42.75">
      <c r="A187" s="164" t="s">
        <v>774</v>
      </c>
      <c r="B187" s="165" t="s">
        <v>3622</v>
      </c>
      <c r="C187" s="185" t="s">
        <v>3649</v>
      </c>
      <c r="D187" s="164">
        <v>4315</v>
      </c>
      <c r="E187" s="164">
        <v>4287</v>
      </c>
      <c r="F187" s="164" t="s">
        <v>3404</v>
      </c>
      <c r="G187" s="164">
        <v>2024</v>
      </c>
      <c r="H187" s="166">
        <v>45378</v>
      </c>
      <c r="I187" s="186">
        <v>45383</v>
      </c>
      <c r="J187" s="168" t="s">
        <v>6797</v>
      </c>
      <c r="K187" s="180" t="s">
        <v>3652</v>
      </c>
      <c r="L187" s="129" t="s">
        <v>3470</v>
      </c>
      <c r="M187" s="129" t="s">
        <v>4</v>
      </c>
      <c r="N187" s="129"/>
      <c r="O187" s="129" t="s">
        <v>3406</v>
      </c>
      <c r="P187" s="146"/>
      <c r="Q187" s="170"/>
      <c r="R187" s="171"/>
      <c r="S187" s="172"/>
    </row>
    <row r="188" spans="1:19" ht="42.75">
      <c r="A188" s="164" t="s">
        <v>774</v>
      </c>
      <c r="B188" s="165" t="s">
        <v>3622</v>
      </c>
      <c r="C188" s="185" t="s">
        <v>3651</v>
      </c>
      <c r="D188" s="164">
        <v>1816</v>
      </c>
      <c r="E188" s="164">
        <v>1822</v>
      </c>
      <c r="F188" s="164" t="s">
        <v>3404</v>
      </c>
      <c r="G188" s="164">
        <v>2024</v>
      </c>
      <c r="H188" s="166">
        <v>45378</v>
      </c>
      <c r="I188" s="186">
        <v>45383</v>
      </c>
      <c r="J188" s="168" t="s">
        <v>6798</v>
      </c>
      <c r="K188" s="187">
        <v>45384</v>
      </c>
      <c r="L188" s="129" t="s">
        <v>3470</v>
      </c>
      <c r="M188" s="129" t="s">
        <v>4</v>
      </c>
      <c r="N188" s="129"/>
      <c r="O188" s="129" t="s">
        <v>3406</v>
      </c>
      <c r="P188" s="146"/>
      <c r="Q188" s="170"/>
      <c r="R188" s="171"/>
      <c r="S188" s="172"/>
    </row>
    <row r="189" spans="1:19" ht="42.75">
      <c r="A189" s="164" t="s">
        <v>774</v>
      </c>
      <c r="B189" s="165" t="s">
        <v>3622</v>
      </c>
      <c r="C189" s="185" t="s">
        <v>858</v>
      </c>
      <c r="D189" s="164">
        <v>6274</v>
      </c>
      <c r="E189" s="164">
        <v>6718</v>
      </c>
      <c r="F189" s="164" t="s">
        <v>3404</v>
      </c>
      <c r="G189" s="164">
        <v>2024</v>
      </c>
      <c r="H189" s="186">
        <v>45385</v>
      </c>
      <c r="I189" s="186">
        <v>45386</v>
      </c>
      <c r="J189" s="168" t="s">
        <v>6799</v>
      </c>
      <c r="K189" s="190" t="s">
        <v>3539</v>
      </c>
      <c r="L189" s="129" t="s">
        <v>3470</v>
      </c>
      <c r="M189" s="129" t="s">
        <v>4</v>
      </c>
      <c r="N189" s="129" t="s">
        <v>50</v>
      </c>
      <c r="O189" s="129" t="s">
        <v>3406</v>
      </c>
      <c r="P189" s="146"/>
      <c r="Q189" s="170"/>
      <c r="R189" s="171"/>
      <c r="S189" s="172"/>
    </row>
    <row r="190" spans="1:19" ht="42.75">
      <c r="A190" s="164" t="s">
        <v>774</v>
      </c>
      <c r="B190" s="165" t="s">
        <v>3622</v>
      </c>
      <c r="C190" s="165" t="s">
        <v>3653</v>
      </c>
      <c r="D190" s="164">
        <v>2256</v>
      </c>
      <c r="E190" s="164">
        <v>2766</v>
      </c>
      <c r="F190" s="164" t="s">
        <v>3404</v>
      </c>
      <c r="G190" s="164">
        <v>2024</v>
      </c>
      <c r="H190" s="175">
        <v>45602</v>
      </c>
      <c r="I190" s="175">
        <v>45607</v>
      </c>
      <c r="J190" s="168" t="s">
        <v>6800</v>
      </c>
      <c r="K190" s="174">
        <v>45612</v>
      </c>
      <c r="L190" s="129" t="s">
        <v>3129</v>
      </c>
      <c r="M190" s="129" t="s">
        <v>4</v>
      </c>
      <c r="N190" s="129" t="s">
        <v>50</v>
      </c>
      <c r="O190" s="129" t="s">
        <v>3406</v>
      </c>
      <c r="P190" s="146"/>
      <c r="Q190" s="170">
        <v>45614</v>
      </c>
      <c r="R190" s="171" t="s">
        <v>6643</v>
      </c>
      <c r="S190" s="172"/>
    </row>
    <row r="191" spans="1:19" ht="42.75">
      <c r="A191" s="164" t="s">
        <v>774</v>
      </c>
      <c r="B191" s="165" t="s">
        <v>3622</v>
      </c>
      <c r="C191" s="165" t="s">
        <v>3626</v>
      </c>
      <c r="D191" s="164">
        <v>4170</v>
      </c>
      <c r="E191" s="164">
        <v>3844</v>
      </c>
      <c r="F191" s="164" t="s">
        <v>3404</v>
      </c>
      <c r="G191" s="164">
        <v>2024</v>
      </c>
      <c r="H191" s="184" t="s">
        <v>3627</v>
      </c>
      <c r="I191" s="184" t="s">
        <v>6759</v>
      </c>
      <c r="J191" s="168" t="s">
        <v>6801</v>
      </c>
      <c r="K191" s="174">
        <v>45447</v>
      </c>
      <c r="L191" s="129" t="s">
        <v>3689</v>
      </c>
      <c r="M191" s="129" t="s">
        <v>4</v>
      </c>
      <c r="N191" s="129" t="s">
        <v>50</v>
      </c>
      <c r="O191" s="129" t="s">
        <v>3406</v>
      </c>
      <c r="P191" s="146"/>
      <c r="Q191" s="170"/>
      <c r="R191" s="171"/>
      <c r="S191" s="172"/>
    </row>
    <row r="192" spans="1:19" ht="42.75">
      <c r="A192" s="164" t="s">
        <v>774</v>
      </c>
      <c r="B192" s="165" t="s">
        <v>3622</v>
      </c>
      <c r="C192" s="165" t="s">
        <v>3654</v>
      </c>
      <c r="D192" s="164">
        <v>1907</v>
      </c>
      <c r="E192" s="164">
        <v>2181</v>
      </c>
      <c r="F192" s="164" t="s">
        <v>3404</v>
      </c>
      <c r="G192" s="164">
        <v>2024</v>
      </c>
      <c r="H192" s="184" t="s">
        <v>3655</v>
      </c>
      <c r="I192" s="184" t="s">
        <v>3892</v>
      </c>
      <c r="J192" s="168" t="s">
        <v>6802</v>
      </c>
      <c r="K192" s="174">
        <v>45447</v>
      </c>
      <c r="L192" s="129" t="s">
        <v>3689</v>
      </c>
      <c r="M192" s="129" t="s">
        <v>4</v>
      </c>
      <c r="N192" s="129" t="s">
        <v>57</v>
      </c>
      <c r="O192" s="129" t="s">
        <v>3406</v>
      </c>
      <c r="P192" s="146"/>
      <c r="Q192" s="130">
        <v>45447</v>
      </c>
      <c r="R192" s="171"/>
      <c r="S192" s="172"/>
    </row>
    <row r="193" spans="1:19" ht="42.75">
      <c r="A193" s="164" t="s">
        <v>774</v>
      </c>
      <c r="B193" s="165" t="s">
        <v>3622</v>
      </c>
      <c r="C193" s="176" t="s">
        <v>3657</v>
      </c>
      <c r="D193" s="164">
        <v>818</v>
      </c>
      <c r="E193" s="164">
        <v>914</v>
      </c>
      <c r="F193" s="164" t="s">
        <v>3955</v>
      </c>
      <c r="G193" s="164"/>
      <c r="H193" s="167"/>
      <c r="I193" s="167"/>
      <c r="J193" s="167"/>
      <c r="K193" s="169"/>
      <c r="L193" s="129"/>
      <c r="M193" s="129"/>
      <c r="N193" s="129"/>
      <c r="O193" s="129"/>
      <c r="P193" s="146"/>
      <c r="Q193" s="170"/>
      <c r="R193" s="171"/>
      <c r="S193" s="172"/>
    </row>
    <row r="194" spans="1:19" ht="42.75">
      <c r="A194" s="164" t="s">
        <v>774</v>
      </c>
      <c r="B194" s="165" t="s">
        <v>3622</v>
      </c>
      <c r="C194" s="183" t="s">
        <v>3659</v>
      </c>
      <c r="D194" s="164">
        <v>10964</v>
      </c>
      <c r="E194" s="164">
        <v>9227</v>
      </c>
      <c r="F194" s="164" t="s">
        <v>3404</v>
      </c>
      <c r="G194" s="164">
        <v>2024</v>
      </c>
      <c r="H194" s="184" t="s">
        <v>3660</v>
      </c>
      <c r="I194" s="184" t="s">
        <v>6762</v>
      </c>
      <c r="J194" s="168" t="s">
        <v>6803</v>
      </c>
      <c r="K194" s="180" t="s">
        <v>3751</v>
      </c>
      <c r="L194" s="129" t="s">
        <v>3532</v>
      </c>
      <c r="M194" s="129" t="s">
        <v>4</v>
      </c>
      <c r="N194" s="129" t="s">
        <v>50</v>
      </c>
      <c r="O194" s="129" t="s">
        <v>3406</v>
      </c>
      <c r="P194" s="146"/>
      <c r="Q194" s="170"/>
      <c r="R194" s="171"/>
      <c r="S194" s="172"/>
    </row>
    <row r="195" spans="1:19" ht="42.75">
      <c r="A195" s="164" t="s">
        <v>774</v>
      </c>
      <c r="B195" s="165" t="s">
        <v>3622</v>
      </c>
      <c r="C195" s="165" t="s">
        <v>3661</v>
      </c>
      <c r="D195" s="164">
        <v>2971</v>
      </c>
      <c r="E195" s="164">
        <v>2852</v>
      </c>
      <c r="F195" s="164" t="s">
        <v>3404</v>
      </c>
      <c r="G195" s="164">
        <v>2024</v>
      </c>
      <c r="H195" s="184" t="s">
        <v>3662</v>
      </c>
      <c r="I195" s="184" t="s">
        <v>6774</v>
      </c>
      <c r="J195" s="168" t="s">
        <v>6804</v>
      </c>
      <c r="K195" s="174">
        <v>45574</v>
      </c>
      <c r="L195" s="129" t="s">
        <v>3128</v>
      </c>
      <c r="M195" s="129" t="s">
        <v>4</v>
      </c>
      <c r="N195" s="129" t="s">
        <v>50</v>
      </c>
      <c r="O195" s="129" t="s">
        <v>3406</v>
      </c>
      <c r="P195" s="146"/>
      <c r="Q195" s="189">
        <v>45575</v>
      </c>
      <c r="R195" s="115" t="s">
        <v>6643</v>
      </c>
      <c r="S195" s="163"/>
    </row>
    <row r="196" spans="1:19" ht="42.75">
      <c r="A196" s="164" t="s">
        <v>774</v>
      </c>
      <c r="B196" s="165" t="s">
        <v>3622</v>
      </c>
      <c r="C196" s="183" t="s">
        <v>3663</v>
      </c>
      <c r="D196" s="164">
        <v>10106</v>
      </c>
      <c r="E196" s="164">
        <v>12057</v>
      </c>
      <c r="F196" s="164" t="s">
        <v>3404</v>
      </c>
      <c r="G196" s="164">
        <v>2024</v>
      </c>
      <c r="H196" s="188" t="s">
        <v>3664</v>
      </c>
      <c r="I196" s="188" t="s">
        <v>6770</v>
      </c>
      <c r="J196" s="168" t="s">
        <v>6805</v>
      </c>
      <c r="K196" s="180" t="s">
        <v>3751</v>
      </c>
      <c r="L196" s="129" t="s">
        <v>3532</v>
      </c>
      <c r="M196" s="129" t="s">
        <v>4</v>
      </c>
      <c r="N196" s="129" t="s">
        <v>57</v>
      </c>
      <c r="O196" s="129" t="s">
        <v>3406</v>
      </c>
      <c r="P196" s="146"/>
      <c r="Q196" s="170"/>
      <c r="R196" s="171"/>
      <c r="S196" s="172"/>
    </row>
    <row r="197" spans="1:19" ht="42.75">
      <c r="A197" s="164" t="s">
        <v>774</v>
      </c>
      <c r="B197" s="165" t="s">
        <v>3622</v>
      </c>
      <c r="C197" s="165" t="s">
        <v>1332</v>
      </c>
      <c r="D197" s="164">
        <v>5472</v>
      </c>
      <c r="E197" s="164">
        <v>6388</v>
      </c>
      <c r="F197" s="164" t="s">
        <v>3404</v>
      </c>
      <c r="G197" s="164">
        <v>2024</v>
      </c>
      <c r="H197" s="184" t="s">
        <v>3612</v>
      </c>
      <c r="I197" s="184" t="s">
        <v>6777</v>
      </c>
      <c r="J197" s="168" t="s">
        <v>6806</v>
      </c>
      <c r="K197" s="174">
        <v>45565</v>
      </c>
      <c r="L197" s="129" t="s">
        <v>3128</v>
      </c>
      <c r="M197" s="129" t="s">
        <v>4</v>
      </c>
      <c r="N197" s="129" t="s">
        <v>50</v>
      </c>
      <c r="O197" s="129" t="s">
        <v>3406</v>
      </c>
      <c r="P197" s="146"/>
      <c r="Q197" s="189">
        <v>45566</v>
      </c>
      <c r="R197" s="115" t="s">
        <v>6643</v>
      </c>
      <c r="S197" s="163"/>
    </row>
    <row r="198" spans="1:19" ht="42.75">
      <c r="A198" s="164" t="s">
        <v>774</v>
      </c>
      <c r="B198" s="165" t="s">
        <v>3622</v>
      </c>
      <c r="C198" s="183" t="s">
        <v>3632</v>
      </c>
      <c r="D198" s="164">
        <v>2536</v>
      </c>
      <c r="E198" s="164">
        <v>2543</v>
      </c>
      <c r="F198" s="164" t="s">
        <v>3404</v>
      </c>
      <c r="G198" s="164">
        <v>2024</v>
      </c>
      <c r="H198" s="184" t="s">
        <v>3633</v>
      </c>
      <c r="I198" s="184" t="s">
        <v>6807</v>
      </c>
      <c r="J198" s="168" t="s">
        <v>6808</v>
      </c>
      <c r="K198" s="180" t="s">
        <v>6809</v>
      </c>
      <c r="L198" s="129" t="s">
        <v>3532</v>
      </c>
      <c r="M198" s="129" t="s">
        <v>4</v>
      </c>
      <c r="N198" s="129" t="s">
        <v>50</v>
      </c>
      <c r="O198" s="129" t="s">
        <v>3406</v>
      </c>
      <c r="P198" s="146"/>
      <c r="Q198" s="170"/>
      <c r="R198" s="171"/>
      <c r="S198" s="172"/>
    </row>
    <row r="199" spans="1:19" ht="42.75">
      <c r="A199" s="164" t="s">
        <v>774</v>
      </c>
      <c r="B199" s="165" t="s">
        <v>3622</v>
      </c>
      <c r="C199" s="165" t="s">
        <v>3640</v>
      </c>
      <c r="D199" s="164">
        <v>2219</v>
      </c>
      <c r="E199" s="164">
        <v>2322</v>
      </c>
      <c r="F199" s="164" t="s">
        <v>3404</v>
      </c>
      <c r="G199" s="164">
        <v>2024</v>
      </c>
      <c r="H199" s="166">
        <v>45370</v>
      </c>
      <c r="I199" s="166">
        <v>45372</v>
      </c>
      <c r="J199" s="168" t="s">
        <v>6810</v>
      </c>
      <c r="K199" s="182">
        <v>45377</v>
      </c>
      <c r="L199" s="129"/>
      <c r="M199" s="129" t="s">
        <v>4</v>
      </c>
      <c r="N199" s="129" t="s">
        <v>57</v>
      </c>
      <c r="O199" s="129" t="s">
        <v>3406</v>
      </c>
      <c r="P199" s="146"/>
      <c r="Q199" s="170"/>
      <c r="R199" s="171"/>
      <c r="S199" s="172"/>
    </row>
    <row r="200" spans="1:19" ht="42.75">
      <c r="A200" s="164" t="s">
        <v>774</v>
      </c>
      <c r="B200" s="165" t="s">
        <v>3622</v>
      </c>
      <c r="C200" s="165" t="s">
        <v>3643</v>
      </c>
      <c r="D200" s="164">
        <v>2483</v>
      </c>
      <c r="E200" s="164">
        <v>2670</v>
      </c>
      <c r="F200" s="164" t="s">
        <v>3404</v>
      </c>
      <c r="G200" s="164">
        <v>2024</v>
      </c>
      <c r="H200" s="184" t="s">
        <v>3644</v>
      </c>
      <c r="I200" s="184" t="s">
        <v>3644</v>
      </c>
      <c r="J200" s="168" t="s">
        <v>6811</v>
      </c>
      <c r="K200" s="174">
        <v>45463</v>
      </c>
      <c r="L200" s="129" t="s">
        <v>3689</v>
      </c>
      <c r="M200" s="129" t="s">
        <v>4</v>
      </c>
      <c r="N200" s="129" t="s">
        <v>50</v>
      </c>
      <c r="O200" s="129" t="s">
        <v>3406</v>
      </c>
      <c r="P200" s="146"/>
      <c r="Q200" s="170">
        <v>45464</v>
      </c>
      <c r="R200" s="171"/>
      <c r="S200" s="172"/>
    </row>
    <row r="201" spans="1:19" ht="42.75">
      <c r="A201" s="164" t="s">
        <v>774</v>
      </c>
      <c r="B201" s="165" t="s">
        <v>926</v>
      </c>
      <c r="C201" s="165" t="s">
        <v>3668</v>
      </c>
      <c r="D201" s="164">
        <v>4774</v>
      </c>
      <c r="E201" s="164">
        <v>5053</v>
      </c>
      <c r="F201" s="164" t="s">
        <v>3404</v>
      </c>
      <c r="G201" s="164">
        <v>2024</v>
      </c>
      <c r="H201" s="184" t="s">
        <v>3669</v>
      </c>
      <c r="I201" s="184" t="s">
        <v>3627</v>
      </c>
      <c r="J201" s="191" t="s">
        <v>6812</v>
      </c>
      <c r="K201" s="180" t="s">
        <v>3892</v>
      </c>
      <c r="L201" s="129" t="s">
        <v>3689</v>
      </c>
      <c r="M201" s="129" t="s">
        <v>4</v>
      </c>
      <c r="N201" s="129" t="s">
        <v>50</v>
      </c>
      <c r="O201" s="129" t="s">
        <v>3406</v>
      </c>
      <c r="P201" s="146"/>
      <c r="Q201" s="170">
        <v>45443</v>
      </c>
      <c r="R201" s="171"/>
      <c r="S201" s="172"/>
    </row>
    <row r="202" spans="1:19" ht="42.75">
      <c r="A202" s="164" t="s">
        <v>774</v>
      </c>
      <c r="B202" s="165" t="s">
        <v>926</v>
      </c>
      <c r="C202" s="165" t="s">
        <v>3672</v>
      </c>
      <c r="D202" s="164">
        <v>488</v>
      </c>
      <c r="E202" s="164">
        <v>366</v>
      </c>
      <c r="F202" s="164" t="s">
        <v>3404</v>
      </c>
      <c r="G202" s="164">
        <v>2024</v>
      </c>
      <c r="H202" s="184" t="s">
        <v>3673</v>
      </c>
      <c r="I202" s="192" t="s">
        <v>3861</v>
      </c>
      <c r="J202" s="181" t="s">
        <v>6813</v>
      </c>
      <c r="K202" s="193">
        <v>45569</v>
      </c>
      <c r="L202" s="129" t="s">
        <v>3128</v>
      </c>
      <c r="M202" s="129" t="s">
        <v>4</v>
      </c>
      <c r="N202" s="129" t="s">
        <v>50</v>
      </c>
      <c r="O202" s="129" t="s">
        <v>3406</v>
      </c>
      <c r="P202" s="146"/>
      <c r="Q202" s="189">
        <v>45569</v>
      </c>
      <c r="R202" s="115" t="s">
        <v>6643</v>
      </c>
      <c r="S202" s="163"/>
    </row>
    <row r="203" spans="1:19" ht="42.75">
      <c r="A203" s="164" t="s">
        <v>774</v>
      </c>
      <c r="B203" s="165" t="s">
        <v>926</v>
      </c>
      <c r="C203" s="165" t="s">
        <v>3674</v>
      </c>
      <c r="D203" s="164">
        <v>411</v>
      </c>
      <c r="E203" s="164">
        <v>331</v>
      </c>
      <c r="F203" s="164" t="s">
        <v>3404</v>
      </c>
      <c r="G203" s="164">
        <v>2024</v>
      </c>
      <c r="H203" s="184" t="s">
        <v>3675</v>
      </c>
      <c r="I203" s="192" t="s">
        <v>6814</v>
      </c>
      <c r="J203" s="181" t="s">
        <v>6815</v>
      </c>
      <c r="K203" s="193">
        <v>45580</v>
      </c>
      <c r="L203" s="129" t="s">
        <v>3128</v>
      </c>
      <c r="M203" s="129" t="s">
        <v>4</v>
      </c>
      <c r="N203" s="129" t="s">
        <v>57</v>
      </c>
      <c r="O203" s="129" t="s">
        <v>3406</v>
      </c>
      <c r="P203" s="146"/>
      <c r="Q203" s="170">
        <v>45580</v>
      </c>
      <c r="R203" s="171" t="s">
        <v>6643</v>
      </c>
      <c r="S203" s="172"/>
    </row>
    <row r="204" spans="1:19" ht="42.75">
      <c r="A204" s="164" t="s">
        <v>774</v>
      </c>
      <c r="B204" s="165" t="s">
        <v>926</v>
      </c>
      <c r="C204" s="165" t="s">
        <v>3676</v>
      </c>
      <c r="D204" s="164">
        <v>3135</v>
      </c>
      <c r="E204" s="164">
        <v>3651</v>
      </c>
      <c r="F204" s="164" t="s">
        <v>3404</v>
      </c>
      <c r="G204" s="164">
        <v>2024</v>
      </c>
      <c r="H204" s="166">
        <v>45349</v>
      </c>
      <c r="I204" s="194">
        <v>45349</v>
      </c>
      <c r="J204" s="181" t="s">
        <v>6816</v>
      </c>
      <c r="K204" s="195">
        <v>45350</v>
      </c>
      <c r="L204" s="129" t="s">
        <v>3416</v>
      </c>
      <c r="M204" s="129" t="s">
        <v>4</v>
      </c>
      <c r="N204" s="129" t="s">
        <v>50</v>
      </c>
      <c r="O204" s="129" t="s">
        <v>3406</v>
      </c>
      <c r="P204" s="146"/>
      <c r="Q204" s="170"/>
      <c r="R204" s="171"/>
      <c r="S204" s="172"/>
    </row>
    <row r="205" spans="1:19" ht="42.75">
      <c r="A205" s="164" t="s">
        <v>774</v>
      </c>
      <c r="B205" s="165" t="s">
        <v>926</v>
      </c>
      <c r="C205" s="165" t="s">
        <v>3677</v>
      </c>
      <c r="D205" s="164">
        <v>2822</v>
      </c>
      <c r="E205" s="164">
        <v>3247</v>
      </c>
      <c r="F205" s="164" t="s">
        <v>3955</v>
      </c>
      <c r="G205" s="164"/>
      <c r="H205" s="167"/>
      <c r="I205" s="167"/>
      <c r="J205" s="196"/>
      <c r="K205" s="169"/>
      <c r="L205" s="129"/>
      <c r="M205" s="129"/>
      <c r="N205" s="129"/>
      <c r="O205" s="129"/>
      <c r="P205" s="146"/>
      <c r="Q205" s="170"/>
      <c r="R205" s="171"/>
      <c r="S205" s="172"/>
    </row>
    <row r="206" spans="1:19" ht="42.75">
      <c r="A206" s="164" t="s">
        <v>774</v>
      </c>
      <c r="B206" s="165" t="s">
        <v>926</v>
      </c>
      <c r="C206" s="165" t="s">
        <v>3679</v>
      </c>
      <c r="D206" s="164">
        <v>1573</v>
      </c>
      <c r="E206" s="164">
        <v>1830</v>
      </c>
      <c r="F206" s="164" t="s">
        <v>3404</v>
      </c>
      <c r="G206" s="164">
        <v>2024</v>
      </c>
      <c r="H206" s="166">
        <v>45370</v>
      </c>
      <c r="I206" s="194">
        <v>45372</v>
      </c>
      <c r="J206" s="181" t="s">
        <v>6817</v>
      </c>
      <c r="K206" s="195">
        <v>45377</v>
      </c>
      <c r="L206" s="129" t="s">
        <v>3470</v>
      </c>
      <c r="M206" s="129" t="s">
        <v>4</v>
      </c>
      <c r="N206" s="129" t="s">
        <v>50</v>
      </c>
      <c r="O206" s="129" t="s">
        <v>3406</v>
      </c>
      <c r="P206" s="146"/>
      <c r="Q206" s="170"/>
      <c r="R206" s="171"/>
      <c r="S206" s="172"/>
    </row>
    <row r="207" spans="1:19" ht="42.75">
      <c r="A207" s="164" t="s">
        <v>774</v>
      </c>
      <c r="B207" s="165" t="s">
        <v>926</v>
      </c>
      <c r="C207" s="165" t="s">
        <v>3680</v>
      </c>
      <c r="D207" s="164">
        <v>291</v>
      </c>
      <c r="E207" s="164">
        <v>265</v>
      </c>
      <c r="F207" s="164" t="s">
        <v>3404</v>
      </c>
      <c r="G207" s="164">
        <v>2024</v>
      </c>
      <c r="H207" s="184" t="s">
        <v>3681</v>
      </c>
      <c r="I207" s="192" t="s">
        <v>6818</v>
      </c>
      <c r="J207" s="181" t="s">
        <v>6819</v>
      </c>
      <c r="K207" s="193">
        <v>45539</v>
      </c>
      <c r="L207" s="129" t="s">
        <v>3127</v>
      </c>
      <c r="M207" s="129" t="s">
        <v>4</v>
      </c>
      <c r="N207" s="129" t="s">
        <v>50</v>
      </c>
      <c r="O207" s="129" t="s">
        <v>3406</v>
      </c>
      <c r="P207" s="146"/>
      <c r="Q207" s="170">
        <v>45539</v>
      </c>
      <c r="R207" s="171" t="s">
        <v>6643</v>
      </c>
      <c r="S207" s="172"/>
    </row>
    <row r="208" spans="1:19" ht="42.75">
      <c r="A208" s="164" t="s">
        <v>774</v>
      </c>
      <c r="B208" s="165" t="s">
        <v>926</v>
      </c>
      <c r="C208" s="165" t="s">
        <v>3670</v>
      </c>
      <c r="D208" s="164">
        <v>608</v>
      </c>
      <c r="E208" s="164">
        <v>528</v>
      </c>
      <c r="F208" s="164" t="s">
        <v>3955</v>
      </c>
      <c r="G208" s="164"/>
      <c r="H208" s="167"/>
      <c r="I208" s="167"/>
      <c r="J208" s="196"/>
      <c r="K208" s="169"/>
      <c r="L208" s="129"/>
      <c r="M208" s="129"/>
      <c r="N208" s="129"/>
      <c r="O208" s="129"/>
      <c r="P208" s="146"/>
      <c r="Q208" s="170"/>
      <c r="R208" s="171"/>
      <c r="S208" s="172"/>
    </row>
    <row r="209" spans="1:19" ht="42.75">
      <c r="A209" s="164" t="s">
        <v>774</v>
      </c>
      <c r="B209" s="165" t="s">
        <v>926</v>
      </c>
      <c r="C209" s="165" t="s">
        <v>3684</v>
      </c>
      <c r="D209" s="164">
        <v>292</v>
      </c>
      <c r="E209" s="164">
        <v>307</v>
      </c>
      <c r="F209" s="164" t="s">
        <v>3404</v>
      </c>
      <c r="G209" s="164">
        <v>2024</v>
      </c>
      <c r="H209" s="184" t="s">
        <v>3685</v>
      </c>
      <c r="I209" s="192" t="s">
        <v>3685</v>
      </c>
      <c r="J209" s="197" t="s">
        <v>6820</v>
      </c>
      <c r="K209" s="193">
        <v>45554</v>
      </c>
      <c r="L209" s="129" t="s">
        <v>3127</v>
      </c>
      <c r="M209" s="129" t="s">
        <v>4</v>
      </c>
      <c r="N209" s="129" t="s">
        <v>50</v>
      </c>
      <c r="O209" s="129" t="s">
        <v>3406</v>
      </c>
      <c r="P209" s="146"/>
      <c r="Q209" s="170">
        <v>45555</v>
      </c>
      <c r="R209" s="171" t="s">
        <v>150</v>
      </c>
      <c r="S209" s="172"/>
    </row>
    <row r="210" spans="1:19" ht="42.75">
      <c r="A210" s="164" t="s">
        <v>774</v>
      </c>
      <c r="B210" s="165" t="s">
        <v>926</v>
      </c>
      <c r="C210" s="165" t="s">
        <v>3686</v>
      </c>
      <c r="D210" s="164">
        <v>1744</v>
      </c>
      <c r="E210" s="164">
        <v>1913</v>
      </c>
      <c r="F210" s="164" t="s">
        <v>3404</v>
      </c>
      <c r="G210" s="164">
        <v>2024</v>
      </c>
      <c r="H210" s="184" t="s">
        <v>3687</v>
      </c>
      <c r="I210" s="192" t="s">
        <v>6821</v>
      </c>
      <c r="J210" s="181" t="s">
        <v>6822</v>
      </c>
      <c r="K210" s="193">
        <v>45474</v>
      </c>
      <c r="L210" s="129" t="s">
        <v>3125</v>
      </c>
      <c r="M210" s="129" t="s">
        <v>4</v>
      </c>
      <c r="N210" s="129" t="s">
        <v>57</v>
      </c>
      <c r="O210" s="129" t="s">
        <v>3406</v>
      </c>
      <c r="P210" s="146"/>
      <c r="Q210" s="170">
        <v>45474</v>
      </c>
      <c r="R210" s="171"/>
      <c r="S210" s="172"/>
    </row>
    <row r="211" spans="1:19" ht="42.75">
      <c r="A211" s="164" t="s">
        <v>774</v>
      </c>
      <c r="B211" s="165" t="s">
        <v>926</v>
      </c>
      <c r="C211" s="185" t="s">
        <v>3691</v>
      </c>
      <c r="D211" s="164">
        <v>2990</v>
      </c>
      <c r="E211" s="164">
        <v>3082</v>
      </c>
      <c r="F211" s="164" t="s">
        <v>3404</v>
      </c>
      <c r="G211" s="164">
        <v>2024</v>
      </c>
      <c r="H211" s="166">
        <v>45378</v>
      </c>
      <c r="I211" s="198">
        <v>45384</v>
      </c>
      <c r="J211" s="181" t="s">
        <v>6823</v>
      </c>
      <c r="K211" s="199" t="s">
        <v>3652</v>
      </c>
      <c r="L211" s="129" t="s">
        <v>3470</v>
      </c>
      <c r="M211" s="129" t="s">
        <v>4</v>
      </c>
      <c r="N211" s="129" t="s">
        <v>50</v>
      </c>
      <c r="O211" s="129" t="s">
        <v>3406</v>
      </c>
      <c r="P211" s="146"/>
      <c r="Q211" s="170"/>
      <c r="R211" s="171"/>
      <c r="S211" s="172"/>
    </row>
    <row r="212" spans="1:19" ht="42.75">
      <c r="A212" s="164" t="s">
        <v>774</v>
      </c>
      <c r="B212" s="165" t="s">
        <v>926</v>
      </c>
      <c r="C212" s="165" t="s">
        <v>3692</v>
      </c>
      <c r="D212" s="164">
        <v>1416</v>
      </c>
      <c r="E212" s="164">
        <v>1363</v>
      </c>
      <c r="F212" s="164" t="s">
        <v>3404</v>
      </c>
      <c r="G212" s="164">
        <v>2024</v>
      </c>
      <c r="H212" s="175">
        <v>45604</v>
      </c>
      <c r="I212" s="175">
        <v>45607</v>
      </c>
      <c r="J212" s="168" t="s">
        <v>6824</v>
      </c>
      <c r="K212" s="174">
        <v>45612</v>
      </c>
      <c r="L212" s="129" t="s">
        <v>3129</v>
      </c>
      <c r="M212" s="129" t="s">
        <v>4</v>
      </c>
      <c r="N212" s="129" t="s">
        <v>50</v>
      </c>
      <c r="O212" s="129" t="s">
        <v>3406</v>
      </c>
      <c r="P212" s="146"/>
      <c r="Q212" s="170">
        <v>45614</v>
      </c>
      <c r="R212" s="171" t="s">
        <v>6643</v>
      </c>
      <c r="S212" s="172"/>
    </row>
    <row r="213" spans="1:19" ht="42.75">
      <c r="A213" s="164" t="s">
        <v>774</v>
      </c>
      <c r="B213" s="165" t="s">
        <v>926</v>
      </c>
      <c r="C213" s="165" t="s">
        <v>3693</v>
      </c>
      <c r="D213" s="164">
        <v>6184</v>
      </c>
      <c r="E213" s="164">
        <v>5953</v>
      </c>
      <c r="F213" s="164" t="s">
        <v>3404</v>
      </c>
      <c r="G213" s="164">
        <v>2024</v>
      </c>
      <c r="H213" s="184" t="s">
        <v>3694</v>
      </c>
      <c r="I213" s="184" t="s">
        <v>3415</v>
      </c>
      <c r="J213" s="168" t="s">
        <v>6825</v>
      </c>
      <c r="K213" s="174">
        <v>45489</v>
      </c>
      <c r="L213" s="129" t="s">
        <v>3125</v>
      </c>
      <c r="M213" s="129" t="s">
        <v>4</v>
      </c>
      <c r="N213" s="129" t="s">
        <v>50</v>
      </c>
      <c r="O213" s="129" t="s">
        <v>3406</v>
      </c>
      <c r="P213" s="146"/>
      <c r="Q213" s="170">
        <v>45490</v>
      </c>
      <c r="R213" s="171"/>
      <c r="S213" s="172"/>
    </row>
    <row r="214" spans="1:19" ht="42.75">
      <c r="A214" s="164" t="s">
        <v>774</v>
      </c>
      <c r="B214" s="165" t="s">
        <v>926</v>
      </c>
      <c r="C214" s="165" t="s">
        <v>3696</v>
      </c>
      <c r="D214" s="164">
        <v>324</v>
      </c>
      <c r="E214" s="164">
        <v>321</v>
      </c>
      <c r="F214" s="164" t="s">
        <v>3404</v>
      </c>
      <c r="G214" s="164">
        <v>2024</v>
      </c>
      <c r="H214" s="184" t="s">
        <v>3609</v>
      </c>
      <c r="I214" s="184" t="s">
        <v>3662</v>
      </c>
      <c r="J214" s="168" t="s">
        <v>6826</v>
      </c>
      <c r="K214" s="174">
        <v>45572</v>
      </c>
      <c r="L214" s="129" t="s">
        <v>3128</v>
      </c>
      <c r="M214" s="129" t="s">
        <v>4</v>
      </c>
      <c r="N214" s="129" t="s">
        <v>50</v>
      </c>
      <c r="O214" s="129" t="s">
        <v>3406</v>
      </c>
      <c r="P214" s="146"/>
      <c r="Q214" s="189">
        <v>45573</v>
      </c>
      <c r="R214" s="115" t="s">
        <v>6643</v>
      </c>
      <c r="S214" s="163"/>
    </row>
    <row r="215" spans="1:19" ht="42.75">
      <c r="A215" s="164" t="s">
        <v>774</v>
      </c>
      <c r="B215" s="165" t="s">
        <v>926</v>
      </c>
      <c r="C215" s="165" t="s">
        <v>3695</v>
      </c>
      <c r="D215" s="164">
        <v>703</v>
      </c>
      <c r="E215" s="164">
        <v>726</v>
      </c>
      <c r="F215" s="164" t="s">
        <v>3404</v>
      </c>
      <c r="G215" s="164">
        <v>2024</v>
      </c>
      <c r="H215" s="184" t="s">
        <v>3609</v>
      </c>
      <c r="I215" s="184" t="s">
        <v>3662</v>
      </c>
      <c r="J215" s="168" t="s">
        <v>6827</v>
      </c>
      <c r="K215" s="174">
        <v>45572</v>
      </c>
      <c r="L215" s="129" t="s">
        <v>3128</v>
      </c>
      <c r="M215" s="129" t="s">
        <v>4</v>
      </c>
      <c r="N215" s="129" t="s">
        <v>50</v>
      </c>
      <c r="O215" s="129" t="s">
        <v>3406</v>
      </c>
      <c r="P215" s="146"/>
      <c r="Q215" s="189">
        <v>45573</v>
      </c>
      <c r="R215" s="115" t="s">
        <v>6643</v>
      </c>
      <c r="S215" s="163"/>
    </row>
    <row r="216" spans="1:19" ht="42.75">
      <c r="A216" s="164" t="s">
        <v>774</v>
      </c>
      <c r="B216" s="165" t="s">
        <v>926</v>
      </c>
      <c r="C216" s="165" t="s">
        <v>3699</v>
      </c>
      <c r="D216" s="164">
        <v>1737</v>
      </c>
      <c r="E216" s="164">
        <v>2103</v>
      </c>
      <c r="F216" s="164" t="s">
        <v>3955</v>
      </c>
      <c r="G216" s="164"/>
      <c r="H216" s="167"/>
      <c r="I216" s="167"/>
      <c r="J216" s="167"/>
      <c r="K216" s="169"/>
      <c r="L216" s="129"/>
      <c r="M216" s="129"/>
      <c r="N216" s="129"/>
      <c r="O216" s="129"/>
      <c r="P216" s="146"/>
      <c r="Q216" s="170"/>
      <c r="R216" s="171"/>
      <c r="S216" s="172"/>
    </row>
    <row r="217" spans="1:19" ht="42.75">
      <c r="A217" s="164" t="s">
        <v>774</v>
      </c>
      <c r="B217" s="165" t="s">
        <v>926</v>
      </c>
      <c r="C217" s="183" t="s">
        <v>3701</v>
      </c>
      <c r="D217" s="164">
        <v>2705</v>
      </c>
      <c r="E217" s="164">
        <v>3105</v>
      </c>
      <c r="F217" s="164" t="s">
        <v>3404</v>
      </c>
      <c r="G217" s="164">
        <v>2024</v>
      </c>
      <c r="H217" s="188" t="s">
        <v>3664</v>
      </c>
      <c r="I217" s="188" t="s">
        <v>6770</v>
      </c>
      <c r="J217" s="168" t="s">
        <v>6828</v>
      </c>
      <c r="K217" s="180" t="s">
        <v>3751</v>
      </c>
      <c r="L217" s="129" t="s">
        <v>3532</v>
      </c>
      <c r="M217" s="129" t="s">
        <v>4</v>
      </c>
      <c r="N217" s="129" t="s">
        <v>50</v>
      </c>
      <c r="O217" s="129" t="s">
        <v>3406</v>
      </c>
      <c r="P217" s="146"/>
      <c r="Q217" s="170"/>
      <c r="R217" s="171"/>
      <c r="S217" s="172"/>
    </row>
    <row r="218" spans="1:19" ht="42.75">
      <c r="A218" s="164" t="s">
        <v>774</v>
      </c>
      <c r="B218" s="165" t="s">
        <v>926</v>
      </c>
      <c r="C218" s="185" t="s">
        <v>3702</v>
      </c>
      <c r="D218" s="164">
        <v>6012</v>
      </c>
      <c r="E218" s="164">
        <v>6646</v>
      </c>
      <c r="F218" s="164" t="s">
        <v>3404</v>
      </c>
      <c r="G218" s="164">
        <v>2024</v>
      </c>
      <c r="H218" s="186">
        <v>45384</v>
      </c>
      <c r="I218" s="186">
        <v>45387</v>
      </c>
      <c r="J218" s="168" t="s">
        <v>6829</v>
      </c>
      <c r="K218" s="190" t="s">
        <v>3539</v>
      </c>
      <c r="L218" s="129" t="s">
        <v>3470</v>
      </c>
      <c r="M218" s="129" t="s">
        <v>4</v>
      </c>
      <c r="N218" s="129" t="s">
        <v>57</v>
      </c>
      <c r="O218" s="129" t="s">
        <v>3406</v>
      </c>
      <c r="P218" s="146"/>
      <c r="Q218" s="170"/>
      <c r="R218" s="171"/>
      <c r="S218" s="172"/>
    </row>
    <row r="219" spans="1:19" ht="42.75">
      <c r="A219" s="164" t="s">
        <v>774</v>
      </c>
      <c r="B219" s="165" t="s">
        <v>926</v>
      </c>
      <c r="C219" s="165" t="s">
        <v>3704</v>
      </c>
      <c r="D219" s="164">
        <v>2421</v>
      </c>
      <c r="E219" s="164">
        <v>2485</v>
      </c>
      <c r="F219" s="164" t="s">
        <v>3955</v>
      </c>
      <c r="G219" s="164"/>
      <c r="H219" s="167"/>
      <c r="I219" s="167"/>
      <c r="J219" s="167"/>
      <c r="K219" s="169"/>
      <c r="L219" s="129"/>
      <c r="M219" s="129"/>
      <c r="N219" s="129"/>
      <c r="O219" s="129"/>
      <c r="P219" s="146"/>
      <c r="Q219" s="170"/>
      <c r="R219" s="171"/>
      <c r="S219" s="172"/>
    </row>
    <row r="220" spans="1:19" ht="42.75">
      <c r="A220" s="164" t="s">
        <v>774</v>
      </c>
      <c r="B220" s="165" t="s">
        <v>926</v>
      </c>
      <c r="C220" s="165" t="s">
        <v>3697</v>
      </c>
      <c r="D220" s="164">
        <v>159</v>
      </c>
      <c r="E220" s="164">
        <v>189</v>
      </c>
      <c r="F220" s="164" t="s">
        <v>3955</v>
      </c>
      <c r="G220" s="164"/>
      <c r="H220" s="167"/>
      <c r="I220" s="167"/>
      <c r="J220" s="167"/>
      <c r="K220" s="169"/>
      <c r="L220" s="129"/>
      <c r="M220" s="129"/>
      <c r="N220" s="129"/>
      <c r="O220" s="129"/>
      <c r="P220" s="146"/>
      <c r="Q220" s="170"/>
      <c r="R220" s="171"/>
      <c r="S220" s="172"/>
    </row>
    <row r="221" spans="1:19" ht="42.75">
      <c r="A221" s="164" t="s">
        <v>774</v>
      </c>
      <c r="B221" s="165" t="s">
        <v>926</v>
      </c>
      <c r="C221" s="165" t="s">
        <v>892</v>
      </c>
      <c r="D221" s="164">
        <v>1981</v>
      </c>
      <c r="E221" s="164">
        <v>2466</v>
      </c>
      <c r="F221" s="164" t="s">
        <v>3404</v>
      </c>
      <c r="G221" s="164">
        <v>2024</v>
      </c>
      <c r="H221" s="166">
        <v>45349</v>
      </c>
      <c r="I221" s="166">
        <v>45349</v>
      </c>
      <c r="J221" s="168" t="s">
        <v>6830</v>
      </c>
      <c r="K221" s="182">
        <v>45350</v>
      </c>
      <c r="L221" s="129"/>
      <c r="M221" s="129" t="s">
        <v>4</v>
      </c>
      <c r="N221" s="129" t="s">
        <v>50</v>
      </c>
      <c r="O221" s="129" t="s">
        <v>3406</v>
      </c>
      <c r="P221" s="146"/>
      <c r="Q221" s="170"/>
      <c r="R221" s="171"/>
      <c r="S221" s="172"/>
    </row>
    <row r="222" spans="1:19" ht="42.75">
      <c r="A222" s="164" t="s">
        <v>774</v>
      </c>
      <c r="B222" s="165" t="s">
        <v>926</v>
      </c>
      <c r="C222" s="183" t="s">
        <v>1760</v>
      </c>
      <c r="D222" s="164">
        <v>3931</v>
      </c>
      <c r="E222" s="164">
        <v>4214</v>
      </c>
      <c r="F222" s="164" t="s">
        <v>3404</v>
      </c>
      <c r="G222" s="164">
        <v>2024</v>
      </c>
      <c r="H222" s="188" t="s">
        <v>3706</v>
      </c>
      <c r="I222" s="184" t="s">
        <v>3606</v>
      </c>
      <c r="J222" s="168" t="s">
        <v>6831</v>
      </c>
      <c r="K222" s="180" t="s">
        <v>3894</v>
      </c>
      <c r="L222" s="129" t="s">
        <v>3532</v>
      </c>
      <c r="M222" s="129" t="s">
        <v>4</v>
      </c>
      <c r="N222" s="129" t="s">
        <v>50</v>
      </c>
      <c r="O222" s="129" t="s">
        <v>3406</v>
      </c>
      <c r="P222" s="146"/>
      <c r="Q222" s="170"/>
      <c r="R222" s="171"/>
      <c r="S222" s="172"/>
    </row>
    <row r="223" spans="1:19" ht="42.75">
      <c r="A223" s="164" t="s">
        <v>774</v>
      </c>
      <c r="B223" s="165" t="s">
        <v>926</v>
      </c>
      <c r="C223" s="165" t="s">
        <v>3719</v>
      </c>
      <c r="D223" s="164">
        <v>4159</v>
      </c>
      <c r="E223" s="164">
        <v>4555</v>
      </c>
      <c r="F223" s="164" t="s">
        <v>3955</v>
      </c>
      <c r="G223" s="164"/>
      <c r="H223" s="167"/>
      <c r="I223" s="167"/>
      <c r="J223" s="167"/>
      <c r="K223" s="169"/>
      <c r="L223" s="129"/>
      <c r="M223" s="129"/>
      <c r="N223" s="129"/>
      <c r="O223" s="129"/>
      <c r="P223" s="146"/>
      <c r="Q223" s="170"/>
      <c r="R223" s="171"/>
      <c r="S223" s="172"/>
    </row>
    <row r="224" spans="1:19" ht="42.75">
      <c r="A224" s="164" t="s">
        <v>774</v>
      </c>
      <c r="B224" s="165" t="s">
        <v>926</v>
      </c>
      <c r="C224" s="165" t="s">
        <v>3712</v>
      </c>
      <c r="D224" s="164">
        <v>3578</v>
      </c>
      <c r="E224" s="164">
        <v>4080</v>
      </c>
      <c r="F224" s="164" t="s">
        <v>3404</v>
      </c>
      <c r="G224" s="164">
        <v>2024</v>
      </c>
      <c r="H224" s="166">
        <v>45365</v>
      </c>
      <c r="I224" s="166">
        <v>45369</v>
      </c>
      <c r="J224" s="168" t="s">
        <v>6832</v>
      </c>
      <c r="K224" s="182">
        <v>45377</v>
      </c>
      <c r="L224" s="129" t="s">
        <v>3470</v>
      </c>
      <c r="M224" s="129" t="s">
        <v>4</v>
      </c>
      <c r="N224" s="129" t="s">
        <v>50</v>
      </c>
      <c r="O224" s="129" t="s">
        <v>3406</v>
      </c>
      <c r="P224" s="146"/>
      <c r="Q224" s="170"/>
      <c r="R224" s="171"/>
      <c r="S224" s="172"/>
    </row>
    <row r="225" spans="1:19" ht="42.75">
      <c r="A225" s="164" t="s">
        <v>774</v>
      </c>
      <c r="B225" s="165" t="s">
        <v>926</v>
      </c>
      <c r="C225" s="165" t="s">
        <v>3713</v>
      </c>
      <c r="D225" s="164">
        <v>249</v>
      </c>
      <c r="E225" s="164">
        <v>211</v>
      </c>
      <c r="F225" s="164" t="s">
        <v>3404</v>
      </c>
      <c r="G225" s="164">
        <v>2024</v>
      </c>
      <c r="H225" s="184" t="s">
        <v>3673</v>
      </c>
      <c r="I225" s="184" t="s">
        <v>3861</v>
      </c>
      <c r="J225" s="168" t="s">
        <v>6833</v>
      </c>
      <c r="K225" s="174">
        <v>45569</v>
      </c>
      <c r="L225" s="129" t="s">
        <v>3128</v>
      </c>
      <c r="M225" s="129" t="s">
        <v>1078</v>
      </c>
      <c r="N225" s="129" t="s">
        <v>50</v>
      </c>
      <c r="O225" s="129" t="s">
        <v>3406</v>
      </c>
      <c r="P225" s="146"/>
      <c r="Q225" s="189">
        <v>45569</v>
      </c>
      <c r="R225" s="115" t="s">
        <v>6643</v>
      </c>
      <c r="S225" s="163"/>
    </row>
    <row r="226" spans="1:19" ht="42.75">
      <c r="A226" s="164" t="s">
        <v>774</v>
      </c>
      <c r="B226" s="165" t="s">
        <v>926</v>
      </c>
      <c r="C226" s="183" t="s">
        <v>3714</v>
      </c>
      <c r="D226" s="164">
        <v>9032</v>
      </c>
      <c r="E226" s="164">
        <v>11011</v>
      </c>
      <c r="F226" s="164" t="s">
        <v>3404</v>
      </c>
      <c r="G226" s="164">
        <v>2024</v>
      </c>
      <c r="H226" s="184" t="s">
        <v>3633</v>
      </c>
      <c r="I226" s="184" t="s">
        <v>6807</v>
      </c>
      <c r="J226" s="168" t="s">
        <v>6834</v>
      </c>
      <c r="K226" s="180" t="s">
        <v>6809</v>
      </c>
      <c r="L226" s="129" t="s">
        <v>3532</v>
      </c>
      <c r="M226" s="129" t="s">
        <v>4</v>
      </c>
      <c r="N226" s="129" t="s">
        <v>57</v>
      </c>
      <c r="O226" s="129" t="s">
        <v>3406</v>
      </c>
      <c r="P226" s="146"/>
      <c r="Q226" s="170"/>
      <c r="R226" s="171"/>
      <c r="S226" s="172"/>
    </row>
    <row r="227" spans="1:19" ht="42.75">
      <c r="A227" s="164" t="s">
        <v>774</v>
      </c>
      <c r="B227" s="165" t="s">
        <v>926</v>
      </c>
      <c r="C227" s="165" t="s">
        <v>3715</v>
      </c>
      <c r="D227" s="164">
        <v>293</v>
      </c>
      <c r="E227" s="164">
        <v>272</v>
      </c>
      <c r="F227" s="164" t="s">
        <v>3955</v>
      </c>
      <c r="G227" s="164"/>
      <c r="H227" s="167"/>
      <c r="I227" s="167"/>
      <c r="J227" s="167"/>
      <c r="K227" s="169"/>
      <c r="L227" s="129"/>
      <c r="M227" s="129"/>
      <c r="N227" s="129"/>
      <c r="O227" s="129"/>
      <c r="P227" s="146"/>
      <c r="Q227" s="170"/>
      <c r="R227" s="171"/>
      <c r="S227" s="172"/>
    </row>
    <row r="228" spans="1:19" ht="42.75">
      <c r="A228" s="164" t="s">
        <v>774</v>
      </c>
      <c r="B228" s="165" t="s">
        <v>926</v>
      </c>
      <c r="C228" s="165" t="s">
        <v>3717</v>
      </c>
      <c r="D228" s="164">
        <v>4455</v>
      </c>
      <c r="E228" s="164">
        <v>5192</v>
      </c>
      <c r="F228" s="164" t="s">
        <v>3955</v>
      </c>
      <c r="G228" s="164"/>
      <c r="H228" s="167"/>
      <c r="I228" s="167"/>
      <c r="J228" s="167"/>
      <c r="K228" s="169"/>
      <c r="L228" s="129"/>
      <c r="M228" s="129"/>
      <c r="N228" s="129"/>
      <c r="O228" s="129"/>
      <c r="P228" s="146"/>
      <c r="Q228" s="170"/>
      <c r="R228" s="171"/>
      <c r="S228" s="172"/>
    </row>
    <row r="229" spans="1:19" ht="42.75">
      <c r="A229" s="164" t="s">
        <v>774</v>
      </c>
      <c r="B229" s="165" t="s">
        <v>926</v>
      </c>
      <c r="C229" s="165" t="s">
        <v>3728</v>
      </c>
      <c r="D229" s="164">
        <v>2739</v>
      </c>
      <c r="E229" s="164">
        <v>2953</v>
      </c>
      <c r="F229" s="164" t="s">
        <v>3955</v>
      </c>
      <c r="G229" s="164"/>
      <c r="H229" s="167"/>
      <c r="I229" s="167"/>
      <c r="J229" s="167"/>
      <c r="K229" s="169"/>
      <c r="L229" s="129"/>
      <c r="M229" s="129"/>
      <c r="N229" s="129"/>
      <c r="O229" s="129"/>
      <c r="P229" s="146"/>
      <c r="Q229" s="170"/>
      <c r="R229" s="171"/>
      <c r="S229" s="172"/>
    </row>
    <row r="230" spans="1:19" ht="42.75">
      <c r="A230" s="164" t="s">
        <v>774</v>
      </c>
      <c r="B230" s="165" t="s">
        <v>926</v>
      </c>
      <c r="C230" s="165" t="s">
        <v>3721</v>
      </c>
      <c r="D230" s="164">
        <v>983</v>
      </c>
      <c r="E230" s="164">
        <v>899</v>
      </c>
      <c r="F230" s="164" t="s">
        <v>3404</v>
      </c>
      <c r="G230" s="164">
        <v>2024</v>
      </c>
      <c r="H230" s="184" t="s">
        <v>3722</v>
      </c>
      <c r="I230" s="184" t="s">
        <v>6835</v>
      </c>
      <c r="J230" s="168" t="s">
        <v>6836</v>
      </c>
      <c r="K230" s="174">
        <v>45539</v>
      </c>
      <c r="L230" s="129" t="s">
        <v>3127</v>
      </c>
      <c r="M230" s="129" t="s">
        <v>4</v>
      </c>
      <c r="N230" s="129" t="s">
        <v>50</v>
      </c>
      <c r="O230" s="129" t="s">
        <v>3406</v>
      </c>
      <c r="P230" s="146"/>
      <c r="Q230" s="170">
        <v>45539</v>
      </c>
      <c r="R230" s="171" t="s">
        <v>6643</v>
      </c>
      <c r="S230" s="172"/>
    </row>
    <row r="231" spans="1:19" ht="42.75">
      <c r="A231" s="164" t="s">
        <v>774</v>
      </c>
      <c r="B231" s="165" t="s">
        <v>926</v>
      </c>
      <c r="C231" s="165" t="s">
        <v>3723</v>
      </c>
      <c r="D231" s="164">
        <v>5942</v>
      </c>
      <c r="E231" s="164">
        <v>7735</v>
      </c>
      <c r="F231" s="164" t="s">
        <v>3404</v>
      </c>
      <c r="G231" s="164">
        <v>2024</v>
      </c>
      <c r="H231" s="184" t="s">
        <v>3655</v>
      </c>
      <c r="I231" s="184" t="s">
        <v>6837</v>
      </c>
      <c r="J231" s="168" t="s">
        <v>6838</v>
      </c>
      <c r="K231" s="174">
        <v>45461</v>
      </c>
      <c r="L231" s="129" t="s">
        <v>3689</v>
      </c>
      <c r="M231" s="129" t="s">
        <v>4</v>
      </c>
      <c r="N231" s="129" t="s">
        <v>50</v>
      </c>
      <c r="O231" s="129" t="s">
        <v>3406</v>
      </c>
      <c r="P231" s="146"/>
      <c r="Q231" s="170">
        <v>45462</v>
      </c>
      <c r="R231" s="171"/>
      <c r="S231" s="172"/>
    </row>
    <row r="232" spans="1:19" ht="42.75">
      <c r="A232" s="164" t="s">
        <v>774</v>
      </c>
      <c r="B232" s="165" t="s">
        <v>926</v>
      </c>
      <c r="C232" s="165" t="s">
        <v>3724</v>
      </c>
      <c r="D232" s="164">
        <v>3904</v>
      </c>
      <c r="E232" s="164">
        <v>3784</v>
      </c>
      <c r="F232" s="164" t="s">
        <v>3404</v>
      </c>
      <c r="G232" s="164">
        <v>2024</v>
      </c>
      <c r="H232" s="175">
        <v>45581</v>
      </c>
      <c r="I232" s="175">
        <v>45584</v>
      </c>
      <c r="J232" s="200" t="s">
        <v>6839</v>
      </c>
      <c r="K232" s="174">
        <v>45593</v>
      </c>
      <c r="L232" s="129" t="s">
        <v>3129</v>
      </c>
      <c r="M232" s="129" t="s">
        <v>4</v>
      </c>
      <c r="N232" s="129" t="s">
        <v>50</v>
      </c>
      <c r="O232" s="129" t="s">
        <v>3406</v>
      </c>
      <c r="P232" s="146"/>
      <c r="Q232" s="170">
        <v>45593</v>
      </c>
      <c r="R232" s="171" t="s">
        <v>6643</v>
      </c>
      <c r="S232" s="172"/>
    </row>
    <row r="233" spans="1:19" ht="42.75">
      <c r="A233" s="164" t="s">
        <v>774</v>
      </c>
      <c r="B233" s="165" t="s">
        <v>926</v>
      </c>
      <c r="C233" s="183" t="s">
        <v>1423</v>
      </c>
      <c r="D233" s="164">
        <v>1800</v>
      </c>
      <c r="E233" s="164">
        <v>1890</v>
      </c>
      <c r="F233" s="164" t="s">
        <v>3404</v>
      </c>
      <c r="G233" s="164">
        <v>2024</v>
      </c>
      <c r="H233" s="188" t="s">
        <v>3706</v>
      </c>
      <c r="I233" s="184" t="s">
        <v>3606</v>
      </c>
      <c r="J233" s="168" t="s">
        <v>6840</v>
      </c>
      <c r="K233" s="180" t="s">
        <v>3894</v>
      </c>
      <c r="L233" s="129" t="s">
        <v>3532</v>
      </c>
      <c r="M233" s="129" t="s">
        <v>4</v>
      </c>
      <c r="N233" s="129" t="s">
        <v>57</v>
      </c>
      <c r="O233" s="129" t="s">
        <v>3406</v>
      </c>
      <c r="P233" s="146"/>
      <c r="Q233" s="170"/>
      <c r="R233" s="171"/>
      <c r="S233" s="172"/>
    </row>
    <row r="234" spans="1:19" ht="42.75">
      <c r="A234" s="164" t="s">
        <v>774</v>
      </c>
      <c r="B234" s="165" t="s">
        <v>926</v>
      </c>
      <c r="C234" s="185" t="s">
        <v>3727</v>
      </c>
      <c r="D234" s="164">
        <v>3190</v>
      </c>
      <c r="E234" s="164">
        <v>3478</v>
      </c>
      <c r="F234" s="164" t="s">
        <v>3404</v>
      </c>
      <c r="G234" s="164">
        <v>2024</v>
      </c>
      <c r="H234" s="166">
        <v>45378</v>
      </c>
      <c r="I234" s="186">
        <v>45384</v>
      </c>
      <c r="J234" s="168" t="s">
        <v>6841</v>
      </c>
      <c r="K234" s="190" t="s">
        <v>3652</v>
      </c>
      <c r="L234" s="129" t="s">
        <v>3470</v>
      </c>
      <c r="M234" s="129" t="s">
        <v>4</v>
      </c>
      <c r="N234" s="129" t="s">
        <v>57</v>
      </c>
      <c r="O234" s="129" t="s">
        <v>3406</v>
      </c>
      <c r="P234" s="146"/>
      <c r="Q234" s="170"/>
      <c r="R234" s="171"/>
      <c r="S234" s="172"/>
    </row>
    <row r="235" spans="1:19" ht="42.75">
      <c r="A235" s="164" t="s">
        <v>774</v>
      </c>
      <c r="B235" s="165" t="s">
        <v>926</v>
      </c>
      <c r="C235" s="165" t="s">
        <v>3788</v>
      </c>
      <c r="D235" s="164">
        <v>1271</v>
      </c>
      <c r="E235" s="164">
        <v>1543</v>
      </c>
      <c r="F235" s="164" t="s">
        <v>3955</v>
      </c>
      <c r="G235" s="164"/>
      <c r="H235" s="167"/>
      <c r="I235" s="167"/>
      <c r="J235" s="167"/>
      <c r="K235" s="169"/>
      <c r="L235" s="129"/>
      <c r="M235" s="129"/>
      <c r="N235" s="129"/>
      <c r="O235" s="129"/>
      <c r="P235" s="146"/>
      <c r="Q235" s="170"/>
      <c r="R235" s="171"/>
      <c r="S235" s="172"/>
    </row>
    <row r="236" spans="1:19" ht="42.75">
      <c r="A236" s="164" t="s">
        <v>774</v>
      </c>
      <c r="B236" s="165" t="s">
        <v>926</v>
      </c>
      <c r="C236" s="165" t="s">
        <v>3725</v>
      </c>
      <c r="D236" s="164">
        <v>2412</v>
      </c>
      <c r="E236" s="164">
        <v>2699</v>
      </c>
      <c r="F236" s="164" t="s">
        <v>3955</v>
      </c>
      <c r="G236" s="164"/>
      <c r="H236" s="167"/>
      <c r="I236" s="167"/>
      <c r="J236" s="167"/>
      <c r="K236" s="169"/>
      <c r="L236" s="129"/>
      <c r="M236" s="129"/>
      <c r="N236" s="129"/>
      <c r="O236" s="129"/>
      <c r="P236" s="146"/>
      <c r="Q236" s="170"/>
      <c r="R236" s="171"/>
      <c r="S236" s="172"/>
    </row>
    <row r="237" spans="1:19" ht="42.75">
      <c r="A237" s="164" t="s">
        <v>774</v>
      </c>
      <c r="B237" s="165" t="s">
        <v>926</v>
      </c>
      <c r="C237" s="165" t="s">
        <v>3730</v>
      </c>
      <c r="D237" s="164">
        <v>915</v>
      </c>
      <c r="E237" s="164">
        <v>858</v>
      </c>
      <c r="F237" s="164" t="s">
        <v>3955</v>
      </c>
      <c r="G237" s="164"/>
      <c r="H237" s="167"/>
      <c r="I237" s="167"/>
      <c r="J237" s="167"/>
      <c r="K237" s="169"/>
      <c r="L237" s="129"/>
      <c r="M237" s="129"/>
      <c r="N237" s="129"/>
      <c r="O237" s="129"/>
      <c r="P237" s="146"/>
      <c r="Q237" s="170"/>
      <c r="R237" s="171"/>
      <c r="S237" s="172"/>
    </row>
    <row r="238" spans="1:19" ht="42.75">
      <c r="A238" s="164" t="s">
        <v>774</v>
      </c>
      <c r="B238" s="165" t="s">
        <v>926</v>
      </c>
      <c r="C238" s="165" t="s">
        <v>3734</v>
      </c>
      <c r="D238" s="164">
        <v>4284</v>
      </c>
      <c r="E238" s="164">
        <v>4580</v>
      </c>
      <c r="F238" s="164" t="s">
        <v>3404</v>
      </c>
      <c r="G238" s="164">
        <v>2024</v>
      </c>
      <c r="H238" s="186">
        <v>45358</v>
      </c>
      <c r="I238" s="186">
        <v>45359</v>
      </c>
      <c r="J238" s="168" t="s">
        <v>6842</v>
      </c>
      <c r="K238" s="182">
        <v>45377</v>
      </c>
      <c r="L238" s="129" t="s">
        <v>3470</v>
      </c>
      <c r="M238" s="129" t="s">
        <v>4</v>
      </c>
      <c r="N238" s="129" t="s">
        <v>50</v>
      </c>
      <c r="O238" s="129" t="s">
        <v>3406</v>
      </c>
      <c r="P238" s="146"/>
      <c r="Q238" s="170"/>
      <c r="R238" s="171"/>
      <c r="S238" s="172"/>
    </row>
    <row r="239" spans="1:19" ht="42.75">
      <c r="A239" s="164" t="s">
        <v>774</v>
      </c>
      <c r="B239" s="165" t="s">
        <v>926</v>
      </c>
      <c r="C239" s="165" t="s">
        <v>3736</v>
      </c>
      <c r="D239" s="164">
        <v>356</v>
      </c>
      <c r="E239" s="164">
        <v>372</v>
      </c>
      <c r="F239" s="164" t="s">
        <v>3404</v>
      </c>
      <c r="G239" s="164">
        <v>2024</v>
      </c>
      <c r="H239" s="184" t="s">
        <v>3737</v>
      </c>
      <c r="I239" s="184" t="s">
        <v>6781</v>
      </c>
      <c r="J239" s="168" t="s">
        <v>6843</v>
      </c>
      <c r="K239" s="174">
        <v>45552</v>
      </c>
      <c r="L239" s="129" t="s">
        <v>3127</v>
      </c>
      <c r="M239" s="129" t="s">
        <v>4</v>
      </c>
      <c r="N239" s="129" t="s">
        <v>57</v>
      </c>
      <c r="O239" s="129" t="s">
        <v>3406</v>
      </c>
      <c r="P239" s="146"/>
      <c r="Q239" s="170">
        <v>45552</v>
      </c>
      <c r="R239" s="171" t="s">
        <v>6643</v>
      </c>
      <c r="S239" s="172"/>
    </row>
    <row r="240" spans="1:19" ht="42.75">
      <c r="A240" s="164" t="s">
        <v>774</v>
      </c>
      <c r="B240" s="165" t="s">
        <v>926</v>
      </c>
      <c r="C240" s="165" t="s">
        <v>3667</v>
      </c>
      <c r="D240" s="164">
        <v>95</v>
      </c>
      <c r="E240" s="164">
        <v>114</v>
      </c>
      <c r="F240" s="164" t="s">
        <v>3404</v>
      </c>
      <c r="G240" s="164">
        <v>2024</v>
      </c>
      <c r="H240" s="175">
        <v>45596</v>
      </c>
      <c r="I240" s="175">
        <v>45600</v>
      </c>
      <c r="J240" s="168" t="s">
        <v>6844</v>
      </c>
      <c r="K240" s="174">
        <v>45601</v>
      </c>
      <c r="L240" s="129" t="s">
        <v>3129</v>
      </c>
      <c r="M240" s="129" t="s">
        <v>4</v>
      </c>
      <c r="N240" s="129" t="s">
        <v>50</v>
      </c>
      <c r="O240" s="129" t="s">
        <v>3406</v>
      </c>
      <c r="P240" s="146"/>
      <c r="Q240" s="170">
        <v>45602</v>
      </c>
      <c r="R240" s="171" t="s">
        <v>6643</v>
      </c>
      <c r="S240" s="172"/>
    </row>
    <row r="241" spans="1:19" ht="42.75">
      <c r="A241" s="164" t="s">
        <v>774</v>
      </c>
      <c r="B241" s="165" t="s">
        <v>926</v>
      </c>
      <c r="C241" s="165" t="s">
        <v>3682</v>
      </c>
      <c r="D241" s="164">
        <v>728</v>
      </c>
      <c r="E241" s="164">
        <v>953</v>
      </c>
      <c r="F241" s="164" t="s">
        <v>3955</v>
      </c>
      <c r="G241" s="164"/>
      <c r="H241" s="167"/>
      <c r="I241" s="167"/>
      <c r="J241" s="167"/>
      <c r="K241" s="169"/>
      <c r="L241" s="129"/>
      <c r="M241" s="129"/>
      <c r="N241" s="129"/>
      <c r="O241" s="129"/>
      <c r="P241" s="146"/>
      <c r="Q241" s="170"/>
      <c r="R241" s="171"/>
      <c r="S241" s="172"/>
    </row>
    <row r="242" spans="1:19" ht="42.75">
      <c r="A242" s="164" t="s">
        <v>774</v>
      </c>
      <c r="B242" s="165" t="s">
        <v>926</v>
      </c>
      <c r="C242" s="165" t="s">
        <v>1245</v>
      </c>
      <c r="D242" s="164">
        <v>1565</v>
      </c>
      <c r="E242" s="164">
        <v>1953</v>
      </c>
      <c r="F242" s="164" t="s">
        <v>3955</v>
      </c>
      <c r="G242" s="164"/>
      <c r="H242" s="167"/>
      <c r="I242" s="167"/>
      <c r="J242" s="167"/>
      <c r="K242" s="169"/>
      <c r="L242" s="129"/>
      <c r="M242" s="129"/>
      <c r="N242" s="129"/>
      <c r="O242" s="129"/>
      <c r="P242" s="146"/>
      <c r="Q242" s="170"/>
      <c r="R242" s="171"/>
      <c r="S242" s="172"/>
    </row>
    <row r="243" spans="1:19" ht="42.75">
      <c r="A243" s="164" t="s">
        <v>774</v>
      </c>
      <c r="B243" s="165" t="s">
        <v>926</v>
      </c>
      <c r="C243" s="165" t="s">
        <v>3707</v>
      </c>
      <c r="D243" s="164">
        <v>770</v>
      </c>
      <c r="E243" s="164">
        <v>888</v>
      </c>
      <c r="F243" s="164" t="s">
        <v>3404</v>
      </c>
      <c r="G243" s="164">
        <v>2024</v>
      </c>
      <c r="H243" s="184" t="s">
        <v>3708</v>
      </c>
      <c r="I243" s="188" t="s">
        <v>3629</v>
      </c>
      <c r="J243" s="168" t="s">
        <v>6845</v>
      </c>
      <c r="K243" s="174">
        <v>45462</v>
      </c>
      <c r="L243" s="129" t="s">
        <v>3689</v>
      </c>
      <c r="M243" s="129" t="s">
        <v>4</v>
      </c>
      <c r="N243" s="129" t="s">
        <v>57</v>
      </c>
      <c r="O243" s="129" t="s">
        <v>3406</v>
      </c>
      <c r="P243" s="146"/>
      <c r="Q243" s="170">
        <v>45462</v>
      </c>
      <c r="R243" s="171"/>
      <c r="S243" s="172"/>
    </row>
    <row r="244" spans="1:19" ht="42.75">
      <c r="A244" s="164" t="s">
        <v>774</v>
      </c>
      <c r="B244" s="165" t="s">
        <v>926</v>
      </c>
      <c r="C244" s="165" t="s">
        <v>3709</v>
      </c>
      <c r="D244" s="164">
        <v>3041</v>
      </c>
      <c r="E244" s="164">
        <v>3283</v>
      </c>
      <c r="F244" s="164" t="s">
        <v>3404</v>
      </c>
      <c r="G244" s="164">
        <v>2024</v>
      </c>
      <c r="H244" s="184" t="s">
        <v>3710</v>
      </c>
      <c r="I244" s="184" t="s">
        <v>6846</v>
      </c>
      <c r="J244" s="168" t="s">
        <v>6847</v>
      </c>
      <c r="K244" s="174">
        <v>45462</v>
      </c>
      <c r="L244" s="129" t="s">
        <v>3126</v>
      </c>
      <c r="M244" s="129" t="s">
        <v>4</v>
      </c>
      <c r="N244" s="129" t="s">
        <v>50</v>
      </c>
      <c r="O244" s="129" t="s">
        <v>3406</v>
      </c>
      <c r="P244" s="146"/>
      <c r="Q244" s="170">
        <v>45531</v>
      </c>
      <c r="R244" s="171" t="s">
        <v>6643</v>
      </c>
      <c r="S244" s="172"/>
    </row>
    <row r="245" spans="1:19" ht="42.75">
      <c r="A245" s="164" t="s">
        <v>774</v>
      </c>
      <c r="B245" s="165" t="s">
        <v>926</v>
      </c>
      <c r="C245" s="165" t="s">
        <v>3732</v>
      </c>
      <c r="D245" s="164">
        <v>549</v>
      </c>
      <c r="E245" s="164">
        <v>856</v>
      </c>
      <c r="F245" s="164" t="s">
        <v>3404</v>
      </c>
      <c r="G245" s="164">
        <v>2024</v>
      </c>
      <c r="H245" s="188" t="s">
        <v>3733</v>
      </c>
      <c r="I245" s="188" t="s">
        <v>6848</v>
      </c>
      <c r="J245" s="168" t="s">
        <v>6849</v>
      </c>
      <c r="K245" s="174">
        <v>45483</v>
      </c>
      <c r="L245" s="129" t="s">
        <v>3125</v>
      </c>
      <c r="M245" s="129" t="s">
        <v>4</v>
      </c>
      <c r="N245" s="129" t="s">
        <v>57</v>
      </c>
      <c r="O245" s="129" t="s">
        <v>3406</v>
      </c>
      <c r="P245" s="146"/>
      <c r="Q245" s="130">
        <v>45483</v>
      </c>
      <c r="R245" s="171"/>
      <c r="S245" s="172"/>
    </row>
    <row r="246" spans="1:19" ht="42.75">
      <c r="A246" s="164" t="s">
        <v>774</v>
      </c>
      <c r="B246" s="165" t="s">
        <v>926</v>
      </c>
      <c r="C246" s="165" t="s">
        <v>3688</v>
      </c>
      <c r="D246" s="164">
        <v>3360</v>
      </c>
      <c r="E246" s="164">
        <v>3906</v>
      </c>
      <c r="F246" s="164" t="s">
        <v>3955</v>
      </c>
      <c r="G246" s="164"/>
      <c r="H246" s="167"/>
      <c r="I246" s="167"/>
      <c r="J246" s="167"/>
      <c r="K246" s="169"/>
      <c r="L246" s="129"/>
      <c r="M246" s="129"/>
      <c r="N246" s="129"/>
      <c r="O246" s="129"/>
      <c r="P246" s="146"/>
      <c r="Q246" s="170"/>
      <c r="R246" s="171"/>
      <c r="S246" s="172"/>
    </row>
    <row r="247" spans="1:19" ht="42.75">
      <c r="A247" s="164" t="s">
        <v>774</v>
      </c>
      <c r="B247" s="165" t="s">
        <v>884</v>
      </c>
      <c r="C247" s="165" t="s">
        <v>3738</v>
      </c>
      <c r="D247" s="164">
        <v>1675</v>
      </c>
      <c r="E247" s="164">
        <v>1705</v>
      </c>
      <c r="F247" s="164" t="s">
        <v>3404</v>
      </c>
      <c r="G247" s="164">
        <v>2024</v>
      </c>
      <c r="H247" s="186">
        <v>45359</v>
      </c>
      <c r="I247" s="186">
        <v>45359</v>
      </c>
      <c r="J247" s="168" t="s">
        <v>6850</v>
      </c>
      <c r="K247" s="182">
        <v>45377</v>
      </c>
      <c r="L247" s="129" t="s">
        <v>3470</v>
      </c>
      <c r="M247" s="129" t="s">
        <v>4</v>
      </c>
      <c r="N247" s="129" t="s">
        <v>50</v>
      </c>
      <c r="O247" s="129" t="s">
        <v>3406</v>
      </c>
      <c r="P247" s="146"/>
      <c r="Q247" s="170"/>
      <c r="R247" s="171"/>
      <c r="S247" s="172"/>
    </row>
    <row r="248" spans="1:19" ht="42.75">
      <c r="A248" s="164" t="s">
        <v>774</v>
      </c>
      <c r="B248" s="165" t="s">
        <v>884</v>
      </c>
      <c r="C248" s="183" t="s">
        <v>3740</v>
      </c>
      <c r="D248" s="164">
        <v>2175</v>
      </c>
      <c r="E248" s="164">
        <v>2176</v>
      </c>
      <c r="F248" s="164" t="s">
        <v>3404</v>
      </c>
      <c r="G248" s="164">
        <v>2024</v>
      </c>
      <c r="H248" s="184" t="s">
        <v>3741</v>
      </c>
      <c r="I248" s="184" t="s">
        <v>3741</v>
      </c>
      <c r="J248" s="168" t="s">
        <v>6851</v>
      </c>
      <c r="K248" s="180" t="s">
        <v>3706</v>
      </c>
      <c r="L248" s="129" t="s">
        <v>3532</v>
      </c>
      <c r="M248" s="129" t="s">
        <v>4</v>
      </c>
      <c r="N248" s="129" t="s">
        <v>50</v>
      </c>
      <c r="O248" s="129" t="s">
        <v>3406</v>
      </c>
      <c r="P248" s="146"/>
      <c r="Q248" s="170"/>
      <c r="R248" s="171"/>
      <c r="S248" s="172"/>
    </row>
    <row r="249" spans="1:19" ht="42.75">
      <c r="A249" s="164" t="s">
        <v>774</v>
      </c>
      <c r="B249" s="165" t="s">
        <v>884</v>
      </c>
      <c r="C249" s="165" t="s">
        <v>3570</v>
      </c>
      <c r="D249" s="164">
        <v>2828</v>
      </c>
      <c r="E249" s="164">
        <v>3117</v>
      </c>
      <c r="F249" s="164" t="s">
        <v>3404</v>
      </c>
      <c r="G249" s="164">
        <v>2024</v>
      </c>
      <c r="H249" s="184" t="s">
        <v>3742</v>
      </c>
      <c r="I249" s="184" t="s">
        <v>6821</v>
      </c>
      <c r="J249" s="168" t="s">
        <v>6852</v>
      </c>
      <c r="K249" s="174">
        <v>45475</v>
      </c>
      <c r="L249" s="129" t="s">
        <v>3125</v>
      </c>
      <c r="M249" s="129" t="s">
        <v>4</v>
      </c>
      <c r="N249" s="129" t="s">
        <v>50</v>
      </c>
      <c r="O249" s="129" t="s">
        <v>3406</v>
      </c>
      <c r="P249" s="146"/>
      <c r="Q249" s="130">
        <v>45475</v>
      </c>
      <c r="R249" s="171"/>
      <c r="S249" s="172"/>
    </row>
    <row r="250" spans="1:19" ht="42.75">
      <c r="A250" s="164" t="s">
        <v>774</v>
      </c>
      <c r="B250" s="165" t="s">
        <v>884</v>
      </c>
      <c r="C250" s="165" t="s">
        <v>3743</v>
      </c>
      <c r="D250" s="164">
        <v>6594</v>
      </c>
      <c r="E250" s="164">
        <v>7840</v>
      </c>
      <c r="F250" s="164" t="s">
        <v>3404</v>
      </c>
      <c r="G250" s="164">
        <v>2024</v>
      </c>
      <c r="H250" s="184" t="s">
        <v>3627</v>
      </c>
      <c r="I250" s="184" t="s">
        <v>6759</v>
      </c>
      <c r="J250" s="168" t="s">
        <v>6853</v>
      </c>
      <c r="K250" s="174">
        <v>45446</v>
      </c>
      <c r="L250" s="129" t="s">
        <v>3689</v>
      </c>
      <c r="M250" s="129"/>
      <c r="N250" s="129"/>
      <c r="O250" s="129" t="s">
        <v>3406</v>
      </c>
      <c r="P250" s="146"/>
      <c r="Q250" s="170">
        <v>45447</v>
      </c>
      <c r="R250" s="171"/>
      <c r="S250" s="172"/>
    </row>
    <row r="251" spans="1:19" ht="42.75">
      <c r="A251" s="164" t="s">
        <v>774</v>
      </c>
      <c r="B251" s="165" t="s">
        <v>884</v>
      </c>
      <c r="C251" s="165" t="s">
        <v>1445</v>
      </c>
      <c r="D251" s="164">
        <v>2379</v>
      </c>
      <c r="E251" s="164">
        <v>2613</v>
      </c>
      <c r="F251" s="164" t="s">
        <v>3404</v>
      </c>
      <c r="G251" s="164">
        <v>2024</v>
      </c>
      <c r="H251" s="184" t="s">
        <v>3744</v>
      </c>
      <c r="I251" s="184" t="s">
        <v>6837</v>
      </c>
      <c r="J251" s="168" t="s">
        <v>6854</v>
      </c>
      <c r="K251" s="174">
        <v>45461</v>
      </c>
      <c r="L251" s="129" t="s">
        <v>3689</v>
      </c>
      <c r="M251" s="129" t="s">
        <v>4</v>
      </c>
      <c r="N251" s="129" t="s">
        <v>50</v>
      </c>
      <c r="O251" s="129" t="s">
        <v>3406</v>
      </c>
      <c r="P251" s="146"/>
      <c r="Q251" s="170">
        <v>45462</v>
      </c>
      <c r="R251" s="171"/>
      <c r="S251" s="172"/>
    </row>
    <row r="252" spans="1:19" ht="42.75">
      <c r="A252" s="164" t="s">
        <v>774</v>
      </c>
      <c r="B252" s="165" t="s">
        <v>884</v>
      </c>
      <c r="C252" s="165" t="s">
        <v>3745</v>
      </c>
      <c r="D252" s="164">
        <v>556</v>
      </c>
      <c r="E252" s="164">
        <v>437</v>
      </c>
      <c r="F252" s="164" t="s">
        <v>3404</v>
      </c>
      <c r="G252" s="164">
        <v>2024</v>
      </c>
      <c r="H252" s="166">
        <v>45364</v>
      </c>
      <c r="I252" s="166">
        <v>45369</v>
      </c>
      <c r="J252" s="168" t="s">
        <v>6855</v>
      </c>
      <c r="K252" s="182">
        <v>45377</v>
      </c>
      <c r="L252" s="129" t="s">
        <v>3470</v>
      </c>
      <c r="M252" s="129" t="s">
        <v>4</v>
      </c>
      <c r="N252" s="129" t="s">
        <v>50</v>
      </c>
      <c r="O252" s="129" t="s">
        <v>3406</v>
      </c>
      <c r="P252" s="146"/>
      <c r="Q252" s="170"/>
      <c r="R252" s="171"/>
      <c r="S252" s="172"/>
    </row>
    <row r="253" spans="1:19" ht="42.75">
      <c r="A253" s="164" t="s">
        <v>774</v>
      </c>
      <c r="B253" s="165" t="s">
        <v>884</v>
      </c>
      <c r="C253" s="165" t="s">
        <v>3747</v>
      </c>
      <c r="D253" s="164">
        <v>3018</v>
      </c>
      <c r="E253" s="164">
        <v>3000</v>
      </c>
      <c r="F253" s="164" t="s">
        <v>3404</v>
      </c>
      <c r="G253" s="164">
        <v>2024</v>
      </c>
      <c r="H253" s="166">
        <v>45351</v>
      </c>
      <c r="I253" s="186">
        <v>45352</v>
      </c>
      <c r="J253" s="168" t="s">
        <v>6856</v>
      </c>
      <c r="K253" s="182">
        <v>45365</v>
      </c>
      <c r="L253" s="129" t="s">
        <v>3416</v>
      </c>
      <c r="M253" s="129" t="s">
        <v>4</v>
      </c>
      <c r="N253" s="129" t="s">
        <v>50</v>
      </c>
      <c r="O253" s="129" t="s">
        <v>3406</v>
      </c>
      <c r="P253" s="146"/>
      <c r="Q253" s="170"/>
      <c r="R253" s="171"/>
      <c r="S253" s="172"/>
    </row>
    <row r="254" spans="1:19" ht="42.75">
      <c r="A254" s="164" t="s">
        <v>774</v>
      </c>
      <c r="B254" s="165" t="s">
        <v>884</v>
      </c>
      <c r="C254" s="165" t="s">
        <v>3749</v>
      </c>
      <c r="D254" s="164">
        <v>8610</v>
      </c>
      <c r="E254" s="201">
        <v>10322</v>
      </c>
      <c r="F254" s="164" t="s">
        <v>3404</v>
      </c>
      <c r="G254" s="164">
        <v>2024</v>
      </c>
      <c r="H254" s="166">
        <v>45345</v>
      </c>
      <c r="I254" s="166">
        <v>45346</v>
      </c>
      <c r="J254" s="191" t="s">
        <v>6857</v>
      </c>
      <c r="K254" s="182">
        <v>45349</v>
      </c>
      <c r="L254" s="129"/>
      <c r="M254" s="129" t="s">
        <v>4</v>
      </c>
      <c r="N254" s="129" t="s">
        <v>50</v>
      </c>
      <c r="O254" s="129" t="s">
        <v>3406</v>
      </c>
      <c r="P254" s="146"/>
      <c r="Q254" s="170"/>
      <c r="R254" s="171"/>
      <c r="S254" s="172"/>
    </row>
    <row r="255" spans="1:19" ht="42.75">
      <c r="A255" s="164" t="s">
        <v>774</v>
      </c>
      <c r="B255" s="165" t="s">
        <v>884</v>
      </c>
      <c r="C255" s="183" t="s">
        <v>3750</v>
      </c>
      <c r="D255" s="202">
        <v>962</v>
      </c>
      <c r="E255" s="129">
        <v>943</v>
      </c>
      <c r="F255" s="164" t="s">
        <v>3404</v>
      </c>
      <c r="G255" s="164">
        <v>2024</v>
      </c>
      <c r="H255" s="184" t="s">
        <v>3751</v>
      </c>
      <c r="I255" s="192" t="s">
        <v>6807</v>
      </c>
      <c r="J255" s="203" t="s">
        <v>6858</v>
      </c>
      <c r="K255" s="204" t="s">
        <v>6809</v>
      </c>
      <c r="L255" s="129" t="s">
        <v>3532</v>
      </c>
      <c r="M255" s="129" t="s">
        <v>4</v>
      </c>
      <c r="N255" s="129" t="s">
        <v>50</v>
      </c>
      <c r="O255" s="129" t="s">
        <v>3406</v>
      </c>
      <c r="P255" s="146"/>
      <c r="Q255" s="170"/>
      <c r="R255" s="171"/>
      <c r="S255" s="172"/>
    </row>
    <row r="256" spans="1:19" ht="42.75">
      <c r="A256" s="164" t="s">
        <v>774</v>
      </c>
      <c r="B256" s="165" t="s">
        <v>884</v>
      </c>
      <c r="C256" s="165" t="s">
        <v>3753</v>
      </c>
      <c r="D256" s="202">
        <v>2902</v>
      </c>
      <c r="E256" s="129">
        <v>3287</v>
      </c>
      <c r="F256" s="164" t="s">
        <v>3404</v>
      </c>
      <c r="G256" s="164">
        <v>2024</v>
      </c>
      <c r="H256" s="184" t="s">
        <v>3754</v>
      </c>
      <c r="I256" s="184" t="s">
        <v>6848</v>
      </c>
      <c r="J256" s="168" t="s">
        <v>6859</v>
      </c>
      <c r="K256" s="174">
        <v>45483</v>
      </c>
      <c r="L256" s="129" t="s">
        <v>3125</v>
      </c>
      <c r="M256" s="129" t="s">
        <v>4</v>
      </c>
      <c r="N256" s="129" t="s">
        <v>50</v>
      </c>
      <c r="O256" s="129" t="s">
        <v>3406</v>
      </c>
      <c r="P256" s="146"/>
      <c r="Q256" s="130">
        <v>45483</v>
      </c>
      <c r="R256" s="171"/>
      <c r="S256" s="172"/>
    </row>
    <row r="257" spans="1:19" ht="42.75">
      <c r="A257" s="164" t="s">
        <v>774</v>
      </c>
      <c r="B257" s="165" t="s">
        <v>884</v>
      </c>
      <c r="C257" s="185" t="s">
        <v>3755</v>
      </c>
      <c r="D257" s="202">
        <v>3238</v>
      </c>
      <c r="E257" s="129">
        <v>5496</v>
      </c>
      <c r="F257" s="164" t="s">
        <v>3404</v>
      </c>
      <c r="G257" s="164">
        <v>2024</v>
      </c>
      <c r="H257" s="205">
        <v>45373</v>
      </c>
      <c r="I257" s="205">
        <v>45376</v>
      </c>
      <c r="J257" s="191" t="s">
        <v>6860</v>
      </c>
      <c r="K257" s="206">
        <v>45377</v>
      </c>
      <c r="L257" s="207" t="s">
        <v>3470</v>
      </c>
      <c r="M257" s="129" t="s">
        <v>4</v>
      </c>
      <c r="N257" s="129" t="s">
        <v>50</v>
      </c>
      <c r="O257" s="207" t="s">
        <v>3406</v>
      </c>
      <c r="P257" s="208"/>
      <c r="Q257" s="170"/>
      <c r="R257" s="171"/>
      <c r="S257" s="172"/>
    </row>
    <row r="258" spans="1:19" ht="42.75">
      <c r="A258" s="164" t="s">
        <v>774</v>
      </c>
      <c r="B258" s="165" t="s">
        <v>884</v>
      </c>
      <c r="C258" s="165" t="s">
        <v>3756</v>
      </c>
      <c r="D258" s="202">
        <v>1706</v>
      </c>
      <c r="E258" s="129">
        <v>2025</v>
      </c>
      <c r="F258" s="164" t="s">
        <v>3404</v>
      </c>
      <c r="G258" s="164">
        <v>2024</v>
      </c>
      <c r="H258" s="190" t="s">
        <v>3757</v>
      </c>
      <c r="I258" s="190" t="s">
        <v>6846</v>
      </c>
      <c r="J258" s="181" t="s">
        <v>6861</v>
      </c>
      <c r="K258" s="174">
        <v>45523</v>
      </c>
      <c r="L258" s="129" t="s">
        <v>3126</v>
      </c>
      <c r="M258" s="129" t="s">
        <v>4</v>
      </c>
      <c r="N258" s="129" t="s">
        <v>50</v>
      </c>
      <c r="O258" s="129" t="s">
        <v>3406</v>
      </c>
      <c r="P258" s="146"/>
      <c r="Q258" s="170">
        <v>45531</v>
      </c>
      <c r="R258" s="171" t="s">
        <v>6643</v>
      </c>
      <c r="S258" s="172"/>
    </row>
    <row r="259" spans="1:19" ht="42.75">
      <c r="A259" s="164" t="s">
        <v>774</v>
      </c>
      <c r="B259" s="165" t="s">
        <v>884</v>
      </c>
      <c r="C259" s="165" t="s">
        <v>3758</v>
      </c>
      <c r="D259" s="202">
        <v>2922</v>
      </c>
      <c r="E259" s="129">
        <v>3699</v>
      </c>
      <c r="F259" s="164" t="s">
        <v>3404</v>
      </c>
      <c r="G259" s="164">
        <v>2024</v>
      </c>
      <c r="H259" s="209" t="s">
        <v>3759</v>
      </c>
      <c r="I259" s="209" t="s">
        <v>3920</v>
      </c>
      <c r="J259" s="203" t="s">
        <v>6862</v>
      </c>
      <c r="K259" s="210" t="s">
        <v>6863</v>
      </c>
      <c r="L259" s="61" t="s">
        <v>3689</v>
      </c>
      <c r="M259" s="129" t="s">
        <v>4</v>
      </c>
      <c r="N259" s="129" t="s">
        <v>50</v>
      </c>
      <c r="O259" s="61" t="s">
        <v>3406</v>
      </c>
      <c r="P259" s="211"/>
      <c r="Q259" s="170">
        <v>45433</v>
      </c>
      <c r="R259" s="171"/>
      <c r="S259" s="172"/>
    </row>
    <row r="260" spans="1:19" ht="42.75">
      <c r="A260" s="164" t="s">
        <v>774</v>
      </c>
      <c r="B260" s="165" t="s">
        <v>884</v>
      </c>
      <c r="C260" s="165" t="s">
        <v>3760</v>
      </c>
      <c r="D260" s="202">
        <v>6129</v>
      </c>
      <c r="E260" s="129">
        <v>6556</v>
      </c>
      <c r="F260" s="164" t="s">
        <v>3404</v>
      </c>
      <c r="G260" s="164">
        <v>2024</v>
      </c>
      <c r="H260" s="182">
        <v>45345</v>
      </c>
      <c r="I260" s="182">
        <v>45346</v>
      </c>
      <c r="J260" s="181" t="s">
        <v>6864</v>
      </c>
      <c r="K260" s="182">
        <v>45349</v>
      </c>
      <c r="L260" s="129"/>
      <c r="M260" s="129" t="s">
        <v>4</v>
      </c>
      <c r="N260" s="129" t="s">
        <v>50</v>
      </c>
      <c r="O260" s="129" t="s">
        <v>3406</v>
      </c>
      <c r="P260" s="146"/>
      <c r="Q260" s="170"/>
      <c r="R260" s="171"/>
      <c r="S260" s="172"/>
    </row>
    <row r="261" spans="1:19" ht="42.75">
      <c r="A261" s="164" t="s">
        <v>774</v>
      </c>
      <c r="B261" s="165" t="s">
        <v>884</v>
      </c>
      <c r="C261" s="165" t="s">
        <v>3761</v>
      </c>
      <c r="D261" s="202">
        <v>2048</v>
      </c>
      <c r="E261" s="129">
        <v>2421</v>
      </c>
      <c r="F261" s="164" t="s">
        <v>3404</v>
      </c>
      <c r="G261" s="164">
        <v>2024</v>
      </c>
      <c r="H261" s="184" t="s">
        <v>3762</v>
      </c>
      <c r="I261" s="184" t="s">
        <v>3415</v>
      </c>
      <c r="J261" s="168" t="s">
        <v>6865</v>
      </c>
      <c r="K261" s="212">
        <v>45489</v>
      </c>
      <c r="L261" s="213" t="s">
        <v>3125</v>
      </c>
      <c r="M261" s="213" t="s">
        <v>4</v>
      </c>
      <c r="N261" s="213" t="s">
        <v>50</v>
      </c>
      <c r="O261" s="213" t="s">
        <v>3406</v>
      </c>
      <c r="P261" s="214"/>
      <c r="Q261" s="170">
        <v>45490</v>
      </c>
      <c r="R261" s="171"/>
      <c r="S261" s="172"/>
    </row>
    <row r="262" spans="1:19" ht="42.75">
      <c r="A262" s="164" t="s">
        <v>774</v>
      </c>
      <c r="B262" s="165" t="s">
        <v>884</v>
      </c>
      <c r="C262" s="165" t="s">
        <v>3763</v>
      </c>
      <c r="D262" s="202">
        <v>579</v>
      </c>
      <c r="E262" s="129">
        <v>631</v>
      </c>
      <c r="F262" s="164" t="s">
        <v>3404</v>
      </c>
      <c r="G262" s="164">
        <v>2024</v>
      </c>
      <c r="H262" s="184" t="s">
        <v>3764</v>
      </c>
      <c r="I262" s="184" t="s">
        <v>6866</v>
      </c>
      <c r="J262" s="168" t="s">
        <v>6867</v>
      </c>
      <c r="K262" s="174">
        <v>45462</v>
      </c>
      <c r="L262" s="129" t="s">
        <v>3689</v>
      </c>
      <c r="M262" s="129" t="s">
        <v>4</v>
      </c>
      <c r="N262" s="129" t="s">
        <v>50</v>
      </c>
      <c r="O262" s="129" t="s">
        <v>3406</v>
      </c>
      <c r="P262" s="146"/>
      <c r="Q262" s="130">
        <v>45462</v>
      </c>
      <c r="R262" s="171"/>
      <c r="S262" s="172"/>
    </row>
    <row r="263" spans="1:19" ht="42.75">
      <c r="A263" s="164" t="s">
        <v>774</v>
      </c>
      <c r="B263" s="165" t="s">
        <v>884</v>
      </c>
      <c r="C263" s="165" t="s">
        <v>3765</v>
      </c>
      <c r="D263" s="202">
        <v>1875</v>
      </c>
      <c r="E263" s="129">
        <v>2151</v>
      </c>
      <c r="F263" s="164" t="s">
        <v>3404</v>
      </c>
      <c r="G263" s="164">
        <v>2024</v>
      </c>
      <c r="H263" s="184" t="s">
        <v>3625</v>
      </c>
      <c r="I263" s="167" t="s">
        <v>6868</v>
      </c>
      <c r="J263" s="168" t="s">
        <v>6869</v>
      </c>
      <c r="K263" s="174">
        <v>45462</v>
      </c>
      <c r="L263" s="129" t="s">
        <v>3689</v>
      </c>
      <c r="M263" s="129" t="s">
        <v>4</v>
      </c>
      <c r="N263" s="129" t="s">
        <v>50</v>
      </c>
      <c r="O263" s="129" t="s">
        <v>3406</v>
      </c>
      <c r="P263" s="146"/>
      <c r="Q263" s="170">
        <v>45464</v>
      </c>
      <c r="R263" s="171"/>
      <c r="S263" s="172"/>
    </row>
    <row r="264" spans="1:19" ht="42.75">
      <c r="A264" s="164" t="s">
        <v>774</v>
      </c>
      <c r="B264" s="165" t="s">
        <v>884</v>
      </c>
      <c r="C264" s="185" t="s">
        <v>3767</v>
      </c>
      <c r="D264" s="164">
        <v>2318</v>
      </c>
      <c r="E264" s="164">
        <v>2324</v>
      </c>
      <c r="F264" s="164" t="s">
        <v>3404</v>
      </c>
      <c r="G264" s="164">
        <v>2024</v>
      </c>
      <c r="H264" s="186">
        <v>45385</v>
      </c>
      <c r="I264" s="186">
        <v>45387</v>
      </c>
      <c r="J264" s="168" t="s">
        <v>6870</v>
      </c>
      <c r="K264" s="190" t="s">
        <v>3539</v>
      </c>
      <c r="L264" s="129" t="s">
        <v>3470</v>
      </c>
      <c r="M264" s="129" t="s">
        <v>4</v>
      </c>
      <c r="N264" s="129" t="s">
        <v>50</v>
      </c>
      <c r="O264" s="129" t="s">
        <v>3406</v>
      </c>
      <c r="P264" s="146"/>
      <c r="Q264" s="170"/>
      <c r="R264" s="171"/>
      <c r="S264" s="172"/>
    </row>
    <row r="265" spans="1:19" ht="42.75">
      <c r="A265" s="164" t="s">
        <v>774</v>
      </c>
      <c r="B265" s="165" t="s">
        <v>884</v>
      </c>
      <c r="C265" s="183" t="s">
        <v>3768</v>
      </c>
      <c r="D265" s="164">
        <v>896</v>
      </c>
      <c r="E265" s="164">
        <v>896</v>
      </c>
      <c r="F265" s="164" t="s">
        <v>3404</v>
      </c>
      <c r="G265" s="164">
        <v>2024</v>
      </c>
      <c r="H265" s="184" t="s">
        <v>3769</v>
      </c>
      <c r="I265" s="188" t="s">
        <v>3894</v>
      </c>
      <c r="J265" s="168" t="s">
        <v>6871</v>
      </c>
      <c r="K265" s="180" t="s">
        <v>6770</v>
      </c>
      <c r="L265" s="129" t="s">
        <v>3532</v>
      </c>
      <c r="M265" s="129"/>
      <c r="N265" s="129"/>
      <c r="O265" s="129" t="s">
        <v>3406</v>
      </c>
      <c r="P265" s="146"/>
      <c r="Q265" s="170"/>
      <c r="R265" s="171"/>
      <c r="S265" s="172"/>
    </row>
    <row r="266" spans="1:19" ht="42.75">
      <c r="A266" s="164" t="s">
        <v>774</v>
      </c>
      <c r="B266" s="165" t="s">
        <v>884</v>
      </c>
      <c r="C266" s="165" t="s">
        <v>3770</v>
      </c>
      <c r="D266" s="164">
        <v>1923</v>
      </c>
      <c r="E266" s="164">
        <v>2640</v>
      </c>
      <c r="F266" s="164" t="s">
        <v>3404</v>
      </c>
      <c r="G266" s="164">
        <v>2024</v>
      </c>
      <c r="H266" s="184" t="s">
        <v>3771</v>
      </c>
      <c r="I266" s="184" t="s">
        <v>6872</v>
      </c>
      <c r="J266" s="168" t="s">
        <v>6873</v>
      </c>
      <c r="K266" s="174">
        <v>45517</v>
      </c>
      <c r="L266" s="129" t="s">
        <v>3126</v>
      </c>
      <c r="M266" s="129" t="s">
        <v>4</v>
      </c>
      <c r="N266" s="129" t="s">
        <v>50</v>
      </c>
      <c r="O266" s="129" t="s">
        <v>3406</v>
      </c>
      <c r="P266" s="146"/>
      <c r="Q266" s="130">
        <v>45517</v>
      </c>
      <c r="R266" s="171" t="s">
        <v>6643</v>
      </c>
      <c r="S266" s="172"/>
    </row>
    <row r="267" spans="1:19" ht="42.75">
      <c r="A267" s="164" t="s">
        <v>774</v>
      </c>
      <c r="B267" s="165" t="s">
        <v>884</v>
      </c>
      <c r="C267" s="165" t="s">
        <v>3772</v>
      </c>
      <c r="D267" s="164">
        <v>5465</v>
      </c>
      <c r="E267" s="164">
        <v>6874</v>
      </c>
      <c r="F267" s="164" t="s">
        <v>3404</v>
      </c>
      <c r="G267" s="164">
        <v>2024</v>
      </c>
      <c r="H267" s="184" t="s">
        <v>3757</v>
      </c>
      <c r="I267" s="184" t="s">
        <v>6846</v>
      </c>
      <c r="J267" s="168" t="s">
        <v>6874</v>
      </c>
      <c r="K267" s="174">
        <v>45523</v>
      </c>
      <c r="L267" s="129" t="s">
        <v>3126</v>
      </c>
      <c r="M267" s="129" t="s">
        <v>4</v>
      </c>
      <c r="N267" s="129" t="s">
        <v>50</v>
      </c>
      <c r="O267" s="129" t="s">
        <v>3406</v>
      </c>
      <c r="P267" s="146"/>
      <c r="Q267" s="170">
        <v>45531</v>
      </c>
      <c r="R267" s="171" t="s">
        <v>6643</v>
      </c>
      <c r="S267" s="172"/>
    </row>
    <row r="268" spans="1:19" ht="42.75">
      <c r="A268" s="164" t="s">
        <v>774</v>
      </c>
      <c r="B268" s="165" t="s">
        <v>884</v>
      </c>
      <c r="C268" s="165" t="s">
        <v>3752</v>
      </c>
      <c r="D268" s="164">
        <v>3816</v>
      </c>
      <c r="E268" s="164">
        <v>4544</v>
      </c>
      <c r="F268" s="164" t="s">
        <v>3404</v>
      </c>
      <c r="G268" s="164">
        <v>2024</v>
      </c>
      <c r="H268" s="166">
        <v>45351</v>
      </c>
      <c r="I268" s="186">
        <v>45352</v>
      </c>
      <c r="J268" s="168" t="s">
        <v>6875</v>
      </c>
      <c r="K268" s="187">
        <v>45359</v>
      </c>
      <c r="L268" s="129"/>
      <c r="M268" s="129" t="s">
        <v>4</v>
      </c>
      <c r="N268" s="129" t="s">
        <v>50</v>
      </c>
      <c r="O268" s="129" t="s">
        <v>3406</v>
      </c>
      <c r="P268" s="146"/>
      <c r="Q268" s="170"/>
      <c r="R268" s="171"/>
      <c r="S268" s="172"/>
    </row>
    <row r="269" spans="1:19" ht="42.75">
      <c r="A269" s="164" t="s">
        <v>774</v>
      </c>
      <c r="B269" s="165" t="s">
        <v>884</v>
      </c>
      <c r="C269" s="165" t="s">
        <v>3766</v>
      </c>
      <c r="D269" s="164">
        <v>1248</v>
      </c>
      <c r="E269" s="164">
        <v>1746</v>
      </c>
      <c r="F269" s="164" t="s">
        <v>3404</v>
      </c>
      <c r="G269" s="164">
        <v>2024</v>
      </c>
      <c r="H269" s="184" t="s">
        <v>3648</v>
      </c>
      <c r="I269" s="184" t="s">
        <v>6876</v>
      </c>
      <c r="J269" s="215" t="s">
        <v>6877</v>
      </c>
      <c r="K269" s="174">
        <v>45488</v>
      </c>
      <c r="L269" s="129" t="s">
        <v>3125</v>
      </c>
      <c r="M269" s="129" t="s">
        <v>4</v>
      </c>
      <c r="N269" s="129" t="s">
        <v>50</v>
      </c>
      <c r="O269" s="129" t="s">
        <v>3406</v>
      </c>
      <c r="P269" s="146"/>
      <c r="Q269" s="170">
        <v>45489</v>
      </c>
      <c r="R269" s="171"/>
      <c r="S269" s="172"/>
    </row>
    <row r="270" spans="1:19" ht="42.75">
      <c r="A270" s="164" t="s">
        <v>774</v>
      </c>
      <c r="B270" s="165" t="s">
        <v>865</v>
      </c>
      <c r="C270" s="165" t="s">
        <v>1763</v>
      </c>
      <c r="D270" s="164">
        <v>5803</v>
      </c>
      <c r="E270" s="164">
        <v>6869</v>
      </c>
      <c r="F270" s="164" t="s">
        <v>3404</v>
      </c>
      <c r="G270" s="164">
        <v>2024</v>
      </c>
      <c r="H270" s="186">
        <v>45358</v>
      </c>
      <c r="I270" s="166">
        <v>45362</v>
      </c>
      <c r="J270" s="168" t="s">
        <v>6878</v>
      </c>
      <c r="K270" s="182">
        <v>45377</v>
      </c>
      <c r="L270" s="129"/>
      <c r="M270" s="129" t="s">
        <v>4</v>
      </c>
      <c r="N270" s="129" t="s">
        <v>50</v>
      </c>
      <c r="O270" s="129" t="s">
        <v>3406</v>
      </c>
      <c r="P270" s="146"/>
      <c r="Q270" s="170"/>
      <c r="R270" s="171"/>
      <c r="S270" s="172"/>
    </row>
    <row r="271" spans="1:19" ht="42.75">
      <c r="A271" s="164" t="s">
        <v>774</v>
      </c>
      <c r="B271" s="165" t="s">
        <v>865</v>
      </c>
      <c r="C271" s="165" t="s">
        <v>3776</v>
      </c>
      <c r="D271" s="164">
        <v>1930</v>
      </c>
      <c r="E271" s="164">
        <v>2089</v>
      </c>
      <c r="F271" s="164" t="s">
        <v>3404</v>
      </c>
      <c r="G271" s="164">
        <v>2024</v>
      </c>
      <c r="H271" s="184" t="s">
        <v>3777</v>
      </c>
      <c r="I271" s="184" t="s">
        <v>6879</v>
      </c>
      <c r="J271" s="168" t="s">
        <v>6880</v>
      </c>
      <c r="K271" s="174">
        <v>45545</v>
      </c>
      <c r="L271" s="129" t="s">
        <v>3127</v>
      </c>
      <c r="M271" s="129" t="s">
        <v>4</v>
      </c>
      <c r="N271" s="129" t="s">
        <v>50</v>
      </c>
      <c r="O271" s="129" t="s">
        <v>3406</v>
      </c>
      <c r="P271" s="146"/>
      <c r="Q271" s="170">
        <v>45545</v>
      </c>
      <c r="R271" s="171" t="s">
        <v>6643</v>
      </c>
      <c r="S271" s="172"/>
    </row>
    <row r="272" spans="1:19" ht="42.75">
      <c r="A272" s="164" t="s">
        <v>774</v>
      </c>
      <c r="B272" s="165" t="s">
        <v>865</v>
      </c>
      <c r="C272" s="185" t="s">
        <v>3774</v>
      </c>
      <c r="D272" s="164">
        <v>4777</v>
      </c>
      <c r="E272" s="164">
        <v>6141</v>
      </c>
      <c r="F272" s="164" t="s">
        <v>3404</v>
      </c>
      <c r="G272" s="164">
        <v>2024</v>
      </c>
      <c r="H272" s="186">
        <v>45387</v>
      </c>
      <c r="I272" s="186">
        <v>45390</v>
      </c>
      <c r="J272" s="168" t="s">
        <v>6881</v>
      </c>
      <c r="K272" s="180" t="s">
        <v>6882</v>
      </c>
      <c r="L272" s="129" t="s">
        <v>3470</v>
      </c>
      <c r="M272" s="129" t="s">
        <v>4</v>
      </c>
      <c r="N272" s="129" t="s">
        <v>50</v>
      </c>
      <c r="O272" s="129" t="s">
        <v>3406</v>
      </c>
      <c r="P272" s="146"/>
      <c r="Q272" s="170"/>
      <c r="R272" s="171"/>
      <c r="S272" s="172"/>
    </row>
    <row r="273" spans="1:19" ht="42.75">
      <c r="A273" s="164" t="s">
        <v>774</v>
      </c>
      <c r="B273" s="165" t="s">
        <v>865</v>
      </c>
      <c r="C273" s="165" t="s">
        <v>3778</v>
      </c>
      <c r="D273" s="164">
        <v>19329</v>
      </c>
      <c r="E273" s="164">
        <v>19946</v>
      </c>
      <c r="F273" s="164" t="s">
        <v>3404</v>
      </c>
      <c r="G273" s="164">
        <v>2024</v>
      </c>
      <c r="H273" s="186">
        <v>45358</v>
      </c>
      <c r="I273" s="166">
        <v>45362</v>
      </c>
      <c r="J273" s="168" t="s">
        <v>6883</v>
      </c>
      <c r="K273" s="182">
        <v>45377</v>
      </c>
      <c r="L273" s="129"/>
      <c r="M273" s="129" t="s">
        <v>4</v>
      </c>
      <c r="N273" s="129" t="s">
        <v>50</v>
      </c>
      <c r="O273" s="129" t="s">
        <v>3406</v>
      </c>
      <c r="P273" s="146"/>
      <c r="Q273" s="170"/>
      <c r="R273" s="171"/>
      <c r="S273" s="172"/>
    </row>
    <row r="274" spans="1:19" ht="42.75">
      <c r="A274" s="164" t="s">
        <v>774</v>
      </c>
      <c r="B274" s="165" t="s">
        <v>865</v>
      </c>
      <c r="C274" s="165" t="s">
        <v>3779</v>
      </c>
      <c r="D274" s="164">
        <v>3209</v>
      </c>
      <c r="E274" s="164">
        <v>3191</v>
      </c>
      <c r="F274" s="164" t="s">
        <v>3404</v>
      </c>
      <c r="G274" s="164">
        <v>2024</v>
      </c>
      <c r="H274" s="184" t="s">
        <v>3780</v>
      </c>
      <c r="I274" s="184" t="s">
        <v>6872</v>
      </c>
      <c r="J274" s="191" t="s">
        <v>6884</v>
      </c>
      <c r="K274" s="174">
        <v>45516</v>
      </c>
      <c r="L274" s="129" t="s">
        <v>3126</v>
      </c>
      <c r="M274" s="129" t="s">
        <v>4</v>
      </c>
      <c r="N274" s="129" t="s">
        <v>50</v>
      </c>
      <c r="O274" s="129" t="s">
        <v>3406</v>
      </c>
      <c r="P274" s="146"/>
      <c r="Q274" s="170">
        <v>45517</v>
      </c>
      <c r="R274" s="171" t="s">
        <v>6643</v>
      </c>
      <c r="S274" s="172"/>
    </row>
    <row r="275" spans="1:19" ht="42.75">
      <c r="A275" s="164" t="s">
        <v>774</v>
      </c>
      <c r="B275" s="165" t="s">
        <v>865</v>
      </c>
      <c r="C275" s="183" t="s">
        <v>1056</v>
      </c>
      <c r="D275" s="164">
        <v>701</v>
      </c>
      <c r="E275" s="164">
        <v>653</v>
      </c>
      <c r="F275" s="164" t="s">
        <v>3404</v>
      </c>
      <c r="G275" s="164">
        <v>2024</v>
      </c>
      <c r="H275" s="184" t="s">
        <v>3741</v>
      </c>
      <c r="I275" s="192" t="s">
        <v>3706</v>
      </c>
      <c r="J275" s="203" t="s">
        <v>6885</v>
      </c>
      <c r="K275" s="204" t="s">
        <v>3894</v>
      </c>
      <c r="L275" s="129" t="s">
        <v>3532</v>
      </c>
      <c r="M275" s="129" t="s">
        <v>4</v>
      </c>
      <c r="N275" s="129" t="s">
        <v>50</v>
      </c>
      <c r="O275" s="129" t="s">
        <v>3406</v>
      </c>
      <c r="P275" s="146"/>
      <c r="Q275" s="170"/>
      <c r="R275" s="171"/>
      <c r="S275" s="172"/>
    </row>
    <row r="276" spans="1:19" ht="42.75">
      <c r="A276" s="164" t="s">
        <v>774</v>
      </c>
      <c r="B276" s="165" t="s">
        <v>865</v>
      </c>
      <c r="C276" s="165" t="s">
        <v>3781</v>
      </c>
      <c r="D276" s="164">
        <v>4711</v>
      </c>
      <c r="E276" s="164">
        <v>5169</v>
      </c>
      <c r="F276" s="164" t="s">
        <v>3404</v>
      </c>
      <c r="G276" s="164">
        <v>2024</v>
      </c>
      <c r="H276" s="184" t="s">
        <v>3782</v>
      </c>
      <c r="I276" s="184" t="s">
        <v>6848</v>
      </c>
      <c r="J276" s="168" t="s">
        <v>6886</v>
      </c>
      <c r="K276" s="174">
        <v>45475</v>
      </c>
      <c r="L276" s="129" t="s">
        <v>3125</v>
      </c>
      <c r="M276" s="129" t="s">
        <v>4</v>
      </c>
      <c r="N276" s="129" t="s">
        <v>50</v>
      </c>
      <c r="O276" s="129" t="s">
        <v>3406</v>
      </c>
      <c r="P276" s="146"/>
      <c r="Q276" s="170">
        <v>45475</v>
      </c>
      <c r="R276" s="171"/>
      <c r="S276" s="172"/>
    </row>
    <row r="277" spans="1:19" ht="42.75">
      <c r="A277" s="216" t="s">
        <v>774</v>
      </c>
      <c r="B277" s="165" t="s">
        <v>865</v>
      </c>
      <c r="C277" s="165" t="s">
        <v>3785</v>
      </c>
      <c r="D277" s="164">
        <v>5178</v>
      </c>
      <c r="E277" s="164">
        <v>5623</v>
      </c>
      <c r="F277" s="164" t="s">
        <v>3404</v>
      </c>
      <c r="G277" s="164">
        <v>2024</v>
      </c>
      <c r="H277" s="184" t="s">
        <v>3708</v>
      </c>
      <c r="I277" s="184" t="s">
        <v>6792</v>
      </c>
      <c r="J277" s="168" t="s">
        <v>6887</v>
      </c>
      <c r="K277" s="174">
        <v>45462</v>
      </c>
      <c r="L277" s="129" t="s">
        <v>3689</v>
      </c>
      <c r="M277" s="129" t="s">
        <v>4</v>
      </c>
      <c r="N277" s="129" t="s">
        <v>50</v>
      </c>
      <c r="O277" s="129" t="s">
        <v>3406</v>
      </c>
      <c r="P277" s="146"/>
      <c r="Q277" s="130">
        <v>45462</v>
      </c>
      <c r="R277" s="171"/>
      <c r="S277" s="172"/>
    </row>
    <row r="278" spans="1:19" ht="42.75">
      <c r="A278" s="164" t="s">
        <v>774</v>
      </c>
      <c r="B278" s="165" t="s">
        <v>865</v>
      </c>
      <c r="C278" s="165" t="s">
        <v>3786</v>
      </c>
      <c r="D278" s="164">
        <v>560</v>
      </c>
      <c r="E278" s="164">
        <v>544</v>
      </c>
      <c r="F278" s="164" t="s">
        <v>3404</v>
      </c>
      <c r="G278" s="164">
        <v>2024</v>
      </c>
      <c r="H278" s="184" t="s">
        <v>3787</v>
      </c>
      <c r="I278" s="184" t="s">
        <v>6818</v>
      </c>
      <c r="J278" s="168" t="s">
        <v>6888</v>
      </c>
      <c r="K278" s="174">
        <v>45539</v>
      </c>
      <c r="L278" s="129" t="s">
        <v>3127</v>
      </c>
      <c r="M278" s="129" t="s">
        <v>1078</v>
      </c>
      <c r="N278" s="129" t="s">
        <v>50</v>
      </c>
      <c r="O278" s="129" t="s">
        <v>3406</v>
      </c>
      <c r="P278" s="146"/>
      <c r="Q278" s="170">
        <v>45539</v>
      </c>
      <c r="R278" s="171" t="s">
        <v>6643</v>
      </c>
      <c r="S278" s="172"/>
    </row>
    <row r="279" spans="1:19" ht="42.75">
      <c r="A279" s="164" t="s">
        <v>774</v>
      </c>
      <c r="B279" s="165" t="s">
        <v>865</v>
      </c>
      <c r="C279" s="165" t="s">
        <v>3773</v>
      </c>
      <c r="D279" s="164">
        <v>7358</v>
      </c>
      <c r="E279" s="164">
        <v>8905</v>
      </c>
      <c r="F279" s="164" t="s">
        <v>3404</v>
      </c>
      <c r="G279" s="164">
        <v>2024</v>
      </c>
      <c r="H279" s="186">
        <v>45358</v>
      </c>
      <c r="I279" s="166">
        <v>45362</v>
      </c>
      <c r="J279" s="168" t="s">
        <v>6889</v>
      </c>
      <c r="K279" s="182">
        <v>45377</v>
      </c>
      <c r="L279" s="129"/>
      <c r="M279" s="129" t="s">
        <v>4</v>
      </c>
      <c r="N279" s="129" t="s">
        <v>50</v>
      </c>
      <c r="O279" s="129" t="s">
        <v>3406</v>
      </c>
      <c r="P279" s="146"/>
      <c r="Q279" s="170"/>
      <c r="R279" s="171"/>
      <c r="S279" s="172"/>
    </row>
    <row r="280" spans="1:19" ht="42.75">
      <c r="A280" s="164" t="s">
        <v>774</v>
      </c>
      <c r="B280" s="165" t="s">
        <v>865</v>
      </c>
      <c r="C280" s="165" t="s">
        <v>3783</v>
      </c>
      <c r="D280" s="164">
        <v>5900</v>
      </c>
      <c r="E280" s="164">
        <v>6290</v>
      </c>
      <c r="F280" s="164" t="s">
        <v>3404</v>
      </c>
      <c r="G280" s="164">
        <v>2024</v>
      </c>
      <c r="H280" s="184" t="s">
        <v>3742</v>
      </c>
      <c r="I280" s="184" t="s">
        <v>6821</v>
      </c>
      <c r="J280" s="168" t="s">
        <v>6890</v>
      </c>
      <c r="K280" s="174">
        <v>45474</v>
      </c>
      <c r="L280" s="129" t="s">
        <v>3125</v>
      </c>
      <c r="M280" s="129" t="s">
        <v>1078</v>
      </c>
      <c r="N280" s="129" t="s">
        <v>50</v>
      </c>
      <c r="O280" s="129" t="s">
        <v>3406</v>
      </c>
      <c r="P280" s="146"/>
      <c r="Q280" s="130">
        <v>45474</v>
      </c>
      <c r="R280" s="171"/>
      <c r="S280" s="172"/>
    </row>
    <row r="281" spans="1:19" ht="42.75">
      <c r="A281" s="164" t="s">
        <v>774</v>
      </c>
      <c r="B281" s="165" t="s">
        <v>865</v>
      </c>
      <c r="C281" s="165" t="s">
        <v>3784</v>
      </c>
      <c r="D281" s="164">
        <v>8615</v>
      </c>
      <c r="E281" s="164">
        <v>12852</v>
      </c>
      <c r="F281" s="164" t="s">
        <v>3404</v>
      </c>
      <c r="G281" s="164">
        <v>2024</v>
      </c>
      <c r="H281" s="166">
        <v>45364</v>
      </c>
      <c r="I281" s="166">
        <v>45369</v>
      </c>
      <c r="J281" s="168" t="s">
        <v>6891</v>
      </c>
      <c r="K281" s="182">
        <v>45377</v>
      </c>
      <c r="L281" s="129"/>
      <c r="M281" s="129" t="s">
        <v>1078</v>
      </c>
      <c r="N281" s="129" t="s">
        <v>50</v>
      </c>
      <c r="O281" s="129" t="s">
        <v>3406</v>
      </c>
      <c r="P281" s="146"/>
      <c r="Q281" s="170"/>
      <c r="R281" s="171"/>
      <c r="S281" s="172"/>
    </row>
    <row r="282" spans="1:19" ht="42.75">
      <c r="A282" s="164" t="s">
        <v>774</v>
      </c>
      <c r="B282" s="165" t="s">
        <v>895</v>
      </c>
      <c r="C282" s="165" t="s">
        <v>3790</v>
      </c>
      <c r="D282" s="164">
        <v>15047</v>
      </c>
      <c r="E282" s="164">
        <v>18868</v>
      </c>
      <c r="F282" s="164" t="s">
        <v>3955</v>
      </c>
      <c r="G282" s="164"/>
      <c r="H282" s="167"/>
      <c r="I282" s="167"/>
      <c r="J282" s="167"/>
      <c r="K282" s="169"/>
      <c r="L282" s="129"/>
      <c r="M282" s="129"/>
      <c r="N282" s="129"/>
      <c r="O282" s="129"/>
      <c r="P282" s="146"/>
      <c r="Q282" s="170"/>
      <c r="R282" s="171"/>
      <c r="S282" s="172"/>
    </row>
    <row r="283" spans="1:19" ht="42.75">
      <c r="A283" s="164" t="s">
        <v>774</v>
      </c>
      <c r="B283" s="165" t="s">
        <v>895</v>
      </c>
      <c r="C283" s="165" t="s">
        <v>898</v>
      </c>
      <c r="D283" s="164">
        <v>3264</v>
      </c>
      <c r="E283" s="164">
        <v>3389</v>
      </c>
      <c r="F283" s="164" t="s">
        <v>3955</v>
      </c>
      <c r="G283" s="164"/>
      <c r="H283" s="167"/>
      <c r="I283" s="167"/>
      <c r="J283" s="167"/>
      <c r="K283" s="169"/>
      <c r="L283" s="129"/>
      <c r="M283" s="129"/>
      <c r="N283" s="129"/>
      <c r="O283" s="129"/>
      <c r="P283" s="146"/>
      <c r="Q283" s="170"/>
      <c r="R283" s="171"/>
      <c r="S283" s="172"/>
    </row>
    <row r="284" spans="1:19" ht="42.75">
      <c r="A284" s="164" t="s">
        <v>774</v>
      </c>
      <c r="B284" s="165" t="s">
        <v>895</v>
      </c>
      <c r="C284" s="165" t="s">
        <v>3795</v>
      </c>
      <c r="D284" s="164">
        <v>5951</v>
      </c>
      <c r="E284" s="164">
        <v>5811</v>
      </c>
      <c r="F284" s="164" t="s">
        <v>3955</v>
      </c>
      <c r="G284" s="164"/>
      <c r="H284" s="167"/>
      <c r="I284" s="167"/>
      <c r="J284" s="167"/>
      <c r="K284" s="169"/>
      <c r="L284" s="129"/>
      <c r="M284" s="129"/>
      <c r="N284" s="129"/>
      <c r="O284" s="129"/>
      <c r="P284" s="146"/>
      <c r="Q284" s="170"/>
      <c r="R284" s="171"/>
      <c r="S284" s="172"/>
    </row>
    <row r="285" spans="1:19" ht="42.75">
      <c r="A285" s="164" t="s">
        <v>774</v>
      </c>
      <c r="B285" s="165" t="s">
        <v>895</v>
      </c>
      <c r="C285" s="165" t="s">
        <v>3798</v>
      </c>
      <c r="D285" s="164">
        <v>6427</v>
      </c>
      <c r="E285" s="164">
        <v>7665</v>
      </c>
      <c r="F285" s="164" t="s">
        <v>3404</v>
      </c>
      <c r="G285" s="164">
        <v>2024</v>
      </c>
      <c r="H285" s="175">
        <v>45575</v>
      </c>
      <c r="I285" s="175">
        <v>45580</v>
      </c>
      <c r="J285" s="168" t="s">
        <v>6892</v>
      </c>
      <c r="K285" s="174">
        <v>45581</v>
      </c>
      <c r="L285" s="129" t="s">
        <v>3128</v>
      </c>
      <c r="M285" s="129" t="s">
        <v>4</v>
      </c>
      <c r="N285" s="129" t="s">
        <v>57</v>
      </c>
      <c r="O285" s="129" t="s">
        <v>3406</v>
      </c>
      <c r="P285" s="146"/>
      <c r="Q285" s="170">
        <v>45582</v>
      </c>
      <c r="R285" s="171" t="s">
        <v>6643</v>
      </c>
      <c r="S285" s="172"/>
    </row>
    <row r="286" spans="1:19" ht="42.75">
      <c r="A286" s="164" t="s">
        <v>774</v>
      </c>
      <c r="B286" s="165" t="s">
        <v>895</v>
      </c>
      <c r="C286" s="165" t="s">
        <v>3804</v>
      </c>
      <c r="D286" s="164">
        <v>5169</v>
      </c>
      <c r="E286" s="164">
        <v>7189</v>
      </c>
      <c r="F286" s="164" t="s">
        <v>3955</v>
      </c>
      <c r="G286" s="164"/>
      <c r="H286" s="167"/>
      <c r="I286" s="167"/>
      <c r="J286" s="167"/>
      <c r="K286" s="169"/>
      <c r="L286" s="129"/>
      <c r="M286" s="129"/>
      <c r="N286" s="129"/>
      <c r="O286" s="129"/>
      <c r="P286" s="146"/>
      <c r="Q286" s="170"/>
      <c r="R286" s="171"/>
      <c r="S286" s="172"/>
    </row>
    <row r="287" spans="1:19" ht="42.75">
      <c r="A287" s="164" t="s">
        <v>774</v>
      </c>
      <c r="B287" s="165" t="s">
        <v>895</v>
      </c>
      <c r="C287" s="165" t="s">
        <v>3801</v>
      </c>
      <c r="D287" s="164">
        <v>4581</v>
      </c>
      <c r="E287" s="164">
        <v>4781</v>
      </c>
      <c r="F287" s="164" t="s">
        <v>3955</v>
      </c>
      <c r="G287" s="164"/>
      <c r="H287" s="167"/>
      <c r="I287" s="167"/>
      <c r="J287" s="167"/>
      <c r="K287" s="169"/>
      <c r="L287" s="129"/>
      <c r="M287" s="129"/>
      <c r="N287" s="129"/>
      <c r="O287" s="129"/>
      <c r="P287" s="146"/>
      <c r="Q287" s="170"/>
      <c r="R287" s="171"/>
      <c r="S287" s="172"/>
    </row>
    <row r="288" spans="1:19" ht="42.75">
      <c r="A288" s="164" t="s">
        <v>774</v>
      </c>
      <c r="B288" s="165" t="s">
        <v>895</v>
      </c>
      <c r="C288" s="165" t="s">
        <v>1056</v>
      </c>
      <c r="D288" s="164">
        <v>7938</v>
      </c>
      <c r="E288" s="164">
        <v>8458</v>
      </c>
      <c r="F288" s="164" t="s">
        <v>3955</v>
      </c>
      <c r="G288" s="164">
        <v>2025</v>
      </c>
      <c r="H288" s="167"/>
      <c r="I288" s="167"/>
      <c r="J288" s="167"/>
      <c r="K288" s="169"/>
      <c r="L288" s="129" t="s">
        <v>3424</v>
      </c>
      <c r="M288" s="129"/>
      <c r="N288" s="129"/>
      <c r="O288" s="129"/>
      <c r="P288" s="146"/>
      <c r="Q288" s="170"/>
      <c r="R288" s="171"/>
      <c r="S288" s="172"/>
    </row>
    <row r="289" spans="1:19" ht="42.75">
      <c r="A289" s="164" t="s">
        <v>774</v>
      </c>
      <c r="B289" s="165" t="s">
        <v>895</v>
      </c>
      <c r="C289" s="165" t="s">
        <v>3809</v>
      </c>
      <c r="D289" s="164">
        <v>1517</v>
      </c>
      <c r="E289" s="164">
        <v>1481</v>
      </c>
      <c r="F289" s="164" t="s">
        <v>3404</v>
      </c>
      <c r="G289" s="164">
        <v>2024</v>
      </c>
      <c r="H289" s="175">
        <v>45595</v>
      </c>
      <c r="I289" s="175">
        <v>45600</v>
      </c>
      <c r="J289" s="168" t="s">
        <v>6893</v>
      </c>
      <c r="K289" s="174">
        <v>45601</v>
      </c>
      <c r="L289" s="129" t="s">
        <v>3129</v>
      </c>
      <c r="M289" s="129" t="s">
        <v>1078</v>
      </c>
      <c r="N289" s="129" t="s">
        <v>50</v>
      </c>
      <c r="O289" s="129" t="s">
        <v>3406</v>
      </c>
      <c r="P289" s="146"/>
      <c r="Q289" s="170">
        <v>45602</v>
      </c>
      <c r="R289" s="171" t="s">
        <v>6643</v>
      </c>
      <c r="S289" s="172"/>
    </row>
    <row r="290" spans="1:19" ht="42.75">
      <c r="A290" s="164" t="s">
        <v>774</v>
      </c>
      <c r="B290" s="165" t="s">
        <v>895</v>
      </c>
      <c r="C290" s="165" t="s">
        <v>1180</v>
      </c>
      <c r="D290" s="164">
        <v>5761</v>
      </c>
      <c r="E290" s="164">
        <v>6515</v>
      </c>
      <c r="F290" s="164" t="s">
        <v>3955</v>
      </c>
      <c r="G290" s="164"/>
      <c r="H290" s="167"/>
      <c r="I290" s="167"/>
      <c r="J290" s="167"/>
      <c r="K290" s="169"/>
      <c r="L290" s="129"/>
      <c r="M290" s="129"/>
      <c r="N290" s="129"/>
      <c r="O290" s="129"/>
      <c r="P290" s="146"/>
      <c r="Q290" s="170"/>
      <c r="R290" s="171"/>
      <c r="S290" s="172"/>
    </row>
    <row r="291" spans="1:19" ht="42.75">
      <c r="A291" s="164" t="s">
        <v>774</v>
      </c>
      <c r="B291" s="165" t="s">
        <v>895</v>
      </c>
      <c r="C291" s="165" t="s">
        <v>3812</v>
      </c>
      <c r="D291" s="164">
        <v>6221</v>
      </c>
      <c r="E291" s="164">
        <v>7267</v>
      </c>
      <c r="F291" s="164" t="s">
        <v>3955</v>
      </c>
      <c r="G291" s="164"/>
      <c r="H291" s="167"/>
      <c r="I291" s="167"/>
      <c r="J291" s="167"/>
      <c r="K291" s="169"/>
      <c r="L291" s="129"/>
      <c r="M291" s="129"/>
      <c r="N291" s="129"/>
      <c r="O291" s="129"/>
      <c r="P291" s="146"/>
      <c r="Q291" s="170"/>
      <c r="R291" s="171"/>
      <c r="S291" s="172"/>
    </row>
    <row r="292" spans="1:19" ht="42.75">
      <c r="A292" s="164" t="s">
        <v>774</v>
      </c>
      <c r="B292" s="165" t="s">
        <v>895</v>
      </c>
      <c r="C292" s="165" t="s">
        <v>900</v>
      </c>
      <c r="D292" s="164">
        <v>12286</v>
      </c>
      <c r="E292" s="164">
        <v>15820</v>
      </c>
      <c r="F292" s="164" t="s">
        <v>3955</v>
      </c>
      <c r="G292" s="164"/>
      <c r="H292" s="167"/>
      <c r="I292" s="167"/>
      <c r="J292" s="167"/>
      <c r="K292" s="169"/>
      <c r="L292" s="129"/>
      <c r="M292" s="129"/>
      <c r="N292" s="129"/>
      <c r="O292" s="129"/>
      <c r="P292" s="146"/>
      <c r="Q292" s="170"/>
      <c r="R292" s="171"/>
      <c r="S292" s="172"/>
    </row>
    <row r="293" spans="1:19" ht="42.75">
      <c r="A293" s="164" t="s">
        <v>774</v>
      </c>
      <c r="B293" s="165" t="s">
        <v>895</v>
      </c>
      <c r="C293" s="165" t="s">
        <v>3797</v>
      </c>
      <c r="D293" s="164">
        <v>1837</v>
      </c>
      <c r="E293" s="164">
        <v>2663</v>
      </c>
      <c r="F293" s="164" t="s">
        <v>3404</v>
      </c>
      <c r="G293" s="164">
        <v>2024</v>
      </c>
      <c r="H293" s="175">
        <v>45581</v>
      </c>
      <c r="I293" s="175">
        <v>45586</v>
      </c>
      <c r="J293" s="200" t="s">
        <v>6894</v>
      </c>
      <c r="K293" s="174">
        <v>45593</v>
      </c>
      <c r="L293" s="129" t="s">
        <v>3129</v>
      </c>
      <c r="M293" s="129" t="s">
        <v>4</v>
      </c>
      <c r="N293" s="129" t="s">
        <v>57</v>
      </c>
      <c r="O293" s="129" t="s">
        <v>3406</v>
      </c>
      <c r="P293" s="146"/>
      <c r="Q293" s="170">
        <v>45593</v>
      </c>
      <c r="R293" s="171" t="s">
        <v>6643</v>
      </c>
      <c r="S293" s="172"/>
    </row>
    <row r="294" spans="1:19" ht="42.75">
      <c r="A294" s="164" t="s">
        <v>774</v>
      </c>
      <c r="B294" s="165" t="s">
        <v>895</v>
      </c>
      <c r="C294" s="165" t="s">
        <v>3799</v>
      </c>
      <c r="D294" s="164">
        <v>14869</v>
      </c>
      <c r="E294" s="164">
        <v>18803</v>
      </c>
      <c r="F294" s="164" t="s">
        <v>3955</v>
      </c>
      <c r="G294" s="164"/>
      <c r="H294" s="167"/>
      <c r="I294" s="167"/>
      <c r="J294" s="167"/>
      <c r="K294" s="169"/>
      <c r="L294" s="129"/>
      <c r="M294" s="129"/>
      <c r="N294" s="129"/>
      <c r="O294" s="129"/>
      <c r="P294" s="146"/>
      <c r="Q294" s="170"/>
      <c r="R294" s="171"/>
      <c r="S294" s="172"/>
    </row>
    <row r="295" spans="1:19" ht="42.75">
      <c r="A295" s="164" t="s">
        <v>774</v>
      </c>
      <c r="B295" s="165" t="s">
        <v>895</v>
      </c>
      <c r="C295" s="165" t="s">
        <v>905</v>
      </c>
      <c r="D295" s="164">
        <v>10010</v>
      </c>
      <c r="E295" s="164">
        <v>11503</v>
      </c>
      <c r="F295" s="164" t="s">
        <v>3955</v>
      </c>
      <c r="G295" s="164"/>
      <c r="H295" s="167"/>
      <c r="I295" s="167"/>
      <c r="J295" s="167"/>
      <c r="K295" s="169"/>
      <c r="L295" s="129"/>
      <c r="M295" s="129"/>
      <c r="N295" s="129"/>
      <c r="O295" s="129"/>
      <c r="P295" s="146"/>
      <c r="Q295" s="170"/>
      <c r="R295" s="171"/>
      <c r="S295" s="172"/>
    </row>
    <row r="296" spans="1:19" ht="42.75">
      <c r="A296" s="164" t="s">
        <v>774</v>
      </c>
      <c r="B296" s="165" t="s">
        <v>895</v>
      </c>
      <c r="C296" s="165" t="s">
        <v>932</v>
      </c>
      <c r="D296" s="164">
        <v>4910</v>
      </c>
      <c r="E296" s="164">
        <v>4939</v>
      </c>
      <c r="F296" s="164" t="s">
        <v>3955</v>
      </c>
      <c r="G296" s="164"/>
      <c r="H296" s="167"/>
      <c r="I296" s="167"/>
      <c r="J296" s="167"/>
      <c r="K296" s="169"/>
      <c r="L296" s="129"/>
      <c r="M296" s="129"/>
      <c r="N296" s="129"/>
      <c r="O296" s="129"/>
      <c r="P296" s="146"/>
      <c r="Q296" s="170"/>
      <c r="R296" s="171"/>
      <c r="S296" s="172"/>
    </row>
    <row r="297" spans="1:19" ht="42.75">
      <c r="A297" s="164" t="s">
        <v>774</v>
      </c>
      <c r="B297" s="165" t="s">
        <v>895</v>
      </c>
      <c r="C297" s="165" t="s">
        <v>1245</v>
      </c>
      <c r="D297" s="164">
        <v>4407</v>
      </c>
      <c r="E297" s="164">
        <v>4442</v>
      </c>
      <c r="F297" s="164" t="s">
        <v>3955</v>
      </c>
      <c r="G297" s="164"/>
      <c r="H297" s="167"/>
      <c r="I297" s="167"/>
      <c r="J297" s="167"/>
      <c r="K297" s="169"/>
      <c r="L297" s="129"/>
      <c r="M297" s="129"/>
      <c r="N297" s="129"/>
      <c r="O297" s="129"/>
      <c r="P297" s="146"/>
      <c r="Q297" s="170"/>
      <c r="R297" s="171"/>
      <c r="S297" s="172"/>
    </row>
    <row r="298" spans="1:19" ht="42.75">
      <c r="A298" s="164" t="s">
        <v>774</v>
      </c>
      <c r="B298" s="165" t="s">
        <v>895</v>
      </c>
      <c r="C298" s="165" t="s">
        <v>3806</v>
      </c>
      <c r="D298" s="164">
        <v>10461</v>
      </c>
      <c r="E298" s="164">
        <v>13082</v>
      </c>
      <c r="F298" s="164" t="s">
        <v>3404</v>
      </c>
      <c r="G298" s="164">
        <v>2024</v>
      </c>
      <c r="H298" s="184" t="s">
        <v>3807</v>
      </c>
      <c r="I298" s="184" t="s">
        <v>6895</v>
      </c>
      <c r="J298" s="168" t="s">
        <v>6896</v>
      </c>
      <c r="K298" s="174">
        <v>45581</v>
      </c>
      <c r="L298" s="129" t="s">
        <v>3128</v>
      </c>
      <c r="M298" s="129" t="s">
        <v>1078</v>
      </c>
      <c r="N298" s="129" t="s">
        <v>50</v>
      </c>
      <c r="O298" s="129" t="s">
        <v>3406</v>
      </c>
      <c r="P298" s="146"/>
      <c r="Q298" s="170">
        <v>45582</v>
      </c>
      <c r="R298" s="171" t="s">
        <v>6643</v>
      </c>
      <c r="S298" s="172"/>
    </row>
    <row r="299" spans="1:19" ht="42.75">
      <c r="A299" s="164" t="s">
        <v>774</v>
      </c>
      <c r="B299" s="165" t="s">
        <v>895</v>
      </c>
      <c r="C299" s="165" t="s">
        <v>3785</v>
      </c>
      <c r="D299" s="164">
        <v>6880</v>
      </c>
      <c r="E299" s="164">
        <v>7203</v>
      </c>
      <c r="F299" s="164" t="s">
        <v>3955</v>
      </c>
      <c r="G299" s="164"/>
      <c r="H299" s="167"/>
      <c r="I299" s="167"/>
      <c r="J299" s="167"/>
      <c r="K299" s="169"/>
      <c r="L299" s="129"/>
      <c r="M299" s="129"/>
      <c r="N299" s="129"/>
      <c r="O299" s="129"/>
      <c r="P299" s="146"/>
      <c r="Q299" s="170"/>
      <c r="R299" s="171"/>
      <c r="S299" s="172"/>
    </row>
    <row r="300" spans="1:19" ht="42.75">
      <c r="A300" s="164" t="s">
        <v>774</v>
      </c>
      <c r="B300" s="165" t="s">
        <v>1775</v>
      </c>
      <c r="C300" s="165" t="s">
        <v>1776</v>
      </c>
      <c r="D300" s="164">
        <v>5966</v>
      </c>
      <c r="E300" s="164">
        <v>7122</v>
      </c>
      <c r="F300" s="164" t="s">
        <v>3955</v>
      </c>
      <c r="G300" s="164"/>
      <c r="H300" s="167"/>
      <c r="I300" s="167"/>
      <c r="J300" s="167"/>
      <c r="K300" s="169"/>
      <c r="L300" s="129"/>
      <c r="M300" s="129"/>
      <c r="N300" s="129"/>
      <c r="O300" s="129"/>
      <c r="P300" s="146"/>
      <c r="Q300" s="170"/>
      <c r="R300" s="171"/>
      <c r="S300" s="172"/>
    </row>
    <row r="301" spans="1:19" ht="42.75">
      <c r="A301" s="164" t="s">
        <v>774</v>
      </c>
      <c r="B301" s="165" t="s">
        <v>1775</v>
      </c>
      <c r="C301" s="165" t="s">
        <v>2180</v>
      </c>
      <c r="D301" s="164">
        <v>4771</v>
      </c>
      <c r="E301" s="164">
        <v>6156</v>
      </c>
      <c r="F301" s="164" t="s">
        <v>3955</v>
      </c>
      <c r="G301" s="164"/>
      <c r="H301" s="167"/>
      <c r="I301" s="167"/>
      <c r="J301" s="167"/>
      <c r="K301" s="169"/>
      <c r="L301" s="129"/>
      <c r="M301" s="129"/>
      <c r="N301" s="129"/>
      <c r="O301" s="129"/>
      <c r="P301" s="146"/>
      <c r="Q301" s="170"/>
      <c r="R301" s="171"/>
      <c r="S301" s="172"/>
    </row>
    <row r="302" spans="1:19" ht="42.75">
      <c r="A302" s="164" t="s">
        <v>774</v>
      </c>
      <c r="B302" s="165" t="s">
        <v>1775</v>
      </c>
      <c r="C302" s="165" t="s">
        <v>3816</v>
      </c>
      <c r="D302" s="164">
        <v>6207</v>
      </c>
      <c r="E302" s="164">
        <v>6756</v>
      </c>
      <c r="F302" s="164" t="s">
        <v>3404</v>
      </c>
      <c r="G302" s="164">
        <v>2024</v>
      </c>
      <c r="H302" s="184" t="s">
        <v>3817</v>
      </c>
      <c r="I302" s="184" t="s">
        <v>6897</v>
      </c>
      <c r="J302" s="168" t="s">
        <v>6898</v>
      </c>
      <c r="K302" s="174">
        <v>45569</v>
      </c>
      <c r="L302" s="129" t="s">
        <v>3128</v>
      </c>
      <c r="M302" s="129" t="s">
        <v>4</v>
      </c>
      <c r="N302" s="129" t="s">
        <v>57</v>
      </c>
      <c r="O302" s="129" t="s">
        <v>3406</v>
      </c>
      <c r="P302" s="146"/>
      <c r="Q302" s="189">
        <v>45569</v>
      </c>
      <c r="R302" s="115" t="s">
        <v>6643</v>
      </c>
      <c r="S302" s="163"/>
    </row>
    <row r="303" spans="1:19" ht="42.75">
      <c r="A303" s="164" t="s">
        <v>774</v>
      </c>
      <c r="B303" s="165" t="s">
        <v>1775</v>
      </c>
      <c r="C303" s="165" t="s">
        <v>1056</v>
      </c>
      <c r="D303" s="164">
        <v>5511</v>
      </c>
      <c r="E303" s="164">
        <v>7329</v>
      </c>
      <c r="F303" s="164" t="s">
        <v>3404</v>
      </c>
      <c r="G303" s="164">
        <v>2024</v>
      </c>
      <c r="H303" s="184" t="s">
        <v>3737</v>
      </c>
      <c r="I303" s="184" t="s">
        <v>6781</v>
      </c>
      <c r="J303" s="168" t="s">
        <v>6899</v>
      </c>
      <c r="K303" s="174">
        <v>45552</v>
      </c>
      <c r="L303" s="129" t="s">
        <v>3127</v>
      </c>
      <c r="M303" s="129" t="s">
        <v>4</v>
      </c>
      <c r="N303" s="129" t="s">
        <v>50</v>
      </c>
      <c r="O303" s="129" t="s">
        <v>3406</v>
      </c>
      <c r="P303" s="146"/>
      <c r="Q303" s="170">
        <v>45552</v>
      </c>
      <c r="R303" s="171" t="s">
        <v>6643</v>
      </c>
      <c r="S303" s="172"/>
    </row>
    <row r="304" spans="1:19" ht="42.75">
      <c r="A304" s="164" t="s">
        <v>774</v>
      </c>
      <c r="B304" s="165" t="s">
        <v>1775</v>
      </c>
      <c r="C304" s="165" t="s">
        <v>1241</v>
      </c>
      <c r="D304" s="164">
        <v>7446</v>
      </c>
      <c r="E304" s="164">
        <v>8031</v>
      </c>
      <c r="F304" s="164" t="s">
        <v>3404</v>
      </c>
      <c r="G304" s="164">
        <v>2024</v>
      </c>
      <c r="H304" s="175">
        <v>45582</v>
      </c>
      <c r="I304" s="175">
        <v>45587</v>
      </c>
      <c r="J304" s="168" t="s">
        <v>6900</v>
      </c>
      <c r="K304" s="174">
        <v>45593</v>
      </c>
      <c r="L304" s="129" t="s">
        <v>3129</v>
      </c>
      <c r="M304" s="129" t="s">
        <v>6701</v>
      </c>
      <c r="N304" s="129" t="s">
        <v>3528</v>
      </c>
      <c r="O304" s="129" t="s">
        <v>3406</v>
      </c>
      <c r="P304" s="146"/>
      <c r="Q304" s="170">
        <v>45593</v>
      </c>
      <c r="R304" s="171" t="s">
        <v>6643</v>
      </c>
      <c r="S304" s="172"/>
    </row>
    <row r="305" spans="1:19" ht="42.75">
      <c r="A305" s="164" t="s">
        <v>774</v>
      </c>
      <c r="B305" s="165" t="s">
        <v>891</v>
      </c>
      <c r="C305" s="165" t="s">
        <v>3820</v>
      </c>
      <c r="D305" s="164">
        <v>2835</v>
      </c>
      <c r="E305" s="164">
        <v>3119</v>
      </c>
      <c r="F305" s="164" t="s">
        <v>3404</v>
      </c>
      <c r="G305" s="164">
        <v>2024</v>
      </c>
      <c r="H305" s="166">
        <v>45343</v>
      </c>
      <c r="I305" s="166">
        <v>45343</v>
      </c>
      <c r="J305" s="168" t="s">
        <v>6901</v>
      </c>
      <c r="K305" s="182">
        <v>45344</v>
      </c>
      <c r="L305" s="129"/>
      <c r="M305" s="129" t="s">
        <v>4</v>
      </c>
      <c r="N305" s="129" t="s">
        <v>50</v>
      </c>
      <c r="O305" s="129" t="s">
        <v>3406</v>
      </c>
      <c r="P305" s="146"/>
      <c r="Q305" s="170"/>
      <c r="R305" s="171"/>
      <c r="S305" s="172"/>
    </row>
    <row r="306" spans="1:19" ht="42.75">
      <c r="A306" s="164" t="s">
        <v>774</v>
      </c>
      <c r="B306" s="165" t="s">
        <v>891</v>
      </c>
      <c r="C306" s="165" t="s">
        <v>3821</v>
      </c>
      <c r="D306" s="164">
        <v>1355</v>
      </c>
      <c r="E306" s="164">
        <v>1263</v>
      </c>
      <c r="F306" s="164" t="s">
        <v>3404</v>
      </c>
      <c r="G306" s="164">
        <v>2024</v>
      </c>
      <c r="H306" s="184" t="s">
        <v>3822</v>
      </c>
      <c r="I306" s="184" t="s">
        <v>6759</v>
      </c>
      <c r="J306" s="168" t="s">
        <v>6902</v>
      </c>
      <c r="K306" s="174">
        <v>45446</v>
      </c>
      <c r="L306" s="129" t="s">
        <v>3689</v>
      </c>
      <c r="M306" s="129" t="s">
        <v>4</v>
      </c>
      <c r="N306" s="129" t="s">
        <v>50</v>
      </c>
      <c r="O306" s="129" t="s">
        <v>3406</v>
      </c>
      <c r="P306" s="146"/>
      <c r="Q306" s="170">
        <v>45447</v>
      </c>
      <c r="R306" s="171"/>
      <c r="S306" s="172"/>
    </row>
    <row r="307" spans="1:19" ht="42.75">
      <c r="A307" s="164" t="s">
        <v>774</v>
      </c>
      <c r="B307" s="165" t="s">
        <v>891</v>
      </c>
      <c r="C307" s="165" t="s">
        <v>3823</v>
      </c>
      <c r="D307" s="164">
        <v>6018</v>
      </c>
      <c r="E307" s="164">
        <v>6378</v>
      </c>
      <c r="F307" s="164" t="s">
        <v>3404</v>
      </c>
      <c r="G307" s="164">
        <v>2024</v>
      </c>
      <c r="H307" s="175">
        <v>45602</v>
      </c>
      <c r="I307" s="175">
        <v>45606</v>
      </c>
      <c r="J307" s="168" t="s">
        <v>6903</v>
      </c>
      <c r="K307" s="174">
        <v>45612</v>
      </c>
      <c r="L307" s="129" t="s">
        <v>3129</v>
      </c>
      <c r="M307" s="129" t="s">
        <v>4</v>
      </c>
      <c r="N307" s="129" t="s">
        <v>57</v>
      </c>
      <c r="O307" s="129" t="s">
        <v>3406</v>
      </c>
      <c r="P307" s="146"/>
      <c r="Q307" s="170">
        <v>45614</v>
      </c>
      <c r="R307" s="171" t="s">
        <v>6643</v>
      </c>
      <c r="S307" s="172"/>
    </row>
    <row r="308" spans="1:19" ht="42.75">
      <c r="A308" s="164" t="s">
        <v>774</v>
      </c>
      <c r="B308" s="165" t="s">
        <v>891</v>
      </c>
      <c r="C308" s="165" t="s">
        <v>3824</v>
      </c>
      <c r="D308" s="164">
        <v>1438</v>
      </c>
      <c r="E308" s="164">
        <v>1402</v>
      </c>
      <c r="F308" s="164" t="s">
        <v>3404</v>
      </c>
      <c r="G308" s="164">
        <v>2024</v>
      </c>
      <c r="H308" s="184" t="s">
        <v>3619</v>
      </c>
      <c r="I308" s="184" t="s">
        <v>6904</v>
      </c>
      <c r="J308" s="168" t="s">
        <v>6905</v>
      </c>
      <c r="K308" s="174">
        <v>45569</v>
      </c>
      <c r="L308" s="129" t="s">
        <v>3128</v>
      </c>
      <c r="M308" s="129" t="s">
        <v>4</v>
      </c>
      <c r="N308" s="129" t="s">
        <v>50</v>
      </c>
      <c r="O308" s="129" t="s">
        <v>6906</v>
      </c>
      <c r="P308" s="146"/>
      <c r="Q308" s="189">
        <v>45569</v>
      </c>
      <c r="R308" s="115" t="s">
        <v>6643</v>
      </c>
      <c r="S308" s="163"/>
    </row>
    <row r="309" spans="1:19" ht="42.75">
      <c r="A309" s="164" t="s">
        <v>774</v>
      </c>
      <c r="B309" s="165" t="s">
        <v>891</v>
      </c>
      <c r="C309" s="165" t="s">
        <v>3840</v>
      </c>
      <c r="D309" s="164">
        <v>1164</v>
      </c>
      <c r="E309" s="164">
        <v>927</v>
      </c>
      <c r="F309" s="164" t="s">
        <v>3404</v>
      </c>
      <c r="G309" s="164">
        <v>2024</v>
      </c>
      <c r="H309" s="184" t="s">
        <v>3841</v>
      </c>
      <c r="I309" s="184" t="s">
        <v>6835</v>
      </c>
      <c r="J309" s="217" t="s">
        <v>6907</v>
      </c>
      <c r="K309" s="174">
        <v>45539</v>
      </c>
      <c r="L309" s="129" t="s">
        <v>3127</v>
      </c>
      <c r="M309" s="129" t="s">
        <v>4</v>
      </c>
      <c r="N309" s="129" t="s">
        <v>57</v>
      </c>
      <c r="O309" s="129" t="s">
        <v>3406</v>
      </c>
      <c r="P309" s="146"/>
      <c r="Q309" s="170">
        <v>45539</v>
      </c>
      <c r="R309" s="171" t="s">
        <v>6643</v>
      </c>
      <c r="S309" s="172"/>
    </row>
    <row r="310" spans="1:19" ht="42.75">
      <c r="A310" s="164" t="s">
        <v>774</v>
      </c>
      <c r="B310" s="165" t="s">
        <v>891</v>
      </c>
      <c r="C310" s="165" t="s">
        <v>3827</v>
      </c>
      <c r="D310" s="164">
        <v>431</v>
      </c>
      <c r="E310" s="164">
        <v>434</v>
      </c>
      <c r="F310" s="164" t="s">
        <v>3404</v>
      </c>
      <c r="G310" s="164">
        <v>2024</v>
      </c>
      <c r="H310" s="184" t="s">
        <v>3828</v>
      </c>
      <c r="I310" s="192" t="s">
        <v>6848</v>
      </c>
      <c r="J310" s="218" t="s">
        <v>6908</v>
      </c>
      <c r="K310" s="193">
        <v>45483</v>
      </c>
      <c r="L310" s="129" t="s">
        <v>3125</v>
      </c>
      <c r="M310" s="129" t="s">
        <v>4</v>
      </c>
      <c r="N310" s="129" t="s">
        <v>57</v>
      </c>
      <c r="O310" s="129" t="s">
        <v>3406</v>
      </c>
      <c r="P310" s="146"/>
      <c r="Q310" s="219">
        <v>45483</v>
      </c>
      <c r="R310" s="171"/>
      <c r="S310" s="172"/>
    </row>
    <row r="311" spans="1:19" ht="42.75">
      <c r="A311" s="164" t="s">
        <v>774</v>
      </c>
      <c r="B311" s="165" t="s">
        <v>891</v>
      </c>
      <c r="C311" s="165" t="s">
        <v>3829</v>
      </c>
      <c r="D311" s="164">
        <v>1249</v>
      </c>
      <c r="E311" s="164">
        <v>1788</v>
      </c>
      <c r="F311" s="164" t="s">
        <v>3404</v>
      </c>
      <c r="G311" s="164">
        <v>2024</v>
      </c>
      <c r="H311" s="184" t="s">
        <v>3830</v>
      </c>
      <c r="I311" s="184" t="s">
        <v>6876</v>
      </c>
      <c r="J311" s="168" t="s">
        <v>6909</v>
      </c>
      <c r="K311" s="174">
        <v>45488</v>
      </c>
      <c r="L311" s="129" t="s">
        <v>3125</v>
      </c>
      <c r="M311" s="129" t="s">
        <v>4</v>
      </c>
      <c r="N311" s="129" t="s">
        <v>57</v>
      </c>
      <c r="O311" s="129" t="s">
        <v>3406</v>
      </c>
      <c r="P311" s="146"/>
      <c r="Q311" s="170">
        <v>45489</v>
      </c>
      <c r="R311" s="171"/>
      <c r="S311" s="172"/>
    </row>
    <row r="312" spans="1:19" ht="42.75">
      <c r="A312" s="164" t="s">
        <v>774</v>
      </c>
      <c r="B312" s="165" t="s">
        <v>891</v>
      </c>
      <c r="C312" s="165" t="s">
        <v>3833</v>
      </c>
      <c r="D312" s="164">
        <v>3021</v>
      </c>
      <c r="E312" s="164">
        <v>2975</v>
      </c>
      <c r="F312" s="164" t="s">
        <v>3404</v>
      </c>
      <c r="G312" s="164">
        <v>2024</v>
      </c>
      <c r="H312" s="184" t="s">
        <v>3612</v>
      </c>
      <c r="I312" s="184" t="s">
        <v>6777</v>
      </c>
      <c r="J312" s="168" t="s">
        <v>6910</v>
      </c>
      <c r="K312" s="174">
        <v>45565</v>
      </c>
      <c r="L312" s="129" t="s">
        <v>3128</v>
      </c>
      <c r="M312" s="129" t="s">
        <v>4</v>
      </c>
      <c r="N312" s="129" t="s">
        <v>57</v>
      </c>
      <c r="O312" s="129" t="s">
        <v>3834</v>
      </c>
      <c r="P312" s="146"/>
      <c r="Q312" s="189">
        <v>45565</v>
      </c>
      <c r="R312" s="115" t="s">
        <v>6643</v>
      </c>
      <c r="S312" s="163"/>
    </row>
    <row r="313" spans="1:19" ht="42.75">
      <c r="A313" s="164" t="s">
        <v>774</v>
      </c>
      <c r="B313" s="165" t="s">
        <v>891</v>
      </c>
      <c r="C313" s="165" t="s">
        <v>1400</v>
      </c>
      <c r="D313" s="164">
        <v>690</v>
      </c>
      <c r="E313" s="164">
        <v>530</v>
      </c>
      <c r="F313" s="164" t="s">
        <v>3404</v>
      </c>
      <c r="G313" s="164">
        <v>2024</v>
      </c>
      <c r="H313" s="184" t="s">
        <v>3836</v>
      </c>
      <c r="I313" s="184" t="s">
        <v>3415</v>
      </c>
      <c r="J313" s="168" t="s">
        <v>6911</v>
      </c>
      <c r="K313" s="174">
        <v>45489</v>
      </c>
      <c r="L313" s="129" t="s">
        <v>3125</v>
      </c>
      <c r="M313" s="129" t="s">
        <v>1078</v>
      </c>
      <c r="N313" s="129" t="s">
        <v>57</v>
      </c>
      <c r="O313" s="129" t="s">
        <v>3406</v>
      </c>
      <c r="P313" s="146"/>
      <c r="Q313" s="170">
        <v>45490</v>
      </c>
      <c r="R313" s="171"/>
      <c r="S313" s="172"/>
    </row>
    <row r="314" spans="1:19" ht="42.75">
      <c r="A314" s="164" t="s">
        <v>774</v>
      </c>
      <c r="B314" s="165" t="s">
        <v>891</v>
      </c>
      <c r="C314" s="165" t="s">
        <v>3837</v>
      </c>
      <c r="D314" s="164">
        <v>4380</v>
      </c>
      <c r="E314" s="164">
        <v>4746</v>
      </c>
      <c r="F314" s="164" t="s">
        <v>3404</v>
      </c>
      <c r="G314" s="164">
        <v>2024</v>
      </c>
      <c r="H314" s="166">
        <v>45344</v>
      </c>
      <c r="I314" s="166">
        <v>45344</v>
      </c>
      <c r="J314" s="168" t="s">
        <v>6912</v>
      </c>
      <c r="K314" s="182">
        <v>45344</v>
      </c>
      <c r="L314" s="129"/>
      <c r="M314" s="129" t="s">
        <v>4</v>
      </c>
      <c r="N314" s="129" t="s">
        <v>50</v>
      </c>
      <c r="O314" s="129" t="s">
        <v>3406</v>
      </c>
      <c r="P314" s="146"/>
      <c r="Q314" s="170"/>
      <c r="R314" s="171"/>
      <c r="S314" s="172"/>
    </row>
    <row r="315" spans="1:19" ht="42.75">
      <c r="A315" s="164" t="s">
        <v>774</v>
      </c>
      <c r="B315" s="165" t="s">
        <v>891</v>
      </c>
      <c r="C315" s="165" t="s">
        <v>892</v>
      </c>
      <c r="D315" s="164">
        <v>2486</v>
      </c>
      <c r="E315" s="164">
        <v>2802</v>
      </c>
      <c r="F315" s="164" t="s">
        <v>3404</v>
      </c>
      <c r="G315" s="164">
        <v>2024</v>
      </c>
      <c r="H315" s="184" t="s">
        <v>3839</v>
      </c>
      <c r="I315" s="184" t="s">
        <v>6913</v>
      </c>
      <c r="J315" s="168" t="s">
        <v>6914</v>
      </c>
      <c r="K315" s="174">
        <v>45510</v>
      </c>
      <c r="L315" s="129" t="s">
        <v>3126</v>
      </c>
      <c r="M315" s="129" t="s">
        <v>4</v>
      </c>
      <c r="N315" s="129" t="s">
        <v>50</v>
      </c>
      <c r="O315" s="129" t="s">
        <v>3406</v>
      </c>
      <c r="P315" s="146"/>
      <c r="Q315" s="130">
        <v>45510</v>
      </c>
      <c r="R315" s="171" t="s">
        <v>6643</v>
      </c>
      <c r="S315" s="172"/>
    </row>
    <row r="316" spans="1:19" ht="42.75">
      <c r="A316" s="164" t="s">
        <v>774</v>
      </c>
      <c r="B316" s="165" t="s">
        <v>891</v>
      </c>
      <c r="C316" s="165" t="s">
        <v>3842</v>
      </c>
      <c r="D316" s="164">
        <v>2581</v>
      </c>
      <c r="E316" s="164">
        <v>2521</v>
      </c>
      <c r="F316" s="164" t="s">
        <v>3404</v>
      </c>
      <c r="G316" s="164">
        <v>2024</v>
      </c>
      <c r="H316" s="166">
        <v>45350</v>
      </c>
      <c r="I316" s="166">
        <v>45350</v>
      </c>
      <c r="J316" s="168" t="s">
        <v>6915</v>
      </c>
      <c r="K316" s="187">
        <v>45352</v>
      </c>
      <c r="L316" s="129"/>
      <c r="M316" s="129" t="s">
        <v>4</v>
      </c>
      <c r="N316" s="129" t="s">
        <v>57</v>
      </c>
      <c r="O316" s="129" t="s">
        <v>3406</v>
      </c>
      <c r="P316" s="146"/>
      <c r="Q316" s="170"/>
      <c r="R316" s="171"/>
      <c r="S316" s="172"/>
    </row>
    <row r="317" spans="1:19" ht="42.75">
      <c r="A317" s="164" t="s">
        <v>774</v>
      </c>
      <c r="B317" s="165" t="s">
        <v>891</v>
      </c>
      <c r="C317" s="185" t="s">
        <v>3843</v>
      </c>
      <c r="D317" s="164">
        <v>2250</v>
      </c>
      <c r="E317" s="164">
        <v>2269</v>
      </c>
      <c r="F317" s="164" t="s">
        <v>3404</v>
      </c>
      <c r="G317" s="164">
        <v>2024</v>
      </c>
      <c r="H317" s="186">
        <v>45387</v>
      </c>
      <c r="I317" s="186">
        <v>45389</v>
      </c>
      <c r="J317" s="168" t="s">
        <v>6916</v>
      </c>
      <c r="K317" s="190" t="s">
        <v>3539</v>
      </c>
      <c r="L317" s="129" t="s">
        <v>3470</v>
      </c>
      <c r="M317" s="129" t="s">
        <v>4</v>
      </c>
      <c r="N317" s="129" t="s">
        <v>50</v>
      </c>
      <c r="O317" s="129" t="s">
        <v>3406</v>
      </c>
      <c r="P317" s="146"/>
      <c r="Q317" s="170"/>
      <c r="R317" s="171"/>
      <c r="S317" s="172"/>
    </row>
    <row r="318" spans="1:19" ht="42.75">
      <c r="A318" s="164" t="s">
        <v>774</v>
      </c>
      <c r="B318" s="165" t="s">
        <v>891</v>
      </c>
      <c r="C318" s="183" t="s">
        <v>3844</v>
      </c>
      <c r="D318" s="164">
        <v>5563</v>
      </c>
      <c r="E318" s="164">
        <v>5612</v>
      </c>
      <c r="F318" s="164" t="s">
        <v>3404</v>
      </c>
      <c r="G318" s="164">
        <v>2024</v>
      </c>
      <c r="H318" s="188" t="s">
        <v>3595</v>
      </c>
      <c r="I318" s="167" t="s">
        <v>6917</v>
      </c>
      <c r="J318" s="168" t="s">
        <v>6918</v>
      </c>
      <c r="K318" s="180" t="s">
        <v>3751</v>
      </c>
      <c r="L318" s="129" t="s">
        <v>3532</v>
      </c>
      <c r="M318" s="129" t="s">
        <v>4</v>
      </c>
      <c r="N318" s="129" t="s">
        <v>50</v>
      </c>
      <c r="O318" s="129" t="s">
        <v>3406</v>
      </c>
      <c r="P318" s="146"/>
      <c r="Q318" s="170"/>
      <c r="R318" s="171"/>
      <c r="S318" s="172"/>
    </row>
    <row r="319" spans="1:19" ht="42.75">
      <c r="A319" s="164" t="s">
        <v>774</v>
      </c>
      <c r="B319" s="165" t="s">
        <v>891</v>
      </c>
      <c r="C319" s="165" t="s">
        <v>3845</v>
      </c>
      <c r="D319" s="164">
        <v>1407</v>
      </c>
      <c r="E319" s="164">
        <v>1305</v>
      </c>
      <c r="F319" s="164" t="s">
        <v>3404</v>
      </c>
      <c r="G319" s="164">
        <v>2024</v>
      </c>
      <c r="H319" s="166">
        <v>45344</v>
      </c>
      <c r="I319" s="166">
        <v>45344</v>
      </c>
      <c r="J319" s="168" t="s">
        <v>6919</v>
      </c>
      <c r="K319" s="182">
        <v>45344</v>
      </c>
      <c r="L319" s="129"/>
      <c r="M319" s="129" t="s">
        <v>4</v>
      </c>
      <c r="N319" s="129" t="s">
        <v>57</v>
      </c>
      <c r="O319" s="129" t="s">
        <v>3406</v>
      </c>
      <c r="P319" s="146"/>
      <c r="Q319" s="170"/>
      <c r="R319" s="171"/>
      <c r="S319" s="172"/>
    </row>
    <row r="320" spans="1:19" ht="42.75">
      <c r="A320" s="164" t="s">
        <v>774</v>
      </c>
      <c r="B320" s="165" t="s">
        <v>891</v>
      </c>
      <c r="C320" s="165" t="s">
        <v>3825</v>
      </c>
      <c r="D320" s="164">
        <v>501</v>
      </c>
      <c r="E320" s="164">
        <v>491</v>
      </c>
      <c r="F320" s="164" t="s">
        <v>3404</v>
      </c>
      <c r="G320" s="164">
        <v>2024</v>
      </c>
      <c r="H320" s="184" t="s">
        <v>3826</v>
      </c>
      <c r="I320" s="184" t="s">
        <v>3759</v>
      </c>
      <c r="J320" s="168" t="s">
        <v>6920</v>
      </c>
      <c r="K320" s="180" t="s">
        <v>3920</v>
      </c>
      <c r="L320" s="129" t="s">
        <v>3532</v>
      </c>
      <c r="M320" s="129" t="s">
        <v>4</v>
      </c>
      <c r="N320" s="129" t="s">
        <v>50</v>
      </c>
      <c r="O320" s="129" t="s">
        <v>3406</v>
      </c>
      <c r="P320" s="146"/>
      <c r="Q320" s="170">
        <v>45432</v>
      </c>
      <c r="R320" s="171"/>
      <c r="S320" s="172"/>
    </row>
    <row r="321" spans="1:19" ht="42.75">
      <c r="A321" s="164" t="s">
        <v>774</v>
      </c>
      <c r="B321" s="165" t="s">
        <v>891</v>
      </c>
      <c r="C321" s="165" t="s">
        <v>3848</v>
      </c>
      <c r="D321" s="164">
        <v>1283</v>
      </c>
      <c r="E321" s="164">
        <v>1366</v>
      </c>
      <c r="F321" s="164" t="s">
        <v>3404</v>
      </c>
      <c r="G321" s="164">
        <v>2024</v>
      </c>
      <c r="H321" s="175">
        <v>45595</v>
      </c>
      <c r="I321" s="175">
        <v>45596</v>
      </c>
      <c r="J321" s="168" t="s">
        <v>6921</v>
      </c>
      <c r="K321" s="174">
        <v>45601</v>
      </c>
      <c r="L321" s="129" t="s">
        <v>3129</v>
      </c>
      <c r="M321" s="129" t="s">
        <v>4</v>
      </c>
      <c r="N321" s="129" t="s">
        <v>57</v>
      </c>
      <c r="O321" s="129" t="s">
        <v>3406</v>
      </c>
      <c r="P321" s="146"/>
      <c r="Q321" s="170">
        <v>45602</v>
      </c>
      <c r="R321" s="171" t="s">
        <v>6643</v>
      </c>
      <c r="S321" s="172"/>
    </row>
    <row r="322" spans="1:19" ht="42.75">
      <c r="A322" s="164" t="s">
        <v>774</v>
      </c>
      <c r="B322" s="165" t="s">
        <v>891</v>
      </c>
      <c r="C322" s="165" t="s">
        <v>3849</v>
      </c>
      <c r="D322" s="164">
        <v>510</v>
      </c>
      <c r="E322" s="164">
        <v>583</v>
      </c>
      <c r="F322" s="164" t="s">
        <v>3404</v>
      </c>
      <c r="G322" s="164">
        <v>2024</v>
      </c>
      <c r="H322" s="166">
        <v>45350</v>
      </c>
      <c r="I322" s="166">
        <v>45350</v>
      </c>
      <c r="J322" s="168" t="s">
        <v>6922</v>
      </c>
      <c r="K322" s="187">
        <v>45352</v>
      </c>
      <c r="L322" s="129"/>
      <c r="M322" s="129" t="s">
        <v>4</v>
      </c>
      <c r="N322" s="129" t="s">
        <v>50</v>
      </c>
      <c r="O322" s="129" t="s">
        <v>3406</v>
      </c>
      <c r="P322" s="146"/>
      <c r="Q322" s="170"/>
      <c r="R322" s="171"/>
      <c r="S322" s="172"/>
    </row>
    <row r="323" spans="1:19" ht="42.75">
      <c r="A323" s="164" t="s">
        <v>774</v>
      </c>
      <c r="B323" s="165" t="s">
        <v>891</v>
      </c>
      <c r="C323" s="183" t="s">
        <v>3851</v>
      </c>
      <c r="D323" s="164">
        <v>1467</v>
      </c>
      <c r="E323" s="164">
        <v>1632</v>
      </c>
      <c r="F323" s="164" t="s">
        <v>3404</v>
      </c>
      <c r="G323" s="164">
        <v>2024</v>
      </c>
      <c r="H323" s="188" t="s">
        <v>3540</v>
      </c>
      <c r="I323" s="184" t="s">
        <v>3741</v>
      </c>
      <c r="J323" s="168" t="s">
        <v>6923</v>
      </c>
      <c r="K323" s="180" t="s">
        <v>3706</v>
      </c>
      <c r="L323" s="129" t="s">
        <v>3532</v>
      </c>
      <c r="M323" s="129" t="s">
        <v>4</v>
      </c>
      <c r="N323" s="129" t="s">
        <v>50</v>
      </c>
      <c r="O323" s="129" t="s">
        <v>3406</v>
      </c>
      <c r="P323" s="146"/>
      <c r="Q323" s="170"/>
      <c r="R323" s="171"/>
      <c r="S323" s="172"/>
    </row>
    <row r="324" spans="1:19" ht="42.75">
      <c r="A324" s="164" t="s">
        <v>774</v>
      </c>
      <c r="B324" s="165" t="s">
        <v>891</v>
      </c>
      <c r="C324" s="165" t="s">
        <v>3852</v>
      </c>
      <c r="D324" s="164">
        <v>2493</v>
      </c>
      <c r="E324" s="164">
        <v>2511</v>
      </c>
      <c r="F324" s="164" t="s">
        <v>3404</v>
      </c>
      <c r="G324" s="164">
        <v>2024</v>
      </c>
      <c r="H324" s="166">
        <v>45371</v>
      </c>
      <c r="I324" s="166">
        <v>45372</v>
      </c>
      <c r="J324" s="168" t="s">
        <v>6924</v>
      </c>
      <c r="K324" s="182">
        <v>45377</v>
      </c>
      <c r="L324" s="129"/>
      <c r="M324" s="129"/>
      <c r="N324" s="129"/>
      <c r="O324" s="129" t="s">
        <v>3406</v>
      </c>
      <c r="P324" s="146"/>
      <c r="Q324" s="170"/>
      <c r="R324" s="171"/>
      <c r="S324" s="172"/>
    </row>
    <row r="325" spans="1:19" ht="42.75">
      <c r="A325" s="164" t="s">
        <v>774</v>
      </c>
      <c r="B325" s="165" t="s">
        <v>891</v>
      </c>
      <c r="C325" s="165" t="s">
        <v>3854</v>
      </c>
      <c r="D325" s="164">
        <v>5023</v>
      </c>
      <c r="E325" s="164">
        <v>4928</v>
      </c>
      <c r="F325" s="164" t="s">
        <v>3404</v>
      </c>
      <c r="G325" s="164">
        <v>2024</v>
      </c>
      <c r="H325" s="166">
        <v>45363</v>
      </c>
      <c r="I325" s="166">
        <v>45363</v>
      </c>
      <c r="J325" s="168" t="s">
        <v>6925</v>
      </c>
      <c r="K325" s="182">
        <v>45377</v>
      </c>
      <c r="L325" s="129"/>
      <c r="M325" s="129" t="s">
        <v>4</v>
      </c>
      <c r="N325" s="129" t="s">
        <v>50</v>
      </c>
      <c r="O325" s="129" t="s">
        <v>3406</v>
      </c>
      <c r="P325" s="146"/>
      <c r="Q325" s="170"/>
      <c r="R325" s="171"/>
      <c r="S325" s="172"/>
    </row>
    <row r="326" spans="1:19" ht="42.75">
      <c r="A326" s="164" t="s">
        <v>774</v>
      </c>
      <c r="B326" s="165" t="s">
        <v>891</v>
      </c>
      <c r="C326" s="183" t="s">
        <v>3855</v>
      </c>
      <c r="D326" s="164">
        <v>1968</v>
      </c>
      <c r="E326" s="164">
        <v>1672</v>
      </c>
      <c r="F326" s="164" t="s">
        <v>3404</v>
      </c>
      <c r="G326" s="164">
        <v>2024</v>
      </c>
      <c r="H326" s="188" t="s">
        <v>3856</v>
      </c>
      <c r="I326" s="188" t="s">
        <v>3856</v>
      </c>
      <c r="J326" s="168" t="s">
        <v>6926</v>
      </c>
      <c r="K326" s="180" t="s">
        <v>3751</v>
      </c>
      <c r="L326" s="129" t="s">
        <v>3532</v>
      </c>
      <c r="M326" s="129"/>
      <c r="N326" s="129"/>
      <c r="O326" s="129" t="s">
        <v>3406</v>
      </c>
      <c r="P326" s="146"/>
      <c r="Q326" s="170"/>
      <c r="R326" s="171"/>
      <c r="S326" s="172"/>
    </row>
    <row r="327" spans="1:19" ht="42.75">
      <c r="A327" s="164" t="s">
        <v>774</v>
      </c>
      <c r="B327" s="165" t="s">
        <v>891</v>
      </c>
      <c r="C327" s="165" t="s">
        <v>3857</v>
      </c>
      <c r="D327" s="164">
        <v>6856</v>
      </c>
      <c r="E327" s="164">
        <v>8138</v>
      </c>
      <c r="F327" s="164" t="s">
        <v>3404</v>
      </c>
      <c r="G327" s="164">
        <v>2024</v>
      </c>
      <c r="H327" s="175">
        <v>45595</v>
      </c>
      <c r="I327" s="175">
        <v>45600</v>
      </c>
      <c r="J327" s="168" t="s">
        <v>6927</v>
      </c>
      <c r="K327" s="174">
        <v>45601</v>
      </c>
      <c r="L327" s="129" t="s">
        <v>3129</v>
      </c>
      <c r="M327" s="129" t="s">
        <v>4</v>
      </c>
      <c r="N327" s="129" t="s">
        <v>57</v>
      </c>
      <c r="O327" s="129" t="s">
        <v>3406</v>
      </c>
      <c r="P327" s="146"/>
      <c r="Q327" s="170">
        <v>45602</v>
      </c>
      <c r="R327" s="171" t="s">
        <v>6643</v>
      </c>
      <c r="S327" s="172"/>
    </row>
    <row r="328" spans="1:19" ht="42.75">
      <c r="A328" s="164" t="s">
        <v>774</v>
      </c>
      <c r="B328" s="165" t="s">
        <v>891</v>
      </c>
      <c r="C328" s="183" t="s">
        <v>3605</v>
      </c>
      <c r="D328" s="164">
        <v>729</v>
      </c>
      <c r="E328" s="164">
        <v>698</v>
      </c>
      <c r="F328" s="164" t="s">
        <v>3404</v>
      </c>
      <c r="G328" s="164">
        <v>2024</v>
      </c>
      <c r="H328" s="184" t="s">
        <v>3858</v>
      </c>
      <c r="I328" s="184" t="s">
        <v>6807</v>
      </c>
      <c r="J328" s="168" t="s">
        <v>6928</v>
      </c>
      <c r="K328" s="180" t="s">
        <v>6809</v>
      </c>
      <c r="L328" s="129" t="s">
        <v>3532</v>
      </c>
      <c r="M328" s="129" t="s">
        <v>4</v>
      </c>
      <c r="N328" s="129" t="s">
        <v>50</v>
      </c>
      <c r="O328" s="129" t="s">
        <v>3406</v>
      </c>
      <c r="P328" s="146"/>
      <c r="Q328" s="170"/>
      <c r="R328" s="171"/>
      <c r="S328" s="172"/>
    </row>
    <row r="329" spans="1:19" ht="42.75">
      <c r="A329" s="164" t="s">
        <v>774</v>
      </c>
      <c r="B329" s="165" t="s">
        <v>891</v>
      </c>
      <c r="C329" s="183" t="s">
        <v>3818</v>
      </c>
      <c r="D329" s="164">
        <v>1955</v>
      </c>
      <c r="E329" s="164">
        <v>1865</v>
      </c>
      <c r="F329" s="164" t="s">
        <v>3404</v>
      </c>
      <c r="G329" s="164">
        <v>2024</v>
      </c>
      <c r="H329" s="184" t="s">
        <v>3819</v>
      </c>
      <c r="I329" s="184" t="s">
        <v>3894</v>
      </c>
      <c r="J329" s="168" t="s">
        <v>6929</v>
      </c>
      <c r="K329" s="180" t="s">
        <v>6770</v>
      </c>
      <c r="L329" s="129" t="s">
        <v>3532</v>
      </c>
      <c r="M329" s="129"/>
      <c r="N329" s="129"/>
      <c r="O329" s="129" t="s">
        <v>3406</v>
      </c>
      <c r="P329" s="146"/>
      <c r="Q329" s="170"/>
      <c r="R329" s="171"/>
      <c r="S329" s="172"/>
    </row>
    <row r="330" spans="1:19" ht="42.75">
      <c r="A330" s="164" t="s">
        <v>774</v>
      </c>
      <c r="B330" s="165" t="s">
        <v>891</v>
      </c>
      <c r="C330" s="165" t="s">
        <v>3831</v>
      </c>
      <c r="D330" s="164">
        <v>2462</v>
      </c>
      <c r="E330" s="164">
        <v>3019</v>
      </c>
      <c r="F330" s="164" t="s">
        <v>3955</v>
      </c>
      <c r="G330" s="164">
        <v>2025</v>
      </c>
      <c r="H330" s="167"/>
      <c r="I330" s="167"/>
      <c r="J330" s="167"/>
      <c r="K330" s="169"/>
      <c r="L330" s="129" t="s">
        <v>3424</v>
      </c>
      <c r="M330" s="129"/>
      <c r="N330" s="129"/>
      <c r="O330" s="129"/>
      <c r="P330" s="146"/>
      <c r="Q330" s="170"/>
      <c r="R330" s="171"/>
      <c r="S330" s="172"/>
    </row>
    <row r="331" spans="1:19" ht="42.75">
      <c r="A331" s="164" t="s">
        <v>774</v>
      </c>
      <c r="B331" s="165" t="s">
        <v>891</v>
      </c>
      <c r="C331" s="165" t="s">
        <v>3835</v>
      </c>
      <c r="D331" s="164">
        <v>2146</v>
      </c>
      <c r="E331" s="164">
        <v>2192</v>
      </c>
      <c r="F331" s="164" t="s">
        <v>3404</v>
      </c>
      <c r="G331" s="164">
        <v>2024</v>
      </c>
      <c r="H331" s="166">
        <v>45343</v>
      </c>
      <c r="I331" s="166">
        <v>45343</v>
      </c>
      <c r="J331" s="168" t="s">
        <v>6930</v>
      </c>
      <c r="K331" s="182">
        <v>45344</v>
      </c>
      <c r="L331" s="129"/>
      <c r="M331" s="129" t="s">
        <v>4</v>
      </c>
      <c r="N331" s="129" t="s">
        <v>50</v>
      </c>
      <c r="O331" s="129" t="s">
        <v>3406</v>
      </c>
      <c r="P331" s="146"/>
      <c r="Q331" s="170"/>
      <c r="R331" s="171"/>
      <c r="S331" s="172"/>
    </row>
    <row r="332" spans="1:19" ht="42.75">
      <c r="A332" s="164" t="s">
        <v>774</v>
      </c>
      <c r="B332" s="165" t="s">
        <v>891</v>
      </c>
      <c r="C332" s="165" t="s">
        <v>3846</v>
      </c>
      <c r="D332" s="164">
        <v>645</v>
      </c>
      <c r="E332" s="164">
        <v>625</v>
      </c>
      <c r="F332" s="164" t="s">
        <v>3404</v>
      </c>
      <c r="G332" s="164">
        <v>2024</v>
      </c>
      <c r="H332" s="184" t="s">
        <v>3847</v>
      </c>
      <c r="I332" s="184" t="s">
        <v>6931</v>
      </c>
      <c r="J332" s="168" t="s">
        <v>6932</v>
      </c>
      <c r="K332" s="174">
        <v>45462</v>
      </c>
      <c r="L332" s="129" t="s">
        <v>3689</v>
      </c>
      <c r="M332" s="129" t="s">
        <v>4</v>
      </c>
      <c r="N332" s="129" t="s">
        <v>57</v>
      </c>
      <c r="O332" s="129" t="s">
        <v>3406</v>
      </c>
      <c r="P332" s="146"/>
      <c r="Q332" s="130">
        <v>45462</v>
      </c>
      <c r="R332" s="171"/>
      <c r="S332" s="172"/>
    </row>
    <row r="333" spans="1:19" ht="42.75">
      <c r="A333" s="164" t="s">
        <v>774</v>
      </c>
      <c r="B333" s="165" t="s">
        <v>891</v>
      </c>
      <c r="C333" s="165" t="s">
        <v>1315</v>
      </c>
      <c r="D333" s="164">
        <v>2003</v>
      </c>
      <c r="E333" s="164">
        <v>2551</v>
      </c>
      <c r="F333" s="164" t="s">
        <v>3404</v>
      </c>
      <c r="G333" s="164">
        <v>2024</v>
      </c>
      <c r="H333" s="184" t="s">
        <v>3850</v>
      </c>
      <c r="I333" s="184" t="s">
        <v>6879</v>
      </c>
      <c r="J333" s="168" t="s">
        <v>6933</v>
      </c>
      <c r="K333" s="174">
        <v>45544</v>
      </c>
      <c r="L333" s="129" t="s">
        <v>3127</v>
      </c>
      <c r="M333" s="129" t="s">
        <v>4</v>
      </c>
      <c r="N333" s="129" t="s">
        <v>50</v>
      </c>
      <c r="O333" s="129" t="s">
        <v>3406</v>
      </c>
      <c r="P333" s="146"/>
      <c r="Q333" s="170">
        <v>45545</v>
      </c>
      <c r="R333" s="171" t="s">
        <v>6643</v>
      </c>
      <c r="S333" s="172"/>
    </row>
    <row r="334" spans="1:19" ht="42.75">
      <c r="A334" s="164" t="s">
        <v>774</v>
      </c>
      <c r="B334" s="165" t="s">
        <v>861</v>
      </c>
      <c r="C334" s="165" t="s">
        <v>3860</v>
      </c>
      <c r="D334" s="164">
        <v>644</v>
      </c>
      <c r="E334" s="164">
        <v>516</v>
      </c>
      <c r="F334" s="164" t="s">
        <v>3404</v>
      </c>
      <c r="G334" s="164">
        <v>2024</v>
      </c>
      <c r="H334" s="166">
        <v>45363</v>
      </c>
      <c r="I334" s="220">
        <v>45369</v>
      </c>
      <c r="J334" s="179" t="s">
        <v>6934</v>
      </c>
      <c r="K334" s="182">
        <v>45377</v>
      </c>
      <c r="L334" s="129"/>
      <c r="M334" s="129" t="s">
        <v>4</v>
      </c>
      <c r="N334" s="129" t="s">
        <v>50</v>
      </c>
      <c r="O334" s="129" t="s">
        <v>3406</v>
      </c>
      <c r="P334" s="146"/>
      <c r="Q334" s="170"/>
      <c r="R334" s="171"/>
      <c r="S334" s="172"/>
    </row>
    <row r="335" spans="1:19" ht="42.75">
      <c r="A335" s="164" t="s">
        <v>774</v>
      </c>
      <c r="B335" s="165" t="s">
        <v>861</v>
      </c>
      <c r="C335" s="165" t="s">
        <v>3608</v>
      </c>
      <c r="D335" s="164">
        <v>1309</v>
      </c>
      <c r="E335" s="164">
        <v>1146</v>
      </c>
      <c r="F335" s="164" t="s">
        <v>3404</v>
      </c>
      <c r="G335" s="164">
        <v>2024</v>
      </c>
      <c r="H335" s="184" t="s">
        <v>3861</v>
      </c>
      <c r="I335" s="184" t="s">
        <v>6935</v>
      </c>
      <c r="J335" s="168" t="s">
        <v>6936</v>
      </c>
      <c r="K335" s="174">
        <v>45569</v>
      </c>
      <c r="L335" s="129" t="s">
        <v>3128</v>
      </c>
      <c r="M335" s="129" t="s">
        <v>4</v>
      </c>
      <c r="N335" s="129" t="s">
        <v>50</v>
      </c>
      <c r="O335" s="129" t="s">
        <v>3406</v>
      </c>
      <c r="P335" s="146"/>
      <c r="Q335" s="189">
        <v>45569</v>
      </c>
      <c r="R335" s="115" t="s">
        <v>6643</v>
      </c>
      <c r="S335" s="163"/>
    </row>
    <row r="336" spans="1:19" ht="42.75">
      <c r="A336" s="164" t="s">
        <v>774</v>
      </c>
      <c r="B336" s="165" t="s">
        <v>861</v>
      </c>
      <c r="C336" s="165" t="s">
        <v>3862</v>
      </c>
      <c r="D336" s="164">
        <v>1963</v>
      </c>
      <c r="E336" s="164">
        <v>1995</v>
      </c>
      <c r="F336" s="164" t="s">
        <v>3404</v>
      </c>
      <c r="G336" s="164">
        <v>2024</v>
      </c>
      <c r="H336" s="175">
        <v>45427</v>
      </c>
      <c r="I336" s="184" t="s">
        <v>6863</v>
      </c>
      <c r="J336" s="168" t="s">
        <v>6937</v>
      </c>
      <c r="K336" s="180" t="s">
        <v>6863</v>
      </c>
      <c r="L336" s="129" t="s">
        <v>3689</v>
      </c>
      <c r="M336" s="129" t="s">
        <v>4</v>
      </c>
      <c r="N336" s="129" t="s">
        <v>50</v>
      </c>
      <c r="O336" s="129" t="s">
        <v>3406</v>
      </c>
      <c r="P336" s="146"/>
      <c r="Q336" s="170">
        <v>45433</v>
      </c>
      <c r="R336" s="171"/>
      <c r="S336" s="172"/>
    </row>
    <row r="337" spans="1:19" ht="42.75">
      <c r="A337" s="164" t="s">
        <v>774</v>
      </c>
      <c r="B337" s="165" t="s">
        <v>861</v>
      </c>
      <c r="C337" s="165" t="s">
        <v>3821</v>
      </c>
      <c r="D337" s="164">
        <v>1391</v>
      </c>
      <c r="E337" s="164">
        <v>1399</v>
      </c>
      <c r="F337" s="164" t="s">
        <v>3404</v>
      </c>
      <c r="G337" s="164">
        <v>2024</v>
      </c>
      <c r="H337" s="184" t="s">
        <v>3863</v>
      </c>
      <c r="I337" s="184" t="s">
        <v>6774</v>
      </c>
      <c r="J337" s="168" t="s">
        <v>6938</v>
      </c>
      <c r="K337" s="174">
        <v>45574</v>
      </c>
      <c r="L337" s="129" t="s">
        <v>3128</v>
      </c>
      <c r="M337" s="129" t="s">
        <v>4</v>
      </c>
      <c r="N337" s="129" t="s">
        <v>50</v>
      </c>
      <c r="O337" s="129" t="s">
        <v>3406</v>
      </c>
      <c r="P337" s="146"/>
      <c r="Q337" s="189">
        <v>45575</v>
      </c>
      <c r="R337" s="115" t="s">
        <v>6643</v>
      </c>
      <c r="S337" s="163"/>
    </row>
    <row r="338" spans="1:19" ht="42.75">
      <c r="A338" s="164" t="s">
        <v>774</v>
      </c>
      <c r="B338" s="165" t="s">
        <v>861</v>
      </c>
      <c r="C338" s="165" t="s">
        <v>3864</v>
      </c>
      <c r="D338" s="164">
        <v>1403</v>
      </c>
      <c r="E338" s="164">
        <v>1387</v>
      </c>
      <c r="F338" s="164" t="s">
        <v>3404</v>
      </c>
      <c r="G338" s="164">
        <v>2024</v>
      </c>
      <c r="H338" s="184" t="s">
        <v>3744</v>
      </c>
      <c r="I338" s="184" t="s">
        <v>3708</v>
      </c>
      <c r="J338" s="168" t="s">
        <v>6939</v>
      </c>
      <c r="K338" s="174">
        <v>45461</v>
      </c>
      <c r="L338" s="129" t="s">
        <v>3689</v>
      </c>
      <c r="M338" s="129" t="s">
        <v>4</v>
      </c>
      <c r="N338" s="129" t="s">
        <v>50</v>
      </c>
      <c r="O338" s="129" t="s">
        <v>3406</v>
      </c>
      <c r="P338" s="146"/>
      <c r="Q338" s="130">
        <v>45462</v>
      </c>
      <c r="R338" s="171"/>
      <c r="S338" s="172"/>
    </row>
    <row r="339" spans="1:19" ht="42.75">
      <c r="A339" s="164" t="s">
        <v>774</v>
      </c>
      <c r="B339" s="165" t="s">
        <v>861</v>
      </c>
      <c r="C339" s="165" t="s">
        <v>3665</v>
      </c>
      <c r="D339" s="164">
        <v>6803</v>
      </c>
      <c r="E339" s="164">
        <v>7829</v>
      </c>
      <c r="F339" s="164" t="s">
        <v>3955</v>
      </c>
      <c r="G339" s="164"/>
      <c r="H339" s="167"/>
      <c r="I339" s="167"/>
      <c r="J339" s="167"/>
      <c r="K339" s="169"/>
      <c r="L339" s="129"/>
      <c r="M339" s="129"/>
      <c r="N339" s="129"/>
      <c r="O339" s="129"/>
      <c r="P339" s="146"/>
      <c r="Q339" s="170"/>
      <c r="R339" s="171"/>
      <c r="S339" s="172"/>
    </row>
    <row r="340" spans="1:19" ht="42.75">
      <c r="A340" s="164" t="s">
        <v>774</v>
      </c>
      <c r="B340" s="165" t="s">
        <v>861</v>
      </c>
      <c r="C340" s="165" t="s">
        <v>3865</v>
      </c>
      <c r="D340" s="164">
        <v>1610</v>
      </c>
      <c r="E340" s="164">
        <v>1807</v>
      </c>
      <c r="F340" s="164" t="s">
        <v>3404</v>
      </c>
      <c r="G340" s="164">
        <v>2024</v>
      </c>
      <c r="H340" s="184" t="s">
        <v>3866</v>
      </c>
      <c r="I340" s="184" t="s">
        <v>6846</v>
      </c>
      <c r="J340" s="168" t="s">
        <v>6940</v>
      </c>
      <c r="K340" s="174">
        <v>45523</v>
      </c>
      <c r="L340" s="129" t="s">
        <v>3126</v>
      </c>
      <c r="M340" s="129" t="s">
        <v>4</v>
      </c>
      <c r="N340" s="129" t="s">
        <v>50</v>
      </c>
      <c r="O340" s="129" t="s">
        <v>3406</v>
      </c>
      <c r="P340" s="146"/>
      <c r="Q340" s="170">
        <v>45531</v>
      </c>
      <c r="R340" s="171" t="s">
        <v>6643</v>
      </c>
      <c r="S340" s="172"/>
    </row>
    <row r="341" spans="1:19" ht="42.75">
      <c r="A341" s="164" t="s">
        <v>774</v>
      </c>
      <c r="B341" s="165" t="s">
        <v>861</v>
      </c>
      <c r="C341" s="183" t="s">
        <v>1051</v>
      </c>
      <c r="D341" s="164">
        <v>1587</v>
      </c>
      <c r="E341" s="164">
        <v>1707</v>
      </c>
      <c r="F341" s="164" t="s">
        <v>3404</v>
      </c>
      <c r="G341" s="164">
        <v>2024</v>
      </c>
      <c r="H341" s="188" t="s">
        <v>3664</v>
      </c>
      <c r="I341" s="188" t="s">
        <v>6770</v>
      </c>
      <c r="J341" s="168" t="s">
        <v>6941</v>
      </c>
      <c r="K341" s="180">
        <v>45420</v>
      </c>
      <c r="L341" s="129" t="s">
        <v>3532</v>
      </c>
      <c r="M341" s="129" t="s">
        <v>4</v>
      </c>
      <c r="N341" s="129" t="s">
        <v>50</v>
      </c>
      <c r="O341" s="129" t="s">
        <v>3406</v>
      </c>
      <c r="P341" s="146"/>
      <c r="Q341" s="170"/>
      <c r="R341" s="171"/>
      <c r="S341" s="172"/>
    </row>
    <row r="342" spans="1:19" ht="42.75">
      <c r="A342" s="164" t="s">
        <v>774</v>
      </c>
      <c r="B342" s="165" t="s">
        <v>861</v>
      </c>
      <c r="C342" s="165" t="s">
        <v>3867</v>
      </c>
      <c r="D342" s="164">
        <v>969</v>
      </c>
      <c r="E342" s="164">
        <v>1064</v>
      </c>
      <c r="F342" s="164" t="s">
        <v>3404</v>
      </c>
      <c r="G342" s="164">
        <v>2024</v>
      </c>
      <c r="H342" s="175">
        <v>45583</v>
      </c>
      <c r="I342" s="175">
        <v>45586</v>
      </c>
      <c r="J342" s="168" t="s">
        <v>6942</v>
      </c>
      <c r="K342" s="174">
        <v>45593</v>
      </c>
      <c r="L342" s="129" t="s">
        <v>3129</v>
      </c>
      <c r="M342" s="129" t="s">
        <v>4</v>
      </c>
      <c r="N342" s="129" t="s">
        <v>50</v>
      </c>
      <c r="O342" s="129" t="s">
        <v>3406</v>
      </c>
      <c r="P342" s="146"/>
      <c r="Q342" s="170">
        <v>45593</v>
      </c>
      <c r="R342" s="171" t="s">
        <v>6643</v>
      </c>
      <c r="S342" s="172"/>
    </row>
    <row r="343" spans="1:19" ht="42.75">
      <c r="A343" s="164" t="s">
        <v>774</v>
      </c>
      <c r="B343" s="165" t="s">
        <v>861</v>
      </c>
      <c r="C343" s="165" t="s">
        <v>3868</v>
      </c>
      <c r="D343" s="164">
        <v>2745</v>
      </c>
      <c r="E343" s="164">
        <v>3069</v>
      </c>
      <c r="F343" s="164" t="s">
        <v>3404</v>
      </c>
      <c r="G343" s="164">
        <v>2024</v>
      </c>
      <c r="H343" s="175">
        <v>45596</v>
      </c>
      <c r="I343" s="175">
        <v>45600</v>
      </c>
      <c r="J343" s="191" t="s">
        <v>6943</v>
      </c>
      <c r="K343" s="174">
        <v>45601</v>
      </c>
      <c r="L343" s="129" t="s">
        <v>3129</v>
      </c>
      <c r="M343" s="129" t="s">
        <v>4</v>
      </c>
      <c r="N343" s="129" t="s">
        <v>50</v>
      </c>
      <c r="O343" s="129" t="s">
        <v>3406</v>
      </c>
      <c r="P343" s="146"/>
      <c r="Q343" s="170">
        <v>45602</v>
      </c>
      <c r="R343" s="171" t="s">
        <v>6643</v>
      </c>
      <c r="S343" s="172"/>
    </row>
    <row r="344" spans="1:19" ht="42.75">
      <c r="A344" s="164" t="s">
        <v>774</v>
      </c>
      <c r="B344" s="165" t="s">
        <v>861</v>
      </c>
      <c r="C344" s="165" t="s">
        <v>3869</v>
      </c>
      <c r="D344" s="164">
        <v>6297</v>
      </c>
      <c r="E344" s="164">
        <v>8056</v>
      </c>
      <c r="F344" s="164" t="s">
        <v>3404</v>
      </c>
      <c r="G344" s="164">
        <v>2024</v>
      </c>
      <c r="H344" s="184" t="s">
        <v>3764</v>
      </c>
      <c r="I344" s="192" t="s">
        <v>6792</v>
      </c>
      <c r="J344" s="181" t="s">
        <v>6944</v>
      </c>
      <c r="K344" s="193">
        <v>45462</v>
      </c>
      <c r="L344" s="129" t="s">
        <v>3689</v>
      </c>
      <c r="M344" s="129" t="s">
        <v>4</v>
      </c>
      <c r="N344" s="129" t="s">
        <v>50</v>
      </c>
      <c r="O344" s="129" t="s">
        <v>3406</v>
      </c>
      <c r="P344" s="146"/>
      <c r="Q344" s="130">
        <v>45462</v>
      </c>
      <c r="R344" s="171"/>
      <c r="S344" s="172"/>
    </row>
    <row r="345" spans="1:19" ht="42.75">
      <c r="A345" s="164" t="s">
        <v>774</v>
      </c>
      <c r="B345" s="165" t="s">
        <v>861</v>
      </c>
      <c r="C345" s="165" t="s">
        <v>862</v>
      </c>
      <c r="D345" s="164">
        <v>3956</v>
      </c>
      <c r="E345" s="164">
        <v>5343</v>
      </c>
      <c r="F345" s="164" t="s">
        <v>3955</v>
      </c>
      <c r="G345" s="164"/>
      <c r="H345" s="167"/>
      <c r="I345" s="167"/>
      <c r="J345" s="196"/>
      <c r="K345" s="169"/>
      <c r="L345" s="129"/>
      <c r="M345" s="129"/>
      <c r="N345" s="129"/>
      <c r="O345" s="129"/>
      <c r="P345" s="146"/>
      <c r="Q345" s="170"/>
      <c r="R345" s="171"/>
      <c r="S345" s="172"/>
    </row>
    <row r="346" spans="1:19" ht="42.75">
      <c r="A346" s="164" t="s">
        <v>774</v>
      </c>
      <c r="B346" s="165" t="s">
        <v>861</v>
      </c>
      <c r="C346" s="165" t="s">
        <v>3871</v>
      </c>
      <c r="D346" s="164">
        <v>5237</v>
      </c>
      <c r="E346" s="164">
        <v>4137</v>
      </c>
      <c r="F346" s="164" t="s">
        <v>3404</v>
      </c>
      <c r="G346" s="164">
        <v>2024</v>
      </c>
      <c r="H346" s="184" t="s">
        <v>3872</v>
      </c>
      <c r="I346" s="192" t="s">
        <v>6818</v>
      </c>
      <c r="J346" s="181" t="s">
        <v>6945</v>
      </c>
      <c r="K346" s="193">
        <v>45539</v>
      </c>
      <c r="L346" s="129" t="s">
        <v>3127</v>
      </c>
      <c r="M346" s="129" t="s">
        <v>4</v>
      </c>
      <c r="N346" s="129" t="s">
        <v>50</v>
      </c>
      <c r="O346" s="129" t="s">
        <v>3406</v>
      </c>
      <c r="P346" s="146"/>
      <c r="Q346" s="170">
        <v>45539</v>
      </c>
      <c r="R346" s="171" t="s">
        <v>6643</v>
      </c>
      <c r="S346" s="172"/>
    </row>
    <row r="347" spans="1:19" ht="42.75">
      <c r="A347" s="164" t="s">
        <v>774</v>
      </c>
      <c r="B347" s="165" t="s">
        <v>861</v>
      </c>
      <c r="C347" s="165" t="s">
        <v>3873</v>
      </c>
      <c r="D347" s="164">
        <v>1113</v>
      </c>
      <c r="E347" s="164">
        <v>1289</v>
      </c>
      <c r="F347" s="164" t="s">
        <v>3404</v>
      </c>
      <c r="G347" s="164">
        <v>2024</v>
      </c>
      <c r="H347" s="184" t="s">
        <v>3830</v>
      </c>
      <c r="I347" s="192" t="s">
        <v>6768</v>
      </c>
      <c r="J347" s="181" t="s">
        <v>6946</v>
      </c>
      <c r="K347" s="193">
        <v>45488</v>
      </c>
      <c r="L347" s="129" t="s">
        <v>3125</v>
      </c>
      <c r="M347" s="129" t="s">
        <v>4</v>
      </c>
      <c r="N347" s="129" t="s">
        <v>50</v>
      </c>
      <c r="O347" s="129" t="s">
        <v>3406</v>
      </c>
      <c r="P347" s="146"/>
      <c r="Q347" s="170">
        <v>45489</v>
      </c>
      <c r="R347" s="171"/>
      <c r="S347" s="172"/>
    </row>
    <row r="348" spans="1:19" ht="42.75">
      <c r="A348" s="164" t="s">
        <v>774</v>
      </c>
      <c r="B348" s="165" t="s">
        <v>861</v>
      </c>
      <c r="C348" s="165" t="s">
        <v>3874</v>
      </c>
      <c r="D348" s="164">
        <v>1647</v>
      </c>
      <c r="E348" s="164">
        <v>1456</v>
      </c>
      <c r="F348" s="164" t="s">
        <v>3404</v>
      </c>
      <c r="G348" s="164">
        <v>2024</v>
      </c>
      <c r="H348" s="175">
        <v>45583</v>
      </c>
      <c r="I348" s="221">
        <v>45586</v>
      </c>
      <c r="J348" s="222" t="s">
        <v>6947</v>
      </c>
      <c r="K348" s="193">
        <v>45593</v>
      </c>
      <c r="L348" s="129" t="s">
        <v>3129</v>
      </c>
      <c r="M348" s="129" t="s">
        <v>4</v>
      </c>
      <c r="N348" s="129" t="s">
        <v>50</v>
      </c>
      <c r="O348" s="129" t="s">
        <v>3406</v>
      </c>
      <c r="P348" s="146"/>
      <c r="Q348" s="170">
        <v>45593</v>
      </c>
      <c r="R348" s="171" t="s">
        <v>6643</v>
      </c>
      <c r="S348" s="172"/>
    </row>
    <row r="349" spans="1:19" ht="42.75">
      <c r="A349" s="164" t="s">
        <v>774</v>
      </c>
      <c r="B349" s="165" t="s">
        <v>861</v>
      </c>
      <c r="C349" s="165" t="s">
        <v>3875</v>
      </c>
      <c r="D349" s="164">
        <v>2696</v>
      </c>
      <c r="E349" s="164">
        <v>3053</v>
      </c>
      <c r="F349" s="164" t="s">
        <v>3404</v>
      </c>
      <c r="G349" s="164">
        <v>2024</v>
      </c>
      <c r="H349" s="184" t="s">
        <v>3685</v>
      </c>
      <c r="I349" s="192" t="s">
        <v>6777</v>
      </c>
      <c r="J349" s="181" t="s">
        <v>6948</v>
      </c>
      <c r="K349" s="193">
        <v>45565</v>
      </c>
      <c r="L349" s="129" t="s">
        <v>3128</v>
      </c>
      <c r="M349" s="129" t="s">
        <v>4</v>
      </c>
      <c r="N349" s="129" t="s">
        <v>50</v>
      </c>
      <c r="O349" s="129" t="s">
        <v>3406</v>
      </c>
      <c r="P349" s="146"/>
      <c r="Q349" s="189">
        <v>45565</v>
      </c>
      <c r="R349" s="115" t="s">
        <v>6643</v>
      </c>
      <c r="S349" s="163"/>
    </row>
    <row r="350" spans="1:19" ht="42.75">
      <c r="A350" s="164" t="s">
        <v>774</v>
      </c>
      <c r="B350" s="165" t="s">
        <v>861</v>
      </c>
      <c r="C350" s="165" t="s">
        <v>3876</v>
      </c>
      <c r="D350" s="164">
        <v>3651</v>
      </c>
      <c r="E350" s="164">
        <v>3763</v>
      </c>
      <c r="F350" s="164" t="s">
        <v>3955</v>
      </c>
      <c r="G350" s="164"/>
      <c r="H350" s="167"/>
      <c r="I350" s="167"/>
      <c r="J350" s="196"/>
      <c r="K350" s="169"/>
      <c r="L350" s="129"/>
      <c r="M350" s="129"/>
      <c r="N350" s="129"/>
      <c r="O350" s="129"/>
      <c r="P350" s="146"/>
      <c r="Q350" s="170"/>
      <c r="R350" s="171"/>
      <c r="S350" s="172"/>
    </row>
    <row r="351" spans="1:19" ht="42.75">
      <c r="A351" s="164" t="s">
        <v>774</v>
      </c>
      <c r="B351" s="165" t="s">
        <v>861</v>
      </c>
      <c r="C351" s="165" t="s">
        <v>3878</v>
      </c>
      <c r="D351" s="164">
        <v>1391</v>
      </c>
      <c r="E351" s="164">
        <v>1332</v>
      </c>
      <c r="F351" s="164" t="s">
        <v>3404</v>
      </c>
      <c r="G351" s="164">
        <v>2024</v>
      </c>
      <c r="H351" s="186">
        <v>45356</v>
      </c>
      <c r="I351" s="194">
        <v>45362</v>
      </c>
      <c r="J351" s="181" t="s">
        <v>6949</v>
      </c>
      <c r="K351" s="195">
        <v>45377</v>
      </c>
      <c r="L351" s="129"/>
      <c r="M351" s="129" t="s">
        <v>4</v>
      </c>
      <c r="N351" s="129" t="s">
        <v>57</v>
      </c>
      <c r="O351" s="129" t="s">
        <v>3406</v>
      </c>
      <c r="P351" s="146"/>
      <c r="Q351" s="170"/>
      <c r="R351" s="171"/>
      <c r="S351" s="172"/>
    </row>
    <row r="352" spans="1:19" ht="42.75">
      <c r="A352" s="164" t="s">
        <v>774</v>
      </c>
      <c r="B352" s="165" t="s">
        <v>861</v>
      </c>
      <c r="C352" s="165" t="s">
        <v>3133</v>
      </c>
      <c r="D352" s="164">
        <v>4107</v>
      </c>
      <c r="E352" s="164">
        <v>4394</v>
      </c>
      <c r="F352" s="164" t="s">
        <v>3404</v>
      </c>
      <c r="G352" s="164">
        <v>2024</v>
      </c>
      <c r="H352" s="184" t="s">
        <v>3733</v>
      </c>
      <c r="I352" s="192" t="s">
        <v>6848</v>
      </c>
      <c r="J352" s="181" t="s">
        <v>6950</v>
      </c>
      <c r="K352" s="193">
        <v>45483</v>
      </c>
      <c r="L352" s="129" t="s">
        <v>3125</v>
      </c>
      <c r="M352" s="129" t="s">
        <v>4</v>
      </c>
      <c r="N352" s="129" t="s">
        <v>50</v>
      </c>
      <c r="O352" s="129" t="s">
        <v>3406</v>
      </c>
      <c r="P352" s="146"/>
      <c r="Q352" s="170">
        <v>45484</v>
      </c>
      <c r="R352" s="171"/>
      <c r="S352" s="172"/>
    </row>
    <row r="353" spans="1:19" ht="42.75">
      <c r="A353" s="164" t="s">
        <v>774</v>
      </c>
      <c r="B353" s="165" t="s">
        <v>861</v>
      </c>
      <c r="C353" s="165" t="s">
        <v>3882</v>
      </c>
      <c r="D353" s="164">
        <v>1161</v>
      </c>
      <c r="E353" s="164">
        <v>1271</v>
      </c>
      <c r="F353" s="164" t="s">
        <v>3404</v>
      </c>
      <c r="G353" s="164">
        <v>2024</v>
      </c>
      <c r="H353" s="184" t="s">
        <v>3771</v>
      </c>
      <c r="I353" s="192" t="s">
        <v>6872</v>
      </c>
      <c r="J353" s="181" t="s">
        <v>6951</v>
      </c>
      <c r="K353" s="193">
        <v>45516</v>
      </c>
      <c r="L353" s="129" t="s">
        <v>3126</v>
      </c>
      <c r="M353" s="129" t="s">
        <v>4</v>
      </c>
      <c r="N353" s="129" t="s">
        <v>50</v>
      </c>
      <c r="O353" s="129" t="s">
        <v>3406</v>
      </c>
      <c r="P353" s="146"/>
      <c r="Q353" s="170">
        <v>45517</v>
      </c>
      <c r="R353" s="171" t="s">
        <v>6643</v>
      </c>
      <c r="S353" s="172"/>
    </row>
    <row r="354" spans="1:19" ht="42.75">
      <c r="A354" s="164" t="s">
        <v>774</v>
      </c>
      <c r="B354" s="165" t="s">
        <v>861</v>
      </c>
      <c r="C354" s="165" t="s">
        <v>3883</v>
      </c>
      <c r="D354" s="164">
        <v>768</v>
      </c>
      <c r="E354" s="164">
        <v>977</v>
      </c>
      <c r="F354" s="164" t="s">
        <v>3404</v>
      </c>
      <c r="G354" s="164">
        <v>2024</v>
      </c>
      <c r="H354" s="184" t="s">
        <v>3687</v>
      </c>
      <c r="I354" s="184" t="s">
        <v>6821</v>
      </c>
      <c r="J354" s="168" t="s">
        <v>6952</v>
      </c>
      <c r="K354" s="174">
        <v>45474</v>
      </c>
      <c r="L354" s="129" t="s">
        <v>3125</v>
      </c>
      <c r="M354" s="129" t="s">
        <v>4</v>
      </c>
      <c r="N354" s="129" t="s">
        <v>50</v>
      </c>
      <c r="O354" s="129" t="s">
        <v>3406</v>
      </c>
      <c r="P354" s="146"/>
      <c r="Q354" s="130">
        <v>45474</v>
      </c>
      <c r="R354" s="171"/>
      <c r="S354" s="172"/>
    </row>
    <row r="355" spans="1:19" ht="42.75">
      <c r="A355" s="164" t="s">
        <v>774</v>
      </c>
      <c r="B355" s="165" t="s">
        <v>861</v>
      </c>
      <c r="C355" s="165" t="s">
        <v>3605</v>
      </c>
      <c r="D355" s="164">
        <v>1818</v>
      </c>
      <c r="E355" s="164">
        <v>1807</v>
      </c>
      <c r="F355" s="164" t="s">
        <v>3404</v>
      </c>
      <c r="G355" s="164">
        <v>2024</v>
      </c>
      <c r="H355" s="166">
        <v>45342</v>
      </c>
      <c r="I355" s="166">
        <v>45343</v>
      </c>
      <c r="J355" s="168" t="s">
        <v>6953</v>
      </c>
      <c r="K355" s="182">
        <v>45344</v>
      </c>
      <c r="L355" s="129"/>
      <c r="M355" s="129" t="s">
        <v>4</v>
      </c>
      <c r="N355" s="129" t="s">
        <v>50</v>
      </c>
      <c r="O355" s="129" t="s">
        <v>3406</v>
      </c>
      <c r="P355" s="146"/>
      <c r="Q355" s="170"/>
      <c r="R355" s="171"/>
      <c r="S355" s="172"/>
    </row>
    <row r="356" spans="1:19" ht="42.75">
      <c r="A356" s="164" t="s">
        <v>774</v>
      </c>
      <c r="B356" s="165" t="s">
        <v>861</v>
      </c>
      <c r="C356" s="165" t="s">
        <v>3880</v>
      </c>
      <c r="D356" s="164">
        <v>1736</v>
      </c>
      <c r="E356" s="164">
        <v>1974</v>
      </c>
      <c r="F356" s="164" t="s">
        <v>3404</v>
      </c>
      <c r="G356" s="164">
        <v>2024</v>
      </c>
      <c r="H356" s="184" t="s">
        <v>3881</v>
      </c>
      <c r="I356" s="184" t="s">
        <v>6879</v>
      </c>
      <c r="J356" s="168" t="s">
        <v>6954</v>
      </c>
      <c r="K356" s="174">
        <v>45552</v>
      </c>
      <c r="L356" s="129" t="s">
        <v>3127</v>
      </c>
      <c r="M356" s="129" t="s">
        <v>4</v>
      </c>
      <c r="N356" s="129" t="s">
        <v>57</v>
      </c>
      <c r="O356" s="129" t="s">
        <v>3406</v>
      </c>
      <c r="P356" s="146"/>
      <c r="Q356" s="170">
        <v>45552</v>
      </c>
      <c r="R356" s="171" t="s">
        <v>6643</v>
      </c>
      <c r="S356" s="172"/>
    </row>
    <row r="357" spans="1:19" ht="42.75">
      <c r="A357" s="164" t="s">
        <v>774</v>
      </c>
      <c r="B357" s="165" t="s">
        <v>877</v>
      </c>
      <c r="C357" s="165" t="s">
        <v>3885</v>
      </c>
      <c r="D357" s="164">
        <v>4458</v>
      </c>
      <c r="E357" s="164">
        <v>5414</v>
      </c>
      <c r="F357" s="164" t="s">
        <v>3404</v>
      </c>
      <c r="G357" s="164">
        <v>2024</v>
      </c>
      <c r="H357" s="184" t="s">
        <v>3886</v>
      </c>
      <c r="I357" s="184" t="s">
        <v>6768</v>
      </c>
      <c r="J357" s="168" t="s">
        <v>6955</v>
      </c>
      <c r="K357" s="174">
        <v>45488</v>
      </c>
      <c r="L357" s="129" t="s">
        <v>3125</v>
      </c>
      <c r="M357" s="129" t="s">
        <v>4</v>
      </c>
      <c r="N357" s="129" t="s">
        <v>50</v>
      </c>
      <c r="O357" s="129" t="s">
        <v>3406</v>
      </c>
      <c r="P357" s="146"/>
      <c r="Q357" s="170">
        <v>45489</v>
      </c>
      <c r="R357" s="171"/>
      <c r="S357" s="172"/>
    </row>
    <row r="358" spans="1:19" ht="42.75">
      <c r="A358" s="164" t="s">
        <v>774</v>
      </c>
      <c r="B358" s="165" t="s">
        <v>877</v>
      </c>
      <c r="C358" s="165" t="s">
        <v>1881</v>
      </c>
      <c r="D358" s="164">
        <v>1427</v>
      </c>
      <c r="E358" s="164">
        <v>1466</v>
      </c>
      <c r="F358" s="164" t="s">
        <v>3404</v>
      </c>
      <c r="G358" s="164">
        <v>2024</v>
      </c>
      <c r="H358" s="184" t="s">
        <v>3887</v>
      </c>
      <c r="I358" s="184" t="s">
        <v>6792</v>
      </c>
      <c r="J358" s="168" t="s">
        <v>6956</v>
      </c>
      <c r="K358" s="174">
        <v>45462</v>
      </c>
      <c r="L358" s="129" t="s">
        <v>3689</v>
      </c>
      <c r="M358" s="129" t="s">
        <v>4</v>
      </c>
      <c r="N358" s="129" t="s">
        <v>50</v>
      </c>
      <c r="O358" s="129" t="s">
        <v>3406</v>
      </c>
      <c r="P358" s="146"/>
      <c r="Q358" s="130">
        <v>45462</v>
      </c>
      <c r="R358" s="171"/>
      <c r="S358" s="172"/>
    </row>
    <row r="359" spans="1:19" ht="42.75">
      <c r="A359" s="164" t="s">
        <v>774</v>
      </c>
      <c r="B359" s="165" t="s">
        <v>877</v>
      </c>
      <c r="C359" s="165" t="s">
        <v>3888</v>
      </c>
      <c r="D359" s="164">
        <v>1151</v>
      </c>
      <c r="E359" s="164">
        <v>1315</v>
      </c>
      <c r="F359" s="164" t="s">
        <v>3404</v>
      </c>
      <c r="G359" s="164">
        <v>2024</v>
      </c>
      <c r="H359" s="184" t="s">
        <v>3828</v>
      </c>
      <c r="I359" s="184" t="s">
        <v>3733</v>
      </c>
      <c r="J359" s="168" t="s">
        <v>6957</v>
      </c>
      <c r="K359" s="174">
        <v>45474</v>
      </c>
      <c r="L359" s="129" t="s">
        <v>3125</v>
      </c>
      <c r="M359" s="129" t="s">
        <v>4</v>
      </c>
      <c r="N359" s="129" t="s">
        <v>50</v>
      </c>
      <c r="O359" s="129" t="s">
        <v>3406</v>
      </c>
      <c r="P359" s="146"/>
      <c r="Q359" s="130">
        <v>45474</v>
      </c>
      <c r="R359" s="171"/>
      <c r="S359" s="172"/>
    </row>
    <row r="360" spans="1:19" ht="42.75">
      <c r="A360" s="164" t="s">
        <v>774</v>
      </c>
      <c r="B360" s="165" t="s">
        <v>877</v>
      </c>
      <c r="C360" s="165" t="s">
        <v>3889</v>
      </c>
      <c r="D360" s="164">
        <v>1260</v>
      </c>
      <c r="E360" s="164">
        <v>1302</v>
      </c>
      <c r="F360" s="164" t="s">
        <v>3404</v>
      </c>
      <c r="G360" s="164">
        <v>2024</v>
      </c>
      <c r="H360" s="184" t="s">
        <v>3890</v>
      </c>
      <c r="I360" s="184" t="s">
        <v>6913</v>
      </c>
      <c r="J360" s="168" t="s">
        <v>6958</v>
      </c>
      <c r="K360" s="174">
        <v>45510</v>
      </c>
      <c r="L360" s="129" t="s">
        <v>3126</v>
      </c>
      <c r="M360" s="129" t="s">
        <v>4</v>
      </c>
      <c r="N360" s="129" t="s">
        <v>50</v>
      </c>
      <c r="O360" s="129" t="s">
        <v>3406</v>
      </c>
      <c r="P360" s="146"/>
      <c r="Q360" s="130">
        <v>45510</v>
      </c>
      <c r="R360" s="171" t="s">
        <v>6643</v>
      </c>
      <c r="S360" s="172"/>
    </row>
    <row r="361" spans="1:19" ht="42.75">
      <c r="A361" s="164" t="s">
        <v>774</v>
      </c>
      <c r="B361" s="165" t="s">
        <v>877</v>
      </c>
      <c r="C361" s="183" t="s">
        <v>3891</v>
      </c>
      <c r="D361" s="164">
        <v>467</v>
      </c>
      <c r="E361" s="164">
        <v>484</v>
      </c>
      <c r="F361" s="164" t="s">
        <v>3404</v>
      </c>
      <c r="G361" s="164">
        <v>2024</v>
      </c>
      <c r="H361" s="184" t="s">
        <v>3751</v>
      </c>
      <c r="I361" s="184" t="s">
        <v>6959</v>
      </c>
      <c r="J361" s="168" t="s">
        <v>6960</v>
      </c>
      <c r="K361" s="180" t="s">
        <v>6809</v>
      </c>
      <c r="L361" s="129" t="s">
        <v>3532</v>
      </c>
      <c r="M361" s="129" t="s">
        <v>1078</v>
      </c>
      <c r="N361" s="129" t="s">
        <v>50</v>
      </c>
      <c r="O361" s="129" t="s">
        <v>3406</v>
      </c>
      <c r="P361" s="146"/>
      <c r="Q361" s="170"/>
      <c r="R361" s="171"/>
      <c r="S361" s="172"/>
    </row>
    <row r="362" spans="1:19" ht="42.75">
      <c r="A362" s="164" t="s">
        <v>774</v>
      </c>
      <c r="B362" s="165" t="s">
        <v>877</v>
      </c>
      <c r="C362" s="165" t="s">
        <v>1490</v>
      </c>
      <c r="D362" s="164">
        <v>1227</v>
      </c>
      <c r="E362" s="164">
        <v>1188</v>
      </c>
      <c r="F362" s="164" t="s">
        <v>3404</v>
      </c>
      <c r="G362" s="164">
        <v>2024</v>
      </c>
      <c r="H362" s="184" t="s">
        <v>3892</v>
      </c>
      <c r="I362" s="184" t="s">
        <v>3708</v>
      </c>
      <c r="J362" s="168" t="s">
        <v>6961</v>
      </c>
      <c r="K362" s="174">
        <v>45461</v>
      </c>
      <c r="L362" s="129" t="s">
        <v>3689</v>
      </c>
      <c r="M362" s="129" t="s">
        <v>4</v>
      </c>
      <c r="N362" s="129" t="s">
        <v>50</v>
      </c>
      <c r="O362" s="129" t="s">
        <v>3406</v>
      </c>
      <c r="P362" s="146"/>
      <c r="Q362" s="130">
        <v>45462</v>
      </c>
      <c r="R362" s="171"/>
      <c r="S362" s="172"/>
    </row>
    <row r="363" spans="1:19" ht="42.75">
      <c r="A363" s="164" t="s">
        <v>774</v>
      </c>
      <c r="B363" s="165" t="s">
        <v>877</v>
      </c>
      <c r="C363" s="183" t="s">
        <v>3893</v>
      </c>
      <c r="D363" s="164">
        <v>1847</v>
      </c>
      <c r="E363" s="164">
        <v>2647</v>
      </c>
      <c r="F363" s="164" t="s">
        <v>3404</v>
      </c>
      <c r="G363" s="164">
        <v>2024</v>
      </c>
      <c r="H363" s="188" t="s">
        <v>3894</v>
      </c>
      <c r="I363" s="188" t="s">
        <v>6770</v>
      </c>
      <c r="J363" s="168" t="s">
        <v>6962</v>
      </c>
      <c r="K363" s="180" t="s">
        <v>3751</v>
      </c>
      <c r="L363" s="129" t="s">
        <v>3532</v>
      </c>
      <c r="M363" s="129"/>
      <c r="N363" s="129"/>
      <c r="O363" s="129" t="s">
        <v>3406</v>
      </c>
      <c r="P363" s="146"/>
      <c r="Q363" s="170"/>
      <c r="R363" s="171"/>
      <c r="S363" s="172"/>
    </row>
    <row r="364" spans="1:19" ht="42.75">
      <c r="A364" s="164" t="s">
        <v>774</v>
      </c>
      <c r="B364" s="165" t="s">
        <v>877</v>
      </c>
      <c r="C364" s="165" t="s">
        <v>3895</v>
      </c>
      <c r="D364" s="164">
        <v>2491</v>
      </c>
      <c r="E364" s="164">
        <v>2816</v>
      </c>
      <c r="F364" s="164" t="s">
        <v>3404</v>
      </c>
      <c r="G364" s="164">
        <v>2024</v>
      </c>
      <c r="H364" s="184" t="s">
        <v>3681</v>
      </c>
      <c r="I364" s="184" t="s">
        <v>6818</v>
      </c>
      <c r="J364" s="168" t="s">
        <v>6963</v>
      </c>
      <c r="K364" s="174">
        <v>45539</v>
      </c>
      <c r="L364" s="129" t="s">
        <v>3127</v>
      </c>
      <c r="M364" s="129" t="s">
        <v>4</v>
      </c>
      <c r="N364" s="129" t="s">
        <v>50</v>
      </c>
      <c r="O364" s="129" t="s">
        <v>3406</v>
      </c>
      <c r="P364" s="146"/>
      <c r="Q364" s="170">
        <v>45539</v>
      </c>
      <c r="R364" s="171" t="s">
        <v>6643</v>
      </c>
      <c r="S364" s="172"/>
    </row>
    <row r="365" spans="1:19" ht="42.75">
      <c r="A365" s="164" t="s">
        <v>774</v>
      </c>
      <c r="B365" s="165" t="s">
        <v>877</v>
      </c>
      <c r="C365" s="165" t="s">
        <v>3779</v>
      </c>
      <c r="D365" s="164">
        <v>1311</v>
      </c>
      <c r="E365" s="164">
        <v>1316</v>
      </c>
      <c r="F365" s="164" t="s">
        <v>3404</v>
      </c>
      <c r="G365" s="164">
        <v>2024</v>
      </c>
      <c r="H365" s="184" t="s">
        <v>3896</v>
      </c>
      <c r="I365" s="184" t="s">
        <v>6964</v>
      </c>
      <c r="J365" s="168" t="s">
        <v>6965</v>
      </c>
      <c r="K365" s="174">
        <v>45539</v>
      </c>
      <c r="L365" s="129" t="s">
        <v>3127</v>
      </c>
      <c r="M365" s="129" t="s">
        <v>4</v>
      </c>
      <c r="N365" s="129" t="s">
        <v>50</v>
      </c>
      <c r="O365" s="129" t="s">
        <v>3406</v>
      </c>
      <c r="P365" s="146"/>
      <c r="Q365" s="170">
        <v>45539</v>
      </c>
      <c r="R365" s="171" t="s">
        <v>6643</v>
      </c>
      <c r="S365" s="172"/>
    </row>
    <row r="366" spans="1:19" ht="42.75">
      <c r="A366" s="164" t="s">
        <v>774</v>
      </c>
      <c r="B366" s="165" t="s">
        <v>877</v>
      </c>
      <c r="C366" s="165" t="s">
        <v>3897</v>
      </c>
      <c r="D366" s="164">
        <v>2345</v>
      </c>
      <c r="E366" s="164">
        <v>2728</v>
      </c>
      <c r="F366" s="164" t="s">
        <v>3404</v>
      </c>
      <c r="G366" s="164">
        <v>2024</v>
      </c>
      <c r="H366" s="184" t="s">
        <v>3610</v>
      </c>
      <c r="I366" s="184" t="s">
        <v>6774</v>
      </c>
      <c r="J366" s="168" t="s">
        <v>6966</v>
      </c>
      <c r="K366" s="174">
        <v>45574</v>
      </c>
      <c r="L366" s="129" t="s">
        <v>3128</v>
      </c>
      <c r="M366" s="129" t="s">
        <v>4</v>
      </c>
      <c r="N366" s="129" t="s">
        <v>50</v>
      </c>
      <c r="O366" s="129" t="s">
        <v>3406</v>
      </c>
      <c r="P366" s="146"/>
      <c r="Q366" s="189">
        <v>45575</v>
      </c>
      <c r="R366" s="115" t="s">
        <v>6643</v>
      </c>
      <c r="S366" s="163"/>
    </row>
    <row r="367" spans="1:19" ht="42.75">
      <c r="A367" s="164" t="s">
        <v>774</v>
      </c>
      <c r="B367" s="165" t="s">
        <v>877</v>
      </c>
      <c r="C367" s="165" t="s">
        <v>3898</v>
      </c>
      <c r="D367" s="164">
        <v>3006</v>
      </c>
      <c r="E367" s="164">
        <v>3571</v>
      </c>
      <c r="F367" s="164" t="s">
        <v>3404</v>
      </c>
      <c r="G367" s="164">
        <v>2024</v>
      </c>
      <c r="H367" s="184" t="s">
        <v>3710</v>
      </c>
      <c r="I367" s="184" t="s">
        <v>3710</v>
      </c>
      <c r="J367" s="168" t="s">
        <v>6967</v>
      </c>
      <c r="K367" s="174">
        <v>45518</v>
      </c>
      <c r="L367" s="129" t="s">
        <v>3126</v>
      </c>
      <c r="M367" s="129" t="s">
        <v>4</v>
      </c>
      <c r="N367" s="129" t="s">
        <v>57</v>
      </c>
      <c r="O367" s="129" t="s">
        <v>3406</v>
      </c>
      <c r="P367" s="146"/>
      <c r="Q367" s="170">
        <v>45519</v>
      </c>
      <c r="R367" s="171" t="s">
        <v>6643</v>
      </c>
      <c r="S367" s="172"/>
    </row>
    <row r="368" spans="1:19" ht="42.75">
      <c r="A368" s="164" t="s">
        <v>774</v>
      </c>
      <c r="B368" s="165" t="s">
        <v>877</v>
      </c>
      <c r="C368" s="165" t="s">
        <v>3899</v>
      </c>
      <c r="D368" s="164">
        <v>5488</v>
      </c>
      <c r="E368" s="164">
        <v>5857</v>
      </c>
      <c r="F368" s="164" t="s">
        <v>3404</v>
      </c>
      <c r="G368" s="164">
        <v>2024</v>
      </c>
      <c r="H368" s="166">
        <v>45351</v>
      </c>
      <c r="I368" s="186">
        <v>45355</v>
      </c>
      <c r="J368" s="168" t="s">
        <v>6968</v>
      </c>
      <c r="K368" s="182">
        <v>45365</v>
      </c>
      <c r="L368" s="129"/>
      <c r="M368" s="129" t="s">
        <v>4</v>
      </c>
      <c r="N368" s="129" t="s">
        <v>50</v>
      </c>
      <c r="O368" s="129" t="s">
        <v>3406</v>
      </c>
      <c r="P368" s="146"/>
      <c r="Q368" s="170"/>
      <c r="R368" s="171"/>
      <c r="S368" s="172"/>
    </row>
    <row r="369" spans="1:19" ht="42.75">
      <c r="A369" s="164" t="s">
        <v>774</v>
      </c>
      <c r="B369" s="165" t="s">
        <v>877</v>
      </c>
      <c r="C369" s="165" t="s">
        <v>3900</v>
      </c>
      <c r="D369" s="164">
        <v>1442</v>
      </c>
      <c r="E369" s="164">
        <v>1482</v>
      </c>
      <c r="F369" s="164" t="s">
        <v>3404</v>
      </c>
      <c r="G369" s="164">
        <v>2024</v>
      </c>
      <c r="H369" s="184" t="s">
        <v>3610</v>
      </c>
      <c r="I369" s="184" t="s">
        <v>6774</v>
      </c>
      <c r="J369" s="168" t="s">
        <v>6969</v>
      </c>
      <c r="K369" s="174">
        <v>45574</v>
      </c>
      <c r="L369" s="129" t="s">
        <v>3128</v>
      </c>
      <c r="M369" s="129" t="s">
        <v>4</v>
      </c>
      <c r="N369" s="129" t="s">
        <v>50</v>
      </c>
      <c r="O369" s="129" t="s">
        <v>3406</v>
      </c>
      <c r="P369" s="146"/>
      <c r="Q369" s="189">
        <v>45575</v>
      </c>
      <c r="R369" s="115" t="s">
        <v>150</v>
      </c>
      <c r="S369" s="163"/>
    </row>
    <row r="370" spans="1:19" ht="42.75">
      <c r="A370" s="164" t="s">
        <v>774</v>
      </c>
      <c r="B370" s="165" t="s">
        <v>877</v>
      </c>
      <c r="C370" s="185" t="s">
        <v>1056</v>
      </c>
      <c r="D370" s="164">
        <v>1399</v>
      </c>
      <c r="E370" s="164">
        <v>1311</v>
      </c>
      <c r="F370" s="164" t="s">
        <v>3404</v>
      </c>
      <c r="G370" s="164">
        <v>2024</v>
      </c>
      <c r="H370" s="166">
        <v>45372</v>
      </c>
      <c r="I370" s="166">
        <v>45372</v>
      </c>
      <c r="J370" s="168" t="s">
        <v>6970</v>
      </c>
      <c r="K370" s="182">
        <v>45377</v>
      </c>
      <c r="L370" s="129" t="s">
        <v>3470</v>
      </c>
      <c r="M370" s="129" t="s">
        <v>1078</v>
      </c>
      <c r="N370" s="129" t="s">
        <v>50</v>
      </c>
      <c r="O370" s="129" t="s">
        <v>3406</v>
      </c>
      <c r="P370" s="146"/>
      <c r="Q370" s="170"/>
      <c r="R370" s="171"/>
      <c r="S370" s="172"/>
    </row>
    <row r="371" spans="1:19" ht="42.75">
      <c r="A371" s="164" t="s">
        <v>774</v>
      </c>
      <c r="B371" s="165" t="s">
        <v>877</v>
      </c>
      <c r="C371" s="165" t="s">
        <v>3713</v>
      </c>
      <c r="D371" s="164">
        <v>847</v>
      </c>
      <c r="E371" s="164">
        <v>1114</v>
      </c>
      <c r="F371" s="164" t="s">
        <v>3404</v>
      </c>
      <c r="G371" s="164">
        <v>2024</v>
      </c>
      <c r="H371" s="184" t="s">
        <v>3759</v>
      </c>
      <c r="I371" s="184" t="s">
        <v>6863</v>
      </c>
      <c r="J371" s="168" t="s">
        <v>6971</v>
      </c>
      <c r="K371" s="180" t="s">
        <v>6863</v>
      </c>
      <c r="L371" s="129" t="s">
        <v>3689</v>
      </c>
      <c r="M371" s="129" t="s">
        <v>4</v>
      </c>
      <c r="N371" s="129" t="s">
        <v>50</v>
      </c>
      <c r="O371" s="129" t="s">
        <v>3406</v>
      </c>
      <c r="P371" s="146"/>
      <c r="Q371" s="170">
        <v>45433</v>
      </c>
      <c r="R371" s="171"/>
      <c r="S371" s="172"/>
    </row>
    <row r="372" spans="1:19" ht="42.75">
      <c r="A372" s="164" t="s">
        <v>774</v>
      </c>
      <c r="B372" s="165" t="s">
        <v>877</v>
      </c>
      <c r="C372" s="165" t="s">
        <v>3132</v>
      </c>
      <c r="D372" s="164">
        <v>6942</v>
      </c>
      <c r="E372" s="164">
        <v>7179</v>
      </c>
      <c r="F372" s="164" t="s">
        <v>3404</v>
      </c>
      <c r="G372" s="164">
        <v>2024</v>
      </c>
      <c r="H372" s="166">
        <v>45345</v>
      </c>
      <c r="I372" s="166">
        <v>45348</v>
      </c>
      <c r="J372" s="168" t="s">
        <v>6972</v>
      </c>
      <c r="K372" s="182">
        <v>45349</v>
      </c>
      <c r="L372" s="129"/>
      <c r="M372" s="129" t="s">
        <v>4</v>
      </c>
      <c r="N372" s="129" t="s">
        <v>50</v>
      </c>
      <c r="O372" s="129" t="s">
        <v>3406</v>
      </c>
      <c r="P372" s="146"/>
      <c r="Q372" s="170"/>
      <c r="R372" s="171"/>
      <c r="S372" s="172"/>
    </row>
    <row r="373" spans="1:19" ht="42.75">
      <c r="A373" s="164" t="s">
        <v>774</v>
      </c>
      <c r="B373" s="165" t="s">
        <v>877</v>
      </c>
      <c r="C373" s="165" t="s">
        <v>3902</v>
      </c>
      <c r="D373" s="164">
        <v>1109</v>
      </c>
      <c r="E373" s="164">
        <v>1299</v>
      </c>
      <c r="F373" s="164" t="s">
        <v>3404</v>
      </c>
      <c r="G373" s="164">
        <v>2024</v>
      </c>
      <c r="H373" s="184" t="s">
        <v>3669</v>
      </c>
      <c r="I373" s="184" t="s">
        <v>6759</v>
      </c>
      <c r="J373" s="168" t="s">
        <v>6973</v>
      </c>
      <c r="K373" s="174">
        <v>45446</v>
      </c>
      <c r="L373" s="129" t="s">
        <v>3689</v>
      </c>
      <c r="M373" s="129" t="s">
        <v>4</v>
      </c>
      <c r="N373" s="129" t="s">
        <v>50</v>
      </c>
      <c r="O373" s="129" t="s">
        <v>3406</v>
      </c>
      <c r="P373" s="146"/>
      <c r="Q373" s="170">
        <v>45447</v>
      </c>
      <c r="R373" s="171"/>
      <c r="S373" s="172"/>
    </row>
    <row r="374" spans="1:19" ht="42.75">
      <c r="A374" s="164" t="s">
        <v>774</v>
      </c>
      <c r="B374" s="165" t="s">
        <v>877</v>
      </c>
      <c r="C374" s="165" t="s">
        <v>3903</v>
      </c>
      <c r="D374" s="164">
        <v>1616</v>
      </c>
      <c r="E374" s="164">
        <v>1461</v>
      </c>
      <c r="F374" s="164" t="s">
        <v>3404</v>
      </c>
      <c r="G374" s="164">
        <v>2024</v>
      </c>
      <c r="H374" s="184" t="s">
        <v>3904</v>
      </c>
      <c r="I374" s="184" t="s">
        <v>6821</v>
      </c>
      <c r="J374" s="168" t="s">
        <v>6974</v>
      </c>
      <c r="K374" s="174">
        <v>45474</v>
      </c>
      <c r="L374" s="129" t="s">
        <v>3125</v>
      </c>
      <c r="M374" s="129"/>
      <c r="N374" s="129"/>
      <c r="O374" s="129" t="s">
        <v>3406</v>
      </c>
      <c r="P374" s="146"/>
      <c r="Q374" s="130">
        <v>45474</v>
      </c>
      <c r="R374" s="171"/>
      <c r="S374" s="172"/>
    </row>
    <row r="375" spans="1:19" ht="42.75">
      <c r="A375" s="164" t="s">
        <v>774</v>
      </c>
      <c r="B375" s="165" t="s">
        <v>877</v>
      </c>
      <c r="C375" s="165" t="s">
        <v>3786</v>
      </c>
      <c r="D375" s="164">
        <v>1990</v>
      </c>
      <c r="E375" s="164">
        <v>2289</v>
      </c>
      <c r="F375" s="164" t="s">
        <v>3404</v>
      </c>
      <c r="G375" s="164">
        <v>2024</v>
      </c>
      <c r="H375" s="184" t="s">
        <v>3817</v>
      </c>
      <c r="I375" s="184" t="s">
        <v>6777</v>
      </c>
      <c r="J375" s="168" t="s">
        <v>6975</v>
      </c>
      <c r="K375" s="174">
        <v>45565</v>
      </c>
      <c r="L375" s="129" t="s">
        <v>3128</v>
      </c>
      <c r="M375" s="129" t="s">
        <v>4</v>
      </c>
      <c r="N375" s="129" t="s">
        <v>50</v>
      </c>
      <c r="O375" s="129" t="s">
        <v>3406</v>
      </c>
      <c r="P375" s="146"/>
      <c r="Q375" s="189">
        <v>45566</v>
      </c>
      <c r="R375" s="115" t="s">
        <v>150</v>
      </c>
      <c r="S375" s="163"/>
    </row>
    <row r="376" spans="1:19" ht="42.75">
      <c r="A376" s="164" t="s">
        <v>774</v>
      </c>
      <c r="B376" s="165" t="s">
        <v>917</v>
      </c>
      <c r="C376" s="183" t="s">
        <v>3905</v>
      </c>
      <c r="D376" s="164">
        <v>2573</v>
      </c>
      <c r="E376" s="164">
        <v>2789</v>
      </c>
      <c r="F376" s="164" t="s">
        <v>3404</v>
      </c>
      <c r="G376" s="164">
        <v>2024</v>
      </c>
      <c r="H376" s="188" t="s">
        <v>3660</v>
      </c>
      <c r="I376" s="188" t="s">
        <v>6762</v>
      </c>
      <c r="J376" s="168" t="s">
        <v>6976</v>
      </c>
      <c r="K376" s="180" t="s">
        <v>3751</v>
      </c>
      <c r="L376" s="129" t="s">
        <v>3532</v>
      </c>
      <c r="M376" s="129" t="s">
        <v>4</v>
      </c>
      <c r="N376" s="129" t="s">
        <v>57</v>
      </c>
      <c r="O376" s="129" t="s">
        <v>3406</v>
      </c>
      <c r="P376" s="146"/>
      <c r="Q376" s="170"/>
      <c r="R376" s="171"/>
      <c r="S376" s="172"/>
    </row>
    <row r="377" spans="1:19" ht="42.75">
      <c r="A377" s="164" t="s">
        <v>774</v>
      </c>
      <c r="B377" s="165" t="s">
        <v>917</v>
      </c>
      <c r="C377" s="165" t="s">
        <v>3906</v>
      </c>
      <c r="D377" s="164">
        <v>1169</v>
      </c>
      <c r="E377" s="164">
        <v>1314</v>
      </c>
      <c r="F377" s="164" t="s">
        <v>3404</v>
      </c>
      <c r="G377" s="164">
        <v>2024</v>
      </c>
      <c r="H377" s="166">
        <v>45344</v>
      </c>
      <c r="I377" s="166">
        <v>45346</v>
      </c>
      <c r="J377" s="168" t="s">
        <v>6977</v>
      </c>
      <c r="K377" s="182">
        <v>45349</v>
      </c>
      <c r="L377" s="129"/>
      <c r="M377" s="129" t="s">
        <v>4</v>
      </c>
      <c r="N377" s="129" t="s">
        <v>50</v>
      </c>
      <c r="O377" s="129" t="s">
        <v>3406</v>
      </c>
      <c r="P377" s="146"/>
      <c r="Q377" s="170"/>
      <c r="R377" s="171"/>
      <c r="S377" s="172"/>
    </row>
    <row r="378" spans="1:19" ht="42.75">
      <c r="A378" s="164" t="s">
        <v>774</v>
      </c>
      <c r="B378" s="165" t="s">
        <v>917</v>
      </c>
      <c r="C378" s="185" t="s">
        <v>3908</v>
      </c>
      <c r="D378" s="164">
        <v>3210</v>
      </c>
      <c r="E378" s="164">
        <v>3230</v>
      </c>
      <c r="F378" s="164" t="s">
        <v>3404</v>
      </c>
      <c r="G378" s="164">
        <v>2024</v>
      </c>
      <c r="H378" s="186">
        <v>45386</v>
      </c>
      <c r="I378" s="186">
        <v>45389</v>
      </c>
      <c r="J378" s="168" t="s">
        <v>6978</v>
      </c>
      <c r="K378" s="190" t="s">
        <v>3539</v>
      </c>
      <c r="L378" s="129" t="s">
        <v>3470</v>
      </c>
      <c r="M378" s="129" t="s">
        <v>4</v>
      </c>
      <c r="N378" s="129" t="s">
        <v>50</v>
      </c>
      <c r="O378" s="129" t="s">
        <v>3406</v>
      </c>
      <c r="P378" s="146"/>
      <c r="Q378" s="170"/>
      <c r="R378" s="171"/>
      <c r="S378" s="172"/>
    </row>
    <row r="379" spans="1:19" ht="42.75">
      <c r="A379" s="164" t="s">
        <v>774</v>
      </c>
      <c r="B379" s="165" t="s">
        <v>917</v>
      </c>
      <c r="C379" s="165" t="s">
        <v>3910</v>
      </c>
      <c r="D379" s="164">
        <v>2665</v>
      </c>
      <c r="E379" s="164">
        <v>3058</v>
      </c>
      <c r="F379" s="164" t="s">
        <v>3404</v>
      </c>
      <c r="G379" s="164">
        <v>2024</v>
      </c>
      <c r="H379" s="186">
        <v>45356</v>
      </c>
      <c r="I379" s="186">
        <v>45356</v>
      </c>
      <c r="J379" s="168" t="s">
        <v>6979</v>
      </c>
      <c r="K379" s="182">
        <v>45366</v>
      </c>
      <c r="L379" s="129"/>
      <c r="M379" s="129" t="s">
        <v>4</v>
      </c>
      <c r="N379" s="129" t="s">
        <v>50</v>
      </c>
      <c r="O379" s="129" t="s">
        <v>3406</v>
      </c>
      <c r="P379" s="146"/>
      <c r="Q379" s="170"/>
      <c r="R379" s="171"/>
      <c r="S379" s="172"/>
    </row>
    <row r="380" spans="1:19" ht="42.75">
      <c r="A380" s="164" t="s">
        <v>774</v>
      </c>
      <c r="B380" s="165" t="s">
        <v>917</v>
      </c>
      <c r="C380" s="165" t="s">
        <v>3911</v>
      </c>
      <c r="D380" s="164">
        <v>3926</v>
      </c>
      <c r="E380" s="164">
        <v>4787</v>
      </c>
      <c r="F380" s="164" t="s">
        <v>3404</v>
      </c>
      <c r="G380" s="164">
        <v>2024</v>
      </c>
      <c r="H380" s="186">
        <v>45356</v>
      </c>
      <c r="I380" s="186">
        <v>45356</v>
      </c>
      <c r="J380" s="168" t="s">
        <v>6980</v>
      </c>
      <c r="K380" s="182">
        <v>45366</v>
      </c>
      <c r="L380" s="129"/>
      <c r="M380" s="129" t="s">
        <v>4</v>
      </c>
      <c r="N380" s="129" t="s">
        <v>57</v>
      </c>
      <c r="O380" s="129" t="s">
        <v>3406</v>
      </c>
      <c r="P380" s="146"/>
      <c r="Q380" s="170"/>
      <c r="R380" s="171"/>
      <c r="S380" s="172"/>
    </row>
    <row r="381" spans="1:19" ht="42.75">
      <c r="A381" s="164" t="s">
        <v>774</v>
      </c>
      <c r="B381" s="165" t="s">
        <v>917</v>
      </c>
      <c r="C381" s="165" t="s">
        <v>3912</v>
      </c>
      <c r="D381" s="164">
        <v>2092</v>
      </c>
      <c r="E381" s="164">
        <v>2284</v>
      </c>
      <c r="F381" s="164" t="s">
        <v>3404</v>
      </c>
      <c r="G381" s="164">
        <v>2024</v>
      </c>
      <c r="H381" s="184" t="s">
        <v>3892</v>
      </c>
      <c r="I381" s="175">
        <v>45446</v>
      </c>
      <c r="J381" s="168" t="s">
        <v>6981</v>
      </c>
      <c r="K381" s="174">
        <v>45461</v>
      </c>
      <c r="L381" s="129" t="s">
        <v>3689</v>
      </c>
      <c r="M381" s="129" t="s">
        <v>4</v>
      </c>
      <c r="N381" s="129" t="s">
        <v>57</v>
      </c>
      <c r="O381" s="129" t="s">
        <v>3406</v>
      </c>
      <c r="P381" s="146"/>
      <c r="Q381" s="170">
        <v>45462</v>
      </c>
      <c r="R381" s="171"/>
      <c r="S381" s="172"/>
    </row>
    <row r="382" spans="1:19" ht="42.75">
      <c r="A382" s="164" t="s">
        <v>774</v>
      </c>
      <c r="B382" s="165" t="s">
        <v>917</v>
      </c>
      <c r="C382" s="183" t="s">
        <v>3913</v>
      </c>
      <c r="D382" s="164">
        <v>4230</v>
      </c>
      <c r="E382" s="164">
        <v>4456</v>
      </c>
      <c r="F382" s="164" t="s">
        <v>3404</v>
      </c>
      <c r="G382" s="164">
        <v>2024</v>
      </c>
      <c r="H382" s="184" t="s">
        <v>3914</v>
      </c>
      <c r="I382" s="184" t="s">
        <v>3741</v>
      </c>
      <c r="J382" s="168" t="s">
        <v>6982</v>
      </c>
      <c r="K382" s="180" t="s">
        <v>3706</v>
      </c>
      <c r="L382" s="129" t="s">
        <v>3532</v>
      </c>
      <c r="M382" s="129" t="s">
        <v>4</v>
      </c>
      <c r="N382" s="129" t="s">
        <v>50</v>
      </c>
      <c r="O382" s="129" t="s">
        <v>3406</v>
      </c>
      <c r="P382" s="146"/>
      <c r="Q382" s="170"/>
      <c r="R382" s="171"/>
      <c r="S382" s="172"/>
    </row>
    <row r="383" spans="1:19" ht="42.75">
      <c r="A383" s="164" t="s">
        <v>774</v>
      </c>
      <c r="B383" s="165" t="s">
        <v>917</v>
      </c>
      <c r="C383" s="165" t="s">
        <v>3915</v>
      </c>
      <c r="D383" s="164">
        <v>1159</v>
      </c>
      <c r="E383" s="164">
        <v>936</v>
      </c>
      <c r="F383" s="164" t="s">
        <v>3404</v>
      </c>
      <c r="G383" s="164">
        <v>2024</v>
      </c>
      <c r="H383" s="166">
        <v>45366</v>
      </c>
      <c r="I383" s="166">
        <v>45369</v>
      </c>
      <c r="J383" s="168" t="s">
        <v>6983</v>
      </c>
      <c r="K383" s="182">
        <v>45377</v>
      </c>
      <c r="L383" s="129"/>
      <c r="M383" s="129" t="s">
        <v>4</v>
      </c>
      <c r="N383" s="129" t="s">
        <v>50</v>
      </c>
      <c r="O383" s="129" t="s">
        <v>3406</v>
      </c>
      <c r="P383" s="146"/>
      <c r="Q383" s="170"/>
      <c r="R383" s="171"/>
      <c r="S383" s="172"/>
    </row>
    <row r="384" spans="1:19" ht="42.75">
      <c r="A384" s="164" t="s">
        <v>774</v>
      </c>
      <c r="B384" s="165" t="s">
        <v>917</v>
      </c>
      <c r="C384" s="183" t="s">
        <v>3565</v>
      </c>
      <c r="D384" s="164">
        <v>2480</v>
      </c>
      <c r="E384" s="164">
        <v>2555</v>
      </c>
      <c r="F384" s="164" t="s">
        <v>3404</v>
      </c>
      <c r="G384" s="164">
        <v>2024</v>
      </c>
      <c r="H384" s="184" t="s">
        <v>3894</v>
      </c>
      <c r="I384" s="184" t="s">
        <v>3894</v>
      </c>
      <c r="J384" s="168" t="s">
        <v>6984</v>
      </c>
      <c r="K384" s="180" t="s">
        <v>6770</v>
      </c>
      <c r="L384" s="129" t="s">
        <v>3532</v>
      </c>
      <c r="M384" s="129" t="s">
        <v>4</v>
      </c>
      <c r="N384" s="129" t="s">
        <v>50</v>
      </c>
      <c r="O384" s="129" t="s">
        <v>3406</v>
      </c>
      <c r="P384" s="146"/>
      <c r="Q384" s="170"/>
      <c r="R384" s="171"/>
      <c r="S384" s="172"/>
    </row>
    <row r="385" spans="1:19" ht="42.75">
      <c r="A385" s="164" t="s">
        <v>774</v>
      </c>
      <c r="B385" s="165" t="s">
        <v>917</v>
      </c>
      <c r="C385" s="185" t="s">
        <v>3916</v>
      </c>
      <c r="D385" s="164">
        <v>3682</v>
      </c>
      <c r="E385" s="164">
        <v>4638</v>
      </c>
      <c r="F385" s="164" t="s">
        <v>3404</v>
      </c>
      <c r="G385" s="164">
        <v>2024</v>
      </c>
      <c r="H385" s="166">
        <v>45377</v>
      </c>
      <c r="I385" s="186">
        <v>45384</v>
      </c>
      <c r="J385" s="168" t="s">
        <v>6985</v>
      </c>
      <c r="K385" s="190" t="s">
        <v>3652</v>
      </c>
      <c r="L385" s="129" t="s">
        <v>3470</v>
      </c>
      <c r="M385" s="129" t="s">
        <v>4</v>
      </c>
      <c r="N385" s="129" t="s">
        <v>50</v>
      </c>
      <c r="O385" s="129" t="s">
        <v>3406</v>
      </c>
      <c r="P385" s="146"/>
      <c r="Q385" s="170"/>
      <c r="R385" s="171"/>
      <c r="S385" s="172"/>
    </row>
    <row r="386" spans="1:19" ht="42.75">
      <c r="A386" s="164" t="s">
        <v>774</v>
      </c>
      <c r="B386" s="165" t="s">
        <v>917</v>
      </c>
      <c r="C386" s="165" t="s">
        <v>3918</v>
      </c>
      <c r="D386" s="164">
        <v>2184</v>
      </c>
      <c r="E386" s="164">
        <v>2289</v>
      </c>
      <c r="F386" s="164" t="s">
        <v>3404</v>
      </c>
      <c r="G386" s="164">
        <v>2024</v>
      </c>
      <c r="H386" s="166">
        <v>45366</v>
      </c>
      <c r="I386" s="166">
        <v>45369</v>
      </c>
      <c r="J386" s="179" t="s">
        <v>6986</v>
      </c>
      <c r="K386" s="182"/>
      <c r="L386" s="129"/>
      <c r="M386" s="129" t="s">
        <v>4</v>
      </c>
      <c r="N386" s="129" t="s">
        <v>50</v>
      </c>
      <c r="O386" s="129" t="s">
        <v>3406</v>
      </c>
      <c r="P386" s="146"/>
      <c r="Q386" s="170"/>
      <c r="R386" s="171"/>
      <c r="S386" s="172"/>
    </row>
    <row r="387" spans="1:19" ht="42.75">
      <c r="A387" s="164" t="s">
        <v>774</v>
      </c>
      <c r="B387" s="165" t="s">
        <v>917</v>
      </c>
      <c r="C387" s="165" t="s">
        <v>3907</v>
      </c>
      <c r="D387" s="164">
        <v>3756</v>
      </c>
      <c r="E387" s="164">
        <v>3639</v>
      </c>
      <c r="F387" s="164" t="s">
        <v>3404</v>
      </c>
      <c r="G387" s="164">
        <v>2024</v>
      </c>
      <c r="H387" s="184" t="s">
        <v>3592</v>
      </c>
      <c r="I387" s="184" t="s">
        <v>3822</v>
      </c>
      <c r="J387" s="168" t="s">
        <v>6987</v>
      </c>
      <c r="K387" s="174">
        <v>45446</v>
      </c>
      <c r="L387" s="129" t="s">
        <v>3689</v>
      </c>
      <c r="M387" s="129" t="s">
        <v>4</v>
      </c>
      <c r="N387" s="129" t="s">
        <v>50</v>
      </c>
      <c r="O387" s="129" t="s">
        <v>3406</v>
      </c>
      <c r="P387" s="146"/>
      <c r="Q387" s="130">
        <v>45446</v>
      </c>
      <c r="R387" s="171"/>
      <c r="S387" s="172"/>
    </row>
    <row r="388" spans="1:19" ht="42.75">
      <c r="A388" s="216" t="s">
        <v>774</v>
      </c>
      <c r="B388" s="165" t="s">
        <v>917</v>
      </c>
      <c r="C388" s="165" t="s">
        <v>3919</v>
      </c>
      <c r="D388" s="164">
        <v>1419</v>
      </c>
      <c r="E388" s="164">
        <v>1534</v>
      </c>
      <c r="F388" s="164" t="s">
        <v>3404</v>
      </c>
      <c r="G388" s="164">
        <v>2024</v>
      </c>
      <c r="H388" s="184" t="s">
        <v>3920</v>
      </c>
      <c r="I388" s="184" t="s">
        <v>6863</v>
      </c>
      <c r="J388" s="168" t="s">
        <v>6988</v>
      </c>
      <c r="K388" s="180" t="s">
        <v>6863</v>
      </c>
      <c r="L388" s="129" t="s">
        <v>3689</v>
      </c>
      <c r="M388" s="129" t="s">
        <v>4</v>
      </c>
      <c r="N388" s="129" t="s">
        <v>50</v>
      </c>
      <c r="O388" s="129" t="s">
        <v>3406</v>
      </c>
      <c r="P388" s="146"/>
      <c r="Q388" s="170">
        <v>45432</v>
      </c>
      <c r="R388" s="171"/>
      <c r="S388" s="172"/>
    </row>
    <row r="389" spans="1:19" ht="42.75">
      <c r="A389" s="164" t="s">
        <v>774</v>
      </c>
      <c r="B389" s="165" t="s">
        <v>917</v>
      </c>
      <c r="C389" s="165" t="s">
        <v>3921</v>
      </c>
      <c r="D389" s="164">
        <v>753</v>
      </c>
      <c r="E389" s="164">
        <v>793</v>
      </c>
      <c r="F389" s="164" t="s">
        <v>3404</v>
      </c>
      <c r="G389" s="164">
        <v>2024</v>
      </c>
      <c r="H389" s="166">
        <v>45344</v>
      </c>
      <c r="I389" s="166">
        <v>45346</v>
      </c>
      <c r="J389" s="179" t="s">
        <v>6989</v>
      </c>
      <c r="K389" s="182">
        <v>45349</v>
      </c>
      <c r="L389" s="129"/>
      <c r="M389" s="129" t="s">
        <v>4</v>
      </c>
      <c r="N389" s="129" t="s">
        <v>50</v>
      </c>
      <c r="O389" s="129" t="s">
        <v>3406</v>
      </c>
      <c r="P389" s="146"/>
      <c r="Q389" s="170"/>
      <c r="R389" s="171"/>
      <c r="S389" s="172"/>
    </row>
    <row r="390" spans="1:19" ht="42.75">
      <c r="A390" s="164" t="s">
        <v>776</v>
      </c>
      <c r="B390" s="165" t="s">
        <v>934</v>
      </c>
      <c r="C390" s="165" t="s">
        <v>3924</v>
      </c>
      <c r="D390" s="164">
        <v>2140</v>
      </c>
      <c r="E390" s="164">
        <v>2327</v>
      </c>
      <c r="F390" s="164" t="s">
        <v>3955</v>
      </c>
      <c r="G390" s="164"/>
      <c r="H390" s="167"/>
      <c r="I390" s="167"/>
      <c r="J390" s="167"/>
      <c r="K390" s="169"/>
      <c r="L390" s="129"/>
      <c r="M390" s="129"/>
      <c r="N390" s="129"/>
      <c r="O390" s="129"/>
      <c r="P390" s="146"/>
      <c r="Q390" s="170"/>
      <c r="R390" s="171"/>
      <c r="S390" s="172"/>
    </row>
    <row r="391" spans="1:19" ht="42.75">
      <c r="A391" s="164" t="s">
        <v>776</v>
      </c>
      <c r="B391" s="165" t="s">
        <v>934</v>
      </c>
      <c r="C391" s="165" t="s">
        <v>3926</v>
      </c>
      <c r="D391" s="164">
        <v>855</v>
      </c>
      <c r="E391" s="164">
        <v>910</v>
      </c>
      <c r="F391" s="164" t="s">
        <v>3955</v>
      </c>
      <c r="G391" s="164"/>
      <c r="H391" s="167"/>
      <c r="I391" s="167"/>
      <c r="J391" s="167"/>
      <c r="K391" s="169"/>
      <c r="L391" s="129"/>
      <c r="M391" s="129"/>
      <c r="N391" s="129"/>
      <c r="O391" s="129"/>
      <c r="P391" s="146"/>
      <c r="Q391" s="170"/>
      <c r="R391" s="171"/>
      <c r="S391" s="172"/>
    </row>
    <row r="392" spans="1:19" ht="42.75">
      <c r="A392" s="164" t="s">
        <v>776</v>
      </c>
      <c r="B392" s="165" t="s">
        <v>934</v>
      </c>
      <c r="C392" s="165" t="s">
        <v>935</v>
      </c>
      <c r="D392" s="164">
        <v>5182</v>
      </c>
      <c r="E392" s="164">
        <v>5560</v>
      </c>
      <c r="F392" s="164" t="s">
        <v>3955</v>
      </c>
      <c r="G392" s="164"/>
      <c r="H392" s="167"/>
      <c r="I392" s="167"/>
      <c r="J392" s="167"/>
      <c r="K392" s="169"/>
      <c r="L392" s="129"/>
      <c r="M392" s="129"/>
      <c r="N392" s="129"/>
      <c r="O392" s="129"/>
      <c r="P392" s="146"/>
      <c r="Q392" s="170"/>
      <c r="R392" s="171"/>
      <c r="S392" s="172"/>
    </row>
    <row r="393" spans="1:19" ht="42.75">
      <c r="A393" s="216" t="s">
        <v>776</v>
      </c>
      <c r="B393" s="165" t="s">
        <v>934</v>
      </c>
      <c r="C393" s="165" t="s">
        <v>3922</v>
      </c>
      <c r="D393" s="164">
        <v>2603</v>
      </c>
      <c r="E393" s="164">
        <v>2902</v>
      </c>
      <c r="F393" s="164" t="s">
        <v>3955</v>
      </c>
      <c r="G393" s="164"/>
      <c r="H393" s="167"/>
      <c r="I393" s="167"/>
      <c r="J393" s="167"/>
      <c r="K393" s="169"/>
      <c r="L393" s="129"/>
      <c r="M393" s="129"/>
      <c r="N393" s="129"/>
      <c r="O393" s="129"/>
      <c r="P393" s="146"/>
      <c r="Q393" s="170"/>
      <c r="R393" s="171"/>
      <c r="S393" s="172"/>
    </row>
    <row r="394" spans="1:19" ht="42.75">
      <c r="A394" s="216" t="s">
        <v>776</v>
      </c>
      <c r="B394" s="165" t="s">
        <v>934</v>
      </c>
      <c r="C394" s="165" t="s">
        <v>3931</v>
      </c>
      <c r="D394" s="164">
        <v>4665</v>
      </c>
      <c r="E394" s="164">
        <v>5116</v>
      </c>
      <c r="F394" s="164" t="s">
        <v>3955</v>
      </c>
      <c r="G394" s="164"/>
      <c r="H394" s="167"/>
      <c r="I394" s="167"/>
      <c r="J394" s="167"/>
      <c r="K394" s="169"/>
      <c r="L394" s="129"/>
      <c r="M394" s="129"/>
      <c r="N394" s="129"/>
      <c r="O394" s="129"/>
      <c r="P394" s="146"/>
      <c r="Q394" s="170"/>
      <c r="R394" s="171"/>
      <c r="S394" s="172"/>
    </row>
    <row r="395" spans="1:19" ht="42.75">
      <c r="A395" s="164" t="s">
        <v>776</v>
      </c>
      <c r="B395" s="165" t="s">
        <v>934</v>
      </c>
      <c r="C395" s="165" t="s">
        <v>3933</v>
      </c>
      <c r="D395" s="164">
        <v>1225</v>
      </c>
      <c r="E395" s="164">
        <v>1787</v>
      </c>
      <c r="F395" s="164" t="s">
        <v>3955</v>
      </c>
      <c r="G395" s="164"/>
      <c r="H395" s="167"/>
      <c r="I395" s="167"/>
      <c r="J395" s="167"/>
      <c r="K395" s="169"/>
      <c r="L395" s="129"/>
      <c r="M395" s="129"/>
      <c r="N395" s="129"/>
      <c r="O395" s="129"/>
      <c r="P395" s="146"/>
      <c r="Q395" s="170"/>
      <c r="R395" s="171"/>
      <c r="S395" s="172"/>
    </row>
    <row r="396" spans="1:19" ht="42.75">
      <c r="A396" s="216" t="s">
        <v>776</v>
      </c>
      <c r="B396" s="165" t="s">
        <v>934</v>
      </c>
      <c r="C396" s="165" t="s">
        <v>3929</v>
      </c>
      <c r="D396" s="164">
        <v>4344</v>
      </c>
      <c r="E396" s="164">
        <v>5552</v>
      </c>
      <c r="F396" s="164" t="s">
        <v>3955</v>
      </c>
      <c r="G396" s="164"/>
      <c r="H396" s="167"/>
      <c r="I396" s="167"/>
      <c r="J396" s="167"/>
      <c r="K396" s="169"/>
      <c r="L396" s="129"/>
      <c r="M396" s="129"/>
      <c r="N396" s="129"/>
      <c r="O396" s="129"/>
      <c r="P396" s="146"/>
      <c r="Q396" s="170"/>
      <c r="R396" s="171"/>
      <c r="S396" s="172"/>
    </row>
    <row r="397" spans="1:19" ht="42.75">
      <c r="A397" s="164" t="s">
        <v>776</v>
      </c>
      <c r="B397" s="165" t="s">
        <v>934</v>
      </c>
      <c r="C397" s="165" t="s">
        <v>3935</v>
      </c>
      <c r="D397" s="164">
        <v>4607</v>
      </c>
      <c r="E397" s="164">
        <v>5256</v>
      </c>
      <c r="F397" s="164" t="s">
        <v>3955</v>
      </c>
      <c r="G397" s="164"/>
      <c r="H397" s="167"/>
      <c r="I397" s="167"/>
      <c r="J397" s="167"/>
      <c r="K397" s="169"/>
      <c r="L397" s="129"/>
      <c r="M397" s="129"/>
      <c r="N397" s="129"/>
      <c r="O397" s="129"/>
      <c r="P397" s="146"/>
      <c r="Q397" s="170"/>
      <c r="R397" s="171"/>
      <c r="S397" s="172"/>
    </row>
    <row r="398" spans="1:19" ht="42.75">
      <c r="A398" s="164" t="s">
        <v>776</v>
      </c>
      <c r="B398" s="165" t="s">
        <v>934</v>
      </c>
      <c r="C398" s="165" t="s">
        <v>3939</v>
      </c>
      <c r="D398" s="164">
        <v>1447</v>
      </c>
      <c r="E398" s="164">
        <v>1738</v>
      </c>
      <c r="F398" s="164" t="s">
        <v>3955</v>
      </c>
      <c r="G398" s="164"/>
      <c r="H398" s="167"/>
      <c r="I398" s="167"/>
      <c r="J398" s="167"/>
      <c r="K398" s="169"/>
      <c r="L398" s="129"/>
      <c r="M398" s="129"/>
      <c r="N398" s="129"/>
      <c r="O398" s="129"/>
      <c r="P398" s="146"/>
      <c r="Q398" s="170"/>
      <c r="R398" s="171"/>
      <c r="S398" s="172"/>
    </row>
    <row r="399" spans="1:19" ht="42.75">
      <c r="A399" s="216" t="s">
        <v>776</v>
      </c>
      <c r="B399" s="165" t="s">
        <v>934</v>
      </c>
      <c r="C399" s="165" t="s">
        <v>3941</v>
      </c>
      <c r="D399" s="164">
        <v>4940</v>
      </c>
      <c r="E399" s="164">
        <v>5940</v>
      </c>
      <c r="F399" s="164" t="s">
        <v>3955</v>
      </c>
      <c r="G399" s="164"/>
      <c r="H399" s="167"/>
      <c r="I399" s="167"/>
      <c r="J399" s="167"/>
      <c r="K399" s="169"/>
      <c r="L399" s="129"/>
      <c r="M399" s="129"/>
      <c r="N399" s="129"/>
      <c r="O399" s="129"/>
      <c r="P399" s="146"/>
      <c r="Q399" s="170"/>
      <c r="R399" s="171"/>
      <c r="S399" s="172"/>
    </row>
    <row r="400" spans="1:19" ht="42.75">
      <c r="A400" s="216" t="s">
        <v>776</v>
      </c>
      <c r="B400" s="165" t="s">
        <v>934</v>
      </c>
      <c r="C400" s="165" t="s">
        <v>3915</v>
      </c>
      <c r="D400" s="164">
        <v>5168</v>
      </c>
      <c r="E400" s="164">
        <v>4747</v>
      </c>
      <c r="F400" s="164" t="s">
        <v>3955</v>
      </c>
      <c r="G400" s="164"/>
      <c r="H400" s="167"/>
      <c r="I400" s="167"/>
      <c r="J400" s="167"/>
      <c r="K400" s="169"/>
      <c r="L400" s="129"/>
      <c r="M400" s="129"/>
      <c r="N400" s="129"/>
      <c r="O400" s="129"/>
      <c r="P400" s="146"/>
      <c r="Q400" s="170"/>
      <c r="R400" s="171"/>
      <c r="S400" s="172"/>
    </row>
    <row r="401" spans="1:19" ht="42.75">
      <c r="A401" s="216" t="s">
        <v>776</v>
      </c>
      <c r="B401" s="165" t="s">
        <v>934</v>
      </c>
      <c r="C401" s="165" t="s">
        <v>3937</v>
      </c>
      <c r="D401" s="164">
        <v>5641</v>
      </c>
      <c r="E401" s="164">
        <v>5875</v>
      </c>
      <c r="F401" s="164" t="s">
        <v>3955</v>
      </c>
      <c r="G401" s="164"/>
      <c r="H401" s="167"/>
      <c r="I401" s="167"/>
      <c r="J401" s="167"/>
      <c r="K401" s="169"/>
      <c r="L401" s="129"/>
      <c r="M401" s="129"/>
      <c r="N401" s="129"/>
      <c r="O401" s="129"/>
      <c r="P401" s="146"/>
      <c r="Q401" s="170"/>
      <c r="R401" s="171"/>
      <c r="S401" s="172"/>
    </row>
    <row r="402" spans="1:19" ht="42.75">
      <c r="A402" s="164" t="s">
        <v>776</v>
      </c>
      <c r="B402" s="165" t="s">
        <v>934</v>
      </c>
      <c r="C402" s="165" t="s">
        <v>3565</v>
      </c>
      <c r="D402" s="164">
        <v>2475</v>
      </c>
      <c r="E402" s="164">
        <v>2911</v>
      </c>
      <c r="F402" s="164" t="s">
        <v>3955</v>
      </c>
      <c r="G402" s="164"/>
      <c r="H402" s="167"/>
      <c r="I402" s="167"/>
      <c r="J402" s="167"/>
      <c r="K402" s="169"/>
      <c r="L402" s="129"/>
      <c r="M402" s="129"/>
      <c r="N402" s="129"/>
      <c r="O402" s="129"/>
      <c r="P402" s="146"/>
      <c r="Q402" s="170"/>
      <c r="R402" s="171"/>
      <c r="S402" s="172"/>
    </row>
    <row r="403" spans="1:19" ht="42.75">
      <c r="A403" s="164" t="s">
        <v>776</v>
      </c>
      <c r="B403" s="165" t="s">
        <v>934</v>
      </c>
      <c r="C403" s="165" t="s">
        <v>3768</v>
      </c>
      <c r="D403" s="164">
        <v>4999</v>
      </c>
      <c r="E403" s="164">
        <v>5132</v>
      </c>
      <c r="F403" s="164" t="s">
        <v>3955</v>
      </c>
      <c r="G403" s="164"/>
      <c r="H403" s="167"/>
      <c r="I403" s="167"/>
      <c r="J403" s="167"/>
      <c r="K403" s="169"/>
      <c r="L403" s="129"/>
      <c r="M403" s="129"/>
      <c r="N403" s="129"/>
      <c r="O403" s="129"/>
      <c r="P403" s="146"/>
      <c r="Q403" s="170"/>
      <c r="R403" s="171"/>
      <c r="S403" s="172"/>
    </row>
    <row r="404" spans="1:19" ht="42.75">
      <c r="A404" s="216" t="s">
        <v>776</v>
      </c>
      <c r="B404" s="165" t="s">
        <v>934</v>
      </c>
      <c r="C404" s="165" t="s">
        <v>3946</v>
      </c>
      <c r="D404" s="164">
        <v>5723</v>
      </c>
      <c r="E404" s="164">
        <v>5910</v>
      </c>
      <c r="F404" s="164" t="s">
        <v>3955</v>
      </c>
      <c r="G404" s="164"/>
      <c r="H404" s="167"/>
      <c r="I404" s="167"/>
      <c r="J404" s="167"/>
      <c r="K404" s="169"/>
      <c r="L404" s="129"/>
      <c r="M404" s="129"/>
      <c r="N404" s="129"/>
      <c r="O404" s="129"/>
      <c r="P404" s="146"/>
      <c r="Q404" s="170"/>
      <c r="R404" s="171"/>
      <c r="S404" s="172"/>
    </row>
    <row r="405" spans="1:19" ht="42.75">
      <c r="A405" s="216" t="s">
        <v>776</v>
      </c>
      <c r="B405" s="165" t="s">
        <v>934</v>
      </c>
      <c r="C405" s="165" t="s">
        <v>3948</v>
      </c>
      <c r="D405" s="164">
        <v>3223</v>
      </c>
      <c r="E405" s="164">
        <v>3954</v>
      </c>
      <c r="F405" s="164" t="s">
        <v>3955</v>
      </c>
      <c r="G405" s="164"/>
      <c r="H405" s="167"/>
      <c r="I405" s="167"/>
      <c r="J405" s="167"/>
      <c r="K405" s="169"/>
      <c r="L405" s="129"/>
      <c r="M405" s="129"/>
      <c r="N405" s="129"/>
      <c r="O405" s="129"/>
      <c r="P405" s="146"/>
      <c r="Q405" s="170"/>
      <c r="R405" s="171"/>
      <c r="S405" s="172"/>
    </row>
    <row r="406" spans="1:19" ht="42.75">
      <c r="A406" s="216" t="s">
        <v>776</v>
      </c>
      <c r="B406" s="165" t="s">
        <v>938</v>
      </c>
      <c r="C406" s="165" t="s">
        <v>3950</v>
      </c>
      <c r="D406" s="164">
        <v>7243</v>
      </c>
      <c r="E406" s="164">
        <v>8360</v>
      </c>
      <c r="F406" s="164" t="s">
        <v>3404</v>
      </c>
      <c r="G406" s="164">
        <v>2024</v>
      </c>
      <c r="H406" s="175">
        <v>45393</v>
      </c>
      <c r="I406" s="175">
        <v>45397</v>
      </c>
      <c r="J406" s="168" t="s">
        <v>6990</v>
      </c>
      <c r="K406" s="169" t="s">
        <v>6991</v>
      </c>
      <c r="L406" s="129" t="s">
        <v>3470</v>
      </c>
      <c r="M406" s="129"/>
      <c r="N406" s="129"/>
      <c r="O406" s="129" t="s">
        <v>3406</v>
      </c>
      <c r="P406" s="146"/>
      <c r="Q406" s="170"/>
      <c r="R406" s="171"/>
      <c r="S406" s="172"/>
    </row>
    <row r="407" spans="1:19" ht="42.75">
      <c r="A407" s="164" t="s">
        <v>776</v>
      </c>
      <c r="B407" s="165" t="s">
        <v>938</v>
      </c>
      <c r="C407" s="165" t="s">
        <v>939</v>
      </c>
      <c r="D407" s="164">
        <v>10190</v>
      </c>
      <c r="E407" s="164">
        <v>10780</v>
      </c>
      <c r="F407" s="164" t="s">
        <v>3404</v>
      </c>
      <c r="G407" s="164">
        <v>2024</v>
      </c>
      <c r="H407" s="175">
        <v>45393</v>
      </c>
      <c r="I407" s="175">
        <v>45397</v>
      </c>
      <c r="J407" s="168" t="s">
        <v>6992</v>
      </c>
      <c r="K407" s="169" t="s">
        <v>6991</v>
      </c>
      <c r="L407" s="129" t="s">
        <v>3470</v>
      </c>
      <c r="M407" s="129"/>
      <c r="N407" s="129"/>
      <c r="O407" s="129" t="s">
        <v>3406</v>
      </c>
      <c r="P407" s="146"/>
      <c r="Q407" s="170"/>
      <c r="R407" s="171"/>
      <c r="S407" s="172"/>
    </row>
    <row r="408" spans="1:19" ht="42.75">
      <c r="A408" s="164" t="s">
        <v>776</v>
      </c>
      <c r="B408" s="165" t="s">
        <v>938</v>
      </c>
      <c r="C408" s="165" t="s">
        <v>996</v>
      </c>
      <c r="D408" s="164">
        <v>1949</v>
      </c>
      <c r="E408" s="164">
        <v>2081</v>
      </c>
      <c r="F408" s="164" t="s">
        <v>3404</v>
      </c>
      <c r="G408" s="164">
        <v>2024</v>
      </c>
      <c r="H408" s="175">
        <v>45393</v>
      </c>
      <c r="I408" s="175">
        <v>45397</v>
      </c>
      <c r="J408" s="168" t="s">
        <v>6993</v>
      </c>
      <c r="K408" s="169" t="s">
        <v>6991</v>
      </c>
      <c r="L408" s="129" t="s">
        <v>3470</v>
      </c>
      <c r="M408" s="129"/>
      <c r="N408" s="129"/>
      <c r="O408" s="129" t="s">
        <v>3406</v>
      </c>
      <c r="P408" s="146"/>
      <c r="Q408" s="170"/>
      <c r="R408" s="171"/>
      <c r="S408" s="172"/>
    </row>
    <row r="409" spans="1:19" ht="42.75">
      <c r="A409" s="164" t="s">
        <v>776</v>
      </c>
      <c r="B409" s="165" t="s">
        <v>938</v>
      </c>
      <c r="C409" s="165" t="s">
        <v>1831</v>
      </c>
      <c r="D409" s="164">
        <v>2779</v>
      </c>
      <c r="E409" s="164">
        <v>2711</v>
      </c>
      <c r="F409" s="164" t="s">
        <v>3404</v>
      </c>
      <c r="G409" s="164">
        <v>2024</v>
      </c>
      <c r="H409" s="175">
        <v>45394</v>
      </c>
      <c r="I409" s="175">
        <v>45397</v>
      </c>
      <c r="J409" s="168" t="s">
        <v>6994</v>
      </c>
      <c r="K409" s="169" t="s">
        <v>6991</v>
      </c>
      <c r="L409" s="129" t="s">
        <v>3470</v>
      </c>
      <c r="M409" s="129"/>
      <c r="N409" s="129"/>
      <c r="O409" s="129" t="s">
        <v>3406</v>
      </c>
      <c r="P409" s="146"/>
      <c r="Q409" s="170"/>
      <c r="R409" s="171"/>
      <c r="S409" s="172"/>
    </row>
    <row r="410" spans="1:19" ht="42.75">
      <c r="A410" s="164" t="s">
        <v>776</v>
      </c>
      <c r="B410" s="165" t="s">
        <v>938</v>
      </c>
      <c r="C410" s="165" t="s">
        <v>3951</v>
      </c>
      <c r="D410" s="164">
        <v>12578</v>
      </c>
      <c r="E410" s="164">
        <v>13992</v>
      </c>
      <c r="F410" s="164" t="s">
        <v>3404</v>
      </c>
      <c r="G410" s="164">
        <v>2024</v>
      </c>
      <c r="H410" s="175">
        <v>45394</v>
      </c>
      <c r="I410" s="175">
        <v>45397</v>
      </c>
      <c r="J410" s="168" t="s">
        <v>6995</v>
      </c>
      <c r="K410" s="169" t="s">
        <v>6991</v>
      </c>
      <c r="L410" s="129" t="s">
        <v>3470</v>
      </c>
      <c r="M410" s="129"/>
      <c r="N410" s="129"/>
      <c r="O410" s="129" t="s">
        <v>3406</v>
      </c>
      <c r="P410" s="146"/>
      <c r="Q410" s="170"/>
      <c r="R410" s="171"/>
      <c r="S410" s="172"/>
    </row>
    <row r="411" spans="1:19" ht="42.75">
      <c r="A411" s="216" t="s">
        <v>776</v>
      </c>
      <c r="B411" s="165" t="s">
        <v>938</v>
      </c>
      <c r="C411" s="165" t="s">
        <v>3952</v>
      </c>
      <c r="D411" s="164">
        <v>7701</v>
      </c>
      <c r="E411" s="164">
        <v>7759</v>
      </c>
      <c r="F411" s="164" t="s">
        <v>3404</v>
      </c>
      <c r="G411" s="164">
        <v>2024</v>
      </c>
      <c r="H411" s="175">
        <v>45393</v>
      </c>
      <c r="I411" s="175">
        <v>45397</v>
      </c>
      <c r="J411" s="168" t="s">
        <v>6996</v>
      </c>
      <c r="K411" s="169" t="s">
        <v>6991</v>
      </c>
      <c r="L411" s="129" t="s">
        <v>3470</v>
      </c>
      <c r="M411" s="129"/>
      <c r="N411" s="129"/>
      <c r="O411" s="129" t="s">
        <v>3406</v>
      </c>
      <c r="P411" s="146"/>
      <c r="Q411" s="170"/>
      <c r="R411" s="171"/>
      <c r="S411" s="172"/>
    </row>
    <row r="412" spans="1:19" ht="42.75">
      <c r="A412" s="164" t="s">
        <v>776</v>
      </c>
      <c r="B412" s="165" t="s">
        <v>938</v>
      </c>
      <c r="C412" s="165" t="s">
        <v>918</v>
      </c>
      <c r="D412" s="164">
        <v>10158</v>
      </c>
      <c r="E412" s="164">
        <v>9415</v>
      </c>
      <c r="F412" s="164" t="s">
        <v>3404</v>
      </c>
      <c r="G412" s="164">
        <v>2024</v>
      </c>
      <c r="H412" s="166">
        <v>45365</v>
      </c>
      <c r="I412" s="167"/>
      <c r="J412" s="168" t="s">
        <v>6997</v>
      </c>
      <c r="K412" s="169"/>
      <c r="L412" s="129" t="s">
        <v>3416</v>
      </c>
      <c r="M412" s="129"/>
      <c r="N412" s="129"/>
      <c r="O412" s="129"/>
      <c r="P412" s="146"/>
      <c r="Q412" s="170"/>
      <c r="R412" s="171"/>
      <c r="S412" s="172"/>
    </row>
    <row r="413" spans="1:19" ht="42.75">
      <c r="A413" s="164" t="s">
        <v>776</v>
      </c>
      <c r="B413" s="165" t="s">
        <v>938</v>
      </c>
      <c r="C413" s="165" t="s">
        <v>1002</v>
      </c>
      <c r="D413" s="164">
        <v>16346</v>
      </c>
      <c r="E413" s="164">
        <v>17050</v>
      </c>
      <c r="F413" s="164" t="s">
        <v>3404</v>
      </c>
      <c r="G413" s="164">
        <v>2024</v>
      </c>
      <c r="H413" s="175">
        <v>45393</v>
      </c>
      <c r="I413" s="175">
        <v>45397</v>
      </c>
      <c r="J413" s="168" t="s">
        <v>6998</v>
      </c>
      <c r="K413" s="174">
        <v>45398</v>
      </c>
      <c r="L413" s="129" t="s">
        <v>3470</v>
      </c>
      <c r="M413" s="129"/>
      <c r="N413" s="129"/>
      <c r="O413" s="129" t="s">
        <v>3406</v>
      </c>
      <c r="P413" s="146"/>
      <c r="Q413" s="170"/>
      <c r="R413" s="171"/>
      <c r="S413" s="172"/>
    </row>
    <row r="414" spans="1:19" ht="42.75">
      <c r="A414" s="216" t="s">
        <v>776</v>
      </c>
      <c r="B414" s="165" t="s">
        <v>938</v>
      </c>
      <c r="C414" s="165" t="s">
        <v>3605</v>
      </c>
      <c r="D414" s="164">
        <v>4985</v>
      </c>
      <c r="E414" s="164">
        <v>4870</v>
      </c>
      <c r="F414" s="164" t="s">
        <v>3404</v>
      </c>
      <c r="G414" s="164">
        <v>2024</v>
      </c>
      <c r="H414" s="175">
        <v>45394</v>
      </c>
      <c r="I414" s="175">
        <v>45397</v>
      </c>
      <c r="J414" s="168" t="s">
        <v>6999</v>
      </c>
      <c r="K414" s="174">
        <v>45398</v>
      </c>
      <c r="L414" s="129" t="s">
        <v>3470</v>
      </c>
      <c r="M414" s="129"/>
      <c r="N414" s="129"/>
      <c r="O414" s="129" t="s">
        <v>3406</v>
      </c>
      <c r="P414" s="146"/>
      <c r="Q414" s="170"/>
      <c r="R414" s="171"/>
      <c r="S414" s="172"/>
    </row>
    <row r="415" spans="1:19" ht="42.75">
      <c r="A415" s="164" t="s">
        <v>776</v>
      </c>
      <c r="B415" s="165" t="s">
        <v>3953</v>
      </c>
      <c r="C415" s="165" t="s">
        <v>3954</v>
      </c>
      <c r="D415" s="164">
        <v>5616</v>
      </c>
      <c r="E415" s="164">
        <v>4249</v>
      </c>
      <c r="F415" s="164" t="s">
        <v>3955</v>
      </c>
      <c r="G415" s="164"/>
      <c r="H415" s="167"/>
      <c r="I415" s="167"/>
      <c r="J415" s="167"/>
      <c r="K415" s="169"/>
      <c r="L415" s="129"/>
      <c r="M415" s="129"/>
      <c r="N415" s="129"/>
      <c r="O415" s="129"/>
      <c r="P415" s="146"/>
      <c r="Q415" s="170"/>
      <c r="R415" s="171"/>
      <c r="S415" s="172"/>
    </row>
    <row r="416" spans="1:19" ht="42.75">
      <c r="A416" s="216" t="s">
        <v>776</v>
      </c>
      <c r="B416" s="165" t="s">
        <v>3953</v>
      </c>
      <c r="C416" s="165" t="s">
        <v>3956</v>
      </c>
      <c r="D416" s="164">
        <v>3051</v>
      </c>
      <c r="E416" s="164">
        <v>3385</v>
      </c>
      <c r="F416" s="164" t="s">
        <v>3955</v>
      </c>
      <c r="G416" s="164"/>
      <c r="H416" s="167"/>
      <c r="I416" s="167"/>
      <c r="J416" s="167"/>
      <c r="K416" s="169"/>
      <c r="L416" s="129"/>
      <c r="M416" s="129"/>
      <c r="N416" s="129"/>
      <c r="O416" s="129"/>
      <c r="P416" s="146"/>
      <c r="Q416" s="170"/>
      <c r="R416" s="171"/>
      <c r="S416" s="172"/>
    </row>
    <row r="417" spans="1:19" ht="42.75">
      <c r="A417" s="164" t="s">
        <v>776</v>
      </c>
      <c r="B417" s="165" t="s">
        <v>3953</v>
      </c>
      <c r="C417" s="165" t="s">
        <v>3957</v>
      </c>
      <c r="D417" s="164">
        <v>2784</v>
      </c>
      <c r="E417" s="164">
        <v>3522</v>
      </c>
      <c r="F417" s="164" t="s">
        <v>3955</v>
      </c>
      <c r="G417" s="164"/>
      <c r="H417" s="167"/>
      <c r="I417" s="167"/>
      <c r="J417" s="167"/>
      <c r="K417" s="169"/>
      <c r="L417" s="129"/>
      <c r="M417" s="129"/>
      <c r="N417" s="129"/>
      <c r="O417" s="129"/>
      <c r="P417" s="146"/>
      <c r="Q417" s="170"/>
      <c r="R417" s="171"/>
      <c r="S417" s="172"/>
    </row>
    <row r="418" spans="1:19" ht="42.75">
      <c r="A418" s="164" t="s">
        <v>776</v>
      </c>
      <c r="B418" s="165" t="s">
        <v>3953</v>
      </c>
      <c r="C418" s="165" t="s">
        <v>3959</v>
      </c>
      <c r="D418" s="164">
        <v>1916</v>
      </c>
      <c r="E418" s="164">
        <v>2123</v>
      </c>
      <c r="F418" s="164" t="s">
        <v>3955</v>
      </c>
      <c r="G418" s="164"/>
      <c r="H418" s="167"/>
      <c r="I418" s="167"/>
      <c r="J418" s="167"/>
      <c r="K418" s="169"/>
      <c r="L418" s="129"/>
      <c r="M418" s="129"/>
      <c r="N418" s="129"/>
      <c r="O418" s="129"/>
      <c r="P418" s="146"/>
      <c r="Q418" s="170"/>
      <c r="R418" s="171"/>
      <c r="S418" s="172"/>
    </row>
    <row r="419" spans="1:19" ht="135">
      <c r="A419" s="216" t="s">
        <v>776</v>
      </c>
      <c r="B419" s="165" t="s">
        <v>3953</v>
      </c>
      <c r="C419" s="165" t="s">
        <v>1185</v>
      </c>
      <c r="D419" s="164">
        <v>9933</v>
      </c>
      <c r="E419" s="164">
        <v>10159</v>
      </c>
      <c r="F419" s="164" t="s">
        <v>3404</v>
      </c>
      <c r="G419" s="164">
        <v>2024</v>
      </c>
      <c r="H419" s="175">
        <v>45484</v>
      </c>
      <c r="I419" s="175">
        <v>45485</v>
      </c>
      <c r="J419" s="168" t="s">
        <v>7000</v>
      </c>
      <c r="K419" s="174">
        <v>45489</v>
      </c>
      <c r="L419" s="129" t="s">
        <v>3125</v>
      </c>
      <c r="M419" s="129" t="s">
        <v>4</v>
      </c>
      <c r="N419" s="129" t="s">
        <v>57</v>
      </c>
      <c r="O419" s="129" t="s">
        <v>3406</v>
      </c>
      <c r="P419" s="146"/>
      <c r="Q419" s="170">
        <v>45490</v>
      </c>
      <c r="R419" s="171" t="s">
        <v>7001</v>
      </c>
      <c r="S419" s="172"/>
    </row>
    <row r="420" spans="1:19" ht="42.75">
      <c r="A420" s="216" t="s">
        <v>776</v>
      </c>
      <c r="B420" s="165" t="s">
        <v>3953</v>
      </c>
      <c r="C420" s="165" t="s">
        <v>3961</v>
      </c>
      <c r="D420" s="164">
        <v>2140</v>
      </c>
      <c r="E420" s="164">
        <v>2226</v>
      </c>
      <c r="F420" s="164" t="s">
        <v>3955</v>
      </c>
      <c r="G420" s="164"/>
      <c r="H420" s="167"/>
      <c r="I420" s="167"/>
      <c r="J420" s="167"/>
      <c r="K420" s="169"/>
      <c r="L420" s="129"/>
      <c r="M420" s="129"/>
      <c r="N420" s="129"/>
      <c r="O420" s="129"/>
      <c r="P420" s="146"/>
      <c r="Q420" s="170"/>
      <c r="R420" s="171"/>
      <c r="S420" s="172"/>
    </row>
    <row r="421" spans="1:19" ht="42.75">
      <c r="A421" s="216" t="s">
        <v>776</v>
      </c>
      <c r="B421" s="165" t="s">
        <v>3953</v>
      </c>
      <c r="C421" s="165" t="s">
        <v>3962</v>
      </c>
      <c r="D421" s="164">
        <v>11715</v>
      </c>
      <c r="E421" s="164">
        <v>12637</v>
      </c>
      <c r="F421" s="164" t="s">
        <v>3955</v>
      </c>
      <c r="G421" s="164"/>
      <c r="H421" s="167"/>
      <c r="I421" s="167"/>
      <c r="J421" s="167"/>
      <c r="K421" s="169"/>
      <c r="L421" s="129"/>
      <c r="M421" s="129"/>
      <c r="N421" s="129"/>
      <c r="O421" s="129"/>
      <c r="P421" s="146"/>
      <c r="Q421" s="170"/>
      <c r="R421" s="171"/>
      <c r="S421" s="172"/>
    </row>
    <row r="422" spans="1:19" ht="42.75">
      <c r="A422" s="164" t="s">
        <v>776</v>
      </c>
      <c r="B422" s="165" t="s">
        <v>3953</v>
      </c>
      <c r="C422" s="165" t="s">
        <v>3964</v>
      </c>
      <c r="D422" s="164">
        <v>2630</v>
      </c>
      <c r="E422" s="164">
        <v>3332</v>
      </c>
      <c r="F422" s="164" t="s">
        <v>3955</v>
      </c>
      <c r="G422" s="164"/>
      <c r="H422" s="167"/>
      <c r="I422" s="167"/>
      <c r="J422" s="167"/>
      <c r="K422" s="169"/>
      <c r="L422" s="129"/>
      <c r="M422" s="129"/>
      <c r="N422" s="129"/>
      <c r="O422" s="129"/>
      <c r="P422" s="146"/>
      <c r="Q422" s="170"/>
      <c r="R422" s="171"/>
      <c r="S422" s="172"/>
    </row>
    <row r="423" spans="1:19" ht="42.75">
      <c r="A423" s="216" t="s">
        <v>776</v>
      </c>
      <c r="B423" s="165" t="s">
        <v>3953</v>
      </c>
      <c r="C423" s="165" t="s">
        <v>3966</v>
      </c>
      <c r="D423" s="164">
        <v>3843</v>
      </c>
      <c r="E423" s="164">
        <v>7235</v>
      </c>
      <c r="F423" s="164" t="s">
        <v>3955</v>
      </c>
      <c r="G423" s="164"/>
      <c r="H423" s="167"/>
      <c r="I423" s="167"/>
      <c r="J423" s="167"/>
      <c r="K423" s="169"/>
      <c r="L423" s="129"/>
      <c r="M423" s="129"/>
      <c r="N423" s="129"/>
      <c r="O423" s="129"/>
      <c r="P423" s="146"/>
      <c r="Q423" s="170"/>
      <c r="R423" s="171"/>
      <c r="S423" s="172"/>
    </row>
    <row r="424" spans="1:19" ht="42.75">
      <c r="A424" s="164" t="s">
        <v>776</v>
      </c>
      <c r="B424" s="165" t="s">
        <v>3953</v>
      </c>
      <c r="C424" s="165" t="s">
        <v>3967</v>
      </c>
      <c r="D424" s="164">
        <v>1517</v>
      </c>
      <c r="E424" s="164">
        <v>1863</v>
      </c>
      <c r="F424" s="164" t="s">
        <v>3955</v>
      </c>
      <c r="G424" s="164"/>
      <c r="H424" s="167"/>
      <c r="I424" s="167"/>
      <c r="J424" s="167"/>
      <c r="K424" s="169"/>
      <c r="L424" s="129"/>
      <c r="M424" s="129"/>
      <c r="N424" s="129"/>
      <c r="O424" s="129"/>
      <c r="P424" s="146"/>
      <c r="Q424" s="170"/>
      <c r="R424" s="171"/>
      <c r="S424" s="172"/>
    </row>
    <row r="425" spans="1:19" ht="42.75">
      <c r="A425" s="164" t="s">
        <v>776</v>
      </c>
      <c r="B425" s="165" t="s">
        <v>3953</v>
      </c>
      <c r="C425" s="165" t="s">
        <v>3968</v>
      </c>
      <c r="D425" s="164">
        <v>2229</v>
      </c>
      <c r="E425" s="164">
        <v>2648</v>
      </c>
      <c r="F425" s="164" t="s">
        <v>3955</v>
      </c>
      <c r="G425" s="164"/>
      <c r="H425" s="167"/>
      <c r="I425" s="167"/>
      <c r="J425" s="167"/>
      <c r="K425" s="169"/>
      <c r="L425" s="129"/>
      <c r="M425" s="129"/>
      <c r="N425" s="129"/>
      <c r="O425" s="129"/>
      <c r="P425" s="146"/>
      <c r="Q425" s="170"/>
      <c r="R425" s="171"/>
      <c r="S425" s="172"/>
    </row>
    <row r="426" spans="1:19" ht="42.75">
      <c r="A426" s="216" t="s">
        <v>776</v>
      </c>
      <c r="B426" s="165" t="s">
        <v>3953</v>
      </c>
      <c r="C426" s="165" t="s">
        <v>3969</v>
      </c>
      <c r="D426" s="164">
        <v>5357</v>
      </c>
      <c r="E426" s="164">
        <v>6580</v>
      </c>
      <c r="F426" s="164" t="s">
        <v>3955</v>
      </c>
      <c r="G426" s="164"/>
      <c r="H426" s="167"/>
      <c r="I426" s="167"/>
      <c r="J426" s="167"/>
      <c r="K426" s="169"/>
      <c r="L426" s="129"/>
      <c r="M426" s="129"/>
      <c r="N426" s="129"/>
      <c r="O426" s="129"/>
      <c r="P426" s="146"/>
      <c r="Q426" s="170"/>
      <c r="R426" s="171"/>
      <c r="S426" s="172"/>
    </row>
    <row r="427" spans="1:19" ht="42.75">
      <c r="A427" s="164" t="s">
        <v>776</v>
      </c>
      <c r="B427" s="165" t="s">
        <v>3953</v>
      </c>
      <c r="C427" s="165" t="s">
        <v>1056</v>
      </c>
      <c r="D427" s="164">
        <v>9448</v>
      </c>
      <c r="E427" s="164">
        <v>10573</v>
      </c>
      <c r="F427" s="164" t="s">
        <v>3955</v>
      </c>
      <c r="G427" s="164"/>
      <c r="H427" s="167"/>
      <c r="I427" s="167"/>
      <c r="J427" s="167"/>
      <c r="K427" s="169"/>
      <c r="L427" s="129"/>
      <c r="M427" s="129"/>
      <c r="N427" s="129"/>
      <c r="O427" s="129"/>
      <c r="P427" s="146"/>
      <c r="Q427" s="170"/>
      <c r="R427" s="171"/>
      <c r="S427" s="172"/>
    </row>
    <row r="428" spans="1:19" ht="210">
      <c r="A428" s="216" t="s">
        <v>776</v>
      </c>
      <c r="B428" s="165" t="s">
        <v>3953</v>
      </c>
      <c r="C428" s="165" t="s">
        <v>1241</v>
      </c>
      <c r="D428" s="164">
        <v>11350</v>
      </c>
      <c r="E428" s="164">
        <v>12547</v>
      </c>
      <c r="F428" s="164" t="s">
        <v>3404</v>
      </c>
      <c r="G428" s="164">
        <v>2024</v>
      </c>
      <c r="H428" s="175">
        <v>45573</v>
      </c>
      <c r="I428" s="175">
        <v>45574</v>
      </c>
      <c r="J428" s="168" t="s">
        <v>7002</v>
      </c>
      <c r="K428" s="174">
        <v>45584</v>
      </c>
      <c r="L428" s="129" t="s">
        <v>3128</v>
      </c>
      <c r="M428" s="129" t="s">
        <v>4</v>
      </c>
      <c r="N428" s="129" t="s">
        <v>57</v>
      </c>
      <c r="O428" s="129" t="s">
        <v>3406</v>
      </c>
      <c r="P428" s="146"/>
      <c r="Q428" s="170">
        <v>45586</v>
      </c>
      <c r="R428" s="170" t="s">
        <v>150</v>
      </c>
      <c r="S428" s="170" t="s">
        <v>7003</v>
      </c>
    </row>
    <row r="429" spans="1:19" ht="42.75">
      <c r="A429" s="216" t="s">
        <v>776</v>
      </c>
      <c r="B429" s="165" t="s">
        <v>3953</v>
      </c>
      <c r="C429" s="165" t="s">
        <v>858</v>
      </c>
      <c r="D429" s="164">
        <v>6575</v>
      </c>
      <c r="E429" s="164">
        <v>6739</v>
      </c>
      <c r="F429" s="164" t="s">
        <v>3955</v>
      </c>
      <c r="G429" s="164"/>
      <c r="H429" s="167"/>
      <c r="I429" s="167"/>
      <c r="J429" s="167"/>
      <c r="K429" s="169"/>
      <c r="L429" s="129"/>
      <c r="M429" s="129"/>
      <c r="N429" s="129"/>
      <c r="O429" s="129"/>
      <c r="P429" s="146"/>
      <c r="Q429" s="170"/>
      <c r="R429" s="171"/>
      <c r="S429" s="172"/>
    </row>
    <row r="430" spans="1:19" ht="42.75">
      <c r="A430" s="164" t="s">
        <v>776</v>
      </c>
      <c r="B430" s="165" t="s">
        <v>3953</v>
      </c>
      <c r="C430" s="165" t="s">
        <v>3974</v>
      </c>
      <c r="D430" s="164">
        <v>3554</v>
      </c>
      <c r="E430" s="164">
        <v>3967</v>
      </c>
      <c r="F430" s="164" t="s">
        <v>3955</v>
      </c>
      <c r="G430" s="164"/>
      <c r="H430" s="167"/>
      <c r="I430" s="167"/>
      <c r="J430" s="167"/>
      <c r="K430" s="169"/>
      <c r="L430" s="129"/>
      <c r="M430" s="129"/>
      <c r="N430" s="129"/>
      <c r="O430" s="129"/>
      <c r="P430" s="146"/>
      <c r="Q430" s="170"/>
      <c r="R430" s="171"/>
      <c r="S430" s="172"/>
    </row>
    <row r="431" spans="1:19" ht="42.75">
      <c r="A431" s="216" t="s">
        <v>776</v>
      </c>
      <c r="B431" s="165" t="s">
        <v>3953</v>
      </c>
      <c r="C431" s="165" t="s">
        <v>3975</v>
      </c>
      <c r="D431" s="164">
        <v>11676</v>
      </c>
      <c r="E431" s="164">
        <v>12638</v>
      </c>
      <c r="F431" s="164" t="s">
        <v>3955</v>
      </c>
      <c r="G431" s="164"/>
      <c r="H431" s="167"/>
      <c r="I431" s="167"/>
      <c r="J431" s="167"/>
      <c r="K431" s="169"/>
      <c r="L431" s="129"/>
      <c r="M431" s="129"/>
      <c r="N431" s="129"/>
      <c r="O431" s="129"/>
      <c r="P431" s="146"/>
      <c r="Q431" s="170"/>
      <c r="R431" s="171"/>
      <c r="S431" s="172"/>
    </row>
    <row r="432" spans="1:19" ht="42.75">
      <c r="A432" s="164" t="s">
        <v>776</v>
      </c>
      <c r="B432" s="165" t="s">
        <v>3953</v>
      </c>
      <c r="C432" s="165" t="s">
        <v>3977</v>
      </c>
      <c r="D432" s="164">
        <v>8840</v>
      </c>
      <c r="E432" s="164">
        <v>9600</v>
      </c>
      <c r="F432" s="164" t="s">
        <v>3404</v>
      </c>
      <c r="G432" s="164">
        <v>2024</v>
      </c>
      <c r="H432" s="175">
        <v>45580</v>
      </c>
      <c r="I432" s="175">
        <v>45574</v>
      </c>
      <c r="J432" s="168" t="s">
        <v>7004</v>
      </c>
      <c r="K432" s="174">
        <v>45584</v>
      </c>
      <c r="L432" s="129" t="s">
        <v>3128</v>
      </c>
      <c r="M432" s="129" t="s">
        <v>4</v>
      </c>
      <c r="N432" s="129" t="s">
        <v>57</v>
      </c>
      <c r="O432" s="129" t="s">
        <v>3406</v>
      </c>
      <c r="P432" s="146"/>
      <c r="Q432" s="170">
        <v>45586</v>
      </c>
      <c r="R432" s="171" t="s">
        <v>150</v>
      </c>
      <c r="S432" s="172"/>
    </row>
    <row r="433" spans="1:19" ht="42.75">
      <c r="A433" s="216" t="s">
        <v>776</v>
      </c>
      <c r="B433" s="165" t="s">
        <v>3953</v>
      </c>
      <c r="C433" s="165" t="s">
        <v>3727</v>
      </c>
      <c r="D433" s="164">
        <v>3818</v>
      </c>
      <c r="E433" s="164">
        <v>4324</v>
      </c>
      <c r="F433" s="164" t="s">
        <v>3955</v>
      </c>
      <c r="G433" s="164">
        <v>2025</v>
      </c>
      <c r="H433" s="167"/>
      <c r="I433" s="167"/>
      <c r="J433" s="167"/>
      <c r="K433" s="169"/>
      <c r="L433" s="129" t="s">
        <v>3424</v>
      </c>
      <c r="M433" s="129"/>
      <c r="N433" s="129"/>
      <c r="O433" s="129"/>
      <c r="P433" s="146"/>
      <c r="Q433" s="170"/>
      <c r="R433" s="171"/>
      <c r="S433" s="172"/>
    </row>
    <row r="434" spans="1:19" ht="42.75">
      <c r="A434" s="164" t="s">
        <v>776</v>
      </c>
      <c r="B434" s="165" t="s">
        <v>3953</v>
      </c>
      <c r="C434" s="165" t="s">
        <v>2071</v>
      </c>
      <c r="D434" s="164">
        <v>5506</v>
      </c>
      <c r="E434" s="164">
        <v>6437</v>
      </c>
      <c r="F434" s="164" t="s">
        <v>3404</v>
      </c>
      <c r="G434" s="164">
        <v>2024</v>
      </c>
      <c r="H434" s="175">
        <v>45397</v>
      </c>
      <c r="I434" s="175">
        <v>45397</v>
      </c>
      <c r="J434" s="168" t="s">
        <v>7005</v>
      </c>
      <c r="K434" s="174">
        <v>45398</v>
      </c>
      <c r="L434" s="129" t="s">
        <v>3470</v>
      </c>
      <c r="M434" s="129"/>
      <c r="N434" s="129"/>
      <c r="O434" s="129" t="s">
        <v>3406</v>
      </c>
      <c r="P434" s="146"/>
      <c r="Q434" s="170"/>
      <c r="R434" s="171"/>
      <c r="S434" s="172"/>
    </row>
    <row r="435" spans="1:19" ht="300">
      <c r="A435" s="164" t="s">
        <v>776</v>
      </c>
      <c r="B435" s="165" t="s">
        <v>3953</v>
      </c>
      <c r="C435" s="165" t="s">
        <v>3979</v>
      </c>
      <c r="D435" s="164">
        <v>5070</v>
      </c>
      <c r="E435" s="164">
        <v>5894</v>
      </c>
      <c r="F435" s="164" t="s">
        <v>3404</v>
      </c>
      <c r="G435" s="164">
        <v>2024</v>
      </c>
      <c r="H435" s="175">
        <v>45574</v>
      </c>
      <c r="I435" s="175">
        <v>45574</v>
      </c>
      <c r="J435" s="168" t="s">
        <v>7006</v>
      </c>
      <c r="K435" s="174">
        <v>45584</v>
      </c>
      <c r="L435" s="129" t="s">
        <v>3128</v>
      </c>
      <c r="M435" s="129" t="s">
        <v>4</v>
      </c>
      <c r="N435" s="129" t="s">
        <v>57</v>
      </c>
      <c r="O435" s="129" t="s">
        <v>3406</v>
      </c>
      <c r="P435" s="146"/>
      <c r="Q435" s="170">
        <v>45586</v>
      </c>
      <c r="R435" s="170" t="s">
        <v>150</v>
      </c>
      <c r="S435" s="170" t="s">
        <v>7007</v>
      </c>
    </row>
    <row r="436" spans="1:19" ht="42.75">
      <c r="A436" s="164" t="s">
        <v>776</v>
      </c>
      <c r="B436" s="165" t="s">
        <v>3953</v>
      </c>
      <c r="C436" s="165" t="s">
        <v>3980</v>
      </c>
      <c r="D436" s="164">
        <v>5699</v>
      </c>
      <c r="E436" s="164">
        <v>7767</v>
      </c>
      <c r="F436" s="164" t="s">
        <v>3404</v>
      </c>
      <c r="G436" s="164">
        <v>2024</v>
      </c>
      <c r="H436" s="175">
        <v>45573</v>
      </c>
      <c r="I436" s="175">
        <v>45574</v>
      </c>
      <c r="J436" s="168" t="s">
        <v>7008</v>
      </c>
      <c r="K436" s="174">
        <v>45584</v>
      </c>
      <c r="L436" s="129" t="s">
        <v>3128</v>
      </c>
      <c r="M436" s="129" t="s">
        <v>4</v>
      </c>
      <c r="N436" s="129" t="s">
        <v>50</v>
      </c>
      <c r="O436" s="129" t="s">
        <v>3406</v>
      </c>
      <c r="P436" s="146"/>
      <c r="Q436" s="170">
        <v>45586</v>
      </c>
      <c r="R436" s="170" t="s">
        <v>150</v>
      </c>
      <c r="S436" s="172"/>
    </row>
    <row r="437" spans="1:19" ht="42.75">
      <c r="A437" s="216" t="s">
        <v>776</v>
      </c>
      <c r="B437" s="165" t="s">
        <v>3953</v>
      </c>
      <c r="C437" s="165" t="s">
        <v>3981</v>
      </c>
      <c r="D437" s="164">
        <v>7333</v>
      </c>
      <c r="E437" s="164">
        <v>8809</v>
      </c>
      <c r="F437" s="164" t="s">
        <v>3955</v>
      </c>
      <c r="G437" s="164"/>
      <c r="H437" s="167"/>
      <c r="I437" s="167"/>
      <c r="J437" s="167"/>
      <c r="K437" s="169"/>
      <c r="L437" s="129"/>
      <c r="M437" s="129"/>
      <c r="N437" s="129"/>
      <c r="O437" s="129"/>
      <c r="P437" s="146"/>
      <c r="Q437" s="170"/>
      <c r="R437" s="171"/>
      <c r="S437" s="172"/>
    </row>
    <row r="438" spans="1:19" ht="270">
      <c r="A438" s="164" t="s">
        <v>776</v>
      </c>
      <c r="B438" s="165" t="s">
        <v>3953</v>
      </c>
      <c r="C438" s="165" t="s">
        <v>3983</v>
      </c>
      <c r="D438" s="164">
        <v>5006</v>
      </c>
      <c r="E438" s="164">
        <v>5861</v>
      </c>
      <c r="F438" s="164" t="s">
        <v>3404</v>
      </c>
      <c r="G438" s="164">
        <v>2024</v>
      </c>
      <c r="H438" s="175">
        <v>45574</v>
      </c>
      <c r="I438" s="175">
        <v>45574</v>
      </c>
      <c r="J438" s="168" t="s">
        <v>7009</v>
      </c>
      <c r="K438" s="174">
        <v>45584</v>
      </c>
      <c r="L438" s="129" t="s">
        <v>3128</v>
      </c>
      <c r="M438" s="129" t="s">
        <v>4</v>
      </c>
      <c r="N438" s="129" t="s">
        <v>57</v>
      </c>
      <c r="O438" s="129" t="s">
        <v>3406</v>
      </c>
      <c r="P438" s="146"/>
      <c r="Q438" s="170">
        <v>45586</v>
      </c>
      <c r="R438" s="170" t="s">
        <v>150</v>
      </c>
      <c r="S438" s="170" t="s">
        <v>7010</v>
      </c>
    </row>
    <row r="439" spans="1:19" ht="42.75">
      <c r="A439" s="164" t="s">
        <v>776</v>
      </c>
      <c r="B439" s="165" t="s">
        <v>3953</v>
      </c>
      <c r="C439" s="165" t="s">
        <v>1462</v>
      </c>
      <c r="D439" s="164">
        <v>3014</v>
      </c>
      <c r="E439" s="164">
        <v>2979</v>
      </c>
      <c r="F439" s="164" t="s">
        <v>3955</v>
      </c>
      <c r="G439" s="164"/>
      <c r="H439" s="167"/>
      <c r="I439" s="167"/>
      <c r="J439" s="167"/>
      <c r="K439" s="169"/>
      <c r="L439" s="129"/>
      <c r="M439" s="129"/>
      <c r="N439" s="129"/>
      <c r="O439" s="129"/>
      <c r="P439" s="146"/>
      <c r="Q439" s="170"/>
      <c r="R439" s="171"/>
      <c r="S439" s="172"/>
    </row>
    <row r="440" spans="1:19" ht="42.75">
      <c r="A440" s="164" t="s">
        <v>776</v>
      </c>
      <c r="B440" s="165" t="s">
        <v>3953</v>
      </c>
      <c r="C440" s="165" t="s">
        <v>3985</v>
      </c>
      <c r="D440" s="164">
        <v>3389</v>
      </c>
      <c r="E440" s="164">
        <v>3023</v>
      </c>
      <c r="F440" s="164" t="s">
        <v>3955</v>
      </c>
      <c r="G440" s="164"/>
      <c r="H440" s="167"/>
      <c r="I440" s="167"/>
      <c r="J440" s="167"/>
      <c r="K440" s="169"/>
      <c r="L440" s="129"/>
      <c r="M440" s="129"/>
      <c r="N440" s="129"/>
      <c r="O440" s="129"/>
      <c r="P440" s="146"/>
      <c r="Q440" s="170"/>
      <c r="R440" s="171"/>
      <c r="S440" s="172"/>
    </row>
    <row r="441" spans="1:19" ht="42.75">
      <c r="A441" s="216" t="s">
        <v>776</v>
      </c>
      <c r="B441" s="165" t="s">
        <v>3953</v>
      </c>
      <c r="C441" s="165" t="s">
        <v>3986</v>
      </c>
      <c r="D441" s="164">
        <v>6945</v>
      </c>
      <c r="E441" s="164">
        <v>7353</v>
      </c>
      <c r="F441" s="164" t="s">
        <v>3404</v>
      </c>
      <c r="G441" s="164">
        <v>2024</v>
      </c>
      <c r="H441" s="175">
        <v>45450</v>
      </c>
      <c r="I441" s="175">
        <v>45460</v>
      </c>
      <c r="J441" s="168" t="s">
        <v>7011</v>
      </c>
      <c r="K441" s="174">
        <v>45463</v>
      </c>
      <c r="L441" s="129" t="s">
        <v>3689</v>
      </c>
      <c r="M441" s="129"/>
      <c r="N441" s="129"/>
      <c r="O441" s="129" t="s">
        <v>3406</v>
      </c>
      <c r="P441" s="146"/>
      <c r="Q441" s="170">
        <v>45464</v>
      </c>
      <c r="R441" s="171"/>
      <c r="S441" s="172"/>
    </row>
    <row r="442" spans="1:19" ht="42.75">
      <c r="A442" s="164" t="s">
        <v>776</v>
      </c>
      <c r="B442" s="165" t="s">
        <v>1011</v>
      </c>
      <c r="C442" s="165" t="s">
        <v>3987</v>
      </c>
      <c r="D442" s="164">
        <v>2289</v>
      </c>
      <c r="E442" s="164">
        <v>1736</v>
      </c>
      <c r="F442" s="164" t="s">
        <v>3955</v>
      </c>
      <c r="G442" s="164"/>
      <c r="H442" s="167"/>
      <c r="I442" s="167"/>
      <c r="J442" s="167"/>
      <c r="K442" s="169"/>
      <c r="L442" s="129"/>
      <c r="M442" s="129"/>
      <c r="N442" s="129"/>
      <c r="O442" s="129"/>
      <c r="P442" s="146"/>
      <c r="Q442" s="170"/>
      <c r="R442" s="171"/>
      <c r="S442" s="172"/>
    </row>
    <row r="443" spans="1:19" ht="42.75">
      <c r="A443" s="164" t="s">
        <v>776</v>
      </c>
      <c r="B443" s="165" t="s">
        <v>1011</v>
      </c>
      <c r="C443" s="165" t="s">
        <v>1881</v>
      </c>
      <c r="D443" s="164">
        <v>3573</v>
      </c>
      <c r="E443" s="164">
        <v>3863</v>
      </c>
      <c r="F443" s="164" t="s">
        <v>3955</v>
      </c>
      <c r="G443" s="164"/>
      <c r="H443" s="167"/>
      <c r="I443" s="167"/>
      <c r="J443" s="167"/>
      <c r="K443" s="169"/>
      <c r="L443" s="129"/>
      <c r="M443" s="129"/>
      <c r="N443" s="129"/>
      <c r="O443" s="129"/>
      <c r="P443" s="146"/>
      <c r="Q443" s="170"/>
      <c r="R443" s="171"/>
      <c r="S443" s="172"/>
    </row>
    <row r="444" spans="1:19" ht="42.75">
      <c r="A444" s="164" t="s">
        <v>776</v>
      </c>
      <c r="B444" s="165" t="s">
        <v>1011</v>
      </c>
      <c r="C444" s="165" t="s">
        <v>3991</v>
      </c>
      <c r="D444" s="164">
        <v>7830</v>
      </c>
      <c r="E444" s="164">
        <v>8841</v>
      </c>
      <c r="F444" s="164" t="s">
        <v>3955</v>
      </c>
      <c r="G444" s="164"/>
      <c r="H444" s="167"/>
      <c r="I444" s="167"/>
      <c r="J444" s="167"/>
      <c r="K444" s="169"/>
      <c r="L444" s="129"/>
      <c r="M444" s="129"/>
      <c r="N444" s="129"/>
      <c r="O444" s="129"/>
      <c r="P444" s="146"/>
      <c r="Q444" s="170"/>
      <c r="R444" s="171"/>
      <c r="S444" s="172"/>
    </row>
    <row r="445" spans="1:19" ht="42.75">
      <c r="A445" s="164" t="s">
        <v>776</v>
      </c>
      <c r="B445" s="165" t="s">
        <v>1011</v>
      </c>
      <c r="C445" s="165" t="s">
        <v>1012</v>
      </c>
      <c r="D445" s="164">
        <v>31663</v>
      </c>
      <c r="E445" s="164">
        <v>40700</v>
      </c>
      <c r="F445" s="164" t="s">
        <v>3955</v>
      </c>
      <c r="G445" s="164"/>
      <c r="H445" s="167"/>
      <c r="I445" s="167"/>
      <c r="J445" s="167"/>
      <c r="K445" s="169"/>
      <c r="L445" s="129"/>
      <c r="M445" s="129"/>
      <c r="N445" s="129"/>
      <c r="O445" s="129"/>
      <c r="P445" s="146"/>
      <c r="Q445" s="170"/>
      <c r="R445" s="171"/>
      <c r="S445" s="172"/>
    </row>
    <row r="446" spans="1:19" ht="42.75">
      <c r="A446" s="164" t="s">
        <v>776</v>
      </c>
      <c r="B446" s="165" t="s">
        <v>1011</v>
      </c>
      <c r="C446" s="165" t="s">
        <v>3996</v>
      </c>
      <c r="D446" s="164">
        <v>3496</v>
      </c>
      <c r="E446" s="164">
        <v>3406</v>
      </c>
      <c r="F446" s="164" t="s">
        <v>3955</v>
      </c>
      <c r="G446" s="164"/>
      <c r="H446" s="167"/>
      <c r="I446" s="167"/>
      <c r="J446" s="167"/>
      <c r="K446" s="169"/>
      <c r="L446" s="129"/>
      <c r="M446" s="129"/>
      <c r="N446" s="129"/>
      <c r="O446" s="129"/>
      <c r="P446" s="146"/>
      <c r="Q446" s="170"/>
      <c r="R446" s="171"/>
      <c r="S446" s="172"/>
    </row>
    <row r="447" spans="1:19" ht="42.75">
      <c r="A447" s="164" t="s">
        <v>776</v>
      </c>
      <c r="B447" s="165" t="s">
        <v>1011</v>
      </c>
      <c r="C447" s="165" t="s">
        <v>3998</v>
      </c>
      <c r="D447" s="164">
        <v>2072</v>
      </c>
      <c r="E447" s="164">
        <v>2113</v>
      </c>
      <c r="F447" s="164" t="s">
        <v>3955</v>
      </c>
      <c r="G447" s="164"/>
      <c r="H447" s="167"/>
      <c r="I447" s="167"/>
      <c r="J447" s="167"/>
      <c r="K447" s="169"/>
      <c r="L447" s="129"/>
      <c r="M447" s="129"/>
      <c r="N447" s="129"/>
      <c r="O447" s="129"/>
      <c r="P447" s="146"/>
      <c r="Q447" s="170"/>
      <c r="R447" s="171"/>
      <c r="S447" s="172"/>
    </row>
    <row r="448" spans="1:19" ht="42.75">
      <c r="A448" s="164" t="s">
        <v>776</v>
      </c>
      <c r="B448" s="165" t="s">
        <v>1011</v>
      </c>
      <c r="C448" s="165" t="s">
        <v>3994</v>
      </c>
      <c r="D448" s="164">
        <v>1199</v>
      </c>
      <c r="E448" s="164">
        <v>1566</v>
      </c>
      <c r="F448" s="164" t="s">
        <v>3955</v>
      </c>
      <c r="G448" s="164"/>
      <c r="H448" s="167"/>
      <c r="I448" s="167"/>
      <c r="J448" s="167"/>
      <c r="K448" s="169"/>
      <c r="L448" s="129"/>
      <c r="M448" s="129"/>
      <c r="N448" s="129"/>
      <c r="O448" s="129"/>
      <c r="P448" s="146"/>
      <c r="Q448" s="170"/>
      <c r="R448" s="171"/>
      <c r="S448" s="172"/>
    </row>
    <row r="449" spans="1:19" ht="42.75">
      <c r="A449" s="164" t="s">
        <v>776</v>
      </c>
      <c r="B449" s="165" t="s">
        <v>1011</v>
      </c>
      <c r="C449" s="165" t="s">
        <v>2265</v>
      </c>
      <c r="D449" s="164">
        <v>6796</v>
      </c>
      <c r="E449" s="164">
        <v>11129</v>
      </c>
      <c r="F449" s="164" t="s">
        <v>3955</v>
      </c>
      <c r="G449" s="164"/>
      <c r="H449" s="167"/>
      <c r="I449" s="167"/>
      <c r="J449" s="167"/>
      <c r="K449" s="169"/>
      <c r="L449" s="129"/>
      <c r="M449" s="129"/>
      <c r="N449" s="129"/>
      <c r="O449" s="129"/>
      <c r="P449" s="146"/>
      <c r="Q449" s="170"/>
      <c r="R449" s="171"/>
      <c r="S449" s="172"/>
    </row>
    <row r="450" spans="1:19" ht="42.75">
      <c r="A450" s="164" t="s">
        <v>776</v>
      </c>
      <c r="B450" s="165" t="s">
        <v>1011</v>
      </c>
      <c r="C450" s="165" t="s">
        <v>4000</v>
      </c>
      <c r="D450" s="164">
        <v>4686</v>
      </c>
      <c r="E450" s="164">
        <v>4018</v>
      </c>
      <c r="F450" s="164" t="s">
        <v>3955</v>
      </c>
      <c r="G450" s="164"/>
      <c r="H450" s="167"/>
      <c r="I450" s="167"/>
      <c r="J450" s="167"/>
      <c r="K450" s="169"/>
      <c r="L450" s="129"/>
      <c r="M450" s="129"/>
      <c r="N450" s="129"/>
      <c r="O450" s="129"/>
      <c r="P450" s="146"/>
      <c r="Q450" s="170"/>
      <c r="R450" s="171"/>
      <c r="S450" s="172"/>
    </row>
    <row r="451" spans="1:19" ht="42.75">
      <c r="A451" s="164" t="s">
        <v>776</v>
      </c>
      <c r="B451" s="165" t="s">
        <v>1011</v>
      </c>
      <c r="C451" s="165" t="s">
        <v>1083</v>
      </c>
      <c r="D451" s="164">
        <v>5551</v>
      </c>
      <c r="E451" s="164">
        <v>4813</v>
      </c>
      <c r="F451" s="164" t="s">
        <v>3955</v>
      </c>
      <c r="G451" s="164"/>
      <c r="H451" s="167"/>
      <c r="I451" s="167"/>
      <c r="J451" s="167"/>
      <c r="K451" s="169"/>
      <c r="L451" s="129"/>
      <c r="M451" s="129"/>
      <c r="N451" s="129"/>
      <c r="O451" s="129"/>
      <c r="P451" s="146"/>
      <c r="Q451" s="170"/>
      <c r="R451" s="171"/>
      <c r="S451" s="172"/>
    </row>
    <row r="452" spans="1:19" ht="42.75">
      <c r="A452" s="164" t="s">
        <v>776</v>
      </c>
      <c r="B452" s="165" t="s">
        <v>1011</v>
      </c>
      <c r="C452" s="165" t="s">
        <v>4005</v>
      </c>
      <c r="D452" s="164">
        <v>7444</v>
      </c>
      <c r="E452" s="164">
        <v>8905</v>
      </c>
      <c r="F452" s="164" t="s">
        <v>3955</v>
      </c>
      <c r="G452" s="164"/>
      <c r="H452" s="167"/>
      <c r="I452" s="167"/>
      <c r="J452" s="167"/>
      <c r="K452" s="169"/>
      <c r="L452" s="129"/>
      <c r="M452" s="129"/>
      <c r="N452" s="129"/>
      <c r="O452" s="129"/>
      <c r="P452" s="146"/>
      <c r="Q452" s="170"/>
      <c r="R452" s="171"/>
      <c r="S452" s="172"/>
    </row>
    <row r="453" spans="1:19" ht="42.75">
      <c r="A453" s="216" t="s">
        <v>776</v>
      </c>
      <c r="B453" s="165" t="s">
        <v>1011</v>
      </c>
      <c r="C453" s="165" t="s">
        <v>1790</v>
      </c>
      <c r="D453" s="164">
        <v>1408</v>
      </c>
      <c r="E453" s="164">
        <v>1871</v>
      </c>
      <c r="F453" s="164" t="s">
        <v>3955</v>
      </c>
      <c r="G453" s="164"/>
      <c r="H453" s="167"/>
      <c r="I453" s="167"/>
      <c r="J453" s="167"/>
      <c r="K453" s="169"/>
      <c r="L453" s="129"/>
      <c r="M453" s="129"/>
      <c r="N453" s="129"/>
      <c r="O453" s="129"/>
      <c r="P453" s="146"/>
      <c r="Q453" s="170"/>
      <c r="R453" s="171"/>
      <c r="S453" s="172"/>
    </row>
    <row r="454" spans="1:19" ht="42.75">
      <c r="A454" s="164" t="s">
        <v>776</v>
      </c>
      <c r="B454" s="165" t="s">
        <v>1011</v>
      </c>
      <c r="C454" s="165" t="s">
        <v>4009</v>
      </c>
      <c r="D454" s="164">
        <v>16507</v>
      </c>
      <c r="E454" s="164">
        <v>14437</v>
      </c>
      <c r="F454" s="164" t="s">
        <v>3955</v>
      </c>
      <c r="G454" s="164"/>
      <c r="H454" s="167"/>
      <c r="I454" s="167"/>
      <c r="J454" s="167"/>
      <c r="K454" s="169"/>
      <c r="L454" s="129"/>
      <c r="M454" s="129"/>
      <c r="N454" s="129"/>
      <c r="O454" s="129"/>
      <c r="P454" s="146"/>
      <c r="Q454" s="170"/>
      <c r="R454" s="171"/>
      <c r="S454" s="172"/>
    </row>
    <row r="455" spans="1:19" ht="42.75">
      <c r="A455" s="164" t="s">
        <v>776</v>
      </c>
      <c r="B455" s="165" t="s">
        <v>1011</v>
      </c>
      <c r="C455" s="165" t="s">
        <v>1056</v>
      </c>
      <c r="D455" s="164">
        <v>405</v>
      </c>
      <c r="E455" s="164">
        <v>709</v>
      </c>
      <c r="F455" s="164" t="s">
        <v>3955</v>
      </c>
      <c r="G455" s="164"/>
      <c r="H455" s="167"/>
      <c r="I455" s="167"/>
      <c r="J455" s="167"/>
      <c r="K455" s="169"/>
      <c r="L455" s="129"/>
      <c r="M455" s="129"/>
      <c r="N455" s="129"/>
      <c r="O455" s="129"/>
      <c r="P455" s="146"/>
      <c r="Q455" s="170"/>
      <c r="R455" s="171"/>
      <c r="S455" s="172"/>
    </row>
    <row r="456" spans="1:19" ht="42.75">
      <c r="A456" s="164" t="s">
        <v>776</v>
      </c>
      <c r="B456" s="165" t="s">
        <v>1011</v>
      </c>
      <c r="C456" s="165" t="s">
        <v>3946</v>
      </c>
      <c r="D456" s="164">
        <v>2572</v>
      </c>
      <c r="E456" s="164">
        <v>2793</v>
      </c>
      <c r="F456" s="164" t="s">
        <v>3955</v>
      </c>
      <c r="G456" s="164"/>
      <c r="H456" s="167"/>
      <c r="I456" s="167"/>
      <c r="J456" s="167"/>
      <c r="K456" s="169"/>
      <c r="L456" s="129"/>
      <c r="M456" s="129"/>
      <c r="N456" s="129"/>
      <c r="O456" s="129"/>
      <c r="P456" s="146"/>
      <c r="Q456" s="170"/>
      <c r="R456" s="171"/>
      <c r="S456" s="172"/>
    </row>
    <row r="457" spans="1:19" ht="42.75">
      <c r="A457" s="216" t="s">
        <v>776</v>
      </c>
      <c r="B457" s="165" t="s">
        <v>1011</v>
      </c>
      <c r="C457" s="165" t="s">
        <v>4014</v>
      </c>
      <c r="D457" s="164">
        <v>8681</v>
      </c>
      <c r="E457" s="164">
        <v>9082</v>
      </c>
      <c r="F457" s="164" t="s">
        <v>3955</v>
      </c>
      <c r="G457" s="164"/>
      <c r="H457" s="167"/>
      <c r="I457" s="167"/>
      <c r="J457" s="167"/>
      <c r="K457" s="169"/>
      <c r="L457" s="129"/>
      <c r="M457" s="129"/>
      <c r="N457" s="129"/>
      <c r="O457" s="129"/>
      <c r="P457" s="146"/>
      <c r="Q457" s="170"/>
      <c r="R457" s="171"/>
      <c r="S457" s="172"/>
    </row>
    <row r="458" spans="1:19" ht="42.75">
      <c r="A458" s="164" t="s">
        <v>776</v>
      </c>
      <c r="B458" s="165" t="s">
        <v>1011</v>
      </c>
      <c r="C458" s="165" t="s">
        <v>4012</v>
      </c>
      <c r="D458" s="164">
        <v>5558</v>
      </c>
      <c r="E458" s="164">
        <v>7323</v>
      </c>
      <c r="F458" s="164" t="s">
        <v>3955</v>
      </c>
      <c r="G458" s="164"/>
      <c r="H458" s="167"/>
      <c r="I458" s="167"/>
      <c r="J458" s="167"/>
      <c r="K458" s="169"/>
      <c r="L458" s="129"/>
      <c r="M458" s="129"/>
      <c r="N458" s="129"/>
      <c r="O458" s="129"/>
      <c r="P458" s="146"/>
      <c r="Q458" s="170"/>
      <c r="R458" s="171"/>
      <c r="S458" s="172"/>
    </row>
    <row r="459" spans="1:19" ht="42.75">
      <c r="A459" s="164" t="s">
        <v>776</v>
      </c>
      <c r="B459" s="165" t="s">
        <v>1011</v>
      </c>
      <c r="C459" s="165" t="s">
        <v>4016</v>
      </c>
      <c r="D459" s="164">
        <v>6058</v>
      </c>
      <c r="E459" s="164">
        <v>11864</v>
      </c>
      <c r="F459" s="164" t="s">
        <v>3955</v>
      </c>
      <c r="G459" s="164"/>
      <c r="H459" s="167"/>
      <c r="I459" s="167"/>
      <c r="J459" s="167"/>
      <c r="K459" s="169"/>
      <c r="L459" s="129"/>
      <c r="M459" s="129"/>
      <c r="N459" s="129"/>
      <c r="O459" s="129"/>
      <c r="P459" s="146"/>
      <c r="Q459" s="170"/>
      <c r="R459" s="171"/>
      <c r="S459" s="172"/>
    </row>
    <row r="460" spans="1:19" ht="42.75">
      <c r="A460" s="164" t="s">
        <v>776</v>
      </c>
      <c r="B460" s="165" t="s">
        <v>1011</v>
      </c>
      <c r="C460" s="165" t="s">
        <v>4018</v>
      </c>
      <c r="D460" s="164">
        <v>1887</v>
      </c>
      <c r="E460" s="164">
        <v>2243</v>
      </c>
      <c r="F460" s="164" t="s">
        <v>3955</v>
      </c>
      <c r="G460" s="164"/>
      <c r="H460" s="167"/>
      <c r="I460" s="167"/>
      <c r="J460" s="167"/>
      <c r="K460" s="169"/>
      <c r="L460" s="129"/>
      <c r="M460" s="129"/>
      <c r="N460" s="129"/>
      <c r="O460" s="129"/>
      <c r="P460" s="146"/>
      <c r="Q460" s="170"/>
      <c r="R460" s="171"/>
      <c r="S460" s="172"/>
    </row>
    <row r="461" spans="1:19" ht="42.75">
      <c r="A461" s="164" t="s">
        <v>776</v>
      </c>
      <c r="B461" s="165" t="s">
        <v>1017</v>
      </c>
      <c r="C461" s="165" t="s">
        <v>1881</v>
      </c>
      <c r="D461" s="164">
        <v>3701</v>
      </c>
      <c r="E461" s="164">
        <v>4297</v>
      </c>
      <c r="F461" s="164" t="s">
        <v>3404</v>
      </c>
      <c r="G461" s="164">
        <v>2024</v>
      </c>
      <c r="H461" s="175">
        <v>45505</v>
      </c>
      <c r="I461" s="175">
        <v>45522</v>
      </c>
      <c r="J461" s="168" t="s">
        <v>7012</v>
      </c>
      <c r="K461" s="174">
        <v>45523</v>
      </c>
      <c r="L461" s="129" t="s">
        <v>3126</v>
      </c>
      <c r="M461" s="129" t="s">
        <v>6701</v>
      </c>
      <c r="N461" s="129"/>
      <c r="O461" s="129" t="s">
        <v>3406</v>
      </c>
      <c r="P461" s="146"/>
      <c r="Q461" s="130">
        <v>45531</v>
      </c>
      <c r="R461" s="171" t="s">
        <v>150</v>
      </c>
      <c r="S461" s="172"/>
    </row>
    <row r="462" spans="1:19" ht="42.75">
      <c r="A462" s="164" t="s">
        <v>776</v>
      </c>
      <c r="B462" s="165" t="s">
        <v>1017</v>
      </c>
      <c r="C462" s="165" t="s">
        <v>4020</v>
      </c>
      <c r="D462" s="164">
        <v>3357</v>
      </c>
      <c r="E462" s="164">
        <v>3738</v>
      </c>
      <c r="F462" s="164" t="s">
        <v>3404</v>
      </c>
      <c r="G462" s="164">
        <v>2024</v>
      </c>
      <c r="H462" s="175">
        <v>45426</v>
      </c>
      <c r="I462" s="175">
        <v>45428</v>
      </c>
      <c r="J462" s="168" t="s">
        <v>7013</v>
      </c>
      <c r="K462" s="174">
        <v>45429</v>
      </c>
      <c r="L462" s="129" t="s">
        <v>3532</v>
      </c>
      <c r="M462" s="129"/>
      <c r="N462" s="129"/>
      <c r="O462" s="129" t="s">
        <v>3406</v>
      </c>
      <c r="P462" s="146"/>
      <c r="Q462" s="170">
        <v>45429</v>
      </c>
      <c r="R462" s="171"/>
      <c r="S462" s="172"/>
    </row>
    <row r="463" spans="1:19" ht="42.75">
      <c r="A463" s="216" t="s">
        <v>776</v>
      </c>
      <c r="B463" s="165" t="s">
        <v>1017</v>
      </c>
      <c r="C463" s="165" t="s">
        <v>3991</v>
      </c>
      <c r="D463" s="164">
        <v>13604</v>
      </c>
      <c r="E463" s="164">
        <v>14257</v>
      </c>
      <c r="F463" s="164" t="s">
        <v>3404</v>
      </c>
      <c r="G463" s="164">
        <v>2024</v>
      </c>
      <c r="H463" s="175">
        <v>45505</v>
      </c>
      <c r="I463" s="175">
        <v>45522</v>
      </c>
      <c r="J463" s="168" t="s">
        <v>7014</v>
      </c>
      <c r="K463" s="174">
        <v>45523</v>
      </c>
      <c r="L463" s="129" t="s">
        <v>3126</v>
      </c>
      <c r="M463" s="129" t="s">
        <v>6701</v>
      </c>
      <c r="N463" s="129"/>
      <c r="O463" s="129" t="s">
        <v>3406</v>
      </c>
      <c r="P463" s="146"/>
      <c r="Q463" s="130">
        <v>45531</v>
      </c>
      <c r="R463" s="171" t="s">
        <v>150</v>
      </c>
      <c r="S463" s="172"/>
    </row>
    <row r="464" spans="1:19" ht="42.75">
      <c r="A464" s="164" t="s">
        <v>776</v>
      </c>
      <c r="B464" s="165" t="s">
        <v>1017</v>
      </c>
      <c r="C464" s="165" t="s">
        <v>1018</v>
      </c>
      <c r="D464" s="164">
        <v>11646</v>
      </c>
      <c r="E464" s="164">
        <v>12950</v>
      </c>
      <c r="F464" s="164" t="s">
        <v>3404</v>
      </c>
      <c r="G464" s="164">
        <v>2024</v>
      </c>
      <c r="H464" s="175">
        <v>45511</v>
      </c>
      <c r="I464" s="175">
        <v>45522</v>
      </c>
      <c r="J464" s="168" t="s">
        <v>7015</v>
      </c>
      <c r="K464" s="174">
        <v>45523</v>
      </c>
      <c r="L464" s="129" t="s">
        <v>3126</v>
      </c>
      <c r="M464" s="129" t="s">
        <v>6701</v>
      </c>
      <c r="N464" s="129"/>
      <c r="O464" s="129" t="s">
        <v>3406</v>
      </c>
      <c r="P464" s="146"/>
      <c r="Q464" s="130">
        <v>45531</v>
      </c>
      <c r="R464" s="171" t="s">
        <v>150</v>
      </c>
      <c r="S464" s="172"/>
    </row>
    <row r="465" spans="1:19" ht="42.75">
      <c r="A465" s="164" t="s">
        <v>776</v>
      </c>
      <c r="B465" s="165" t="s">
        <v>1017</v>
      </c>
      <c r="C465" s="165" t="s">
        <v>4021</v>
      </c>
      <c r="D465" s="164">
        <v>2768</v>
      </c>
      <c r="E465" s="164">
        <v>2955</v>
      </c>
      <c r="F465" s="164" t="s">
        <v>3404</v>
      </c>
      <c r="G465" s="164">
        <v>2024</v>
      </c>
      <c r="H465" s="175">
        <v>45505</v>
      </c>
      <c r="I465" s="175">
        <v>45518</v>
      </c>
      <c r="J465" s="168" t="s">
        <v>7016</v>
      </c>
      <c r="K465" s="174">
        <v>45523</v>
      </c>
      <c r="L465" s="129" t="s">
        <v>3126</v>
      </c>
      <c r="M465" s="129" t="s">
        <v>6701</v>
      </c>
      <c r="N465" s="129"/>
      <c r="O465" s="129" t="s">
        <v>3406</v>
      </c>
      <c r="P465" s="146"/>
      <c r="Q465" s="130">
        <v>45531</v>
      </c>
      <c r="R465" s="171" t="s">
        <v>150</v>
      </c>
      <c r="S465" s="172"/>
    </row>
    <row r="466" spans="1:19" ht="42.75">
      <c r="A466" s="164" t="s">
        <v>776</v>
      </c>
      <c r="B466" s="165" t="s">
        <v>1017</v>
      </c>
      <c r="C466" s="165" t="s">
        <v>4022</v>
      </c>
      <c r="D466" s="164">
        <v>2381</v>
      </c>
      <c r="E466" s="164">
        <v>2047</v>
      </c>
      <c r="F466" s="164" t="s">
        <v>3404</v>
      </c>
      <c r="G466" s="164">
        <v>2024</v>
      </c>
      <c r="H466" s="175">
        <v>45510</v>
      </c>
      <c r="I466" s="175">
        <v>45518</v>
      </c>
      <c r="J466" s="168" t="s">
        <v>7017</v>
      </c>
      <c r="K466" s="174">
        <v>45523</v>
      </c>
      <c r="L466" s="129" t="s">
        <v>3126</v>
      </c>
      <c r="M466" s="129" t="s">
        <v>6701</v>
      </c>
      <c r="N466" s="129"/>
      <c r="O466" s="129" t="s">
        <v>3406</v>
      </c>
      <c r="P466" s="146"/>
      <c r="Q466" s="130">
        <v>45531</v>
      </c>
      <c r="R466" s="171" t="s">
        <v>150</v>
      </c>
      <c r="S466" s="172"/>
    </row>
    <row r="467" spans="1:19" ht="42.75">
      <c r="A467" s="164" t="s">
        <v>776</v>
      </c>
      <c r="B467" s="165" t="s">
        <v>1017</v>
      </c>
      <c r="C467" s="165" t="s">
        <v>4023</v>
      </c>
      <c r="D467" s="164">
        <v>4516</v>
      </c>
      <c r="E467" s="164">
        <v>5077</v>
      </c>
      <c r="F467" s="164" t="s">
        <v>3404</v>
      </c>
      <c r="G467" s="164">
        <v>2024</v>
      </c>
      <c r="H467" s="175">
        <v>45510</v>
      </c>
      <c r="I467" s="175">
        <v>45522</v>
      </c>
      <c r="J467" s="168" t="s">
        <v>7018</v>
      </c>
      <c r="K467" s="174">
        <v>45523</v>
      </c>
      <c r="L467" s="129" t="s">
        <v>3126</v>
      </c>
      <c r="M467" s="129" t="s">
        <v>6701</v>
      </c>
      <c r="N467" s="129"/>
      <c r="O467" s="129" t="s">
        <v>3406</v>
      </c>
      <c r="P467" s="146"/>
      <c r="Q467" s="130">
        <v>45531</v>
      </c>
      <c r="R467" s="171" t="s">
        <v>150</v>
      </c>
      <c r="S467" s="172"/>
    </row>
    <row r="468" spans="1:19" ht="42.75">
      <c r="A468" s="164" t="s">
        <v>776</v>
      </c>
      <c r="B468" s="165" t="s">
        <v>1017</v>
      </c>
      <c r="C468" s="165" t="s">
        <v>4024</v>
      </c>
      <c r="D468" s="164">
        <v>6145</v>
      </c>
      <c r="E468" s="164">
        <v>7486</v>
      </c>
      <c r="F468" s="164" t="s">
        <v>3404</v>
      </c>
      <c r="G468" s="164">
        <v>2024</v>
      </c>
      <c r="H468" s="175">
        <v>45426</v>
      </c>
      <c r="I468" s="175">
        <v>45428</v>
      </c>
      <c r="J468" s="168" t="s">
        <v>7019</v>
      </c>
      <c r="K468" s="174">
        <v>45429</v>
      </c>
      <c r="L468" s="129" t="s">
        <v>3532</v>
      </c>
      <c r="M468" s="129"/>
      <c r="N468" s="129"/>
      <c r="O468" s="129" t="s">
        <v>3406</v>
      </c>
      <c r="P468" s="146"/>
      <c r="Q468" s="170">
        <v>45429</v>
      </c>
      <c r="R468" s="171"/>
      <c r="S468" s="172"/>
    </row>
    <row r="469" spans="1:19" ht="42.75">
      <c r="A469" s="164" t="s">
        <v>776</v>
      </c>
      <c r="B469" s="165" t="s">
        <v>1017</v>
      </c>
      <c r="C469" s="165" t="s">
        <v>4025</v>
      </c>
      <c r="D469" s="164">
        <v>3372</v>
      </c>
      <c r="E469" s="164">
        <v>3570</v>
      </c>
      <c r="F469" s="164" t="s">
        <v>3404</v>
      </c>
      <c r="G469" s="164">
        <v>2024</v>
      </c>
      <c r="H469" s="175">
        <v>45505</v>
      </c>
      <c r="I469" s="175">
        <v>45522</v>
      </c>
      <c r="J469" s="168" t="s">
        <v>7020</v>
      </c>
      <c r="K469" s="174">
        <v>45523</v>
      </c>
      <c r="L469" s="129" t="s">
        <v>3126</v>
      </c>
      <c r="M469" s="129" t="s">
        <v>6701</v>
      </c>
      <c r="N469" s="129"/>
      <c r="O469" s="129" t="s">
        <v>3406</v>
      </c>
      <c r="P469" s="146"/>
      <c r="Q469" s="130">
        <v>45531</v>
      </c>
      <c r="R469" s="171" t="s">
        <v>150</v>
      </c>
      <c r="S469" s="172"/>
    </row>
    <row r="470" spans="1:19" ht="42.75">
      <c r="A470" s="164" t="s">
        <v>776</v>
      </c>
      <c r="B470" s="165" t="s">
        <v>1017</v>
      </c>
      <c r="C470" s="165" t="s">
        <v>1439</v>
      </c>
      <c r="D470" s="164">
        <v>5804</v>
      </c>
      <c r="E470" s="164">
        <v>6279</v>
      </c>
      <c r="F470" s="164" t="s">
        <v>3404</v>
      </c>
      <c r="G470" s="164">
        <v>2024</v>
      </c>
      <c r="H470" s="175">
        <v>45510</v>
      </c>
      <c r="I470" s="175">
        <v>45522</v>
      </c>
      <c r="J470" s="168" t="s">
        <v>7021</v>
      </c>
      <c r="K470" s="174">
        <v>45523</v>
      </c>
      <c r="L470" s="129" t="s">
        <v>3126</v>
      </c>
      <c r="M470" s="129" t="s">
        <v>6701</v>
      </c>
      <c r="N470" s="129"/>
      <c r="O470" s="129" t="s">
        <v>3406</v>
      </c>
      <c r="P470" s="146"/>
      <c r="Q470" s="130">
        <v>45531</v>
      </c>
      <c r="R470" s="171" t="s">
        <v>150</v>
      </c>
      <c r="S470" s="172"/>
    </row>
    <row r="471" spans="1:19" ht="42.75">
      <c r="A471" s="164" t="s">
        <v>776</v>
      </c>
      <c r="B471" s="165" t="s">
        <v>1017</v>
      </c>
      <c r="C471" s="165" t="s">
        <v>4026</v>
      </c>
      <c r="D471" s="164">
        <v>8122</v>
      </c>
      <c r="E471" s="164">
        <v>7998</v>
      </c>
      <c r="F471" s="164" t="s">
        <v>3404</v>
      </c>
      <c r="G471" s="164">
        <v>2024</v>
      </c>
      <c r="H471" s="175">
        <v>45505</v>
      </c>
      <c r="I471" s="175">
        <v>45515</v>
      </c>
      <c r="J471" s="168" t="s">
        <v>7022</v>
      </c>
      <c r="K471" s="174">
        <v>45523</v>
      </c>
      <c r="L471" s="129" t="s">
        <v>3126</v>
      </c>
      <c r="M471" s="129" t="s">
        <v>6701</v>
      </c>
      <c r="N471" s="129"/>
      <c r="O471" s="129" t="s">
        <v>3406</v>
      </c>
      <c r="P471" s="129"/>
      <c r="Q471" s="130">
        <v>45531</v>
      </c>
      <c r="R471" s="171" t="s">
        <v>150</v>
      </c>
      <c r="S471" s="172"/>
    </row>
    <row r="472" spans="1:19" ht="42.75">
      <c r="A472" s="164" t="s">
        <v>776</v>
      </c>
      <c r="B472" s="165" t="s">
        <v>1017</v>
      </c>
      <c r="C472" s="165" t="s">
        <v>4027</v>
      </c>
      <c r="D472" s="164">
        <v>2508</v>
      </c>
      <c r="E472" s="164">
        <v>2399</v>
      </c>
      <c r="F472" s="164" t="s">
        <v>3404</v>
      </c>
      <c r="G472" s="164">
        <v>2024</v>
      </c>
      <c r="H472" s="175">
        <v>45510</v>
      </c>
      <c r="I472" s="175">
        <v>45515</v>
      </c>
      <c r="J472" s="168" t="s">
        <v>7023</v>
      </c>
      <c r="K472" s="174">
        <v>45523</v>
      </c>
      <c r="L472" s="129" t="s">
        <v>3126</v>
      </c>
      <c r="M472" s="129" t="s">
        <v>6701</v>
      </c>
      <c r="N472" s="129"/>
      <c r="O472" s="129" t="s">
        <v>3406</v>
      </c>
      <c r="P472" s="146"/>
      <c r="Q472" s="170">
        <v>45531</v>
      </c>
      <c r="R472" s="171" t="s">
        <v>6643</v>
      </c>
      <c r="S472" s="172"/>
    </row>
    <row r="473" spans="1:19" ht="42.75">
      <c r="A473" s="164" t="s">
        <v>776</v>
      </c>
      <c r="B473" s="165" t="s">
        <v>1017</v>
      </c>
      <c r="C473" s="165" t="s">
        <v>4028</v>
      </c>
      <c r="D473" s="164">
        <v>5490</v>
      </c>
      <c r="E473" s="164">
        <v>5005</v>
      </c>
      <c r="F473" s="164" t="s">
        <v>3404</v>
      </c>
      <c r="G473" s="164">
        <v>2024</v>
      </c>
      <c r="H473" s="175">
        <v>45510</v>
      </c>
      <c r="I473" s="175">
        <v>45515</v>
      </c>
      <c r="J473" s="168" t="s">
        <v>7024</v>
      </c>
      <c r="K473" s="174">
        <v>45523</v>
      </c>
      <c r="L473" s="129" t="s">
        <v>3126</v>
      </c>
      <c r="M473" s="129" t="s">
        <v>6701</v>
      </c>
      <c r="N473" s="129"/>
      <c r="O473" s="129" t="s">
        <v>3406</v>
      </c>
      <c r="P473" s="146"/>
      <c r="Q473" s="170">
        <v>45531</v>
      </c>
      <c r="R473" s="171" t="s">
        <v>6643</v>
      </c>
      <c r="S473" s="172"/>
    </row>
    <row r="474" spans="1:19" ht="42.75">
      <c r="A474" s="164" t="s">
        <v>776</v>
      </c>
      <c r="B474" s="165" t="s">
        <v>1017</v>
      </c>
      <c r="C474" s="165" t="s">
        <v>4029</v>
      </c>
      <c r="D474" s="164">
        <v>3151</v>
      </c>
      <c r="E474" s="164">
        <v>3174</v>
      </c>
      <c r="F474" s="164" t="s">
        <v>3404</v>
      </c>
      <c r="G474" s="164">
        <v>2024</v>
      </c>
      <c r="H474" s="175">
        <v>45505</v>
      </c>
      <c r="I474" s="175">
        <v>45518</v>
      </c>
      <c r="J474" s="168" t="s">
        <v>7025</v>
      </c>
      <c r="K474" s="174">
        <v>45523</v>
      </c>
      <c r="L474" s="129" t="s">
        <v>3126</v>
      </c>
      <c r="M474" s="129" t="s">
        <v>6701</v>
      </c>
      <c r="N474" s="129"/>
      <c r="O474" s="129" t="s">
        <v>3406</v>
      </c>
      <c r="P474" s="146"/>
      <c r="Q474" s="130">
        <v>45531</v>
      </c>
      <c r="R474" s="171" t="s">
        <v>6643</v>
      </c>
      <c r="S474" s="172"/>
    </row>
    <row r="475" spans="1:19" ht="42.75">
      <c r="A475" s="164" t="s">
        <v>776</v>
      </c>
      <c r="B475" s="165" t="s">
        <v>1023</v>
      </c>
      <c r="C475" s="165" t="s">
        <v>4031</v>
      </c>
      <c r="D475" s="164">
        <v>3792</v>
      </c>
      <c r="E475" s="164">
        <v>6494</v>
      </c>
      <c r="F475" s="164" t="s">
        <v>3955</v>
      </c>
      <c r="G475" s="164"/>
      <c r="H475" s="167"/>
      <c r="I475" s="167"/>
      <c r="J475" s="167"/>
      <c r="K475" s="169"/>
      <c r="L475" s="129"/>
      <c r="M475" s="129"/>
      <c r="N475" s="129"/>
      <c r="O475" s="129"/>
      <c r="P475" s="146"/>
      <c r="Q475" s="170"/>
      <c r="R475" s="171"/>
      <c r="S475" s="172"/>
    </row>
    <row r="476" spans="1:19" ht="42.75">
      <c r="A476" s="164" t="s">
        <v>776</v>
      </c>
      <c r="B476" s="165" t="s">
        <v>1023</v>
      </c>
      <c r="C476" s="165" t="s">
        <v>2159</v>
      </c>
      <c r="D476" s="164">
        <v>4619</v>
      </c>
      <c r="E476" s="164">
        <v>5301</v>
      </c>
      <c r="F476" s="164" t="s">
        <v>3955</v>
      </c>
      <c r="G476" s="164"/>
      <c r="H476" s="167"/>
      <c r="I476" s="167"/>
      <c r="J476" s="167"/>
      <c r="K476" s="169"/>
      <c r="L476" s="129"/>
      <c r="M476" s="129"/>
      <c r="N476" s="129"/>
      <c r="O476" s="129"/>
      <c r="P476" s="146"/>
      <c r="Q476" s="170"/>
      <c r="R476" s="171"/>
      <c r="S476" s="172"/>
    </row>
    <row r="477" spans="1:19" ht="42.75">
      <c r="A477" s="164" t="s">
        <v>776</v>
      </c>
      <c r="B477" s="165" t="s">
        <v>1023</v>
      </c>
      <c r="C477" s="165" t="s">
        <v>4034</v>
      </c>
      <c r="D477" s="164">
        <v>1869</v>
      </c>
      <c r="E477" s="164">
        <v>1876</v>
      </c>
      <c r="F477" s="164" t="s">
        <v>3955</v>
      </c>
      <c r="G477" s="164"/>
      <c r="H477" s="167"/>
      <c r="I477" s="167"/>
      <c r="J477" s="167"/>
      <c r="K477" s="169"/>
      <c r="L477" s="129"/>
      <c r="M477" s="129"/>
      <c r="N477" s="129"/>
      <c r="O477" s="129"/>
      <c r="P477" s="146"/>
      <c r="Q477" s="170"/>
      <c r="R477" s="171"/>
      <c r="S477" s="172"/>
    </row>
    <row r="478" spans="1:19" ht="42.75">
      <c r="A478" s="164" t="s">
        <v>776</v>
      </c>
      <c r="B478" s="165" t="s">
        <v>1023</v>
      </c>
      <c r="C478" s="165" t="s">
        <v>4036</v>
      </c>
      <c r="D478" s="164">
        <v>2552</v>
      </c>
      <c r="E478" s="164">
        <v>2542</v>
      </c>
      <c r="F478" s="164" t="s">
        <v>3955</v>
      </c>
      <c r="G478" s="164"/>
      <c r="H478" s="167"/>
      <c r="I478" s="167"/>
      <c r="J478" s="167"/>
      <c r="K478" s="169"/>
      <c r="L478" s="129"/>
      <c r="M478" s="129"/>
      <c r="N478" s="129"/>
      <c r="O478" s="129"/>
      <c r="P478" s="146"/>
      <c r="Q478" s="170"/>
      <c r="R478" s="171"/>
      <c r="S478" s="172"/>
    </row>
    <row r="479" spans="1:19" ht="42.75">
      <c r="A479" s="216" t="s">
        <v>776</v>
      </c>
      <c r="B479" s="165" t="s">
        <v>1023</v>
      </c>
      <c r="C479" s="165" t="s">
        <v>4037</v>
      </c>
      <c r="D479" s="164">
        <v>6242</v>
      </c>
      <c r="E479" s="164">
        <v>6600</v>
      </c>
      <c r="F479" s="164" t="s">
        <v>3955</v>
      </c>
      <c r="G479" s="164"/>
      <c r="H479" s="167"/>
      <c r="I479" s="167"/>
      <c r="J479" s="167"/>
      <c r="K479" s="169"/>
      <c r="L479" s="129"/>
      <c r="M479" s="129"/>
      <c r="N479" s="129"/>
      <c r="O479" s="129"/>
      <c r="P479" s="146"/>
      <c r="Q479" s="170"/>
      <c r="R479" s="171"/>
      <c r="S479" s="172"/>
    </row>
    <row r="480" spans="1:19" ht="42.75">
      <c r="A480" s="164" t="s">
        <v>776</v>
      </c>
      <c r="B480" s="165" t="s">
        <v>1023</v>
      </c>
      <c r="C480" s="165" t="s">
        <v>1024</v>
      </c>
      <c r="D480" s="164">
        <v>7990</v>
      </c>
      <c r="E480" s="164">
        <v>8401</v>
      </c>
      <c r="F480" s="164" t="s">
        <v>3955</v>
      </c>
      <c r="G480" s="164"/>
      <c r="H480" s="167"/>
      <c r="I480" s="167"/>
      <c r="J480" s="167"/>
      <c r="K480" s="169"/>
      <c r="L480" s="129"/>
      <c r="M480" s="129"/>
      <c r="N480" s="129"/>
      <c r="O480" s="129"/>
      <c r="P480" s="146"/>
      <c r="Q480" s="170"/>
      <c r="R480" s="171"/>
      <c r="S480" s="172"/>
    </row>
    <row r="481" spans="1:19" ht="42.75">
      <c r="A481" s="164" t="s">
        <v>776</v>
      </c>
      <c r="B481" s="165" t="s">
        <v>1023</v>
      </c>
      <c r="C481" s="165" t="s">
        <v>4038</v>
      </c>
      <c r="D481" s="164">
        <v>5017</v>
      </c>
      <c r="E481" s="164">
        <v>6138</v>
      </c>
      <c r="F481" s="164" t="s">
        <v>3955</v>
      </c>
      <c r="G481" s="164"/>
      <c r="H481" s="167"/>
      <c r="I481" s="167"/>
      <c r="J481" s="167"/>
      <c r="K481" s="169"/>
      <c r="L481" s="129"/>
      <c r="M481" s="129"/>
      <c r="N481" s="129"/>
      <c r="O481" s="129"/>
      <c r="P481" s="146"/>
      <c r="Q481" s="170"/>
      <c r="R481" s="171"/>
      <c r="S481" s="172"/>
    </row>
    <row r="482" spans="1:19" ht="42.75">
      <c r="A482" s="164" t="s">
        <v>776</v>
      </c>
      <c r="B482" s="165" t="s">
        <v>1023</v>
      </c>
      <c r="C482" s="165" t="s">
        <v>4042</v>
      </c>
      <c r="D482" s="164">
        <v>5633</v>
      </c>
      <c r="E482" s="164">
        <v>7658</v>
      </c>
      <c r="F482" s="164" t="s">
        <v>3404</v>
      </c>
      <c r="G482" s="164">
        <v>2024</v>
      </c>
      <c r="H482" s="186">
        <v>45359</v>
      </c>
      <c r="I482" s="167"/>
      <c r="J482" s="168" t="s">
        <v>7026</v>
      </c>
      <c r="K482" s="169"/>
      <c r="L482" s="129" t="s">
        <v>3416</v>
      </c>
      <c r="M482" s="129"/>
      <c r="N482" s="129"/>
      <c r="O482" s="129"/>
      <c r="P482" s="146"/>
      <c r="Q482" s="170"/>
      <c r="R482" s="171"/>
      <c r="S482" s="172"/>
    </row>
    <row r="483" spans="1:19" ht="42.75">
      <c r="A483" s="164" t="s">
        <v>776</v>
      </c>
      <c r="B483" s="165" t="s">
        <v>1023</v>
      </c>
      <c r="C483" s="165" t="s">
        <v>4040</v>
      </c>
      <c r="D483" s="164">
        <v>2789</v>
      </c>
      <c r="E483" s="164">
        <v>2950</v>
      </c>
      <c r="F483" s="164" t="s">
        <v>3955</v>
      </c>
      <c r="G483" s="164"/>
      <c r="H483" s="167"/>
      <c r="I483" s="167"/>
      <c r="J483" s="167"/>
      <c r="K483" s="169"/>
      <c r="L483" s="129"/>
      <c r="M483" s="129"/>
      <c r="N483" s="129"/>
      <c r="O483" s="129"/>
      <c r="P483" s="146"/>
      <c r="Q483" s="170"/>
      <c r="R483" s="171"/>
      <c r="S483" s="172"/>
    </row>
    <row r="484" spans="1:19" ht="42.75">
      <c r="A484" s="216" t="s">
        <v>776</v>
      </c>
      <c r="B484" s="165" t="s">
        <v>1023</v>
      </c>
      <c r="C484" s="165" t="s">
        <v>1056</v>
      </c>
      <c r="D484" s="164">
        <v>7153</v>
      </c>
      <c r="E484" s="164">
        <v>8262</v>
      </c>
      <c r="F484" s="164" t="s">
        <v>3955</v>
      </c>
      <c r="G484" s="164"/>
      <c r="H484" s="167"/>
      <c r="I484" s="167"/>
      <c r="J484" s="167"/>
      <c r="K484" s="169"/>
      <c r="L484" s="129"/>
      <c r="M484" s="129"/>
      <c r="N484" s="129"/>
      <c r="O484" s="129"/>
      <c r="P484" s="146"/>
      <c r="Q484" s="170"/>
      <c r="R484" s="171"/>
      <c r="S484" s="172"/>
    </row>
    <row r="485" spans="1:19" ht="42.75">
      <c r="A485" s="216" t="s">
        <v>776</v>
      </c>
      <c r="B485" s="165" t="s">
        <v>1023</v>
      </c>
      <c r="C485" s="165" t="s">
        <v>1253</v>
      </c>
      <c r="D485" s="164">
        <v>6994</v>
      </c>
      <c r="E485" s="164">
        <v>8113</v>
      </c>
      <c r="F485" s="164" t="s">
        <v>3404</v>
      </c>
      <c r="G485" s="164">
        <v>2024</v>
      </c>
      <c r="H485" s="186">
        <v>45359</v>
      </c>
      <c r="I485" s="167"/>
      <c r="J485" s="168" t="s">
        <v>7027</v>
      </c>
      <c r="K485" s="169"/>
      <c r="L485" s="129" t="s">
        <v>3416</v>
      </c>
      <c r="M485" s="129"/>
      <c r="N485" s="129"/>
      <c r="O485" s="129"/>
      <c r="P485" s="146"/>
      <c r="Q485" s="170"/>
      <c r="R485" s="171"/>
      <c r="S485" s="172"/>
    </row>
    <row r="486" spans="1:19" ht="42.75">
      <c r="A486" s="216" t="s">
        <v>776</v>
      </c>
      <c r="B486" s="165" t="s">
        <v>1023</v>
      </c>
      <c r="C486" s="165" t="s">
        <v>4043</v>
      </c>
      <c r="D486" s="164">
        <v>3325</v>
      </c>
      <c r="E486" s="164">
        <v>3637</v>
      </c>
      <c r="F486" s="164" t="s">
        <v>3404</v>
      </c>
      <c r="G486" s="164">
        <v>2024</v>
      </c>
      <c r="H486" s="186">
        <v>45359</v>
      </c>
      <c r="I486" s="167"/>
      <c r="J486" s="168" t="s">
        <v>7028</v>
      </c>
      <c r="K486" s="169"/>
      <c r="L486" s="129" t="s">
        <v>3416</v>
      </c>
      <c r="M486" s="129"/>
      <c r="N486" s="129"/>
      <c r="O486" s="129"/>
      <c r="P486" s="146"/>
      <c r="Q486" s="170"/>
      <c r="R486" s="171"/>
      <c r="S486" s="172"/>
    </row>
    <row r="487" spans="1:19" ht="42.75">
      <c r="A487" s="164" t="s">
        <v>776</v>
      </c>
      <c r="B487" s="165" t="s">
        <v>1023</v>
      </c>
      <c r="C487" s="165" t="s">
        <v>1819</v>
      </c>
      <c r="D487" s="164">
        <v>2862</v>
      </c>
      <c r="E487" s="164">
        <v>2731</v>
      </c>
      <c r="F487" s="164" t="s">
        <v>3404</v>
      </c>
      <c r="G487" s="164">
        <v>2024</v>
      </c>
      <c r="H487" s="186">
        <v>45359</v>
      </c>
      <c r="I487" s="167"/>
      <c r="J487" s="168" t="s">
        <v>7029</v>
      </c>
      <c r="K487" s="169"/>
      <c r="L487" s="129" t="s">
        <v>3416</v>
      </c>
      <c r="M487" s="129"/>
      <c r="N487" s="129"/>
      <c r="O487" s="129"/>
      <c r="P487" s="146"/>
      <c r="Q487" s="170"/>
      <c r="R487" s="171"/>
      <c r="S487" s="172"/>
    </row>
    <row r="488" spans="1:19" ht="42.75">
      <c r="A488" s="216" t="s">
        <v>776</v>
      </c>
      <c r="B488" s="165" t="s">
        <v>1023</v>
      </c>
      <c r="C488" s="165" t="s">
        <v>4044</v>
      </c>
      <c r="D488" s="164">
        <v>6202</v>
      </c>
      <c r="E488" s="164">
        <v>6496</v>
      </c>
      <c r="F488" s="164" t="s">
        <v>3955</v>
      </c>
      <c r="G488" s="164"/>
      <c r="H488" s="167"/>
      <c r="I488" s="167"/>
      <c r="J488" s="167"/>
      <c r="K488" s="169"/>
      <c r="L488" s="129"/>
      <c r="M488" s="129"/>
      <c r="N488" s="129"/>
      <c r="O488" s="129"/>
      <c r="P488" s="146"/>
      <c r="Q488" s="170"/>
      <c r="R488" s="171"/>
      <c r="S488" s="172"/>
    </row>
    <row r="489" spans="1:19" ht="42.75">
      <c r="A489" s="164" t="s">
        <v>776</v>
      </c>
      <c r="B489" s="165" t="s">
        <v>1028</v>
      </c>
      <c r="C489" s="165" t="s">
        <v>4045</v>
      </c>
      <c r="D489" s="164">
        <v>3216</v>
      </c>
      <c r="E489" s="164">
        <v>5016</v>
      </c>
      <c r="F489" s="164" t="s">
        <v>3404</v>
      </c>
      <c r="G489" s="164">
        <v>2024</v>
      </c>
      <c r="H489" s="175">
        <v>45426</v>
      </c>
      <c r="I489" s="175">
        <v>45426</v>
      </c>
      <c r="J489" s="168" t="s">
        <v>7030</v>
      </c>
      <c r="K489" s="174">
        <v>45428</v>
      </c>
      <c r="L489" s="129" t="s">
        <v>3532</v>
      </c>
      <c r="M489" s="129"/>
      <c r="N489" s="129"/>
      <c r="O489" s="129" t="s">
        <v>3406</v>
      </c>
      <c r="P489" s="146"/>
      <c r="Q489" s="170"/>
      <c r="R489" s="171"/>
      <c r="S489" s="172"/>
    </row>
    <row r="490" spans="1:19" ht="42.75">
      <c r="A490" s="216" t="s">
        <v>776</v>
      </c>
      <c r="B490" s="165" t="s">
        <v>1028</v>
      </c>
      <c r="C490" s="165" t="s">
        <v>4046</v>
      </c>
      <c r="D490" s="164">
        <v>5044</v>
      </c>
      <c r="E490" s="164">
        <v>5720</v>
      </c>
      <c r="F490" s="164" t="s">
        <v>3955</v>
      </c>
      <c r="G490" s="164"/>
      <c r="H490" s="167"/>
      <c r="I490" s="167"/>
      <c r="J490" s="167"/>
      <c r="K490" s="169"/>
      <c r="L490" s="129"/>
      <c r="M490" s="129"/>
      <c r="N490" s="129"/>
      <c r="O490" s="129"/>
      <c r="P490" s="146"/>
      <c r="Q490" s="170"/>
      <c r="R490" s="171"/>
      <c r="S490" s="172"/>
    </row>
    <row r="491" spans="1:19" ht="42.75">
      <c r="A491" s="164" t="s">
        <v>776</v>
      </c>
      <c r="B491" s="165" t="s">
        <v>1028</v>
      </c>
      <c r="C491" s="165" t="s">
        <v>4048</v>
      </c>
      <c r="D491" s="164">
        <v>3296</v>
      </c>
      <c r="E491" s="164">
        <v>3841</v>
      </c>
      <c r="F491" s="164" t="s">
        <v>3955</v>
      </c>
      <c r="G491" s="164"/>
      <c r="H491" s="167"/>
      <c r="I491" s="167"/>
      <c r="J491" s="167"/>
      <c r="K491" s="169"/>
      <c r="L491" s="129"/>
      <c r="M491" s="129"/>
      <c r="N491" s="129"/>
      <c r="O491" s="129"/>
      <c r="P491" s="146"/>
      <c r="Q491" s="170"/>
      <c r="R491" s="171"/>
      <c r="S491" s="172"/>
    </row>
    <row r="492" spans="1:19" ht="42.75">
      <c r="A492" s="164" t="s">
        <v>776</v>
      </c>
      <c r="B492" s="165" t="s">
        <v>1028</v>
      </c>
      <c r="C492" s="165" t="s">
        <v>4050</v>
      </c>
      <c r="D492" s="164">
        <v>2564</v>
      </c>
      <c r="E492" s="164">
        <v>2603</v>
      </c>
      <c r="F492" s="164" t="s">
        <v>3955</v>
      </c>
      <c r="G492" s="164"/>
      <c r="H492" s="167"/>
      <c r="I492" s="167"/>
      <c r="J492" s="167"/>
      <c r="K492" s="169"/>
      <c r="L492" s="129"/>
      <c r="M492" s="129"/>
      <c r="N492" s="129"/>
      <c r="O492" s="129"/>
      <c r="P492" s="146"/>
      <c r="Q492" s="170"/>
      <c r="R492" s="171"/>
      <c r="S492" s="172"/>
    </row>
    <row r="493" spans="1:19" ht="42.75">
      <c r="A493" s="164" t="s">
        <v>776</v>
      </c>
      <c r="B493" s="165" t="s">
        <v>1028</v>
      </c>
      <c r="C493" s="165" t="s">
        <v>1799</v>
      </c>
      <c r="D493" s="164">
        <v>1999</v>
      </c>
      <c r="E493" s="164">
        <v>2221</v>
      </c>
      <c r="F493" s="164" t="s">
        <v>3955</v>
      </c>
      <c r="G493" s="164"/>
      <c r="H493" s="167"/>
      <c r="I493" s="167"/>
      <c r="J493" s="167"/>
      <c r="K493" s="169"/>
      <c r="L493" s="129"/>
      <c r="M493" s="129"/>
      <c r="N493" s="129"/>
      <c r="O493" s="129"/>
      <c r="P493" s="146"/>
      <c r="Q493" s="170"/>
      <c r="R493" s="171"/>
      <c r="S493" s="172"/>
    </row>
    <row r="494" spans="1:19" ht="42.75">
      <c r="A494" s="164" t="s">
        <v>776</v>
      </c>
      <c r="B494" s="165" t="s">
        <v>1028</v>
      </c>
      <c r="C494" s="165" t="s">
        <v>4051</v>
      </c>
      <c r="D494" s="164">
        <v>4159</v>
      </c>
      <c r="E494" s="164">
        <v>3517</v>
      </c>
      <c r="F494" s="164" t="s">
        <v>3955</v>
      </c>
      <c r="G494" s="164"/>
      <c r="H494" s="167"/>
      <c r="I494" s="167"/>
      <c r="J494" s="167"/>
      <c r="K494" s="169"/>
      <c r="L494" s="129"/>
      <c r="M494" s="129"/>
      <c r="N494" s="129"/>
      <c r="O494" s="129"/>
      <c r="P494" s="146"/>
      <c r="Q494" s="170"/>
      <c r="R494" s="171"/>
      <c r="S494" s="172"/>
    </row>
    <row r="495" spans="1:19" ht="42.75">
      <c r="A495" s="164" t="s">
        <v>776</v>
      </c>
      <c r="B495" s="165" t="s">
        <v>1028</v>
      </c>
      <c r="C495" s="165" t="s">
        <v>4053</v>
      </c>
      <c r="D495" s="164">
        <v>4278</v>
      </c>
      <c r="E495" s="164">
        <v>4510</v>
      </c>
      <c r="F495" s="164" t="s">
        <v>3955</v>
      </c>
      <c r="G495" s="164"/>
      <c r="H495" s="167"/>
      <c r="I495" s="167"/>
      <c r="J495" s="167"/>
      <c r="K495" s="169"/>
      <c r="L495" s="129"/>
      <c r="M495" s="129"/>
      <c r="N495" s="129"/>
      <c r="O495" s="129"/>
      <c r="P495" s="146"/>
      <c r="Q495" s="170"/>
      <c r="R495" s="171"/>
      <c r="S495" s="172"/>
    </row>
    <row r="496" spans="1:19" ht="42.75">
      <c r="A496" s="164" t="s">
        <v>776</v>
      </c>
      <c r="B496" s="165" t="s">
        <v>1028</v>
      </c>
      <c r="C496" s="165" t="s">
        <v>4055</v>
      </c>
      <c r="D496" s="164">
        <v>2458</v>
      </c>
      <c r="E496" s="164">
        <v>2175</v>
      </c>
      <c r="F496" s="164" t="s">
        <v>3955</v>
      </c>
      <c r="G496" s="164"/>
      <c r="H496" s="167"/>
      <c r="I496" s="167"/>
      <c r="J496" s="167"/>
      <c r="K496" s="169"/>
      <c r="L496" s="129"/>
      <c r="M496" s="129"/>
      <c r="N496" s="129"/>
      <c r="O496" s="129"/>
      <c r="P496" s="146"/>
      <c r="Q496" s="170"/>
      <c r="R496" s="171"/>
      <c r="S496" s="172"/>
    </row>
    <row r="497" spans="1:19" ht="42.75">
      <c r="A497" s="164" t="s">
        <v>776</v>
      </c>
      <c r="B497" s="165" t="s">
        <v>1028</v>
      </c>
      <c r="C497" s="165" t="s">
        <v>4057</v>
      </c>
      <c r="D497" s="164">
        <v>5770</v>
      </c>
      <c r="E497" s="164">
        <v>6129</v>
      </c>
      <c r="F497" s="164" t="s">
        <v>3955</v>
      </c>
      <c r="G497" s="164"/>
      <c r="H497" s="167"/>
      <c r="I497" s="167"/>
      <c r="J497" s="167"/>
      <c r="K497" s="169"/>
      <c r="L497" s="129"/>
      <c r="M497" s="129"/>
      <c r="N497" s="129"/>
      <c r="O497" s="129"/>
      <c r="P497" s="146"/>
      <c r="Q497" s="170"/>
      <c r="R497" s="171"/>
      <c r="S497" s="172"/>
    </row>
    <row r="498" spans="1:19" ht="42.75">
      <c r="A498" s="164" t="s">
        <v>776</v>
      </c>
      <c r="B498" s="165" t="s">
        <v>1028</v>
      </c>
      <c r="C498" s="165" t="s">
        <v>4058</v>
      </c>
      <c r="D498" s="164">
        <v>6332</v>
      </c>
      <c r="E498" s="164">
        <v>6384</v>
      </c>
      <c r="F498" s="164" t="s">
        <v>3955</v>
      </c>
      <c r="G498" s="164"/>
      <c r="H498" s="167"/>
      <c r="I498" s="167"/>
      <c r="J498" s="167"/>
      <c r="K498" s="169"/>
      <c r="L498" s="129"/>
      <c r="M498" s="129"/>
      <c r="N498" s="129"/>
      <c r="O498" s="129"/>
      <c r="P498" s="146"/>
      <c r="Q498" s="170"/>
      <c r="R498" s="171"/>
      <c r="S498" s="172"/>
    </row>
    <row r="499" spans="1:19" ht="42.75">
      <c r="A499" s="216" t="s">
        <v>776</v>
      </c>
      <c r="B499" s="165" t="s">
        <v>1028</v>
      </c>
      <c r="C499" s="165" t="s">
        <v>3907</v>
      </c>
      <c r="D499" s="164">
        <v>1770</v>
      </c>
      <c r="E499" s="164">
        <v>1960</v>
      </c>
      <c r="F499" s="164" t="s">
        <v>3955</v>
      </c>
      <c r="G499" s="164"/>
      <c r="H499" s="167"/>
      <c r="I499" s="167"/>
      <c r="J499" s="167"/>
      <c r="K499" s="169"/>
      <c r="L499" s="129"/>
      <c r="M499" s="129"/>
      <c r="N499" s="129"/>
      <c r="O499" s="129"/>
      <c r="P499" s="146"/>
      <c r="Q499" s="170"/>
      <c r="R499" s="171"/>
      <c r="S499" s="172"/>
    </row>
    <row r="500" spans="1:19" ht="42.75">
      <c r="A500" s="164" t="s">
        <v>776</v>
      </c>
      <c r="B500" s="165" t="s">
        <v>1028</v>
      </c>
      <c r="C500" s="165" t="s">
        <v>4060</v>
      </c>
      <c r="D500" s="164">
        <v>2754</v>
      </c>
      <c r="E500" s="164">
        <v>4161</v>
      </c>
      <c r="F500" s="164" t="s">
        <v>3955</v>
      </c>
      <c r="G500" s="164"/>
      <c r="H500" s="167"/>
      <c r="I500" s="167"/>
      <c r="J500" s="167"/>
      <c r="K500" s="169"/>
      <c r="L500" s="129"/>
      <c r="M500" s="129"/>
      <c r="N500" s="129"/>
      <c r="O500" s="129"/>
      <c r="P500" s="146"/>
      <c r="Q500" s="170"/>
      <c r="R500" s="171"/>
      <c r="S500" s="172"/>
    </row>
    <row r="501" spans="1:19" ht="42.75">
      <c r="A501" s="164" t="s">
        <v>776</v>
      </c>
      <c r="B501" s="165" t="s">
        <v>1028</v>
      </c>
      <c r="C501" s="165" t="s">
        <v>4062</v>
      </c>
      <c r="D501" s="164">
        <v>12359</v>
      </c>
      <c r="E501" s="164">
        <v>14085</v>
      </c>
      <c r="F501" s="164" t="s">
        <v>3955</v>
      </c>
      <c r="G501" s="164"/>
      <c r="H501" s="167"/>
      <c r="I501" s="167"/>
      <c r="J501" s="167"/>
      <c r="K501" s="169"/>
      <c r="L501" s="129"/>
      <c r="M501" s="129"/>
      <c r="N501" s="129"/>
      <c r="O501" s="129"/>
      <c r="P501" s="146"/>
      <c r="Q501" s="170"/>
      <c r="R501" s="171"/>
      <c r="S501" s="172"/>
    </row>
    <row r="502" spans="1:19" ht="42.75">
      <c r="A502" s="164" t="s">
        <v>776</v>
      </c>
      <c r="B502" s="165" t="s">
        <v>1028</v>
      </c>
      <c r="C502" s="165" t="s">
        <v>1831</v>
      </c>
      <c r="D502" s="164">
        <v>3444</v>
      </c>
      <c r="E502" s="164">
        <v>4265</v>
      </c>
      <c r="F502" s="164" t="s">
        <v>3955</v>
      </c>
      <c r="G502" s="164"/>
      <c r="H502" s="167"/>
      <c r="I502" s="167"/>
      <c r="J502" s="167"/>
      <c r="K502" s="169"/>
      <c r="L502" s="129"/>
      <c r="M502" s="129"/>
      <c r="N502" s="129"/>
      <c r="O502" s="129"/>
      <c r="P502" s="146"/>
      <c r="Q502" s="170"/>
      <c r="R502" s="171"/>
      <c r="S502" s="172"/>
    </row>
    <row r="503" spans="1:19" ht="42.75">
      <c r="A503" s="164" t="s">
        <v>776</v>
      </c>
      <c r="B503" s="165" t="s">
        <v>1028</v>
      </c>
      <c r="C503" s="165" t="s">
        <v>4063</v>
      </c>
      <c r="D503" s="164">
        <v>4109</v>
      </c>
      <c r="E503" s="164">
        <v>4280</v>
      </c>
      <c r="F503" s="164" t="s">
        <v>3955</v>
      </c>
      <c r="G503" s="164"/>
      <c r="H503" s="167"/>
      <c r="I503" s="167"/>
      <c r="J503" s="167"/>
      <c r="K503" s="169"/>
      <c r="L503" s="129"/>
      <c r="M503" s="129"/>
      <c r="N503" s="129"/>
      <c r="O503" s="129"/>
      <c r="P503" s="146"/>
      <c r="Q503" s="170"/>
      <c r="R503" s="171"/>
      <c r="S503" s="172"/>
    </row>
    <row r="504" spans="1:19" ht="42.75">
      <c r="A504" s="164" t="s">
        <v>776</v>
      </c>
      <c r="B504" s="165" t="s">
        <v>1028</v>
      </c>
      <c r="C504" s="165" t="s">
        <v>4064</v>
      </c>
      <c r="D504" s="164">
        <v>2971</v>
      </c>
      <c r="E504" s="164">
        <v>2925</v>
      </c>
      <c r="F504" s="164" t="s">
        <v>3955</v>
      </c>
      <c r="G504" s="164"/>
      <c r="H504" s="167"/>
      <c r="I504" s="167"/>
      <c r="J504" s="167"/>
      <c r="K504" s="169"/>
      <c r="L504" s="129"/>
      <c r="M504" s="129"/>
      <c r="N504" s="129"/>
      <c r="O504" s="129"/>
      <c r="P504" s="146"/>
      <c r="Q504" s="170"/>
      <c r="R504" s="171"/>
      <c r="S504" s="172"/>
    </row>
    <row r="505" spans="1:19" ht="42.75">
      <c r="A505" s="164" t="s">
        <v>776</v>
      </c>
      <c r="B505" s="165" t="s">
        <v>1028</v>
      </c>
      <c r="C505" s="165" t="s">
        <v>4065</v>
      </c>
      <c r="D505" s="164">
        <v>2117</v>
      </c>
      <c r="E505" s="164">
        <v>1684</v>
      </c>
      <c r="F505" s="164" t="s">
        <v>3955</v>
      </c>
      <c r="G505" s="164"/>
      <c r="H505" s="167"/>
      <c r="I505" s="167"/>
      <c r="J505" s="167"/>
      <c r="K505" s="169"/>
      <c r="L505" s="129"/>
      <c r="M505" s="129"/>
      <c r="N505" s="129"/>
      <c r="O505" s="129"/>
      <c r="P505" s="146"/>
      <c r="Q505" s="170"/>
      <c r="R505" s="171"/>
      <c r="S505" s="172"/>
    </row>
    <row r="506" spans="1:19" ht="42.75">
      <c r="A506" s="164" t="s">
        <v>776</v>
      </c>
      <c r="B506" s="165" t="s">
        <v>1028</v>
      </c>
      <c r="C506" s="165" t="s">
        <v>4067</v>
      </c>
      <c r="D506" s="164">
        <v>2501</v>
      </c>
      <c r="E506" s="164">
        <v>1752</v>
      </c>
      <c r="F506" s="164" t="s">
        <v>3955</v>
      </c>
      <c r="G506" s="164"/>
      <c r="H506" s="167"/>
      <c r="I506" s="167"/>
      <c r="J506" s="167"/>
      <c r="K506" s="169"/>
      <c r="L506" s="129"/>
      <c r="M506" s="129"/>
      <c r="N506" s="129"/>
      <c r="O506" s="129"/>
      <c r="P506" s="146"/>
      <c r="Q506" s="170"/>
      <c r="R506" s="171"/>
      <c r="S506" s="172"/>
    </row>
    <row r="507" spans="1:19" ht="42.75">
      <c r="A507" s="164" t="s">
        <v>776</v>
      </c>
      <c r="B507" s="165" t="s">
        <v>1028</v>
      </c>
      <c r="C507" s="165" t="s">
        <v>4068</v>
      </c>
      <c r="D507" s="164">
        <v>4336</v>
      </c>
      <c r="E507" s="164">
        <v>4663</v>
      </c>
      <c r="F507" s="164" t="s">
        <v>3955</v>
      </c>
      <c r="G507" s="164"/>
      <c r="H507" s="167"/>
      <c r="I507" s="167"/>
      <c r="J507" s="167"/>
      <c r="K507" s="169"/>
      <c r="L507" s="129"/>
      <c r="M507" s="129"/>
      <c r="N507" s="129"/>
      <c r="O507" s="129"/>
      <c r="P507" s="146"/>
      <c r="Q507" s="170"/>
      <c r="R507" s="171"/>
      <c r="S507" s="172"/>
    </row>
    <row r="508" spans="1:19" ht="42.75">
      <c r="A508" s="164" t="s">
        <v>776</v>
      </c>
      <c r="B508" s="165" t="s">
        <v>1028</v>
      </c>
      <c r="C508" s="165" t="s">
        <v>1056</v>
      </c>
      <c r="D508" s="164">
        <v>1909</v>
      </c>
      <c r="E508" s="164">
        <v>1785</v>
      </c>
      <c r="F508" s="164" t="s">
        <v>3955</v>
      </c>
      <c r="G508" s="164"/>
      <c r="H508" s="167"/>
      <c r="I508" s="167"/>
      <c r="J508" s="167"/>
      <c r="K508" s="169"/>
      <c r="L508" s="129"/>
      <c r="M508" s="129"/>
      <c r="N508" s="129"/>
      <c r="O508" s="129"/>
      <c r="P508" s="146"/>
      <c r="Q508" s="170"/>
      <c r="R508" s="171"/>
      <c r="S508" s="172"/>
    </row>
    <row r="509" spans="1:19" ht="42.75">
      <c r="A509" s="164" t="s">
        <v>776</v>
      </c>
      <c r="B509" s="165" t="s">
        <v>1028</v>
      </c>
      <c r="C509" s="165" t="s">
        <v>4070</v>
      </c>
      <c r="D509" s="164">
        <v>8347</v>
      </c>
      <c r="E509" s="164">
        <v>9528</v>
      </c>
      <c r="F509" s="164" t="s">
        <v>3955</v>
      </c>
      <c r="G509" s="164"/>
      <c r="H509" s="167"/>
      <c r="I509" s="167"/>
      <c r="J509" s="167"/>
      <c r="K509" s="169"/>
      <c r="L509" s="129"/>
      <c r="M509" s="129"/>
      <c r="N509" s="129"/>
      <c r="O509" s="129"/>
      <c r="P509" s="146"/>
      <c r="Q509" s="170"/>
      <c r="R509" s="171"/>
      <c r="S509" s="172"/>
    </row>
    <row r="510" spans="1:19" ht="42.75">
      <c r="A510" s="164" t="s">
        <v>776</v>
      </c>
      <c r="B510" s="165" t="s">
        <v>1028</v>
      </c>
      <c r="C510" s="165" t="s">
        <v>858</v>
      </c>
      <c r="D510" s="164">
        <v>5437</v>
      </c>
      <c r="E510" s="164">
        <v>5661</v>
      </c>
      <c r="F510" s="164" t="s">
        <v>3955</v>
      </c>
      <c r="G510" s="164"/>
      <c r="H510" s="167"/>
      <c r="I510" s="167"/>
      <c r="J510" s="167"/>
      <c r="K510" s="169"/>
      <c r="L510" s="129"/>
      <c r="M510" s="129"/>
      <c r="N510" s="129"/>
      <c r="O510" s="129"/>
      <c r="P510" s="146"/>
      <c r="Q510" s="170"/>
      <c r="R510" s="171"/>
      <c r="S510" s="172"/>
    </row>
    <row r="511" spans="1:19" ht="42.75">
      <c r="A511" s="164" t="s">
        <v>776</v>
      </c>
      <c r="B511" s="165" t="s">
        <v>1028</v>
      </c>
      <c r="C511" s="165" t="s">
        <v>4072</v>
      </c>
      <c r="D511" s="164">
        <v>2255</v>
      </c>
      <c r="E511" s="164">
        <v>2671</v>
      </c>
      <c r="F511" s="164" t="s">
        <v>3955</v>
      </c>
      <c r="G511" s="164"/>
      <c r="H511" s="167"/>
      <c r="I511" s="167"/>
      <c r="J511" s="167"/>
      <c r="K511" s="169"/>
      <c r="L511" s="129"/>
      <c r="M511" s="129"/>
      <c r="N511" s="129"/>
      <c r="O511" s="129"/>
      <c r="P511" s="146"/>
      <c r="Q511" s="170"/>
      <c r="R511" s="171"/>
      <c r="S511" s="172"/>
    </row>
    <row r="512" spans="1:19" ht="42.75">
      <c r="A512" s="164" t="s">
        <v>776</v>
      </c>
      <c r="B512" s="165" t="s">
        <v>1028</v>
      </c>
      <c r="C512" s="165" t="s">
        <v>1151</v>
      </c>
      <c r="D512" s="164">
        <v>4998</v>
      </c>
      <c r="E512" s="164">
        <v>6005</v>
      </c>
      <c r="F512" s="164" t="s">
        <v>3955</v>
      </c>
      <c r="G512" s="164"/>
      <c r="H512" s="167"/>
      <c r="I512" s="167"/>
      <c r="J512" s="167"/>
      <c r="K512" s="169"/>
      <c r="L512" s="129"/>
      <c r="M512" s="129"/>
      <c r="N512" s="129"/>
      <c r="O512" s="129"/>
      <c r="P512" s="146"/>
      <c r="Q512" s="170"/>
      <c r="R512" s="171"/>
      <c r="S512" s="172"/>
    </row>
    <row r="513" spans="1:19" ht="42.75">
      <c r="A513" s="164" t="s">
        <v>776</v>
      </c>
      <c r="B513" s="165" t="s">
        <v>1028</v>
      </c>
      <c r="C513" s="165" t="s">
        <v>3565</v>
      </c>
      <c r="D513" s="164">
        <v>2206</v>
      </c>
      <c r="E513" s="164">
        <v>2460</v>
      </c>
      <c r="F513" s="164" t="s">
        <v>3955</v>
      </c>
      <c r="G513" s="164"/>
      <c r="H513" s="167"/>
      <c r="I513" s="167"/>
      <c r="J513" s="167"/>
      <c r="K513" s="169"/>
      <c r="L513" s="129"/>
      <c r="M513" s="129"/>
      <c r="N513" s="129"/>
      <c r="O513" s="129"/>
      <c r="P513" s="146"/>
      <c r="Q513" s="170"/>
      <c r="R513" s="171"/>
      <c r="S513" s="172"/>
    </row>
    <row r="514" spans="1:19" ht="42.75">
      <c r="A514" s="164" t="s">
        <v>776</v>
      </c>
      <c r="B514" s="165" t="s">
        <v>1028</v>
      </c>
      <c r="C514" s="165" t="s">
        <v>3727</v>
      </c>
      <c r="D514" s="164">
        <v>1955</v>
      </c>
      <c r="E514" s="164">
        <v>2544</v>
      </c>
      <c r="F514" s="164" t="s">
        <v>3955</v>
      </c>
      <c r="G514" s="164"/>
      <c r="H514" s="167"/>
      <c r="I514" s="167"/>
      <c r="J514" s="167"/>
      <c r="K514" s="169"/>
      <c r="L514" s="129"/>
      <c r="M514" s="129"/>
      <c r="N514" s="129"/>
      <c r="O514" s="129"/>
      <c r="P514" s="146"/>
      <c r="Q514" s="170"/>
      <c r="R514" s="171"/>
      <c r="S514" s="172"/>
    </row>
    <row r="515" spans="1:19" ht="42.75">
      <c r="A515" s="164" t="s">
        <v>776</v>
      </c>
      <c r="B515" s="165" t="s">
        <v>1028</v>
      </c>
      <c r="C515" s="165" t="s">
        <v>2128</v>
      </c>
      <c r="D515" s="164">
        <v>2762</v>
      </c>
      <c r="E515" s="164">
        <v>3140</v>
      </c>
      <c r="F515" s="164" t="s">
        <v>3955</v>
      </c>
      <c r="G515" s="164"/>
      <c r="H515" s="167"/>
      <c r="I515" s="167"/>
      <c r="J515" s="167"/>
      <c r="K515" s="169"/>
      <c r="L515" s="129"/>
      <c r="M515" s="129"/>
      <c r="N515" s="129"/>
      <c r="O515" s="129"/>
      <c r="P515" s="146"/>
      <c r="Q515" s="170"/>
      <c r="R515" s="171"/>
      <c r="S515" s="172"/>
    </row>
    <row r="516" spans="1:19" ht="42.75">
      <c r="A516" s="164" t="s">
        <v>776</v>
      </c>
      <c r="B516" s="165" t="s">
        <v>1028</v>
      </c>
      <c r="C516" s="165" t="s">
        <v>4075</v>
      </c>
      <c r="D516" s="164">
        <v>1967</v>
      </c>
      <c r="E516" s="164">
        <v>1727</v>
      </c>
      <c r="F516" s="164" t="s">
        <v>3955</v>
      </c>
      <c r="G516" s="164"/>
      <c r="H516" s="167"/>
      <c r="I516" s="167"/>
      <c r="J516" s="167"/>
      <c r="K516" s="169"/>
      <c r="L516" s="129"/>
      <c r="M516" s="129"/>
      <c r="N516" s="129"/>
      <c r="O516" s="129"/>
      <c r="P516" s="146"/>
      <c r="Q516" s="170"/>
      <c r="R516" s="171"/>
      <c r="S516" s="172"/>
    </row>
    <row r="517" spans="1:19" ht="42.75">
      <c r="A517" s="164" t="s">
        <v>776</v>
      </c>
      <c r="B517" s="165" t="s">
        <v>1028</v>
      </c>
      <c r="C517" s="165" t="s">
        <v>4076</v>
      </c>
      <c r="D517" s="164">
        <v>1444</v>
      </c>
      <c r="E517" s="164">
        <v>1059</v>
      </c>
      <c r="F517" s="164" t="s">
        <v>3955</v>
      </c>
      <c r="G517" s="164"/>
      <c r="H517" s="167"/>
      <c r="I517" s="167"/>
      <c r="J517" s="167"/>
      <c r="K517" s="169"/>
      <c r="L517" s="129"/>
      <c r="M517" s="129"/>
      <c r="N517" s="129"/>
      <c r="O517" s="129"/>
      <c r="P517" s="146"/>
      <c r="Q517" s="170"/>
      <c r="R517" s="171"/>
      <c r="S517" s="172"/>
    </row>
    <row r="518" spans="1:19" ht="42.75">
      <c r="A518" s="164" t="s">
        <v>776</v>
      </c>
      <c r="B518" s="165" t="s">
        <v>1055</v>
      </c>
      <c r="C518" s="165" t="s">
        <v>1716</v>
      </c>
      <c r="D518" s="164">
        <v>2940</v>
      </c>
      <c r="E518" s="164">
        <v>3518</v>
      </c>
      <c r="F518" s="164" t="s">
        <v>3955</v>
      </c>
      <c r="G518" s="164"/>
      <c r="H518" s="167"/>
      <c r="I518" s="167"/>
      <c r="J518" s="167"/>
      <c r="K518" s="169"/>
      <c r="L518" s="129"/>
      <c r="M518" s="129"/>
      <c r="N518" s="129"/>
      <c r="O518" s="129"/>
      <c r="P518" s="146"/>
      <c r="Q518" s="170"/>
      <c r="R518" s="171"/>
      <c r="S518" s="172"/>
    </row>
    <row r="519" spans="1:19" ht="42.75">
      <c r="A519" s="216" t="s">
        <v>776</v>
      </c>
      <c r="B519" s="165" t="s">
        <v>1055</v>
      </c>
      <c r="C519" s="165" t="s">
        <v>4233</v>
      </c>
      <c r="D519" s="164">
        <v>1800</v>
      </c>
      <c r="E519" s="164">
        <v>2140</v>
      </c>
      <c r="F519" s="164" t="s">
        <v>3955</v>
      </c>
      <c r="G519" s="164"/>
      <c r="H519" s="167"/>
      <c r="I519" s="167"/>
      <c r="J519" s="167"/>
      <c r="K519" s="169"/>
      <c r="L519" s="129"/>
      <c r="M519" s="129"/>
      <c r="N519" s="129"/>
      <c r="O519" s="129"/>
      <c r="P519" s="146"/>
      <c r="Q519" s="170"/>
      <c r="R519" s="171"/>
      <c r="S519" s="172"/>
    </row>
    <row r="520" spans="1:19" ht="42.75">
      <c r="A520" s="216" t="s">
        <v>776</v>
      </c>
      <c r="B520" s="165" t="s">
        <v>1055</v>
      </c>
      <c r="C520" s="165" t="s">
        <v>4235</v>
      </c>
      <c r="D520" s="164">
        <v>5628</v>
      </c>
      <c r="E520" s="164">
        <v>5746</v>
      </c>
      <c r="F520" s="164" t="s">
        <v>3955</v>
      </c>
      <c r="G520" s="164"/>
      <c r="H520" s="167"/>
      <c r="I520" s="167"/>
      <c r="J520" s="167"/>
      <c r="K520" s="169"/>
      <c r="L520" s="129"/>
      <c r="M520" s="129"/>
      <c r="N520" s="129"/>
      <c r="O520" s="129"/>
      <c r="P520" s="146"/>
      <c r="Q520" s="170"/>
      <c r="R520" s="171"/>
      <c r="S520" s="172"/>
    </row>
    <row r="521" spans="1:19" ht="42.75">
      <c r="A521" s="216" t="s">
        <v>776</v>
      </c>
      <c r="B521" s="165" t="s">
        <v>1055</v>
      </c>
      <c r="C521" s="165" t="s">
        <v>4237</v>
      </c>
      <c r="D521" s="164">
        <v>16223</v>
      </c>
      <c r="E521" s="164">
        <v>16851</v>
      </c>
      <c r="F521" s="164" t="s">
        <v>3404</v>
      </c>
      <c r="G521" s="164">
        <v>2024</v>
      </c>
      <c r="H521" s="175">
        <v>45518</v>
      </c>
      <c r="I521" s="175">
        <v>45522</v>
      </c>
      <c r="J521" s="168" t="s">
        <v>7031</v>
      </c>
      <c r="K521" s="174">
        <v>45523</v>
      </c>
      <c r="L521" s="129" t="s">
        <v>3126</v>
      </c>
      <c r="M521" s="129" t="s">
        <v>4</v>
      </c>
      <c r="N521" s="129" t="s">
        <v>50</v>
      </c>
      <c r="O521" s="129" t="s">
        <v>3406</v>
      </c>
      <c r="P521" s="146"/>
      <c r="Q521" s="170">
        <v>45531</v>
      </c>
      <c r="R521" s="171" t="s">
        <v>150</v>
      </c>
      <c r="S521" s="172"/>
    </row>
    <row r="522" spans="1:19" ht="42.75">
      <c r="A522" s="164" t="s">
        <v>776</v>
      </c>
      <c r="B522" s="165" t="s">
        <v>1055</v>
      </c>
      <c r="C522" s="165" t="s">
        <v>3951</v>
      </c>
      <c r="D522" s="164">
        <v>1528</v>
      </c>
      <c r="E522" s="164">
        <v>1693</v>
      </c>
      <c r="F522" s="164" t="s">
        <v>3955</v>
      </c>
      <c r="G522" s="164"/>
      <c r="H522" s="167"/>
      <c r="I522" s="167"/>
      <c r="J522" s="167"/>
      <c r="K522" s="169"/>
      <c r="L522" s="129"/>
      <c r="M522" s="129"/>
      <c r="N522" s="129"/>
      <c r="O522" s="129"/>
      <c r="P522" s="146"/>
      <c r="Q522" s="170"/>
      <c r="R522" s="171"/>
      <c r="S522" s="172"/>
    </row>
    <row r="523" spans="1:19" ht="42.75">
      <c r="A523" s="216" t="s">
        <v>776</v>
      </c>
      <c r="B523" s="165" t="s">
        <v>1055</v>
      </c>
      <c r="C523" s="165" t="s">
        <v>1056</v>
      </c>
      <c r="D523" s="164">
        <v>4099</v>
      </c>
      <c r="E523" s="164">
        <v>3468</v>
      </c>
      <c r="F523" s="164" t="s">
        <v>3955</v>
      </c>
      <c r="G523" s="164"/>
      <c r="H523" s="167"/>
      <c r="I523" s="167"/>
      <c r="J523" s="167"/>
      <c r="K523" s="169"/>
      <c r="L523" s="129"/>
      <c r="M523" s="129"/>
      <c r="N523" s="129"/>
      <c r="O523" s="129"/>
      <c r="P523" s="146"/>
      <c r="Q523" s="170"/>
      <c r="R523" s="171"/>
      <c r="S523" s="172"/>
    </row>
    <row r="524" spans="1:19" ht="42.75">
      <c r="A524" s="164" t="s">
        <v>776</v>
      </c>
      <c r="B524" s="165" t="s">
        <v>1055</v>
      </c>
      <c r="C524" s="165" t="s">
        <v>4240</v>
      </c>
      <c r="D524" s="164">
        <v>5172</v>
      </c>
      <c r="E524" s="164">
        <v>5270</v>
      </c>
      <c r="F524" s="164" t="s">
        <v>3404</v>
      </c>
      <c r="G524" s="164">
        <v>2024</v>
      </c>
      <c r="H524" s="175">
        <v>45604</v>
      </c>
      <c r="I524" s="175">
        <v>45609</v>
      </c>
      <c r="J524" s="168" t="s">
        <v>7032</v>
      </c>
      <c r="K524" s="174">
        <v>45616</v>
      </c>
      <c r="L524" s="129" t="s">
        <v>3129</v>
      </c>
      <c r="M524" s="129" t="s">
        <v>1078</v>
      </c>
      <c r="N524" s="129" t="s">
        <v>3528</v>
      </c>
      <c r="O524" s="129" t="s">
        <v>3406</v>
      </c>
      <c r="P524" s="146"/>
      <c r="Q524" s="223">
        <v>45618</v>
      </c>
      <c r="R524" s="224" t="s">
        <v>150</v>
      </c>
      <c r="S524" s="172"/>
    </row>
    <row r="525" spans="1:19" ht="42.75">
      <c r="A525" s="164" t="s">
        <v>776</v>
      </c>
      <c r="B525" s="165" t="s">
        <v>1055</v>
      </c>
      <c r="C525" s="165" t="s">
        <v>3952</v>
      </c>
      <c r="D525" s="164">
        <v>1879</v>
      </c>
      <c r="E525" s="164">
        <v>3915</v>
      </c>
      <c r="F525" s="164" t="s">
        <v>3955</v>
      </c>
      <c r="G525" s="164"/>
      <c r="H525" s="167"/>
      <c r="I525" s="167"/>
      <c r="J525" s="167"/>
      <c r="K525" s="169"/>
      <c r="L525" s="129"/>
      <c r="M525" s="129"/>
      <c r="N525" s="129"/>
      <c r="O525" s="129"/>
      <c r="P525" s="146"/>
      <c r="Q525" s="170"/>
      <c r="R525" s="171"/>
      <c r="S525" s="172"/>
    </row>
    <row r="526" spans="1:19" ht="42.75">
      <c r="A526" s="164" t="s">
        <v>776</v>
      </c>
      <c r="B526" s="165" t="s">
        <v>1055</v>
      </c>
      <c r="C526" s="165" t="s">
        <v>1899</v>
      </c>
      <c r="D526" s="164">
        <v>12216</v>
      </c>
      <c r="E526" s="164">
        <v>11739</v>
      </c>
      <c r="F526" s="164" t="s">
        <v>3404</v>
      </c>
      <c r="G526" s="164">
        <v>2024</v>
      </c>
      <c r="H526" s="175">
        <v>45604</v>
      </c>
      <c r="I526" s="175">
        <v>45609</v>
      </c>
      <c r="J526" s="168" t="s">
        <v>7033</v>
      </c>
      <c r="K526" s="174">
        <v>45616</v>
      </c>
      <c r="L526" s="129" t="s">
        <v>3129</v>
      </c>
      <c r="M526" s="129" t="s">
        <v>1078</v>
      </c>
      <c r="N526" s="129" t="s">
        <v>3528</v>
      </c>
      <c r="O526" s="129" t="s">
        <v>3406</v>
      </c>
      <c r="P526" s="146"/>
      <c r="Q526" s="223">
        <v>45618</v>
      </c>
      <c r="R526" s="224" t="s">
        <v>150</v>
      </c>
      <c r="S526" s="172"/>
    </row>
    <row r="527" spans="1:19" ht="42.75">
      <c r="A527" s="216" t="s">
        <v>776</v>
      </c>
      <c r="B527" s="165" t="s">
        <v>1055</v>
      </c>
      <c r="C527" s="165" t="s">
        <v>4242</v>
      </c>
      <c r="D527" s="164">
        <v>13687</v>
      </c>
      <c r="E527" s="164">
        <v>16386</v>
      </c>
      <c r="F527" s="164" t="s">
        <v>3404</v>
      </c>
      <c r="G527" s="164">
        <v>2024</v>
      </c>
      <c r="H527" s="175">
        <v>45603</v>
      </c>
      <c r="I527" s="175">
        <v>45607</v>
      </c>
      <c r="J527" s="168" t="s">
        <v>7034</v>
      </c>
      <c r="K527" s="174">
        <v>45612</v>
      </c>
      <c r="L527" s="129" t="s">
        <v>3129</v>
      </c>
      <c r="M527" s="129" t="s">
        <v>4</v>
      </c>
      <c r="N527" s="129" t="s">
        <v>50</v>
      </c>
      <c r="O527" s="129" t="s">
        <v>3406</v>
      </c>
      <c r="P527" s="146"/>
      <c r="Q527" s="170">
        <v>45614</v>
      </c>
      <c r="R527" s="171" t="s">
        <v>150</v>
      </c>
      <c r="S527" s="172"/>
    </row>
    <row r="528" spans="1:19" ht="42.75">
      <c r="A528" s="216" t="s">
        <v>776</v>
      </c>
      <c r="B528" s="165" t="s">
        <v>1055</v>
      </c>
      <c r="C528" s="165" t="s">
        <v>4243</v>
      </c>
      <c r="D528" s="164">
        <v>8832</v>
      </c>
      <c r="E528" s="164">
        <v>11465</v>
      </c>
      <c r="F528" s="164" t="s">
        <v>3955</v>
      </c>
      <c r="G528" s="164">
        <v>2025</v>
      </c>
      <c r="H528" s="167"/>
      <c r="I528" s="167"/>
      <c r="J528" s="167"/>
      <c r="K528" s="169"/>
      <c r="L528" s="129" t="s">
        <v>3424</v>
      </c>
      <c r="M528" s="129"/>
      <c r="N528" s="129"/>
      <c r="O528" s="129"/>
      <c r="P528" s="146"/>
      <c r="Q528" s="170"/>
      <c r="R528" s="171"/>
      <c r="S528" s="172"/>
    </row>
    <row r="529" spans="1:19" ht="42.75">
      <c r="A529" s="216" t="s">
        <v>776</v>
      </c>
      <c r="B529" s="165" t="s">
        <v>1055</v>
      </c>
      <c r="C529" s="165" t="s">
        <v>4245</v>
      </c>
      <c r="D529" s="164">
        <v>8310</v>
      </c>
      <c r="E529" s="164">
        <v>9212</v>
      </c>
      <c r="F529" s="164" t="s">
        <v>3955</v>
      </c>
      <c r="G529" s="164"/>
      <c r="H529" s="167"/>
      <c r="I529" s="167"/>
      <c r="J529" s="167"/>
      <c r="K529" s="169"/>
      <c r="L529" s="129"/>
      <c r="M529" s="129"/>
      <c r="N529" s="129"/>
      <c r="O529" s="129"/>
      <c r="P529" s="146"/>
      <c r="Q529" s="170"/>
      <c r="R529" s="171"/>
      <c r="S529" s="172"/>
    </row>
    <row r="530" spans="1:19" ht="42.75">
      <c r="A530" s="216" t="s">
        <v>776</v>
      </c>
      <c r="B530" s="165" t="s">
        <v>1055</v>
      </c>
      <c r="C530" s="165" t="s">
        <v>3983</v>
      </c>
      <c r="D530" s="164">
        <v>7640</v>
      </c>
      <c r="E530" s="164">
        <v>10151</v>
      </c>
      <c r="F530" s="164" t="s">
        <v>3404</v>
      </c>
      <c r="G530" s="164">
        <v>2024</v>
      </c>
      <c r="H530" s="175">
        <v>45422</v>
      </c>
      <c r="I530" s="175">
        <v>45428</v>
      </c>
      <c r="J530" s="168" t="s">
        <v>7035</v>
      </c>
      <c r="K530" s="174">
        <v>45429</v>
      </c>
      <c r="L530" s="129" t="s">
        <v>3532</v>
      </c>
      <c r="M530" s="129"/>
      <c r="N530" s="129"/>
      <c r="O530" s="129" t="s">
        <v>3406</v>
      </c>
      <c r="P530" s="146"/>
      <c r="Q530" s="170">
        <v>45429</v>
      </c>
      <c r="R530" s="171"/>
      <c r="S530" s="172"/>
    </row>
    <row r="531" spans="1:19" ht="42.75">
      <c r="A531" s="216" t="s">
        <v>776</v>
      </c>
      <c r="B531" s="165" t="s">
        <v>1055</v>
      </c>
      <c r="C531" s="165" t="s">
        <v>1059</v>
      </c>
      <c r="D531" s="164">
        <v>9776</v>
      </c>
      <c r="E531" s="164">
        <v>11861</v>
      </c>
      <c r="F531" s="164" t="s">
        <v>3955</v>
      </c>
      <c r="G531" s="164"/>
      <c r="H531" s="167"/>
      <c r="I531" s="167"/>
      <c r="J531" s="167"/>
      <c r="K531" s="169"/>
      <c r="L531" s="129"/>
      <c r="M531" s="129"/>
      <c r="N531" s="129"/>
      <c r="O531" s="129"/>
      <c r="P531" s="146"/>
      <c r="Q531" s="170"/>
      <c r="R531" s="171"/>
      <c r="S531" s="172"/>
    </row>
    <row r="532" spans="1:19" ht="42.75">
      <c r="A532" s="164" t="s">
        <v>776</v>
      </c>
      <c r="B532" s="165" t="s">
        <v>1063</v>
      </c>
      <c r="C532" s="165" t="s">
        <v>1064</v>
      </c>
      <c r="D532" s="164">
        <v>5283</v>
      </c>
      <c r="E532" s="164">
        <v>6522</v>
      </c>
      <c r="F532" s="164" t="s">
        <v>3404</v>
      </c>
      <c r="G532" s="164">
        <v>2024</v>
      </c>
      <c r="H532" s="175">
        <v>45449</v>
      </c>
      <c r="I532" s="175">
        <v>45450</v>
      </c>
      <c r="J532" s="168" t="s">
        <v>7036</v>
      </c>
      <c r="K532" s="174">
        <v>45462</v>
      </c>
      <c r="L532" s="129" t="s">
        <v>3689</v>
      </c>
      <c r="M532" s="129"/>
      <c r="N532" s="129"/>
      <c r="O532" s="129" t="s">
        <v>3406</v>
      </c>
      <c r="P532" s="146"/>
      <c r="Q532" s="170">
        <v>45462</v>
      </c>
      <c r="R532" s="171"/>
      <c r="S532" s="172"/>
    </row>
    <row r="533" spans="1:19" ht="42.75">
      <c r="A533" s="164" t="s">
        <v>776</v>
      </c>
      <c r="B533" s="165" t="s">
        <v>1063</v>
      </c>
      <c r="C533" s="165" t="s">
        <v>4248</v>
      </c>
      <c r="D533" s="164">
        <v>1708</v>
      </c>
      <c r="E533" s="164">
        <v>1808</v>
      </c>
      <c r="F533" s="164" t="s">
        <v>3404</v>
      </c>
      <c r="G533" s="164">
        <v>2024</v>
      </c>
      <c r="H533" s="175">
        <v>45456</v>
      </c>
      <c r="I533" s="175">
        <v>45456</v>
      </c>
      <c r="J533" s="168" t="s">
        <v>7037</v>
      </c>
      <c r="K533" s="174">
        <v>45463</v>
      </c>
      <c r="L533" s="129" t="s">
        <v>3689</v>
      </c>
      <c r="M533" s="129"/>
      <c r="N533" s="129"/>
      <c r="O533" s="129" t="s">
        <v>3406</v>
      </c>
      <c r="P533" s="146"/>
      <c r="Q533" s="130">
        <v>45463</v>
      </c>
      <c r="R533" s="171"/>
      <c r="S533" s="172"/>
    </row>
    <row r="534" spans="1:19" ht="42.75">
      <c r="A534" s="164" t="s">
        <v>776</v>
      </c>
      <c r="B534" s="165" t="s">
        <v>1063</v>
      </c>
      <c r="C534" s="165" t="s">
        <v>1539</v>
      </c>
      <c r="D534" s="164">
        <v>5321</v>
      </c>
      <c r="E534" s="164">
        <v>6466</v>
      </c>
      <c r="F534" s="164" t="s">
        <v>3404</v>
      </c>
      <c r="G534" s="164">
        <v>2024</v>
      </c>
      <c r="H534" s="175">
        <v>45539</v>
      </c>
      <c r="I534" s="175">
        <v>45539</v>
      </c>
      <c r="J534" s="168" t="s">
        <v>7038</v>
      </c>
      <c r="K534" s="174">
        <v>45552</v>
      </c>
      <c r="L534" s="129" t="s">
        <v>3127</v>
      </c>
      <c r="M534" s="129" t="s">
        <v>4</v>
      </c>
      <c r="N534" s="129" t="s">
        <v>50</v>
      </c>
      <c r="O534" s="129" t="s">
        <v>3406</v>
      </c>
      <c r="P534" s="146"/>
      <c r="Q534" s="170">
        <v>45552</v>
      </c>
      <c r="R534" s="171" t="s">
        <v>150</v>
      </c>
      <c r="S534" s="172"/>
    </row>
    <row r="535" spans="1:19" ht="42.75">
      <c r="A535" s="164" t="s">
        <v>776</v>
      </c>
      <c r="B535" s="165" t="s">
        <v>1063</v>
      </c>
      <c r="C535" s="165" t="s">
        <v>4250</v>
      </c>
      <c r="D535" s="164">
        <v>7114</v>
      </c>
      <c r="E535" s="164">
        <v>7286</v>
      </c>
      <c r="F535" s="164" t="s">
        <v>3955</v>
      </c>
      <c r="G535" s="164"/>
      <c r="H535" s="167"/>
      <c r="I535" s="167"/>
      <c r="J535" s="167"/>
      <c r="K535" s="169"/>
      <c r="L535" s="129"/>
      <c r="M535" s="129"/>
      <c r="N535" s="129" t="s">
        <v>50</v>
      </c>
      <c r="O535" s="129"/>
      <c r="P535" s="146"/>
      <c r="Q535" s="170">
        <v>45525</v>
      </c>
      <c r="R535" s="171"/>
      <c r="S535" s="172"/>
    </row>
    <row r="536" spans="1:19" ht="42.75">
      <c r="A536" s="164" t="s">
        <v>776</v>
      </c>
      <c r="B536" s="165" t="s">
        <v>1063</v>
      </c>
      <c r="C536" s="165" t="s">
        <v>4252</v>
      </c>
      <c r="D536" s="164">
        <v>2364</v>
      </c>
      <c r="E536" s="164">
        <v>2342</v>
      </c>
      <c r="F536" s="164" t="s">
        <v>3955</v>
      </c>
      <c r="G536" s="164"/>
      <c r="H536" s="167"/>
      <c r="I536" s="167"/>
      <c r="J536" s="167"/>
      <c r="K536" s="169"/>
      <c r="L536" s="129"/>
      <c r="M536" s="129"/>
      <c r="N536" s="129"/>
      <c r="O536" s="129"/>
      <c r="P536" s="146"/>
      <c r="Q536" s="170"/>
      <c r="R536" s="171"/>
      <c r="S536" s="172"/>
    </row>
    <row r="537" spans="1:19" ht="42.75">
      <c r="A537" s="164" t="s">
        <v>776</v>
      </c>
      <c r="B537" s="165" t="s">
        <v>1063</v>
      </c>
      <c r="C537" s="165" t="s">
        <v>4254</v>
      </c>
      <c r="D537" s="164">
        <v>1907</v>
      </c>
      <c r="E537" s="164">
        <v>1636</v>
      </c>
      <c r="F537" s="164" t="s">
        <v>3955</v>
      </c>
      <c r="G537" s="164"/>
      <c r="H537" s="167"/>
      <c r="I537" s="167"/>
      <c r="J537" s="167"/>
      <c r="K537" s="169"/>
      <c r="L537" s="129"/>
      <c r="M537" s="129"/>
      <c r="N537" s="129"/>
      <c r="O537" s="129"/>
      <c r="P537" s="146"/>
      <c r="Q537" s="170"/>
      <c r="R537" s="171"/>
      <c r="S537" s="172"/>
    </row>
    <row r="538" spans="1:19" ht="42.75">
      <c r="A538" s="164" t="s">
        <v>776</v>
      </c>
      <c r="B538" s="165" t="s">
        <v>1063</v>
      </c>
      <c r="C538" s="165" t="s">
        <v>4255</v>
      </c>
      <c r="D538" s="164">
        <v>6569</v>
      </c>
      <c r="E538" s="164">
        <v>6494</v>
      </c>
      <c r="F538" s="164" t="s">
        <v>3955</v>
      </c>
      <c r="G538" s="164"/>
      <c r="H538" s="167"/>
      <c r="I538" s="167"/>
      <c r="J538" s="167"/>
      <c r="K538" s="169"/>
      <c r="L538" s="129"/>
      <c r="M538" s="129"/>
      <c r="N538" s="129"/>
      <c r="O538" s="129"/>
      <c r="P538" s="146"/>
      <c r="Q538" s="170"/>
      <c r="R538" s="171"/>
      <c r="S538" s="172"/>
    </row>
    <row r="539" spans="1:19" ht="42.75">
      <c r="A539" s="216" t="s">
        <v>776</v>
      </c>
      <c r="B539" s="165" t="s">
        <v>1063</v>
      </c>
      <c r="C539" s="165" t="s">
        <v>4126</v>
      </c>
      <c r="D539" s="164">
        <v>10336</v>
      </c>
      <c r="E539" s="164">
        <v>10387</v>
      </c>
      <c r="F539" s="164" t="s">
        <v>3955</v>
      </c>
      <c r="G539" s="164"/>
      <c r="H539" s="167"/>
      <c r="I539" s="167"/>
      <c r="J539" s="167"/>
      <c r="K539" s="169"/>
      <c r="L539" s="129"/>
      <c r="M539" s="129"/>
      <c r="N539" s="129"/>
      <c r="O539" s="129"/>
      <c r="P539" s="146"/>
      <c r="Q539" s="170"/>
      <c r="R539" s="171"/>
      <c r="S539" s="172"/>
    </row>
    <row r="540" spans="1:19" ht="42.75">
      <c r="A540" s="164" t="s">
        <v>776</v>
      </c>
      <c r="B540" s="165" t="s">
        <v>1063</v>
      </c>
      <c r="C540" s="165" t="s">
        <v>1180</v>
      </c>
      <c r="D540" s="164">
        <v>8102</v>
      </c>
      <c r="E540" s="164">
        <v>8489</v>
      </c>
      <c r="F540" s="164" t="s">
        <v>3955</v>
      </c>
      <c r="G540" s="164"/>
      <c r="H540" s="167"/>
      <c r="I540" s="167"/>
      <c r="J540" s="167"/>
      <c r="K540" s="169"/>
      <c r="L540" s="129"/>
      <c r="M540" s="129"/>
      <c r="N540" s="129"/>
      <c r="O540" s="129"/>
      <c r="P540" s="146"/>
      <c r="Q540" s="170"/>
      <c r="R540" s="171"/>
      <c r="S540" s="172"/>
    </row>
    <row r="541" spans="1:19" ht="42.75">
      <c r="A541" s="164" t="s">
        <v>776</v>
      </c>
      <c r="B541" s="165" t="s">
        <v>1063</v>
      </c>
      <c r="C541" s="165" t="s">
        <v>858</v>
      </c>
      <c r="D541" s="164">
        <v>4646</v>
      </c>
      <c r="E541" s="164">
        <v>4275</v>
      </c>
      <c r="F541" s="164" t="s">
        <v>3955</v>
      </c>
      <c r="G541" s="164"/>
      <c r="H541" s="167"/>
      <c r="I541" s="167"/>
      <c r="J541" s="167"/>
      <c r="K541" s="169"/>
      <c r="L541" s="129"/>
      <c r="M541" s="129"/>
      <c r="N541" s="129"/>
      <c r="O541" s="129"/>
      <c r="P541" s="146"/>
      <c r="Q541" s="170"/>
      <c r="R541" s="171"/>
      <c r="S541" s="172"/>
    </row>
    <row r="542" spans="1:19" ht="42.75">
      <c r="A542" s="164" t="s">
        <v>776</v>
      </c>
      <c r="B542" s="165" t="s">
        <v>1063</v>
      </c>
      <c r="C542" s="165" t="s">
        <v>918</v>
      </c>
      <c r="D542" s="164">
        <v>3542</v>
      </c>
      <c r="E542" s="164">
        <v>3700</v>
      </c>
      <c r="F542" s="164" t="s">
        <v>3955</v>
      </c>
      <c r="G542" s="164"/>
      <c r="H542" s="167"/>
      <c r="I542" s="167"/>
      <c r="J542" s="167"/>
      <c r="K542" s="169"/>
      <c r="L542" s="129"/>
      <c r="M542" s="129"/>
      <c r="N542" s="129"/>
      <c r="O542" s="129"/>
      <c r="P542" s="146"/>
      <c r="Q542" s="170"/>
      <c r="R542" s="171"/>
      <c r="S542" s="172"/>
    </row>
    <row r="543" spans="1:19" ht="42.75">
      <c r="A543" s="164" t="s">
        <v>776</v>
      </c>
      <c r="B543" s="165" t="s">
        <v>1063</v>
      </c>
      <c r="C543" s="165" t="s">
        <v>1151</v>
      </c>
      <c r="D543" s="164">
        <v>5888</v>
      </c>
      <c r="E543" s="164">
        <v>6167</v>
      </c>
      <c r="F543" s="164" t="s">
        <v>3955</v>
      </c>
      <c r="G543" s="164"/>
      <c r="H543" s="167"/>
      <c r="I543" s="167"/>
      <c r="J543" s="167"/>
      <c r="K543" s="169"/>
      <c r="L543" s="129"/>
      <c r="M543" s="129"/>
      <c r="N543" s="129"/>
      <c r="O543" s="129"/>
      <c r="P543" s="146"/>
      <c r="Q543" s="170"/>
      <c r="R543" s="171"/>
      <c r="S543" s="172"/>
    </row>
    <row r="544" spans="1:19" ht="42.75">
      <c r="A544" s="164" t="s">
        <v>776</v>
      </c>
      <c r="B544" s="165" t="s">
        <v>1063</v>
      </c>
      <c r="C544" s="165" t="s">
        <v>1439</v>
      </c>
      <c r="D544" s="164">
        <v>5113</v>
      </c>
      <c r="E544" s="164">
        <v>4642</v>
      </c>
      <c r="F544" s="164" t="s">
        <v>3955</v>
      </c>
      <c r="G544" s="164"/>
      <c r="H544" s="167"/>
      <c r="I544" s="167"/>
      <c r="J544" s="167"/>
      <c r="K544" s="169"/>
      <c r="L544" s="129"/>
      <c r="M544" s="129"/>
      <c r="N544" s="129"/>
      <c r="O544" s="129"/>
      <c r="P544" s="146"/>
      <c r="Q544" s="170"/>
      <c r="R544" s="171"/>
      <c r="S544" s="172"/>
    </row>
    <row r="545" spans="1:19" ht="42.75">
      <c r="A545" s="164" t="s">
        <v>776</v>
      </c>
      <c r="B545" s="165" t="s">
        <v>1063</v>
      </c>
      <c r="C545" s="165" t="s">
        <v>3723</v>
      </c>
      <c r="D545" s="164">
        <v>3346</v>
      </c>
      <c r="E545" s="164">
        <v>3470</v>
      </c>
      <c r="F545" s="164" t="s">
        <v>3955</v>
      </c>
      <c r="G545" s="164"/>
      <c r="H545" s="167"/>
      <c r="I545" s="167"/>
      <c r="J545" s="167"/>
      <c r="K545" s="169"/>
      <c r="L545" s="129"/>
      <c r="M545" s="129"/>
      <c r="N545" s="129"/>
      <c r="O545" s="129"/>
      <c r="P545" s="146"/>
      <c r="Q545" s="170"/>
      <c r="R545" s="171"/>
      <c r="S545" s="172"/>
    </row>
    <row r="546" spans="1:19" ht="42.75">
      <c r="A546" s="164" t="s">
        <v>776</v>
      </c>
      <c r="B546" s="165" t="s">
        <v>1063</v>
      </c>
      <c r="C546" s="165" t="s">
        <v>1234</v>
      </c>
      <c r="D546" s="164">
        <v>5957</v>
      </c>
      <c r="E546" s="164">
        <v>5754</v>
      </c>
      <c r="F546" s="164" t="s">
        <v>3955</v>
      </c>
      <c r="G546" s="164"/>
      <c r="H546" s="167"/>
      <c r="I546" s="167"/>
      <c r="J546" s="167"/>
      <c r="K546" s="169"/>
      <c r="L546" s="129"/>
      <c r="M546" s="129"/>
      <c r="N546" s="129"/>
      <c r="O546" s="129"/>
      <c r="P546" s="146"/>
      <c r="Q546" s="170"/>
      <c r="R546" s="171"/>
      <c r="S546" s="172"/>
    </row>
    <row r="547" spans="1:19" ht="42.75">
      <c r="A547" s="216" t="s">
        <v>776</v>
      </c>
      <c r="B547" s="165" t="s">
        <v>1063</v>
      </c>
      <c r="C547" s="165" t="s">
        <v>1253</v>
      </c>
      <c r="D547" s="164">
        <v>5042</v>
      </c>
      <c r="E547" s="164">
        <v>5698</v>
      </c>
      <c r="F547" s="164" t="s">
        <v>3404</v>
      </c>
      <c r="G547" s="164">
        <v>2024</v>
      </c>
      <c r="H547" s="175">
        <v>45483</v>
      </c>
      <c r="I547" s="175">
        <v>45484</v>
      </c>
      <c r="J547" s="168" t="s">
        <v>7039</v>
      </c>
      <c r="K547" s="174">
        <v>45489</v>
      </c>
      <c r="L547" s="129" t="s">
        <v>3125</v>
      </c>
      <c r="M547" s="129" t="s">
        <v>4</v>
      </c>
      <c r="N547" s="129" t="s">
        <v>50</v>
      </c>
      <c r="O547" s="129" t="s">
        <v>3406</v>
      </c>
      <c r="P547" s="146"/>
      <c r="Q547" s="170">
        <v>45490</v>
      </c>
      <c r="R547" s="171"/>
      <c r="S547" s="172"/>
    </row>
    <row r="548" spans="1:19" ht="42.75">
      <c r="A548" s="164" t="s">
        <v>776</v>
      </c>
      <c r="B548" s="165" t="s">
        <v>1063</v>
      </c>
      <c r="C548" s="165" t="s">
        <v>3974</v>
      </c>
      <c r="D548" s="164">
        <v>4908</v>
      </c>
      <c r="E548" s="164">
        <v>5197</v>
      </c>
      <c r="F548" s="164" t="s">
        <v>3955</v>
      </c>
      <c r="G548" s="164"/>
      <c r="H548" s="167"/>
      <c r="I548" s="167"/>
      <c r="J548" s="167"/>
      <c r="K548" s="169"/>
      <c r="L548" s="129"/>
      <c r="M548" s="129"/>
      <c r="N548" s="129"/>
      <c r="O548" s="129"/>
      <c r="P548" s="146"/>
      <c r="Q548" s="170"/>
      <c r="R548" s="171"/>
      <c r="S548" s="172"/>
    </row>
    <row r="549" spans="1:19" ht="42.75">
      <c r="A549" s="164" t="s">
        <v>776</v>
      </c>
      <c r="B549" s="165" t="s">
        <v>1063</v>
      </c>
      <c r="C549" s="165" t="s">
        <v>4258</v>
      </c>
      <c r="D549" s="164">
        <v>8193</v>
      </c>
      <c r="E549" s="164">
        <v>7522</v>
      </c>
      <c r="F549" s="164" t="s">
        <v>3955</v>
      </c>
      <c r="G549" s="164"/>
      <c r="H549" s="167"/>
      <c r="I549" s="167"/>
      <c r="J549" s="167"/>
      <c r="K549" s="169"/>
      <c r="L549" s="129"/>
      <c r="M549" s="129"/>
      <c r="N549" s="129"/>
      <c r="O549" s="129"/>
      <c r="P549" s="146"/>
      <c r="Q549" s="170"/>
      <c r="R549" s="171"/>
      <c r="S549" s="172"/>
    </row>
    <row r="550" spans="1:19" ht="42.75">
      <c r="A550" s="164" t="s">
        <v>776</v>
      </c>
      <c r="B550" s="165" t="s">
        <v>1063</v>
      </c>
      <c r="C550" s="165" t="s">
        <v>1899</v>
      </c>
      <c r="D550" s="164">
        <v>3484</v>
      </c>
      <c r="E550" s="164">
        <v>3223</v>
      </c>
      <c r="F550" s="164" t="s">
        <v>3955</v>
      </c>
      <c r="G550" s="164"/>
      <c r="H550" s="167"/>
      <c r="I550" s="167"/>
      <c r="J550" s="167"/>
      <c r="K550" s="169"/>
      <c r="L550" s="129"/>
      <c r="M550" s="129"/>
      <c r="N550" s="129"/>
      <c r="O550" s="129"/>
      <c r="P550" s="146"/>
      <c r="Q550" s="170"/>
      <c r="R550" s="171"/>
      <c r="S550" s="172"/>
    </row>
    <row r="551" spans="1:19" ht="42.75">
      <c r="A551" s="164" t="s">
        <v>776</v>
      </c>
      <c r="B551" s="165" t="s">
        <v>1063</v>
      </c>
      <c r="C551" s="165" t="s">
        <v>3880</v>
      </c>
      <c r="D551" s="164">
        <v>4918</v>
      </c>
      <c r="E551" s="164">
        <v>5494</v>
      </c>
      <c r="F551" s="164" t="s">
        <v>3955</v>
      </c>
      <c r="G551" s="164"/>
      <c r="H551" s="167"/>
      <c r="I551" s="167"/>
      <c r="J551" s="167"/>
      <c r="K551" s="169"/>
      <c r="L551" s="129"/>
      <c r="M551" s="129"/>
      <c r="N551" s="129"/>
      <c r="O551" s="129"/>
      <c r="P551" s="146"/>
      <c r="Q551" s="170"/>
      <c r="R551" s="171"/>
      <c r="S551" s="172"/>
    </row>
    <row r="552" spans="1:19" ht="42.75">
      <c r="A552" s="216" t="s">
        <v>776</v>
      </c>
      <c r="B552" s="165" t="s">
        <v>1063</v>
      </c>
      <c r="C552" s="165" t="s">
        <v>1424</v>
      </c>
      <c r="D552" s="164">
        <v>8317</v>
      </c>
      <c r="E552" s="164">
        <v>8168</v>
      </c>
      <c r="F552" s="164" t="s">
        <v>3955</v>
      </c>
      <c r="G552" s="164"/>
      <c r="H552" s="167"/>
      <c r="I552" s="167"/>
      <c r="J552" s="167"/>
      <c r="K552" s="169"/>
      <c r="L552" s="129"/>
      <c r="M552" s="129"/>
      <c r="N552" s="129"/>
      <c r="O552" s="129"/>
      <c r="P552" s="146"/>
      <c r="Q552" s="170"/>
      <c r="R552" s="171"/>
      <c r="S552" s="172"/>
    </row>
    <row r="553" spans="1:19" ht="42.75">
      <c r="A553" s="164" t="s">
        <v>776</v>
      </c>
      <c r="B553" s="165" t="s">
        <v>1063</v>
      </c>
      <c r="C553" s="165" t="s">
        <v>4130</v>
      </c>
      <c r="D553" s="164">
        <v>4415</v>
      </c>
      <c r="E553" s="164">
        <v>4554</v>
      </c>
      <c r="F553" s="164" t="s">
        <v>3955</v>
      </c>
      <c r="G553" s="164"/>
      <c r="H553" s="167"/>
      <c r="I553" s="167"/>
      <c r="J553" s="167"/>
      <c r="K553" s="169"/>
      <c r="L553" s="129"/>
      <c r="M553" s="129"/>
      <c r="N553" s="129"/>
      <c r="O553" s="129"/>
      <c r="P553" s="146"/>
      <c r="Q553" s="170"/>
      <c r="R553" s="171"/>
      <c r="S553" s="172"/>
    </row>
    <row r="554" spans="1:19" ht="42.75">
      <c r="A554" s="164" t="s">
        <v>776</v>
      </c>
      <c r="B554" s="165" t="s">
        <v>1063</v>
      </c>
      <c r="C554" s="165" t="s">
        <v>4261</v>
      </c>
      <c r="D554" s="164">
        <v>5251</v>
      </c>
      <c r="E554" s="164">
        <v>5052</v>
      </c>
      <c r="F554" s="164" t="s">
        <v>3955</v>
      </c>
      <c r="G554" s="164"/>
      <c r="H554" s="167"/>
      <c r="I554" s="167"/>
      <c r="J554" s="167"/>
      <c r="K554" s="169"/>
      <c r="L554" s="129"/>
      <c r="M554" s="129"/>
      <c r="N554" s="129"/>
      <c r="O554" s="129"/>
      <c r="P554" s="146"/>
      <c r="Q554" s="170"/>
      <c r="R554" s="171"/>
      <c r="S554" s="172"/>
    </row>
    <row r="555" spans="1:19" ht="42.75">
      <c r="A555" s="164" t="s">
        <v>776</v>
      </c>
      <c r="B555" s="165" t="s">
        <v>1063</v>
      </c>
      <c r="C555" s="165" t="s">
        <v>4262</v>
      </c>
      <c r="D555" s="164">
        <v>2635</v>
      </c>
      <c r="E555" s="164">
        <v>3011</v>
      </c>
      <c r="F555" s="164" t="s">
        <v>3955</v>
      </c>
      <c r="G555" s="164"/>
      <c r="H555" s="167"/>
      <c r="I555" s="167"/>
      <c r="J555" s="167"/>
      <c r="K555" s="169"/>
      <c r="L555" s="129"/>
      <c r="M555" s="129"/>
      <c r="N555" s="129"/>
      <c r="O555" s="129"/>
      <c r="P555" s="146"/>
      <c r="Q555" s="170"/>
      <c r="R555" s="171"/>
      <c r="S555" s="172"/>
    </row>
    <row r="556" spans="1:19" ht="42.75">
      <c r="A556" s="164" t="s">
        <v>776</v>
      </c>
      <c r="B556" s="165" t="s">
        <v>1063</v>
      </c>
      <c r="C556" s="165" t="s">
        <v>4263</v>
      </c>
      <c r="D556" s="164">
        <v>2884</v>
      </c>
      <c r="E556" s="164">
        <v>3300</v>
      </c>
      <c r="F556" s="164" t="s">
        <v>3955</v>
      </c>
      <c r="G556" s="164"/>
      <c r="H556" s="167"/>
      <c r="I556" s="167"/>
      <c r="J556" s="167"/>
      <c r="K556" s="169"/>
      <c r="L556" s="129"/>
      <c r="M556" s="129"/>
      <c r="N556" s="129"/>
      <c r="O556" s="129"/>
      <c r="P556" s="146"/>
      <c r="Q556" s="170"/>
      <c r="R556" s="171"/>
      <c r="S556" s="172"/>
    </row>
    <row r="557" spans="1:19" ht="42.75">
      <c r="A557" s="164" t="s">
        <v>776</v>
      </c>
      <c r="B557" s="165" t="s">
        <v>1063</v>
      </c>
      <c r="C557" s="165" t="s">
        <v>4249</v>
      </c>
      <c r="D557" s="164">
        <v>2564</v>
      </c>
      <c r="E557" s="164">
        <v>2791</v>
      </c>
      <c r="F557" s="164" t="s">
        <v>3404</v>
      </c>
      <c r="G557" s="164">
        <v>2024</v>
      </c>
      <c r="H557" s="175">
        <v>45539</v>
      </c>
      <c r="I557" s="175">
        <v>45539</v>
      </c>
      <c r="J557" s="168" t="s">
        <v>7040</v>
      </c>
      <c r="K557" s="174">
        <v>45552</v>
      </c>
      <c r="L557" s="129" t="s">
        <v>3127</v>
      </c>
      <c r="M557" s="129" t="s">
        <v>4</v>
      </c>
      <c r="N557" s="129" t="s">
        <v>50</v>
      </c>
      <c r="O557" s="129" t="s">
        <v>3406</v>
      </c>
      <c r="P557" s="146"/>
      <c r="Q557" s="170">
        <v>45552</v>
      </c>
      <c r="R557" s="171" t="s">
        <v>150</v>
      </c>
      <c r="S557" s="172"/>
    </row>
    <row r="558" spans="1:19" ht="42.75">
      <c r="A558" s="164" t="s">
        <v>776</v>
      </c>
      <c r="B558" s="165" t="s">
        <v>4078</v>
      </c>
      <c r="C558" s="165" t="s">
        <v>4081</v>
      </c>
      <c r="D558" s="164">
        <v>3078</v>
      </c>
      <c r="E558" s="164">
        <v>3013</v>
      </c>
      <c r="F558" s="164" t="s">
        <v>3955</v>
      </c>
      <c r="G558" s="164"/>
      <c r="H558" s="167"/>
      <c r="I558" s="167"/>
      <c r="J558" s="167"/>
      <c r="K558" s="169"/>
      <c r="L558" s="129"/>
      <c r="M558" s="129"/>
      <c r="N558" s="129"/>
      <c r="O558" s="129"/>
      <c r="P558" s="146"/>
      <c r="Q558" s="170"/>
      <c r="R558" s="171"/>
      <c r="S558" s="172"/>
    </row>
    <row r="559" spans="1:19" ht="42.75">
      <c r="A559" s="164" t="s">
        <v>776</v>
      </c>
      <c r="B559" s="165" t="s">
        <v>4078</v>
      </c>
      <c r="C559" s="165" t="s">
        <v>4083</v>
      </c>
      <c r="D559" s="164">
        <v>5294</v>
      </c>
      <c r="E559" s="164">
        <v>4675</v>
      </c>
      <c r="F559" s="164" t="s">
        <v>3955</v>
      </c>
      <c r="G559" s="164"/>
      <c r="H559" s="167"/>
      <c r="I559" s="167"/>
      <c r="J559" s="167"/>
      <c r="K559" s="169"/>
      <c r="L559" s="129"/>
      <c r="M559" s="129"/>
      <c r="N559" s="129"/>
      <c r="O559" s="129"/>
      <c r="P559" s="146"/>
      <c r="Q559" s="170"/>
      <c r="R559" s="171"/>
      <c r="S559" s="172"/>
    </row>
    <row r="560" spans="1:19" ht="42.75">
      <c r="A560" s="164" t="s">
        <v>776</v>
      </c>
      <c r="B560" s="165" t="s">
        <v>4078</v>
      </c>
      <c r="C560" s="165" t="s">
        <v>4085</v>
      </c>
      <c r="D560" s="164">
        <v>958</v>
      </c>
      <c r="E560" s="164">
        <v>741</v>
      </c>
      <c r="F560" s="164" t="s">
        <v>3955</v>
      </c>
      <c r="G560" s="164"/>
      <c r="H560" s="167"/>
      <c r="I560" s="167"/>
      <c r="J560" s="167"/>
      <c r="K560" s="169"/>
      <c r="L560" s="129"/>
      <c r="M560" s="129"/>
      <c r="N560" s="129"/>
      <c r="O560" s="129"/>
      <c r="P560" s="146"/>
      <c r="Q560" s="170"/>
      <c r="R560" s="171"/>
      <c r="S560" s="172"/>
    </row>
    <row r="561" spans="1:19" ht="42.75">
      <c r="A561" s="164" t="s">
        <v>776</v>
      </c>
      <c r="B561" s="165" t="s">
        <v>4078</v>
      </c>
      <c r="C561" s="165" t="s">
        <v>4086</v>
      </c>
      <c r="D561" s="164">
        <v>5321</v>
      </c>
      <c r="E561" s="164">
        <v>4947</v>
      </c>
      <c r="F561" s="164" t="s">
        <v>3955</v>
      </c>
      <c r="G561" s="164"/>
      <c r="H561" s="167"/>
      <c r="I561" s="167"/>
      <c r="J561" s="167"/>
      <c r="K561" s="169"/>
      <c r="L561" s="129"/>
      <c r="M561" s="129"/>
      <c r="N561" s="129"/>
      <c r="O561" s="129"/>
      <c r="P561" s="146"/>
      <c r="Q561" s="170"/>
      <c r="R561" s="171"/>
      <c r="S561" s="172"/>
    </row>
    <row r="562" spans="1:19" ht="42.75">
      <c r="A562" s="164" t="s">
        <v>776</v>
      </c>
      <c r="B562" s="165" t="s">
        <v>4078</v>
      </c>
      <c r="C562" s="165" t="s">
        <v>4087</v>
      </c>
      <c r="D562" s="164">
        <v>3688</v>
      </c>
      <c r="E562" s="164">
        <v>3068</v>
      </c>
      <c r="F562" s="164" t="s">
        <v>3955</v>
      </c>
      <c r="G562" s="164"/>
      <c r="H562" s="167"/>
      <c r="I562" s="167"/>
      <c r="J562" s="167"/>
      <c r="K562" s="169"/>
      <c r="L562" s="129"/>
      <c r="M562" s="129"/>
      <c r="N562" s="129"/>
      <c r="O562" s="129"/>
      <c r="P562" s="146"/>
      <c r="Q562" s="170"/>
      <c r="R562" s="171"/>
      <c r="S562" s="172"/>
    </row>
    <row r="563" spans="1:19" ht="42.75">
      <c r="A563" s="164" t="s">
        <v>776</v>
      </c>
      <c r="B563" s="165" t="s">
        <v>4078</v>
      </c>
      <c r="C563" s="165" t="s">
        <v>4089</v>
      </c>
      <c r="D563" s="164">
        <v>3338</v>
      </c>
      <c r="E563" s="164">
        <v>3549</v>
      </c>
      <c r="F563" s="164" t="s">
        <v>3955</v>
      </c>
      <c r="G563" s="164"/>
      <c r="H563" s="167"/>
      <c r="I563" s="167"/>
      <c r="J563" s="167"/>
      <c r="K563" s="169"/>
      <c r="L563" s="129"/>
      <c r="M563" s="129"/>
      <c r="N563" s="129"/>
      <c r="O563" s="129"/>
      <c r="P563" s="146"/>
      <c r="Q563" s="170"/>
      <c r="R563" s="171"/>
      <c r="S563" s="172"/>
    </row>
    <row r="564" spans="1:19" ht="42.75">
      <c r="A564" s="164" t="s">
        <v>776</v>
      </c>
      <c r="B564" s="165" t="s">
        <v>4078</v>
      </c>
      <c r="C564" s="165" t="s">
        <v>4045</v>
      </c>
      <c r="D564" s="164">
        <v>2813</v>
      </c>
      <c r="E564" s="164">
        <v>3468</v>
      </c>
      <c r="F564" s="164" t="s">
        <v>3955</v>
      </c>
      <c r="G564" s="164"/>
      <c r="H564" s="167"/>
      <c r="I564" s="167"/>
      <c r="J564" s="167"/>
      <c r="K564" s="169"/>
      <c r="L564" s="129"/>
      <c r="M564" s="129"/>
      <c r="N564" s="129"/>
      <c r="O564" s="129"/>
      <c r="P564" s="146"/>
      <c r="Q564" s="170"/>
      <c r="R564" s="171"/>
      <c r="S564" s="172"/>
    </row>
    <row r="565" spans="1:19" ht="42.75">
      <c r="A565" s="164" t="s">
        <v>776</v>
      </c>
      <c r="B565" s="165" t="s">
        <v>4078</v>
      </c>
      <c r="C565" s="165" t="s">
        <v>3591</v>
      </c>
      <c r="D565" s="164">
        <v>12437</v>
      </c>
      <c r="E565" s="164">
        <v>12322</v>
      </c>
      <c r="F565" s="164" t="s">
        <v>3955</v>
      </c>
      <c r="G565" s="164"/>
      <c r="H565" s="167"/>
      <c r="I565" s="167"/>
      <c r="J565" s="167"/>
      <c r="K565" s="169"/>
      <c r="L565" s="129"/>
      <c r="M565" s="129"/>
      <c r="N565" s="129"/>
      <c r="O565" s="129"/>
      <c r="P565" s="146"/>
      <c r="Q565" s="170"/>
      <c r="R565" s="171"/>
      <c r="S565" s="172"/>
    </row>
    <row r="566" spans="1:19" ht="42.75">
      <c r="A566" s="164" t="s">
        <v>776</v>
      </c>
      <c r="B566" s="165" t="s">
        <v>4078</v>
      </c>
      <c r="C566" s="165" t="s">
        <v>4079</v>
      </c>
      <c r="D566" s="164">
        <v>5833</v>
      </c>
      <c r="E566" s="164">
        <v>5852</v>
      </c>
      <c r="F566" s="164" t="s">
        <v>3955</v>
      </c>
      <c r="G566" s="164"/>
      <c r="H566" s="167"/>
      <c r="I566" s="167"/>
      <c r="J566" s="167"/>
      <c r="K566" s="169"/>
      <c r="L566" s="129"/>
      <c r="M566" s="129"/>
      <c r="N566" s="129"/>
      <c r="O566" s="129"/>
      <c r="P566" s="146"/>
      <c r="Q566" s="170"/>
      <c r="R566" s="171"/>
      <c r="S566" s="172"/>
    </row>
    <row r="567" spans="1:19" ht="42.75">
      <c r="A567" s="164" t="s">
        <v>776</v>
      </c>
      <c r="B567" s="165" t="s">
        <v>4078</v>
      </c>
      <c r="C567" s="165" t="s">
        <v>1136</v>
      </c>
      <c r="D567" s="164">
        <v>13510</v>
      </c>
      <c r="E567" s="164">
        <v>15865</v>
      </c>
      <c r="F567" s="164" t="s">
        <v>3404</v>
      </c>
      <c r="G567" s="164">
        <v>2024</v>
      </c>
      <c r="H567" s="175">
        <v>45573</v>
      </c>
      <c r="I567" s="175">
        <v>45573</v>
      </c>
      <c r="J567" s="168" t="s">
        <v>7041</v>
      </c>
      <c r="K567" s="174">
        <v>45574</v>
      </c>
      <c r="L567" s="129" t="s">
        <v>3128</v>
      </c>
      <c r="M567" s="129" t="s">
        <v>6701</v>
      </c>
      <c r="N567" s="129"/>
      <c r="O567" s="129" t="s">
        <v>3406</v>
      </c>
      <c r="P567" s="146"/>
      <c r="Q567" s="130">
        <v>45575</v>
      </c>
      <c r="R567" s="170" t="s">
        <v>150</v>
      </c>
      <c r="S567" s="163"/>
    </row>
    <row r="568" spans="1:19" ht="42.75">
      <c r="A568" s="164" t="s">
        <v>776</v>
      </c>
      <c r="B568" s="165" t="s">
        <v>4078</v>
      </c>
      <c r="C568" s="165" t="s">
        <v>4094</v>
      </c>
      <c r="D568" s="164">
        <v>2965</v>
      </c>
      <c r="E568" s="164">
        <v>3025</v>
      </c>
      <c r="F568" s="164" t="s">
        <v>3404</v>
      </c>
      <c r="G568" s="164">
        <v>2024</v>
      </c>
      <c r="H568" s="175">
        <v>45427</v>
      </c>
      <c r="I568" s="175">
        <v>45427</v>
      </c>
      <c r="J568" s="168" t="s">
        <v>7042</v>
      </c>
      <c r="K568" s="174">
        <v>45428</v>
      </c>
      <c r="L568" s="129" t="s">
        <v>3532</v>
      </c>
      <c r="M568" s="129"/>
      <c r="N568" s="129"/>
      <c r="O568" s="129" t="s">
        <v>3406</v>
      </c>
      <c r="P568" s="146"/>
      <c r="Q568" s="170"/>
      <c r="R568" s="171"/>
      <c r="S568" s="172"/>
    </row>
    <row r="569" spans="1:19" ht="42.75">
      <c r="A569" s="216" t="s">
        <v>776</v>
      </c>
      <c r="B569" s="165" t="s">
        <v>4078</v>
      </c>
      <c r="C569" s="165" t="s">
        <v>4101</v>
      </c>
      <c r="D569" s="164">
        <v>5352</v>
      </c>
      <c r="E569" s="164">
        <v>6806</v>
      </c>
      <c r="F569" s="164" t="s">
        <v>3955</v>
      </c>
      <c r="G569" s="164"/>
      <c r="H569" s="167"/>
      <c r="I569" s="167"/>
      <c r="J569" s="167"/>
      <c r="K569" s="169"/>
      <c r="L569" s="129"/>
      <c r="M569" s="129"/>
      <c r="N569" s="129"/>
      <c r="O569" s="129"/>
      <c r="P569" s="146"/>
      <c r="Q569" s="170"/>
      <c r="R569" s="171"/>
      <c r="S569" s="172"/>
    </row>
    <row r="570" spans="1:19" ht="42.75">
      <c r="A570" s="164" t="s">
        <v>776</v>
      </c>
      <c r="B570" s="165" t="s">
        <v>4078</v>
      </c>
      <c r="C570" s="165" t="s">
        <v>4092</v>
      </c>
      <c r="D570" s="164">
        <v>4086</v>
      </c>
      <c r="E570" s="164">
        <v>4217</v>
      </c>
      <c r="F570" s="164" t="s">
        <v>3955</v>
      </c>
      <c r="G570" s="164"/>
      <c r="H570" s="167"/>
      <c r="I570" s="167"/>
      <c r="J570" s="167"/>
      <c r="K570" s="169"/>
      <c r="L570" s="129"/>
      <c r="M570" s="129"/>
      <c r="N570" s="129"/>
      <c r="O570" s="129"/>
      <c r="P570" s="146"/>
      <c r="Q570" s="170"/>
      <c r="R570" s="171"/>
      <c r="S570" s="172"/>
    </row>
    <row r="571" spans="1:19" ht="42.75">
      <c r="A571" s="164" t="s">
        <v>776</v>
      </c>
      <c r="B571" s="165" t="s">
        <v>4078</v>
      </c>
      <c r="C571" s="165" t="s">
        <v>1083</v>
      </c>
      <c r="D571" s="164">
        <v>6899</v>
      </c>
      <c r="E571" s="164">
        <v>7348</v>
      </c>
      <c r="F571" s="164" t="s">
        <v>3404</v>
      </c>
      <c r="G571" s="164">
        <v>2024</v>
      </c>
      <c r="H571" s="175">
        <v>45393</v>
      </c>
      <c r="I571" s="175">
        <v>45396</v>
      </c>
      <c r="J571" s="168" t="s">
        <v>7043</v>
      </c>
      <c r="K571" s="174">
        <v>45398</v>
      </c>
      <c r="L571" s="129" t="s">
        <v>3470</v>
      </c>
      <c r="M571" s="129"/>
      <c r="N571" s="129"/>
      <c r="O571" s="129" t="s">
        <v>3406</v>
      </c>
      <c r="P571" s="146"/>
      <c r="Q571" s="170"/>
      <c r="R571" s="171"/>
      <c r="S571" s="172"/>
    </row>
    <row r="572" spans="1:19" ht="42.75">
      <c r="A572" s="164" t="s">
        <v>776</v>
      </c>
      <c r="B572" s="165" t="s">
        <v>4078</v>
      </c>
      <c r="C572" s="165" t="s">
        <v>4095</v>
      </c>
      <c r="D572" s="164">
        <v>1281</v>
      </c>
      <c r="E572" s="164">
        <v>1316</v>
      </c>
      <c r="F572" s="164" t="s">
        <v>3955</v>
      </c>
      <c r="G572" s="164"/>
      <c r="H572" s="167"/>
      <c r="I572" s="167"/>
      <c r="J572" s="167"/>
      <c r="K572" s="169"/>
      <c r="L572" s="129"/>
      <c r="M572" s="129"/>
      <c r="N572" s="129"/>
      <c r="O572" s="129"/>
      <c r="P572" s="146"/>
      <c r="Q572" s="170"/>
      <c r="R572" s="171"/>
      <c r="S572" s="172"/>
    </row>
    <row r="573" spans="1:19" ht="42.75">
      <c r="A573" s="164" t="s">
        <v>776</v>
      </c>
      <c r="B573" s="165" t="s">
        <v>4078</v>
      </c>
      <c r="C573" s="165" t="s">
        <v>4096</v>
      </c>
      <c r="D573" s="164">
        <v>302</v>
      </c>
      <c r="E573" s="164">
        <v>498</v>
      </c>
      <c r="F573" s="164" t="s">
        <v>3955</v>
      </c>
      <c r="G573" s="164"/>
      <c r="H573" s="167"/>
      <c r="I573" s="167"/>
      <c r="J573" s="167"/>
      <c r="K573" s="169"/>
      <c r="L573" s="129"/>
      <c r="M573" s="129"/>
      <c r="N573" s="129"/>
      <c r="O573" s="129"/>
      <c r="P573" s="146"/>
      <c r="Q573" s="170"/>
      <c r="R573" s="171"/>
      <c r="S573" s="172"/>
    </row>
    <row r="574" spans="1:19" ht="42.75">
      <c r="A574" s="164" t="s">
        <v>776</v>
      </c>
      <c r="B574" s="165" t="s">
        <v>4078</v>
      </c>
      <c r="C574" s="165" t="s">
        <v>4097</v>
      </c>
      <c r="D574" s="164">
        <v>4124</v>
      </c>
      <c r="E574" s="164">
        <v>3632</v>
      </c>
      <c r="F574" s="164" t="s">
        <v>3955</v>
      </c>
      <c r="G574" s="164"/>
      <c r="H574" s="167"/>
      <c r="I574" s="167"/>
      <c r="J574" s="167"/>
      <c r="K574" s="169"/>
      <c r="L574" s="129"/>
      <c r="M574" s="129"/>
      <c r="N574" s="129"/>
      <c r="O574" s="129"/>
      <c r="P574" s="146"/>
      <c r="Q574" s="170"/>
      <c r="R574" s="171"/>
      <c r="S574" s="172"/>
    </row>
    <row r="575" spans="1:19" ht="42.75">
      <c r="A575" s="164" t="s">
        <v>776</v>
      </c>
      <c r="B575" s="165" t="s">
        <v>4078</v>
      </c>
      <c r="C575" s="165" t="s">
        <v>4053</v>
      </c>
      <c r="D575" s="164">
        <v>5132</v>
      </c>
      <c r="E575" s="164">
        <v>5219</v>
      </c>
      <c r="F575" s="164" t="s">
        <v>3404</v>
      </c>
      <c r="G575" s="164">
        <v>2024</v>
      </c>
      <c r="H575" s="175">
        <v>45573</v>
      </c>
      <c r="I575" s="175">
        <v>45573</v>
      </c>
      <c r="J575" s="168" t="s">
        <v>7044</v>
      </c>
      <c r="K575" s="174">
        <v>45574</v>
      </c>
      <c r="L575" s="129" t="s">
        <v>3128</v>
      </c>
      <c r="M575" s="129" t="s">
        <v>6701</v>
      </c>
      <c r="N575" s="129"/>
      <c r="O575" s="129" t="s">
        <v>3406</v>
      </c>
      <c r="P575" s="129" t="s">
        <v>4098</v>
      </c>
      <c r="Q575" s="189">
        <v>45574</v>
      </c>
      <c r="R575" s="170" t="s">
        <v>150</v>
      </c>
      <c r="S575" s="163"/>
    </row>
    <row r="576" spans="1:19" ht="42.75">
      <c r="A576" s="164" t="s">
        <v>776</v>
      </c>
      <c r="B576" s="165" t="s">
        <v>4078</v>
      </c>
      <c r="C576" s="165" t="s">
        <v>4099</v>
      </c>
      <c r="D576" s="164">
        <v>2382</v>
      </c>
      <c r="E576" s="164">
        <v>2248</v>
      </c>
      <c r="F576" s="164" t="s">
        <v>3404</v>
      </c>
      <c r="G576" s="164">
        <v>2024</v>
      </c>
      <c r="H576" s="175">
        <v>45573</v>
      </c>
      <c r="I576" s="175">
        <v>45573</v>
      </c>
      <c r="J576" s="168" t="s">
        <v>7045</v>
      </c>
      <c r="K576" s="174">
        <v>45580</v>
      </c>
      <c r="L576" s="129" t="s">
        <v>3128</v>
      </c>
      <c r="M576" s="129" t="s">
        <v>4</v>
      </c>
      <c r="N576" s="129" t="s">
        <v>50</v>
      </c>
      <c r="O576" s="129" t="s">
        <v>3406</v>
      </c>
      <c r="P576" s="146"/>
      <c r="Q576" s="130">
        <v>45580</v>
      </c>
      <c r="R576" s="170" t="s">
        <v>150</v>
      </c>
      <c r="S576" s="163"/>
    </row>
    <row r="577" spans="1:19" ht="42.75">
      <c r="A577" s="164" t="s">
        <v>776</v>
      </c>
      <c r="B577" s="165" t="s">
        <v>4078</v>
      </c>
      <c r="C577" s="165" t="s">
        <v>4105</v>
      </c>
      <c r="D577" s="164">
        <v>6624</v>
      </c>
      <c r="E577" s="164">
        <v>6656</v>
      </c>
      <c r="F577" s="164" t="s">
        <v>3955</v>
      </c>
      <c r="G577" s="164"/>
      <c r="H577" s="167"/>
      <c r="I577" s="167"/>
      <c r="J577" s="167"/>
      <c r="K577" s="169"/>
      <c r="L577" s="129"/>
      <c r="M577" s="129"/>
      <c r="N577" s="129"/>
      <c r="O577" s="129"/>
      <c r="P577" s="146"/>
      <c r="Q577" s="170"/>
      <c r="R577" s="171"/>
      <c r="S577" s="172"/>
    </row>
    <row r="578" spans="1:19" ht="42.75">
      <c r="A578" s="164" t="s">
        <v>776</v>
      </c>
      <c r="B578" s="165" t="s">
        <v>4078</v>
      </c>
      <c r="C578" s="165" t="s">
        <v>3897</v>
      </c>
      <c r="D578" s="164">
        <v>1661</v>
      </c>
      <c r="E578" s="164">
        <v>1338</v>
      </c>
      <c r="F578" s="164" t="s">
        <v>3955</v>
      </c>
      <c r="G578" s="164"/>
      <c r="H578" s="167"/>
      <c r="I578" s="167"/>
      <c r="J578" s="167"/>
      <c r="K578" s="169"/>
      <c r="L578" s="129"/>
      <c r="M578" s="129"/>
      <c r="N578" s="129"/>
      <c r="O578" s="129"/>
      <c r="P578" s="146"/>
      <c r="Q578" s="170"/>
      <c r="R578" s="171"/>
      <c r="S578" s="172"/>
    </row>
    <row r="579" spans="1:19" ht="42.75">
      <c r="A579" s="164" t="s">
        <v>776</v>
      </c>
      <c r="B579" s="165" t="s">
        <v>4078</v>
      </c>
      <c r="C579" s="165" t="s">
        <v>1831</v>
      </c>
      <c r="D579" s="164">
        <v>14864</v>
      </c>
      <c r="E579" s="164">
        <v>16999</v>
      </c>
      <c r="F579" s="164" t="s">
        <v>3404</v>
      </c>
      <c r="G579" s="164">
        <v>2024</v>
      </c>
      <c r="H579" s="175">
        <v>45573</v>
      </c>
      <c r="I579" s="175">
        <v>45573</v>
      </c>
      <c r="J579" s="168" t="s">
        <v>7046</v>
      </c>
      <c r="K579" s="174">
        <v>45580</v>
      </c>
      <c r="L579" s="129" t="s">
        <v>3128</v>
      </c>
      <c r="M579" s="129" t="s">
        <v>6701</v>
      </c>
      <c r="N579" s="129"/>
      <c r="O579" s="129" t="s">
        <v>3406</v>
      </c>
      <c r="P579" s="146"/>
      <c r="Q579" s="130">
        <v>45580</v>
      </c>
      <c r="R579" s="170" t="s">
        <v>150</v>
      </c>
      <c r="S579" s="163"/>
    </row>
    <row r="580" spans="1:19" ht="42.75">
      <c r="A580" s="164" t="s">
        <v>776</v>
      </c>
      <c r="B580" s="165" t="s">
        <v>4078</v>
      </c>
      <c r="C580" s="165" t="s">
        <v>4107</v>
      </c>
      <c r="D580" s="164">
        <v>6808</v>
      </c>
      <c r="E580" s="164">
        <v>9611</v>
      </c>
      <c r="F580" s="164" t="s">
        <v>3955</v>
      </c>
      <c r="G580" s="164"/>
      <c r="H580" s="167"/>
      <c r="I580" s="167"/>
      <c r="J580" s="167"/>
      <c r="K580" s="169"/>
      <c r="L580" s="129"/>
      <c r="M580" s="129"/>
      <c r="N580" s="129"/>
      <c r="O580" s="129"/>
      <c r="P580" s="146"/>
      <c r="Q580" s="170"/>
      <c r="R580" s="171"/>
      <c r="S580" s="172"/>
    </row>
    <row r="581" spans="1:19" ht="42.75">
      <c r="A581" s="164" t="s">
        <v>776</v>
      </c>
      <c r="B581" s="165" t="s">
        <v>4078</v>
      </c>
      <c r="C581" s="165" t="s">
        <v>4109</v>
      </c>
      <c r="D581" s="164">
        <v>3108</v>
      </c>
      <c r="E581" s="164">
        <v>3081</v>
      </c>
      <c r="F581" s="164" t="s">
        <v>3955</v>
      </c>
      <c r="G581" s="164"/>
      <c r="H581" s="167"/>
      <c r="I581" s="167"/>
      <c r="J581" s="167"/>
      <c r="K581" s="169"/>
      <c r="L581" s="129"/>
      <c r="M581" s="129"/>
      <c r="N581" s="129"/>
      <c r="O581" s="129"/>
      <c r="P581" s="146"/>
      <c r="Q581" s="170"/>
      <c r="R581" s="171"/>
      <c r="S581" s="172"/>
    </row>
    <row r="582" spans="1:19" ht="42.75">
      <c r="A582" s="164" t="s">
        <v>776</v>
      </c>
      <c r="B582" s="165" t="s">
        <v>4078</v>
      </c>
      <c r="C582" s="165" t="s">
        <v>4111</v>
      </c>
      <c r="D582" s="164">
        <v>4711</v>
      </c>
      <c r="E582" s="164">
        <v>4744</v>
      </c>
      <c r="F582" s="164" t="s">
        <v>3955</v>
      </c>
      <c r="G582" s="164"/>
      <c r="H582" s="167"/>
      <c r="I582" s="167"/>
      <c r="J582" s="167"/>
      <c r="K582" s="169"/>
      <c r="L582" s="129"/>
      <c r="M582" s="129"/>
      <c r="N582" s="129"/>
      <c r="O582" s="129"/>
      <c r="P582" s="146"/>
      <c r="Q582" s="170"/>
      <c r="R582" s="171"/>
      <c r="S582" s="172"/>
    </row>
    <row r="583" spans="1:19" ht="42.75">
      <c r="A583" s="164" t="s">
        <v>776</v>
      </c>
      <c r="B583" s="165" t="s">
        <v>4078</v>
      </c>
      <c r="C583" s="165" t="s">
        <v>4113</v>
      </c>
      <c r="D583" s="164">
        <v>6435</v>
      </c>
      <c r="E583" s="164">
        <v>6281</v>
      </c>
      <c r="F583" s="164" t="s">
        <v>3404</v>
      </c>
      <c r="G583" s="164">
        <v>2024</v>
      </c>
      <c r="H583" s="175">
        <v>45573</v>
      </c>
      <c r="I583" s="175">
        <v>45573</v>
      </c>
      <c r="J583" s="168" t="s">
        <v>7047</v>
      </c>
      <c r="K583" s="175">
        <v>45580</v>
      </c>
      <c r="L583" s="129" t="s">
        <v>3128</v>
      </c>
      <c r="M583" s="129" t="s">
        <v>6701</v>
      </c>
      <c r="N583" s="129"/>
      <c r="O583" s="129" t="s">
        <v>3406</v>
      </c>
      <c r="P583" s="146"/>
      <c r="Q583" s="225">
        <v>45580</v>
      </c>
      <c r="R583" s="170" t="s">
        <v>150</v>
      </c>
      <c r="S583" s="163"/>
    </row>
    <row r="584" spans="1:19" ht="42.75">
      <c r="A584" s="164" t="s">
        <v>776</v>
      </c>
      <c r="B584" s="165" t="s">
        <v>4078</v>
      </c>
      <c r="C584" s="165" t="s">
        <v>885</v>
      </c>
      <c r="D584" s="164">
        <v>2673</v>
      </c>
      <c r="E584" s="164">
        <v>2836</v>
      </c>
      <c r="F584" s="164" t="s">
        <v>3955</v>
      </c>
      <c r="G584" s="164"/>
      <c r="H584" s="167"/>
      <c r="I584" s="167"/>
      <c r="J584" s="167"/>
      <c r="K584" s="169"/>
      <c r="L584" s="129"/>
      <c r="M584" s="129"/>
      <c r="N584" s="129"/>
      <c r="O584" s="129"/>
      <c r="P584" s="146"/>
      <c r="Q584" s="170"/>
      <c r="R584" s="171"/>
      <c r="S584" s="172"/>
    </row>
    <row r="585" spans="1:19" ht="42.75">
      <c r="A585" s="164" t="s">
        <v>776</v>
      </c>
      <c r="B585" s="165" t="s">
        <v>4078</v>
      </c>
      <c r="C585" s="165" t="s">
        <v>4115</v>
      </c>
      <c r="D585" s="164">
        <v>832</v>
      </c>
      <c r="E585" s="164">
        <v>772</v>
      </c>
      <c r="F585" s="164" t="s">
        <v>3955</v>
      </c>
      <c r="G585" s="164"/>
      <c r="H585" s="167"/>
      <c r="I585" s="167"/>
      <c r="J585" s="167"/>
      <c r="K585" s="169"/>
      <c r="L585" s="129"/>
      <c r="M585" s="129"/>
      <c r="N585" s="129"/>
      <c r="O585" s="129"/>
      <c r="P585" s="146"/>
      <c r="Q585" s="170"/>
      <c r="R585" s="171"/>
      <c r="S585" s="172"/>
    </row>
    <row r="586" spans="1:19" ht="42.75">
      <c r="A586" s="164" t="s">
        <v>776</v>
      </c>
      <c r="B586" s="165" t="s">
        <v>4078</v>
      </c>
      <c r="C586" s="165" t="s">
        <v>4116</v>
      </c>
      <c r="D586" s="164">
        <v>6516</v>
      </c>
      <c r="E586" s="164">
        <v>6649</v>
      </c>
      <c r="F586" s="164" t="s">
        <v>3955</v>
      </c>
      <c r="G586" s="164"/>
      <c r="H586" s="167"/>
      <c r="I586" s="167"/>
      <c r="J586" s="167"/>
      <c r="K586" s="169"/>
      <c r="L586" s="129"/>
      <c r="M586" s="129"/>
      <c r="N586" s="129"/>
      <c r="O586" s="129"/>
      <c r="P586" s="146"/>
      <c r="Q586" s="170"/>
      <c r="R586" s="171"/>
      <c r="S586" s="172"/>
    </row>
    <row r="587" spans="1:19" ht="42.75">
      <c r="A587" s="164" t="s">
        <v>776</v>
      </c>
      <c r="B587" s="165" t="s">
        <v>4078</v>
      </c>
      <c r="C587" s="165" t="s">
        <v>4118</v>
      </c>
      <c r="D587" s="164">
        <v>18239</v>
      </c>
      <c r="E587" s="164">
        <v>16169</v>
      </c>
      <c r="F587" s="164" t="s">
        <v>3404</v>
      </c>
      <c r="G587" s="164">
        <v>2024</v>
      </c>
      <c r="H587" s="175">
        <v>45429</v>
      </c>
      <c r="I587" s="175">
        <v>45429</v>
      </c>
      <c r="J587" s="168" t="s">
        <v>7048</v>
      </c>
      <c r="K587" s="174">
        <v>45432</v>
      </c>
      <c r="L587" s="129" t="s">
        <v>3532</v>
      </c>
      <c r="M587" s="129"/>
      <c r="N587" s="129"/>
      <c r="O587" s="129" t="s">
        <v>3406</v>
      </c>
      <c r="P587" s="146"/>
      <c r="Q587" s="170">
        <v>45432</v>
      </c>
      <c r="R587" s="171"/>
      <c r="S587" s="172"/>
    </row>
    <row r="588" spans="1:19" ht="42.75">
      <c r="A588" s="164" t="s">
        <v>776</v>
      </c>
      <c r="B588" s="165" t="s">
        <v>4078</v>
      </c>
      <c r="C588" s="165" t="s">
        <v>4119</v>
      </c>
      <c r="D588" s="164">
        <v>771</v>
      </c>
      <c r="E588" s="164">
        <v>712</v>
      </c>
      <c r="F588" s="164" t="s">
        <v>3955</v>
      </c>
      <c r="G588" s="164"/>
      <c r="H588" s="167"/>
      <c r="I588" s="167"/>
      <c r="J588" s="167"/>
      <c r="K588" s="169"/>
      <c r="L588" s="129"/>
      <c r="M588" s="129"/>
      <c r="N588" s="129"/>
      <c r="O588" s="129"/>
      <c r="P588" s="146"/>
      <c r="Q588" s="170"/>
      <c r="R588" s="171"/>
      <c r="S588" s="172"/>
    </row>
    <row r="589" spans="1:19" ht="42.75">
      <c r="A589" s="164" t="s">
        <v>776</v>
      </c>
      <c r="B589" s="165" t="s">
        <v>4078</v>
      </c>
      <c r="C589" s="165" t="s">
        <v>3935</v>
      </c>
      <c r="D589" s="164">
        <v>828</v>
      </c>
      <c r="E589" s="164">
        <v>715</v>
      </c>
      <c r="F589" s="164" t="s">
        <v>3955</v>
      </c>
      <c r="G589" s="164"/>
      <c r="H589" s="167"/>
      <c r="I589" s="167"/>
      <c r="J589" s="167"/>
      <c r="K589" s="169"/>
      <c r="L589" s="129"/>
      <c r="M589" s="129"/>
      <c r="N589" s="129"/>
      <c r="O589" s="129"/>
      <c r="P589" s="146"/>
      <c r="Q589" s="170"/>
      <c r="R589" s="171"/>
      <c r="S589" s="172"/>
    </row>
    <row r="590" spans="1:19" ht="42.75">
      <c r="A590" s="164" t="s">
        <v>776</v>
      </c>
      <c r="B590" s="165" t="s">
        <v>4078</v>
      </c>
      <c r="C590" s="165" t="s">
        <v>4120</v>
      </c>
      <c r="D590" s="164">
        <v>3336</v>
      </c>
      <c r="E590" s="164">
        <v>3094</v>
      </c>
      <c r="F590" s="164" t="s">
        <v>3404</v>
      </c>
      <c r="G590" s="164">
        <v>2024</v>
      </c>
      <c r="H590" s="175">
        <v>45609</v>
      </c>
      <c r="I590" s="175">
        <v>45611</v>
      </c>
      <c r="J590" s="168" t="s">
        <v>7049</v>
      </c>
      <c r="K590" s="174">
        <v>45616</v>
      </c>
      <c r="L590" s="129" t="s">
        <v>3129</v>
      </c>
      <c r="M590" s="129" t="s">
        <v>4</v>
      </c>
      <c r="N590" s="129" t="s">
        <v>50</v>
      </c>
      <c r="O590" s="129" t="s">
        <v>3406</v>
      </c>
      <c r="P590" s="146"/>
      <c r="Q590" s="170">
        <v>45617</v>
      </c>
      <c r="R590" s="171" t="s">
        <v>150</v>
      </c>
      <c r="S590" s="172"/>
    </row>
    <row r="591" spans="1:19" ht="42.75">
      <c r="A591" s="164" t="s">
        <v>776</v>
      </c>
      <c r="B591" s="165" t="s">
        <v>4078</v>
      </c>
      <c r="C591" s="165" t="s">
        <v>4121</v>
      </c>
      <c r="D591" s="164">
        <v>8818</v>
      </c>
      <c r="E591" s="164">
        <v>9484</v>
      </c>
      <c r="F591" s="164" t="s">
        <v>3955</v>
      </c>
      <c r="G591" s="164"/>
      <c r="H591" s="167"/>
      <c r="I591" s="167"/>
      <c r="J591" s="167"/>
      <c r="K591" s="169"/>
      <c r="L591" s="129"/>
      <c r="M591" s="129"/>
      <c r="N591" s="129"/>
      <c r="O591" s="129"/>
      <c r="P591" s="146"/>
      <c r="Q591" s="170"/>
      <c r="R591" s="171"/>
      <c r="S591" s="172"/>
    </row>
    <row r="592" spans="1:19" ht="42.75">
      <c r="A592" s="164" t="s">
        <v>776</v>
      </c>
      <c r="B592" s="165" t="s">
        <v>4078</v>
      </c>
      <c r="C592" s="165" t="s">
        <v>4103</v>
      </c>
      <c r="D592" s="164">
        <v>6087</v>
      </c>
      <c r="E592" s="164">
        <v>7563</v>
      </c>
      <c r="F592" s="164" t="s">
        <v>3955</v>
      </c>
      <c r="G592" s="164"/>
      <c r="H592" s="167"/>
      <c r="I592" s="167"/>
      <c r="J592" s="167"/>
      <c r="K592" s="169"/>
      <c r="L592" s="129"/>
      <c r="M592" s="129"/>
      <c r="N592" s="129"/>
      <c r="O592" s="129"/>
      <c r="P592" s="146"/>
      <c r="Q592" s="170"/>
      <c r="R592" s="171"/>
      <c r="S592" s="172"/>
    </row>
    <row r="593" spans="1:19" ht="42.75">
      <c r="A593" s="164" t="s">
        <v>776</v>
      </c>
      <c r="B593" s="165" t="s">
        <v>4078</v>
      </c>
      <c r="C593" s="165" t="s">
        <v>4126</v>
      </c>
      <c r="D593" s="164">
        <v>2262</v>
      </c>
      <c r="E593" s="164">
        <v>1945</v>
      </c>
      <c r="F593" s="164" t="s">
        <v>3404</v>
      </c>
      <c r="G593" s="164">
        <v>2024</v>
      </c>
      <c r="H593" s="175">
        <v>45427</v>
      </c>
      <c r="I593" s="175">
        <v>45427</v>
      </c>
      <c r="J593" s="168" t="s">
        <v>7050</v>
      </c>
      <c r="K593" s="174">
        <v>45428</v>
      </c>
      <c r="L593" s="129" t="s">
        <v>3532</v>
      </c>
      <c r="M593" s="129"/>
      <c r="N593" s="129"/>
      <c r="O593" s="129" t="s">
        <v>3406</v>
      </c>
      <c r="P593" s="146"/>
      <c r="Q593" s="170"/>
      <c r="R593" s="171"/>
      <c r="S593" s="172"/>
    </row>
    <row r="594" spans="1:19" ht="42.75">
      <c r="A594" s="164" t="s">
        <v>776</v>
      </c>
      <c r="B594" s="165" t="s">
        <v>4078</v>
      </c>
      <c r="C594" s="165" t="s">
        <v>4127</v>
      </c>
      <c r="D594" s="164">
        <v>2467</v>
      </c>
      <c r="E594" s="164">
        <v>2012</v>
      </c>
      <c r="F594" s="164" t="s">
        <v>3404</v>
      </c>
      <c r="G594" s="164">
        <v>2024</v>
      </c>
      <c r="H594" s="175">
        <v>45603</v>
      </c>
      <c r="I594" s="175">
        <v>45603</v>
      </c>
      <c r="J594" s="168" t="s">
        <v>7051</v>
      </c>
      <c r="K594" s="174">
        <v>45612</v>
      </c>
      <c r="L594" s="129" t="s">
        <v>3129</v>
      </c>
      <c r="M594" s="129" t="s">
        <v>1078</v>
      </c>
      <c r="N594" s="129" t="s">
        <v>3528</v>
      </c>
      <c r="O594" s="129" t="s">
        <v>3406</v>
      </c>
      <c r="P594" s="146"/>
      <c r="Q594" s="170">
        <v>45614</v>
      </c>
      <c r="R594" s="171" t="s">
        <v>150</v>
      </c>
      <c r="S594" s="172"/>
    </row>
    <row r="595" spans="1:19" ht="42.75">
      <c r="A595" s="164" t="s">
        <v>776</v>
      </c>
      <c r="B595" s="165" t="s">
        <v>4078</v>
      </c>
      <c r="C595" s="165" t="s">
        <v>918</v>
      </c>
      <c r="D595" s="164">
        <v>4388</v>
      </c>
      <c r="E595" s="164">
        <v>4566</v>
      </c>
      <c r="F595" s="164" t="s">
        <v>3404</v>
      </c>
      <c r="G595" s="164">
        <v>2024</v>
      </c>
      <c r="H595" s="175">
        <v>45604</v>
      </c>
      <c r="I595" s="175">
        <v>45611</v>
      </c>
      <c r="J595" s="168" t="s">
        <v>7052</v>
      </c>
      <c r="K595" s="174">
        <v>45616</v>
      </c>
      <c r="L595" s="129" t="s">
        <v>3129</v>
      </c>
      <c r="M595" s="129" t="s">
        <v>1078</v>
      </c>
      <c r="N595" s="129" t="s">
        <v>3528</v>
      </c>
      <c r="O595" s="129" t="s">
        <v>3406</v>
      </c>
      <c r="P595" s="146"/>
      <c r="Q595" s="170">
        <v>45618</v>
      </c>
      <c r="R595" s="171" t="s">
        <v>150</v>
      </c>
      <c r="S595" s="172"/>
    </row>
    <row r="596" spans="1:19" ht="42.75">
      <c r="A596" s="216" t="s">
        <v>776</v>
      </c>
      <c r="B596" s="165" t="s">
        <v>4078</v>
      </c>
      <c r="C596" s="165" t="s">
        <v>3723</v>
      </c>
      <c r="D596" s="164">
        <v>5240</v>
      </c>
      <c r="E596" s="164">
        <v>4991</v>
      </c>
      <c r="F596" s="164" t="s">
        <v>3404</v>
      </c>
      <c r="G596" s="164">
        <v>2024</v>
      </c>
      <c r="H596" s="175">
        <v>45603</v>
      </c>
      <c r="I596" s="175">
        <v>45603</v>
      </c>
      <c r="J596" s="168" t="s">
        <v>7053</v>
      </c>
      <c r="K596" s="174">
        <v>45612</v>
      </c>
      <c r="L596" s="129" t="s">
        <v>3129</v>
      </c>
      <c r="M596" s="129" t="s">
        <v>1078</v>
      </c>
      <c r="N596" s="129" t="s">
        <v>3528</v>
      </c>
      <c r="O596" s="129" t="s">
        <v>3406</v>
      </c>
      <c r="P596" s="146"/>
      <c r="Q596" s="170">
        <v>45614</v>
      </c>
      <c r="R596" s="171" t="s">
        <v>150</v>
      </c>
      <c r="S596" s="172"/>
    </row>
    <row r="597" spans="1:19" ht="42.75">
      <c r="A597" s="164" t="s">
        <v>776</v>
      </c>
      <c r="B597" s="165" t="s">
        <v>4078</v>
      </c>
      <c r="C597" s="165" t="s">
        <v>3878</v>
      </c>
      <c r="D597" s="164">
        <v>2790</v>
      </c>
      <c r="E597" s="164">
        <v>2402</v>
      </c>
      <c r="F597" s="164" t="s">
        <v>3955</v>
      </c>
      <c r="G597" s="164"/>
      <c r="H597" s="167"/>
      <c r="I597" s="167"/>
      <c r="J597" s="167"/>
      <c r="K597" s="169"/>
      <c r="L597" s="129"/>
      <c r="M597" s="129"/>
      <c r="N597" s="129"/>
      <c r="O597" s="129"/>
      <c r="P597" s="146"/>
      <c r="Q597" s="170"/>
      <c r="R597" s="171"/>
      <c r="S597" s="172"/>
    </row>
    <row r="598" spans="1:19" ht="42.75">
      <c r="A598" s="164" t="s">
        <v>776</v>
      </c>
      <c r="B598" s="165" t="s">
        <v>4078</v>
      </c>
      <c r="C598" s="165" t="s">
        <v>1170</v>
      </c>
      <c r="D598" s="164">
        <v>1973</v>
      </c>
      <c r="E598" s="164">
        <v>1534</v>
      </c>
      <c r="F598" s="164" t="s">
        <v>3955</v>
      </c>
      <c r="G598" s="164"/>
      <c r="H598" s="167"/>
      <c r="I598" s="167"/>
      <c r="J598" s="167"/>
      <c r="K598" s="169"/>
      <c r="L598" s="129"/>
      <c r="M598" s="129"/>
      <c r="N598" s="129"/>
      <c r="O598" s="129"/>
      <c r="P598" s="146"/>
      <c r="Q598" s="170"/>
      <c r="R598" s="171"/>
      <c r="S598" s="172"/>
    </row>
    <row r="599" spans="1:19" ht="42.75">
      <c r="A599" s="164" t="s">
        <v>776</v>
      </c>
      <c r="B599" s="165" t="s">
        <v>4078</v>
      </c>
      <c r="C599" s="165" t="s">
        <v>4124</v>
      </c>
      <c r="D599" s="164">
        <v>6524</v>
      </c>
      <c r="E599" s="164">
        <v>6688</v>
      </c>
      <c r="F599" s="164" t="s">
        <v>3955</v>
      </c>
      <c r="G599" s="164"/>
      <c r="H599" s="167"/>
      <c r="I599" s="167"/>
      <c r="J599" s="167"/>
      <c r="K599" s="169"/>
      <c r="L599" s="129"/>
      <c r="M599" s="129"/>
      <c r="N599" s="129"/>
      <c r="O599" s="129"/>
      <c r="P599" s="146"/>
      <c r="Q599" s="170"/>
      <c r="R599" s="171"/>
      <c r="S599" s="172"/>
    </row>
    <row r="600" spans="1:19" ht="42.75">
      <c r="A600" s="164" t="s">
        <v>776</v>
      </c>
      <c r="B600" s="165" t="s">
        <v>4078</v>
      </c>
      <c r="C600" s="165" t="s">
        <v>3977</v>
      </c>
      <c r="D600" s="164">
        <v>2025</v>
      </c>
      <c r="E600" s="164">
        <v>2035</v>
      </c>
      <c r="F600" s="164" t="s">
        <v>3955</v>
      </c>
      <c r="G600" s="164"/>
      <c r="H600" s="167"/>
      <c r="I600" s="167"/>
      <c r="J600" s="167"/>
      <c r="K600" s="169"/>
      <c r="L600" s="129"/>
      <c r="M600" s="129"/>
      <c r="N600" s="129"/>
      <c r="O600" s="129"/>
      <c r="P600" s="146"/>
      <c r="Q600" s="170"/>
      <c r="R600" s="171"/>
      <c r="S600" s="172"/>
    </row>
    <row r="601" spans="1:19" ht="42.75">
      <c r="A601" s="164" t="s">
        <v>776</v>
      </c>
      <c r="B601" s="165" t="s">
        <v>4078</v>
      </c>
      <c r="C601" s="165" t="s">
        <v>4130</v>
      </c>
      <c r="D601" s="164">
        <v>561</v>
      </c>
      <c r="E601" s="164">
        <v>574</v>
      </c>
      <c r="F601" s="164" t="s">
        <v>3955</v>
      </c>
      <c r="G601" s="164"/>
      <c r="H601" s="167"/>
      <c r="I601" s="167"/>
      <c r="J601" s="167"/>
      <c r="K601" s="169"/>
      <c r="L601" s="129"/>
      <c r="M601" s="129"/>
      <c r="N601" s="129"/>
      <c r="O601" s="129"/>
      <c r="P601" s="146"/>
      <c r="Q601" s="170"/>
      <c r="R601" s="171"/>
      <c r="S601" s="172"/>
    </row>
    <row r="602" spans="1:19" ht="42.75">
      <c r="A602" s="164" t="s">
        <v>776</v>
      </c>
      <c r="B602" s="165" t="s">
        <v>4078</v>
      </c>
      <c r="C602" s="165" t="s">
        <v>4132</v>
      </c>
      <c r="D602" s="164">
        <v>7633</v>
      </c>
      <c r="E602" s="164">
        <v>7333</v>
      </c>
      <c r="F602" s="164" t="s">
        <v>3955</v>
      </c>
      <c r="G602" s="164"/>
      <c r="H602" s="167"/>
      <c r="I602" s="167"/>
      <c r="J602" s="167"/>
      <c r="K602" s="169"/>
      <c r="L602" s="129"/>
      <c r="M602" s="129"/>
      <c r="N602" s="129"/>
      <c r="O602" s="129"/>
      <c r="P602" s="146"/>
      <c r="Q602" s="170"/>
      <c r="R602" s="171"/>
      <c r="S602" s="172"/>
    </row>
    <row r="603" spans="1:19" ht="42.75">
      <c r="A603" s="164" t="s">
        <v>776</v>
      </c>
      <c r="B603" s="165" t="s">
        <v>4078</v>
      </c>
      <c r="C603" s="165" t="s">
        <v>1002</v>
      </c>
      <c r="D603" s="164">
        <v>8646</v>
      </c>
      <c r="E603" s="164">
        <v>8550</v>
      </c>
      <c r="F603" s="164" t="s">
        <v>3955</v>
      </c>
      <c r="G603" s="164"/>
      <c r="H603" s="167"/>
      <c r="I603" s="167"/>
      <c r="J603" s="167"/>
      <c r="K603" s="169"/>
      <c r="L603" s="129"/>
      <c r="M603" s="129"/>
      <c r="N603" s="129"/>
      <c r="O603" s="129"/>
      <c r="P603" s="146"/>
      <c r="Q603" s="170"/>
      <c r="R603" s="171"/>
      <c r="S603" s="172"/>
    </row>
    <row r="604" spans="1:19" ht="42.75">
      <c r="A604" s="164" t="s">
        <v>776</v>
      </c>
      <c r="B604" s="165" t="s">
        <v>4078</v>
      </c>
      <c r="C604" s="165" t="s">
        <v>4135</v>
      </c>
      <c r="D604" s="164">
        <v>2645</v>
      </c>
      <c r="E604" s="164">
        <v>2442</v>
      </c>
      <c r="F604" s="164" t="s">
        <v>3404</v>
      </c>
      <c r="G604" s="164">
        <v>2024</v>
      </c>
      <c r="H604" s="175">
        <v>45393</v>
      </c>
      <c r="I604" s="175">
        <v>45396</v>
      </c>
      <c r="J604" s="168" t="s">
        <v>7054</v>
      </c>
      <c r="K604" s="174">
        <v>45398</v>
      </c>
      <c r="L604" s="129" t="s">
        <v>3470</v>
      </c>
      <c r="M604" s="129"/>
      <c r="N604" s="129"/>
      <c r="O604" s="129" t="s">
        <v>3406</v>
      </c>
      <c r="P604" s="146"/>
      <c r="Q604" s="170"/>
      <c r="R604" s="171"/>
      <c r="S604" s="172"/>
    </row>
    <row r="605" spans="1:19" ht="42.75">
      <c r="A605" s="164" t="s">
        <v>776</v>
      </c>
      <c r="B605" s="165" t="s">
        <v>4078</v>
      </c>
      <c r="C605" s="165" t="s">
        <v>4136</v>
      </c>
      <c r="D605" s="164">
        <v>7554</v>
      </c>
      <c r="E605" s="164">
        <v>8719</v>
      </c>
      <c r="F605" s="164" t="s">
        <v>3404</v>
      </c>
      <c r="G605" s="164">
        <v>2024</v>
      </c>
      <c r="H605" s="175">
        <v>45393</v>
      </c>
      <c r="I605" s="175">
        <v>45396</v>
      </c>
      <c r="J605" s="168" t="s">
        <v>7055</v>
      </c>
      <c r="K605" s="174">
        <v>45398</v>
      </c>
      <c r="L605" s="129" t="s">
        <v>3470</v>
      </c>
      <c r="M605" s="129"/>
      <c r="N605" s="129"/>
      <c r="O605" s="129" t="s">
        <v>3406</v>
      </c>
      <c r="P605" s="146"/>
      <c r="Q605" s="170"/>
      <c r="R605" s="171"/>
      <c r="S605" s="172"/>
    </row>
    <row r="606" spans="1:19" ht="42.75">
      <c r="A606" s="164" t="s">
        <v>776</v>
      </c>
      <c r="B606" s="165" t="s">
        <v>4078</v>
      </c>
      <c r="C606" s="165" t="s">
        <v>4014</v>
      </c>
      <c r="D606" s="164">
        <v>2231</v>
      </c>
      <c r="E606" s="164">
        <v>1677</v>
      </c>
      <c r="F606" s="164" t="s">
        <v>3955</v>
      </c>
      <c r="G606" s="164"/>
      <c r="H606" s="167"/>
      <c r="I606" s="167"/>
      <c r="J606" s="167"/>
      <c r="K606" s="169"/>
      <c r="L606" s="129"/>
      <c r="M606" s="129"/>
      <c r="N606" s="129"/>
      <c r="O606" s="129"/>
      <c r="P606" s="146"/>
      <c r="Q606" s="170"/>
      <c r="R606" s="171"/>
      <c r="S606" s="172"/>
    </row>
    <row r="607" spans="1:19" ht="42.75">
      <c r="A607" s="216" t="s">
        <v>776</v>
      </c>
      <c r="B607" s="165" t="s">
        <v>4078</v>
      </c>
      <c r="C607" s="165" t="s">
        <v>4138</v>
      </c>
      <c r="D607" s="164">
        <v>10094</v>
      </c>
      <c r="E607" s="164">
        <v>12600</v>
      </c>
      <c r="F607" s="164" t="s">
        <v>3404</v>
      </c>
      <c r="G607" s="164">
        <v>2024</v>
      </c>
      <c r="H607" s="175">
        <v>45513</v>
      </c>
      <c r="I607" s="175">
        <v>45518</v>
      </c>
      <c r="J607" s="168" t="s">
        <v>7056</v>
      </c>
      <c r="K607" s="174">
        <v>45523</v>
      </c>
      <c r="L607" s="129" t="s">
        <v>3126</v>
      </c>
      <c r="M607" s="129" t="s">
        <v>6701</v>
      </c>
      <c r="N607" s="129"/>
      <c r="O607" s="129" t="s">
        <v>3406</v>
      </c>
      <c r="P607" s="146"/>
      <c r="Q607" s="130">
        <v>45531</v>
      </c>
      <c r="R607" s="171" t="s">
        <v>150</v>
      </c>
      <c r="S607" s="172"/>
    </row>
    <row r="608" spans="1:19" ht="42.75">
      <c r="A608" s="164" t="s">
        <v>776</v>
      </c>
      <c r="B608" s="165" t="s">
        <v>4078</v>
      </c>
      <c r="C608" s="165" t="s">
        <v>4100</v>
      </c>
      <c r="D608" s="164">
        <v>3937</v>
      </c>
      <c r="E608" s="164">
        <v>4608</v>
      </c>
      <c r="F608" s="164" t="s">
        <v>3955</v>
      </c>
      <c r="G608" s="164"/>
      <c r="H608" s="167"/>
      <c r="I608" s="167"/>
      <c r="J608" s="167"/>
      <c r="K608" s="169"/>
      <c r="L608" s="129"/>
      <c r="M608" s="129"/>
      <c r="N608" s="129"/>
      <c r="O608" s="129"/>
      <c r="P608" s="146"/>
      <c r="Q608" s="170"/>
      <c r="R608" s="171"/>
      <c r="S608" s="172"/>
    </row>
    <row r="609" spans="1:19" ht="42.75">
      <c r="A609" s="164" t="s">
        <v>776</v>
      </c>
      <c r="B609" s="165" t="s">
        <v>1071</v>
      </c>
      <c r="C609" s="165" t="s">
        <v>4264</v>
      </c>
      <c r="D609" s="164">
        <v>9424</v>
      </c>
      <c r="E609" s="164">
        <v>11417</v>
      </c>
      <c r="F609" s="164" t="s">
        <v>3955</v>
      </c>
      <c r="G609" s="164"/>
      <c r="H609" s="167"/>
      <c r="I609" s="167"/>
      <c r="J609" s="167"/>
      <c r="K609" s="169"/>
      <c r="L609" s="129"/>
      <c r="M609" s="129"/>
      <c r="N609" s="129"/>
      <c r="O609" s="129"/>
      <c r="P609" s="146"/>
      <c r="Q609" s="170"/>
      <c r="R609" s="171"/>
      <c r="S609" s="172"/>
    </row>
    <row r="610" spans="1:19" ht="42.75">
      <c r="A610" s="164" t="s">
        <v>776</v>
      </c>
      <c r="B610" s="165" t="s">
        <v>1071</v>
      </c>
      <c r="C610" s="165" t="s">
        <v>4266</v>
      </c>
      <c r="D610" s="164">
        <v>9625</v>
      </c>
      <c r="E610" s="164">
        <v>10595</v>
      </c>
      <c r="F610" s="164" t="s">
        <v>3955</v>
      </c>
      <c r="G610" s="164"/>
      <c r="H610" s="167"/>
      <c r="I610" s="167"/>
      <c r="J610" s="167"/>
      <c r="K610" s="169"/>
      <c r="L610" s="129"/>
      <c r="M610" s="129"/>
      <c r="N610" s="129"/>
      <c r="O610" s="129"/>
      <c r="P610" s="146"/>
      <c r="Q610" s="170"/>
      <c r="R610" s="171"/>
      <c r="S610" s="172"/>
    </row>
    <row r="611" spans="1:19" ht="42.75">
      <c r="A611" s="164" t="s">
        <v>776</v>
      </c>
      <c r="B611" s="165" t="s">
        <v>1071</v>
      </c>
      <c r="C611" s="165" t="s">
        <v>3641</v>
      </c>
      <c r="D611" s="164">
        <v>10103</v>
      </c>
      <c r="E611" s="164">
        <v>8310</v>
      </c>
      <c r="F611" s="164" t="s">
        <v>3955</v>
      </c>
      <c r="G611" s="164"/>
      <c r="H611" s="167"/>
      <c r="I611" s="167"/>
      <c r="J611" s="167"/>
      <c r="K611" s="169"/>
      <c r="L611" s="129"/>
      <c r="M611" s="129"/>
      <c r="N611" s="129"/>
      <c r="O611" s="129"/>
      <c r="P611" s="146"/>
      <c r="Q611" s="170"/>
      <c r="R611" s="171"/>
      <c r="S611" s="172"/>
    </row>
    <row r="612" spans="1:19" ht="42.75">
      <c r="A612" s="216" t="s">
        <v>776</v>
      </c>
      <c r="B612" s="165" t="s">
        <v>1071</v>
      </c>
      <c r="C612" s="165" t="s">
        <v>1072</v>
      </c>
      <c r="D612" s="164">
        <v>42821</v>
      </c>
      <c r="E612" s="164">
        <v>48184</v>
      </c>
      <c r="F612" s="164" t="s">
        <v>3955</v>
      </c>
      <c r="G612" s="164"/>
      <c r="H612" s="167"/>
      <c r="I612" s="167"/>
      <c r="J612" s="167"/>
      <c r="K612" s="169"/>
      <c r="L612" s="129"/>
      <c r="M612" s="129"/>
      <c r="N612" s="129"/>
      <c r="O612" s="129"/>
      <c r="P612" s="146"/>
      <c r="Q612" s="170"/>
      <c r="R612" s="171"/>
      <c r="S612" s="172"/>
    </row>
    <row r="613" spans="1:19" ht="42.75">
      <c r="A613" s="164" t="s">
        <v>776</v>
      </c>
      <c r="B613" s="165" t="s">
        <v>1071</v>
      </c>
      <c r="C613" s="165" t="s">
        <v>4270</v>
      </c>
      <c r="D613" s="164">
        <v>12900</v>
      </c>
      <c r="E613" s="164">
        <v>15256</v>
      </c>
      <c r="F613" s="164" t="s">
        <v>3955</v>
      </c>
      <c r="G613" s="164"/>
      <c r="H613" s="167"/>
      <c r="I613" s="167"/>
      <c r="J613" s="167"/>
      <c r="K613" s="169"/>
      <c r="L613" s="129"/>
      <c r="M613" s="129"/>
      <c r="N613" s="129"/>
      <c r="O613" s="129"/>
      <c r="P613" s="146"/>
      <c r="Q613" s="170"/>
      <c r="R613" s="171"/>
      <c r="S613" s="172"/>
    </row>
    <row r="614" spans="1:19" ht="42.75">
      <c r="A614" s="164" t="s">
        <v>776</v>
      </c>
      <c r="B614" s="165" t="s">
        <v>1071</v>
      </c>
      <c r="C614" s="165" t="s">
        <v>4271</v>
      </c>
      <c r="D614" s="164">
        <v>57569</v>
      </c>
      <c r="E614" s="164">
        <v>71258</v>
      </c>
      <c r="F614" s="164" t="s">
        <v>3955</v>
      </c>
      <c r="G614" s="164"/>
      <c r="H614" s="167"/>
      <c r="I614" s="167"/>
      <c r="J614" s="167"/>
      <c r="K614" s="169"/>
      <c r="L614" s="129"/>
      <c r="M614" s="129"/>
      <c r="N614" s="129"/>
      <c r="O614" s="129"/>
      <c r="P614" s="146"/>
      <c r="Q614" s="170"/>
      <c r="R614" s="171"/>
      <c r="S614" s="172"/>
    </row>
    <row r="615" spans="1:19" ht="42.75">
      <c r="A615" s="164" t="s">
        <v>776</v>
      </c>
      <c r="B615" s="165" t="s">
        <v>1071</v>
      </c>
      <c r="C615" s="165" t="s">
        <v>4273</v>
      </c>
      <c r="D615" s="164">
        <v>4015</v>
      </c>
      <c r="E615" s="164">
        <v>3518</v>
      </c>
      <c r="F615" s="164" t="s">
        <v>3955</v>
      </c>
      <c r="G615" s="164"/>
      <c r="H615" s="167"/>
      <c r="I615" s="167"/>
      <c r="J615" s="167"/>
      <c r="K615" s="169"/>
      <c r="L615" s="129"/>
      <c r="M615" s="129"/>
      <c r="N615" s="129"/>
      <c r="O615" s="129"/>
      <c r="P615" s="146"/>
      <c r="Q615" s="170"/>
      <c r="R615" s="171"/>
      <c r="S615" s="172"/>
    </row>
    <row r="616" spans="1:19" ht="42.75">
      <c r="A616" s="164" t="s">
        <v>776</v>
      </c>
      <c r="B616" s="165" t="s">
        <v>1071</v>
      </c>
      <c r="C616" s="165" t="s">
        <v>4274</v>
      </c>
      <c r="D616" s="164">
        <v>7501</v>
      </c>
      <c r="E616" s="164">
        <v>8419</v>
      </c>
      <c r="F616" s="164" t="s">
        <v>3955</v>
      </c>
      <c r="G616" s="164"/>
      <c r="H616" s="167"/>
      <c r="I616" s="167"/>
      <c r="J616" s="167"/>
      <c r="K616" s="169"/>
      <c r="L616" s="129"/>
      <c r="M616" s="129"/>
      <c r="N616" s="129"/>
      <c r="O616" s="129"/>
      <c r="P616" s="146"/>
      <c r="Q616" s="170"/>
      <c r="R616" s="171"/>
      <c r="S616" s="172"/>
    </row>
    <row r="617" spans="1:19" ht="42.75">
      <c r="A617" s="164" t="s">
        <v>776</v>
      </c>
      <c r="B617" s="165" t="s">
        <v>1071</v>
      </c>
      <c r="C617" s="165" t="s">
        <v>4206</v>
      </c>
      <c r="D617" s="164">
        <v>1826</v>
      </c>
      <c r="E617" s="164">
        <v>1419</v>
      </c>
      <c r="F617" s="164" t="s">
        <v>3955</v>
      </c>
      <c r="G617" s="164"/>
      <c r="H617" s="167"/>
      <c r="I617" s="167"/>
      <c r="J617" s="167"/>
      <c r="K617" s="169"/>
      <c r="L617" s="129"/>
      <c r="M617" s="129"/>
      <c r="N617" s="129"/>
      <c r="O617" s="129"/>
      <c r="P617" s="146"/>
      <c r="Q617" s="170"/>
      <c r="R617" s="171"/>
      <c r="S617" s="172"/>
    </row>
    <row r="618" spans="1:19" ht="42.75">
      <c r="A618" s="164" t="s">
        <v>776</v>
      </c>
      <c r="B618" s="165" t="s">
        <v>1071</v>
      </c>
      <c r="C618" s="165" t="s">
        <v>4277</v>
      </c>
      <c r="D618" s="164">
        <v>5475</v>
      </c>
      <c r="E618" s="164">
        <v>4968</v>
      </c>
      <c r="F618" s="164" t="s">
        <v>3955</v>
      </c>
      <c r="G618" s="164"/>
      <c r="H618" s="167"/>
      <c r="I618" s="167"/>
      <c r="J618" s="167"/>
      <c r="K618" s="169"/>
      <c r="L618" s="129"/>
      <c r="M618" s="129"/>
      <c r="N618" s="129"/>
      <c r="O618" s="129"/>
      <c r="P618" s="146"/>
      <c r="Q618" s="170"/>
      <c r="R618" s="171"/>
      <c r="S618" s="172"/>
    </row>
    <row r="619" spans="1:19" ht="42.75">
      <c r="A619" s="216" t="s">
        <v>776</v>
      </c>
      <c r="B619" s="165" t="s">
        <v>1071</v>
      </c>
      <c r="C619" s="165" t="s">
        <v>1822</v>
      </c>
      <c r="D619" s="164">
        <v>7065</v>
      </c>
      <c r="E619" s="164">
        <v>9019</v>
      </c>
      <c r="F619" s="164" t="s">
        <v>3955</v>
      </c>
      <c r="G619" s="164"/>
      <c r="H619" s="167"/>
      <c r="I619" s="167"/>
      <c r="J619" s="167"/>
      <c r="K619" s="169"/>
      <c r="L619" s="129"/>
      <c r="M619" s="129"/>
      <c r="N619" s="129"/>
      <c r="O619" s="129"/>
      <c r="P619" s="146"/>
      <c r="Q619" s="170"/>
      <c r="R619" s="171"/>
      <c r="S619" s="172"/>
    </row>
    <row r="620" spans="1:19" ht="42.75">
      <c r="A620" s="216" t="s">
        <v>776</v>
      </c>
      <c r="B620" s="165" t="s">
        <v>1071</v>
      </c>
      <c r="C620" s="165" t="s">
        <v>4280</v>
      </c>
      <c r="D620" s="164">
        <v>11229</v>
      </c>
      <c r="E620" s="164">
        <v>13784</v>
      </c>
      <c r="F620" s="164" t="s">
        <v>3955</v>
      </c>
      <c r="G620" s="164"/>
      <c r="H620" s="167"/>
      <c r="I620" s="167"/>
      <c r="J620" s="167"/>
      <c r="K620" s="169"/>
      <c r="L620" s="129"/>
      <c r="M620" s="129"/>
      <c r="N620" s="129"/>
      <c r="O620" s="129"/>
      <c r="P620" s="146"/>
      <c r="Q620" s="170"/>
      <c r="R620" s="171"/>
      <c r="S620" s="172"/>
    </row>
    <row r="621" spans="1:19" ht="42.75">
      <c r="A621" s="164" t="s">
        <v>776</v>
      </c>
      <c r="B621" s="165" t="s">
        <v>1071</v>
      </c>
      <c r="C621" s="165" t="s">
        <v>4282</v>
      </c>
      <c r="D621" s="164">
        <v>10793</v>
      </c>
      <c r="E621" s="164">
        <v>11260</v>
      </c>
      <c r="F621" s="164" t="s">
        <v>3955</v>
      </c>
      <c r="G621" s="164"/>
      <c r="H621" s="167"/>
      <c r="I621" s="167"/>
      <c r="J621" s="167"/>
      <c r="K621" s="169"/>
      <c r="L621" s="129"/>
      <c r="M621" s="129"/>
      <c r="N621" s="129"/>
      <c r="O621" s="129"/>
      <c r="P621" s="146"/>
      <c r="Q621" s="170"/>
      <c r="R621" s="171"/>
      <c r="S621" s="172"/>
    </row>
    <row r="622" spans="1:19" ht="42.75">
      <c r="A622" s="164" t="s">
        <v>776</v>
      </c>
      <c r="B622" s="165" t="s">
        <v>1071</v>
      </c>
      <c r="C622" s="165" t="s">
        <v>4283</v>
      </c>
      <c r="D622" s="164">
        <v>9648</v>
      </c>
      <c r="E622" s="164">
        <v>13378</v>
      </c>
      <c r="F622" s="164" t="s">
        <v>3404</v>
      </c>
      <c r="G622" s="164">
        <v>2024</v>
      </c>
      <c r="H622" s="175">
        <v>45546</v>
      </c>
      <c r="I622" s="175">
        <v>45553</v>
      </c>
      <c r="J622" s="168" t="s">
        <v>7057</v>
      </c>
      <c r="K622" s="169" t="s">
        <v>4098</v>
      </c>
      <c r="L622" s="129" t="s">
        <v>3127</v>
      </c>
      <c r="M622" s="129" t="s">
        <v>1078</v>
      </c>
      <c r="N622" s="129"/>
      <c r="O622" s="129" t="s">
        <v>3406</v>
      </c>
      <c r="P622" s="146"/>
      <c r="Q622" s="170">
        <v>45554</v>
      </c>
      <c r="R622" s="171" t="s">
        <v>7058</v>
      </c>
      <c r="S622" s="172"/>
    </row>
    <row r="623" spans="1:19" ht="42.75">
      <c r="A623" s="164" t="s">
        <v>776</v>
      </c>
      <c r="B623" s="165" t="s">
        <v>1071</v>
      </c>
      <c r="C623" s="165" t="s">
        <v>4284</v>
      </c>
      <c r="D623" s="164">
        <v>14950</v>
      </c>
      <c r="E623" s="164">
        <v>15612</v>
      </c>
      <c r="F623" s="164" t="s">
        <v>3955</v>
      </c>
      <c r="G623" s="164"/>
      <c r="H623" s="167"/>
      <c r="I623" s="167"/>
      <c r="J623" s="167"/>
      <c r="K623" s="169"/>
      <c r="L623" s="129"/>
      <c r="M623" s="129"/>
      <c r="N623" s="129"/>
      <c r="O623" s="129"/>
      <c r="P623" s="146"/>
      <c r="Q623" s="170"/>
      <c r="R623" s="171"/>
      <c r="S623" s="172"/>
    </row>
    <row r="624" spans="1:19" ht="42.75">
      <c r="A624" s="164" t="s">
        <v>776</v>
      </c>
      <c r="B624" s="165" t="s">
        <v>1071</v>
      </c>
      <c r="C624" s="165" t="s">
        <v>3918</v>
      </c>
      <c r="D624" s="164">
        <v>7021</v>
      </c>
      <c r="E624" s="164">
        <v>8056</v>
      </c>
      <c r="F624" s="164" t="s">
        <v>3955</v>
      </c>
      <c r="G624" s="164"/>
      <c r="H624" s="167"/>
      <c r="I624" s="167"/>
      <c r="J624" s="167"/>
      <c r="K624" s="169"/>
      <c r="L624" s="129"/>
      <c r="M624" s="129"/>
      <c r="N624" s="129"/>
      <c r="O624" s="129"/>
      <c r="P624" s="146"/>
      <c r="Q624" s="170"/>
      <c r="R624" s="171"/>
      <c r="S624" s="172"/>
    </row>
    <row r="625" spans="1:19" ht="42.75">
      <c r="A625" s="164" t="s">
        <v>776</v>
      </c>
      <c r="B625" s="165" t="s">
        <v>4139</v>
      </c>
      <c r="C625" s="165" t="s">
        <v>4140</v>
      </c>
      <c r="D625" s="164">
        <v>7760</v>
      </c>
      <c r="E625" s="164">
        <v>8426</v>
      </c>
      <c r="F625" s="164" t="s">
        <v>3955</v>
      </c>
      <c r="G625" s="164"/>
      <c r="H625" s="167"/>
      <c r="I625" s="167"/>
      <c r="J625" s="167"/>
      <c r="K625" s="169"/>
      <c r="L625" s="129"/>
      <c r="M625" s="129"/>
      <c r="N625" s="129"/>
      <c r="O625" s="129"/>
      <c r="P625" s="146"/>
      <c r="Q625" s="170"/>
      <c r="R625" s="171"/>
      <c r="S625" s="172"/>
    </row>
    <row r="626" spans="1:19" ht="42.75">
      <c r="A626" s="216" t="s">
        <v>776</v>
      </c>
      <c r="B626" s="165" t="s">
        <v>4139</v>
      </c>
      <c r="C626" s="165" t="s">
        <v>4142</v>
      </c>
      <c r="D626" s="164">
        <v>11568</v>
      </c>
      <c r="E626" s="164">
        <v>13232</v>
      </c>
      <c r="F626" s="164" t="s">
        <v>3404</v>
      </c>
      <c r="G626" s="164">
        <v>2024</v>
      </c>
      <c r="H626" s="166">
        <v>45343</v>
      </c>
      <c r="I626" s="167"/>
      <c r="J626" s="168" t="s">
        <v>7059</v>
      </c>
      <c r="K626" s="169"/>
      <c r="L626" s="129" t="s">
        <v>3458</v>
      </c>
      <c r="M626" s="129"/>
      <c r="N626" s="129"/>
      <c r="O626" s="129"/>
      <c r="P626" s="146"/>
      <c r="Q626" s="170"/>
      <c r="R626" s="171"/>
      <c r="S626" s="172"/>
    </row>
    <row r="627" spans="1:19" ht="42.75">
      <c r="A627" s="164" t="s">
        <v>776</v>
      </c>
      <c r="B627" s="165" t="s">
        <v>4139</v>
      </c>
      <c r="C627" s="165" t="s">
        <v>4143</v>
      </c>
      <c r="D627" s="164">
        <v>12589</v>
      </c>
      <c r="E627" s="164">
        <v>12687</v>
      </c>
      <c r="F627" s="164" t="s">
        <v>3404</v>
      </c>
      <c r="G627" s="164">
        <v>2024</v>
      </c>
      <c r="H627" s="166">
        <v>45363</v>
      </c>
      <c r="I627" s="167"/>
      <c r="J627" s="168" t="s">
        <v>7060</v>
      </c>
      <c r="K627" s="169"/>
      <c r="L627" s="129" t="s">
        <v>3416</v>
      </c>
      <c r="M627" s="129"/>
      <c r="N627" s="129"/>
      <c r="O627" s="129"/>
      <c r="P627" s="146"/>
      <c r="Q627" s="170"/>
      <c r="R627" s="171"/>
      <c r="S627" s="172"/>
    </row>
    <row r="628" spans="1:19" ht="42.75">
      <c r="A628" s="164" t="s">
        <v>776</v>
      </c>
      <c r="B628" s="165" t="s">
        <v>4139</v>
      </c>
      <c r="C628" s="165" t="s">
        <v>4144</v>
      </c>
      <c r="D628" s="164">
        <v>2913</v>
      </c>
      <c r="E628" s="164">
        <v>2524</v>
      </c>
      <c r="F628" s="164" t="s">
        <v>3955</v>
      </c>
      <c r="G628" s="164"/>
      <c r="H628" s="167"/>
      <c r="I628" s="167"/>
      <c r="J628" s="167"/>
      <c r="K628" s="169"/>
      <c r="L628" s="129"/>
      <c r="M628" s="129"/>
      <c r="N628" s="129"/>
      <c r="O628" s="129"/>
      <c r="P628" s="146"/>
      <c r="Q628" s="170"/>
      <c r="R628" s="171"/>
      <c r="S628" s="172"/>
    </row>
    <row r="629" spans="1:19" ht="42.75">
      <c r="A629" s="164" t="s">
        <v>776</v>
      </c>
      <c r="B629" s="165" t="s">
        <v>4139</v>
      </c>
      <c r="C629" s="165" t="s">
        <v>4146</v>
      </c>
      <c r="D629" s="164">
        <v>18560</v>
      </c>
      <c r="E629" s="164">
        <v>19195</v>
      </c>
      <c r="F629" s="164" t="s">
        <v>3404</v>
      </c>
      <c r="G629" s="164">
        <v>2024</v>
      </c>
      <c r="H629" s="166">
        <v>45363</v>
      </c>
      <c r="I629" s="167"/>
      <c r="J629" s="168" t="s">
        <v>7061</v>
      </c>
      <c r="K629" s="169"/>
      <c r="L629" s="129" t="s">
        <v>3416</v>
      </c>
      <c r="M629" s="129"/>
      <c r="N629" s="129"/>
      <c r="O629" s="129"/>
      <c r="P629" s="146"/>
      <c r="Q629" s="170"/>
      <c r="R629" s="171"/>
      <c r="S629" s="172"/>
    </row>
    <row r="630" spans="1:19" ht="42.75">
      <c r="A630" s="164" t="s">
        <v>776</v>
      </c>
      <c r="B630" s="165" t="s">
        <v>4139</v>
      </c>
      <c r="C630" s="165" t="s">
        <v>4147</v>
      </c>
      <c r="D630" s="164">
        <v>5317</v>
      </c>
      <c r="E630" s="164">
        <v>5074</v>
      </c>
      <c r="F630" s="164" t="s">
        <v>3955</v>
      </c>
      <c r="G630" s="164"/>
      <c r="H630" s="167"/>
      <c r="I630" s="167"/>
      <c r="J630" s="167"/>
      <c r="K630" s="169"/>
      <c r="L630" s="129"/>
      <c r="M630" s="129"/>
      <c r="N630" s="129"/>
      <c r="O630" s="129"/>
      <c r="P630" s="146"/>
      <c r="Q630" s="170"/>
      <c r="R630" s="171"/>
      <c r="S630" s="172"/>
    </row>
    <row r="631" spans="1:19" ht="42.75">
      <c r="A631" s="164" t="s">
        <v>776</v>
      </c>
      <c r="B631" s="165" t="s">
        <v>4139</v>
      </c>
      <c r="C631" s="165" t="s">
        <v>4148</v>
      </c>
      <c r="D631" s="164">
        <v>8972</v>
      </c>
      <c r="E631" s="164">
        <v>8388</v>
      </c>
      <c r="F631" s="164" t="s">
        <v>3404</v>
      </c>
      <c r="G631" s="164">
        <v>2024</v>
      </c>
      <c r="H631" s="166">
        <v>45363</v>
      </c>
      <c r="I631" s="167"/>
      <c r="J631" s="168" t="s">
        <v>7062</v>
      </c>
      <c r="K631" s="169"/>
      <c r="L631" s="129" t="s">
        <v>3416</v>
      </c>
      <c r="M631" s="129"/>
      <c r="N631" s="129"/>
      <c r="O631" s="129"/>
      <c r="P631" s="146"/>
      <c r="Q631" s="170"/>
      <c r="R631" s="171"/>
      <c r="S631" s="172"/>
    </row>
    <row r="632" spans="1:19" ht="42.75">
      <c r="A632" s="164" t="s">
        <v>776</v>
      </c>
      <c r="B632" s="165" t="s">
        <v>4139</v>
      </c>
      <c r="C632" s="165" t="s">
        <v>4150</v>
      </c>
      <c r="D632" s="164">
        <v>1675</v>
      </c>
      <c r="E632" s="164">
        <v>2683</v>
      </c>
      <c r="F632" s="164" t="s">
        <v>3955</v>
      </c>
      <c r="G632" s="164"/>
      <c r="H632" s="167"/>
      <c r="I632" s="167"/>
      <c r="J632" s="167"/>
      <c r="K632" s="169"/>
      <c r="L632" s="129"/>
      <c r="M632" s="129"/>
      <c r="N632" s="129"/>
      <c r="O632" s="129"/>
      <c r="P632" s="146"/>
      <c r="Q632" s="170"/>
      <c r="R632" s="171"/>
      <c r="S632" s="172"/>
    </row>
    <row r="633" spans="1:19" ht="42.75">
      <c r="A633" s="164" t="s">
        <v>776</v>
      </c>
      <c r="B633" s="165" t="s">
        <v>4139</v>
      </c>
      <c r="C633" s="165" t="s">
        <v>1539</v>
      </c>
      <c r="D633" s="164">
        <v>8032</v>
      </c>
      <c r="E633" s="164">
        <v>9367</v>
      </c>
      <c r="F633" s="164" t="s">
        <v>3404</v>
      </c>
      <c r="G633" s="164">
        <v>2024</v>
      </c>
      <c r="H633" s="166">
        <v>45343</v>
      </c>
      <c r="I633" s="167"/>
      <c r="J633" s="168" t="s">
        <v>7063</v>
      </c>
      <c r="K633" s="169"/>
      <c r="L633" s="129" t="s">
        <v>3458</v>
      </c>
      <c r="M633" s="129"/>
      <c r="N633" s="129"/>
      <c r="O633" s="129"/>
      <c r="P633" s="146"/>
      <c r="Q633" s="170"/>
      <c r="R633" s="171"/>
      <c r="S633" s="172"/>
    </row>
    <row r="634" spans="1:19" ht="42.75">
      <c r="A634" s="164" t="s">
        <v>776</v>
      </c>
      <c r="B634" s="165" t="s">
        <v>4139</v>
      </c>
      <c r="C634" s="165" t="s">
        <v>4152</v>
      </c>
      <c r="D634" s="164">
        <v>3871</v>
      </c>
      <c r="E634" s="164">
        <v>4319</v>
      </c>
      <c r="F634" s="164" t="s">
        <v>3955</v>
      </c>
      <c r="G634" s="164"/>
      <c r="H634" s="167"/>
      <c r="I634" s="167"/>
      <c r="J634" s="167"/>
      <c r="K634" s="169"/>
      <c r="L634" s="129"/>
      <c r="M634" s="129"/>
      <c r="N634" s="129"/>
      <c r="O634" s="129"/>
      <c r="P634" s="146"/>
      <c r="Q634" s="170"/>
      <c r="R634" s="171"/>
      <c r="S634" s="172"/>
    </row>
    <row r="635" spans="1:19" ht="42.75">
      <c r="A635" s="164" t="s">
        <v>776</v>
      </c>
      <c r="B635" s="165" t="s">
        <v>4139</v>
      </c>
      <c r="C635" s="165" t="s">
        <v>4154</v>
      </c>
      <c r="D635" s="164">
        <v>12854</v>
      </c>
      <c r="E635" s="164">
        <v>15592</v>
      </c>
      <c r="F635" s="164" t="s">
        <v>3955</v>
      </c>
      <c r="G635" s="164"/>
      <c r="H635" s="167"/>
      <c r="I635" s="167"/>
      <c r="J635" s="167"/>
      <c r="K635" s="169"/>
      <c r="L635" s="129"/>
      <c r="M635" s="129"/>
      <c r="N635" s="129"/>
      <c r="O635" s="129"/>
      <c r="P635" s="146"/>
      <c r="Q635" s="170"/>
      <c r="R635" s="171"/>
      <c r="S635" s="172"/>
    </row>
    <row r="636" spans="1:19" ht="42.75">
      <c r="A636" s="164" t="s">
        <v>776</v>
      </c>
      <c r="B636" s="165" t="s">
        <v>4139</v>
      </c>
      <c r="C636" s="165" t="s">
        <v>4156</v>
      </c>
      <c r="D636" s="164">
        <v>10552</v>
      </c>
      <c r="E636" s="164">
        <v>12742</v>
      </c>
      <c r="F636" s="164" t="s">
        <v>3955</v>
      </c>
      <c r="G636" s="164"/>
      <c r="H636" s="167"/>
      <c r="I636" s="167"/>
      <c r="J636" s="167"/>
      <c r="K636" s="169"/>
      <c r="L636" s="129"/>
      <c r="M636" s="129"/>
      <c r="N636" s="129"/>
      <c r="O636" s="129"/>
      <c r="P636" s="146"/>
      <c r="Q636" s="170"/>
      <c r="R636" s="171"/>
      <c r="S636" s="172"/>
    </row>
    <row r="637" spans="1:19" ht="42.75">
      <c r="A637" s="164" t="s">
        <v>776</v>
      </c>
      <c r="B637" s="165" t="s">
        <v>4139</v>
      </c>
      <c r="C637" s="165" t="s">
        <v>4158</v>
      </c>
      <c r="D637" s="164">
        <v>1584</v>
      </c>
      <c r="E637" s="164">
        <v>1615</v>
      </c>
      <c r="F637" s="164" t="s">
        <v>3955</v>
      </c>
      <c r="G637" s="164"/>
      <c r="H637" s="167"/>
      <c r="I637" s="167"/>
      <c r="J637" s="167"/>
      <c r="K637" s="169"/>
      <c r="L637" s="129"/>
      <c r="M637" s="129"/>
      <c r="N637" s="129"/>
      <c r="O637" s="129"/>
      <c r="P637" s="146"/>
      <c r="Q637" s="170"/>
      <c r="R637" s="171"/>
      <c r="S637" s="172"/>
    </row>
    <row r="638" spans="1:19" ht="42.75">
      <c r="A638" s="164" t="s">
        <v>776</v>
      </c>
      <c r="B638" s="165" t="s">
        <v>4139</v>
      </c>
      <c r="C638" s="165" t="s">
        <v>1831</v>
      </c>
      <c r="D638" s="164">
        <v>3412</v>
      </c>
      <c r="E638" s="164">
        <v>2903</v>
      </c>
      <c r="F638" s="164" t="s">
        <v>3404</v>
      </c>
      <c r="G638" s="164">
        <v>2024</v>
      </c>
      <c r="H638" s="166">
        <v>45363</v>
      </c>
      <c r="I638" s="167"/>
      <c r="J638" s="168" t="s">
        <v>7064</v>
      </c>
      <c r="K638" s="169"/>
      <c r="L638" s="129" t="s">
        <v>3416</v>
      </c>
      <c r="M638" s="129"/>
      <c r="N638" s="129"/>
      <c r="O638" s="129"/>
      <c r="P638" s="146"/>
      <c r="Q638" s="170"/>
      <c r="R638" s="171"/>
      <c r="S638" s="172"/>
    </row>
    <row r="639" spans="1:19" ht="42.75">
      <c r="A639" s="164" t="s">
        <v>776</v>
      </c>
      <c r="B639" s="165" t="s">
        <v>4139</v>
      </c>
      <c r="C639" s="165" t="s">
        <v>4159</v>
      </c>
      <c r="D639" s="164">
        <v>22205</v>
      </c>
      <c r="E639" s="164">
        <v>21540</v>
      </c>
      <c r="F639" s="164" t="s">
        <v>3404</v>
      </c>
      <c r="G639" s="164">
        <v>2024</v>
      </c>
      <c r="H639" s="166">
        <v>45363</v>
      </c>
      <c r="I639" s="167"/>
      <c r="J639" s="168" t="s">
        <v>7065</v>
      </c>
      <c r="K639" s="169"/>
      <c r="L639" s="129" t="s">
        <v>3416</v>
      </c>
      <c r="M639" s="129"/>
      <c r="N639" s="129"/>
      <c r="O639" s="129"/>
      <c r="P639" s="146"/>
      <c r="Q639" s="170"/>
      <c r="R639" s="171"/>
      <c r="S639" s="172"/>
    </row>
    <row r="640" spans="1:19" ht="42.75">
      <c r="A640" s="164" t="s">
        <v>776</v>
      </c>
      <c r="B640" s="165" t="s">
        <v>4139</v>
      </c>
      <c r="C640" s="165" t="s">
        <v>1086</v>
      </c>
      <c r="D640" s="164">
        <v>6166</v>
      </c>
      <c r="E640" s="164">
        <v>7752</v>
      </c>
      <c r="F640" s="164" t="s">
        <v>3404</v>
      </c>
      <c r="G640" s="164">
        <v>2024</v>
      </c>
      <c r="H640" s="166">
        <v>45343</v>
      </c>
      <c r="I640" s="167"/>
      <c r="J640" s="168" t="s">
        <v>7066</v>
      </c>
      <c r="K640" s="169"/>
      <c r="L640" s="129" t="s">
        <v>3458</v>
      </c>
      <c r="M640" s="129"/>
      <c r="N640" s="129"/>
      <c r="O640" s="129"/>
      <c r="P640" s="146"/>
      <c r="Q640" s="170"/>
      <c r="R640" s="171"/>
      <c r="S640" s="172"/>
    </row>
    <row r="641" spans="1:19" ht="42.75">
      <c r="A641" s="164" t="s">
        <v>776</v>
      </c>
      <c r="B641" s="165" t="s">
        <v>4139</v>
      </c>
      <c r="C641" s="165" t="s">
        <v>4160</v>
      </c>
      <c r="D641" s="164">
        <v>15264</v>
      </c>
      <c r="E641" s="164">
        <v>17171</v>
      </c>
      <c r="F641" s="164" t="s">
        <v>3404</v>
      </c>
      <c r="G641" s="164">
        <v>2024</v>
      </c>
      <c r="H641" s="166">
        <v>45363</v>
      </c>
      <c r="I641" s="167"/>
      <c r="J641" s="168" t="s">
        <v>7067</v>
      </c>
      <c r="K641" s="169"/>
      <c r="L641" s="129" t="s">
        <v>3416</v>
      </c>
      <c r="M641" s="129"/>
      <c r="N641" s="129"/>
      <c r="O641" s="129"/>
      <c r="P641" s="146"/>
      <c r="Q641" s="170"/>
      <c r="R641" s="171"/>
      <c r="S641" s="172"/>
    </row>
    <row r="642" spans="1:19" ht="42.75">
      <c r="A642" s="216" t="s">
        <v>776</v>
      </c>
      <c r="B642" s="165" t="s">
        <v>4139</v>
      </c>
      <c r="C642" s="165" t="s">
        <v>1197</v>
      </c>
      <c r="D642" s="164">
        <v>11804</v>
      </c>
      <c r="E642" s="164">
        <v>12577</v>
      </c>
      <c r="F642" s="164" t="s">
        <v>3404</v>
      </c>
      <c r="G642" s="164">
        <v>2024</v>
      </c>
      <c r="H642" s="166">
        <v>45343</v>
      </c>
      <c r="I642" s="167"/>
      <c r="J642" s="168" t="s">
        <v>7068</v>
      </c>
      <c r="K642" s="169"/>
      <c r="L642" s="129" t="s">
        <v>3458</v>
      </c>
      <c r="M642" s="129"/>
      <c r="N642" s="129"/>
      <c r="O642" s="129"/>
      <c r="P642" s="146"/>
      <c r="Q642" s="170"/>
      <c r="R642" s="171"/>
      <c r="S642" s="172"/>
    </row>
    <row r="643" spans="1:19" ht="42.75">
      <c r="A643" s="216" t="s">
        <v>776</v>
      </c>
      <c r="B643" s="165" t="s">
        <v>4139</v>
      </c>
      <c r="C643" s="165" t="s">
        <v>4022</v>
      </c>
      <c r="D643" s="164">
        <v>17251</v>
      </c>
      <c r="E643" s="164">
        <v>18848</v>
      </c>
      <c r="F643" s="164" t="s">
        <v>3404</v>
      </c>
      <c r="G643" s="164">
        <v>2024</v>
      </c>
      <c r="H643" s="166">
        <v>45343</v>
      </c>
      <c r="I643" s="167"/>
      <c r="J643" s="168" t="s">
        <v>7069</v>
      </c>
      <c r="K643" s="169"/>
      <c r="L643" s="129" t="s">
        <v>3458</v>
      </c>
      <c r="M643" s="129"/>
      <c r="N643" s="129"/>
      <c r="O643" s="129"/>
      <c r="P643" s="146"/>
      <c r="Q643" s="170"/>
      <c r="R643" s="171"/>
      <c r="S643" s="172"/>
    </row>
    <row r="644" spans="1:19" ht="42.75">
      <c r="A644" s="164" t="s">
        <v>776</v>
      </c>
      <c r="B644" s="165" t="s">
        <v>4139</v>
      </c>
      <c r="C644" s="165" t="s">
        <v>1056</v>
      </c>
      <c r="D644" s="164">
        <v>348</v>
      </c>
      <c r="E644" s="164">
        <v>304</v>
      </c>
      <c r="F644" s="164" t="s">
        <v>3955</v>
      </c>
      <c r="G644" s="164">
        <v>2025</v>
      </c>
      <c r="H644" s="167"/>
      <c r="I644" s="167"/>
      <c r="J644" s="167"/>
      <c r="K644" s="169"/>
      <c r="L644" s="129" t="s">
        <v>3424</v>
      </c>
      <c r="M644" s="129"/>
      <c r="N644" s="129"/>
      <c r="O644" s="129"/>
      <c r="P644" s="146"/>
      <c r="Q644" s="170"/>
      <c r="R644" s="171"/>
      <c r="S644" s="172"/>
    </row>
    <row r="645" spans="1:19" ht="42.75">
      <c r="A645" s="164" t="s">
        <v>776</v>
      </c>
      <c r="B645" s="165" t="s">
        <v>4139</v>
      </c>
      <c r="C645" s="165" t="s">
        <v>1088</v>
      </c>
      <c r="D645" s="164">
        <v>10347</v>
      </c>
      <c r="E645" s="164">
        <v>11024</v>
      </c>
      <c r="F645" s="164" t="s">
        <v>3955</v>
      </c>
      <c r="G645" s="164"/>
      <c r="H645" s="167"/>
      <c r="I645" s="167"/>
      <c r="J645" s="167"/>
      <c r="K645" s="169"/>
      <c r="L645" s="129"/>
      <c r="M645" s="129"/>
      <c r="N645" s="129"/>
      <c r="O645" s="129"/>
      <c r="P645" s="146"/>
      <c r="Q645" s="170"/>
      <c r="R645" s="171"/>
      <c r="S645" s="172"/>
    </row>
    <row r="646" spans="1:19" ht="42.75">
      <c r="A646" s="164" t="s">
        <v>776</v>
      </c>
      <c r="B646" s="165" t="s">
        <v>4139</v>
      </c>
      <c r="C646" s="165" t="s">
        <v>4162</v>
      </c>
      <c r="D646" s="164">
        <v>1288</v>
      </c>
      <c r="E646" s="164">
        <v>1313</v>
      </c>
      <c r="F646" s="164" t="s">
        <v>3955</v>
      </c>
      <c r="G646" s="164"/>
      <c r="H646" s="167"/>
      <c r="I646" s="167"/>
      <c r="J646" s="167"/>
      <c r="K646" s="169"/>
      <c r="L646" s="129"/>
      <c r="M646" s="129"/>
      <c r="N646" s="129"/>
      <c r="O646" s="129"/>
      <c r="P646" s="146"/>
      <c r="Q646" s="170"/>
      <c r="R646" s="171"/>
      <c r="S646" s="172"/>
    </row>
    <row r="647" spans="1:19" ht="42.75">
      <c r="A647" s="164" t="s">
        <v>776</v>
      </c>
      <c r="B647" s="165" t="s">
        <v>4139</v>
      </c>
      <c r="C647" s="165" t="s">
        <v>3857</v>
      </c>
      <c r="D647" s="164">
        <v>4407</v>
      </c>
      <c r="E647" s="164">
        <v>4852</v>
      </c>
      <c r="F647" s="164" t="s">
        <v>3404</v>
      </c>
      <c r="G647" s="164">
        <v>2024</v>
      </c>
      <c r="H647" s="166">
        <v>45363</v>
      </c>
      <c r="I647" s="167"/>
      <c r="J647" s="168" t="s">
        <v>7070</v>
      </c>
      <c r="K647" s="169"/>
      <c r="L647" s="129" t="s">
        <v>3416</v>
      </c>
      <c r="M647" s="129"/>
      <c r="N647" s="129"/>
      <c r="O647" s="129"/>
      <c r="P647" s="146"/>
      <c r="Q647" s="170"/>
      <c r="R647" s="171"/>
      <c r="S647" s="172"/>
    </row>
    <row r="648" spans="1:19" ht="42.75">
      <c r="A648" s="164" t="s">
        <v>776</v>
      </c>
      <c r="B648" s="165" t="s">
        <v>4139</v>
      </c>
      <c r="C648" s="165" t="s">
        <v>4165</v>
      </c>
      <c r="D648" s="164">
        <v>2255</v>
      </c>
      <c r="E648" s="164">
        <v>2280</v>
      </c>
      <c r="F648" s="164" t="s">
        <v>3955</v>
      </c>
      <c r="G648" s="164"/>
      <c r="H648" s="167"/>
      <c r="I648" s="167"/>
      <c r="J648" s="167"/>
      <c r="K648" s="169"/>
      <c r="L648" s="129"/>
      <c r="M648" s="129"/>
      <c r="N648" s="129"/>
      <c r="O648" s="129"/>
      <c r="P648" s="146"/>
      <c r="Q648" s="170"/>
      <c r="R648" s="171"/>
      <c r="S648" s="172"/>
    </row>
    <row r="649" spans="1:19" ht="42.75">
      <c r="A649" s="164" t="s">
        <v>776</v>
      </c>
      <c r="B649" s="165" t="s">
        <v>4139</v>
      </c>
      <c r="C649" s="165" t="s">
        <v>4167</v>
      </c>
      <c r="D649" s="164">
        <v>2646</v>
      </c>
      <c r="E649" s="164">
        <v>2370</v>
      </c>
      <c r="F649" s="164" t="s">
        <v>3955</v>
      </c>
      <c r="G649" s="164"/>
      <c r="H649" s="167"/>
      <c r="I649" s="167"/>
      <c r="J649" s="167"/>
      <c r="K649" s="169"/>
      <c r="L649" s="129"/>
      <c r="M649" s="129"/>
      <c r="N649" s="129"/>
      <c r="O649" s="129"/>
      <c r="P649" s="146"/>
      <c r="Q649" s="170"/>
      <c r="R649" s="171"/>
      <c r="S649" s="172"/>
    </row>
    <row r="650" spans="1:19" ht="42.75">
      <c r="A650" s="164" t="s">
        <v>776</v>
      </c>
      <c r="B650" s="165" t="s">
        <v>4139</v>
      </c>
      <c r="C650" s="165" t="s">
        <v>1083</v>
      </c>
      <c r="D650" s="164">
        <v>5443</v>
      </c>
      <c r="E650" s="164">
        <v>6895</v>
      </c>
      <c r="F650" s="164" t="s">
        <v>3955</v>
      </c>
      <c r="G650" s="164"/>
      <c r="H650" s="167"/>
      <c r="I650" s="167"/>
      <c r="J650" s="167"/>
      <c r="K650" s="169"/>
      <c r="L650" s="129"/>
      <c r="M650" s="129"/>
      <c r="N650" s="129"/>
      <c r="O650" s="129"/>
      <c r="P650" s="146"/>
      <c r="Q650" s="170"/>
      <c r="R650" s="171"/>
      <c r="S650" s="172"/>
    </row>
    <row r="651" spans="1:19" ht="42.75">
      <c r="A651" s="164" t="s">
        <v>776</v>
      </c>
      <c r="B651" s="165" t="s">
        <v>1090</v>
      </c>
      <c r="C651" s="165" t="s">
        <v>3591</v>
      </c>
      <c r="D651" s="164">
        <v>1419</v>
      </c>
      <c r="E651" s="164">
        <v>907</v>
      </c>
      <c r="F651" s="164" t="s">
        <v>3955</v>
      </c>
      <c r="G651" s="164"/>
      <c r="H651" s="167"/>
      <c r="I651" s="167"/>
      <c r="J651" s="167"/>
      <c r="K651" s="169"/>
      <c r="L651" s="129"/>
      <c r="M651" s="129"/>
      <c r="N651" s="129"/>
      <c r="O651" s="129"/>
      <c r="P651" s="146"/>
      <c r="Q651" s="170"/>
      <c r="R651" s="171"/>
      <c r="S651" s="172"/>
    </row>
    <row r="652" spans="1:19" ht="42.75">
      <c r="A652" s="164" t="s">
        <v>776</v>
      </c>
      <c r="B652" s="165" t="s">
        <v>1090</v>
      </c>
      <c r="C652" s="165" t="s">
        <v>4288</v>
      </c>
      <c r="D652" s="164">
        <v>523</v>
      </c>
      <c r="E652" s="164">
        <v>548</v>
      </c>
      <c r="F652" s="164" t="s">
        <v>3955</v>
      </c>
      <c r="G652" s="164"/>
      <c r="H652" s="167"/>
      <c r="I652" s="167"/>
      <c r="J652" s="167"/>
      <c r="K652" s="169"/>
      <c r="L652" s="129"/>
      <c r="M652" s="129"/>
      <c r="N652" s="129"/>
      <c r="O652" s="129"/>
      <c r="P652" s="146"/>
      <c r="Q652" s="170"/>
      <c r="R652" s="171"/>
      <c r="S652" s="172"/>
    </row>
    <row r="653" spans="1:19" ht="42.75">
      <c r="A653" s="216" t="s">
        <v>776</v>
      </c>
      <c r="B653" s="165" t="s">
        <v>1090</v>
      </c>
      <c r="C653" s="165" t="s">
        <v>4290</v>
      </c>
      <c r="D653" s="164">
        <v>12118</v>
      </c>
      <c r="E653" s="164">
        <v>15119</v>
      </c>
      <c r="F653" s="164" t="s">
        <v>3404</v>
      </c>
      <c r="G653" s="164">
        <v>2024</v>
      </c>
      <c r="H653" s="166">
        <v>45335</v>
      </c>
      <c r="I653" s="226"/>
      <c r="J653" s="227" t="s">
        <v>7071</v>
      </c>
      <c r="K653" s="169"/>
      <c r="L653" s="129" t="s">
        <v>3458</v>
      </c>
      <c r="M653" s="129"/>
      <c r="N653" s="129"/>
      <c r="O653" s="129"/>
      <c r="P653" s="146"/>
      <c r="Q653" s="170"/>
      <c r="R653" s="171"/>
      <c r="S653" s="172"/>
    </row>
    <row r="654" spans="1:19" ht="42.75">
      <c r="A654" s="216" t="s">
        <v>776</v>
      </c>
      <c r="B654" s="165" t="s">
        <v>1090</v>
      </c>
      <c r="C654" s="165" t="s">
        <v>1091</v>
      </c>
      <c r="D654" s="164">
        <v>10177</v>
      </c>
      <c r="E654" s="164">
        <v>18427</v>
      </c>
      <c r="F654" s="164" t="s">
        <v>3404</v>
      </c>
      <c r="G654" s="164">
        <v>2024</v>
      </c>
      <c r="H654" s="166">
        <v>45335</v>
      </c>
      <c r="I654" s="167"/>
      <c r="J654" s="168" t="s">
        <v>7072</v>
      </c>
      <c r="K654" s="169"/>
      <c r="L654" s="129" t="s">
        <v>3458</v>
      </c>
      <c r="M654" s="129"/>
      <c r="N654" s="129"/>
      <c r="O654" s="129"/>
      <c r="P654" s="146"/>
      <c r="Q654" s="170"/>
      <c r="R654" s="171"/>
      <c r="S654" s="172"/>
    </row>
    <row r="655" spans="1:19" ht="42.75">
      <c r="A655" s="164" t="s">
        <v>776</v>
      </c>
      <c r="B655" s="165" t="s">
        <v>1090</v>
      </c>
      <c r="C655" s="165" t="s">
        <v>1093</v>
      </c>
      <c r="D655" s="164">
        <v>12025</v>
      </c>
      <c r="E655" s="164">
        <v>13553</v>
      </c>
      <c r="F655" s="164" t="s">
        <v>3404</v>
      </c>
      <c r="G655" s="164">
        <v>2024</v>
      </c>
      <c r="H655" s="166">
        <v>45335</v>
      </c>
      <c r="I655" s="167"/>
      <c r="J655" s="168" t="s">
        <v>7073</v>
      </c>
      <c r="K655" s="169"/>
      <c r="L655" s="129" t="s">
        <v>3458</v>
      </c>
      <c r="M655" s="129"/>
      <c r="N655" s="129"/>
      <c r="O655" s="129"/>
      <c r="P655" s="146"/>
      <c r="Q655" s="170"/>
      <c r="R655" s="171"/>
      <c r="S655" s="172"/>
    </row>
    <row r="656" spans="1:19" ht="42.75">
      <c r="A656" s="216" t="s">
        <v>776</v>
      </c>
      <c r="B656" s="165" t="s">
        <v>1090</v>
      </c>
      <c r="C656" s="165" t="s">
        <v>4199</v>
      </c>
      <c r="D656" s="164">
        <v>10038</v>
      </c>
      <c r="E656" s="164">
        <v>11186</v>
      </c>
      <c r="F656" s="164" t="s">
        <v>3404</v>
      </c>
      <c r="G656" s="164">
        <v>2024</v>
      </c>
      <c r="H656" s="166">
        <v>45335</v>
      </c>
      <c r="I656" s="167"/>
      <c r="J656" s="168" t="s">
        <v>7074</v>
      </c>
      <c r="K656" s="169"/>
      <c r="L656" s="129" t="s">
        <v>3458</v>
      </c>
      <c r="M656" s="129"/>
      <c r="N656" s="129"/>
      <c r="O656" s="129"/>
      <c r="P656" s="146"/>
      <c r="Q656" s="170"/>
      <c r="R656" s="171"/>
      <c r="S656" s="172"/>
    </row>
    <row r="657" spans="1:19" ht="42.75">
      <c r="A657" s="216" t="s">
        <v>776</v>
      </c>
      <c r="B657" s="165" t="s">
        <v>1090</v>
      </c>
      <c r="C657" s="165" t="s">
        <v>4292</v>
      </c>
      <c r="D657" s="164">
        <v>5422</v>
      </c>
      <c r="E657" s="164">
        <v>6827</v>
      </c>
      <c r="F657" s="164" t="s">
        <v>3955</v>
      </c>
      <c r="G657" s="164"/>
      <c r="H657" s="167"/>
      <c r="I657" s="167"/>
      <c r="J657" s="167"/>
      <c r="K657" s="169"/>
      <c r="L657" s="129"/>
      <c r="M657" s="129"/>
      <c r="N657" s="129"/>
      <c r="O657" s="129"/>
      <c r="P657" s="146"/>
      <c r="Q657" s="170"/>
      <c r="R657" s="171"/>
      <c r="S657" s="172"/>
    </row>
    <row r="658" spans="1:19" ht="42.75">
      <c r="A658" s="164" t="s">
        <v>776</v>
      </c>
      <c r="B658" s="165" t="s">
        <v>1090</v>
      </c>
      <c r="C658" s="165" t="s">
        <v>4293</v>
      </c>
      <c r="D658" s="164">
        <v>1996</v>
      </c>
      <c r="E658" s="164">
        <v>1799</v>
      </c>
      <c r="F658" s="164" t="s">
        <v>3955</v>
      </c>
      <c r="G658" s="164"/>
      <c r="H658" s="167"/>
      <c r="I658" s="167"/>
      <c r="J658" s="167"/>
      <c r="K658" s="169"/>
      <c r="L658" s="129"/>
      <c r="M658" s="129"/>
      <c r="N658" s="129"/>
      <c r="O658" s="129"/>
      <c r="P658" s="146"/>
      <c r="Q658" s="170"/>
      <c r="R658" s="171"/>
      <c r="S658" s="172"/>
    </row>
    <row r="659" spans="1:19" ht="42.75">
      <c r="A659" s="164" t="s">
        <v>776</v>
      </c>
      <c r="B659" s="165" t="s">
        <v>1090</v>
      </c>
      <c r="C659" s="165" t="s">
        <v>1056</v>
      </c>
      <c r="D659" s="164">
        <v>16262</v>
      </c>
      <c r="E659" s="164">
        <v>15265</v>
      </c>
      <c r="F659" s="164" t="s">
        <v>3955</v>
      </c>
      <c r="G659" s="164"/>
      <c r="H659" s="167"/>
      <c r="I659" s="167"/>
      <c r="J659" s="167"/>
      <c r="K659" s="169"/>
      <c r="L659" s="129"/>
      <c r="M659" s="129"/>
      <c r="N659" s="129"/>
      <c r="O659" s="129"/>
      <c r="P659" s="146"/>
      <c r="Q659" s="170"/>
      <c r="R659" s="171"/>
      <c r="S659" s="172"/>
    </row>
    <row r="660" spans="1:19" ht="42.75">
      <c r="A660" s="216" t="s">
        <v>776</v>
      </c>
      <c r="B660" s="165" t="s">
        <v>1090</v>
      </c>
      <c r="C660" s="165" t="s">
        <v>4294</v>
      </c>
      <c r="D660" s="164">
        <v>8630</v>
      </c>
      <c r="E660" s="164">
        <v>12145</v>
      </c>
      <c r="F660" s="164" t="s">
        <v>3955</v>
      </c>
      <c r="G660" s="164"/>
      <c r="H660" s="167"/>
      <c r="I660" s="167"/>
      <c r="J660" s="167"/>
      <c r="K660" s="169"/>
      <c r="L660" s="129"/>
      <c r="M660" s="129"/>
      <c r="N660" s="129"/>
      <c r="O660" s="129"/>
      <c r="P660" s="146"/>
      <c r="Q660" s="170"/>
      <c r="R660" s="171"/>
      <c r="S660" s="172"/>
    </row>
    <row r="661" spans="1:19" ht="42.75">
      <c r="A661" s="164" t="s">
        <v>776</v>
      </c>
      <c r="B661" s="165" t="s">
        <v>1090</v>
      </c>
      <c r="C661" s="165" t="s">
        <v>4295</v>
      </c>
      <c r="D661" s="164">
        <v>16058</v>
      </c>
      <c r="E661" s="164">
        <v>23678</v>
      </c>
      <c r="F661" s="164" t="s">
        <v>3404</v>
      </c>
      <c r="G661" s="164">
        <v>2024</v>
      </c>
      <c r="H661" s="175">
        <v>45422</v>
      </c>
      <c r="I661" s="175">
        <v>45428</v>
      </c>
      <c r="J661" s="168" t="s">
        <v>7075</v>
      </c>
      <c r="K661" s="174">
        <v>45429</v>
      </c>
      <c r="L661" s="129" t="s">
        <v>3532</v>
      </c>
      <c r="M661" s="129"/>
      <c r="N661" s="129"/>
      <c r="O661" s="129" t="s">
        <v>3406</v>
      </c>
      <c r="P661" s="146"/>
      <c r="Q661" s="170">
        <v>45429</v>
      </c>
      <c r="R661" s="171"/>
      <c r="S661" s="172"/>
    </row>
    <row r="662" spans="1:19" ht="42.75">
      <c r="A662" s="164" t="s">
        <v>776</v>
      </c>
      <c r="B662" s="165" t="s">
        <v>1090</v>
      </c>
      <c r="C662" s="165" t="s">
        <v>950</v>
      </c>
      <c r="D662" s="164">
        <v>1990</v>
      </c>
      <c r="E662" s="164">
        <v>2402</v>
      </c>
      <c r="F662" s="164" t="s">
        <v>3955</v>
      </c>
      <c r="G662" s="164"/>
      <c r="H662" s="167"/>
      <c r="I662" s="167"/>
      <c r="J662" s="167"/>
      <c r="K662" s="169"/>
      <c r="L662" s="129"/>
      <c r="M662" s="129"/>
      <c r="N662" s="129"/>
      <c r="O662" s="129"/>
      <c r="P662" s="146"/>
      <c r="Q662" s="170"/>
      <c r="R662" s="171"/>
      <c r="S662" s="172"/>
    </row>
    <row r="663" spans="1:19" ht="42.75">
      <c r="A663" s="164" t="s">
        <v>776</v>
      </c>
      <c r="B663" s="165" t="s">
        <v>1090</v>
      </c>
      <c r="C663" s="165" t="s">
        <v>4291</v>
      </c>
      <c r="D663" s="164">
        <v>14690</v>
      </c>
      <c r="E663" s="164">
        <v>14208</v>
      </c>
      <c r="F663" s="164" t="s">
        <v>3955</v>
      </c>
      <c r="G663" s="164"/>
      <c r="H663" s="167"/>
      <c r="I663" s="167"/>
      <c r="J663" s="167"/>
      <c r="K663" s="169"/>
      <c r="L663" s="129"/>
      <c r="M663" s="129"/>
      <c r="N663" s="129"/>
      <c r="O663" s="129"/>
      <c r="P663" s="146"/>
      <c r="Q663" s="170"/>
      <c r="R663" s="171"/>
      <c r="S663" s="172"/>
    </row>
    <row r="664" spans="1:19" ht="42.75">
      <c r="A664" s="164" t="s">
        <v>776</v>
      </c>
      <c r="B664" s="165" t="s">
        <v>1102</v>
      </c>
      <c r="C664" s="165" t="s">
        <v>902</v>
      </c>
      <c r="D664" s="164">
        <v>5218</v>
      </c>
      <c r="E664" s="164">
        <v>5045</v>
      </c>
      <c r="F664" s="164" t="s">
        <v>3955</v>
      </c>
      <c r="G664" s="164"/>
      <c r="H664" s="167"/>
      <c r="I664" s="167"/>
      <c r="J664" s="167"/>
      <c r="K664" s="169"/>
      <c r="L664" s="129"/>
      <c r="M664" s="129"/>
      <c r="N664" s="129"/>
      <c r="O664" s="129"/>
      <c r="P664" s="146"/>
      <c r="Q664" s="170"/>
      <c r="R664" s="171"/>
      <c r="S664" s="172"/>
    </row>
    <row r="665" spans="1:19" ht="42.75">
      <c r="A665" s="164" t="s">
        <v>776</v>
      </c>
      <c r="B665" s="165" t="s">
        <v>1102</v>
      </c>
      <c r="C665" s="165" t="s">
        <v>4296</v>
      </c>
      <c r="D665" s="164">
        <v>3164</v>
      </c>
      <c r="E665" s="164">
        <v>3238</v>
      </c>
      <c r="F665" s="164" t="s">
        <v>3955</v>
      </c>
      <c r="G665" s="164"/>
      <c r="H665" s="167"/>
      <c r="I665" s="167"/>
      <c r="J665" s="167"/>
      <c r="K665" s="169"/>
      <c r="L665" s="129"/>
      <c r="M665" s="129"/>
      <c r="N665" s="129"/>
      <c r="O665" s="129"/>
      <c r="P665" s="146"/>
      <c r="Q665" s="170"/>
      <c r="R665" s="171"/>
      <c r="S665" s="172"/>
    </row>
    <row r="666" spans="1:19" ht="42.75">
      <c r="A666" s="164" t="s">
        <v>776</v>
      </c>
      <c r="B666" s="165" t="s">
        <v>1102</v>
      </c>
      <c r="C666" s="165" t="s">
        <v>4150</v>
      </c>
      <c r="D666" s="164">
        <v>2503</v>
      </c>
      <c r="E666" s="164">
        <v>2465</v>
      </c>
      <c r="F666" s="164" t="s">
        <v>3955</v>
      </c>
      <c r="G666" s="164"/>
      <c r="H666" s="167"/>
      <c r="I666" s="167"/>
      <c r="J666" s="167"/>
      <c r="K666" s="169"/>
      <c r="L666" s="129"/>
      <c r="M666" s="129"/>
      <c r="N666" s="129"/>
      <c r="O666" s="129"/>
      <c r="P666" s="146"/>
      <c r="Q666" s="170"/>
      <c r="R666" s="171"/>
      <c r="S666" s="172"/>
    </row>
    <row r="667" spans="1:19" ht="42.75">
      <c r="A667" s="164" t="s">
        <v>776</v>
      </c>
      <c r="B667" s="165" t="s">
        <v>1102</v>
      </c>
      <c r="C667" s="165" t="s">
        <v>4154</v>
      </c>
      <c r="D667" s="164">
        <v>8452</v>
      </c>
      <c r="E667" s="164">
        <v>8885</v>
      </c>
      <c r="F667" s="164" t="s">
        <v>3955</v>
      </c>
      <c r="G667" s="164"/>
      <c r="H667" s="167"/>
      <c r="I667" s="167"/>
      <c r="J667" s="167"/>
      <c r="K667" s="169"/>
      <c r="L667" s="129"/>
      <c r="M667" s="129"/>
      <c r="N667" s="129"/>
      <c r="O667" s="129"/>
      <c r="P667" s="146"/>
      <c r="Q667" s="170"/>
      <c r="R667" s="171"/>
      <c r="S667" s="172"/>
    </row>
    <row r="668" spans="1:19" ht="42.75">
      <c r="A668" s="164" t="s">
        <v>776</v>
      </c>
      <c r="B668" s="165" t="s">
        <v>1102</v>
      </c>
      <c r="C668" s="165" t="s">
        <v>4301</v>
      </c>
      <c r="D668" s="164">
        <v>1575</v>
      </c>
      <c r="E668" s="164">
        <v>1575</v>
      </c>
      <c r="F668" s="164" t="s">
        <v>3955</v>
      </c>
      <c r="G668" s="164"/>
      <c r="H668" s="167"/>
      <c r="I668" s="167"/>
      <c r="J668" s="167"/>
      <c r="K668" s="169"/>
      <c r="L668" s="129"/>
      <c r="M668" s="129"/>
      <c r="N668" s="129"/>
      <c r="O668" s="129"/>
      <c r="P668" s="146"/>
      <c r="Q668" s="170"/>
      <c r="R668" s="171"/>
      <c r="S668" s="172"/>
    </row>
    <row r="669" spans="1:19" ht="42.75">
      <c r="A669" s="164" t="s">
        <v>776</v>
      </c>
      <c r="B669" s="165" t="s">
        <v>1102</v>
      </c>
      <c r="C669" s="165" t="s">
        <v>4298</v>
      </c>
      <c r="D669" s="164">
        <v>6866</v>
      </c>
      <c r="E669" s="164">
        <v>7078</v>
      </c>
      <c r="F669" s="164" t="s">
        <v>3404</v>
      </c>
      <c r="G669" s="164">
        <v>2024</v>
      </c>
      <c r="H669" s="175">
        <v>45450</v>
      </c>
      <c r="I669" s="175">
        <v>45460</v>
      </c>
      <c r="J669" s="168" t="s">
        <v>7076</v>
      </c>
      <c r="K669" s="174">
        <v>45463</v>
      </c>
      <c r="L669" s="129" t="s">
        <v>3689</v>
      </c>
      <c r="M669" s="129"/>
      <c r="N669" s="129"/>
      <c r="O669" s="129" t="s">
        <v>3406</v>
      </c>
      <c r="P669" s="146"/>
      <c r="Q669" s="170">
        <v>45464</v>
      </c>
      <c r="R669" s="171"/>
      <c r="S669" s="172"/>
    </row>
    <row r="670" spans="1:19" ht="42.75">
      <c r="A670" s="164" t="s">
        <v>776</v>
      </c>
      <c r="B670" s="165" t="s">
        <v>1102</v>
      </c>
      <c r="C670" s="165" t="s">
        <v>4299</v>
      </c>
      <c r="D670" s="164">
        <v>3458</v>
      </c>
      <c r="E670" s="164">
        <v>3448</v>
      </c>
      <c r="F670" s="164" t="s">
        <v>3955</v>
      </c>
      <c r="G670" s="164"/>
      <c r="H670" s="167"/>
      <c r="I670" s="167"/>
      <c r="J670" s="167"/>
      <c r="K670" s="169"/>
      <c r="L670" s="129"/>
      <c r="M670" s="129"/>
      <c r="N670" s="129"/>
      <c r="O670" s="129"/>
      <c r="P670" s="146"/>
      <c r="Q670" s="170"/>
      <c r="R670" s="171"/>
      <c r="S670" s="172"/>
    </row>
    <row r="671" spans="1:19" ht="42.75">
      <c r="A671" s="164" t="s">
        <v>776</v>
      </c>
      <c r="B671" s="165" t="s">
        <v>1102</v>
      </c>
      <c r="C671" s="165" t="s">
        <v>4300</v>
      </c>
      <c r="D671" s="164">
        <v>6113</v>
      </c>
      <c r="E671" s="164">
        <v>5500</v>
      </c>
      <c r="F671" s="164" t="s">
        <v>3955</v>
      </c>
      <c r="G671" s="164"/>
      <c r="H671" s="167"/>
      <c r="I671" s="167"/>
      <c r="J671" s="167"/>
      <c r="K671" s="169"/>
      <c r="L671" s="129"/>
      <c r="M671" s="129"/>
      <c r="N671" s="129"/>
      <c r="O671" s="129"/>
      <c r="P671" s="146"/>
      <c r="Q671" s="170"/>
      <c r="R671" s="171"/>
      <c r="S671" s="172"/>
    </row>
    <row r="672" spans="1:19" ht="42.75">
      <c r="A672" s="164" t="s">
        <v>776</v>
      </c>
      <c r="B672" s="165" t="s">
        <v>1102</v>
      </c>
      <c r="C672" s="165" t="s">
        <v>1107</v>
      </c>
      <c r="D672" s="164">
        <v>12763</v>
      </c>
      <c r="E672" s="164">
        <v>13122</v>
      </c>
      <c r="F672" s="164" t="s">
        <v>3955</v>
      </c>
      <c r="G672" s="164"/>
      <c r="H672" s="167"/>
      <c r="I672" s="167"/>
      <c r="J672" s="167"/>
      <c r="K672" s="169"/>
      <c r="L672" s="129"/>
      <c r="M672" s="129"/>
      <c r="N672" s="129"/>
      <c r="O672" s="129"/>
      <c r="P672" s="146"/>
      <c r="Q672" s="170"/>
      <c r="R672" s="171"/>
      <c r="S672" s="172"/>
    </row>
    <row r="673" spans="1:19" ht="42.75">
      <c r="A673" s="164" t="s">
        <v>776</v>
      </c>
      <c r="B673" s="165" t="s">
        <v>1102</v>
      </c>
      <c r="C673" s="165" t="s">
        <v>1234</v>
      </c>
      <c r="D673" s="164">
        <v>7228</v>
      </c>
      <c r="E673" s="164">
        <v>7769</v>
      </c>
      <c r="F673" s="164" t="s">
        <v>3955</v>
      </c>
      <c r="G673" s="164"/>
      <c r="H673" s="167"/>
      <c r="I673" s="167"/>
      <c r="J673" s="167"/>
      <c r="K673" s="169"/>
      <c r="L673" s="129"/>
      <c r="M673" s="129"/>
      <c r="N673" s="129"/>
      <c r="O673" s="129"/>
      <c r="P673" s="146"/>
      <c r="Q673" s="170"/>
      <c r="R673" s="171"/>
      <c r="S673" s="172"/>
    </row>
    <row r="674" spans="1:19" ht="42.75">
      <c r="A674" s="164" t="s">
        <v>776</v>
      </c>
      <c r="B674" s="165" t="s">
        <v>1102</v>
      </c>
      <c r="C674" s="165" t="s">
        <v>1111</v>
      </c>
      <c r="D674" s="164">
        <v>1857</v>
      </c>
      <c r="E674" s="164">
        <v>1853</v>
      </c>
      <c r="F674" s="164" t="s">
        <v>3404</v>
      </c>
      <c r="G674" s="164">
        <v>2024</v>
      </c>
      <c r="H674" s="175">
        <v>45450</v>
      </c>
      <c r="I674" s="175">
        <v>45460</v>
      </c>
      <c r="J674" s="168" t="s">
        <v>7077</v>
      </c>
      <c r="K674" s="174">
        <v>45463</v>
      </c>
      <c r="L674" s="129" t="s">
        <v>3689</v>
      </c>
      <c r="M674" s="129"/>
      <c r="N674" s="129"/>
      <c r="O674" s="129"/>
      <c r="P674" s="146"/>
      <c r="Q674" s="170">
        <v>45464</v>
      </c>
      <c r="R674" s="171"/>
      <c r="S674" s="172"/>
    </row>
    <row r="675" spans="1:19" ht="42.75">
      <c r="A675" s="164" t="s">
        <v>776</v>
      </c>
      <c r="B675" s="165" t="s">
        <v>1114</v>
      </c>
      <c r="C675" s="165" t="s">
        <v>4140</v>
      </c>
      <c r="D675" s="164">
        <v>2327</v>
      </c>
      <c r="E675" s="164">
        <v>2445</v>
      </c>
      <c r="F675" s="164" t="s">
        <v>3955</v>
      </c>
      <c r="G675" s="164"/>
      <c r="H675" s="167"/>
      <c r="I675" s="167"/>
      <c r="J675" s="167"/>
      <c r="K675" s="169"/>
      <c r="L675" s="129"/>
      <c r="M675" s="129"/>
      <c r="N675" s="129"/>
      <c r="O675" s="129"/>
      <c r="P675" s="146"/>
      <c r="Q675" s="170"/>
      <c r="R675" s="171"/>
      <c r="S675" s="172"/>
    </row>
    <row r="676" spans="1:19" ht="42.75">
      <c r="A676" s="164" t="s">
        <v>776</v>
      </c>
      <c r="B676" s="165" t="s">
        <v>1114</v>
      </c>
      <c r="C676" s="165" t="s">
        <v>4303</v>
      </c>
      <c r="D676" s="164">
        <v>10857</v>
      </c>
      <c r="E676" s="164">
        <v>15340</v>
      </c>
      <c r="F676" s="164" t="s">
        <v>3404</v>
      </c>
      <c r="G676" s="164">
        <v>2024</v>
      </c>
      <c r="H676" s="166">
        <v>45343</v>
      </c>
      <c r="I676" s="167"/>
      <c r="J676" s="168" t="s">
        <v>7078</v>
      </c>
      <c r="K676" s="169"/>
      <c r="L676" s="129" t="s">
        <v>3458</v>
      </c>
      <c r="M676" s="129"/>
      <c r="N676" s="129"/>
      <c r="O676" s="129"/>
      <c r="P676" s="146"/>
      <c r="Q676" s="170"/>
      <c r="R676" s="171"/>
      <c r="S676" s="172"/>
    </row>
    <row r="677" spans="1:19" ht="42.75">
      <c r="A677" s="216" t="s">
        <v>776</v>
      </c>
      <c r="B677" s="165" t="s">
        <v>1114</v>
      </c>
      <c r="C677" s="165" t="s">
        <v>4308</v>
      </c>
      <c r="D677" s="164">
        <v>2416</v>
      </c>
      <c r="E677" s="164">
        <v>2451</v>
      </c>
      <c r="F677" s="164" t="s">
        <v>3955</v>
      </c>
      <c r="G677" s="164"/>
      <c r="H677" s="167"/>
      <c r="I677" s="167"/>
      <c r="J677" s="167"/>
      <c r="K677" s="169"/>
      <c r="L677" s="129"/>
      <c r="M677" s="129"/>
      <c r="N677" s="129"/>
      <c r="O677" s="129"/>
      <c r="P677" s="146"/>
      <c r="Q677" s="170"/>
      <c r="R677" s="171"/>
      <c r="S677" s="172"/>
    </row>
    <row r="678" spans="1:19" ht="42.75">
      <c r="A678" s="164" t="s">
        <v>776</v>
      </c>
      <c r="B678" s="165" t="s">
        <v>1114</v>
      </c>
      <c r="C678" s="165" t="s">
        <v>4305</v>
      </c>
      <c r="D678" s="164">
        <v>4607</v>
      </c>
      <c r="E678" s="164">
        <v>5326</v>
      </c>
      <c r="F678" s="164" t="s">
        <v>3955</v>
      </c>
      <c r="G678" s="164"/>
      <c r="H678" s="167"/>
      <c r="I678" s="167"/>
      <c r="J678" s="167"/>
      <c r="K678" s="169"/>
      <c r="L678" s="129"/>
      <c r="M678" s="129"/>
      <c r="N678" s="129"/>
      <c r="O678" s="129"/>
      <c r="P678" s="146"/>
      <c r="Q678" s="170"/>
      <c r="R678" s="171"/>
      <c r="S678" s="172"/>
    </row>
    <row r="679" spans="1:19" ht="42.75">
      <c r="A679" s="164" t="s">
        <v>776</v>
      </c>
      <c r="B679" s="165" t="s">
        <v>1114</v>
      </c>
      <c r="C679" s="165" t="s">
        <v>4307</v>
      </c>
      <c r="D679" s="164">
        <v>3404</v>
      </c>
      <c r="E679" s="164">
        <v>3651</v>
      </c>
      <c r="F679" s="164" t="s">
        <v>3404</v>
      </c>
      <c r="G679" s="164">
        <v>2024</v>
      </c>
      <c r="H679" s="175">
        <v>45537</v>
      </c>
      <c r="I679" s="175">
        <v>45540</v>
      </c>
      <c r="J679" s="168" t="s">
        <v>7079</v>
      </c>
      <c r="K679" s="174">
        <v>45552</v>
      </c>
      <c r="L679" s="129" t="s">
        <v>3127</v>
      </c>
      <c r="M679" s="129" t="s">
        <v>4</v>
      </c>
      <c r="N679" s="129" t="s">
        <v>50</v>
      </c>
      <c r="O679" s="129" t="s">
        <v>3406</v>
      </c>
      <c r="P679" s="146"/>
      <c r="Q679" s="130">
        <v>45552</v>
      </c>
      <c r="R679" s="171" t="s">
        <v>7080</v>
      </c>
      <c r="S679" s="172"/>
    </row>
    <row r="680" spans="1:19" ht="42.75">
      <c r="A680" s="164" t="s">
        <v>776</v>
      </c>
      <c r="B680" s="165" t="s">
        <v>1114</v>
      </c>
      <c r="C680" s="165" t="s">
        <v>4310</v>
      </c>
      <c r="D680" s="164">
        <v>1434</v>
      </c>
      <c r="E680" s="164">
        <v>14638</v>
      </c>
      <c r="F680" s="164" t="s">
        <v>3955</v>
      </c>
      <c r="G680" s="164"/>
      <c r="H680" s="167"/>
      <c r="I680" s="167"/>
      <c r="J680" s="167"/>
      <c r="K680" s="169"/>
      <c r="L680" s="129"/>
      <c r="M680" s="129"/>
      <c r="N680" s="129"/>
      <c r="O680" s="129"/>
      <c r="P680" s="146"/>
      <c r="Q680" s="170"/>
      <c r="R680" s="171"/>
      <c r="S680" s="172"/>
    </row>
    <row r="681" spans="1:19" ht="42.75">
      <c r="A681" s="164" t="s">
        <v>776</v>
      </c>
      <c r="B681" s="165" t="s">
        <v>1114</v>
      </c>
      <c r="C681" s="165" t="s">
        <v>1115</v>
      </c>
      <c r="D681" s="164">
        <v>6193</v>
      </c>
      <c r="E681" s="164">
        <v>12494</v>
      </c>
      <c r="F681" s="164" t="s">
        <v>3955</v>
      </c>
      <c r="G681" s="164"/>
      <c r="H681" s="167"/>
      <c r="I681" s="167"/>
      <c r="J681" s="167"/>
      <c r="K681" s="169"/>
      <c r="L681" s="129"/>
      <c r="M681" s="129"/>
      <c r="N681" s="129"/>
      <c r="O681" s="129"/>
      <c r="P681" s="146"/>
      <c r="Q681" s="170"/>
      <c r="R681" s="171"/>
      <c r="S681" s="172"/>
    </row>
    <row r="682" spans="1:19" ht="42.75">
      <c r="A682" s="164" t="s">
        <v>776</v>
      </c>
      <c r="B682" s="165" t="s">
        <v>1114</v>
      </c>
      <c r="C682" s="165" t="s">
        <v>4313</v>
      </c>
      <c r="D682" s="164">
        <v>2719</v>
      </c>
      <c r="E682" s="164">
        <v>2965</v>
      </c>
      <c r="F682" s="164" t="s">
        <v>3955</v>
      </c>
      <c r="G682" s="164"/>
      <c r="H682" s="167"/>
      <c r="I682" s="167"/>
      <c r="J682" s="167"/>
      <c r="K682" s="169"/>
      <c r="L682" s="129"/>
      <c r="M682" s="129"/>
      <c r="N682" s="129"/>
      <c r="O682" s="129"/>
      <c r="P682" s="146"/>
      <c r="Q682" s="170"/>
      <c r="R682" s="171"/>
      <c r="S682" s="172"/>
    </row>
    <row r="683" spans="1:19" ht="42.75">
      <c r="A683" s="164" t="s">
        <v>776</v>
      </c>
      <c r="B683" s="165" t="s">
        <v>1114</v>
      </c>
      <c r="C683" s="165" t="s">
        <v>4314</v>
      </c>
      <c r="D683" s="164">
        <v>2387</v>
      </c>
      <c r="E683" s="164">
        <v>2578</v>
      </c>
      <c r="F683" s="164" t="s">
        <v>3955</v>
      </c>
      <c r="G683" s="164"/>
      <c r="H683" s="167"/>
      <c r="I683" s="167"/>
      <c r="J683" s="167"/>
      <c r="K683" s="169"/>
      <c r="L683" s="129"/>
      <c r="M683" s="129"/>
      <c r="N683" s="129"/>
      <c r="O683" s="129"/>
      <c r="P683" s="146"/>
      <c r="Q683" s="170"/>
      <c r="R683" s="171"/>
      <c r="S683" s="172"/>
    </row>
    <row r="684" spans="1:19" ht="42.75">
      <c r="A684" s="164" t="s">
        <v>776</v>
      </c>
      <c r="B684" s="165" t="s">
        <v>1114</v>
      </c>
      <c r="C684" s="165" t="s">
        <v>4315</v>
      </c>
      <c r="D684" s="164">
        <v>6296</v>
      </c>
      <c r="E684" s="164">
        <v>6813</v>
      </c>
      <c r="F684" s="164" t="s">
        <v>3955</v>
      </c>
      <c r="G684" s="164"/>
      <c r="H684" s="167"/>
      <c r="I684" s="167"/>
      <c r="J684" s="167"/>
      <c r="K684" s="169"/>
      <c r="L684" s="129"/>
      <c r="M684" s="129"/>
      <c r="N684" s="129"/>
      <c r="O684" s="129"/>
      <c r="P684" s="146"/>
      <c r="Q684" s="170"/>
      <c r="R684" s="171"/>
      <c r="S684" s="172"/>
    </row>
    <row r="685" spans="1:19" ht="42.75">
      <c r="A685" s="164" t="s">
        <v>776</v>
      </c>
      <c r="B685" s="165" t="s">
        <v>1114</v>
      </c>
      <c r="C685" s="165" t="s">
        <v>4316</v>
      </c>
      <c r="D685" s="164">
        <v>3047</v>
      </c>
      <c r="E685" s="164">
        <v>3153</v>
      </c>
      <c r="F685" s="164" t="s">
        <v>3404</v>
      </c>
      <c r="G685" s="164">
        <v>2024</v>
      </c>
      <c r="H685" s="175">
        <v>45540</v>
      </c>
      <c r="I685" s="175">
        <v>45540</v>
      </c>
      <c r="J685" s="168" t="s">
        <v>7081</v>
      </c>
      <c r="K685" s="174">
        <v>45552</v>
      </c>
      <c r="L685" s="129" t="s">
        <v>3127</v>
      </c>
      <c r="M685" s="129" t="s">
        <v>4</v>
      </c>
      <c r="N685" s="129" t="s">
        <v>50</v>
      </c>
      <c r="O685" s="129" t="s">
        <v>3406</v>
      </c>
      <c r="P685" s="146"/>
      <c r="Q685" s="130">
        <v>45552</v>
      </c>
      <c r="R685" s="171" t="s">
        <v>7080</v>
      </c>
      <c r="S685" s="172"/>
    </row>
    <row r="686" spans="1:19" ht="42.75">
      <c r="A686" s="164" t="s">
        <v>776</v>
      </c>
      <c r="B686" s="165" t="s">
        <v>1114</v>
      </c>
      <c r="C686" s="165" t="s">
        <v>1123</v>
      </c>
      <c r="D686" s="164">
        <v>8775</v>
      </c>
      <c r="E686" s="164">
        <v>30233</v>
      </c>
      <c r="F686" s="164" t="s">
        <v>3955</v>
      </c>
      <c r="G686" s="164"/>
      <c r="H686" s="167"/>
      <c r="I686" s="167"/>
      <c r="J686" s="167"/>
      <c r="K686" s="169"/>
      <c r="L686" s="129"/>
      <c r="M686" s="129"/>
      <c r="N686" s="129"/>
      <c r="O686" s="129"/>
      <c r="P686" s="146"/>
      <c r="Q686" s="170"/>
      <c r="R686" s="171"/>
      <c r="S686" s="172"/>
    </row>
    <row r="687" spans="1:19" ht="42.75">
      <c r="A687" s="164" t="s">
        <v>776</v>
      </c>
      <c r="B687" s="165" t="s">
        <v>1114</v>
      </c>
      <c r="C687" s="165" t="s">
        <v>4318</v>
      </c>
      <c r="D687" s="164">
        <v>2496</v>
      </c>
      <c r="E687" s="164">
        <v>2938</v>
      </c>
      <c r="F687" s="164" t="s">
        <v>3955</v>
      </c>
      <c r="G687" s="164"/>
      <c r="H687" s="167"/>
      <c r="I687" s="167"/>
      <c r="J687" s="167"/>
      <c r="K687" s="169"/>
      <c r="L687" s="129"/>
      <c r="M687" s="129"/>
      <c r="N687" s="129"/>
      <c r="O687" s="129"/>
      <c r="P687" s="146"/>
      <c r="Q687" s="170"/>
      <c r="R687" s="171"/>
      <c r="S687" s="172"/>
    </row>
    <row r="688" spans="1:19" ht="42.75">
      <c r="A688" s="164" t="s">
        <v>776</v>
      </c>
      <c r="B688" s="165" t="s">
        <v>1114</v>
      </c>
      <c r="C688" s="165" t="s">
        <v>4320</v>
      </c>
      <c r="D688" s="164">
        <v>3240</v>
      </c>
      <c r="E688" s="164">
        <v>8312</v>
      </c>
      <c r="F688" s="164" t="s">
        <v>3955</v>
      </c>
      <c r="G688" s="164"/>
      <c r="H688" s="167"/>
      <c r="I688" s="167"/>
      <c r="J688" s="167"/>
      <c r="K688" s="169"/>
      <c r="L688" s="129"/>
      <c r="M688" s="129"/>
      <c r="N688" s="129"/>
      <c r="O688" s="129"/>
      <c r="P688" s="146"/>
      <c r="Q688" s="170"/>
      <c r="R688" s="171"/>
      <c r="S688" s="172"/>
    </row>
    <row r="689" spans="1:19" ht="42.75">
      <c r="A689" s="164" t="s">
        <v>776</v>
      </c>
      <c r="B689" s="165" t="s">
        <v>1114</v>
      </c>
      <c r="C689" s="165" t="s">
        <v>4321</v>
      </c>
      <c r="D689" s="164">
        <v>4013</v>
      </c>
      <c r="E689" s="164">
        <v>6899</v>
      </c>
      <c r="F689" s="164" t="s">
        <v>3955</v>
      </c>
      <c r="G689" s="164"/>
      <c r="H689" s="167"/>
      <c r="I689" s="167"/>
      <c r="J689" s="167"/>
      <c r="K689" s="169"/>
      <c r="L689" s="129"/>
      <c r="M689" s="129"/>
      <c r="N689" s="129"/>
      <c r="O689" s="129"/>
      <c r="P689" s="146"/>
      <c r="Q689" s="170"/>
      <c r="R689" s="171"/>
      <c r="S689" s="172"/>
    </row>
    <row r="690" spans="1:19" ht="42.75">
      <c r="A690" s="164" t="s">
        <v>776</v>
      </c>
      <c r="B690" s="165" t="s">
        <v>1114</v>
      </c>
      <c r="C690" s="165" t="s">
        <v>1056</v>
      </c>
      <c r="D690" s="164">
        <v>7764</v>
      </c>
      <c r="E690" s="164">
        <v>8679</v>
      </c>
      <c r="F690" s="164" t="s">
        <v>3404</v>
      </c>
      <c r="G690" s="164">
        <v>2024</v>
      </c>
      <c r="H690" s="166">
        <v>45343</v>
      </c>
      <c r="I690" s="167"/>
      <c r="J690" s="168" t="s">
        <v>7082</v>
      </c>
      <c r="K690" s="169"/>
      <c r="L690" s="129" t="s">
        <v>3458</v>
      </c>
      <c r="M690" s="129"/>
      <c r="N690" s="129"/>
      <c r="O690" s="129"/>
      <c r="P690" s="146"/>
      <c r="Q690" s="170"/>
      <c r="R690" s="171"/>
      <c r="S690" s="172"/>
    </row>
    <row r="691" spans="1:19" ht="42.75">
      <c r="A691" s="164" t="s">
        <v>776</v>
      </c>
      <c r="B691" s="165" t="s">
        <v>1114</v>
      </c>
      <c r="C691" s="165" t="s">
        <v>4322</v>
      </c>
      <c r="D691" s="164">
        <v>3421</v>
      </c>
      <c r="E691" s="164">
        <v>4660</v>
      </c>
      <c r="F691" s="164" t="s">
        <v>3955</v>
      </c>
      <c r="G691" s="164"/>
      <c r="H691" s="167"/>
      <c r="I691" s="167"/>
      <c r="J691" s="167"/>
      <c r="K691" s="169"/>
      <c r="L691" s="129"/>
      <c r="M691" s="129"/>
      <c r="N691" s="129"/>
      <c r="O691" s="129"/>
      <c r="P691" s="146"/>
      <c r="Q691" s="170"/>
      <c r="R691" s="171"/>
      <c r="S691" s="172"/>
    </row>
    <row r="692" spans="1:19" ht="42.75">
      <c r="A692" s="164" t="s">
        <v>776</v>
      </c>
      <c r="B692" s="165" t="s">
        <v>1114</v>
      </c>
      <c r="C692" s="165" t="s">
        <v>3974</v>
      </c>
      <c r="D692" s="164">
        <v>2676</v>
      </c>
      <c r="E692" s="164">
        <v>2894</v>
      </c>
      <c r="F692" s="164" t="s">
        <v>3955</v>
      </c>
      <c r="G692" s="164"/>
      <c r="H692" s="167"/>
      <c r="I692" s="167"/>
      <c r="J692" s="167"/>
      <c r="K692" s="169"/>
      <c r="L692" s="129"/>
      <c r="M692" s="129"/>
      <c r="N692" s="129"/>
      <c r="O692" s="129"/>
      <c r="P692" s="146"/>
      <c r="Q692" s="170"/>
      <c r="R692" s="171"/>
      <c r="S692" s="172"/>
    </row>
    <row r="693" spans="1:19" ht="42.75">
      <c r="A693" s="164" t="s">
        <v>776</v>
      </c>
      <c r="B693" s="165" t="s">
        <v>1114</v>
      </c>
      <c r="C693" s="165" t="s">
        <v>1125</v>
      </c>
      <c r="D693" s="164">
        <v>4875</v>
      </c>
      <c r="E693" s="164">
        <v>12578</v>
      </c>
      <c r="F693" s="164" t="s">
        <v>3955</v>
      </c>
      <c r="G693" s="164"/>
      <c r="H693" s="167"/>
      <c r="I693" s="167"/>
      <c r="J693" s="167"/>
      <c r="K693" s="169"/>
      <c r="L693" s="129"/>
      <c r="M693" s="129"/>
      <c r="N693" s="129"/>
      <c r="O693" s="129"/>
      <c r="P693" s="146"/>
      <c r="Q693" s="170"/>
      <c r="R693" s="171"/>
      <c r="S693" s="172"/>
    </row>
    <row r="694" spans="1:19" ht="42.75">
      <c r="A694" s="164" t="s">
        <v>776</v>
      </c>
      <c r="B694" s="165" t="s">
        <v>1114</v>
      </c>
      <c r="C694" s="165" t="s">
        <v>4323</v>
      </c>
      <c r="D694" s="164">
        <v>3679</v>
      </c>
      <c r="E694" s="164">
        <v>3560</v>
      </c>
      <c r="F694" s="164" t="s">
        <v>3955</v>
      </c>
      <c r="G694" s="164"/>
      <c r="H694" s="167"/>
      <c r="I694" s="167"/>
      <c r="J694" s="167"/>
      <c r="K694" s="169"/>
      <c r="L694" s="129"/>
      <c r="M694" s="129"/>
      <c r="N694" s="129"/>
      <c r="O694" s="129"/>
      <c r="P694" s="146"/>
      <c r="Q694" s="170"/>
      <c r="R694" s="171"/>
      <c r="S694" s="172"/>
    </row>
    <row r="695" spans="1:19" ht="42.75">
      <c r="A695" s="164" t="s">
        <v>776</v>
      </c>
      <c r="B695" s="165" t="s">
        <v>1114</v>
      </c>
      <c r="C695" s="165" t="s">
        <v>4304</v>
      </c>
      <c r="D695" s="164">
        <v>848</v>
      </c>
      <c r="E695" s="164">
        <v>759</v>
      </c>
      <c r="F695" s="164" t="s">
        <v>3955</v>
      </c>
      <c r="G695" s="164"/>
      <c r="H695" s="167"/>
      <c r="I695" s="167"/>
      <c r="J695" s="167"/>
      <c r="K695" s="169"/>
      <c r="L695" s="129"/>
      <c r="M695" s="129"/>
      <c r="N695" s="129"/>
      <c r="O695" s="129"/>
      <c r="P695" s="146"/>
      <c r="Q695" s="170"/>
      <c r="R695" s="171"/>
      <c r="S695" s="172"/>
    </row>
    <row r="696" spans="1:19" ht="42.75">
      <c r="A696" s="164" t="s">
        <v>776</v>
      </c>
      <c r="B696" s="165" t="s">
        <v>1114</v>
      </c>
      <c r="C696" s="165" t="s">
        <v>3727</v>
      </c>
      <c r="D696" s="164">
        <v>1601</v>
      </c>
      <c r="E696" s="164">
        <v>1749</v>
      </c>
      <c r="F696" s="164" t="s">
        <v>3955</v>
      </c>
      <c r="G696" s="164"/>
      <c r="H696" s="167"/>
      <c r="I696" s="167"/>
      <c r="J696" s="167"/>
      <c r="K696" s="169"/>
      <c r="L696" s="129"/>
      <c r="M696" s="129"/>
      <c r="N696" s="129"/>
      <c r="O696" s="129"/>
      <c r="P696" s="146"/>
      <c r="Q696" s="170"/>
      <c r="R696" s="171"/>
      <c r="S696" s="172"/>
    </row>
    <row r="697" spans="1:19" ht="42.75">
      <c r="A697" s="164" t="s">
        <v>776</v>
      </c>
      <c r="B697" s="165" t="s">
        <v>1127</v>
      </c>
      <c r="C697" s="165" t="s">
        <v>4326</v>
      </c>
      <c r="D697" s="164">
        <v>1582</v>
      </c>
      <c r="E697" s="164">
        <v>1886</v>
      </c>
      <c r="F697" s="164" t="s">
        <v>3955</v>
      </c>
      <c r="G697" s="164"/>
      <c r="H697" s="167"/>
      <c r="I697" s="167"/>
      <c r="J697" s="167"/>
      <c r="K697" s="169"/>
      <c r="L697" s="129"/>
      <c r="M697" s="129"/>
      <c r="N697" s="129"/>
      <c r="O697" s="129"/>
      <c r="P697" s="146"/>
      <c r="Q697" s="170"/>
      <c r="R697" s="171"/>
      <c r="S697" s="172"/>
    </row>
    <row r="698" spans="1:19" ht="42.75">
      <c r="A698" s="164" t="s">
        <v>776</v>
      </c>
      <c r="B698" s="165" t="s">
        <v>1127</v>
      </c>
      <c r="C698" s="165" t="s">
        <v>4327</v>
      </c>
      <c r="D698" s="164">
        <v>4262</v>
      </c>
      <c r="E698" s="164">
        <v>4708</v>
      </c>
      <c r="F698" s="164" t="s">
        <v>3955</v>
      </c>
      <c r="G698" s="164"/>
      <c r="H698" s="167"/>
      <c r="I698" s="167"/>
      <c r="J698" s="167"/>
      <c r="K698" s="169"/>
      <c r="L698" s="129"/>
      <c r="M698" s="129"/>
      <c r="N698" s="129"/>
      <c r="O698" s="129"/>
      <c r="P698" s="146"/>
      <c r="Q698" s="170"/>
      <c r="R698" s="171"/>
      <c r="S698" s="172"/>
    </row>
    <row r="699" spans="1:19" ht="42.75">
      <c r="A699" s="164" t="s">
        <v>776</v>
      </c>
      <c r="B699" s="165" t="s">
        <v>1127</v>
      </c>
      <c r="C699" s="165" t="s">
        <v>4331</v>
      </c>
      <c r="D699" s="164">
        <v>1439</v>
      </c>
      <c r="E699" s="164">
        <v>1423</v>
      </c>
      <c r="F699" s="164" t="s">
        <v>3955</v>
      </c>
      <c r="G699" s="164"/>
      <c r="H699" s="167"/>
      <c r="I699" s="167"/>
      <c r="J699" s="167"/>
      <c r="K699" s="169"/>
      <c r="L699" s="129"/>
      <c r="M699" s="129"/>
      <c r="N699" s="129"/>
      <c r="O699" s="129"/>
      <c r="P699" s="146"/>
      <c r="Q699" s="170"/>
      <c r="R699" s="171"/>
      <c r="S699" s="172"/>
    </row>
    <row r="700" spans="1:19" ht="42.75">
      <c r="A700" s="164" t="s">
        <v>776</v>
      </c>
      <c r="B700" s="165" t="s">
        <v>1127</v>
      </c>
      <c r="C700" s="165" t="s">
        <v>4329</v>
      </c>
      <c r="D700" s="164">
        <v>1545</v>
      </c>
      <c r="E700" s="164">
        <v>1389</v>
      </c>
      <c r="F700" s="164" t="s">
        <v>3955</v>
      </c>
      <c r="G700" s="164"/>
      <c r="H700" s="167"/>
      <c r="I700" s="167"/>
      <c r="J700" s="167"/>
      <c r="K700" s="169"/>
      <c r="L700" s="129"/>
      <c r="M700" s="129"/>
      <c r="N700" s="129"/>
      <c r="O700" s="129"/>
      <c r="P700" s="146"/>
      <c r="Q700" s="170"/>
      <c r="R700" s="171"/>
      <c r="S700" s="172"/>
    </row>
    <row r="701" spans="1:19" ht="42.75">
      <c r="A701" s="164" t="s">
        <v>776</v>
      </c>
      <c r="B701" s="165" t="s">
        <v>1127</v>
      </c>
      <c r="C701" s="165" t="s">
        <v>4324</v>
      </c>
      <c r="D701" s="164">
        <v>3163</v>
      </c>
      <c r="E701" s="164">
        <v>3253</v>
      </c>
      <c r="F701" s="164" t="s">
        <v>3955</v>
      </c>
      <c r="G701" s="164"/>
      <c r="H701" s="167"/>
      <c r="I701" s="167"/>
      <c r="J701" s="167"/>
      <c r="K701" s="169"/>
      <c r="L701" s="129"/>
      <c r="M701" s="129"/>
      <c r="N701" s="129"/>
      <c r="O701" s="129"/>
      <c r="P701" s="146"/>
      <c r="Q701" s="170"/>
      <c r="R701" s="171"/>
      <c r="S701" s="172"/>
    </row>
    <row r="702" spans="1:19" ht="42.75">
      <c r="A702" s="164" t="s">
        <v>776</v>
      </c>
      <c r="B702" s="165" t="s">
        <v>1127</v>
      </c>
      <c r="C702" s="165" t="s">
        <v>1056</v>
      </c>
      <c r="D702" s="164">
        <v>1194</v>
      </c>
      <c r="E702" s="164">
        <v>1462</v>
      </c>
      <c r="F702" s="164" t="s">
        <v>3404</v>
      </c>
      <c r="G702" s="164">
        <v>2024</v>
      </c>
      <c r="H702" s="175">
        <v>45450</v>
      </c>
      <c r="I702" s="175">
        <v>45450</v>
      </c>
      <c r="J702" s="168" t="s">
        <v>7083</v>
      </c>
      <c r="K702" s="169" t="s">
        <v>4098</v>
      </c>
      <c r="L702" s="129" t="s">
        <v>3689</v>
      </c>
      <c r="M702" s="129"/>
      <c r="N702" s="129"/>
      <c r="O702" s="129" t="s">
        <v>3406</v>
      </c>
      <c r="P702" s="146"/>
      <c r="Q702" s="170">
        <v>45462</v>
      </c>
      <c r="R702" s="171"/>
      <c r="S702" s="172"/>
    </row>
    <row r="703" spans="1:19" ht="42.75">
      <c r="A703" s="164" t="s">
        <v>776</v>
      </c>
      <c r="B703" s="165" t="s">
        <v>1127</v>
      </c>
      <c r="C703" s="165" t="s">
        <v>4332</v>
      </c>
      <c r="D703" s="164">
        <v>3641</v>
      </c>
      <c r="E703" s="164">
        <v>3427</v>
      </c>
      <c r="F703" s="164" t="s">
        <v>3955</v>
      </c>
      <c r="G703" s="164"/>
      <c r="H703" s="167"/>
      <c r="I703" s="167"/>
      <c r="J703" s="167"/>
      <c r="K703" s="169"/>
      <c r="L703" s="129"/>
      <c r="M703" s="129"/>
      <c r="N703" s="129"/>
      <c r="O703" s="129"/>
      <c r="P703" s="146"/>
      <c r="Q703" s="170"/>
      <c r="R703" s="171"/>
      <c r="S703" s="172"/>
    </row>
    <row r="704" spans="1:19" ht="42.75">
      <c r="A704" s="164" t="s">
        <v>776</v>
      </c>
      <c r="B704" s="165" t="s">
        <v>1127</v>
      </c>
      <c r="C704" s="165" t="s">
        <v>1128</v>
      </c>
      <c r="D704" s="164">
        <v>11177</v>
      </c>
      <c r="E704" s="164">
        <v>12011</v>
      </c>
      <c r="F704" s="164" t="s">
        <v>3404</v>
      </c>
      <c r="G704" s="164">
        <v>2024</v>
      </c>
      <c r="H704" s="175">
        <v>45484</v>
      </c>
      <c r="I704" s="175">
        <v>45484</v>
      </c>
      <c r="J704" s="168" t="s">
        <v>7084</v>
      </c>
      <c r="K704" s="174">
        <v>45489</v>
      </c>
      <c r="L704" s="129" t="s">
        <v>3125</v>
      </c>
      <c r="M704" s="129" t="s">
        <v>4</v>
      </c>
      <c r="N704" s="129" t="s">
        <v>50</v>
      </c>
      <c r="O704" s="129" t="s">
        <v>3406</v>
      </c>
      <c r="P704" s="146"/>
      <c r="Q704" s="170">
        <v>45490</v>
      </c>
      <c r="R704" s="171"/>
      <c r="S704" s="172"/>
    </row>
    <row r="705" spans="1:19" ht="42.75">
      <c r="A705" s="164" t="s">
        <v>776</v>
      </c>
      <c r="B705" s="165" t="s">
        <v>1127</v>
      </c>
      <c r="C705" s="165" t="s">
        <v>858</v>
      </c>
      <c r="D705" s="164">
        <v>5211</v>
      </c>
      <c r="E705" s="164">
        <v>5209</v>
      </c>
      <c r="F705" s="164" t="s">
        <v>3955</v>
      </c>
      <c r="G705" s="164"/>
      <c r="H705" s="167"/>
      <c r="I705" s="167"/>
      <c r="J705" s="167"/>
      <c r="K705" s="169"/>
      <c r="L705" s="129"/>
      <c r="M705" s="129"/>
      <c r="N705" s="129"/>
      <c r="O705" s="129"/>
      <c r="P705" s="146"/>
      <c r="Q705" s="170"/>
      <c r="R705" s="171"/>
      <c r="S705" s="172"/>
    </row>
    <row r="706" spans="1:19" ht="42.75">
      <c r="A706" s="164" t="s">
        <v>776</v>
      </c>
      <c r="B706" s="165" t="s">
        <v>1127</v>
      </c>
      <c r="C706" s="165" t="s">
        <v>3974</v>
      </c>
      <c r="D706" s="164">
        <v>4847</v>
      </c>
      <c r="E706" s="164">
        <v>4810</v>
      </c>
      <c r="F706" s="164" t="s">
        <v>3955</v>
      </c>
      <c r="G706" s="164"/>
      <c r="H706" s="167"/>
      <c r="I706" s="167"/>
      <c r="J706" s="167"/>
      <c r="K706" s="169"/>
      <c r="L706" s="129"/>
      <c r="M706" s="129"/>
      <c r="N706" s="129"/>
      <c r="O706" s="129"/>
      <c r="P706" s="146"/>
      <c r="Q706" s="170"/>
      <c r="R706" s="171"/>
      <c r="S706" s="172"/>
    </row>
    <row r="707" spans="1:19" ht="42.75">
      <c r="A707" s="164" t="s">
        <v>776</v>
      </c>
      <c r="B707" s="165" t="s">
        <v>1127</v>
      </c>
      <c r="C707" s="165" t="s">
        <v>1166</v>
      </c>
      <c r="D707" s="164">
        <v>2811</v>
      </c>
      <c r="E707" s="164">
        <v>3176</v>
      </c>
      <c r="F707" s="164" t="s">
        <v>3404</v>
      </c>
      <c r="G707" s="164">
        <v>2024</v>
      </c>
      <c r="H707" s="175">
        <v>45484</v>
      </c>
      <c r="I707" s="175">
        <v>45485</v>
      </c>
      <c r="J707" s="168" t="s">
        <v>7085</v>
      </c>
      <c r="K707" s="174">
        <v>45489</v>
      </c>
      <c r="L707" s="129" t="s">
        <v>3125</v>
      </c>
      <c r="M707" s="129" t="s">
        <v>4</v>
      </c>
      <c r="N707" s="129" t="s">
        <v>50</v>
      </c>
      <c r="O707" s="129" t="s">
        <v>3406</v>
      </c>
      <c r="P707" s="146"/>
      <c r="Q707" s="170">
        <v>45490</v>
      </c>
      <c r="R707" s="171"/>
      <c r="S707" s="172"/>
    </row>
    <row r="708" spans="1:19" ht="42.75">
      <c r="A708" s="164" t="s">
        <v>776</v>
      </c>
      <c r="B708" s="165" t="s">
        <v>1127</v>
      </c>
      <c r="C708" s="165" t="s">
        <v>1899</v>
      </c>
      <c r="D708" s="164">
        <v>1611</v>
      </c>
      <c r="E708" s="164">
        <v>1386</v>
      </c>
      <c r="F708" s="164" t="s">
        <v>3955</v>
      </c>
      <c r="G708" s="164"/>
      <c r="H708" s="167"/>
      <c r="I708" s="167"/>
      <c r="J708" s="167"/>
      <c r="K708" s="169"/>
      <c r="L708" s="129"/>
      <c r="M708" s="129"/>
      <c r="N708" s="129"/>
      <c r="O708" s="129"/>
      <c r="P708" s="146"/>
      <c r="Q708" s="170"/>
      <c r="R708" s="171"/>
      <c r="S708" s="172"/>
    </row>
    <row r="709" spans="1:19" ht="42.75">
      <c r="A709" s="164" t="s">
        <v>776</v>
      </c>
      <c r="B709" s="165" t="s">
        <v>1127</v>
      </c>
      <c r="C709" s="165" t="s">
        <v>3727</v>
      </c>
      <c r="D709" s="164">
        <v>3640</v>
      </c>
      <c r="E709" s="164">
        <v>3574</v>
      </c>
      <c r="F709" s="164" t="s">
        <v>3404</v>
      </c>
      <c r="G709" s="164">
        <v>2024</v>
      </c>
      <c r="H709" s="175">
        <v>45602</v>
      </c>
      <c r="I709" s="175">
        <v>45603</v>
      </c>
      <c r="J709" s="168" t="s">
        <v>7086</v>
      </c>
      <c r="K709" s="174">
        <v>45612</v>
      </c>
      <c r="L709" s="129" t="s">
        <v>3129</v>
      </c>
      <c r="M709" s="129" t="s">
        <v>4</v>
      </c>
      <c r="N709" s="129" t="s">
        <v>57</v>
      </c>
      <c r="O709" s="129" t="s">
        <v>3406</v>
      </c>
      <c r="P709" s="146"/>
      <c r="Q709" s="170">
        <v>45614</v>
      </c>
      <c r="R709" s="171" t="s">
        <v>7058</v>
      </c>
      <c r="S709" s="172"/>
    </row>
    <row r="710" spans="1:19" ht="42.75">
      <c r="A710" s="164" t="s">
        <v>776</v>
      </c>
      <c r="B710" s="165" t="s">
        <v>1127</v>
      </c>
      <c r="C710" s="165" t="s">
        <v>4261</v>
      </c>
      <c r="D710" s="164">
        <v>7171</v>
      </c>
      <c r="E710" s="164">
        <v>7982</v>
      </c>
      <c r="F710" s="164" t="s">
        <v>3955</v>
      </c>
      <c r="G710" s="164"/>
      <c r="H710" s="167"/>
      <c r="I710" s="167"/>
      <c r="J710" s="167"/>
      <c r="K710" s="169"/>
      <c r="L710" s="129"/>
      <c r="M710" s="129"/>
      <c r="N710" s="129"/>
      <c r="O710" s="129"/>
      <c r="P710" s="146"/>
      <c r="Q710" s="170"/>
      <c r="R710" s="171"/>
      <c r="S710" s="172"/>
    </row>
    <row r="711" spans="1:19" ht="42.75">
      <c r="A711" s="216" t="s">
        <v>776</v>
      </c>
      <c r="B711" s="165" t="s">
        <v>1135</v>
      </c>
      <c r="C711" s="165" t="s">
        <v>4337</v>
      </c>
      <c r="D711" s="164">
        <v>2585</v>
      </c>
      <c r="E711" s="164">
        <v>2821</v>
      </c>
      <c r="F711" s="164" t="s">
        <v>3404</v>
      </c>
      <c r="G711" s="164">
        <v>2024</v>
      </c>
      <c r="H711" s="175">
        <v>45552</v>
      </c>
      <c r="I711" s="175">
        <v>45553</v>
      </c>
      <c r="J711" s="168" t="s">
        <v>7087</v>
      </c>
      <c r="K711" s="174">
        <v>45553</v>
      </c>
      <c r="L711" s="129" t="s">
        <v>3127</v>
      </c>
      <c r="M711" s="129" t="s">
        <v>4</v>
      </c>
      <c r="N711" s="129" t="s">
        <v>50</v>
      </c>
      <c r="O711" s="129" t="s">
        <v>3406</v>
      </c>
      <c r="P711" s="146"/>
      <c r="Q711" s="170">
        <v>45554</v>
      </c>
      <c r="R711" s="171" t="s">
        <v>7058</v>
      </c>
      <c r="S711" s="172"/>
    </row>
    <row r="712" spans="1:19" ht="42.75">
      <c r="A712" s="164" t="s">
        <v>776</v>
      </c>
      <c r="B712" s="165" t="s">
        <v>1135</v>
      </c>
      <c r="C712" s="165" t="s">
        <v>1332</v>
      </c>
      <c r="D712" s="164">
        <v>3322</v>
      </c>
      <c r="E712" s="164">
        <v>4237</v>
      </c>
      <c r="F712" s="164" t="s">
        <v>3404</v>
      </c>
      <c r="G712" s="164">
        <v>2024</v>
      </c>
      <c r="H712" s="175">
        <v>45457</v>
      </c>
      <c r="I712" s="175">
        <v>45457</v>
      </c>
      <c r="J712" s="168" t="s">
        <v>7088</v>
      </c>
      <c r="K712" s="174">
        <v>45463</v>
      </c>
      <c r="L712" s="129" t="s">
        <v>3689</v>
      </c>
      <c r="M712" s="129"/>
      <c r="N712" s="129"/>
      <c r="O712" s="129"/>
      <c r="P712" s="146"/>
      <c r="Q712" s="170">
        <v>45464</v>
      </c>
      <c r="R712" s="171"/>
      <c r="S712" s="172"/>
    </row>
    <row r="713" spans="1:19" ht="42.75">
      <c r="A713" s="216" t="s">
        <v>776</v>
      </c>
      <c r="B713" s="165" t="s">
        <v>1135</v>
      </c>
      <c r="C713" s="165" t="s">
        <v>4338</v>
      </c>
      <c r="D713" s="164">
        <v>7030</v>
      </c>
      <c r="E713" s="164">
        <v>5892</v>
      </c>
      <c r="F713" s="164" t="s">
        <v>3404</v>
      </c>
      <c r="G713" s="164">
        <v>2024</v>
      </c>
      <c r="H713" s="166">
        <v>45335</v>
      </c>
      <c r="I713" s="167"/>
      <c r="J713" s="168" t="s">
        <v>7089</v>
      </c>
      <c r="K713" s="169"/>
      <c r="L713" s="129" t="s">
        <v>3458</v>
      </c>
      <c r="M713" s="129"/>
      <c r="N713" s="129"/>
      <c r="O713" s="129"/>
      <c r="P713" s="146"/>
      <c r="Q713" s="170"/>
      <c r="R713" s="171"/>
      <c r="S713" s="172"/>
    </row>
    <row r="714" spans="1:19" ht="42.75">
      <c r="A714" s="216" t="s">
        <v>776</v>
      </c>
      <c r="B714" s="165" t="s">
        <v>1135</v>
      </c>
      <c r="C714" s="165" t="s">
        <v>4339</v>
      </c>
      <c r="D714" s="164">
        <v>9036</v>
      </c>
      <c r="E714" s="164">
        <v>8741</v>
      </c>
      <c r="F714" s="164" t="s">
        <v>3404</v>
      </c>
      <c r="G714" s="164">
        <v>2024</v>
      </c>
      <c r="H714" s="175">
        <v>45575</v>
      </c>
      <c r="I714" s="175">
        <v>45579</v>
      </c>
      <c r="J714" s="168" t="s">
        <v>7090</v>
      </c>
      <c r="K714" s="174">
        <v>45584</v>
      </c>
      <c r="L714" s="129" t="s">
        <v>3128</v>
      </c>
      <c r="M714" s="129" t="s">
        <v>4</v>
      </c>
      <c r="N714" s="129" t="s">
        <v>50</v>
      </c>
      <c r="O714" s="129" t="s">
        <v>3406</v>
      </c>
      <c r="P714" s="146"/>
      <c r="Q714" s="170">
        <v>45586</v>
      </c>
      <c r="R714" s="170" t="s">
        <v>7058</v>
      </c>
      <c r="S714" s="172"/>
    </row>
    <row r="715" spans="1:19" ht="42.75">
      <c r="A715" s="216" t="s">
        <v>776</v>
      </c>
      <c r="B715" s="165" t="s">
        <v>1135</v>
      </c>
      <c r="C715" s="165" t="s">
        <v>4340</v>
      </c>
      <c r="D715" s="164">
        <v>4122</v>
      </c>
      <c r="E715" s="164">
        <v>4585</v>
      </c>
      <c r="F715" s="164" t="s">
        <v>3404</v>
      </c>
      <c r="G715" s="164">
        <v>2024</v>
      </c>
      <c r="H715" s="175">
        <v>45575</v>
      </c>
      <c r="I715" s="175">
        <v>45579</v>
      </c>
      <c r="J715" s="168" t="s">
        <v>7091</v>
      </c>
      <c r="K715" s="174">
        <v>45584</v>
      </c>
      <c r="L715" s="129" t="s">
        <v>3128</v>
      </c>
      <c r="M715" s="129" t="s">
        <v>6701</v>
      </c>
      <c r="N715" s="129" t="s">
        <v>3528</v>
      </c>
      <c r="O715" s="129" t="s">
        <v>3406</v>
      </c>
      <c r="P715" s="146"/>
      <c r="Q715" s="170">
        <v>45586</v>
      </c>
      <c r="R715" s="170" t="s">
        <v>7058</v>
      </c>
      <c r="S715" s="172"/>
    </row>
    <row r="716" spans="1:19" ht="42.75">
      <c r="A716" s="164" t="s">
        <v>776</v>
      </c>
      <c r="B716" s="165" t="s">
        <v>1135</v>
      </c>
      <c r="C716" s="165" t="s">
        <v>1136</v>
      </c>
      <c r="D716" s="164">
        <v>5721</v>
      </c>
      <c r="E716" s="164">
        <v>6755</v>
      </c>
      <c r="F716" s="164" t="s">
        <v>3955</v>
      </c>
      <c r="G716" s="164"/>
      <c r="H716" s="167"/>
      <c r="I716" s="167"/>
      <c r="J716" s="167"/>
      <c r="K716" s="169"/>
      <c r="L716" s="129"/>
      <c r="M716" s="129"/>
      <c r="N716" s="129"/>
      <c r="O716" s="129"/>
      <c r="P716" s="146"/>
      <c r="Q716" s="170"/>
      <c r="R716" s="171"/>
      <c r="S716" s="172"/>
    </row>
    <row r="717" spans="1:19" ht="42.75">
      <c r="A717" s="164" t="s">
        <v>776</v>
      </c>
      <c r="B717" s="165" t="s">
        <v>1135</v>
      </c>
      <c r="C717" s="165" t="s">
        <v>4341</v>
      </c>
      <c r="D717" s="164">
        <v>4130</v>
      </c>
      <c r="E717" s="164">
        <v>6731</v>
      </c>
      <c r="F717" s="164" t="s">
        <v>3404</v>
      </c>
      <c r="G717" s="164">
        <v>2024</v>
      </c>
      <c r="H717" s="175">
        <v>45575</v>
      </c>
      <c r="I717" s="175">
        <v>45579</v>
      </c>
      <c r="J717" s="168" t="s">
        <v>7092</v>
      </c>
      <c r="K717" s="174">
        <v>45584</v>
      </c>
      <c r="L717" s="129" t="s">
        <v>3128</v>
      </c>
      <c r="M717" s="129" t="s">
        <v>4</v>
      </c>
      <c r="N717" s="129" t="s">
        <v>50</v>
      </c>
      <c r="O717" s="129" t="s">
        <v>3406</v>
      </c>
      <c r="P717" s="146"/>
      <c r="Q717" s="170">
        <v>45586</v>
      </c>
      <c r="R717" s="170" t="s">
        <v>7058</v>
      </c>
      <c r="S717" s="172"/>
    </row>
    <row r="718" spans="1:19" ht="42.75">
      <c r="A718" s="164" t="s">
        <v>776</v>
      </c>
      <c r="B718" s="165" t="s">
        <v>1135</v>
      </c>
      <c r="C718" s="165" t="s">
        <v>4342</v>
      </c>
      <c r="D718" s="164">
        <v>3183</v>
      </c>
      <c r="E718" s="164">
        <v>3476</v>
      </c>
      <c r="F718" s="164" t="s">
        <v>3955</v>
      </c>
      <c r="G718" s="164"/>
      <c r="H718" s="167"/>
      <c r="I718" s="167"/>
      <c r="J718" s="167"/>
      <c r="K718" s="169"/>
      <c r="L718" s="129"/>
      <c r="M718" s="129"/>
      <c r="N718" s="129"/>
      <c r="O718" s="129"/>
      <c r="P718" s="146"/>
      <c r="Q718" s="170"/>
      <c r="R718" s="171"/>
      <c r="S718" s="172"/>
    </row>
    <row r="719" spans="1:19" ht="42.75">
      <c r="A719" s="164" t="s">
        <v>776</v>
      </c>
      <c r="B719" s="165" t="s">
        <v>1135</v>
      </c>
      <c r="C719" s="165" t="s">
        <v>4344</v>
      </c>
      <c r="D719" s="164">
        <v>4243</v>
      </c>
      <c r="E719" s="164">
        <v>4962</v>
      </c>
      <c r="F719" s="164" t="s">
        <v>3955</v>
      </c>
      <c r="G719" s="164"/>
      <c r="H719" s="167"/>
      <c r="I719" s="167"/>
      <c r="J719" s="167"/>
      <c r="K719" s="169"/>
      <c r="L719" s="129"/>
      <c r="M719" s="129"/>
      <c r="N719" s="129"/>
      <c r="O719" s="129"/>
      <c r="P719" s="146"/>
      <c r="Q719" s="170"/>
      <c r="R719" s="171"/>
      <c r="S719" s="172"/>
    </row>
    <row r="720" spans="1:19" ht="42.75">
      <c r="A720" s="216" t="s">
        <v>776</v>
      </c>
      <c r="B720" s="165" t="s">
        <v>1135</v>
      </c>
      <c r="C720" s="165" t="s">
        <v>4346</v>
      </c>
      <c r="D720" s="164">
        <v>2077</v>
      </c>
      <c r="E720" s="164">
        <v>2259</v>
      </c>
      <c r="F720" s="164" t="s">
        <v>3404</v>
      </c>
      <c r="G720" s="164">
        <v>2024</v>
      </c>
      <c r="H720" s="175">
        <v>45552</v>
      </c>
      <c r="I720" s="175">
        <v>45553</v>
      </c>
      <c r="J720" s="168" t="s">
        <v>7093</v>
      </c>
      <c r="K720" s="174">
        <v>45553</v>
      </c>
      <c r="L720" s="129" t="s">
        <v>3127</v>
      </c>
      <c r="M720" s="129" t="s">
        <v>1078</v>
      </c>
      <c r="N720" s="129" t="s">
        <v>57</v>
      </c>
      <c r="O720" s="129" t="s">
        <v>3406</v>
      </c>
      <c r="P720" s="146"/>
      <c r="Q720" s="170">
        <v>45554</v>
      </c>
      <c r="R720" s="171" t="s">
        <v>7058</v>
      </c>
      <c r="S720" s="172"/>
    </row>
    <row r="721" spans="1:19" ht="42.75">
      <c r="A721" s="164" t="s">
        <v>776</v>
      </c>
      <c r="B721" s="165" t="s">
        <v>1135</v>
      </c>
      <c r="C721" s="165" t="s">
        <v>4347</v>
      </c>
      <c r="D721" s="164">
        <v>5361</v>
      </c>
      <c r="E721" s="164">
        <v>5609</v>
      </c>
      <c r="F721" s="164" t="s">
        <v>3404</v>
      </c>
      <c r="G721" s="164">
        <v>2024</v>
      </c>
      <c r="H721" s="175">
        <v>45552</v>
      </c>
      <c r="I721" s="175">
        <v>45553</v>
      </c>
      <c r="J721" s="168" t="s">
        <v>7094</v>
      </c>
      <c r="K721" s="174">
        <v>45553</v>
      </c>
      <c r="L721" s="129" t="s">
        <v>3127</v>
      </c>
      <c r="M721" s="129" t="s">
        <v>4</v>
      </c>
      <c r="N721" s="129" t="s">
        <v>50</v>
      </c>
      <c r="O721" s="129" t="s">
        <v>3406</v>
      </c>
      <c r="P721" s="146"/>
      <c r="Q721" s="170">
        <v>45554</v>
      </c>
      <c r="R721" s="171" t="s">
        <v>7058</v>
      </c>
      <c r="S721" s="172"/>
    </row>
    <row r="722" spans="1:19" ht="42.75">
      <c r="A722" s="216" t="s">
        <v>776</v>
      </c>
      <c r="B722" s="165" t="s">
        <v>1135</v>
      </c>
      <c r="C722" s="165" t="s">
        <v>4348</v>
      </c>
      <c r="D722" s="164">
        <v>7590</v>
      </c>
      <c r="E722" s="164">
        <v>8935</v>
      </c>
      <c r="F722" s="164" t="s">
        <v>3404</v>
      </c>
      <c r="G722" s="164">
        <v>2024</v>
      </c>
      <c r="H722" s="175">
        <v>45575</v>
      </c>
      <c r="I722" s="175">
        <v>45579</v>
      </c>
      <c r="J722" s="168" t="s">
        <v>7095</v>
      </c>
      <c r="K722" s="174">
        <v>45584</v>
      </c>
      <c r="L722" s="129" t="s">
        <v>3128</v>
      </c>
      <c r="M722" s="129" t="s">
        <v>4</v>
      </c>
      <c r="N722" s="129" t="s">
        <v>50</v>
      </c>
      <c r="O722" s="129" t="s">
        <v>3406</v>
      </c>
      <c r="P722" s="146"/>
      <c r="Q722" s="170">
        <v>45586</v>
      </c>
      <c r="R722" s="170" t="s">
        <v>150</v>
      </c>
      <c r="S722" s="172"/>
    </row>
    <row r="723" spans="1:19" ht="42.75">
      <c r="A723" s="216" t="s">
        <v>776</v>
      </c>
      <c r="B723" s="165" t="s">
        <v>1135</v>
      </c>
      <c r="C723" s="165" t="s">
        <v>1056</v>
      </c>
      <c r="D723" s="164">
        <v>3901</v>
      </c>
      <c r="E723" s="164">
        <v>3878</v>
      </c>
      <c r="F723" s="164" t="s">
        <v>3955</v>
      </c>
      <c r="G723" s="164"/>
      <c r="H723" s="167"/>
      <c r="I723" s="167"/>
      <c r="J723" s="167"/>
      <c r="K723" s="169"/>
      <c r="L723" s="129"/>
      <c r="M723" s="129"/>
      <c r="N723" s="129"/>
      <c r="O723" s="129"/>
      <c r="P723" s="146"/>
      <c r="Q723" s="170"/>
      <c r="R723" s="171"/>
      <c r="S723" s="172"/>
    </row>
    <row r="724" spans="1:19" ht="42.75">
      <c r="A724" s="164" t="s">
        <v>776</v>
      </c>
      <c r="B724" s="165" t="s">
        <v>1135</v>
      </c>
      <c r="C724" s="165" t="s">
        <v>4351</v>
      </c>
      <c r="D724" s="164">
        <v>1803</v>
      </c>
      <c r="E724" s="164">
        <v>1821</v>
      </c>
      <c r="F724" s="164" t="s">
        <v>3955</v>
      </c>
      <c r="G724" s="164"/>
      <c r="H724" s="167"/>
      <c r="I724" s="167"/>
      <c r="J724" s="167"/>
      <c r="K724" s="169"/>
      <c r="L724" s="129"/>
      <c r="M724" s="129"/>
      <c r="N724" s="129"/>
      <c r="O724" s="129"/>
      <c r="P724" s="146"/>
      <c r="Q724" s="170"/>
      <c r="R724" s="171"/>
      <c r="S724" s="172"/>
    </row>
    <row r="725" spans="1:19" ht="42.75">
      <c r="A725" s="164" t="s">
        <v>776</v>
      </c>
      <c r="B725" s="165" t="s">
        <v>1135</v>
      </c>
      <c r="C725" s="165" t="s">
        <v>858</v>
      </c>
      <c r="D725" s="164">
        <v>4448</v>
      </c>
      <c r="E725" s="164">
        <v>5016</v>
      </c>
      <c r="F725" s="164" t="s">
        <v>3404</v>
      </c>
      <c r="G725" s="164">
        <v>2024</v>
      </c>
      <c r="H725" s="175">
        <v>45575</v>
      </c>
      <c r="I725" s="175">
        <v>45579</v>
      </c>
      <c r="J725" s="168" t="s">
        <v>7096</v>
      </c>
      <c r="K725" s="174">
        <v>45584</v>
      </c>
      <c r="L725" s="129" t="s">
        <v>3128</v>
      </c>
      <c r="M725" s="129" t="s">
        <v>4</v>
      </c>
      <c r="N725" s="129" t="s">
        <v>50</v>
      </c>
      <c r="O725" s="129" t="s">
        <v>3406</v>
      </c>
      <c r="P725" s="146"/>
      <c r="Q725" s="170">
        <v>45586</v>
      </c>
      <c r="R725" s="170" t="s">
        <v>150</v>
      </c>
      <c r="S725" s="172"/>
    </row>
    <row r="726" spans="1:19" ht="42.75">
      <c r="A726" s="164" t="s">
        <v>776</v>
      </c>
      <c r="B726" s="165" t="s">
        <v>1135</v>
      </c>
      <c r="C726" s="165" t="s">
        <v>4027</v>
      </c>
      <c r="D726" s="164">
        <v>2953</v>
      </c>
      <c r="E726" s="164">
        <v>2922</v>
      </c>
      <c r="F726" s="164" t="s">
        <v>3404</v>
      </c>
      <c r="G726" s="164">
        <v>2024</v>
      </c>
      <c r="H726" s="175">
        <v>45426</v>
      </c>
      <c r="I726" s="175">
        <v>45428</v>
      </c>
      <c r="J726" s="168" t="s">
        <v>7097</v>
      </c>
      <c r="K726" s="174">
        <v>45429</v>
      </c>
      <c r="L726" s="129" t="s">
        <v>3532</v>
      </c>
      <c r="M726" s="129"/>
      <c r="N726" s="129"/>
      <c r="O726" s="129"/>
      <c r="P726" s="146"/>
      <c r="Q726" s="170">
        <v>45429</v>
      </c>
      <c r="R726" s="171"/>
      <c r="S726" s="172"/>
    </row>
    <row r="727" spans="1:19" ht="42.75">
      <c r="A727" s="216" t="s">
        <v>776</v>
      </c>
      <c r="B727" s="165" t="s">
        <v>1135</v>
      </c>
      <c r="C727" s="165" t="s">
        <v>3727</v>
      </c>
      <c r="D727" s="164">
        <v>10761</v>
      </c>
      <c r="E727" s="164">
        <v>10721</v>
      </c>
      <c r="F727" s="164" t="s">
        <v>3404</v>
      </c>
      <c r="G727" s="164">
        <v>2024</v>
      </c>
      <c r="H727" s="175">
        <v>45483</v>
      </c>
      <c r="I727" s="221">
        <v>45484</v>
      </c>
      <c r="J727" s="168" t="s">
        <v>7098</v>
      </c>
      <c r="K727" s="174">
        <v>45489</v>
      </c>
      <c r="L727" s="129" t="s">
        <v>3125</v>
      </c>
      <c r="M727" s="129" t="s">
        <v>4</v>
      </c>
      <c r="N727" s="129" t="s">
        <v>50</v>
      </c>
      <c r="O727" s="129" t="s">
        <v>3406</v>
      </c>
      <c r="P727" s="146"/>
      <c r="Q727" s="170">
        <v>45490</v>
      </c>
      <c r="R727" s="171"/>
      <c r="S727" s="172"/>
    </row>
    <row r="728" spans="1:19" ht="42.75">
      <c r="A728" s="216" t="s">
        <v>776</v>
      </c>
      <c r="B728" s="165" t="s">
        <v>1135</v>
      </c>
      <c r="C728" s="165" t="s">
        <v>4353</v>
      </c>
      <c r="D728" s="164">
        <v>5856</v>
      </c>
      <c r="E728" s="164">
        <v>7822</v>
      </c>
      <c r="F728" s="164" t="s">
        <v>3955</v>
      </c>
      <c r="G728" s="164"/>
      <c r="H728" s="167"/>
      <c r="I728" s="167"/>
      <c r="J728" s="167"/>
      <c r="K728" s="169"/>
      <c r="L728" s="129"/>
      <c r="M728" s="129"/>
      <c r="N728" s="129"/>
      <c r="O728" s="129"/>
      <c r="P728" s="146"/>
      <c r="Q728" s="170"/>
      <c r="R728" s="171"/>
      <c r="S728" s="172"/>
    </row>
    <row r="729" spans="1:19" ht="42.75">
      <c r="A729" s="216" t="s">
        <v>776</v>
      </c>
      <c r="B729" s="165" t="s">
        <v>1135</v>
      </c>
      <c r="C729" s="165" t="s">
        <v>4243</v>
      </c>
      <c r="D729" s="164">
        <v>19683</v>
      </c>
      <c r="E729" s="164">
        <v>17249</v>
      </c>
      <c r="F729" s="164" t="s">
        <v>3404</v>
      </c>
      <c r="G729" s="164">
        <v>2024</v>
      </c>
      <c r="H729" s="175">
        <v>45456</v>
      </c>
      <c r="I729" s="175">
        <v>45457</v>
      </c>
      <c r="J729" s="168" t="s">
        <v>7099</v>
      </c>
      <c r="K729" s="174">
        <v>45463</v>
      </c>
      <c r="L729" s="129" t="s">
        <v>3689</v>
      </c>
      <c r="M729" s="129"/>
      <c r="N729" s="129"/>
      <c r="O729" s="129"/>
      <c r="P729" s="146"/>
      <c r="Q729" s="170">
        <v>45464</v>
      </c>
      <c r="R729" s="171"/>
      <c r="S729" s="172"/>
    </row>
    <row r="730" spans="1:19" ht="42.75">
      <c r="A730" s="164" t="s">
        <v>776</v>
      </c>
      <c r="B730" s="165" t="s">
        <v>1141</v>
      </c>
      <c r="C730" s="165" t="s">
        <v>4357</v>
      </c>
      <c r="D730" s="164">
        <v>1656</v>
      </c>
      <c r="E730" s="164">
        <v>1877</v>
      </c>
      <c r="F730" s="164" t="s">
        <v>3955</v>
      </c>
      <c r="G730" s="164"/>
      <c r="H730" s="167"/>
      <c r="I730" s="167"/>
      <c r="J730" s="167"/>
      <c r="K730" s="169"/>
      <c r="L730" s="129"/>
      <c r="M730" s="129"/>
      <c r="N730" s="129"/>
      <c r="O730" s="129"/>
      <c r="P730" s="146"/>
      <c r="Q730" s="170"/>
      <c r="R730" s="171"/>
      <c r="S730" s="172"/>
    </row>
    <row r="731" spans="1:19" ht="42.75">
      <c r="A731" s="164" t="s">
        <v>776</v>
      </c>
      <c r="B731" s="165" t="s">
        <v>1141</v>
      </c>
      <c r="C731" s="165" t="s">
        <v>4359</v>
      </c>
      <c r="D731" s="164">
        <v>3691</v>
      </c>
      <c r="E731" s="164">
        <v>4100</v>
      </c>
      <c r="F731" s="164" t="s">
        <v>3955</v>
      </c>
      <c r="G731" s="164"/>
      <c r="H731" s="167"/>
      <c r="I731" s="167"/>
      <c r="J731" s="167"/>
      <c r="K731" s="169"/>
      <c r="L731" s="129"/>
      <c r="M731" s="129"/>
      <c r="N731" s="129"/>
      <c r="O731" s="129"/>
      <c r="P731" s="146"/>
      <c r="Q731" s="170"/>
      <c r="R731" s="171"/>
      <c r="S731" s="172"/>
    </row>
    <row r="732" spans="1:19" ht="42.75">
      <c r="A732" s="216" t="s">
        <v>776</v>
      </c>
      <c r="B732" s="165" t="s">
        <v>1141</v>
      </c>
      <c r="C732" s="165" t="s">
        <v>4361</v>
      </c>
      <c r="D732" s="164">
        <v>7152</v>
      </c>
      <c r="E732" s="164">
        <v>8320</v>
      </c>
      <c r="F732" s="164" t="s">
        <v>3955</v>
      </c>
      <c r="G732" s="164"/>
      <c r="H732" s="167"/>
      <c r="I732" s="167"/>
      <c r="J732" s="167"/>
      <c r="K732" s="169"/>
      <c r="L732" s="129"/>
      <c r="M732" s="129"/>
      <c r="N732" s="129"/>
      <c r="O732" s="129"/>
      <c r="P732" s="146"/>
      <c r="Q732" s="170"/>
      <c r="R732" s="171"/>
      <c r="S732" s="172"/>
    </row>
    <row r="733" spans="1:19" ht="42.75">
      <c r="A733" s="164" t="s">
        <v>776</v>
      </c>
      <c r="B733" s="165" t="s">
        <v>1141</v>
      </c>
      <c r="C733" s="165" t="s">
        <v>4363</v>
      </c>
      <c r="D733" s="164">
        <v>6028</v>
      </c>
      <c r="E733" s="164">
        <v>6770</v>
      </c>
      <c r="F733" s="164" t="s">
        <v>3955</v>
      </c>
      <c r="G733" s="164"/>
      <c r="H733" s="167"/>
      <c r="I733" s="167"/>
      <c r="J733" s="167"/>
      <c r="K733" s="169"/>
      <c r="L733" s="129"/>
      <c r="M733" s="129"/>
      <c r="N733" s="129"/>
      <c r="O733" s="129"/>
      <c r="P733" s="146"/>
      <c r="Q733" s="170"/>
      <c r="R733" s="171"/>
      <c r="S733" s="172"/>
    </row>
    <row r="734" spans="1:19" ht="42.75">
      <c r="A734" s="164" t="s">
        <v>776</v>
      </c>
      <c r="B734" s="165" t="s">
        <v>1141</v>
      </c>
      <c r="C734" s="165" t="s">
        <v>4365</v>
      </c>
      <c r="D734" s="164">
        <v>4225</v>
      </c>
      <c r="E734" s="164">
        <v>4896</v>
      </c>
      <c r="F734" s="164" t="s">
        <v>3955</v>
      </c>
      <c r="G734" s="164"/>
      <c r="H734" s="167"/>
      <c r="I734" s="167"/>
      <c r="J734" s="167"/>
      <c r="K734" s="169"/>
      <c r="L734" s="129"/>
      <c r="M734" s="129"/>
      <c r="N734" s="129"/>
      <c r="O734" s="129"/>
      <c r="P734" s="146"/>
      <c r="Q734" s="170"/>
      <c r="R734" s="171"/>
      <c r="S734" s="172"/>
    </row>
    <row r="735" spans="1:19" ht="42.75">
      <c r="A735" s="164" t="s">
        <v>776</v>
      </c>
      <c r="B735" s="165" t="s">
        <v>1141</v>
      </c>
      <c r="C735" s="165" t="s">
        <v>4367</v>
      </c>
      <c r="D735" s="164">
        <v>4706</v>
      </c>
      <c r="E735" s="164">
        <v>5317</v>
      </c>
      <c r="F735" s="164" t="s">
        <v>3955</v>
      </c>
      <c r="G735" s="164"/>
      <c r="H735" s="167"/>
      <c r="I735" s="167"/>
      <c r="J735" s="167"/>
      <c r="K735" s="169"/>
      <c r="L735" s="129"/>
      <c r="M735" s="129"/>
      <c r="N735" s="129"/>
      <c r="O735" s="129"/>
      <c r="P735" s="146"/>
      <c r="Q735" s="170"/>
      <c r="R735" s="171"/>
      <c r="S735" s="172"/>
    </row>
    <row r="736" spans="1:19" ht="42.75">
      <c r="A736" s="164" t="s">
        <v>776</v>
      </c>
      <c r="B736" s="165" t="s">
        <v>1141</v>
      </c>
      <c r="C736" s="165" t="s">
        <v>4355</v>
      </c>
      <c r="D736" s="164">
        <v>3926</v>
      </c>
      <c r="E736" s="164">
        <v>4114</v>
      </c>
      <c r="F736" s="164" t="s">
        <v>3955</v>
      </c>
      <c r="G736" s="164"/>
      <c r="H736" s="167"/>
      <c r="I736" s="167"/>
      <c r="J736" s="167"/>
      <c r="K736" s="169"/>
      <c r="L736" s="129"/>
      <c r="M736" s="129"/>
      <c r="N736" s="129"/>
      <c r="O736" s="129"/>
      <c r="P736" s="146"/>
      <c r="Q736" s="170"/>
      <c r="R736" s="171"/>
      <c r="S736" s="172"/>
    </row>
    <row r="737" spans="1:19" ht="42.75">
      <c r="A737" s="164" t="s">
        <v>776</v>
      </c>
      <c r="B737" s="165" t="s">
        <v>1141</v>
      </c>
      <c r="C737" s="165" t="s">
        <v>4368</v>
      </c>
      <c r="D737" s="164">
        <v>8037</v>
      </c>
      <c r="E737" s="164">
        <v>9453</v>
      </c>
      <c r="F737" s="164" t="s">
        <v>3955</v>
      </c>
      <c r="G737" s="164"/>
      <c r="H737" s="167"/>
      <c r="I737" s="167"/>
      <c r="J737" s="167"/>
      <c r="K737" s="169"/>
      <c r="L737" s="129"/>
      <c r="M737" s="129"/>
      <c r="N737" s="129"/>
      <c r="O737" s="129"/>
      <c r="P737" s="146"/>
      <c r="Q737" s="170"/>
      <c r="R737" s="171"/>
      <c r="S737" s="172"/>
    </row>
    <row r="738" spans="1:19" ht="42.75">
      <c r="A738" s="164" t="s">
        <v>776</v>
      </c>
      <c r="B738" s="165" t="s">
        <v>1141</v>
      </c>
      <c r="C738" s="165" t="s">
        <v>1831</v>
      </c>
      <c r="D738" s="164">
        <v>5426</v>
      </c>
      <c r="E738" s="164">
        <v>5817</v>
      </c>
      <c r="F738" s="164" t="s">
        <v>3955</v>
      </c>
      <c r="G738" s="164"/>
      <c r="H738" s="167"/>
      <c r="I738" s="167"/>
      <c r="J738" s="167"/>
      <c r="K738" s="169"/>
      <c r="L738" s="129"/>
      <c r="M738" s="129"/>
      <c r="N738" s="129"/>
      <c r="O738" s="129"/>
      <c r="P738" s="146"/>
      <c r="Q738" s="170"/>
      <c r="R738" s="171"/>
      <c r="S738" s="172"/>
    </row>
    <row r="739" spans="1:19" ht="42.75">
      <c r="A739" s="164" t="s">
        <v>776</v>
      </c>
      <c r="B739" s="165" t="s">
        <v>1141</v>
      </c>
      <c r="C739" s="165" t="s">
        <v>4370</v>
      </c>
      <c r="D739" s="164">
        <v>4073</v>
      </c>
      <c r="E739" s="164">
        <v>4766</v>
      </c>
      <c r="F739" s="164" t="s">
        <v>3955</v>
      </c>
      <c r="G739" s="164"/>
      <c r="H739" s="167"/>
      <c r="I739" s="167"/>
      <c r="J739" s="167"/>
      <c r="K739" s="169"/>
      <c r="L739" s="129"/>
      <c r="M739" s="129"/>
      <c r="N739" s="129"/>
      <c r="O739" s="129"/>
      <c r="P739" s="146"/>
      <c r="Q739" s="170"/>
      <c r="R739" s="171"/>
      <c r="S739" s="172"/>
    </row>
    <row r="740" spans="1:19" ht="42.75">
      <c r="A740" s="216" t="s">
        <v>776</v>
      </c>
      <c r="B740" s="165" t="s">
        <v>1141</v>
      </c>
      <c r="C740" s="165" t="s">
        <v>4375</v>
      </c>
      <c r="D740" s="164">
        <v>6543</v>
      </c>
      <c r="E740" s="164">
        <v>6457</v>
      </c>
      <c r="F740" s="164" t="s">
        <v>3955</v>
      </c>
      <c r="G740" s="164"/>
      <c r="H740" s="167"/>
      <c r="I740" s="167"/>
      <c r="J740" s="167"/>
      <c r="K740" s="169"/>
      <c r="L740" s="129"/>
      <c r="M740" s="129"/>
      <c r="N740" s="129"/>
      <c r="O740" s="129"/>
      <c r="P740" s="146"/>
      <c r="Q740" s="170"/>
      <c r="R740" s="171"/>
      <c r="S740" s="172"/>
    </row>
    <row r="741" spans="1:19" ht="42.75">
      <c r="A741" s="164" t="s">
        <v>776</v>
      </c>
      <c r="B741" s="165" t="s">
        <v>1141</v>
      </c>
      <c r="C741" s="165" t="s">
        <v>4377</v>
      </c>
      <c r="D741" s="164">
        <v>1996</v>
      </c>
      <c r="E741" s="164">
        <v>2377</v>
      </c>
      <c r="F741" s="164" t="s">
        <v>3955</v>
      </c>
      <c r="G741" s="164"/>
      <c r="H741" s="167"/>
      <c r="I741" s="167"/>
      <c r="J741" s="167"/>
      <c r="K741" s="169"/>
      <c r="L741" s="129"/>
      <c r="M741" s="129"/>
      <c r="N741" s="129"/>
      <c r="O741" s="129"/>
      <c r="P741" s="146"/>
      <c r="Q741" s="170"/>
      <c r="R741" s="171"/>
      <c r="S741" s="172"/>
    </row>
    <row r="742" spans="1:19" ht="42.75">
      <c r="A742" s="216" t="s">
        <v>776</v>
      </c>
      <c r="B742" s="165" t="s">
        <v>1141</v>
      </c>
      <c r="C742" s="165" t="s">
        <v>1056</v>
      </c>
      <c r="D742" s="164">
        <v>12227</v>
      </c>
      <c r="E742" s="164">
        <v>13353</v>
      </c>
      <c r="F742" s="164" t="s">
        <v>3404</v>
      </c>
      <c r="G742" s="164">
        <v>2024</v>
      </c>
      <c r="H742" s="175">
        <v>45427</v>
      </c>
      <c r="I742" s="175">
        <v>45428</v>
      </c>
      <c r="J742" s="168" t="s">
        <v>7100</v>
      </c>
      <c r="K742" s="174">
        <v>45429</v>
      </c>
      <c r="L742" s="129" t="s">
        <v>3532</v>
      </c>
      <c r="M742" s="129"/>
      <c r="N742" s="129"/>
      <c r="O742" s="129" t="s">
        <v>3406</v>
      </c>
      <c r="P742" s="146"/>
      <c r="Q742" s="170">
        <v>45429</v>
      </c>
      <c r="R742" s="171"/>
      <c r="S742" s="172"/>
    </row>
    <row r="743" spans="1:19" ht="42.75">
      <c r="A743" s="164" t="s">
        <v>776</v>
      </c>
      <c r="B743" s="165" t="s">
        <v>1141</v>
      </c>
      <c r="C743" s="165" t="s">
        <v>4373</v>
      </c>
      <c r="D743" s="164">
        <v>1553</v>
      </c>
      <c r="E743" s="164">
        <v>1666</v>
      </c>
      <c r="F743" s="164" t="s">
        <v>3955</v>
      </c>
      <c r="G743" s="164"/>
      <c r="H743" s="167"/>
      <c r="I743" s="167"/>
      <c r="J743" s="167"/>
      <c r="K743" s="169"/>
      <c r="L743" s="129"/>
      <c r="M743" s="129"/>
      <c r="N743" s="129"/>
      <c r="O743" s="129"/>
      <c r="P743" s="146"/>
      <c r="Q743" s="170"/>
      <c r="R743" s="171"/>
      <c r="S743" s="172"/>
    </row>
    <row r="744" spans="1:19" ht="42.75">
      <c r="A744" s="216" t="s">
        <v>776</v>
      </c>
      <c r="B744" s="165" t="s">
        <v>1141</v>
      </c>
      <c r="C744" s="165" t="s">
        <v>3977</v>
      </c>
      <c r="D744" s="164">
        <v>6831</v>
      </c>
      <c r="E744" s="164">
        <v>7700</v>
      </c>
      <c r="F744" s="164" t="s">
        <v>3955</v>
      </c>
      <c r="G744" s="164"/>
      <c r="H744" s="167"/>
      <c r="I744" s="167"/>
      <c r="J744" s="167"/>
      <c r="K744" s="169"/>
      <c r="L744" s="129"/>
      <c r="M744" s="129"/>
      <c r="N744" s="129"/>
      <c r="O744" s="129"/>
      <c r="P744" s="146"/>
      <c r="Q744" s="170"/>
      <c r="R744" s="171"/>
      <c r="S744" s="172"/>
    </row>
    <row r="745" spans="1:19" ht="42.75">
      <c r="A745" s="216" t="s">
        <v>776</v>
      </c>
      <c r="B745" s="165" t="s">
        <v>1141</v>
      </c>
      <c r="C745" s="165" t="s">
        <v>4014</v>
      </c>
      <c r="D745" s="164">
        <v>6774</v>
      </c>
      <c r="E745" s="164">
        <v>7912</v>
      </c>
      <c r="F745" s="164" t="s">
        <v>3955</v>
      </c>
      <c r="G745" s="164"/>
      <c r="H745" s="167"/>
      <c r="I745" s="167"/>
      <c r="J745" s="167"/>
      <c r="K745" s="169"/>
      <c r="L745" s="129"/>
      <c r="M745" s="129"/>
      <c r="N745" s="129"/>
      <c r="O745" s="129"/>
      <c r="P745" s="146"/>
      <c r="Q745" s="170"/>
      <c r="R745" s="171"/>
      <c r="S745" s="172"/>
    </row>
    <row r="746" spans="1:19" ht="42.75">
      <c r="A746" s="164" t="s">
        <v>776</v>
      </c>
      <c r="B746" s="165" t="s">
        <v>1141</v>
      </c>
      <c r="C746" s="165" t="s">
        <v>1305</v>
      </c>
      <c r="D746" s="164">
        <v>4355</v>
      </c>
      <c r="E746" s="164">
        <v>4931</v>
      </c>
      <c r="F746" s="164" t="s">
        <v>3955</v>
      </c>
      <c r="G746" s="164"/>
      <c r="H746" s="167"/>
      <c r="I746" s="167"/>
      <c r="J746" s="167"/>
      <c r="K746" s="169"/>
      <c r="L746" s="129"/>
      <c r="M746" s="129"/>
      <c r="N746" s="129"/>
      <c r="O746" s="129"/>
      <c r="P746" s="146"/>
      <c r="Q746" s="170"/>
      <c r="R746" s="171"/>
      <c r="S746" s="172"/>
    </row>
    <row r="747" spans="1:19" ht="42.75">
      <c r="A747" s="164" t="s">
        <v>776</v>
      </c>
      <c r="B747" s="165" t="s">
        <v>1141</v>
      </c>
      <c r="C747" s="165" t="s">
        <v>1462</v>
      </c>
      <c r="D747" s="164">
        <v>4235</v>
      </c>
      <c r="E747" s="164">
        <v>4857</v>
      </c>
      <c r="F747" s="164" t="s">
        <v>3955</v>
      </c>
      <c r="G747" s="164"/>
      <c r="H747" s="167"/>
      <c r="I747" s="167"/>
      <c r="J747" s="167"/>
      <c r="K747" s="169"/>
      <c r="L747" s="129"/>
      <c r="M747" s="129"/>
      <c r="N747" s="129"/>
      <c r="O747" s="129"/>
      <c r="P747" s="146"/>
      <c r="Q747" s="170"/>
      <c r="R747" s="171"/>
      <c r="S747" s="172"/>
    </row>
    <row r="748" spans="1:19" ht="42.75">
      <c r="A748" s="164" t="s">
        <v>776</v>
      </c>
      <c r="B748" s="165" t="s">
        <v>1141</v>
      </c>
      <c r="C748" s="165" t="s">
        <v>4379</v>
      </c>
      <c r="D748" s="164">
        <v>3889</v>
      </c>
      <c r="E748" s="164">
        <v>4153</v>
      </c>
      <c r="F748" s="164" t="s">
        <v>3955</v>
      </c>
      <c r="G748" s="164"/>
      <c r="H748" s="167"/>
      <c r="I748" s="167"/>
      <c r="J748" s="167"/>
      <c r="K748" s="169"/>
      <c r="L748" s="129"/>
      <c r="M748" s="129"/>
      <c r="N748" s="129"/>
      <c r="O748" s="129"/>
      <c r="P748" s="146"/>
      <c r="Q748" s="170"/>
      <c r="R748" s="171"/>
      <c r="S748" s="172"/>
    </row>
    <row r="749" spans="1:19" ht="42.75">
      <c r="A749" s="164" t="s">
        <v>776</v>
      </c>
      <c r="B749" s="165" t="s">
        <v>1148</v>
      </c>
      <c r="C749" s="165" t="s">
        <v>2100</v>
      </c>
      <c r="D749" s="164">
        <v>4330</v>
      </c>
      <c r="E749" s="164">
        <v>4653</v>
      </c>
      <c r="F749" s="164" t="s">
        <v>3955</v>
      </c>
      <c r="G749" s="164"/>
      <c r="H749" s="167"/>
      <c r="I749" s="167"/>
      <c r="J749" s="167"/>
      <c r="K749" s="169"/>
      <c r="L749" s="129"/>
      <c r="M749" s="129"/>
      <c r="N749" s="129"/>
      <c r="O749" s="129"/>
      <c r="P749" s="146"/>
      <c r="Q749" s="170"/>
      <c r="R749" s="171"/>
      <c r="S749" s="172"/>
    </row>
    <row r="750" spans="1:19" ht="42.75">
      <c r="A750" s="164" t="s">
        <v>776</v>
      </c>
      <c r="B750" s="165" t="s">
        <v>1148</v>
      </c>
      <c r="C750" s="165" t="s">
        <v>4385</v>
      </c>
      <c r="D750" s="164">
        <v>3506</v>
      </c>
      <c r="E750" s="164">
        <v>3607</v>
      </c>
      <c r="F750" s="164" t="s">
        <v>3955</v>
      </c>
      <c r="G750" s="164"/>
      <c r="H750" s="167"/>
      <c r="I750" s="167"/>
      <c r="J750" s="167"/>
      <c r="K750" s="169"/>
      <c r="L750" s="129"/>
      <c r="M750" s="129"/>
      <c r="N750" s="129"/>
      <c r="O750" s="129"/>
      <c r="P750" s="146"/>
      <c r="Q750" s="170"/>
      <c r="R750" s="171"/>
      <c r="S750" s="172"/>
    </row>
    <row r="751" spans="1:19" ht="42.75">
      <c r="A751" s="164" t="s">
        <v>776</v>
      </c>
      <c r="B751" s="165" t="s">
        <v>1148</v>
      </c>
      <c r="C751" s="165" t="s">
        <v>4386</v>
      </c>
      <c r="D751" s="164">
        <v>4169</v>
      </c>
      <c r="E751" s="164">
        <v>5271</v>
      </c>
      <c r="F751" s="164" t="s">
        <v>3404</v>
      </c>
      <c r="G751" s="164">
        <v>2024</v>
      </c>
      <c r="H751" s="175">
        <v>45428</v>
      </c>
      <c r="I751" s="175">
        <v>45428</v>
      </c>
      <c r="J751" s="168" t="s">
        <v>7101</v>
      </c>
      <c r="K751" s="174">
        <v>45429</v>
      </c>
      <c r="L751" s="129" t="s">
        <v>3532</v>
      </c>
      <c r="M751" s="129"/>
      <c r="N751" s="129"/>
      <c r="O751" s="129" t="s">
        <v>3406</v>
      </c>
      <c r="P751" s="146"/>
      <c r="Q751" s="170">
        <v>45429</v>
      </c>
      <c r="R751" s="171"/>
      <c r="S751" s="172"/>
    </row>
    <row r="752" spans="1:19" ht="42.75">
      <c r="A752" s="164" t="s">
        <v>776</v>
      </c>
      <c r="B752" s="165" t="s">
        <v>1148</v>
      </c>
      <c r="C752" s="165" t="s">
        <v>4303</v>
      </c>
      <c r="D752" s="164">
        <v>2150</v>
      </c>
      <c r="E752" s="164">
        <v>2407</v>
      </c>
      <c r="F752" s="164" t="s">
        <v>3955</v>
      </c>
      <c r="G752" s="164"/>
      <c r="H752" s="167"/>
      <c r="I752" s="167"/>
      <c r="J752" s="167"/>
      <c r="K752" s="169"/>
      <c r="L752" s="129"/>
      <c r="M752" s="129"/>
      <c r="N752" s="129"/>
      <c r="O752" s="129"/>
      <c r="P752" s="146"/>
      <c r="Q752" s="170"/>
      <c r="R752" s="171"/>
      <c r="S752" s="172"/>
    </row>
    <row r="753" spans="1:19" ht="42.75">
      <c r="A753" s="164" t="s">
        <v>776</v>
      </c>
      <c r="B753" s="165" t="s">
        <v>1148</v>
      </c>
      <c r="C753" s="165" t="s">
        <v>4387</v>
      </c>
      <c r="D753" s="164">
        <v>2068</v>
      </c>
      <c r="E753" s="164">
        <v>2199</v>
      </c>
      <c r="F753" s="164" t="s">
        <v>3404</v>
      </c>
      <c r="G753" s="164">
        <v>2024</v>
      </c>
      <c r="H753" s="175">
        <v>45483</v>
      </c>
      <c r="I753" s="175">
        <v>45485</v>
      </c>
      <c r="J753" s="168" t="s">
        <v>7102</v>
      </c>
      <c r="K753" s="174">
        <v>45489</v>
      </c>
      <c r="L753" s="129" t="s">
        <v>3125</v>
      </c>
      <c r="M753" s="129" t="s">
        <v>4</v>
      </c>
      <c r="N753" s="129" t="s">
        <v>50</v>
      </c>
      <c r="O753" s="129" t="s">
        <v>3406</v>
      </c>
      <c r="P753" s="146"/>
      <c r="Q753" s="170">
        <v>45490</v>
      </c>
      <c r="R753" s="171"/>
      <c r="S753" s="172"/>
    </row>
    <row r="754" spans="1:19" ht="42.75">
      <c r="A754" s="164" t="s">
        <v>776</v>
      </c>
      <c r="B754" s="165" t="s">
        <v>1148</v>
      </c>
      <c r="C754" s="165" t="s">
        <v>4389</v>
      </c>
      <c r="D754" s="164">
        <v>2245</v>
      </c>
      <c r="E754" s="164">
        <v>2560</v>
      </c>
      <c r="F754" s="164" t="s">
        <v>3955</v>
      </c>
      <c r="G754" s="164"/>
      <c r="H754" s="167"/>
      <c r="I754" s="167"/>
      <c r="J754" s="167"/>
      <c r="K754" s="169"/>
      <c r="L754" s="129"/>
      <c r="M754" s="129"/>
      <c r="N754" s="129"/>
      <c r="O754" s="129"/>
      <c r="P754" s="146"/>
      <c r="Q754" s="170"/>
      <c r="R754" s="171"/>
      <c r="S754" s="172"/>
    </row>
    <row r="755" spans="1:19" ht="42.75">
      <c r="A755" s="164" t="s">
        <v>776</v>
      </c>
      <c r="B755" s="165" t="s">
        <v>1148</v>
      </c>
      <c r="C755" s="165" t="s">
        <v>4388</v>
      </c>
      <c r="D755" s="164">
        <v>2069</v>
      </c>
      <c r="E755" s="164">
        <v>2200</v>
      </c>
      <c r="F755" s="164" t="s">
        <v>3955</v>
      </c>
      <c r="G755" s="164"/>
      <c r="H755" s="167"/>
      <c r="I755" s="167"/>
      <c r="J755" s="167"/>
      <c r="K755" s="169"/>
      <c r="L755" s="129"/>
      <c r="M755" s="129"/>
      <c r="N755" s="129"/>
      <c r="O755" s="129"/>
      <c r="P755" s="146"/>
      <c r="Q755" s="170"/>
      <c r="R755" s="171"/>
      <c r="S755" s="172"/>
    </row>
    <row r="756" spans="1:19" ht="42.75">
      <c r="A756" s="164" t="s">
        <v>776</v>
      </c>
      <c r="B756" s="165" t="s">
        <v>1148</v>
      </c>
      <c r="C756" s="165" t="s">
        <v>4390</v>
      </c>
      <c r="D756" s="164">
        <v>1402</v>
      </c>
      <c r="E756" s="164">
        <v>1973</v>
      </c>
      <c r="F756" s="164" t="s">
        <v>3955</v>
      </c>
      <c r="G756" s="164"/>
      <c r="H756" s="167"/>
      <c r="I756" s="167"/>
      <c r="J756" s="167"/>
      <c r="K756" s="169"/>
      <c r="L756" s="129"/>
      <c r="M756" s="129"/>
      <c r="N756" s="129"/>
      <c r="O756" s="129"/>
      <c r="P756" s="146"/>
      <c r="Q756" s="170"/>
      <c r="R756" s="171"/>
      <c r="S756" s="172"/>
    </row>
    <row r="757" spans="1:19" ht="42.75">
      <c r="A757" s="164" t="s">
        <v>776</v>
      </c>
      <c r="B757" s="165" t="s">
        <v>1148</v>
      </c>
      <c r="C757" s="165" t="s">
        <v>4391</v>
      </c>
      <c r="D757" s="164">
        <v>1948</v>
      </c>
      <c r="E757" s="164">
        <v>2118</v>
      </c>
      <c r="F757" s="164" t="s">
        <v>3955</v>
      </c>
      <c r="G757" s="164"/>
      <c r="H757" s="167"/>
      <c r="I757" s="167"/>
      <c r="J757" s="167"/>
      <c r="K757" s="169"/>
      <c r="L757" s="129"/>
      <c r="M757" s="129"/>
      <c r="N757" s="129"/>
      <c r="O757" s="129"/>
      <c r="P757" s="146"/>
      <c r="Q757" s="170"/>
      <c r="R757" s="171"/>
      <c r="S757" s="172"/>
    </row>
    <row r="758" spans="1:19" ht="42.75">
      <c r="A758" s="164" t="s">
        <v>776</v>
      </c>
      <c r="B758" s="165" t="s">
        <v>1148</v>
      </c>
      <c r="C758" s="165" t="s">
        <v>4392</v>
      </c>
      <c r="D758" s="164">
        <v>3578</v>
      </c>
      <c r="E758" s="164">
        <v>3705</v>
      </c>
      <c r="F758" s="164" t="s">
        <v>3955</v>
      </c>
      <c r="G758" s="164"/>
      <c r="H758" s="167"/>
      <c r="I758" s="167"/>
      <c r="J758" s="167"/>
      <c r="K758" s="169"/>
      <c r="L758" s="129"/>
      <c r="M758" s="129"/>
      <c r="N758" s="129"/>
      <c r="O758" s="129"/>
      <c r="P758" s="146"/>
      <c r="Q758" s="170"/>
      <c r="R758" s="171"/>
      <c r="S758" s="172"/>
    </row>
    <row r="759" spans="1:19" ht="42.75">
      <c r="A759" s="164" t="s">
        <v>776</v>
      </c>
      <c r="B759" s="165" t="s">
        <v>1148</v>
      </c>
      <c r="C759" s="165" t="s">
        <v>4393</v>
      </c>
      <c r="D759" s="164">
        <v>3435</v>
      </c>
      <c r="E759" s="164">
        <v>3717</v>
      </c>
      <c r="F759" s="164" t="s">
        <v>3955</v>
      </c>
      <c r="G759" s="164"/>
      <c r="H759" s="167"/>
      <c r="I759" s="167"/>
      <c r="J759" s="167"/>
      <c r="K759" s="169"/>
      <c r="L759" s="129"/>
      <c r="M759" s="129"/>
      <c r="N759" s="129"/>
      <c r="O759" s="129"/>
      <c r="P759" s="146"/>
      <c r="Q759" s="170"/>
      <c r="R759" s="171"/>
      <c r="S759" s="172"/>
    </row>
    <row r="760" spans="1:19" ht="42.75">
      <c r="A760" s="164" t="s">
        <v>776</v>
      </c>
      <c r="B760" s="165" t="s">
        <v>1148</v>
      </c>
      <c r="C760" s="165" t="s">
        <v>4394</v>
      </c>
      <c r="D760" s="164">
        <v>1811</v>
      </c>
      <c r="E760" s="164">
        <v>2030</v>
      </c>
      <c r="F760" s="164" t="s">
        <v>3955</v>
      </c>
      <c r="G760" s="164"/>
      <c r="H760" s="167"/>
      <c r="I760" s="167"/>
      <c r="J760" s="167"/>
      <c r="K760" s="169"/>
      <c r="L760" s="129"/>
      <c r="M760" s="129"/>
      <c r="N760" s="129"/>
      <c r="O760" s="129"/>
      <c r="P760" s="146"/>
      <c r="Q760" s="170"/>
      <c r="R760" s="171"/>
      <c r="S760" s="172"/>
    </row>
    <row r="761" spans="1:19" ht="42.75">
      <c r="A761" s="216" t="s">
        <v>776</v>
      </c>
      <c r="B761" s="165" t="s">
        <v>1148</v>
      </c>
      <c r="C761" s="165" t="s">
        <v>4395</v>
      </c>
      <c r="D761" s="164">
        <v>3393</v>
      </c>
      <c r="E761" s="164">
        <v>3699</v>
      </c>
      <c r="F761" s="164" t="s">
        <v>3955</v>
      </c>
      <c r="G761" s="164"/>
      <c r="H761" s="167"/>
      <c r="I761" s="167"/>
      <c r="J761" s="167"/>
      <c r="K761" s="169"/>
      <c r="L761" s="129"/>
      <c r="M761" s="129"/>
      <c r="N761" s="129"/>
      <c r="O761" s="129"/>
      <c r="P761" s="146"/>
      <c r="Q761" s="170"/>
      <c r="R761" s="171"/>
      <c r="S761" s="172"/>
    </row>
    <row r="762" spans="1:19" ht="42.75">
      <c r="A762" s="164" t="s">
        <v>776</v>
      </c>
      <c r="B762" s="165" t="s">
        <v>1148</v>
      </c>
      <c r="C762" s="165" t="s">
        <v>4396</v>
      </c>
      <c r="D762" s="164">
        <v>1183</v>
      </c>
      <c r="E762" s="164">
        <v>1273</v>
      </c>
      <c r="F762" s="164" t="s">
        <v>3955</v>
      </c>
      <c r="G762" s="164"/>
      <c r="H762" s="167"/>
      <c r="I762" s="167"/>
      <c r="J762" s="167"/>
      <c r="K762" s="169"/>
      <c r="L762" s="129"/>
      <c r="M762" s="129"/>
      <c r="N762" s="129"/>
      <c r="O762" s="129"/>
      <c r="P762" s="146"/>
      <c r="Q762" s="170"/>
      <c r="R762" s="171"/>
      <c r="S762" s="172"/>
    </row>
    <row r="763" spans="1:19" ht="42.75">
      <c r="A763" s="164" t="s">
        <v>776</v>
      </c>
      <c r="B763" s="165" t="s">
        <v>1148</v>
      </c>
      <c r="C763" s="165" t="s">
        <v>4397</v>
      </c>
      <c r="D763" s="164">
        <v>3134</v>
      </c>
      <c r="E763" s="164">
        <v>3268</v>
      </c>
      <c r="F763" s="164" t="s">
        <v>3955</v>
      </c>
      <c r="G763" s="164"/>
      <c r="H763" s="167"/>
      <c r="I763" s="167"/>
      <c r="J763" s="167"/>
      <c r="K763" s="169"/>
      <c r="L763" s="129"/>
      <c r="M763" s="129"/>
      <c r="N763" s="129"/>
      <c r="O763" s="129"/>
      <c r="P763" s="146"/>
      <c r="Q763" s="170"/>
      <c r="R763" s="171"/>
      <c r="S763" s="172"/>
    </row>
    <row r="764" spans="1:19" ht="42.75">
      <c r="A764" s="164" t="s">
        <v>776</v>
      </c>
      <c r="B764" s="165" t="s">
        <v>1148</v>
      </c>
      <c r="C764" s="165" t="s">
        <v>4398</v>
      </c>
      <c r="D764" s="164">
        <v>3774</v>
      </c>
      <c r="E764" s="164">
        <v>3693</v>
      </c>
      <c r="F764" s="164" t="s">
        <v>3404</v>
      </c>
      <c r="G764" s="164">
        <v>2024</v>
      </c>
      <c r="H764" s="175">
        <v>45540</v>
      </c>
      <c r="I764" s="175">
        <v>45541</v>
      </c>
      <c r="J764" s="168" t="s">
        <v>7103</v>
      </c>
      <c r="K764" s="174">
        <v>45552</v>
      </c>
      <c r="L764" s="129" t="s">
        <v>3127</v>
      </c>
      <c r="M764" s="129" t="s">
        <v>6701</v>
      </c>
      <c r="N764" s="129"/>
      <c r="O764" s="129" t="s">
        <v>3406</v>
      </c>
      <c r="P764" s="146"/>
      <c r="Q764" s="130">
        <v>45552</v>
      </c>
      <c r="R764" s="171" t="s">
        <v>7080</v>
      </c>
      <c r="S764" s="172"/>
    </row>
    <row r="765" spans="1:19" ht="42.75">
      <c r="A765" s="164" t="s">
        <v>776</v>
      </c>
      <c r="B765" s="165" t="s">
        <v>1148</v>
      </c>
      <c r="C765" s="228" t="s">
        <v>4399</v>
      </c>
      <c r="D765" s="164">
        <v>2234</v>
      </c>
      <c r="E765" s="164">
        <v>2744</v>
      </c>
      <c r="F765" s="164" t="s">
        <v>3404</v>
      </c>
      <c r="G765" s="164">
        <v>2024</v>
      </c>
      <c r="H765" s="175">
        <v>45518</v>
      </c>
      <c r="I765" s="175">
        <v>45519</v>
      </c>
      <c r="J765" s="168" t="s">
        <v>7104</v>
      </c>
      <c r="K765" s="174">
        <v>45523</v>
      </c>
      <c r="L765" s="129" t="s">
        <v>3126</v>
      </c>
      <c r="M765" s="129" t="s">
        <v>6701</v>
      </c>
      <c r="N765" s="129"/>
      <c r="O765" s="129" t="s">
        <v>3406</v>
      </c>
      <c r="P765" s="146"/>
      <c r="Q765" s="129" t="s">
        <v>4098</v>
      </c>
      <c r="R765" s="171"/>
      <c r="S765" s="172"/>
    </row>
    <row r="766" spans="1:19" ht="42.75">
      <c r="A766" s="216" t="s">
        <v>776</v>
      </c>
      <c r="B766" s="229" t="s">
        <v>1148</v>
      </c>
      <c r="C766" s="230" t="s">
        <v>4400</v>
      </c>
      <c r="D766" s="164">
        <v>5897</v>
      </c>
      <c r="E766" s="164">
        <v>6605</v>
      </c>
      <c r="F766" s="164" t="s">
        <v>3404</v>
      </c>
      <c r="G766" s="164">
        <v>2024</v>
      </c>
      <c r="H766" s="175">
        <v>45540</v>
      </c>
      <c r="I766" s="175">
        <v>45541</v>
      </c>
      <c r="J766" s="168" t="s">
        <v>7105</v>
      </c>
      <c r="K766" s="174">
        <v>45552</v>
      </c>
      <c r="L766" s="129" t="s">
        <v>3127</v>
      </c>
      <c r="M766" s="129" t="s">
        <v>6701</v>
      </c>
      <c r="N766" s="129"/>
      <c r="O766" s="129" t="s">
        <v>3406</v>
      </c>
      <c r="P766" s="146"/>
      <c r="Q766" s="130">
        <v>45552</v>
      </c>
      <c r="R766" s="171" t="s">
        <v>7080</v>
      </c>
      <c r="S766" s="172"/>
    </row>
    <row r="767" spans="1:19" ht="42.75">
      <c r="A767" s="164" t="s">
        <v>776</v>
      </c>
      <c r="B767" s="165" t="s">
        <v>1148</v>
      </c>
      <c r="C767" s="165" t="s">
        <v>4402</v>
      </c>
      <c r="D767" s="164">
        <v>2583</v>
      </c>
      <c r="E767" s="164">
        <v>2806</v>
      </c>
      <c r="F767" s="164" t="s">
        <v>3955</v>
      </c>
      <c r="G767" s="164"/>
      <c r="H767" s="167"/>
      <c r="I767" s="167"/>
      <c r="J767" s="167"/>
      <c r="K767" s="169"/>
      <c r="L767" s="129"/>
      <c r="M767" s="129"/>
      <c r="N767" s="129"/>
      <c r="O767" s="129"/>
      <c r="P767" s="146"/>
      <c r="Q767" s="170"/>
      <c r="R767" s="171"/>
      <c r="S767" s="172"/>
    </row>
    <row r="768" spans="1:19" ht="42.75">
      <c r="A768" s="164" t="s">
        <v>776</v>
      </c>
      <c r="B768" s="165" t="s">
        <v>1148</v>
      </c>
      <c r="C768" s="165" t="s">
        <v>4403</v>
      </c>
      <c r="D768" s="164">
        <v>1914</v>
      </c>
      <c r="E768" s="164">
        <v>2389</v>
      </c>
      <c r="F768" s="164" t="s">
        <v>3955</v>
      </c>
      <c r="G768" s="164"/>
      <c r="H768" s="167"/>
      <c r="I768" s="167"/>
      <c r="J768" s="167"/>
      <c r="K768" s="169"/>
      <c r="L768" s="129"/>
      <c r="M768" s="129"/>
      <c r="N768" s="129"/>
      <c r="O768" s="129"/>
      <c r="P768" s="146"/>
      <c r="Q768" s="170"/>
      <c r="R768" s="171"/>
      <c r="S768" s="172"/>
    </row>
    <row r="769" spans="1:19" ht="42.75">
      <c r="A769" s="164" t="s">
        <v>776</v>
      </c>
      <c r="B769" s="165" t="s">
        <v>1148</v>
      </c>
      <c r="C769" s="165" t="s">
        <v>1834</v>
      </c>
      <c r="D769" s="164">
        <v>6087</v>
      </c>
      <c r="E769" s="164">
        <v>6743</v>
      </c>
      <c r="F769" s="164" t="s">
        <v>3955</v>
      </c>
      <c r="G769" s="164"/>
      <c r="H769" s="167"/>
      <c r="I769" s="167"/>
      <c r="J769" s="167"/>
      <c r="K769" s="169"/>
      <c r="L769" s="129"/>
      <c r="M769" s="129"/>
      <c r="N769" s="129"/>
      <c r="O769" s="129"/>
      <c r="P769" s="146"/>
      <c r="Q769" s="170"/>
      <c r="R769" s="171"/>
      <c r="S769" s="172"/>
    </row>
    <row r="770" spans="1:19" ht="42.75">
      <c r="A770" s="164" t="s">
        <v>776</v>
      </c>
      <c r="B770" s="165" t="s">
        <v>1148</v>
      </c>
      <c r="C770" s="165" t="s">
        <v>4404</v>
      </c>
      <c r="D770" s="164">
        <v>839</v>
      </c>
      <c r="E770" s="164">
        <v>1145</v>
      </c>
      <c r="F770" s="164" t="s">
        <v>3955</v>
      </c>
      <c r="G770" s="164"/>
      <c r="H770" s="167"/>
      <c r="I770" s="167"/>
      <c r="J770" s="167"/>
      <c r="K770" s="169"/>
      <c r="L770" s="129"/>
      <c r="M770" s="129"/>
      <c r="N770" s="129"/>
      <c r="O770" s="129"/>
      <c r="P770" s="146"/>
      <c r="Q770" s="170"/>
      <c r="R770" s="171"/>
      <c r="S770" s="172"/>
    </row>
    <row r="771" spans="1:19" ht="42.75">
      <c r="A771" s="164" t="s">
        <v>776</v>
      </c>
      <c r="B771" s="165" t="s">
        <v>1148</v>
      </c>
      <c r="C771" s="165" t="s">
        <v>4405</v>
      </c>
      <c r="D771" s="164">
        <v>7283</v>
      </c>
      <c r="E771" s="164">
        <v>7738</v>
      </c>
      <c r="F771" s="164" t="s">
        <v>3955</v>
      </c>
      <c r="G771" s="164"/>
      <c r="H771" s="167"/>
      <c r="I771" s="167"/>
      <c r="J771" s="167"/>
      <c r="K771" s="169"/>
      <c r="L771" s="129"/>
      <c r="M771" s="129"/>
      <c r="N771" s="129"/>
      <c r="O771" s="129"/>
      <c r="P771" s="146"/>
      <c r="Q771" s="170"/>
      <c r="R771" s="171"/>
      <c r="S771" s="172"/>
    </row>
    <row r="772" spans="1:19" ht="42.75">
      <c r="A772" s="164" t="s">
        <v>776</v>
      </c>
      <c r="B772" s="165" t="s">
        <v>1148</v>
      </c>
      <c r="C772" s="165" t="s">
        <v>1056</v>
      </c>
      <c r="D772" s="164">
        <v>4080</v>
      </c>
      <c r="E772" s="164">
        <v>4901</v>
      </c>
      <c r="F772" s="164" t="s">
        <v>3955</v>
      </c>
      <c r="G772" s="164"/>
      <c r="H772" s="167"/>
      <c r="I772" s="167"/>
      <c r="J772" s="167"/>
      <c r="K772" s="169"/>
      <c r="L772" s="129"/>
      <c r="M772" s="129"/>
      <c r="N772" s="129"/>
      <c r="O772" s="129"/>
      <c r="P772" s="146"/>
      <c r="Q772" s="170"/>
      <c r="R772" s="171"/>
      <c r="S772" s="172"/>
    </row>
    <row r="773" spans="1:19" ht="42.75">
      <c r="A773" s="164" t="s">
        <v>776</v>
      </c>
      <c r="B773" s="165" t="s">
        <v>1148</v>
      </c>
      <c r="C773" s="165" t="s">
        <v>4406</v>
      </c>
      <c r="D773" s="164">
        <v>1987</v>
      </c>
      <c r="E773" s="164">
        <v>2198</v>
      </c>
      <c r="F773" s="164" t="s">
        <v>3955</v>
      </c>
      <c r="G773" s="164"/>
      <c r="H773" s="167"/>
      <c r="I773" s="167"/>
      <c r="J773" s="167"/>
      <c r="K773" s="169"/>
      <c r="L773" s="129"/>
      <c r="M773" s="129"/>
      <c r="N773" s="129"/>
      <c r="O773" s="129"/>
      <c r="P773" s="146"/>
      <c r="Q773" s="170"/>
      <c r="R773" s="171"/>
      <c r="S773" s="172"/>
    </row>
    <row r="774" spans="1:19" ht="42.75">
      <c r="A774" s="164" t="s">
        <v>776</v>
      </c>
      <c r="B774" s="165" t="s">
        <v>1148</v>
      </c>
      <c r="C774" s="165" t="s">
        <v>918</v>
      </c>
      <c r="D774" s="164">
        <v>5149</v>
      </c>
      <c r="E774" s="164">
        <v>4986</v>
      </c>
      <c r="F774" s="164" t="s">
        <v>3955</v>
      </c>
      <c r="G774" s="164"/>
      <c r="H774" s="167"/>
      <c r="I774" s="167"/>
      <c r="J774" s="167"/>
      <c r="K774" s="169"/>
      <c r="L774" s="129"/>
      <c r="M774" s="129"/>
      <c r="N774" s="129"/>
      <c r="O774" s="129"/>
      <c r="P774" s="146"/>
      <c r="Q774" s="170"/>
      <c r="R774" s="171"/>
      <c r="S774" s="172"/>
    </row>
    <row r="775" spans="1:19" ht="42.75">
      <c r="A775" s="164" t="s">
        <v>776</v>
      </c>
      <c r="B775" s="165" t="s">
        <v>1148</v>
      </c>
      <c r="C775" s="165" t="s">
        <v>4407</v>
      </c>
      <c r="D775" s="164">
        <v>1502</v>
      </c>
      <c r="E775" s="164">
        <v>1422</v>
      </c>
      <c r="F775" s="164" t="s">
        <v>3955</v>
      </c>
      <c r="G775" s="164"/>
      <c r="H775" s="167"/>
      <c r="I775" s="167"/>
      <c r="J775" s="167"/>
      <c r="K775" s="169"/>
      <c r="L775" s="129"/>
      <c r="M775" s="129"/>
      <c r="N775" s="129"/>
      <c r="O775" s="129"/>
      <c r="P775" s="146"/>
      <c r="Q775" s="170"/>
      <c r="R775" s="171"/>
      <c r="S775" s="172"/>
    </row>
    <row r="776" spans="1:19" ht="42.75">
      <c r="A776" s="164" t="s">
        <v>776</v>
      </c>
      <c r="B776" s="165" t="s">
        <v>1148</v>
      </c>
      <c r="C776" s="165" t="s">
        <v>4408</v>
      </c>
      <c r="D776" s="164">
        <v>2620</v>
      </c>
      <c r="E776" s="164">
        <v>2971</v>
      </c>
      <c r="F776" s="164" t="s">
        <v>3955</v>
      </c>
      <c r="G776" s="164"/>
      <c r="H776" s="167"/>
      <c r="I776" s="167"/>
      <c r="J776" s="167"/>
      <c r="K776" s="169"/>
      <c r="L776" s="129"/>
      <c r="M776" s="129"/>
      <c r="N776" s="129"/>
      <c r="O776" s="129"/>
      <c r="P776" s="146"/>
      <c r="Q776" s="170"/>
      <c r="R776" s="171"/>
      <c r="S776" s="172"/>
    </row>
    <row r="777" spans="1:19" ht="42.75">
      <c r="A777" s="164" t="s">
        <v>776</v>
      </c>
      <c r="B777" s="165" t="s">
        <v>1148</v>
      </c>
      <c r="C777" s="165" t="s">
        <v>4409</v>
      </c>
      <c r="D777" s="164">
        <v>1483</v>
      </c>
      <c r="E777" s="164">
        <v>1626</v>
      </c>
      <c r="F777" s="164" t="s">
        <v>3955</v>
      </c>
      <c r="G777" s="164"/>
      <c r="H777" s="167"/>
      <c r="I777" s="167"/>
      <c r="J777" s="167"/>
      <c r="K777" s="169"/>
      <c r="L777" s="129"/>
      <c r="M777" s="129"/>
      <c r="N777" s="129"/>
      <c r="O777" s="129"/>
      <c r="P777" s="146"/>
      <c r="Q777" s="170"/>
      <c r="R777" s="171"/>
      <c r="S777" s="172"/>
    </row>
    <row r="778" spans="1:19" ht="42.75">
      <c r="A778" s="216" t="s">
        <v>776</v>
      </c>
      <c r="B778" s="165" t="s">
        <v>1148</v>
      </c>
      <c r="C778" s="165" t="s">
        <v>4410</v>
      </c>
      <c r="D778" s="164">
        <v>3946</v>
      </c>
      <c r="E778" s="164">
        <v>4858</v>
      </c>
      <c r="F778" s="164" t="s">
        <v>3955</v>
      </c>
      <c r="G778" s="164"/>
      <c r="H778" s="167"/>
      <c r="I778" s="167"/>
      <c r="J778" s="167"/>
      <c r="K778" s="169"/>
      <c r="L778" s="129"/>
      <c r="M778" s="129"/>
      <c r="N778" s="129"/>
      <c r="O778" s="129"/>
      <c r="P778" s="146"/>
      <c r="Q778" s="170"/>
      <c r="R778" s="171"/>
      <c r="S778" s="172"/>
    </row>
    <row r="779" spans="1:19" ht="42.75">
      <c r="A779" s="216" t="s">
        <v>776</v>
      </c>
      <c r="B779" s="165" t="s">
        <v>1148</v>
      </c>
      <c r="C779" s="228" t="s">
        <v>4411</v>
      </c>
      <c r="D779" s="164">
        <v>1988</v>
      </c>
      <c r="E779" s="164">
        <v>2383</v>
      </c>
      <c r="F779" s="164" t="s">
        <v>3955</v>
      </c>
      <c r="G779" s="164"/>
      <c r="H779" s="167"/>
      <c r="I779" s="167"/>
      <c r="J779" s="167"/>
      <c r="K779" s="169"/>
      <c r="L779" s="129"/>
      <c r="M779" s="129"/>
      <c r="N779" s="129"/>
      <c r="O779" s="129"/>
      <c r="P779" s="146"/>
      <c r="Q779" s="170"/>
      <c r="R779" s="171"/>
      <c r="S779" s="172"/>
    </row>
    <row r="780" spans="1:19" ht="42.75">
      <c r="A780" s="216" t="s">
        <v>776</v>
      </c>
      <c r="B780" s="229" t="s">
        <v>1148</v>
      </c>
      <c r="C780" s="230" t="s">
        <v>4412</v>
      </c>
      <c r="D780" s="164">
        <v>2257</v>
      </c>
      <c r="E780" s="164">
        <v>2407</v>
      </c>
      <c r="F780" s="164" t="s">
        <v>3404</v>
      </c>
      <c r="G780" s="164">
        <v>2024</v>
      </c>
      <c r="H780" s="175">
        <v>45483</v>
      </c>
      <c r="I780" s="175">
        <v>45485</v>
      </c>
      <c r="J780" s="168" t="s">
        <v>7106</v>
      </c>
      <c r="K780" s="174">
        <v>45489</v>
      </c>
      <c r="L780" s="129" t="s">
        <v>3125</v>
      </c>
      <c r="M780" s="129" t="s">
        <v>4</v>
      </c>
      <c r="N780" s="129" t="s">
        <v>50</v>
      </c>
      <c r="O780" s="129" t="s">
        <v>3406</v>
      </c>
      <c r="P780" s="146"/>
      <c r="Q780" s="170">
        <v>45490</v>
      </c>
      <c r="R780" s="171"/>
      <c r="S780" s="172"/>
    </row>
    <row r="781" spans="1:19" ht="42.75">
      <c r="A781" s="164" t="s">
        <v>776</v>
      </c>
      <c r="B781" s="165" t="s">
        <v>1148</v>
      </c>
      <c r="C781" s="165" t="s">
        <v>4413</v>
      </c>
      <c r="D781" s="164">
        <v>1020</v>
      </c>
      <c r="E781" s="164">
        <v>1110</v>
      </c>
      <c r="F781" s="164" t="s">
        <v>3955</v>
      </c>
      <c r="G781" s="164"/>
      <c r="H781" s="167"/>
      <c r="I781" s="167"/>
      <c r="J781" s="167"/>
      <c r="K781" s="169"/>
      <c r="L781" s="129"/>
      <c r="M781" s="129"/>
      <c r="N781" s="129"/>
      <c r="O781" s="129"/>
      <c r="P781" s="146"/>
      <c r="Q781" s="170"/>
      <c r="R781" s="171"/>
      <c r="S781" s="172"/>
    </row>
    <row r="782" spans="1:19" ht="42.75">
      <c r="A782" s="164" t="s">
        <v>776</v>
      </c>
      <c r="B782" s="165" t="s">
        <v>1148</v>
      </c>
      <c r="C782" s="165" t="s">
        <v>4415</v>
      </c>
      <c r="D782" s="164">
        <v>2524</v>
      </c>
      <c r="E782" s="164">
        <v>2729</v>
      </c>
      <c r="F782" s="164" t="s">
        <v>3955</v>
      </c>
      <c r="G782" s="164"/>
      <c r="H782" s="167"/>
      <c r="I782" s="167"/>
      <c r="J782" s="167"/>
      <c r="K782" s="169"/>
      <c r="L782" s="129"/>
      <c r="M782" s="129"/>
      <c r="N782" s="129"/>
      <c r="O782" s="129"/>
      <c r="P782" s="146"/>
      <c r="Q782" s="170"/>
      <c r="R782" s="171"/>
      <c r="S782" s="172"/>
    </row>
    <row r="783" spans="1:19" ht="42.75">
      <c r="A783" s="164" t="s">
        <v>776</v>
      </c>
      <c r="B783" s="165" t="s">
        <v>1148</v>
      </c>
      <c r="C783" s="165" t="s">
        <v>4414</v>
      </c>
      <c r="D783" s="164">
        <v>2423</v>
      </c>
      <c r="E783" s="164">
        <v>2509</v>
      </c>
      <c r="F783" s="164" t="s">
        <v>3955</v>
      </c>
      <c r="G783" s="164"/>
      <c r="H783" s="167"/>
      <c r="I783" s="167"/>
      <c r="J783" s="167"/>
      <c r="K783" s="169"/>
      <c r="L783" s="129"/>
      <c r="M783" s="129"/>
      <c r="N783" s="129"/>
      <c r="O783" s="129"/>
      <c r="P783" s="146"/>
      <c r="Q783" s="170"/>
      <c r="R783" s="171"/>
      <c r="S783" s="172"/>
    </row>
    <row r="784" spans="1:19" ht="42.75">
      <c r="A784" s="164" t="s">
        <v>776</v>
      </c>
      <c r="B784" s="165" t="s">
        <v>1148</v>
      </c>
      <c r="C784" s="165" t="s">
        <v>4401</v>
      </c>
      <c r="D784" s="164">
        <v>2460</v>
      </c>
      <c r="E784" s="164">
        <v>3070</v>
      </c>
      <c r="F784" s="164" t="s">
        <v>3955</v>
      </c>
      <c r="G784" s="164"/>
      <c r="H784" s="167"/>
      <c r="I784" s="167"/>
      <c r="J784" s="167"/>
      <c r="K784" s="169"/>
      <c r="L784" s="129"/>
      <c r="M784" s="129"/>
      <c r="N784" s="129"/>
      <c r="O784" s="129"/>
      <c r="P784" s="146"/>
      <c r="Q784" s="170"/>
      <c r="R784" s="171"/>
      <c r="S784" s="172"/>
    </row>
    <row r="785" spans="1:19" ht="42.75">
      <c r="A785" s="164" t="s">
        <v>776</v>
      </c>
      <c r="B785" s="165" t="s">
        <v>4168</v>
      </c>
      <c r="C785" s="228" t="s">
        <v>4170</v>
      </c>
      <c r="D785" s="164">
        <v>7258</v>
      </c>
      <c r="E785" s="164">
        <v>7264</v>
      </c>
      <c r="F785" s="164" t="s">
        <v>3955</v>
      </c>
      <c r="G785" s="164"/>
      <c r="H785" s="167"/>
      <c r="I785" s="167"/>
      <c r="J785" s="167"/>
      <c r="K785" s="169"/>
      <c r="L785" s="129"/>
      <c r="M785" s="129"/>
      <c r="N785" s="129"/>
      <c r="O785" s="129"/>
      <c r="P785" s="146"/>
      <c r="Q785" s="170"/>
      <c r="R785" s="171"/>
      <c r="S785" s="172"/>
    </row>
    <row r="786" spans="1:19" ht="42.75">
      <c r="A786" s="164" t="s">
        <v>776</v>
      </c>
      <c r="B786" s="229" t="s">
        <v>4168</v>
      </c>
      <c r="C786" s="230" t="s">
        <v>4177</v>
      </c>
      <c r="D786" s="164">
        <v>8806</v>
      </c>
      <c r="E786" s="164">
        <v>11008</v>
      </c>
      <c r="F786" s="164" t="s">
        <v>3404</v>
      </c>
      <c r="G786" s="164">
        <v>2024</v>
      </c>
      <c r="H786" s="175">
        <v>45575</v>
      </c>
      <c r="I786" s="175">
        <v>45581</v>
      </c>
      <c r="J786" s="168" t="s">
        <v>7107</v>
      </c>
      <c r="K786" s="174">
        <v>45584</v>
      </c>
      <c r="L786" s="129" t="s">
        <v>3128</v>
      </c>
      <c r="M786" s="129" t="s">
        <v>4</v>
      </c>
      <c r="N786" s="129" t="s">
        <v>50</v>
      </c>
      <c r="O786" s="129" t="s">
        <v>3406</v>
      </c>
      <c r="P786" s="146"/>
      <c r="Q786" s="170">
        <v>45586</v>
      </c>
      <c r="R786" s="171" t="s">
        <v>150</v>
      </c>
      <c r="S786" s="172"/>
    </row>
    <row r="787" spans="1:19" ht="42.75">
      <c r="A787" s="216" t="s">
        <v>776</v>
      </c>
      <c r="B787" s="165" t="s">
        <v>4168</v>
      </c>
      <c r="C787" s="165" t="s">
        <v>4187</v>
      </c>
      <c r="D787" s="164">
        <v>43683</v>
      </c>
      <c r="E787" s="164">
        <v>56896</v>
      </c>
      <c r="F787" s="164" t="s">
        <v>3955</v>
      </c>
      <c r="G787" s="164"/>
      <c r="H787" s="167"/>
      <c r="I787" s="167"/>
      <c r="J787" s="167"/>
      <c r="K787" s="169"/>
      <c r="L787" s="129"/>
      <c r="M787" s="129"/>
      <c r="N787" s="129"/>
      <c r="O787" s="129"/>
      <c r="P787" s="146"/>
      <c r="Q787" s="170"/>
      <c r="R787" s="171"/>
      <c r="S787" s="172"/>
    </row>
    <row r="788" spans="1:19" ht="42.75">
      <c r="A788" s="164" t="s">
        <v>776</v>
      </c>
      <c r="B788" s="165" t="s">
        <v>4168</v>
      </c>
      <c r="C788" s="165" t="s">
        <v>4195</v>
      </c>
      <c r="D788" s="164">
        <v>38407</v>
      </c>
      <c r="E788" s="164">
        <v>46045</v>
      </c>
      <c r="F788" s="164" t="s">
        <v>3955</v>
      </c>
      <c r="G788" s="164"/>
      <c r="H788" s="167"/>
      <c r="I788" s="167"/>
      <c r="J788" s="167"/>
      <c r="K788" s="169"/>
      <c r="L788" s="129"/>
      <c r="M788" s="129"/>
      <c r="N788" s="129"/>
      <c r="O788" s="129"/>
      <c r="P788" s="146"/>
      <c r="Q788" s="170"/>
      <c r="R788" s="171"/>
      <c r="S788" s="172"/>
    </row>
    <row r="789" spans="1:19" ht="42.75">
      <c r="A789" s="164" t="s">
        <v>776</v>
      </c>
      <c r="B789" s="165" t="s">
        <v>4168</v>
      </c>
      <c r="C789" s="165" t="s">
        <v>4193</v>
      </c>
      <c r="D789" s="164">
        <v>2974</v>
      </c>
      <c r="E789" s="164">
        <v>3245</v>
      </c>
      <c r="F789" s="164" t="s">
        <v>3955</v>
      </c>
      <c r="G789" s="164"/>
      <c r="H789" s="167"/>
      <c r="I789" s="167"/>
      <c r="J789" s="167"/>
      <c r="K789" s="169"/>
      <c r="L789" s="129"/>
      <c r="M789" s="129"/>
      <c r="N789" s="129"/>
      <c r="O789" s="129"/>
      <c r="P789" s="146"/>
      <c r="Q789" s="170"/>
      <c r="R789" s="171"/>
      <c r="S789" s="172"/>
    </row>
    <row r="790" spans="1:19" ht="42.75">
      <c r="A790" s="164" t="s">
        <v>776</v>
      </c>
      <c r="B790" s="165" t="s">
        <v>4168</v>
      </c>
      <c r="C790" s="165" t="s">
        <v>4199</v>
      </c>
      <c r="D790" s="164">
        <v>3344</v>
      </c>
      <c r="E790" s="164">
        <v>3333</v>
      </c>
      <c r="F790" s="164" t="s">
        <v>3955</v>
      </c>
      <c r="G790" s="164"/>
      <c r="H790" s="167"/>
      <c r="I790" s="167"/>
      <c r="J790" s="167"/>
      <c r="K790" s="169"/>
      <c r="L790" s="129"/>
      <c r="M790" s="129"/>
      <c r="N790" s="129"/>
      <c r="O790" s="129"/>
      <c r="P790" s="146"/>
      <c r="Q790" s="170"/>
      <c r="R790" s="171"/>
      <c r="S790" s="172"/>
    </row>
    <row r="791" spans="1:19" ht="42.75">
      <c r="A791" s="164" t="s">
        <v>776</v>
      </c>
      <c r="B791" s="165" t="s">
        <v>4168</v>
      </c>
      <c r="C791" s="165" t="s">
        <v>1045</v>
      </c>
      <c r="D791" s="164">
        <v>106603</v>
      </c>
      <c r="E791" s="164">
        <v>127506</v>
      </c>
      <c r="F791" s="164" t="s">
        <v>3955</v>
      </c>
      <c r="G791" s="164"/>
      <c r="H791" s="167"/>
      <c r="I791" s="167"/>
      <c r="J791" s="167"/>
      <c r="K791" s="169"/>
      <c r="L791" s="129"/>
      <c r="M791" s="129"/>
      <c r="N791" s="129"/>
      <c r="O791" s="129"/>
      <c r="P791" s="146"/>
      <c r="Q791" s="170"/>
      <c r="R791" s="171"/>
      <c r="S791" s="172"/>
    </row>
    <row r="792" spans="1:19" ht="42.75">
      <c r="A792" s="164" t="s">
        <v>776</v>
      </c>
      <c r="B792" s="165" t="s">
        <v>4168</v>
      </c>
      <c r="C792" s="228" t="s">
        <v>1056</v>
      </c>
      <c r="D792" s="164">
        <v>2161</v>
      </c>
      <c r="E792" s="164">
        <v>2273</v>
      </c>
      <c r="F792" s="164" t="s">
        <v>3955</v>
      </c>
      <c r="G792" s="164"/>
      <c r="H792" s="167"/>
      <c r="I792" s="167"/>
      <c r="J792" s="167"/>
      <c r="K792" s="169"/>
      <c r="L792" s="129"/>
      <c r="M792" s="129"/>
      <c r="N792" s="129"/>
      <c r="O792" s="129"/>
      <c r="P792" s="146"/>
      <c r="Q792" s="170"/>
      <c r="R792" s="171"/>
      <c r="S792" s="172"/>
    </row>
    <row r="793" spans="1:19" ht="42.75">
      <c r="A793" s="164" t="s">
        <v>776</v>
      </c>
      <c r="B793" s="229" t="s">
        <v>4168</v>
      </c>
      <c r="C793" s="230" t="s">
        <v>3977</v>
      </c>
      <c r="D793" s="164">
        <v>39039</v>
      </c>
      <c r="E793" s="164">
        <v>49579</v>
      </c>
      <c r="F793" s="164" t="s">
        <v>3404</v>
      </c>
      <c r="G793" s="164">
        <v>2024</v>
      </c>
      <c r="H793" s="175">
        <v>45576</v>
      </c>
      <c r="I793" s="175">
        <v>45581</v>
      </c>
      <c r="J793" s="168" t="s">
        <v>7108</v>
      </c>
      <c r="K793" s="174">
        <v>45584</v>
      </c>
      <c r="L793" s="129" t="s">
        <v>3128</v>
      </c>
      <c r="M793" s="129" t="s">
        <v>4</v>
      </c>
      <c r="N793" s="129" t="s">
        <v>50</v>
      </c>
      <c r="O793" s="129" t="s">
        <v>3406</v>
      </c>
      <c r="P793" s="146"/>
      <c r="Q793" s="170">
        <v>45586</v>
      </c>
      <c r="R793" s="171" t="s">
        <v>150</v>
      </c>
      <c r="S793" s="172"/>
    </row>
    <row r="794" spans="1:19" ht="42.75">
      <c r="A794" s="164" t="s">
        <v>776</v>
      </c>
      <c r="B794" s="165" t="s">
        <v>4168</v>
      </c>
      <c r="C794" s="165" t="s">
        <v>4221</v>
      </c>
      <c r="D794" s="164">
        <v>5563</v>
      </c>
      <c r="E794" s="164">
        <v>5804</v>
      </c>
      <c r="F794" s="164" t="s">
        <v>3955</v>
      </c>
      <c r="G794" s="164"/>
      <c r="H794" s="167"/>
      <c r="I794" s="167"/>
      <c r="J794" s="167"/>
      <c r="K794" s="169"/>
      <c r="L794" s="129"/>
      <c r="M794" s="129"/>
      <c r="N794" s="129"/>
      <c r="O794" s="129"/>
      <c r="P794" s="146"/>
      <c r="Q794" s="170"/>
      <c r="R794" s="171"/>
      <c r="S794" s="172"/>
    </row>
    <row r="795" spans="1:19" ht="42.75">
      <c r="A795" s="164" t="s">
        <v>776</v>
      </c>
      <c r="B795" s="165" t="s">
        <v>4168</v>
      </c>
      <c r="C795" s="165" t="s">
        <v>1048</v>
      </c>
      <c r="D795" s="164">
        <v>12856</v>
      </c>
      <c r="E795" s="164">
        <v>16324</v>
      </c>
      <c r="F795" s="164" t="s">
        <v>3955</v>
      </c>
      <c r="G795" s="164"/>
      <c r="H795" s="167"/>
      <c r="I795" s="167"/>
      <c r="J795" s="167"/>
      <c r="K795" s="169"/>
      <c r="L795" s="129"/>
      <c r="M795" s="129"/>
      <c r="N795" s="129"/>
      <c r="O795" s="129"/>
      <c r="P795" s="146"/>
      <c r="Q795" s="170"/>
      <c r="R795" s="171"/>
      <c r="S795" s="172"/>
    </row>
    <row r="796" spans="1:19" ht="42.75">
      <c r="A796" s="164" t="s">
        <v>776</v>
      </c>
      <c r="B796" s="165" t="s">
        <v>4168</v>
      </c>
      <c r="C796" s="165" t="s">
        <v>4175</v>
      </c>
      <c r="D796" s="164">
        <v>20937</v>
      </c>
      <c r="E796" s="164">
        <v>22893</v>
      </c>
      <c r="F796" s="164" t="s">
        <v>3955</v>
      </c>
      <c r="G796" s="164"/>
      <c r="H796" s="167"/>
      <c r="I796" s="167"/>
      <c r="J796" s="167"/>
      <c r="K796" s="169"/>
      <c r="L796" s="129"/>
      <c r="M796" s="129"/>
      <c r="N796" s="129"/>
      <c r="O796" s="129"/>
      <c r="P796" s="146"/>
      <c r="Q796" s="170"/>
      <c r="R796" s="171"/>
      <c r="S796" s="172"/>
    </row>
    <row r="797" spans="1:19" ht="42.75">
      <c r="A797" s="164" t="s">
        <v>776</v>
      </c>
      <c r="B797" s="165" t="s">
        <v>4168</v>
      </c>
      <c r="C797" s="165" t="s">
        <v>4207</v>
      </c>
      <c r="D797" s="164">
        <v>3897</v>
      </c>
      <c r="E797" s="164">
        <v>4095</v>
      </c>
      <c r="F797" s="164" t="s">
        <v>3955</v>
      </c>
      <c r="G797" s="164"/>
      <c r="H797" s="167"/>
      <c r="I797" s="167"/>
      <c r="J797" s="167"/>
      <c r="K797" s="169"/>
      <c r="L797" s="129"/>
      <c r="M797" s="129"/>
      <c r="N797" s="129"/>
      <c r="O797" s="129"/>
      <c r="P797" s="146"/>
      <c r="Q797" s="170"/>
      <c r="R797" s="171"/>
      <c r="S797" s="172"/>
    </row>
    <row r="798" spans="1:19" ht="42.75">
      <c r="A798" s="164" t="s">
        <v>776</v>
      </c>
      <c r="B798" s="165" t="s">
        <v>4168</v>
      </c>
      <c r="C798" s="165" t="s">
        <v>1899</v>
      </c>
      <c r="D798" s="164">
        <v>4613</v>
      </c>
      <c r="E798" s="164">
        <v>4854</v>
      </c>
      <c r="F798" s="164" t="s">
        <v>3955</v>
      </c>
      <c r="G798" s="164"/>
      <c r="H798" s="167"/>
      <c r="I798" s="167"/>
      <c r="J798" s="167"/>
      <c r="K798" s="169"/>
      <c r="L798" s="129"/>
      <c r="M798" s="129"/>
      <c r="N798" s="129"/>
      <c r="O798" s="129"/>
      <c r="P798" s="146"/>
      <c r="Q798" s="170"/>
      <c r="R798" s="171"/>
      <c r="S798" s="172"/>
    </row>
    <row r="799" spans="1:19" ht="42.75">
      <c r="A799" s="164" t="s">
        <v>776</v>
      </c>
      <c r="B799" s="165" t="s">
        <v>4168</v>
      </c>
      <c r="C799" s="165" t="s">
        <v>4178</v>
      </c>
      <c r="D799" s="164">
        <v>3085</v>
      </c>
      <c r="E799" s="164">
        <v>3109</v>
      </c>
      <c r="F799" s="164" t="s">
        <v>3955</v>
      </c>
      <c r="G799" s="164"/>
      <c r="H799" s="167"/>
      <c r="I799" s="167"/>
      <c r="J799" s="167"/>
      <c r="K799" s="169"/>
      <c r="L799" s="129"/>
      <c r="M799" s="129"/>
      <c r="N799" s="129"/>
      <c r="O799" s="129"/>
      <c r="P799" s="146"/>
      <c r="Q799" s="170"/>
      <c r="R799" s="171"/>
      <c r="S799" s="172"/>
    </row>
    <row r="800" spans="1:19" ht="42.75">
      <c r="A800" s="164" t="s">
        <v>776</v>
      </c>
      <c r="B800" s="228" t="s">
        <v>4168</v>
      </c>
      <c r="C800" s="228" t="s">
        <v>1253</v>
      </c>
      <c r="D800" s="201">
        <v>15565</v>
      </c>
      <c r="E800" s="201">
        <v>16439</v>
      </c>
      <c r="F800" s="164" t="s">
        <v>3955</v>
      </c>
      <c r="G800" s="164"/>
      <c r="H800" s="167"/>
      <c r="I800" s="167"/>
      <c r="J800" s="167"/>
      <c r="K800" s="169"/>
      <c r="L800" s="129"/>
      <c r="M800" s="129"/>
      <c r="N800" s="129"/>
      <c r="O800" s="129"/>
      <c r="P800" s="146"/>
      <c r="Q800" s="170"/>
      <c r="R800" s="171"/>
      <c r="S800" s="172"/>
    </row>
    <row r="801" spans="1:19" ht="42.75">
      <c r="A801" s="202" t="s">
        <v>776</v>
      </c>
      <c r="B801" s="231" t="s">
        <v>4168</v>
      </c>
      <c r="C801" s="230" t="s">
        <v>1155</v>
      </c>
      <c r="D801" s="232">
        <v>8053</v>
      </c>
      <c r="E801" s="129">
        <v>8139</v>
      </c>
      <c r="F801" s="164" t="s">
        <v>3404</v>
      </c>
      <c r="G801" s="164"/>
      <c r="H801" s="175"/>
      <c r="I801" s="175"/>
      <c r="J801" s="233"/>
      <c r="K801" s="169"/>
      <c r="L801" s="129"/>
      <c r="M801" s="129"/>
      <c r="N801" s="129"/>
      <c r="O801" s="129"/>
      <c r="P801" s="146"/>
      <c r="Q801" s="170">
        <v>45429</v>
      </c>
      <c r="R801" s="171"/>
      <c r="S801" s="172"/>
    </row>
    <row r="802" spans="1:19" ht="42.75">
      <c r="A802" s="164" t="s">
        <v>776</v>
      </c>
      <c r="B802" s="165" t="s">
        <v>4168</v>
      </c>
      <c r="C802" s="165" t="s">
        <v>3727</v>
      </c>
      <c r="D802" s="164">
        <v>2770</v>
      </c>
      <c r="E802" s="164">
        <v>2610</v>
      </c>
      <c r="F802" s="164" t="s">
        <v>3955</v>
      </c>
      <c r="G802" s="164"/>
      <c r="H802" s="167"/>
      <c r="I802" s="167"/>
      <c r="J802" s="167"/>
      <c r="K802" s="169"/>
      <c r="L802" s="129"/>
      <c r="M802" s="129"/>
      <c r="N802" s="129"/>
      <c r="O802" s="129"/>
      <c r="P802" s="146"/>
      <c r="Q802" s="170"/>
      <c r="R802" s="171"/>
      <c r="S802" s="172"/>
    </row>
    <row r="803" spans="1:19" ht="42.75">
      <c r="A803" s="164" t="s">
        <v>776</v>
      </c>
      <c r="B803" s="165" t="s">
        <v>4168</v>
      </c>
      <c r="C803" s="165" t="s">
        <v>4169</v>
      </c>
      <c r="D803" s="164">
        <v>4460</v>
      </c>
      <c r="E803" s="164">
        <v>4362</v>
      </c>
      <c r="F803" s="164" t="s">
        <v>3955</v>
      </c>
      <c r="G803" s="164"/>
      <c r="H803" s="167"/>
      <c r="I803" s="167"/>
      <c r="J803" s="167"/>
      <c r="K803" s="169"/>
      <c r="L803" s="129"/>
      <c r="M803" s="129"/>
      <c r="N803" s="129"/>
      <c r="O803" s="129"/>
      <c r="P803" s="146"/>
      <c r="Q803" s="170"/>
      <c r="R803" s="171"/>
      <c r="S803" s="172"/>
    </row>
    <row r="804" spans="1:19" ht="42.75">
      <c r="A804" s="164" t="s">
        <v>776</v>
      </c>
      <c r="B804" s="165" t="s">
        <v>4168</v>
      </c>
      <c r="C804" s="165" t="s">
        <v>4172</v>
      </c>
      <c r="D804" s="164">
        <v>4301</v>
      </c>
      <c r="E804" s="164">
        <v>4175</v>
      </c>
      <c r="F804" s="164" t="s">
        <v>3955</v>
      </c>
      <c r="G804" s="164"/>
      <c r="H804" s="167"/>
      <c r="I804" s="167"/>
      <c r="J804" s="167"/>
      <c r="K804" s="169"/>
      <c r="L804" s="129"/>
      <c r="M804" s="129"/>
      <c r="N804" s="129"/>
      <c r="O804" s="129"/>
      <c r="P804" s="146"/>
      <c r="Q804" s="170"/>
      <c r="R804" s="171"/>
      <c r="S804" s="172"/>
    </row>
    <row r="805" spans="1:19" ht="42.75">
      <c r="A805" s="164" t="s">
        <v>776</v>
      </c>
      <c r="B805" s="165" t="s">
        <v>4168</v>
      </c>
      <c r="C805" s="165" t="s">
        <v>4174</v>
      </c>
      <c r="D805" s="164">
        <v>5854</v>
      </c>
      <c r="E805" s="164">
        <v>5698</v>
      </c>
      <c r="F805" s="164" t="s">
        <v>3955</v>
      </c>
      <c r="G805" s="164"/>
      <c r="H805" s="167"/>
      <c r="I805" s="167"/>
      <c r="J805" s="167"/>
      <c r="K805" s="169"/>
      <c r="L805" s="129"/>
      <c r="M805" s="129"/>
      <c r="N805" s="129"/>
      <c r="O805" s="129"/>
      <c r="P805" s="146"/>
      <c r="Q805" s="170"/>
      <c r="R805" s="171"/>
      <c r="S805" s="172"/>
    </row>
    <row r="806" spans="1:19" ht="42.75">
      <c r="A806" s="164" t="s">
        <v>776</v>
      </c>
      <c r="B806" s="165" t="s">
        <v>4168</v>
      </c>
      <c r="C806" s="165" t="s">
        <v>4176</v>
      </c>
      <c r="D806" s="164">
        <v>2519</v>
      </c>
      <c r="E806" s="164">
        <v>1826</v>
      </c>
      <c r="F806" s="164" t="s">
        <v>3955</v>
      </c>
      <c r="G806" s="164"/>
      <c r="H806" s="167"/>
      <c r="I806" s="167"/>
      <c r="J806" s="167"/>
      <c r="K806" s="169"/>
      <c r="L806" s="129"/>
      <c r="M806" s="129"/>
      <c r="N806" s="129"/>
      <c r="O806" s="129"/>
      <c r="P806" s="146"/>
      <c r="Q806" s="170"/>
      <c r="R806" s="171"/>
      <c r="S806" s="172"/>
    </row>
    <row r="807" spans="1:19" ht="42.75">
      <c r="A807" s="164" t="s">
        <v>776</v>
      </c>
      <c r="B807" s="165" t="s">
        <v>4168</v>
      </c>
      <c r="C807" s="165" t="s">
        <v>4179</v>
      </c>
      <c r="D807" s="164">
        <v>1855</v>
      </c>
      <c r="E807" s="164">
        <v>1890</v>
      </c>
      <c r="F807" s="164" t="s">
        <v>3955</v>
      </c>
      <c r="G807" s="164"/>
      <c r="H807" s="167"/>
      <c r="I807" s="167"/>
      <c r="J807" s="167"/>
      <c r="K807" s="169"/>
      <c r="L807" s="129"/>
      <c r="M807" s="129"/>
      <c r="N807" s="129"/>
      <c r="O807" s="129"/>
      <c r="P807" s="146"/>
      <c r="Q807" s="170"/>
      <c r="R807" s="171"/>
      <c r="S807" s="172"/>
    </row>
    <row r="808" spans="1:19" ht="42.75">
      <c r="A808" s="164" t="s">
        <v>776</v>
      </c>
      <c r="B808" s="165" t="s">
        <v>4168</v>
      </c>
      <c r="C808" s="165" t="s">
        <v>4180</v>
      </c>
      <c r="D808" s="164">
        <v>1922</v>
      </c>
      <c r="E808" s="164">
        <v>1950</v>
      </c>
      <c r="F808" s="164" t="s">
        <v>3955</v>
      </c>
      <c r="G808" s="164"/>
      <c r="H808" s="167"/>
      <c r="I808" s="167"/>
      <c r="J808" s="167"/>
      <c r="K808" s="169"/>
      <c r="L808" s="129"/>
      <c r="M808" s="129"/>
      <c r="N808" s="129"/>
      <c r="O808" s="129"/>
      <c r="P808" s="146"/>
      <c r="Q808" s="170"/>
      <c r="R808" s="171"/>
      <c r="S808" s="172"/>
    </row>
    <row r="809" spans="1:19" ht="42.75">
      <c r="A809" s="164" t="s">
        <v>776</v>
      </c>
      <c r="B809" s="165" t="s">
        <v>4168</v>
      </c>
      <c r="C809" s="165" t="s">
        <v>4181</v>
      </c>
      <c r="D809" s="164">
        <v>2243</v>
      </c>
      <c r="E809" s="164">
        <v>2121</v>
      </c>
      <c r="F809" s="164" t="s">
        <v>3955</v>
      </c>
      <c r="G809" s="164"/>
      <c r="H809" s="167"/>
      <c r="I809" s="167"/>
      <c r="J809" s="167"/>
      <c r="K809" s="169"/>
      <c r="L809" s="129"/>
      <c r="M809" s="129"/>
      <c r="N809" s="129"/>
      <c r="O809" s="129"/>
      <c r="P809" s="146"/>
      <c r="Q809" s="170"/>
      <c r="R809" s="171"/>
      <c r="S809" s="172"/>
    </row>
    <row r="810" spans="1:19" ht="42.75">
      <c r="A810" s="164" t="s">
        <v>776</v>
      </c>
      <c r="B810" s="165" t="s">
        <v>4168</v>
      </c>
      <c r="C810" s="165" t="s">
        <v>4182</v>
      </c>
      <c r="D810" s="164">
        <v>2519</v>
      </c>
      <c r="E810" s="164">
        <v>2195</v>
      </c>
      <c r="F810" s="164" t="s">
        <v>3955</v>
      </c>
      <c r="G810" s="164"/>
      <c r="H810" s="167"/>
      <c r="I810" s="167"/>
      <c r="J810" s="167"/>
      <c r="K810" s="169"/>
      <c r="L810" s="129"/>
      <c r="M810" s="129"/>
      <c r="N810" s="129"/>
      <c r="O810" s="129"/>
      <c r="P810" s="146"/>
      <c r="Q810" s="170"/>
      <c r="R810" s="171"/>
      <c r="S810" s="172"/>
    </row>
    <row r="811" spans="1:19" ht="42.75">
      <c r="A811" s="164" t="s">
        <v>776</v>
      </c>
      <c r="B811" s="228" t="s">
        <v>4168</v>
      </c>
      <c r="C811" s="228" t="s">
        <v>4183</v>
      </c>
      <c r="D811" s="201">
        <v>6132</v>
      </c>
      <c r="E811" s="201">
        <v>6972</v>
      </c>
      <c r="F811" s="164" t="s">
        <v>3955</v>
      </c>
      <c r="G811" s="164"/>
      <c r="H811" s="167"/>
      <c r="I811" s="167"/>
      <c r="J811" s="167"/>
      <c r="K811" s="169"/>
      <c r="L811" s="129"/>
      <c r="M811" s="129"/>
      <c r="N811" s="129"/>
      <c r="O811" s="129"/>
      <c r="P811" s="146"/>
      <c r="Q811" s="170"/>
      <c r="R811" s="171"/>
      <c r="S811" s="172"/>
    </row>
    <row r="812" spans="1:19" ht="42.75">
      <c r="A812" s="202" t="s">
        <v>776</v>
      </c>
      <c r="B812" s="231" t="s">
        <v>4168</v>
      </c>
      <c r="C812" s="230" t="s">
        <v>4184</v>
      </c>
      <c r="D812" s="232">
        <v>11608</v>
      </c>
      <c r="E812" s="129">
        <v>11226</v>
      </c>
      <c r="F812" s="164" t="s">
        <v>3404</v>
      </c>
      <c r="G812" s="164">
        <v>2024</v>
      </c>
      <c r="H812" s="175">
        <v>45575</v>
      </c>
      <c r="I812" s="175">
        <v>45581</v>
      </c>
      <c r="J812" s="168" t="s">
        <v>7109</v>
      </c>
      <c r="K812" s="174">
        <v>45584</v>
      </c>
      <c r="L812" s="129" t="s">
        <v>3128</v>
      </c>
      <c r="M812" s="129" t="s">
        <v>4</v>
      </c>
      <c r="N812" s="129" t="s">
        <v>50</v>
      </c>
      <c r="O812" s="129" t="s">
        <v>3406</v>
      </c>
      <c r="P812" s="146"/>
      <c r="Q812" s="170">
        <v>45586</v>
      </c>
      <c r="R812" s="171" t="s">
        <v>150</v>
      </c>
      <c r="S812" s="172"/>
    </row>
    <row r="813" spans="1:19" ht="42.75">
      <c r="A813" s="164" t="s">
        <v>776</v>
      </c>
      <c r="B813" s="165" t="s">
        <v>4168</v>
      </c>
      <c r="C813" s="165" t="s">
        <v>4185</v>
      </c>
      <c r="D813" s="164">
        <v>7152</v>
      </c>
      <c r="E813" s="164">
        <v>8293</v>
      </c>
      <c r="F813" s="164" t="s">
        <v>3955</v>
      </c>
      <c r="G813" s="164"/>
      <c r="H813" s="167"/>
      <c r="I813" s="167"/>
      <c r="J813" s="167"/>
      <c r="K813" s="169"/>
      <c r="L813" s="129"/>
      <c r="M813" s="129"/>
      <c r="N813" s="129"/>
      <c r="O813" s="129"/>
      <c r="P813" s="146"/>
      <c r="Q813" s="170"/>
      <c r="R813" s="171"/>
      <c r="S813" s="172"/>
    </row>
    <row r="814" spans="1:19" ht="42.75">
      <c r="A814" s="164" t="s">
        <v>776</v>
      </c>
      <c r="B814" s="165" t="s">
        <v>4168</v>
      </c>
      <c r="C814" s="165" t="s">
        <v>4186</v>
      </c>
      <c r="D814" s="164">
        <v>3327</v>
      </c>
      <c r="E814" s="164">
        <v>3721</v>
      </c>
      <c r="F814" s="164" t="s">
        <v>3955</v>
      </c>
      <c r="G814" s="164"/>
      <c r="H814" s="167"/>
      <c r="I814" s="167"/>
      <c r="J814" s="167"/>
      <c r="K814" s="169"/>
      <c r="L814" s="129"/>
      <c r="M814" s="129"/>
      <c r="N814" s="129"/>
      <c r="O814" s="129"/>
      <c r="P814" s="146"/>
      <c r="Q814" s="170"/>
      <c r="R814" s="171"/>
      <c r="S814" s="172"/>
    </row>
    <row r="815" spans="1:19" ht="42.75">
      <c r="A815" s="164" t="s">
        <v>776</v>
      </c>
      <c r="B815" s="165" t="s">
        <v>4168</v>
      </c>
      <c r="C815" s="165" t="s">
        <v>4189</v>
      </c>
      <c r="D815" s="164">
        <v>38478</v>
      </c>
      <c r="E815" s="164">
        <v>42207</v>
      </c>
      <c r="F815" s="164" t="s">
        <v>3955</v>
      </c>
      <c r="G815" s="164"/>
      <c r="H815" s="167"/>
      <c r="I815" s="167"/>
      <c r="J815" s="167"/>
      <c r="K815" s="169"/>
      <c r="L815" s="129"/>
      <c r="M815" s="129"/>
      <c r="N815" s="129"/>
      <c r="O815" s="129"/>
      <c r="P815" s="146"/>
      <c r="Q815" s="170"/>
      <c r="R815" s="171"/>
      <c r="S815" s="172"/>
    </row>
    <row r="816" spans="1:19" ht="42.75">
      <c r="A816" s="164" t="s">
        <v>776</v>
      </c>
      <c r="B816" s="228" t="s">
        <v>4168</v>
      </c>
      <c r="C816" s="228" t="s">
        <v>4190</v>
      </c>
      <c r="D816" s="201">
        <v>3864</v>
      </c>
      <c r="E816" s="201">
        <v>4123</v>
      </c>
      <c r="F816" s="164" t="s">
        <v>3955</v>
      </c>
      <c r="G816" s="164"/>
      <c r="H816" s="167"/>
      <c r="I816" s="167"/>
      <c r="J816" s="167"/>
      <c r="K816" s="169"/>
      <c r="L816" s="129"/>
      <c r="M816" s="129"/>
      <c r="N816" s="129"/>
      <c r="O816" s="129"/>
      <c r="P816" s="146"/>
      <c r="Q816" s="170"/>
      <c r="R816" s="171"/>
      <c r="S816" s="172"/>
    </row>
    <row r="817" spans="1:19" ht="42.75">
      <c r="A817" s="202" t="s">
        <v>776</v>
      </c>
      <c r="B817" s="231" t="s">
        <v>4168</v>
      </c>
      <c r="C817" s="230" t="s">
        <v>4191</v>
      </c>
      <c r="D817" s="232">
        <v>5352</v>
      </c>
      <c r="E817" s="129">
        <v>5376</v>
      </c>
      <c r="F817" s="164" t="s">
        <v>3404</v>
      </c>
      <c r="G817" s="164">
        <v>2024</v>
      </c>
      <c r="H817" s="175">
        <v>45576</v>
      </c>
      <c r="I817" s="175">
        <v>45581</v>
      </c>
      <c r="J817" s="168" t="s">
        <v>7110</v>
      </c>
      <c r="K817" s="174">
        <v>45584</v>
      </c>
      <c r="L817" s="129" t="s">
        <v>3128</v>
      </c>
      <c r="M817" s="129" t="s">
        <v>4</v>
      </c>
      <c r="N817" s="129" t="s">
        <v>50</v>
      </c>
      <c r="O817" s="129" t="s">
        <v>3406</v>
      </c>
      <c r="P817" s="146"/>
      <c r="Q817" s="170">
        <v>45586</v>
      </c>
      <c r="R817" s="171" t="s">
        <v>150</v>
      </c>
      <c r="S817" s="172"/>
    </row>
    <row r="818" spans="1:19" ht="42.75">
      <c r="A818" s="164" t="s">
        <v>776</v>
      </c>
      <c r="B818" s="165" t="s">
        <v>4168</v>
      </c>
      <c r="C818" s="165" t="s">
        <v>4192</v>
      </c>
      <c r="D818" s="164">
        <v>7828</v>
      </c>
      <c r="E818" s="164">
        <v>8885</v>
      </c>
      <c r="F818" s="164" t="s">
        <v>3955</v>
      </c>
      <c r="G818" s="164"/>
      <c r="H818" s="167"/>
      <c r="I818" s="167"/>
      <c r="J818" s="167"/>
      <c r="K818" s="169"/>
      <c r="L818" s="129"/>
      <c r="M818" s="129"/>
      <c r="N818" s="129"/>
      <c r="O818" s="129"/>
      <c r="P818" s="146"/>
      <c r="Q818" s="170"/>
      <c r="R818" s="171"/>
      <c r="S818" s="172"/>
    </row>
    <row r="819" spans="1:19" ht="42.75">
      <c r="A819" s="164" t="s">
        <v>776</v>
      </c>
      <c r="B819" s="165" t="s">
        <v>4168</v>
      </c>
      <c r="C819" s="165" t="s">
        <v>4197</v>
      </c>
      <c r="D819" s="164">
        <v>3969</v>
      </c>
      <c r="E819" s="164">
        <v>5075</v>
      </c>
      <c r="F819" s="164" t="s">
        <v>3955</v>
      </c>
      <c r="G819" s="164"/>
      <c r="H819" s="167"/>
      <c r="I819" s="167"/>
      <c r="J819" s="167"/>
      <c r="K819" s="169"/>
      <c r="L819" s="129"/>
      <c r="M819" s="129"/>
      <c r="N819" s="129"/>
      <c r="O819" s="129"/>
      <c r="P819" s="146"/>
      <c r="Q819" s="170"/>
      <c r="R819" s="171"/>
      <c r="S819" s="172"/>
    </row>
    <row r="820" spans="1:19" ht="42.75">
      <c r="A820" s="164" t="s">
        <v>776</v>
      </c>
      <c r="B820" s="165" t="s">
        <v>4168</v>
      </c>
      <c r="C820" s="165" t="s">
        <v>4198</v>
      </c>
      <c r="D820" s="164">
        <v>3282</v>
      </c>
      <c r="E820" s="164">
        <v>3057</v>
      </c>
      <c r="F820" s="164" t="s">
        <v>3955</v>
      </c>
      <c r="G820" s="164"/>
      <c r="H820" s="167"/>
      <c r="I820" s="167"/>
      <c r="J820" s="167"/>
      <c r="K820" s="169"/>
      <c r="L820" s="129"/>
      <c r="M820" s="129"/>
      <c r="N820" s="129"/>
      <c r="O820" s="129"/>
      <c r="P820" s="146"/>
      <c r="Q820" s="170"/>
      <c r="R820" s="171"/>
      <c r="S820" s="172"/>
    </row>
    <row r="821" spans="1:19" ht="42.75">
      <c r="A821" s="164" t="s">
        <v>776</v>
      </c>
      <c r="B821" s="165" t="s">
        <v>4168</v>
      </c>
      <c r="C821" s="165" t="s">
        <v>4201</v>
      </c>
      <c r="D821" s="164">
        <v>5641</v>
      </c>
      <c r="E821" s="164">
        <v>5977</v>
      </c>
      <c r="F821" s="164" t="s">
        <v>3955</v>
      </c>
      <c r="G821" s="164"/>
      <c r="H821" s="167"/>
      <c r="I821" s="167"/>
      <c r="J821" s="167"/>
      <c r="K821" s="169"/>
      <c r="L821" s="129"/>
      <c r="M821" s="129"/>
      <c r="N821" s="129"/>
      <c r="O821" s="129"/>
      <c r="P821" s="146"/>
      <c r="Q821" s="170"/>
      <c r="R821" s="171"/>
      <c r="S821" s="172"/>
    </row>
    <row r="822" spans="1:19" ht="42.75">
      <c r="A822" s="164" t="s">
        <v>776</v>
      </c>
      <c r="B822" s="165" t="s">
        <v>4168</v>
      </c>
      <c r="C822" s="165" t="s">
        <v>1034</v>
      </c>
      <c r="D822" s="164">
        <v>2773</v>
      </c>
      <c r="E822" s="164">
        <v>2673</v>
      </c>
      <c r="F822" s="164" t="s">
        <v>3955</v>
      </c>
      <c r="G822" s="164"/>
      <c r="H822" s="167"/>
      <c r="I822" s="167"/>
      <c r="J822" s="167"/>
      <c r="K822" s="169"/>
      <c r="L822" s="129"/>
      <c r="M822" s="129"/>
      <c r="N822" s="129"/>
      <c r="O822" s="129"/>
      <c r="P822" s="146"/>
      <c r="Q822" s="170"/>
      <c r="R822" s="171"/>
      <c r="S822" s="172"/>
    </row>
    <row r="823" spans="1:19" ht="42.75">
      <c r="A823" s="164" t="s">
        <v>776</v>
      </c>
      <c r="B823" s="165" t="s">
        <v>4168</v>
      </c>
      <c r="C823" s="165" t="s">
        <v>4202</v>
      </c>
      <c r="D823" s="164">
        <v>5191</v>
      </c>
      <c r="E823" s="164">
        <v>4769</v>
      </c>
      <c r="F823" s="164" t="s">
        <v>3955</v>
      </c>
      <c r="G823" s="164"/>
      <c r="H823" s="167"/>
      <c r="I823" s="167"/>
      <c r="J823" s="167"/>
      <c r="K823" s="169"/>
      <c r="L823" s="129"/>
      <c r="M823" s="129"/>
      <c r="N823" s="129"/>
      <c r="O823" s="129"/>
      <c r="P823" s="146"/>
      <c r="Q823" s="170"/>
      <c r="R823" s="171"/>
      <c r="S823" s="172"/>
    </row>
    <row r="824" spans="1:19" ht="42.75">
      <c r="A824" s="164" t="s">
        <v>776</v>
      </c>
      <c r="B824" s="165" t="s">
        <v>4168</v>
      </c>
      <c r="C824" s="165" t="s">
        <v>4203</v>
      </c>
      <c r="D824" s="164">
        <v>2478</v>
      </c>
      <c r="E824" s="164">
        <v>2200</v>
      </c>
      <c r="F824" s="164" t="s">
        <v>3955</v>
      </c>
      <c r="G824" s="164"/>
      <c r="H824" s="167"/>
      <c r="I824" s="167"/>
      <c r="J824" s="167"/>
      <c r="K824" s="169"/>
      <c r="L824" s="129"/>
      <c r="M824" s="129"/>
      <c r="N824" s="129"/>
      <c r="O824" s="129"/>
      <c r="P824" s="146"/>
      <c r="Q824" s="170"/>
      <c r="R824" s="171"/>
      <c r="S824" s="172"/>
    </row>
    <row r="825" spans="1:19" ht="42.75">
      <c r="A825" s="164" t="s">
        <v>776</v>
      </c>
      <c r="B825" s="165" t="s">
        <v>4168</v>
      </c>
      <c r="C825" s="165" t="s">
        <v>1041</v>
      </c>
      <c r="D825" s="164">
        <v>38846</v>
      </c>
      <c r="E825" s="164">
        <v>46171</v>
      </c>
      <c r="F825" s="164" t="s">
        <v>3955</v>
      </c>
      <c r="G825" s="164"/>
      <c r="H825" s="167"/>
      <c r="I825" s="167"/>
      <c r="J825" s="167"/>
      <c r="K825" s="169"/>
      <c r="L825" s="129"/>
      <c r="M825" s="129"/>
      <c r="N825" s="129"/>
      <c r="O825" s="129"/>
      <c r="P825" s="146"/>
      <c r="Q825" s="170"/>
      <c r="R825" s="171"/>
      <c r="S825" s="172"/>
    </row>
    <row r="826" spans="1:19" ht="42.75">
      <c r="A826" s="164" t="s">
        <v>776</v>
      </c>
      <c r="B826" s="228" t="s">
        <v>4168</v>
      </c>
      <c r="C826" s="228" t="s">
        <v>4205</v>
      </c>
      <c r="D826" s="201">
        <v>4088</v>
      </c>
      <c r="E826" s="201">
        <v>5318</v>
      </c>
      <c r="F826" s="164" t="s">
        <v>3955</v>
      </c>
      <c r="G826" s="164"/>
      <c r="H826" s="167"/>
      <c r="I826" s="167"/>
      <c r="J826" s="167"/>
      <c r="K826" s="169"/>
      <c r="L826" s="129"/>
      <c r="M826" s="129"/>
      <c r="N826" s="129"/>
      <c r="O826" s="129"/>
      <c r="P826" s="146"/>
      <c r="Q826" s="170"/>
      <c r="R826" s="171"/>
      <c r="S826" s="172"/>
    </row>
    <row r="827" spans="1:19" ht="42.75">
      <c r="A827" s="202" t="s">
        <v>776</v>
      </c>
      <c r="B827" s="231" t="s">
        <v>4168</v>
      </c>
      <c r="C827" s="230" t="s">
        <v>4206</v>
      </c>
      <c r="D827" s="232">
        <v>4445</v>
      </c>
      <c r="E827" s="129">
        <v>5617</v>
      </c>
      <c r="F827" s="164" t="s">
        <v>3404</v>
      </c>
      <c r="G827" s="164">
        <v>2024</v>
      </c>
      <c r="H827" s="175">
        <v>45576</v>
      </c>
      <c r="I827" s="175">
        <v>45581</v>
      </c>
      <c r="J827" s="168" t="s">
        <v>7111</v>
      </c>
      <c r="K827" s="174">
        <v>45584</v>
      </c>
      <c r="L827" s="129" t="s">
        <v>3128</v>
      </c>
      <c r="M827" s="129" t="s">
        <v>6701</v>
      </c>
      <c r="N827" s="129" t="s">
        <v>3528</v>
      </c>
      <c r="O827" s="129" t="s">
        <v>3406</v>
      </c>
      <c r="P827" s="146"/>
      <c r="Q827" s="170">
        <v>45586</v>
      </c>
      <c r="R827" s="171" t="s">
        <v>150</v>
      </c>
      <c r="S827" s="172"/>
    </row>
    <row r="828" spans="1:19" ht="42.75">
      <c r="A828" s="164" t="s">
        <v>776</v>
      </c>
      <c r="B828" s="165" t="s">
        <v>4168</v>
      </c>
      <c r="C828" s="165" t="s">
        <v>1180</v>
      </c>
      <c r="D828" s="164">
        <v>5767</v>
      </c>
      <c r="E828" s="164">
        <v>4282</v>
      </c>
      <c r="F828" s="164" t="s">
        <v>3955</v>
      </c>
      <c r="G828" s="164"/>
      <c r="H828" s="167"/>
      <c r="I828" s="167"/>
      <c r="J828" s="167"/>
      <c r="K828" s="169"/>
      <c r="L828" s="129"/>
      <c r="M828" s="129"/>
      <c r="N828" s="129"/>
      <c r="O828" s="129"/>
      <c r="P828" s="146"/>
      <c r="Q828" s="170"/>
      <c r="R828" s="171"/>
      <c r="S828" s="172"/>
    </row>
    <row r="829" spans="1:19" ht="42.75">
      <c r="A829" s="164" t="s">
        <v>776</v>
      </c>
      <c r="B829" s="165" t="s">
        <v>4168</v>
      </c>
      <c r="C829" s="165" t="s">
        <v>1511</v>
      </c>
      <c r="D829" s="164">
        <v>11452</v>
      </c>
      <c r="E829" s="164">
        <v>11432</v>
      </c>
      <c r="F829" s="164" t="s">
        <v>3955</v>
      </c>
      <c r="G829" s="164"/>
      <c r="H829" s="167"/>
      <c r="I829" s="167"/>
      <c r="J829" s="167"/>
      <c r="K829" s="169"/>
      <c r="L829" s="129"/>
      <c r="M829" s="129"/>
      <c r="N829" s="129"/>
      <c r="O829" s="129"/>
      <c r="P829" s="146"/>
      <c r="Q829" s="170"/>
      <c r="R829" s="171"/>
      <c r="S829" s="172"/>
    </row>
    <row r="830" spans="1:19" ht="42.75">
      <c r="A830" s="164" t="s">
        <v>776</v>
      </c>
      <c r="B830" s="165" t="s">
        <v>4168</v>
      </c>
      <c r="C830" s="165" t="s">
        <v>4208</v>
      </c>
      <c r="D830" s="164">
        <v>3554</v>
      </c>
      <c r="E830" s="164">
        <v>3527</v>
      </c>
      <c r="F830" s="164" t="s">
        <v>3955</v>
      </c>
      <c r="G830" s="164"/>
      <c r="H830" s="167"/>
      <c r="I830" s="167"/>
      <c r="J830" s="167"/>
      <c r="K830" s="169"/>
      <c r="L830" s="129"/>
      <c r="M830" s="129"/>
      <c r="N830" s="129"/>
      <c r="O830" s="129"/>
      <c r="P830" s="146"/>
      <c r="Q830" s="170"/>
      <c r="R830" s="171"/>
      <c r="S830" s="172"/>
    </row>
    <row r="831" spans="1:19" ht="42.75">
      <c r="A831" s="164" t="s">
        <v>776</v>
      </c>
      <c r="B831" s="165" t="s">
        <v>4168</v>
      </c>
      <c r="C831" s="165" t="s">
        <v>4209</v>
      </c>
      <c r="D831" s="164">
        <v>3163</v>
      </c>
      <c r="E831" s="164">
        <v>3695</v>
      </c>
      <c r="F831" s="164" t="s">
        <v>3955</v>
      </c>
      <c r="G831" s="164"/>
      <c r="H831" s="167"/>
      <c r="I831" s="167"/>
      <c r="J831" s="167"/>
      <c r="K831" s="169"/>
      <c r="L831" s="129"/>
      <c r="M831" s="129"/>
      <c r="N831" s="129"/>
      <c r="O831" s="129"/>
      <c r="P831" s="146"/>
      <c r="Q831" s="170"/>
      <c r="R831" s="171"/>
      <c r="S831" s="172"/>
    </row>
    <row r="832" spans="1:19" ht="42.75">
      <c r="A832" s="164" t="s">
        <v>776</v>
      </c>
      <c r="B832" s="228" t="s">
        <v>4168</v>
      </c>
      <c r="C832" s="228" t="s">
        <v>4210</v>
      </c>
      <c r="D832" s="201">
        <v>3830</v>
      </c>
      <c r="E832" s="201">
        <v>4085</v>
      </c>
      <c r="F832" s="164" t="s">
        <v>3955</v>
      </c>
      <c r="G832" s="164"/>
      <c r="H832" s="167"/>
      <c r="I832" s="167"/>
      <c r="J832" s="167"/>
      <c r="K832" s="169"/>
      <c r="L832" s="129"/>
      <c r="M832" s="129"/>
      <c r="N832" s="129"/>
      <c r="O832" s="129"/>
      <c r="P832" s="146"/>
      <c r="Q832" s="170"/>
      <c r="R832" s="171"/>
      <c r="S832" s="172"/>
    </row>
    <row r="833" spans="1:19" ht="42.75">
      <c r="A833" s="202" t="s">
        <v>776</v>
      </c>
      <c r="B833" s="231" t="s">
        <v>4168</v>
      </c>
      <c r="C833" s="230" t="s">
        <v>4211</v>
      </c>
      <c r="D833" s="232">
        <v>3249</v>
      </c>
      <c r="E833" s="129">
        <v>3362</v>
      </c>
      <c r="F833" s="164" t="s">
        <v>3404</v>
      </c>
      <c r="G833" s="164">
        <v>2024</v>
      </c>
      <c r="H833" s="175">
        <v>45603</v>
      </c>
      <c r="I833" s="175">
        <v>45610</v>
      </c>
      <c r="J833" s="168" t="s">
        <v>7112</v>
      </c>
      <c r="K833" s="174">
        <v>45616</v>
      </c>
      <c r="L833" s="129" t="s">
        <v>3129</v>
      </c>
      <c r="M833" s="129" t="s">
        <v>4</v>
      </c>
      <c r="N833" s="129" t="s">
        <v>50</v>
      </c>
      <c r="O833" s="129" t="s">
        <v>3406</v>
      </c>
      <c r="P833" s="146"/>
      <c r="Q833" s="170">
        <v>45618</v>
      </c>
      <c r="R833" s="171" t="s">
        <v>7058</v>
      </c>
      <c r="S833" s="172"/>
    </row>
    <row r="834" spans="1:19" ht="42.75">
      <c r="A834" s="202" t="s">
        <v>776</v>
      </c>
      <c r="B834" s="231" t="s">
        <v>4168</v>
      </c>
      <c r="C834" s="230" t="s">
        <v>4212</v>
      </c>
      <c r="D834" s="232">
        <v>3112</v>
      </c>
      <c r="E834" s="129">
        <v>2716</v>
      </c>
      <c r="F834" s="164" t="s">
        <v>3404</v>
      </c>
      <c r="G834" s="164">
        <v>2024</v>
      </c>
      <c r="H834" s="175">
        <v>45603</v>
      </c>
      <c r="I834" s="175">
        <v>45610</v>
      </c>
      <c r="J834" s="168" t="s">
        <v>7113</v>
      </c>
      <c r="K834" s="174">
        <v>45616</v>
      </c>
      <c r="L834" s="129" t="s">
        <v>3129</v>
      </c>
      <c r="M834" s="129" t="s">
        <v>4</v>
      </c>
      <c r="N834" s="129" t="s">
        <v>50</v>
      </c>
      <c r="O834" s="129" t="s">
        <v>3406</v>
      </c>
      <c r="P834" s="146"/>
      <c r="Q834" s="170">
        <v>45618</v>
      </c>
      <c r="R834" s="171" t="s">
        <v>7058</v>
      </c>
      <c r="S834" s="172"/>
    </row>
    <row r="835" spans="1:19" ht="42.75">
      <c r="A835" s="202" t="s">
        <v>776</v>
      </c>
      <c r="B835" s="230" t="s">
        <v>4168</v>
      </c>
      <c r="C835" s="234" t="s">
        <v>4213</v>
      </c>
      <c r="D835" s="129">
        <v>3031</v>
      </c>
      <c r="E835" s="129">
        <v>2718</v>
      </c>
      <c r="F835" s="164" t="s">
        <v>3404</v>
      </c>
      <c r="G835" s="164">
        <v>2024</v>
      </c>
      <c r="H835" s="175">
        <v>45603</v>
      </c>
      <c r="I835" s="175">
        <v>45610</v>
      </c>
      <c r="J835" s="168" t="s">
        <v>7114</v>
      </c>
      <c r="K835" s="174">
        <v>45616</v>
      </c>
      <c r="L835" s="129" t="s">
        <v>3129</v>
      </c>
      <c r="M835" s="129" t="s">
        <v>4</v>
      </c>
      <c r="N835" s="129" t="s">
        <v>50</v>
      </c>
      <c r="O835" s="129" t="s">
        <v>3406</v>
      </c>
      <c r="P835" s="146"/>
      <c r="Q835" s="170">
        <v>45618</v>
      </c>
      <c r="R835" s="171" t="s">
        <v>7058</v>
      </c>
      <c r="S835" s="172"/>
    </row>
    <row r="836" spans="1:19" ht="42.75">
      <c r="A836" s="202" t="s">
        <v>776</v>
      </c>
      <c r="B836" s="230" t="s">
        <v>4168</v>
      </c>
      <c r="C836" s="230" t="s">
        <v>4214</v>
      </c>
      <c r="D836" s="129">
        <v>6732</v>
      </c>
      <c r="E836" s="129">
        <v>6447</v>
      </c>
      <c r="F836" s="164" t="s">
        <v>3404</v>
      </c>
      <c r="G836" s="164">
        <v>2024</v>
      </c>
      <c r="H836" s="175">
        <v>45428</v>
      </c>
      <c r="I836" s="175">
        <v>45428</v>
      </c>
      <c r="J836" s="168" t="s">
        <v>7115</v>
      </c>
      <c r="K836" s="174">
        <v>45429</v>
      </c>
      <c r="L836" s="129" t="s">
        <v>3532</v>
      </c>
      <c r="M836" s="129"/>
      <c r="N836" s="129"/>
      <c r="O836" s="129" t="s">
        <v>3406</v>
      </c>
      <c r="P836" s="146"/>
      <c r="Q836" s="170"/>
      <c r="R836" s="171"/>
      <c r="S836" s="172"/>
    </row>
    <row r="837" spans="1:19" ht="42.75">
      <c r="A837" s="202" t="s">
        <v>776</v>
      </c>
      <c r="B837" s="230" t="s">
        <v>4168</v>
      </c>
      <c r="C837" s="230" t="s">
        <v>4215</v>
      </c>
      <c r="D837" s="129">
        <v>2982</v>
      </c>
      <c r="E837" s="129">
        <v>2844</v>
      </c>
      <c r="F837" s="164" t="s">
        <v>3404</v>
      </c>
      <c r="G837" s="164">
        <v>2024</v>
      </c>
      <c r="H837" s="175">
        <v>45603</v>
      </c>
      <c r="I837" s="175">
        <v>45610</v>
      </c>
      <c r="J837" s="168" t="s">
        <v>7116</v>
      </c>
      <c r="K837" s="174">
        <v>45616</v>
      </c>
      <c r="L837" s="129" t="s">
        <v>3129</v>
      </c>
      <c r="M837" s="129" t="s">
        <v>4</v>
      </c>
      <c r="N837" s="129" t="s">
        <v>50</v>
      </c>
      <c r="O837" s="129" t="s">
        <v>3406</v>
      </c>
      <c r="P837" s="146"/>
      <c r="Q837" s="170">
        <v>45618</v>
      </c>
      <c r="R837" s="171" t="s">
        <v>7058</v>
      </c>
      <c r="S837" s="172"/>
    </row>
    <row r="838" spans="1:19" ht="42.75">
      <c r="A838" s="164" t="s">
        <v>776</v>
      </c>
      <c r="B838" s="228" t="s">
        <v>4168</v>
      </c>
      <c r="C838" s="228" t="s">
        <v>3974</v>
      </c>
      <c r="D838" s="201">
        <v>2188</v>
      </c>
      <c r="E838" s="201">
        <v>2492</v>
      </c>
      <c r="F838" s="164" t="s">
        <v>3955</v>
      </c>
      <c r="G838" s="164"/>
      <c r="H838" s="167"/>
      <c r="I838" s="167"/>
      <c r="J838" s="167"/>
      <c r="K838" s="169"/>
      <c r="L838" s="129"/>
      <c r="M838" s="129"/>
      <c r="N838" s="129"/>
      <c r="O838" s="129"/>
      <c r="P838" s="146"/>
      <c r="Q838" s="170"/>
      <c r="R838" s="171"/>
      <c r="S838" s="172"/>
    </row>
    <row r="839" spans="1:19" ht="42.75">
      <c r="A839" s="202" t="s">
        <v>776</v>
      </c>
      <c r="B839" s="230" t="s">
        <v>4168</v>
      </c>
      <c r="C839" s="230" t="s">
        <v>4216</v>
      </c>
      <c r="D839" s="129">
        <v>3110</v>
      </c>
      <c r="E839" s="129">
        <v>3405</v>
      </c>
      <c r="F839" s="164" t="s">
        <v>3404</v>
      </c>
      <c r="G839" s="164">
        <v>2024</v>
      </c>
      <c r="H839" s="175">
        <v>45604</v>
      </c>
      <c r="I839" s="175">
        <v>45610</v>
      </c>
      <c r="J839" s="168" t="s">
        <v>7117</v>
      </c>
      <c r="K839" s="174">
        <v>45616</v>
      </c>
      <c r="L839" s="129" t="s">
        <v>3129</v>
      </c>
      <c r="M839" s="129" t="s">
        <v>4</v>
      </c>
      <c r="N839" s="129" t="s">
        <v>50</v>
      </c>
      <c r="O839" s="129" t="s">
        <v>3406</v>
      </c>
      <c r="P839" s="146"/>
      <c r="Q839" s="170">
        <v>45618</v>
      </c>
      <c r="R839" s="171" t="s">
        <v>7058</v>
      </c>
      <c r="S839" s="172"/>
    </row>
    <row r="840" spans="1:19" ht="42.75">
      <c r="A840" s="164" t="s">
        <v>776</v>
      </c>
      <c r="B840" s="228" t="s">
        <v>4168</v>
      </c>
      <c r="C840" s="228" t="s">
        <v>4217</v>
      </c>
      <c r="D840" s="201">
        <v>2829</v>
      </c>
      <c r="E840" s="201">
        <v>3029</v>
      </c>
      <c r="F840" s="164" t="s">
        <v>3955</v>
      </c>
      <c r="G840" s="164"/>
      <c r="H840" s="167"/>
      <c r="I840" s="167"/>
      <c r="J840" s="167"/>
      <c r="K840" s="169"/>
      <c r="L840" s="129"/>
      <c r="M840" s="129"/>
      <c r="N840" s="129"/>
      <c r="O840" s="129"/>
      <c r="P840" s="146"/>
      <c r="Q840" s="170"/>
      <c r="R840" s="171"/>
      <c r="S840" s="172"/>
    </row>
    <row r="841" spans="1:19" ht="42.75">
      <c r="A841" s="202" t="s">
        <v>776</v>
      </c>
      <c r="B841" s="230" t="s">
        <v>4168</v>
      </c>
      <c r="C841" s="230" t="s">
        <v>4218</v>
      </c>
      <c r="D841" s="129">
        <v>3132</v>
      </c>
      <c r="E841" s="129">
        <v>3175</v>
      </c>
      <c r="F841" s="164" t="s">
        <v>3404</v>
      </c>
      <c r="G841" s="164">
        <v>2024</v>
      </c>
      <c r="H841" s="175">
        <v>45604</v>
      </c>
      <c r="I841" s="175">
        <v>45610</v>
      </c>
      <c r="J841" s="168" t="s">
        <v>7118</v>
      </c>
      <c r="K841" s="174">
        <v>45616</v>
      </c>
      <c r="L841" s="129" t="s">
        <v>3129</v>
      </c>
      <c r="M841" s="129" t="s">
        <v>4</v>
      </c>
      <c r="N841" s="129" t="s">
        <v>50</v>
      </c>
      <c r="O841" s="129" t="s">
        <v>3406</v>
      </c>
      <c r="P841" s="146"/>
      <c r="Q841" s="170">
        <v>45618</v>
      </c>
      <c r="R841" s="171" t="s">
        <v>7058</v>
      </c>
      <c r="S841" s="172"/>
    </row>
    <row r="842" spans="1:19" ht="42.75">
      <c r="A842" s="164" t="s">
        <v>776</v>
      </c>
      <c r="B842" s="165" t="s">
        <v>4168</v>
      </c>
      <c r="C842" s="165" t="s">
        <v>4219</v>
      </c>
      <c r="D842" s="164">
        <v>3957</v>
      </c>
      <c r="E842" s="164">
        <v>3811</v>
      </c>
      <c r="F842" s="164" t="s">
        <v>3404</v>
      </c>
      <c r="G842" s="164">
        <v>2024</v>
      </c>
      <c r="H842" s="175">
        <v>45604</v>
      </c>
      <c r="I842" s="175">
        <v>45610</v>
      </c>
      <c r="J842" s="168" t="s">
        <v>7119</v>
      </c>
      <c r="K842" s="174">
        <v>45616</v>
      </c>
      <c r="L842" s="129" t="s">
        <v>3129</v>
      </c>
      <c r="M842" s="129" t="s">
        <v>4</v>
      </c>
      <c r="N842" s="129" t="s">
        <v>50</v>
      </c>
      <c r="O842" s="129" t="s">
        <v>3406</v>
      </c>
      <c r="P842" s="146"/>
      <c r="Q842" s="170">
        <v>45618</v>
      </c>
      <c r="R842" s="171" t="s">
        <v>7058</v>
      </c>
      <c r="S842" s="172"/>
    </row>
    <row r="843" spans="1:19" ht="42.75">
      <c r="A843" s="164" t="s">
        <v>776</v>
      </c>
      <c r="B843" s="165" t="s">
        <v>4168</v>
      </c>
      <c r="C843" s="165" t="s">
        <v>4220</v>
      </c>
      <c r="D843" s="164">
        <v>3046</v>
      </c>
      <c r="E843" s="164">
        <v>3746</v>
      </c>
      <c r="F843" s="164" t="s">
        <v>3955</v>
      </c>
      <c r="G843" s="164"/>
      <c r="H843" s="167"/>
      <c r="I843" s="167"/>
      <c r="J843" s="167"/>
      <c r="K843" s="169"/>
      <c r="L843" s="129"/>
      <c r="M843" s="129"/>
      <c r="N843" s="129"/>
      <c r="O843" s="129"/>
      <c r="P843" s="146"/>
      <c r="Q843" s="170"/>
      <c r="R843" s="171"/>
      <c r="S843" s="172"/>
    </row>
    <row r="844" spans="1:19" ht="42.75">
      <c r="A844" s="164" t="s">
        <v>776</v>
      </c>
      <c r="B844" s="165" t="s">
        <v>4168</v>
      </c>
      <c r="C844" s="165" t="s">
        <v>4222</v>
      </c>
      <c r="D844" s="164">
        <v>2326</v>
      </c>
      <c r="E844" s="164">
        <v>2470</v>
      </c>
      <c r="F844" s="164" t="s">
        <v>3955</v>
      </c>
      <c r="G844" s="164"/>
      <c r="H844" s="167"/>
      <c r="I844" s="167"/>
      <c r="J844" s="167"/>
      <c r="K844" s="169"/>
      <c r="L844" s="129"/>
      <c r="M844" s="129"/>
      <c r="N844" s="129"/>
      <c r="O844" s="129"/>
      <c r="P844" s="146"/>
      <c r="Q844" s="170"/>
      <c r="R844" s="171"/>
      <c r="S844" s="172"/>
    </row>
    <row r="845" spans="1:19" ht="42.75">
      <c r="A845" s="164" t="s">
        <v>776</v>
      </c>
      <c r="B845" s="165" t="s">
        <v>1151</v>
      </c>
      <c r="C845" s="165" t="s">
        <v>1332</v>
      </c>
      <c r="D845" s="164">
        <v>1876</v>
      </c>
      <c r="E845" s="164">
        <v>2092</v>
      </c>
      <c r="F845" s="164" t="s">
        <v>3404</v>
      </c>
      <c r="G845" s="164">
        <v>2024</v>
      </c>
      <c r="H845" s="175">
        <v>45602</v>
      </c>
      <c r="I845" s="175">
        <v>45604</v>
      </c>
      <c r="J845" s="168" t="s">
        <v>7120</v>
      </c>
      <c r="K845" s="174">
        <v>45612</v>
      </c>
      <c r="L845" s="129" t="s">
        <v>3129</v>
      </c>
      <c r="M845" s="129" t="s">
        <v>4</v>
      </c>
      <c r="N845" s="129" t="s">
        <v>50</v>
      </c>
      <c r="O845" s="129" t="s">
        <v>3406</v>
      </c>
      <c r="P845" s="146"/>
      <c r="Q845" s="170">
        <v>45614</v>
      </c>
      <c r="R845" s="171" t="s">
        <v>7058</v>
      </c>
      <c r="S845" s="172"/>
    </row>
    <row r="846" spans="1:19" ht="42.75">
      <c r="A846" s="164" t="s">
        <v>776</v>
      </c>
      <c r="B846" s="165" t="s">
        <v>1151</v>
      </c>
      <c r="C846" s="165" t="s">
        <v>4417</v>
      </c>
      <c r="D846" s="164">
        <v>2670</v>
      </c>
      <c r="E846" s="164">
        <v>2823</v>
      </c>
      <c r="F846" s="164" t="s">
        <v>3955</v>
      </c>
      <c r="G846" s="164"/>
      <c r="H846" s="167"/>
      <c r="I846" s="167"/>
      <c r="J846" s="167"/>
      <c r="K846" s="169"/>
      <c r="L846" s="129"/>
      <c r="M846" s="129"/>
      <c r="N846" s="129"/>
      <c r="O846" s="129"/>
      <c r="P846" s="146"/>
      <c r="Q846" s="170"/>
      <c r="R846" s="171"/>
      <c r="S846" s="172"/>
    </row>
    <row r="847" spans="1:19" ht="42.75">
      <c r="A847" s="164" t="s">
        <v>776</v>
      </c>
      <c r="B847" s="165" t="s">
        <v>1151</v>
      </c>
      <c r="C847" s="165" t="s">
        <v>4045</v>
      </c>
      <c r="D847" s="164">
        <v>2598</v>
      </c>
      <c r="E847" s="164">
        <v>3669</v>
      </c>
      <c r="F847" s="164" t="s">
        <v>3955</v>
      </c>
      <c r="G847" s="164"/>
      <c r="H847" s="167"/>
      <c r="I847" s="167"/>
      <c r="J847" s="167"/>
      <c r="K847" s="169"/>
      <c r="L847" s="129"/>
      <c r="M847" s="129"/>
      <c r="N847" s="129"/>
      <c r="O847" s="129"/>
      <c r="P847" s="146"/>
      <c r="Q847" s="170"/>
      <c r="R847" s="171"/>
      <c r="S847" s="172"/>
    </row>
    <row r="848" spans="1:19" ht="42.75">
      <c r="A848" s="164" t="s">
        <v>776</v>
      </c>
      <c r="B848" s="165" t="s">
        <v>1151</v>
      </c>
      <c r="C848" s="165" t="s">
        <v>1475</v>
      </c>
      <c r="D848" s="164">
        <v>3695</v>
      </c>
      <c r="E848" s="164">
        <v>3955</v>
      </c>
      <c r="F848" s="164" t="s">
        <v>3404</v>
      </c>
      <c r="G848" s="164">
        <v>2024</v>
      </c>
      <c r="H848" s="175">
        <v>45601</v>
      </c>
      <c r="I848" s="175">
        <v>45604</v>
      </c>
      <c r="J848" s="168" t="s">
        <v>7121</v>
      </c>
      <c r="K848" s="174">
        <v>45612</v>
      </c>
      <c r="L848" s="129" t="s">
        <v>3129</v>
      </c>
      <c r="M848" s="129" t="s">
        <v>4</v>
      </c>
      <c r="N848" s="129" t="s">
        <v>50</v>
      </c>
      <c r="O848" s="129" t="s">
        <v>3406</v>
      </c>
      <c r="P848" s="146"/>
      <c r="Q848" s="170">
        <v>45614</v>
      </c>
      <c r="R848" s="171" t="s">
        <v>7058</v>
      </c>
      <c r="S848" s="172"/>
    </row>
    <row r="849" spans="1:19" ht="42.75">
      <c r="A849" s="164" t="s">
        <v>776</v>
      </c>
      <c r="B849" s="165" t="s">
        <v>1151</v>
      </c>
      <c r="C849" s="165" t="s">
        <v>4418</v>
      </c>
      <c r="D849" s="164">
        <v>1636</v>
      </c>
      <c r="E849" s="164">
        <v>2080</v>
      </c>
      <c r="F849" s="164" t="s">
        <v>3955</v>
      </c>
      <c r="G849" s="164"/>
      <c r="H849" s="167"/>
      <c r="I849" s="167"/>
      <c r="J849" s="167"/>
      <c r="K849" s="169"/>
      <c r="L849" s="129"/>
      <c r="M849" s="129"/>
      <c r="N849" s="129"/>
      <c r="O849" s="129"/>
      <c r="P849" s="146"/>
      <c r="Q849" s="170"/>
      <c r="R849" s="171"/>
      <c r="S849" s="172"/>
    </row>
    <row r="850" spans="1:19" ht="42.75">
      <c r="A850" s="164" t="s">
        <v>776</v>
      </c>
      <c r="B850" s="165" t="s">
        <v>1151</v>
      </c>
      <c r="C850" s="165" t="s">
        <v>4419</v>
      </c>
      <c r="D850" s="164">
        <v>1553</v>
      </c>
      <c r="E850" s="164">
        <v>1704</v>
      </c>
      <c r="F850" s="164" t="s">
        <v>3955</v>
      </c>
      <c r="G850" s="164"/>
      <c r="H850" s="167"/>
      <c r="I850" s="167"/>
      <c r="J850" s="167"/>
      <c r="K850" s="169"/>
      <c r="L850" s="129"/>
      <c r="M850" s="129"/>
      <c r="N850" s="129"/>
      <c r="O850" s="129"/>
      <c r="P850" s="146"/>
      <c r="Q850" s="170"/>
      <c r="R850" s="171"/>
      <c r="S850" s="172"/>
    </row>
    <row r="851" spans="1:19" ht="42.75">
      <c r="A851" s="164" t="s">
        <v>776</v>
      </c>
      <c r="B851" s="165" t="s">
        <v>1151</v>
      </c>
      <c r="C851" s="165" t="s">
        <v>4420</v>
      </c>
      <c r="D851" s="164">
        <v>2037</v>
      </c>
      <c r="E851" s="164">
        <v>2336</v>
      </c>
      <c r="F851" s="164" t="s">
        <v>3955</v>
      </c>
      <c r="G851" s="164"/>
      <c r="H851" s="167"/>
      <c r="I851" s="167"/>
      <c r="J851" s="167"/>
      <c r="K851" s="169"/>
      <c r="L851" s="129"/>
      <c r="M851" s="129"/>
      <c r="N851" s="129"/>
      <c r="O851" s="129"/>
      <c r="P851" s="146"/>
      <c r="Q851" s="170"/>
      <c r="R851" s="171"/>
      <c r="S851" s="172"/>
    </row>
    <row r="852" spans="1:19" ht="42.75">
      <c r="A852" s="164" t="s">
        <v>776</v>
      </c>
      <c r="B852" s="165" t="s">
        <v>1151</v>
      </c>
      <c r="C852" s="165" t="s">
        <v>4421</v>
      </c>
      <c r="D852" s="164">
        <v>3003</v>
      </c>
      <c r="E852" s="164">
        <v>3404</v>
      </c>
      <c r="F852" s="164" t="s">
        <v>3955</v>
      </c>
      <c r="G852" s="164"/>
      <c r="H852" s="167"/>
      <c r="I852" s="167"/>
      <c r="J852" s="167"/>
      <c r="K852" s="169"/>
      <c r="L852" s="129"/>
      <c r="M852" s="129"/>
      <c r="N852" s="129"/>
      <c r="O852" s="129"/>
      <c r="P852" s="146"/>
      <c r="Q852" s="170"/>
      <c r="R852" s="171"/>
      <c r="S852" s="172"/>
    </row>
    <row r="853" spans="1:19" ht="42.75">
      <c r="A853" s="164" t="s">
        <v>776</v>
      </c>
      <c r="B853" s="165" t="s">
        <v>1151</v>
      </c>
      <c r="C853" s="165" t="s">
        <v>4422</v>
      </c>
      <c r="D853" s="164">
        <v>1737</v>
      </c>
      <c r="E853" s="164">
        <v>2433</v>
      </c>
      <c r="F853" s="164" t="s">
        <v>3955</v>
      </c>
      <c r="G853" s="164"/>
      <c r="H853" s="167"/>
      <c r="I853" s="167"/>
      <c r="J853" s="167"/>
      <c r="K853" s="169"/>
      <c r="L853" s="129"/>
      <c r="M853" s="129"/>
      <c r="N853" s="129"/>
      <c r="O853" s="129"/>
      <c r="P853" s="146"/>
      <c r="Q853" s="170"/>
      <c r="R853" s="171"/>
      <c r="S853" s="172"/>
    </row>
    <row r="854" spans="1:19" ht="42.75">
      <c r="A854" s="164" t="s">
        <v>776</v>
      </c>
      <c r="B854" s="165" t="s">
        <v>1151</v>
      </c>
      <c r="C854" s="165" t="s">
        <v>4423</v>
      </c>
      <c r="D854" s="164">
        <v>1870</v>
      </c>
      <c r="E854" s="164">
        <v>1761</v>
      </c>
      <c r="F854" s="164" t="s">
        <v>3955</v>
      </c>
      <c r="G854" s="164"/>
      <c r="H854" s="167"/>
      <c r="I854" s="167"/>
      <c r="J854" s="167"/>
      <c r="K854" s="169"/>
      <c r="L854" s="129"/>
      <c r="M854" s="129"/>
      <c r="N854" s="129"/>
      <c r="O854" s="129"/>
      <c r="P854" s="146"/>
      <c r="Q854" s="170"/>
      <c r="R854" s="171"/>
      <c r="S854" s="172"/>
    </row>
    <row r="855" spans="1:19" ht="42.75">
      <c r="A855" s="164" t="s">
        <v>776</v>
      </c>
      <c r="B855" s="165" t="s">
        <v>1151</v>
      </c>
      <c r="C855" s="165" t="s">
        <v>4424</v>
      </c>
      <c r="D855" s="164">
        <v>1512</v>
      </c>
      <c r="E855" s="164">
        <v>1680</v>
      </c>
      <c r="F855" s="164" t="s">
        <v>3955</v>
      </c>
      <c r="G855" s="164"/>
      <c r="H855" s="167"/>
      <c r="I855" s="167"/>
      <c r="J855" s="167"/>
      <c r="K855" s="169"/>
      <c r="L855" s="129"/>
      <c r="M855" s="129"/>
      <c r="N855" s="129"/>
      <c r="O855" s="129"/>
      <c r="P855" s="146"/>
      <c r="Q855" s="170"/>
      <c r="R855" s="171"/>
      <c r="S855" s="172"/>
    </row>
    <row r="856" spans="1:19" ht="42.75">
      <c r="A856" s="164" t="s">
        <v>776</v>
      </c>
      <c r="B856" s="165" t="s">
        <v>1151</v>
      </c>
      <c r="C856" s="165" t="s">
        <v>4425</v>
      </c>
      <c r="D856" s="164">
        <v>4862</v>
      </c>
      <c r="E856" s="164">
        <v>5499</v>
      </c>
      <c r="F856" s="164" t="s">
        <v>3955</v>
      </c>
      <c r="G856" s="164"/>
      <c r="H856" s="167"/>
      <c r="I856" s="167"/>
      <c r="J856" s="167"/>
      <c r="K856" s="169"/>
      <c r="L856" s="129"/>
      <c r="M856" s="129"/>
      <c r="N856" s="129"/>
      <c r="O856" s="129"/>
      <c r="P856" s="146"/>
      <c r="Q856" s="170"/>
      <c r="R856" s="171"/>
      <c r="S856" s="172"/>
    </row>
    <row r="857" spans="1:19" ht="42.75">
      <c r="A857" s="164" t="s">
        <v>776</v>
      </c>
      <c r="B857" s="165" t="s">
        <v>1151</v>
      </c>
      <c r="C857" s="165" t="s">
        <v>4426</v>
      </c>
      <c r="D857" s="164">
        <v>2873</v>
      </c>
      <c r="E857" s="164">
        <v>2890</v>
      </c>
      <c r="F857" s="164" t="s">
        <v>3404</v>
      </c>
      <c r="G857" s="164">
        <v>2024</v>
      </c>
      <c r="H857" s="175">
        <v>45601</v>
      </c>
      <c r="I857" s="175">
        <v>45604</v>
      </c>
      <c r="J857" s="168" t="s">
        <v>7122</v>
      </c>
      <c r="K857" s="174">
        <v>45612</v>
      </c>
      <c r="L857" s="129" t="s">
        <v>3129</v>
      </c>
      <c r="M857" s="129" t="s">
        <v>4</v>
      </c>
      <c r="N857" s="129" t="s">
        <v>57</v>
      </c>
      <c r="O857" s="129" t="s">
        <v>3406</v>
      </c>
      <c r="P857" s="146"/>
      <c r="Q857" s="170">
        <v>45614</v>
      </c>
      <c r="R857" s="171" t="s">
        <v>7058</v>
      </c>
      <c r="S857" s="172"/>
    </row>
    <row r="858" spans="1:19" ht="42.75">
      <c r="A858" s="164" t="s">
        <v>776</v>
      </c>
      <c r="B858" s="165" t="s">
        <v>1151</v>
      </c>
      <c r="C858" s="165" t="s">
        <v>4051</v>
      </c>
      <c r="D858" s="164">
        <v>3980</v>
      </c>
      <c r="E858" s="164">
        <v>5531</v>
      </c>
      <c r="F858" s="164" t="s">
        <v>3955</v>
      </c>
      <c r="G858" s="164"/>
      <c r="H858" s="167"/>
      <c r="I858" s="167"/>
      <c r="J858" s="167"/>
      <c r="K858" s="169"/>
      <c r="L858" s="129"/>
      <c r="M858" s="129"/>
      <c r="N858" s="129"/>
      <c r="O858" s="129"/>
      <c r="P858" s="146"/>
      <c r="Q858" s="170"/>
      <c r="R858" s="171"/>
      <c r="S858" s="172"/>
    </row>
    <row r="859" spans="1:19" ht="42.75">
      <c r="A859" s="164" t="s">
        <v>776</v>
      </c>
      <c r="B859" s="165" t="s">
        <v>1151</v>
      </c>
      <c r="C859" s="165" t="s">
        <v>4427</v>
      </c>
      <c r="D859" s="164">
        <v>1886</v>
      </c>
      <c r="E859" s="164">
        <v>2223</v>
      </c>
      <c r="F859" s="164" t="s">
        <v>3404</v>
      </c>
      <c r="G859" s="164">
        <v>2024</v>
      </c>
      <c r="H859" s="175">
        <v>45602</v>
      </c>
      <c r="I859" s="175">
        <v>45604</v>
      </c>
      <c r="J859" s="168" t="s">
        <v>7123</v>
      </c>
      <c r="K859" s="174">
        <v>45612</v>
      </c>
      <c r="L859" s="129" t="s">
        <v>3129</v>
      </c>
      <c r="M859" s="129" t="s">
        <v>4</v>
      </c>
      <c r="N859" s="129" t="s">
        <v>50</v>
      </c>
      <c r="O859" s="129" t="s">
        <v>3406</v>
      </c>
      <c r="P859" s="146"/>
      <c r="Q859" s="170">
        <v>45614</v>
      </c>
      <c r="R859" s="171" t="s">
        <v>7058</v>
      </c>
      <c r="S859" s="172"/>
    </row>
    <row r="860" spans="1:19" ht="42.75">
      <c r="A860" s="216" t="s">
        <v>776</v>
      </c>
      <c r="B860" s="165" t="s">
        <v>1151</v>
      </c>
      <c r="C860" s="165" t="s">
        <v>4428</v>
      </c>
      <c r="D860" s="164">
        <v>7560</v>
      </c>
      <c r="E860" s="164">
        <v>8555</v>
      </c>
      <c r="F860" s="164" t="s">
        <v>3955</v>
      </c>
      <c r="G860" s="164"/>
      <c r="H860" s="167"/>
      <c r="I860" s="167"/>
      <c r="J860" s="167"/>
      <c r="K860" s="169"/>
      <c r="L860" s="129"/>
      <c r="M860" s="129"/>
      <c r="N860" s="129"/>
      <c r="O860" s="129"/>
      <c r="P860" s="146"/>
      <c r="Q860" s="170"/>
      <c r="R860" s="171"/>
      <c r="S860" s="172"/>
    </row>
    <row r="861" spans="1:19" ht="42.75">
      <c r="A861" s="164" t="s">
        <v>776</v>
      </c>
      <c r="B861" s="165" t="s">
        <v>1151</v>
      </c>
      <c r="C861" s="165" t="s">
        <v>4429</v>
      </c>
      <c r="D861" s="164">
        <v>1604</v>
      </c>
      <c r="E861" s="164">
        <v>1695</v>
      </c>
      <c r="F861" s="164" t="s">
        <v>3955</v>
      </c>
      <c r="G861" s="164"/>
      <c r="H861" s="167"/>
      <c r="I861" s="167"/>
      <c r="J861" s="167"/>
      <c r="K861" s="169"/>
      <c r="L861" s="129"/>
      <c r="M861" s="129"/>
      <c r="N861" s="129"/>
      <c r="O861" s="129"/>
      <c r="P861" s="146"/>
      <c r="Q861" s="170"/>
      <c r="R861" s="171"/>
      <c r="S861" s="172"/>
    </row>
    <row r="862" spans="1:19" ht="42.75">
      <c r="A862" s="164" t="s">
        <v>776</v>
      </c>
      <c r="B862" s="165" t="s">
        <v>1151</v>
      </c>
      <c r="C862" s="165" t="s">
        <v>4430</v>
      </c>
      <c r="D862" s="164">
        <v>1662</v>
      </c>
      <c r="E862" s="164">
        <v>1851</v>
      </c>
      <c r="F862" s="164" t="s">
        <v>3955</v>
      </c>
      <c r="G862" s="164"/>
      <c r="H862" s="167"/>
      <c r="I862" s="167"/>
      <c r="J862" s="167"/>
      <c r="K862" s="169"/>
      <c r="L862" s="129"/>
      <c r="M862" s="129"/>
      <c r="N862" s="129"/>
      <c r="O862" s="129"/>
      <c r="P862" s="146"/>
      <c r="Q862" s="170"/>
      <c r="R862" s="171"/>
      <c r="S862" s="172"/>
    </row>
    <row r="863" spans="1:19" ht="42.75">
      <c r="A863" s="164" t="s">
        <v>776</v>
      </c>
      <c r="B863" s="165" t="s">
        <v>1151</v>
      </c>
      <c r="C863" s="165" t="s">
        <v>4431</v>
      </c>
      <c r="D863" s="164">
        <v>1431</v>
      </c>
      <c r="E863" s="164">
        <v>1562</v>
      </c>
      <c r="F863" s="164" t="s">
        <v>3955</v>
      </c>
      <c r="G863" s="164"/>
      <c r="H863" s="167"/>
      <c r="I863" s="167"/>
      <c r="J863" s="167"/>
      <c r="K863" s="169"/>
      <c r="L863" s="129"/>
      <c r="M863" s="129"/>
      <c r="N863" s="129"/>
      <c r="O863" s="129"/>
      <c r="P863" s="146"/>
      <c r="Q863" s="170"/>
      <c r="R863" s="171"/>
      <c r="S863" s="172"/>
    </row>
    <row r="864" spans="1:19" ht="42.75">
      <c r="A864" s="164" t="s">
        <v>776</v>
      </c>
      <c r="B864" s="165" t="s">
        <v>1151</v>
      </c>
      <c r="C864" s="165" t="s">
        <v>1072</v>
      </c>
      <c r="D864" s="164">
        <v>2805</v>
      </c>
      <c r="E864" s="164">
        <v>3108</v>
      </c>
      <c r="F864" s="164" t="s">
        <v>3955</v>
      </c>
      <c r="G864" s="164"/>
      <c r="H864" s="167"/>
      <c r="I864" s="167"/>
      <c r="J864" s="167"/>
      <c r="K864" s="169"/>
      <c r="L864" s="129"/>
      <c r="M864" s="129"/>
      <c r="N864" s="129"/>
      <c r="O864" s="129"/>
      <c r="P864" s="146"/>
      <c r="Q864" s="170"/>
      <c r="R864" s="171"/>
      <c r="S864" s="172"/>
    </row>
    <row r="865" spans="1:19" ht="42.75">
      <c r="A865" s="164" t="s">
        <v>776</v>
      </c>
      <c r="B865" s="165" t="s">
        <v>1151</v>
      </c>
      <c r="C865" s="165" t="s">
        <v>4432</v>
      </c>
      <c r="D865" s="164">
        <v>2163</v>
      </c>
      <c r="E865" s="164">
        <v>2544</v>
      </c>
      <c r="F865" s="164" t="s">
        <v>3955</v>
      </c>
      <c r="G865" s="164"/>
      <c r="H865" s="167"/>
      <c r="I865" s="167"/>
      <c r="J865" s="167"/>
      <c r="K865" s="169"/>
      <c r="L865" s="129"/>
      <c r="M865" s="129"/>
      <c r="N865" s="129"/>
      <c r="O865" s="129"/>
      <c r="P865" s="146"/>
      <c r="Q865" s="170"/>
      <c r="R865" s="171"/>
      <c r="S865" s="172"/>
    </row>
    <row r="866" spans="1:19" ht="42.75">
      <c r="A866" s="164" t="s">
        <v>776</v>
      </c>
      <c r="B866" s="165" t="s">
        <v>1151</v>
      </c>
      <c r="C866" s="165" t="s">
        <v>4433</v>
      </c>
      <c r="D866" s="164">
        <v>1935</v>
      </c>
      <c r="E866" s="164">
        <v>2619</v>
      </c>
      <c r="F866" s="164" t="s">
        <v>3955</v>
      </c>
      <c r="G866" s="164"/>
      <c r="H866" s="167"/>
      <c r="I866" s="167"/>
      <c r="J866" s="167"/>
      <c r="K866" s="169"/>
      <c r="L866" s="129"/>
      <c r="M866" s="129"/>
      <c r="N866" s="129"/>
      <c r="O866" s="129"/>
      <c r="P866" s="146"/>
      <c r="Q866" s="170"/>
      <c r="R866" s="171"/>
      <c r="S866" s="172"/>
    </row>
    <row r="867" spans="1:19" ht="42.75">
      <c r="A867" s="164" t="s">
        <v>776</v>
      </c>
      <c r="B867" s="165" t="s">
        <v>1151</v>
      </c>
      <c r="C867" s="165" t="s">
        <v>4434</v>
      </c>
      <c r="D867" s="164">
        <v>1878</v>
      </c>
      <c r="E867" s="164">
        <v>2147</v>
      </c>
      <c r="F867" s="164" t="s">
        <v>3955</v>
      </c>
      <c r="G867" s="164"/>
      <c r="H867" s="167"/>
      <c r="I867" s="167"/>
      <c r="J867" s="167"/>
      <c r="K867" s="169"/>
      <c r="L867" s="129"/>
      <c r="M867" s="129"/>
      <c r="N867" s="129"/>
      <c r="O867" s="129"/>
      <c r="P867" s="146"/>
      <c r="Q867" s="170"/>
      <c r="R867" s="171"/>
      <c r="S867" s="172"/>
    </row>
    <row r="868" spans="1:19" ht="42.75">
      <c r="A868" s="164" t="s">
        <v>776</v>
      </c>
      <c r="B868" s="165" t="s">
        <v>1151</v>
      </c>
      <c r="C868" s="165" t="s">
        <v>4435</v>
      </c>
      <c r="D868" s="164">
        <v>2883</v>
      </c>
      <c r="E868" s="164">
        <v>3370</v>
      </c>
      <c r="F868" s="164" t="s">
        <v>3955</v>
      </c>
      <c r="G868" s="164"/>
      <c r="H868" s="167"/>
      <c r="I868" s="167"/>
      <c r="J868" s="167"/>
      <c r="K868" s="169"/>
      <c r="L868" s="129"/>
      <c r="M868" s="129"/>
      <c r="N868" s="129"/>
      <c r="O868" s="129"/>
      <c r="P868" s="146"/>
      <c r="Q868" s="170"/>
      <c r="R868" s="171"/>
      <c r="S868" s="172"/>
    </row>
    <row r="869" spans="1:19" ht="42.75">
      <c r="A869" s="164" t="s">
        <v>776</v>
      </c>
      <c r="B869" s="165" t="s">
        <v>1151</v>
      </c>
      <c r="C869" s="165" t="s">
        <v>4436</v>
      </c>
      <c r="D869" s="164">
        <v>1165</v>
      </c>
      <c r="E869" s="164">
        <v>1222</v>
      </c>
      <c r="F869" s="164" t="s">
        <v>3955</v>
      </c>
      <c r="G869" s="164"/>
      <c r="H869" s="167"/>
      <c r="I869" s="167"/>
      <c r="J869" s="167"/>
      <c r="K869" s="169"/>
      <c r="L869" s="129"/>
      <c r="M869" s="129"/>
      <c r="N869" s="129"/>
      <c r="O869" s="129"/>
      <c r="P869" s="146"/>
      <c r="Q869" s="170"/>
      <c r="R869" s="171"/>
      <c r="S869" s="172"/>
    </row>
    <row r="870" spans="1:19" ht="42.75">
      <c r="A870" s="164" t="s">
        <v>776</v>
      </c>
      <c r="B870" s="165" t="s">
        <v>1151</v>
      </c>
      <c r="C870" s="165" t="s">
        <v>4437</v>
      </c>
      <c r="D870" s="164">
        <v>2849</v>
      </c>
      <c r="E870" s="164">
        <v>3240</v>
      </c>
      <c r="F870" s="164" t="s">
        <v>3955</v>
      </c>
      <c r="G870" s="164"/>
      <c r="H870" s="167"/>
      <c r="I870" s="167"/>
      <c r="J870" s="167"/>
      <c r="K870" s="169"/>
      <c r="L870" s="129"/>
      <c r="M870" s="129"/>
      <c r="N870" s="129"/>
      <c r="O870" s="129"/>
      <c r="P870" s="146"/>
      <c r="Q870" s="170"/>
      <c r="R870" s="171"/>
      <c r="S870" s="172"/>
    </row>
    <row r="871" spans="1:19" ht="42.75">
      <c r="A871" s="164" t="s">
        <v>776</v>
      </c>
      <c r="B871" s="165" t="s">
        <v>1151</v>
      </c>
      <c r="C871" s="165" t="s">
        <v>4292</v>
      </c>
      <c r="D871" s="164">
        <v>3205</v>
      </c>
      <c r="E871" s="164">
        <v>3503</v>
      </c>
      <c r="F871" s="164" t="s">
        <v>3955</v>
      </c>
      <c r="G871" s="164"/>
      <c r="H871" s="167"/>
      <c r="I871" s="167"/>
      <c r="J871" s="167"/>
      <c r="K871" s="169"/>
      <c r="L871" s="129"/>
      <c r="M871" s="129"/>
      <c r="N871" s="129"/>
      <c r="O871" s="129"/>
      <c r="P871" s="146"/>
      <c r="Q871" s="170"/>
      <c r="R871" s="171"/>
      <c r="S871" s="172"/>
    </row>
    <row r="872" spans="1:19" ht="42.75">
      <c r="A872" s="164" t="s">
        <v>776</v>
      </c>
      <c r="B872" s="165" t="s">
        <v>1151</v>
      </c>
      <c r="C872" s="165" t="s">
        <v>4438</v>
      </c>
      <c r="D872" s="164">
        <v>3860</v>
      </c>
      <c r="E872" s="164">
        <v>4573</v>
      </c>
      <c r="F872" s="164" t="s">
        <v>3955</v>
      </c>
      <c r="G872" s="164"/>
      <c r="H872" s="167"/>
      <c r="I872" s="167"/>
      <c r="J872" s="167"/>
      <c r="K872" s="169"/>
      <c r="L872" s="129"/>
      <c r="M872" s="129"/>
      <c r="N872" s="129"/>
      <c r="O872" s="129"/>
      <c r="P872" s="146"/>
      <c r="Q872" s="170"/>
      <c r="R872" s="171"/>
      <c r="S872" s="172"/>
    </row>
    <row r="873" spans="1:19" ht="42.75">
      <c r="A873" s="216" t="s">
        <v>776</v>
      </c>
      <c r="B873" s="165" t="s">
        <v>1151</v>
      </c>
      <c r="C873" s="165" t="s">
        <v>1056</v>
      </c>
      <c r="D873" s="164">
        <v>3127</v>
      </c>
      <c r="E873" s="164">
        <v>3127</v>
      </c>
      <c r="F873" s="164" t="s">
        <v>3404</v>
      </c>
      <c r="G873" s="164">
        <v>2024</v>
      </c>
      <c r="H873" s="175">
        <v>45539</v>
      </c>
      <c r="I873" s="175">
        <v>45539</v>
      </c>
      <c r="J873" s="168" t="s">
        <v>7124</v>
      </c>
      <c r="K873" s="174">
        <v>45552</v>
      </c>
      <c r="L873" s="129" t="s">
        <v>3127</v>
      </c>
      <c r="M873" s="129" t="s">
        <v>6701</v>
      </c>
      <c r="N873" s="129"/>
      <c r="O873" s="129" t="s">
        <v>3406</v>
      </c>
      <c r="P873" s="146"/>
      <c r="Q873" s="170">
        <v>45552</v>
      </c>
      <c r="R873" s="171" t="s">
        <v>7058</v>
      </c>
      <c r="S873" s="172"/>
    </row>
    <row r="874" spans="1:19" ht="42.75">
      <c r="A874" s="216" t="s">
        <v>776</v>
      </c>
      <c r="B874" s="165" t="s">
        <v>1151</v>
      </c>
      <c r="C874" s="165" t="s">
        <v>4439</v>
      </c>
      <c r="D874" s="164">
        <v>2030</v>
      </c>
      <c r="E874" s="164">
        <v>2420</v>
      </c>
      <c r="F874" s="164" t="s">
        <v>3955</v>
      </c>
      <c r="G874" s="164"/>
      <c r="H874" s="167"/>
      <c r="I874" s="175"/>
      <c r="J874" s="167"/>
      <c r="K874" s="169"/>
      <c r="L874" s="129"/>
      <c r="M874" s="129"/>
      <c r="N874" s="129"/>
      <c r="O874" s="129"/>
      <c r="P874" s="146"/>
      <c r="Q874" s="170"/>
      <c r="R874" s="171"/>
      <c r="S874" s="172"/>
    </row>
    <row r="875" spans="1:19" ht="42.75">
      <c r="A875" s="216" t="s">
        <v>776</v>
      </c>
      <c r="B875" s="165" t="s">
        <v>1151</v>
      </c>
      <c r="C875" s="165" t="s">
        <v>4441</v>
      </c>
      <c r="D875" s="164">
        <v>2216</v>
      </c>
      <c r="E875" s="164">
        <v>2279</v>
      </c>
      <c r="F875" s="164" t="s">
        <v>3404</v>
      </c>
      <c r="G875" s="164">
        <v>2024</v>
      </c>
      <c r="H875" s="175">
        <v>45601</v>
      </c>
      <c r="I875" s="175">
        <v>45604</v>
      </c>
      <c r="J875" s="168" t="s">
        <v>7125</v>
      </c>
      <c r="K875" s="174">
        <v>45612</v>
      </c>
      <c r="L875" s="129" t="s">
        <v>3129</v>
      </c>
      <c r="M875" s="129" t="s">
        <v>4</v>
      </c>
      <c r="N875" s="129" t="s">
        <v>50</v>
      </c>
      <c r="O875" s="129" t="s">
        <v>3406</v>
      </c>
      <c r="P875" s="146"/>
      <c r="Q875" s="170">
        <v>45614</v>
      </c>
      <c r="R875" s="171" t="s">
        <v>7058</v>
      </c>
      <c r="S875" s="172"/>
    </row>
    <row r="876" spans="1:19" ht="42.75">
      <c r="A876" s="216" t="s">
        <v>776</v>
      </c>
      <c r="B876" s="165" t="s">
        <v>1151</v>
      </c>
      <c r="C876" s="165" t="s">
        <v>4442</v>
      </c>
      <c r="D876" s="164">
        <v>3127</v>
      </c>
      <c r="E876" s="164">
        <v>3378</v>
      </c>
      <c r="F876" s="164" t="s">
        <v>3955</v>
      </c>
      <c r="G876" s="164"/>
      <c r="H876" s="167"/>
      <c r="I876" s="167"/>
      <c r="J876" s="167"/>
      <c r="K876" s="169"/>
      <c r="L876" s="129"/>
      <c r="M876" s="129"/>
      <c r="N876" s="129"/>
      <c r="O876" s="129"/>
      <c r="P876" s="146"/>
      <c r="Q876" s="170"/>
      <c r="R876" s="171"/>
      <c r="S876" s="172"/>
    </row>
    <row r="877" spans="1:19" ht="42.75">
      <c r="A877" s="164" t="s">
        <v>776</v>
      </c>
      <c r="B877" s="165" t="s">
        <v>1151</v>
      </c>
      <c r="C877" s="165" t="s">
        <v>4443</v>
      </c>
      <c r="D877" s="164">
        <v>5056</v>
      </c>
      <c r="E877" s="164">
        <v>5363</v>
      </c>
      <c r="F877" s="164" t="s">
        <v>3955</v>
      </c>
      <c r="G877" s="164"/>
      <c r="H877" s="167"/>
      <c r="I877" s="167"/>
      <c r="J877" s="167"/>
      <c r="K877" s="169"/>
      <c r="L877" s="129"/>
      <c r="M877" s="129"/>
      <c r="N877" s="129"/>
      <c r="O877" s="129"/>
      <c r="P877" s="146"/>
      <c r="Q877" s="170"/>
      <c r="R877" s="171"/>
      <c r="S877" s="172"/>
    </row>
    <row r="878" spans="1:19" ht="42.75">
      <c r="A878" s="164" t="s">
        <v>776</v>
      </c>
      <c r="B878" s="165" t="s">
        <v>1151</v>
      </c>
      <c r="C878" s="165" t="s">
        <v>4126</v>
      </c>
      <c r="D878" s="164">
        <v>3755</v>
      </c>
      <c r="E878" s="164">
        <v>4323</v>
      </c>
      <c r="F878" s="164" t="s">
        <v>3955</v>
      </c>
      <c r="G878" s="164"/>
      <c r="H878" s="167"/>
      <c r="I878" s="167"/>
      <c r="J878" s="167"/>
      <c r="K878" s="169"/>
      <c r="L878" s="129"/>
      <c r="M878" s="129"/>
      <c r="N878" s="129"/>
      <c r="O878" s="129"/>
      <c r="P878" s="146"/>
      <c r="Q878" s="170"/>
      <c r="R878" s="171"/>
      <c r="S878" s="172"/>
    </row>
    <row r="879" spans="1:19" ht="42.75">
      <c r="A879" s="164" t="s">
        <v>776</v>
      </c>
      <c r="B879" s="165" t="s">
        <v>1151</v>
      </c>
      <c r="C879" s="165" t="s">
        <v>858</v>
      </c>
      <c r="D879" s="164">
        <v>4951</v>
      </c>
      <c r="E879" s="164">
        <v>4613</v>
      </c>
      <c r="F879" s="164" t="s">
        <v>3404</v>
      </c>
      <c r="G879" s="164">
        <v>2024</v>
      </c>
      <c r="H879" s="175">
        <v>45539</v>
      </c>
      <c r="I879" s="175">
        <v>45539</v>
      </c>
      <c r="J879" s="168" t="s">
        <v>7126</v>
      </c>
      <c r="K879" s="174">
        <v>45552</v>
      </c>
      <c r="L879" s="129" t="s">
        <v>3127</v>
      </c>
      <c r="M879" s="129" t="s">
        <v>6701</v>
      </c>
      <c r="N879" s="129"/>
      <c r="O879" s="129" t="s">
        <v>3406</v>
      </c>
      <c r="P879" s="146"/>
      <c r="Q879" s="170">
        <v>45552</v>
      </c>
      <c r="R879" s="171" t="s">
        <v>7058</v>
      </c>
      <c r="S879" s="172"/>
    </row>
    <row r="880" spans="1:19" ht="42.75">
      <c r="A880" s="216" t="s">
        <v>776</v>
      </c>
      <c r="B880" s="165" t="s">
        <v>1151</v>
      </c>
      <c r="C880" s="165" t="s">
        <v>918</v>
      </c>
      <c r="D880" s="164">
        <v>8602</v>
      </c>
      <c r="E880" s="164">
        <v>8950</v>
      </c>
      <c r="F880" s="164" t="s">
        <v>3955</v>
      </c>
      <c r="G880" s="164"/>
      <c r="H880" s="167"/>
      <c r="I880" s="175"/>
      <c r="J880" s="167"/>
      <c r="K880" s="169"/>
      <c r="L880" s="129"/>
      <c r="M880" s="129"/>
      <c r="N880" s="129"/>
      <c r="O880" s="129"/>
      <c r="P880" s="146"/>
      <c r="Q880" s="170"/>
      <c r="R880" s="171"/>
      <c r="S880" s="172"/>
    </row>
    <row r="881" spans="1:19" ht="42.75">
      <c r="A881" s="216" t="s">
        <v>776</v>
      </c>
      <c r="B881" s="165" t="s">
        <v>1151</v>
      </c>
      <c r="C881" s="165" t="s">
        <v>1166</v>
      </c>
      <c r="D881" s="164">
        <v>2860</v>
      </c>
      <c r="E881" s="164">
        <v>2746</v>
      </c>
      <c r="F881" s="164" t="s">
        <v>3955</v>
      </c>
      <c r="G881" s="164"/>
      <c r="H881" s="167"/>
      <c r="I881" s="167"/>
      <c r="J881" s="167"/>
      <c r="K881" s="169"/>
      <c r="L881" s="129"/>
      <c r="M881" s="129"/>
      <c r="N881" s="129"/>
      <c r="O881" s="129"/>
      <c r="P881" s="146"/>
      <c r="Q881" s="170"/>
      <c r="R881" s="171"/>
      <c r="S881" s="172"/>
    </row>
    <row r="882" spans="1:19" ht="42.75">
      <c r="A882" s="164" t="s">
        <v>776</v>
      </c>
      <c r="B882" s="165" t="s">
        <v>1151</v>
      </c>
      <c r="C882" s="165" t="s">
        <v>4027</v>
      </c>
      <c r="D882" s="164">
        <v>6000</v>
      </c>
      <c r="E882" s="164">
        <v>6509</v>
      </c>
      <c r="F882" s="164" t="s">
        <v>3955</v>
      </c>
      <c r="G882" s="164"/>
      <c r="H882" s="167"/>
      <c r="I882" s="167"/>
      <c r="J882" s="167"/>
      <c r="K882" s="169"/>
      <c r="L882" s="129"/>
      <c r="M882" s="129"/>
      <c r="N882" s="129"/>
      <c r="O882" s="129"/>
      <c r="P882" s="146"/>
      <c r="Q882" s="170"/>
      <c r="R882" s="171"/>
      <c r="S882" s="172"/>
    </row>
    <row r="883" spans="1:19" ht="42.75">
      <c r="A883" s="164" t="s">
        <v>776</v>
      </c>
      <c r="B883" s="165" t="s">
        <v>1151</v>
      </c>
      <c r="C883" s="165" t="s">
        <v>3565</v>
      </c>
      <c r="D883" s="164">
        <v>3335</v>
      </c>
      <c r="E883" s="164">
        <v>4005</v>
      </c>
      <c r="F883" s="164" t="s">
        <v>3955</v>
      </c>
      <c r="G883" s="164"/>
      <c r="H883" s="167"/>
      <c r="I883" s="167"/>
      <c r="J883" s="167"/>
      <c r="K883" s="169"/>
      <c r="L883" s="129"/>
      <c r="M883" s="129"/>
      <c r="N883" s="129"/>
      <c r="O883" s="129"/>
      <c r="P883" s="146"/>
      <c r="Q883" s="170"/>
      <c r="R883" s="171"/>
      <c r="S883" s="172"/>
    </row>
    <row r="884" spans="1:19" ht="42.75">
      <c r="A884" s="216" t="s">
        <v>776</v>
      </c>
      <c r="B884" s="165" t="s">
        <v>1151</v>
      </c>
      <c r="C884" s="165" t="s">
        <v>4444</v>
      </c>
      <c r="D884" s="164">
        <v>2945</v>
      </c>
      <c r="E884" s="164">
        <v>3829</v>
      </c>
      <c r="F884" s="164" t="s">
        <v>3955</v>
      </c>
      <c r="G884" s="164"/>
      <c r="H884" s="167"/>
      <c r="I884" s="167"/>
      <c r="J884" s="167"/>
      <c r="K884" s="169"/>
      <c r="L884" s="129"/>
      <c r="M884" s="129"/>
      <c r="N884" s="129"/>
      <c r="O884" s="129"/>
      <c r="P884" s="146"/>
      <c r="Q884" s="170"/>
      <c r="R884" s="171"/>
      <c r="S884" s="172"/>
    </row>
    <row r="885" spans="1:19" ht="42.75">
      <c r="A885" s="216" t="s">
        <v>776</v>
      </c>
      <c r="B885" s="165" t="s">
        <v>1151</v>
      </c>
      <c r="C885" s="165" t="s">
        <v>4445</v>
      </c>
      <c r="D885" s="164">
        <v>2829</v>
      </c>
      <c r="E885" s="164">
        <v>2983</v>
      </c>
      <c r="F885" s="164" t="s">
        <v>3955</v>
      </c>
      <c r="G885" s="164"/>
      <c r="H885" s="167"/>
      <c r="I885" s="167"/>
      <c r="J885" s="167"/>
      <c r="K885" s="169"/>
      <c r="L885" s="129"/>
      <c r="M885" s="129"/>
      <c r="N885" s="129"/>
      <c r="O885" s="129"/>
      <c r="P885" s="146"/>
      <c r="Q885" s="170"/>
      <c r="R885" s="171"/>
      <c r="S885" s="172"/>
    </row>
    <row r="886" spans="1:19" ht="42.75">
      <c r="A886" s="164" t="s">
        <v>776</v>
      </c>
      <c r="B886" s="165" t="s">
        <v>1151</v>
      </c>
      <c r="C886" s="165" t="s">
        <v>4446</v>
      </c>
      <c r="D886" s="164">
        <v>1632</v>
      </c>
      <c r="E886" s="164">
        <v>1997</v>
      </c>
      <c r="F886" s="164" t="s">
        <v>3955</v>
      </c>
      <c r="G886" s="164"/>
      <c r="H886" s="167"/>
      <c r="I886" s="167"/>
      <c r="J886" s="167"/>
      <c r="K886" s="169"/>
      <c r="L886" s="129"/>
      <c r="M886" s="129"/>
      <c r="N886" s="129"/>
      <c r="O886" s="129"/>
      <c r="P886" s="146"/>
      <c r="Q886" s="170"/>
      <c r="R886" s="171"/>
      <c r="S886" s="172"/>
    </row>
    <row r="887" spans="1:19" ht="42.75">
      <c r="A887" s="164" t="s">
        <v>776</v>
      </c>
      <c r="B887" s="165" t="s">
        <v>1151</v>
      </c>
      <c r="C887" s="165" t="s">
        <v>3848</v>
      </c>
      <c r="D887" s="164">
        <v>10161</v>
      </c>
      <c r="E887" s="164">
        <v>11092</v>
      </c>
      <c r="F887" s="164" t="s">
        <v>3955</v>
      </c>
      <c r="G887" s="164"/>
      <c r="H887" s="167"/>
      <c r="I887" s="167"/>
      <c r="J887" s="167"/>
      <c r="K887" s="169"/>
      <c r="L887" s="129"/>
      <c r="M887" s="129"/>
      <c r="N887" s="129"/>
      <c r="O887" s="129"/>
      <c r="P887" s="146"/>
      <c r="Q887" s="170"/>
      <c r="R887" s="171"/>
      <c r="S887" s="172"/>
    </row>
    <row r="888" spans="1:19" ht="42.75">
      <c r="A888" s="216" t="s">
        <v>776</v>
      </c>
      <c r="B888" s="165" t="s">
        <v>1151</v>
      </c>
      <c r="C888" s="165" t="s">
        <v>4447</v>
      </c>
      <c r="D888" s="164">
        <v>6001</v>
      </c>
      <c r="E888" s="164">
        <v>6039</v>
      </c>
      <c r="F888" s="164" t="s">
        <v>3955</v>
      </c>
      <c r="G888" s="164"/>
      <c r="H888" s="167"/>
      <c r="I888" s="167"/>
      <c r="J888" s="167"/>
      <c r="K888" s="169"/>
      <c r="L888" s="129"/>
      <c r="M888" s="129"/>
      <c r="N888" s="129"/>
      <c r="O888" s="129"/>
      <c r="P888" s="146"/>
      <c r="Q888" s="170"/>
      <c r="R888" s="171"/>
      <c r="S888" s="172"/>
    </row>
    <row r="889" spans="1:19" ht="42.75">
      <c r="A889" s="164" t="s">
        <v>776</v>
      </c>
      <c r="B889" s="165" t="s">
        <v>1151</v>
      </c>
      <c r="C889" s="165" t="s">
        <v>4044</v>
      </c>
      <c r="D889" s="164">
        <v>3678</v>
      </c>
      <c r="E889" s="164">
        <v>4662</v>
      </c>
      <c r="F889" s="164" t="s">
        <v>3955</v>
      </c>
      <c r="G889" s="164"/>
      <c r="H889" s="167"/>
      <c r="I889" s="167"/>
      <c r="J889" s="167"/>
      <c r="K889" s="169"/>
      <c r="L889" s="129"/>
      <c r="M889" s="129"/>
      <c r="N889" s="129"/>
      <c r="O889" s="129"/>
      <c r="P889" s="146"/>
      <c r="Q889" s="170"/>
      <c r="R889" s="171"/>
      <c r="S889" s="172"/>
    </row>
    <row r="890" spans="1:19" ht="42.75">
      <c r="A890" s="164" t="s">
        <v>776</v>
      </c>
      <c r="B890" s="165" t="s">
        <v>1151</v>
      </c>
      <c r="C890" s="165" t="s">
        <v>4416</v>
      </c>
      <c r="D890" s="164">
        <v>1314</v>
      </c>
      <c r="E890" s="164">
        <v>1438</v>
      </c>
      <c r="F890" s="164" t="s">
        <v>3955</v>
      </c>
      <c r="G890" s="164"/>
      <c r="H890" s="167"/>
      <c r="I890" s="167"/>
      <c r="J890" s="167"/>
      <c r="K890" s="169"/>
      <c r="L890" s="129"/>
      <c r="M890" s="129"/>
      <c r="N890" s="129"/>
      <c r="O890" s="129"/>
      <c r="P890" s="146"/>
      <c r="Q890" s="170"/>
      <c r="R890" s="171"/>
      <c r="S890" s="172"/>
    </row>
    <row r="891" spans="1:19" ht="42.75">
      <c r="A891" s="164" t="s">
        <v>776</v>
      </c>
      <c r="B891" s="165" t="s">
        <v>1151</v>
      </c>
      <c r="C891" s="165" t="s">
        <v>4440</v>
      </c>
      <c r="D891" s="164">
        <v>1389</v>
      </c>
      <c r="E891" s="164">
        <v>1439</v>
      </c>
      <c r="F891" s="164" t="s">
        <v>3955</v>
      </c>
      <c r="G891" s="164"/>
      <c r="H891" s="167"/>
      <c r="I891" s="167"/>
      <c r="J891" s="167"/>
      <c r="K891" s="169"/>
      <c r="L891" s="129"/>
      <c r="M891" s="129"/>
      <c r="N891" s="129"/>
      <c r="O891" s="129"/>
      <c r="P891" s="146"/>
      <c r="Q891" s="170"/>
      <c r="R891" s="171"/>
      <c r="S891" s="172"/>
    </row>
    <row r="892" spans="1:19" ht="42.75">
      <c r="A892" s="164" t="s">
        <v>776</v>
      </c>
      <c r="B892" s="165" t="s">
        <v>1151</v>
      </c>
      <c r="C892" s="165" t="s">
        <v>1245</v>
      </c>
      <c r="D892" s="164">
        <v>2092</v>
      </c>
      <c r="E892" s="164">
        <v>2415</v>
      </c>
      <c r="F892" s="164" t="s">
        <v>3955</v>
      </c>
      <c r="G892" s="164"/>
      <c r="H892" s="167"/>
      <c r="I892" s="167"/>
      <c r="J892" s="167"/>
      <c r="K892" s="169"/>
      <c r="L892" s="129"/>
      <c r="M892" s="129"/>
      <c r="N892" s="129"/>
      <c r="O892" s="129"/>
      <c r="P892" s="146"/>
      <c r="Q892" s="170"/>
      <c r="R892" s="171"/>
      <c r="S892" s="172"/>
    </row>
    <row r="893" spans="1:19" ht="42.75">
      <c r="A893" s="164" t="s">
        <v>776</v>
      </c>
      <c r="B893" s="165" t="s">
        <v>1151</v>
      </c>
      <c r="C893" s="165" t="s">
        <v>4448</v>
      </c>
      <c r="D893" s="164">
        <v>3994</v>
      </c>
      <c r="E893" s="164">
        <v>4397</v>
      </c>
      <c r="F893" s="164" t="s">
        <v>3955</v>
      </c>
      <c r="G893" s="164"/>
      <c r="H893" s="167"/>
      <c r="I893" s="167"/>
      <c r="J893" s="167"/>
      <c r="K893" s="169"/>
      <c r="L893" s="129"/>
      <c r="M893" s="129"/>
      <c r="N893" s="129"/>
      <c r="O893" s="129"/>
      <c r="P893" s="146"/>
      <c r="Q893" s="170"/>
      <c r="R893" s="171"/>
      <c r="S893" s="172"/>
    </row>
    <row r="894" spans="1:19" ht="42.75">
      <c r="A894" s="164" t="s">
        <v>776</v>
      </c>
      <c r="B894" s="165" t="s">
        <v>1155</v>
      </c>
      <c r="C894" s="165" t="s">
        <v>4451</v>
      </c>
      <c r="D894" s="164">
        <v>1515</v>
      </c>
      <c r="E894" s="164">
        <v>2263</v>
      </c>
      <c r="F894" s="164" t="s">
        <v>3955</v>
      </c>
      <c r="G894" s="164"/>
      <c r="H894" s="167"/>
      <c r="I894" s="167"/>
      <c r="J894" s="167"/>
      <c r="K894" s="169"/>
      <c r="L894" s="129"/>
      <c r="M894" s="129"/>
      <c r="N894" s="129"/>
      <c r="O894" s="129"/>
      <c r="P894" s="146"/>
      <c r="Q894" s="170"/>
      <c r="R894" s="171"/>
      <c r="S894" s="172"/>
    </row>
    <row r="895" spans="1:19" ht="42.75">
      <c r="A895" s="164" t="s">
        <v>776</v>
      </c>
      <c r="B895" s="165" t="s">
        <v>1155</v>
      </c>
      <c r="C895" s="165" t="s">
        <v>4449</v>
      </c>
      <c r="D895" s="164">
        <v>1174</v>
      </c>
      <c r="E895" s="164">
        <v>1354</v>
      </c>
      <c r="F895" s="164" t="s">
        <v>3955</v>
      </c>
      <c r="G895" s="164"/>
      <c r="H895" s="167"/>
      <c r="I895" s="167"/>
      <c r="J895" s="167"/>
      <c r="K895" s="169"/>
      <c r="L895" s="129"/>
      <c r="M895" s="129"/>
      <c r="N895" s="129"/>
      <c r="O895" s="129"/>
      <c r="P895" s="146"/>
      <c r="Q895" s="170"/>
      <c r="R895" s="171"/>
      <c r="S895" s="172"/>
    </row>
    <row r="896" spans="1:19" ht="42.75">
      <c r="A896" s="164" t="s">
        <v>776</v>
      </c>
      <c r="B896" s="165" t="s">
        <v>1155</v>
      </c>
      <c r="C896" s="165" t="s">
        <v>1083</v>
      </c>
      <c r="D896" s="164">
        <v>10262</v>
      </c>
      <c r="E896" s="164">
        <v>10836</v>
      </c>
      <c r="F896" s="164" t="s">
        <v>3955</v>
      </c>
      <c r="G896" s="164"/>
      <c r="H896" s="167"/>
      <c r="I896" s="167"/>
      <c r="J896" s="167"/>
      <c r="K896" s="169"/>
      <c r="L896" s="129"/>
      <c r="M896" s="129"/>
      <c r="N896" s="129"/>
      <c r="O896" s="129"/>
      <c r="P896" s="146"/>
      <c r="Q896" s="170"/>
      <c r="R896" s="171"/>
      <c r="S896" s="172"/>
    </row>
    <row r="897" spans="1:19" ht="42.75">
      <c r="A897" s="164" t="s">
        <v>776</v>
      </c>
      <c r="B897" s="165" t="s">
        <v>1155</v>
      </c>
      <c r="C897" s="165" t="s">
        <v>4455</v>
      </c>
      <c r="D897" s="164">
        <v>1500</v>
      </c>
      <c r="E897" s="164">
        <v>1804</v>
      </c>
      <c r="F897" s="164" t="s">
        <v>3955</v>
      </c>
      <c r="G897" s="164"/>
      <c r="H897" s="167"/>
      <c r="I897" s="167"/>
      <c r="J897" s="167"/>
      <c r="K897" s="169"/>
      <c r="L897" s="129"/>
      <c r="M897" s="129"/>
      <c r="N897" s="129"/>
      <c r="O897" s="129"/>
      <c r="P897" s="146"/>
      <c r="Q897" s="170"/>
      <c r="R897" s="171"/>
      <c r="S897" s="172"/>
    </row>
    <row r="898" spans="1:19" ht="42.75">
      <c r="A898" s="164" t="s">
        <v>776</v>
      </c>
      <c r="B898" s="165" t="s">
        <v>1155</v>
      </c>
      <c r="C898" s="165" t="s">
        <v>4457</v>
      </c>
      <c r="D898" s="164">
        <v>1372</v>
      </c>
      <c r="E898" s="164">
        <v>1135</v>
      </c>
      <c r="F898" s="164" t="s">
        <v>3955</v>
      </c>
      <c r="G898" s="164"/>
      <c r="H898" s="167"/>
      <c r="I898" s="167"/>
      <c r="J898" s="167"/>
      <c r="K898" s="169"/>
      <c r="L898" s="129"/>
      <c r="M898" s="129"/>
      <c r="N898" s="129"/>
      <c r="O898" s="129"/>
      <c r="P898" s="146"/>
      <c r="Q898" s="170"/>
      <c r="R898" s="171"/>
      <c r="S898" s="172"/>
    </row>
    <row r="899" spans="1:19" ht="42.75">
      <c r="A899" s="164" t="s">
        <v>776</v>
      </c>
      <c r="B899" s="165" t="s">
        <v>1155</v>
      </c>
      <c r="C899" s="165" t="s">
        <v>4459</v>
      </c>
      <c r="D899" s="164">
        <v>1347</v>
      </c>
      <c r="E899" s="164">
        <v>1485</v>
      </c>
      <c r="F899" s="164" t="s">
        <v>3955</v>
      </c>
      <c r="G899" s="164"/>
      <c r="H899" s="167"/>
      <c r="I899" s="167"/>
      <c r="J899" s="167"/>
      <c r="K899" s="169"/>
      <c r="L899" s="129"/>
      <c r="M899" s="129"/>
      <c r="N899" s="129"/>
      <c r="O899" s="129"/>
      <c r="P899" s="146"/>
      <c r="Q899" s="170"/>
      <c r="R899" s="171"/>
      <c r="S899" s="172"/>
    </row>
    <row r="900" spans="1:19" ht="42.75">
      <c r="A900" s="164" t="s">
        <v>776</v>
      </c>
      <c r="B900" s="165" t="s">
        <v>1155</v>
      </c>
      <c r="C900" s="165" t="s">
        <v>4461</v>
      </c>
      <c r="D900" s="164">
        <v>3340</v>
      </c>
      <c r="E900" s="164">
        <v>3634</v>
      </c>
      <c r="F900" s="164" t="s">
        <v>3955</v>
      </c>
      <c r="G900" s="164"/>
      <c r="H900" s="167"/>
      <c r="I900" s="167"/>
      <c r="J900" s="167"/>
      <c r="K900" s="169"/>
      <c r="L900" s="129"/>
      <c r="M900" s="129"/>
      <c r="N900" s="129"/>
      <c r="O900" s="129"/>
      <c r="P900" s="146"/>
      <c r="Q900" s="170"/>
      <c r="R900" s="171"/>
      <c r="S900" s="172"/>
    </row>
    <row r="901" spans="1:19" ht="42.75">
      <c r="A901" s="164" t="s">
        <v>776</v>
      </c>
      <c r="B901" s="165" t="s">
        <v>1155</v>
      </c>
      <c r="C901" s="165" t="s">
        <v>4462</v>
      </c>
      <c r="D901" s="164">
        <v>850</v>
      </c>
      <c r="E901" s="164">
        <v>871</v>
      </c>
      <c r="F901" s="164" t="s">
        <v>3955</v>
      </c>
      <c r="G901" s="164"/>
      <c r="H901" s="167"/>
      <c r="I901" s="167"/>
      <c r="J901" s="167"/>
      <c r="K901" s="169"/>
      <c r="L901" s="129"/>
      <c r="M901" s="129"/>
      <c r="N901" s="129"/>
      <c r="O901" s="129"/>
      <c r="P901" s="146"/>
      <c r="Q901" s="170"/>
      <c r="R901" s="171"/>
      <c r="S901" s="172"/>
    </row>
    <row r="902" spans="1:19" ht="42.75">
      <c r="A902" s="216" t="s">
        <v>776</v>
      </c>
      <c r="B902" s="165" t="s">
        <v>1155</v>
      </c>
      <c r="C902" s="165" t="s">
        <v>4453</v>
      </c>
      <c r="D902" s="164">
        <v>6423</v>
      </c>
      <c r="E902" s="164">
        <v>6128</v>
      </c>
      <c r="F902" s="164" t="s">
        <v>3955</v>
      </c>
      <c r="G902" s="164"/>
      <c r="H902" s="167"/>
      <c r="I902" s="167"/>
      <c r="J902" s="167"/>
      <c r="K902" s="169"/>
      <c r="L902" s="129"/>
      <c r="M902" s="129"/>
      <c r="N902" s="129"/>
      <c r="O902" s="129"/>
      <c r="P902" s="146"/>
      <c r="Q902" s="170"/>
      <c r="R902" s="171"/>
      <c r="S902" s="172"/>
    </row>
    <row r="903" spans="1:19" ht="42.75">
      <c r="A903" s="164" t="s">
        <v>776</v>
      </c>
      <c r="B903" s="165" t="s">
        <v>1155</v>
      </c>
      <c r="C903" s="165" t="s">
        <v>4464</v>
      </c>
      <c r="D903" s="164">
        <v>2228</v>
      </c>
      <c r="E903" s="164">
        <v>1910</v>
      </c>
      <c r="F903" s="164" t="s">
        <v>3955</v>
      </c>
      <c r="G903" s="164"/>
      <c r="H903" s="167"/>
      <c r="I903" s="167"/>
      <c r="J903" s="167"/>
      <c r="K903" s="169"/>
      <c r="L903" s="129"/>
      <c r="M903" s="129"/>
      <c r="N903" s="129"/>
      <c r="O903" s="129"/>
      <c r="P903" s="146"/>
      <c r="Q903" s="170"/>
      <c r="R903" s="171"/>
      <c r="S903" s="172"/>
    </row>
    <row r="904" spans="1:19" ht="42.75">
      <c r="A904" s="164" t="s">
        <v>776</v>
      </c>
      <c r="B904" s="165" t="s">
        <v>1155</v>
      </c>
      <c r="C904" s="165" t="s">
        <v>4466</v>
      </c>
      <c r="D904" s="164">
        <v>2023</v>
      </c>
      <c r="E904" s="164">
        <v>2001</v>
      </c>
      <c r="F904" s="164" t="s">
        <v>3955</v>
      </c>
      <c r="G904" s="164"/>
      <c r="H904" s="167"/>
      <c r="I904" s="167"/>
      <c r="J904" s="167"/>
      <c r="K904" s="169"/>
      <c r="L904" s="129"/>
      <c r="M904" s="129"/>
      <c r="N904" s="129"/>
      <c r="O904" s="129"/>
      <c r="P904" s="146"/>
      <c r="Q904" s="170"/>
      <c r="R904" s="171"/>
      <c r="S904" s="172"/>
    </row>
    <row r="905" spans="1:19" ht="42.75">
      <c r="A905" s="164" t="s">
        <v>776</v>
      </c>
      <c r="B905" s="165" t="s">
        <v>1155</v>
      </c>
      <c r="C905" s="165" t="s">
        <v>4398</v>
      </c>
      <c r="D905" s="164">
        <v>1346</v>
      </c>
      <c r="E905" s="164">
        <v>1383</v>
      </c>
      <c r="F905" s="164" t="s">
        <v>3955</v>
      </c>
      <c r="G905" s="164"/>
      <c r="H905" s="167"/>
      <c r="I905" s="167"/>
      <c r="J905" s="167"/>
      <c r="K905" s="169"/>
      <c r="L905" s="129"/>
      <c r="M905" s="129"/>
      <c r="N905" s="129"/>
      <c r="O905" s="129"/>
      <c r="P905" s="146"/>
      <c r="Q905" s="170"/>
      <c r="R905" s="171"/>
      <c r="S905" s="172"/>
    </row>
    <row r="906" spans="1:19" ht="42.75">
      <c r="A906" s="164" t="s">
        <v>776</v>
      </c>
      <c r="B906" s="165" t="s">
        <v>1155</v>
      </c>
      <c r="C906" s="165" t="s">
        <v>4467</v>
      </c>
      <c r="D906" s="164">
        <v>3667</v>
      </c>
      <c r="E906" s="164">
        <v>4168</v>
      </c>
      <c r="F906" s="164" t="s">
        <v>3955</v>
      </c>
      <c r="G906" s="164"/>
      <c r="H906" s="167"/>
      <c r="I906" s="167"/>
      <c r="J906" s="167"/>
      <c r="K906" s="169"/>
      <c r="L906" s="129"/>
      <c r="M906" s="129"/>
      <c r="N906" s="129"/>
      <c r="O906" s="129"/>
      <c r="P906" s="146"/>
      <c r="Q906" s="170"/>
      <c r="R906" s="171"/>
      <c r="S906" s="172"/>
    </row>
    <row r="907" spans="1:19" ht="42.75">
      <c r="A907" s="164" t="s">
        <v>776</v>
      </c>
      <c r="B907" s="165" t="s">
        <v>1155</v>
      </c>
      <c r="C907" s="165" t="s">
        <v>4468</v>
      </c>
      <c r="D907" s="164">
        <v>4123</v>
      </c>
      <c r="E907" s="164">
        <v>4940</v>
      </c>
      <c r="F907" s="164" t="s">
        <v>3955</v>
      </c>
      <c r="G907" s="164"/>
      <c r="H907" s="167"/>
      <c r="I907" s="167"/>
      <c r="J907" s="167"/>
      <c r="K907" s="169"/>
      <c r="L907" s="129"/>
      <c r="M907" s="129"/>
      <c r="N907" s="129"/>
      <c r="O907" s="129"/>
      <c r="P907" s="146"/>
      <c r="Q907" s="170"/>
      <c r="R907" s="171"/>
      <c r="S907" s="172"/>
    </row>
    <row r="908" spans="1:19" ht="42.75">
      <c r="A908" s="216" t="s">
        <v>776</v>
      </c>
      <c r="B908" s="165" t="s">
        <v>1155</v>
      </c>
      <c r="C908" s="165" t="s">
        <v>4469</v>
      </c>
      <c r="D908" s="164">
        <v>3284</v>
      </c>
      <c r="E908" s="164">
        <v>3958</v>
      </c>
      <c r="F908" s="164" t="s">
        <v>3955</v>
      </c>
      <c r="G908" s="164"/>
      <c r="H908" s="167"/>
      <c r="I908" s="167"/>
      <c r="J908" s="167"/>
      <c r="K908" s="169"/>
      <c r="L908" s="129"/>
      <c r="M908" s="129"/>
      <c r="N908" s="129"/>
      <c r="O908" s="129"/>
      <c r="P908" s="146"/>
      <c r="Q908" s="170"/>
      <c r="R908" s="171"/>
      <c r="S908" s="172"/>
    </row>
    <row r="909" spans="1:19" ht="42.75">
      <c r="A909" s="164" t="s">
        <v>776</v>
      </c>
      <c r="B909" s="165" t="s">
        <v>1155</v>
      </c>
      <c r="C909" s="165" t="s">
        <v>4298</v>
      </c>
      <c r="D909" s="164">
        <v>1101</v>
      </c>
      <c r="E909" s="164">
        <v>1043</v>
      </c>
      <c r="F909" s="164" t="s">
        <v>3955</v>
      </c>
      <c r="G909" s="164"/>
      <c r="H909" s="167"/>
      <c r="I909" s="167"/>
      <c r="J909" s="167"/>
      <c r="K909" s="169"/>
      <c r="L909" s="129"/>
      <c r="M909" s="129"/>
      <c r="N909" s="129"/>
      <c r="O909" s="129"/>
      <c r="P909" s="146"/>
      <c r="Q909" s="170"/>
      <c r="R909" s="171"/>
      <c r="S909" s="172"/>
    </row>
    <row r="910" spans="1:19" ht="42.75">
      <c r="A910" s="164" t="s">
        <v>776</v>
      </c>
      <c r="B910" s="165" t="s">
        <v>1155</v>
      </c>
      <c r="C910" s="165" t="s">
        <v>4470</v>
      </c>
      <c r="D910" s="164">
        <v>997</v>
      </c>
      <c r="E910" s="164">
        <v>1118</v>
      </c>
      <c r="F910" s="164" t="s">
        <v>3404</v>
      </c>
      <c r="G910" s="164">
        <v>2024</v>
      </c>
      <c r="H910" s="173">
        <v>45447</v>
      </c>
      <c r="I910" s="175">
        <v>45453</v>
      </c>
      <c r="J910" s="168" t="s">
        <v>7127</v>
      </c>
      <c r="K910" s="174">
        <v>45462</v>
      </c>
      <c r="L910" s="129" t="s">
        <v>3689</v>
      </c>
      <c r="M910" s="129"/>
      <c r="N910" s="129"/>
      <c r="O910" s="129" t="s">
        <v>3406</v>
      </c>
      <c r="P910" s="146"/>
      <c r="Q910" s="170">
        <v>45463</v>
      </c>
      <c r="R910" s="171"/>
      <c r="S910" s="172"/>
    </row>
    <row r="911" spans="1:19" ht="42.75">
      <c r="A911" s="164" t="s">
        <v>776</v>
      </c>
      <c r="B911" s="165" t="s">
        <v>1155</v>
      </c>
      <c r="C911" s="165" t="s">
        <v>4471</v>
      </c>
      <c r="D911" s="164">
        <v>3750</v>
      </c>
      <c r="E911" s="164">
        <v>3789</v>
      </c>
      <c r="F911" s="164" t="s">
        <v>3955</v>
      </c>
      <c r="G911" s="164"/>
      <c r="H911" s="167"/>
      <c r="I911" s="167"/>
      <c r="J911" s="167"/>
      <c r="K911" s="169"/>
      <c r="L911" s="129"/>
      <c r="M911" s="129"/>
      <c r="N911" s="129"/>
      <c r="O911" s="129"/>
      <c r="P911" s="146"/>
      <c r="Q911" s="170"/>
      <c r="R911" s="171"/>
      <c r="S911" s="172"/>
    </row>
    <row r="912" spans="1:19" ht="42.75">
      <c r="A912" s="164" t="s">
        <v>776</v>
      </c>
      <c r="B912" s="165" t="s">
        <v>1155</v>
      </c>
      <c r="C912" s="165" t="s">
        <v>4404</v>
      </c>
      <c r="D912" s="164">
        <v>955</v>
      </c>
      <c r="E912" s="164">
        <v>1107</v>
      </c>
      <c r="F912" s="164" t="s">
        <v>3955</v>
      </c>
      <c r="G912" s="164"/>
      <c r="H912" s="167"/>
      <c r="I912" s="167"/>
      <c r="J912" s="167"/>
      <c r="K912" s="169"/>
      <c r="L912" s="129"/>
      <c r="M912" s="129"/>
      <c r="N912" s="129"/>
      <c r="O912" s="129"/>
      <c r="P912" s="146"/>
      <c r="Q912" s="170"/>
      <c r="R912" s="171"/>
      <c r="S912" s="172"/>
    </row>
    <row r="913" spans="1:19" ht="42.75">
      <c r="A913" s="164" t="s">
        <v>776</v>
      </c>
      <c r="B913" s="165" t="s">
        <v>1155</v>
      </c>
      <c r="C913" s="165" t="s">
        <v>4472</v>
      </c>
      <c r="D913" s="164">
        <v>818</v>
      </c>
      <c r="E913" s="164">
        <v>911</v>
      </c>
      <c r="F913" s="164" t="s">
        <v>3955</v>
      </c>
      <c r="G913" s="164"/>
      <c r="H913" s="167"/>
      <c r="I913" s="167"/>
      <c r="J913" s="167"/>
      <c r="K913" s="169"/>
      <c r="L913" s="129"/>
      <c r="M913" s="129"/>
      <c r="N913" s="129"/>
      <c r="O913" s="129"/>
      <c r="P913" s="146"/>
      <c r="Q913" s="170"/>
      <c r="R913" s="171"/>
      <c r="S913" s="172"/>
    </row>
    <row r="914" spans="1:19" ht="42.75">
      <c r="A914" s="164" t="s">
        <v>776</v>
      </c>
      <c r="B914" s="165" t="s">
        <v>1155</v>
      </c>
      <c r="C914" s="165" t="s">
        <v>4473</v>
      </c>
      <c r="D914" s="164">
        <v>1459</v>
      </c>
      <c r="E914" s="164">
        <v>1492</v>
      </c>
      <c r="F914" s="164" t="s">
        <v>3955</v>
      </c>
      <c r="G914" s="164"/>
      <c r="H914" s="167"/>
      <c r="I914" s="167"/>
      <c r="J914" s="167"/>
      <c r="K914" s="169"/>
      <c r="L914" s="129"/>
      <c r="M914" s="129"/>
      <c r="N914" s="129"/>
      <c r="O914" s="129"/>
      <c r="P914" s="146"/>
      <c r="Q914" s="170"/>
      <c r="R914" s="171"/>
      <c r="S914" s="172"/>
    </row>
    <row r="915" spans="1:19" ht="42.75">
      <c r="A915" s="164" t="s">
        <v>776</v>
      </c>
      <c r="B915" s="165" t="s">
        <v>1155</v>
      </c>
      <c r="C915" s="165" t="s">
        <v>4474</v>
      </c>
      <c r="D915" s="164">
        <v>1815</v>
      </c>
      <c r="E915" s="164">
        <v>1840</v>
      </c>
      <c r="F915" s="164" t="s">
        <v>3955</v>
      </c>
      <c r="G915" s="164"/>
      <c r="H915" s="167"/>
      <c r="I915" s="167"/>
      <c r="J915" s="167"/>
      <c r="K915" s="169"/>
      <c r="L915" s="129"/>
      <c r="M915" s="129"/>
      <c r="N915" s="129"/>
      <c r="O915" s="129"/>
      <c r="P915" s="146"/>
      <c r="Q915" s="170"/>
      <c r="R915" s="171"/>
      <c r="S915" s="172"/>
    </row>
    <row r="916" spans="1:19" ht="42.75">
      <c r="A916" s="164" t="s">
        <v>776</v>
      </c>
      <c r="B916" s="165" t="s">
        <v>1155</v>
      </c>
      <c r="C916" s="165" t="s">
        <v>1056</v>
      </c>
      <c r="D916" s="164">
        <v>1636</v>
      </c>
      <c r="E916" s="164">
        <v>1640</v>
      </c>
      <c r="F916" s="164" t="s">
        <v>3955</v>
      </c>
      <c r="G916" s="164"/>
      <c r="H916" s="167"/>
      <c r="I916" s="167"/>
      <c r="J916" s="167"/>
      <c r="K916" s="169"/>
      <c r="L916" s="129"/>
      <c r="M916" s="129"/>
      <c r="N916" s="129"/>
      <c r="O916" s="129"/>
      <c r="P916" s="146"/>
      <c r="Q916" s="170"/>
      <c r="R916" s="171"/>
      <c r="S916" s="172"/>
    </row>
    <row r="917" spans="1:19" ht="42.75">
      <c r="A917" s="164" t="s">
        <v>776</v>
      </c>
      <c r="B917" s="165" t="s">
        <v>1155</v>
      </c>
      <c r="C917" s="165" t="s">
        <v>3763</v>
      </c>
      <c r="D917" s="164">
        <v>3488</v>
      </c>
      <c r="E917" s="164">
        <v>3600</v>
      </c>
      <c r="F917" s="164" t="s">
        <v>3955</v>
      </c>
      <c r="G917" s="164"/>
      <c r="H917" s="167"/>
      <c r="I917" s="167"/>
      <c r="J917" s="167"/>
      <c r="K917" s="169"/>
      <c r="L917" s="129"/>
      <c r="M917" s="129"/>
      <c r="N917" s="129"/>
      <c r="O917" s="129"/>
      <c r="P917" s="146"/>
      <c r="Q917" s="170"/>
      <c r="R917" s="171"/>
      <c r="S917" s="172"/>
    </row>
    <row r="918" spans="1:19" ht="42.75">
      <c r="A918" s="216" t="s">
        <v>776</v>
      </c>
      <c r="B918" s="165" t="s">
        <v>1155</v>
      </c>
      <c r="C918" s="165" t="s">
        <v>4439</v>
      </c>
      <c r="D918" s="164">
        <v>1071</v>
      </c>
      <c r="E918" s="164">
        <v>1259</v>
      </c>
      <c r="F918" s="164" t="s">
        <v>3955</v>
      </c>
      <c r="G918" s="164"/>
      <c r="H918" s="167"/>
      <c r="I918" s="167"/>
      <c r="J918" s="167"/>
      <c r="K918" s="169"/>
      <c r="L918" s="129"/>
      <c r="M918" s="129"/>
      <c r="N918" s="129"/>
      <c r="O918" s="129"/>
      <c r="P918" s="146"/>
      <c r="Q918" s="170"/>
      <c r="R918" s="171"/>
      <c r="S918" s="172"/>
    </row>
    <row r="919" spans="1:19" ht="42.75">
      <c r="A919" s="164" t="s">
        <v>776</v>
      </c>
      <c r="B919" s="165" t="s">
        <v>1155</v>
      </c>
      <c r="C919" s="165" t="s">
        <v>4475</v>
      </c>
      <c r="D919" s="164">
        <v>2058</v>
      </c>
      <c r="E919" s="164">
        <v>2442</v>
      </c>
      <c r="F919" s="164" t="s">
        <v>3955</v>
      </c>
      <c r="G919" s="164"/>
      <c r="H919" s="167"/>
      <c r="I919" s="167"/>
      <c r="J919" s="167"/>
      <c r="K919" s="169"/>
      <c r="L919" s="129"/>
      <c r="M919" s="129"/>
      <c r="N919" s="129"/>
      <c r="O919" s="129"/>
      <c r="P919" s="146"/>
      <c r="Q919" s="170"/>
      <c r="R919" s="171"/>
      <c r="S919" s="172"/>
    </row>
    <row r="920" spans="1:19" ht="42.75">
      <c r="A920" s="164" t="s">
        <v>776</v>
      </c>
      <c r="B920" s="165" t="s">
        <v>1155</v>
      </c>
      <c r="C920" s="165" t="s">
        <v>4476</v>
      </c>
      <c r="D920" s="164">
        <v>4009</v>
      </c>
      <c r="E920" s="164">
        <v>4480</v>
      </c>
      <c r="F920" s="164" t="s">
        <v>3404</v>
      </c>
      <c r="G920" s="164">
        <v>2024</v>
      </c>
      <c r="H920" s="175">
        <v>45447</v>
      </c>
      <c r="I920" s="175">
        <v>45453</v>
      </c>
      <c r="J920" s="168" t="s">
        <v>7128</v>
      </c>
      <c r="K920" s="174">
        <v>45462</v>
      </c>
      <c r="L920" s="129" t="s">
        <v>3689</v>
      </c>
      <c r="M920" s="129"/>
      <c r="N920" s="129"/>
      <c r="O920" s="129" t="s">
        <v>3406</v>
      </c>
      <c r="P920" s="146"/>
      <c r="Q920" s="170">
        <v>45464</v>
      </c>
      <c r="R920" s="171"/>
      <c r="S920" s="172"/>
    </row>
    <row r="921" spans="1:19" ht="42.75">
      <c r="A921" s="164" t="s">
        <v>776</v>
      </c>
      <c r="B921" s="165" t="s">
        <v>1155</v>
      </c>
      <c r="C921" s="165" t="s">
        <v>4126</v>
      </c>
      <c r="D921" s="164">
        <v>1486</v>
      </c>
      <c r="E921" s="164">
        <v>1745</v>
      </c>
      <c r="F921" s="164" t="s">
        <v>3955</v>
      </c>
      <c r="G921" s="164"/>
      <c r="H921" s="167"/>
      <c r="I921" s="167"/>
      <c r="J921" s="167"/>
      <c r="K921" s="169"/>
      <c r="L921" s="129"/>
      <c r="M921" s="129"/>
      <c r="N921" s="129"/>
      <c r="O921" s="129"/>
      <c r="P921" s="146"/>
      <c r="Q921" s="170"/>
      <c r="R921" s="171"/>
      <c r="S921" s="172"/>
    </row>
    <row r="922" spans="1:19" ht="42.75">
      <c r="A922" s="216" t="s">
        <v>776</v>
      </c>
      <c r="B922" s="165" t="s">
        <v>1155</v>
      </c>
      <c r="C922" s="165" t="s">
        <v>3974</v>
      </c>
      <c r="D922" s="164">
        <v>8233</v>
      </c>
      <c r="E922" s="164">
        <v>9674</v>
      </c>
      <c r="F922" s="164" t="s">
        <v>3955</v>
      </c>
      <c r="G922" s="164"/>
      <c r="H922" s="167"/>
      <c r="I922" s="167"/>
      <c r="J922" s="167"/>
      <c r="K922" s="169"/>
      <c r="L922" s="129"/>
      <c r="M922" s="129"/>
      <c r="N922" s="129"/>
      <c r="O922" s="129"/>
      <c r="P922" s="146"/>
      <c r="Q922" s="170"/>
      <c r="R922" s="171"/>
      <c r="S922" s="172"/>
    </row>
    <row r="923" spans="1:19" ht="42.75">
      <c r="A923" s="164" t="s">
        <v>776</v>
      </c>
      <c r="B923" s="165" t="s">
        <v>1155</v>
      </c>
      <c r="C923" s="165" t="s">
        <v>4478</v>
      </c>
      <c r="D923" s="164">
        <v>3659</v>
      </c>
      <c r="E923" s="164">
        <v>4152</v>
      </c>
      <c r="F923" s="164" t="s">
        <v>3955</v>
      </c>
      <c r="G923" s="164"/>
      <c r="H923" s="167"/>
      <c r="I923" s="167"/>
      <c r="J923" s="167"/>
      <c r="K923" s="169"/>
      <c r="L923" s="129"/>
      <c r="M923" s="129"/>
      <c r="N923" s="129"/>
      <c r="O923" s="129"/>
      <c r="P923" s="146"/>
      <c r="Q923" s="170"/>
      <c r="R923" s="171"/>
      <c r="S923" s="172"/>
    </row>
    <row r="924" spans="1:19" ht="42.75">
      <c r="A924" s="164" t="s">
        <v>776</v>
      </c>
      <c r="B924" s="165" t="s">
        <v>1155</v>
      </c>
      <c r="C924" s="165" t="s">
        <v>4479</v>
      </c>
      <c r="D924" s="164">
        <v>7810</v>
      </c>
      <c r="E924" s="164">
        <v>7719</v>
      </c>
      <c r="F924" s="164" t="s">
        <v>3404</v>
      </c>
      <c r="G924" s="164">
        <v>2024</v>
      </c>
      <c r="H924" s="175">
        <v>45447</v>
      </c>
      <c r="I924" s="175">
        <v>45453</v>
      </c>
      <c r="J924" s="168" t="s">
        <v>7129</v>
      </c>
      <c r="K924" s="174">
        <v>45462</v>
      </c>
      <c r="L924" s="129" t="s">
        <v>3689</v>
      </c>
      <c r="M924" s="129"/>
      <c r="N924" s="129"/>
      <c r="O924" s="129" t="s">
        <v>3406</v>
      </c>
      <c r="P924" s="146"/>
      <c r="Q924" s="170">
        <v>45462</v>
      </c>
      <c r="R924" s="171"/>
      <c r="S924" s="172"/>
    </row>
    <row r="925" spans="1:19" ht="42.75">
      <c r="A925" s="164" t="s">
        <v>776</v>
      </c>
      <c r="B925" s="165" t="s">
        <v>1155</v>
      </c>
      <c r="C925" s="165" t="s">
        <v>4480</v>
      </c>
      <c r="D925" s="164">
        <v>2381</v>
      </c>
      <c r="E925" s="164">
        <v>2579</v>
      </c>
      <c r="F925" s="164" t="s">
        <v>3955</v>
      </c>
      <c r="G925" s="164"/>
      <c r="H925" s="167"/>
      <c r="I925" s="167"/>
      <c r="J925" s="167"/>
      <c r="K925" s="169"/>
      <c r="L925" s="129"/>
      <c r="M925" s="129"/>
      <c r="N925" s="129"/>
      <c r="O925" s="129"/>
      <c r="P925" s="146"/>
      <c r="Q925" s="170"/>
      <c r="R925" s="171"/>
      <c r="S925" s="172"/>
    </row>
    <row r="926" spans="1:19" ht="42.75">
      <c r="A926" s="164" t="s">
        <v>776</v>
      </c>
      <c r="B926" s="165" t="s">
        <v>1155</v>
      </c>
      <c r="C926" s="165" t="s">
        <v>4481</v>
      </c>
      <c r="D926" s="164">
        <v>2653</v>
      </c>
      <c r="E926" s="164">
        <v>3711</v>
      </c>
      <c r="F926" s="164" t="s">
        <v>3955</v>
      </c>
      <c r="G926" s="164"/>
      <c r="H926" s="167"/>
      <c r="I926" s="167"/>
      <c r="J926" s="167"/>
      <c r="K926" s="169"/>
      <c r="L926" s="129"/>
      <c r="M926" s="129"/>
      <c r="N926" s="129"/>
      <c r="O926" s="129"/>
      <c r="P926" s="146"/>
      <c r="Q926" s="170"/>
      <c r="R926" s="171"/>
      <c r="S926" s="172"/>
    </row>
    <row r="927" spans="1:19" ht="42.75">
      <c r="A927" s="164" t="s">
        <v>776</v>
      </c>
      <c r="B927" s="165" t="s">
        <v>1155</v>
      </c>
      <c r="C927" s="165" t="s">
        <v>4477</v>
      </c>
      <c r="D927" s="164">
        <v>822</v>
      </c>
      <c r="E927" s="164">
        <v>926</v>
      </c>
      <c r="F927" s="164" t="s">
        <v>3955</v>
      </c>
      <c r="G927" s="164"/>
      <c r="H927" s="167"/>
      <c r="I927" s="167"/>
      <c r="J927" s="167"/>
      <c r="K927" s="169"/>
      <c r="L927" s="129"/>
      <c r="M927" s="129"/>
      <c r="N927" s="129"/>
      <c r="O927" s="129"/>
      <c r="P927" s="146"/>
      <c r="Q927" s="170"/>
      <c r="R927" s="171"/>
      <c r="S927" s="172"/>
    </row>
    <row r="928" spans="1:19" ht="42.75">
      <c r="A928" s="216" t="s">
        <v>776</v>
      </c>
      <c r="B928" s="165" t="s">
        <v>1160</v>
      </c>
      <c r="C928" s="165" t="s">
        <v>4140</v>
      </c>
      <c r="D928" s="164">
        <v>8912</v>
      </c>
      <c r="E928" s="164">
        <v>7839</v>
      </c>
      <c r="F928" s="164" t="s">
        <v>3955</v>
      </c>
      <c r="G928" s="164"/>
      <c r="H928" s="167"/>
      <c r="I928" s="167"/>
      <c r="J928" s="167"/>
      <c r="K928" s="169"/>
      <c r="L928" s="129"/>
      <c r="M928" s="129"/>
      <c r="N928" s="129"/>
      <c r="O928" s="129"/>
      <c r="P928" s="146"/>
      <c r="Q928" s="170"/>
      <c r="R928" s="171"/>
      <c r="S928" s="172"/>
    </row>
    <row r="929" spans="1:19" ht="42.75">
      <c r="A929" s="164" t="s">
        <v>776</v>
      </c>
      <c r="B929" s="165" t="s">
        <v>1160</v>
      </c>
      <c r="C929" s="165" t="s">
        <v>4482</v>
      </c>
      <c r="D929" s="164">
        <v>7900</v>
      </c>
      <c r="E929" s="164">
        <v>9732</v>
      </c>
      <c r="F929" s="164" t="s">
        <v>3404</v>
      </c>
      <c r="G929" s="164">
        <v>2024</v>
      </c>
      <c r="H929" s="175">
        <v>45545</v>
      </c>
      <c r="I929" s="175">
        <v>45553</v>
      </c>
      <c r="J929" s="168" t="s">
        <v>7130</v>
      </c>
      <c r="K929" s="174">
        <v>45553</v>
      </c>
      <c r="L929" s="129" t="s">
        <v>3127</v>
      </c>
      <c r="M929" s="129" t="s">
        <v>1078</v>
      </c>
      <c r="N929" s="129" t="s">
        <v>50</v>
      </c>
      <c r="O929" s="129" t="s">
        <v>3406</v>
      </c>
      <c r="P929" s="146"/>
      <c r="Q929" s="170">
        <v>45554</v>
      </c>
      <c r="R929" s="171" t="s">
        <v>7058</v>
      </c>
      <c r="S929" s="172"/>
    </row>
    <row r="930" spans="1:19" ht="42.75">
      <c r="A930" s="164" t="s">
        <v>776</v>
      </c>
      <c r="B930" s="165" t="s">
        <v>1160</v>
      </c>
      <c r="C930" s="165" t="s">
        <v>3508</v>
      </c>
      <c r="D930" s="164">
        <v>2436</v>
      </c>
      <c r="E930" s="164">
        <v>2821</v>
      </c>
      <c r="F930" s="164" t="s">
        <v>3955</v>
      </c>
      <c r="G930" s="164"/>
      <c r="H930" s="167"/>
      <c r="I930" s="167"/>
      <c r="J930" s="167"/>
      <c r="K930" s="169"/>
      <c r="L930" s="129"/>
      <c r="M930" s="129"/>
      <c r="N930" s="129"/>
      <c r="O930" s="129"/>
      <c r="P930" s="146"/>
      <c r="Q930" s="170"/>
      <c r="R930" s="171"/>
      <c r="S930" s="172"/>
    </row>
    <row r="931" spans="1:19" ht="42.75">
      <c r="A931" s="164" t="s">
        <v>776</v>
      </c>
      <c r="B931" s="165" t="s">
        <v>1160</v>
      </c>
      <c r="C931" s="165" t="s">
        <v>4484</v>
      </c>
      <c r="D931" s="164">
        <v>9225</v>
      </c>
      <c r="E931" s="164">
        <v>10015</v>
      </c>
      <c r="F931" s="164" t="s">
        <v>3404</v>
      </c>
      <c r="G931" s="164">
        <v>2024</v>
      </c>
      <c r="H931" s="175">
        <v>45545</v>
      </c>
      <c r="I931" s="175">
        <v>45553</v>
      </c>
      <c r="J931" s="168" t="s">
        <v>7131</v>
      </c>
      <c r="K931" s="174">
        <v>45553</v>
      </c>
      <c r="L931" s="129" t="s">
        <v>3127</v>
      </c>
      <c r="M931" s="129" t="s">
        <v>4</v>
      </c>
      <c r="N931" s="129" t="s">
        <v>50</v>
      </c>
      <c r="O931" s="129" t="s">
        <v>3406</v>
      </c>
      <c r="P931" s="146"/>
      <c r="Q931" s="170">
        <v>45554</v>
      </c>
      <c r="R931" s="171" t="s">
        <v>7058</v>
      </c>
      <c r="S931" s="172"/>
    </row>
    <row r="932" spans="1:19" ht="42.75">
      <c r="A932" s="164" t="s">
        <v>776</v>
      </c>
      <c r="B932" s="165" t="s">
        <v>1160</v>
      </c>
      <c r="C932" s="165" t="s">
        <v>4485</v>
      </c>
      <c r="D932" s="164">
        <v>5388</v>
      </c>
      <c r="E932" s="164">
        <v>5019</v>
      </c>
      <c r="F932" s="164" t="s">
        <v>3955</v>
      </c>
      <c r="G932" s="164"/>
      <c r="H932" s="167"/>
      <c r="I932" s="167"/>
      <c r="J932" s="167"/>
      <c r="K932" s="169"/>
      <c r="L932" s="129"/>
      <c r="M932" s="129"/>
      <c r="N932" s="129"/>
      <c r="O932" s="129"/>
      <c r="P932" s="146"/>
      <c r="Q932" s="170"/>
      <c r="R932" s="171"/>
      <c r="S932" s="172"/>
    </row>
    <row r="933" spans="1:19" ht="42.75">
      <c r="A933" s="164" t="s">
        <v>776</v>
      </c>
      <c r="B933" s="165" t="s">
        <v>1160</v>
      </c>
      <c r="C933" s="165" t="s">
        <v>4099</v>
      </c>
      <c r="D933" s="164">
        <v>13334</v>
      </c>
      <c r="E933" s="164">
        <v>15938</v>
      </c>
      <c r="F933" s="164" t="s">
        <v>3955</v>
      </c>
      <c r="G933" s="164"/>
      <c r="H933" s="167"/>
      <c r="I933" s="167"/>
      <c r="J933" s="167"/>
      <c r="K933" s="169"/>
      <c r="L933" s="129"/>
      <c r="M933" s="129"/>
      <c r="N933" s="129"/>
      <c r="O933" s="129"/>
      <c r="P933" s="146"/>
      <c r="Q933" s="170"/>
      <c r="R933" s="171"/>
      <c r="S933" s="172"/>
    </row>
    <row r="934" spans="1:19" ht="42.75">
      <c r="A934" s="164" t="s">
        <v>776</v>
      </c>
      <c r="B934" s="165" t="s">
        <v>1160</v>
      </c>
      <c r="C934" s="165" t="s">
        <v>4487</v>
      </c>
      <c r="D934" s="164">
        <v>28947</v>
      </c>
      <c r="E934" s="164">
        <v>32674</v>
      </c>
      <c r="F934" s="164" t="s">
        <v>3955</v>
      </c>
      <c r="G934" s="164"/>
      <c r="H934" s="167"/>
      <c r="I934" s="167"/>
      <c r="J934" s="167"/>
      <c r="K934" s="169"/>
      <c r="L934" s="129"/>
      <c r="M934" s="129"/>
      <c r="N934" s="129"/>
      <c r="O934" s="129"/>
      <c r="P934" s="146"/>
      <c r="Q934" s="170"/>
      <c r="R934" s="171"/>
      <c r="S934" s="172"/>
    </row>
    <row r="935" spans="1:19" ht="42.75">
      <c r="A935" s="164" t="s">
        <v>776</v>
      </c>
      <c r="B935" s="165" t="s">
        <v>1160</v>
      </c>
      <c r="C935" s="165" t="s">
        <v>4489</v>
      </c>
      <c r="D935" s="164">
        <v>14365</v>
      </c>
      <c r="E935" s="164">
        <v>14979</v>
      </c>
      <c r="F935" s="164" t="s">
        <v>3404</v>
      </c>
      <c r="G935" s="164">
        <v>2024</v>
      </c>
      <c r="H935" s="175">
        <v>45545</v>
      </c>
      <c r="I935" s="175">
        <v>45553</v>
      </c>
      <c r="J935" s="168" t="s">
        <v>7132</v>
      </c>
      <c r="K935" s="174">
        <v>45463</v>
      </c>
      <c r="L935" s="129" t="s">
        <v>3127</v>
      </c>
      <c r="M935" s="129"/>
      <c r="N935" s="129"/>
      <c r="O935" s="129" t="s">
        <v>3406</v>
      </c>
      <c r="P935" s="146"/>
      <c r="Q935" s="170">
        <v>45464</v>
      </c>
      <c r="R935" s="171"/>
      <c r="S935" s="172"/>
    </row>
    <row r="936" spans="1:19" ht="42.75">
      <c r="A936" s="216" t="s">
        <v>776</v>
      </c>
      <c r="B936" s="165" t="s">
        <v>1160</v>
      </c>
      <c r="C936" s="165" t="s">
        <v>4490</v>
      </c>
      <c r="D936" s="164">
        <v>14749</v>
      </c>
      <c r="E936" s="164">
        <v>16909</v>
      </c>
      <c r="F936" s="164" t="s">
        <v>3404</v>
      </c>
      <c r="G936" s="164">
        <v>2024</v>
      </c>
      <c r="H936" s="175">
        <v>45545</v>
      </c>
      <c r="I936" s="175">
        <v>45553</v>
      </c>
      <c r="J936" s="168" t="s">
        <v>7133</v>
      </c>
      <c r="K936" s="174">
        <v>45553</v>
      </c>
      <c r="L936" s="129" t="s">
        <v>3127</v>
      </c>
      <c r="M936" s="129" t="s">
        <v>1078</v>
      </c>
      <c r="N936" s="129" t="s">
        <v>50</v>
      </c>
      <c r="O936" s="129" t="s">
        <v>3406</v>
      </c>
      <c r="P936" s="146"/>
      <c r="Q936" s="170">
        <v>45554</v>
      </c>
      <c r="R936" s="171" t="s">
        <v>7058</v>
      </c>
      <c r="S936" s="172"/>
    </row>
    <row r="937" spans="1:19" ht="42.75">
      <c r="A937" s="164" t="s">
        <v>776</v>
      </c>
      <c r="B937" s="165" t="s">
        <v>1160</v>
      </c>
      <c r="C937" s="165" t="s">
        <v>4491</v>
      </c>
      <c r="D937" s="164">
        <v>2337</v>
      </c>
      <c r="E937" s="164">
        <v>2319</v>
      </c>
      <c r="F937" s="164" t="s">
        <v>3955</v>
      </c>
      <c r="G937" s="164"/>
      <c r="H937" s="167"/>
      <c r="I937" s="167"/>
      <c r="J937" s="167"/>
      <c r="K937" s="169"/>
      <c r="L937" s="129"/>
      <c r="M937" s="129"/>
      <c r="N937" s="129"/>
      <c r="O937" s="129"/>
      <c r="P937" s="146"/>
      <c r="Q937" s="170"/>
      <c r="R937" s="171"/>
      <c r="S937" s="172"/>
    </row>
    <row r="938" spans="1:19" ht="42.75">
      <c r="A938" s="164" t="s">
        <v>776</v>
      </c>
      <c r="B938" s="165" t="s">
        <v>1160</v>
      </c>
      <c r="C938" s="165" t="s">
        <v>4492</v>
      </c>
      <c r="D938" s="164">
        <v>9373</v>
      </c>
      <c r="E938" s="164">
        <v>10381</v>
      </c>
      <c r="F938" s="164" t="s">
        <v>3955</v>
      </c>
      <c r="G938" s="164"/>
      <c r="H938" s="167"/>
      <c r="I938" s="167"/>
      <c r="J938" s="167"/>
      <c r="K938" s="169"/>
      <c r="L938" s="129"/>
      <c r="M938" s="129"/>
      <c r="N938" s="129"/>
      <c r="O938" s="129"/>
      <c r="P938" s="146"/>
      <c r="Q938" s="170"/>
      <c r="R938" s="171"/>
      <c r="S938" s="172"/>
    </row>
    <row r="939" spans="1:19" ht="42.75">
      <c r="A939" s="164" t="s">
        <v>776</v>
      </c>
      <c r="B939" s="165" t="s">
        <v>1160</v>
      </c>
      <c r="C939" s="165" t="s">
        <v>4493</v>
      </c>
      <c r="D939" s="164">
        <v>4361</v>
      </c>
      <c r="E939" s="164">
        <v>5140</v>
      </c>
      <c r="F939" s="164" t="s">
        <v>3404</v>
      </c>
      <c r="G939" s="164">
        <v>2024</v>
      </c>
      <c r="H939" s="175">
        <v>45482</v>
      </c>
      <c r="I939" s="175">
        <v>45489</v>
      </c>
      <c r="J939" s="168" t="s">
        <v>7134</v>
      </c>
      <c r="K939" s="174">
        <v>45491</v>
      </c>
      <c r="L939" s="129" t="s">
        <v>3125</v>
      </c>
      <c r="M939" s="129" t="s">
        <v>4</v>
      </c>
      <c r="N939" s="129" t="s">
        <v>50</v>
      </c>
      <c r="O939" s="129" t="s">
        <v>3406</v>
      </c>
      <c r="P939" s="146"/>
      <c r="Q939" s="130">
        <v>45492</v>
      </c>
      <c r="R939" s="171"/>
      <c r="S939" s="172"/>
    </row>
    <row r="940" spans="1:19" ht="42.75">
      <c r="A940" s="164" t="s">
        <v>776</v>
      </c>
      <c r="B940" s="165" t="s">
        <v>1160</v>
      </c>
      <c r="C940" s="165" t="s">
        <v>4494</v>
      </c>
      <c r="D940" s="164">
        <v>2398</v>
      </c>
      <c r="E940" s="164">
        <v>2779</v>
      </c>
      <c r="F940" s="164" t="s">
        <v>3955</v>
      </c>
      <c r="G940" s="164"/>
      <c r="H940" s="167"/>
      <c r="I940" s="167"/>
      <c r="J940" s="167"/>
      <c r="K940" s="169"/>
      <c r="L940" s="129"/>
      <c r="M940" s="129"/>
      <c r="N940" s="129"/>
      <c r="O940" s="129"/>
      <c r="P940" s="146"/>
      <c r="Q940" s="170"/>
      <c r="R940" s="171"/>
      <c r="S940" s="172"/>
    </row>
    <row r="941" spans="1:19" ht="42.75">
      <c r="A941" s="164" t="s">
        <v>776</v>
      </c>
      <c r="B941" s="165" t="s">
        <v>1160</v>
      </c>
      <c r="C941" s="165" t="s">
        <v>1164</v>
      </c>
      <c r="D941" s="164">
        <v>8448</v>
      </c>
      <c r="E941" s="164">
        <v>9419</v>
      </c>
      <c r="F941" s="164" t="s">
        <v>3955</v>
      </c>
      <c r="G941" s="164"/>
      <c r="H941" s="167"/>
      <c r="I941" s="167"/>
      <c r="J941" s="167"/>
      <c r="K941" s="169"/>
      <c r="L941" s="129"/>
      <c r="M941" s="129"/>
      <c r="N941" s="129"/>
      <c r="O941" s="129"/>
      <c r="P941" s="146"/>
      <c r="Q941" s="170"/>
      <c r="R941" s="171"/>
      <c r="S941" s="172"/>
    </row>
    <row r="942" spans="1:19" ht="42.75">
      <c r="A942" s="216" t="s">
        <v>776</v>
      </c>
      <c r="B942" s="165" t="s">
        <v>1160</v>
      </c>
      <c r="C942" s="165" t="s">
        <v>1056</v>
      </c>
      <c r="D942" s="164">
        <v>12876</v>
      </c>
      <c r="E942" s="164">
        <v>12871</v>
      </c>
      <c r="F942" s="164" t="s">
        <v>3955</v>
      </c>
      <c r="G942" s="164"/>
      <c r="H942" s="167"/>
      <c r="I942" s="167"/>
      <c r="J942" s="167"/>
      <c r="K942" s="169"/>
      <c r="L942" s="129"/>
      <c r="M942" s="129"/>
      <c r="N942" s="129"/>
      <c r="O942" s="129"/>
      <c r="P942" s="146"/>
      <c r="Q942" s="170"/>
      <c r="R942" s="171"/>
      <c r="S942" s="172"/>
    </row>
    <row r="943" spans="1:19" ht="42.75">
      <c r="A943" s="164" t="s">
        <v>776</v>
      </c>
      <c r="B943" s="165" t="s">
        <v>1160</v>
      </c>
      <c r="C943" s="165" t="s">
        <v>4496</v>
      </c>
      <c r="D943" s="164">
        <v>36893</v>
      </c>
      <c r="E943" s="164">
        <v>41218</v>
      </c>
      <c r="F943" s="164" t="s">
        <v>3955</v>
      </c>
      <c r="G943" s="164"/>
      <c r="H943" s="167"/>
      <c r="I943" s="167"/>
      <c r="J943" s="167"/>
      <c r="K943" s="169"/>
      <c r="L943" s="129"/>
      <c r="M943" s="129"/>
      <c r="N943" s="129"/>
      <c r="O943" s="129"/>
      <c r="P943" s="146"/>
      <c r="Q943" s="170"/>
      <c r="R943" s="171"/>
      <c r="S943" s="172"/>
    </row>
    <row r="944" spans="1:19" ht="42.75">
      <c r="A944" s="164" t="s">
        <v>776</v>
      </c>
      <c r="B944" s="165" t="s">
        <v>1160</v>
      </c>
      <c r="C944" s="165" t="s">
        <v>4127</v>
      </c>
      <c r="D944" s="164">
        <v>8465</v>
      </c>
      <c r="E944" s="164">
        <v>9630</v>
      </c>
      <c r="F944" s="164" t="s">
        <v>3404</v>
      </c>
      <c r="G944" s="164">
        <v>2024</v>
      </c>
      <c r="H944" s="175">
        <v>45482</v>
      </c>
      <c r="I944" s="175">
        <v>45489</v>
      </c>
      <c r="J944" s="168" t="s">
        <v>7135</v>
      </c>
      <c r="K944" s="174">
        <v>45491</v>
      </c>
      <c r="L944" s="129" t="s">
        <v>3125</v>
      </c>
      <c r="M944" s="129" t="s">
        <v>4</v>
      </c>
      <c r="N944" s="129" t="s">
        <v>50</v>
      </c>
      <c r="O944" s="129" t="s">
        <v>3406</v>
      </c>
      <c r="P944" s="146"/>
      <c r="Q944" s="130">
        <v>45492</v>
      </c>
      <c r="R944" s="171"/>
      <c r="S944" s="172"/>
    </row>
    <row r="945" spans="1:19" ht="42.75">
      <c r="A945" s="164" t="s">
        <v>776</v>
      </c>
      <c r="B945" s="165" t="s">
        <v>1160</v>
      </c>
      <c r="C945" s="165" t="s">
        <v>4497</v>
      </c>
      <c r="D945" s="164">
        <v>11282</v>
      </c>
      <c r="E945" s="164">
        <v>13985</v>
      </c>
      <c r="F945" s="164" t="s">
        <v>3955</v>
      </c>
      <c r="G945" s="164"/>
      <c r="H945" s="167"/>
      <c r="I945" s="167"/>
      <c r="J945" s="167"/>
      <c r="K945" s="169"/>
      <c r="L945" s="129"/>
      <c r="M945" s="129"/>
      <c r="N945" s="129"/>
      <c r="O945" s="129"/>
      <c r="P945" s="146"/>
      <c r="Q945" s="170"/>
      <c r="R945" s="171"/>
      <c r="S945" s="172"/>
    </row>
    <row r="946" spans="1:19" ht="42.75">
      <c r="A946" s="164" t="s">
        <v>776</v>
      </c>
      <c r="B946" s="165" t="s">
        <v>1160</v>
      </c>
      <c r="C946" s="165" t="s">
        <v>1166</v>
      </c>
      <c r="D946" s="164">
        <v>16871</v>
      </c>
      <c r="E946" s="164">
        <v>24451</v>
      </c>
      <c r="F946" s="164" t="s">
        <v>3955</v>
      </c>
      <c r="G946" s="164"/>
      <c r="H946" s="167"/>
      <c r="I946" s="167"/>
      <c r="J946" s="167"/>
      <c r="K946" s="169"/>
      <c r="L946" s="129"/>
      <c r="M946" s="129"/>
      <c r="N946" s="129"/>
      <c r="O946" s="129"/>
      <c r="P946" s="146"/>
      <c r="Q946" s="170"/>
      <c r="R946" s="171"/>
      <c r="S946" s="172"/>
    </row>
    <row r="947" spans="1:19" ht="42.75">
      <c r="A947" s="216" t="s">
        <v>776</v>
      </c>
      <c r="B947" s="165" t="s">
        <v>1160</v>
      </c>
      <c r="C947" s="165" t="s">
        <v>4499</v>
      </c>
      <c r="D947" s="164">
        <v>12115</v>
      </c>
      <c r="E947" s="164">
        <v>12419</v>
      </c>
      <c r="F947" s="164" t="s">
        <v>3955</v>
      </c>
      <c r="G947" s="164"/>
      <c r="H947" s="167"/>
      <c r="I947" s="167"/>
      <c r="J947" s="167"/>
      <c r="K947" s="169"/>
      <c r="L947" s="129"/>
      <c r="M947" s="129"/>
      <c r="N947" s="129"/>
      <c r="O947" s="129"/>
      <c r="P947" s="146"/>
      <c r="Q947" s="170"/>
      <c r="R947" s="171"/>
      <c r="S947" s="172"/>
    </row>
    <row r="948" spans="1:19" ht="42.75">
      <c r="A948" s="216" t="s">
        <v>776</v>
      </c>
      <c r="B948" s="165" t="s">
        <v>1160</v>
      </c>
      <c r="C948" s="165" t="s">
        <v>1899</v>
      </c>
      <c r="D948" s="164">
        <v>9211</v>
      </c>
      <c r="E948" s="164">
        <v>11364</v>
      </c>
      <c r="F948" s="164" t="s">
        <v>3955</v>
      </c>
      <c r="G948" s="164"/>
      <c r="H948" s="167"/>
      <c r="I948" s="167"/>
      <c r="J948" s="167"/>
      <c r="K948" s="169"/>
      <c r="L948" s="129"/>
      <c r="M948" s="129"/>
      <c r="N948" s="129"/>
      <c r="O948" s="129"/>
      <c r="P948" s="146"/>
      <c r="Q948" s="170"/>
      <c r="R948" s="171"/>
      <c r="S948" s="172"/>
    </row>
    <row r="949" spans="1:19" ht="42.75">
      <c r="A949" s="164" t="s">
        <v>776</v>
      </c>
      <c r="B949" s="165" t="s">
        <v>1160</v>
      </c>
      <c r="C949" s="165" t="s">
        <v>4500</v>
      </c>
      <c r="D949" s="164">
        <v>2028</v>
      </c>
      <c r="E949" s="164">
        <v>2102</v>
      </c>
      <c r="F949" s="164" t="s">
        <v>3955</v>
      </c>
      <c r="G949" s="164"/>
      <c r="H949" s="167"/>
      <c r="I949" s="167"/>
      <c r="J949" s="167"/>
      <c r="K949" s="169"/>
      <c r="L949" s="129"/>
      <c r="M949" s="129"/>
      <c r="N949" s="129"/>
      <c r="O949" s="129"/>
      <c r="P949" s="146"/>
      <c r="Q949" s="170"/>
      <c r="R949" s="171"/>
      <c r="S949" s="172"/>
    </row>
    <row r="950" spans="1:19" ht="42.75">
      <c r="A950" s="164" t="s">
        <v>776</v>
      </c>
      <c r="B950" s="165" t="s">
        <v>1160</v>
      </c>
      <c r="C950" s="165" t="s">
        <v>4501</v>
      </c>
      <c r="D950" s="164">
        <v>5716</v>
      </c>
      <c r="E950" s="164">
        <v>5410</v>
      </c>
      <c r="F950" s="164" t="s">
        <v>3955</v>
      </c>
      <c r="G950" s="164"/>
      <c r="H950" s="167"/>
      <c r="I950" s="167"/>
      <c r="J950" s="167"/>
      <c r="K950" s="169"/>
      <c r="L950" s="129"/>
      <c r="M950" s="129"/>
      <c r="N950" s="129"/>
      <c r="O950" s="129"/>
      <c r="P950" s="146"/>
      <c r="Q950" s="170"/>
      <c r="R950" s="171"/>
      <c r="S950" s="172"/>
    </row>
    <row r="951" spans="1:19" ht="42.75">
      <c r="A951" s="164" t="s">
        <v>776</v>
      </c>
      <c r="B951" s="165" t="s">
        <v>1160</v>
      </c>
      <c r="C951" s="165" t="s">
        <v>4502</v>
      </c>
      <c r="D951" s="164">
        <v>8824</v>
      </c>
      <c r="E951" s="164">
        <v>10406</v>
      </c>
      <c r="F951" s="164" t="s">
        <v>3955</v>
      </c>
      <c r="G951" s="164"/>
      <c r="H951" s="167"/>
      <c r="I951" s="167"/>
      <c r="J951" s="167"/>
      <c r="K951" s="169"/>
      <c r="L951" s="129"/>
      <c r="M951" s="129"/>
      <c r="N951" s="129"/>
      <c r="O951" s="129"/>
      <c r="P951" s="146"/>
      <c r="Q951" s="170"/>
      <c r="R951" s="171"/>
      <c r="S951" s="172"/>
    </row>
    <row r="952" spans="1:19" ht="42.75">
      <c r="A952" s="164" t="s">
        <v>776</v>
      </c>
      <c r="B952" s="165" t="s">
        <v>4223</v>
      </c>
      <c r="C952" s="165" t="s">
        <v>3506</v>
      </c>
      <c r="D952" s="164">
        <v>1575</v>
      </c>
      <c r="E952" s="164">
        <v>2050</v>
      </c>
      <c r="F952" s="164" t="s">
        <v>3955</v>
      </c>
      <c r="G952" s="164"/>
      <c r="H952" s="167"/>
      <c r="I952" s="167"/>
      <c r="J952" s="167"/>
      <c r="K952" s="169"/>
      <c r="L952" s="129"/>
      <c r="M952" s="129"/>
      <c r="N952" s="129"/>
      <c r="O952" s="129"/>
      <c r="P952" s="146"/>
      <c r="Q952" s="170"/>
      <c r="R952" s="171"/>
      <c r="S952" s="172"/>
    </row>
    <row r="953" spans="1:19" ht="42.75">
      <c r="A953" s="164" t="s">
        <v>776</v>
      </c>
      <c r="B953" s="165" t="s">
        <v>4223</v>
      </c>
      <c r="C953" s="165" t="s">
        <v>4226</v>
      </c>
      <c r="D953" s="164">
        <v>1745</v>
      </c>
      <c r="E953" s="164">
        <v>2196</v>
      </c>
      <c r="F953" s="164" t="s">
        <v>3955</v>
      </c>
      <c r="G953" s="164"/>
      <c r="H953" s="167"/>
      <c r="I953" s="167"/>
      <c r="J953" s="167"/>
      <c r="K953" s="169"/>
      <c r="L953" s="129"/>
      <c r="M953" s="129"/>
      <c r="N953" s="129"/>
      <c r="O953" s="129"/>
      <c r="P953" s="146"/>
      <c r="Q953" s="170"/>
      <c r="R953" s="171"/>
      <c r="S953" s="172"/>
    </row>
    <row r="954" spans="1:19" ht="42.75">
      <c r="A954" s="164" t="s">
        <v>776</v>
      </c>
      <c r="B954" s="165" t="s">
        <v>4223</v>
      </c>
      <c r="C954" s="165" t="s">
        <v>4225</v>
      </c>
      <c r="D954" s="164">
        <v>1043</v>
      </c>
      <c r="E954" s="164">
        <v>1744</v>
      </c>
      <c r="F954" s="164" t="s">
        <v>3955</v>
      </c>
      <c r="G954" s="164"/>
      <c r="H954" s="167"/>
      <c r="I954" s="167"/>
      <c r="J954" s="167"/>
      <c r="K954" s="169"/>
      <c r="L954" s="129"/>
      <c r="M954" s="129"/>
      <c r="N954" s="129"/>
      <c r="O954" s="129"/>
      <c r="P954" s="146"/>
      <c r="Q954" s="170"/>
      <c r="R954" s="171"/>
      <c r="S954" s="172"/>
    </row>
    <row r="955" spans="1:19" ht="42.75">
      <c r="A955" s="164" t="s">
        <v>776</v>
      </c>
      <c r="B955" s="165" t="s">
        <v>4223</v>
      </c>
      <c r="C955" s="165" t="s">
        <v>1051</v>
      </c>
      <c r="D955" s="164">
        <v>4166</v>
      </c>
      <c r="E955" s="164">
        <v>4611</v>
      </c>
      <c r="F955" s="164" t="s">
        <v>3955</v>
      </c>
      <c r="G955" s="164"/>
      <c r="H955" s="167"/>
      <c r="I955" s="167"/>
      <c r="J955" s="167"/>
      <c r="K955" s="169"/>
      <c r="L955" s="129"/>
      <c r="M955" s="129"/>
      <c r="N955" s="129"/>
      <c r="O955" s="129"/>
      <c r="P955" s="146"/>
      <c r="Q955" s="170"/>
      <c r="R955" s="171"/>
      <c r="S955" s="172"/>
    </row>
    <row r="956" spans="1:19" ht="42.75">
      <c r="A956" s="164" t="s">
        <v>776</v>
      </c>
      <c r="B956" s="165" t="s">
        <v>4223</v>
      </c>
      <c r="C956" s="165" t="s">
        <v>4227</v>
      </c>
      <c r="D956" s="164">
        <v>6909</v>
      </c>
      <c r="E956" s="164">
        <v>8802</v>
      </c>
      <c r="F956" s="164" t="s">
        <v>3955</v>
      </c>
      <c r="G956" s="164"/>
      <c r="H956" s="167"/>
      <c r="I956" s="167"/>
      <c r="J956" s="167"/>
      <c r="K956" s="169"/>
      <c r="L956" s="129"/>
      <c r="M956" s="129"/>
      <c r="N956" s="129"/>
      <c r="O956" s="129"/>
      <c r="P956" s="146"/>
      <c r="Q956" s="170"/>
      <c r="R956" s="171"/>
      <c r="S956" s="172"/>
    </row>
    <row r="957" spans="1:19" ht="42.75">
      <c r="A957" s="164" t="s">
        <v>776</v>
      </c>
      <c r="B957" s="165" t="s">
        <v>4223</v>
      </c>
      <c r="C957" s="165" t="s">
        <v>4228</v>
      </c>
      <c r="D957" s="164">
        <v>2859</v>
      </c>
      <c r="E957" s="164">
        <v>3574</v>
      </c>
      <c r="F957" s="164" t="s">
        <v>3955</v>
      </c>
      <c r="G957" s="164"/>
      <c r="H957" s="167"/>
      <c r="I957" s="167"/>
      <c r="J957" s="167"/>
      <c r="K957" s="169"/>
      <c r="L957" s="129"/>
      <c r="M957" s="129"/>
      <c r="N957" s="129"/>
      <c r="O957" s="129"/>
      <c r="P957" s="146"/>
      <c r="Q957" s="170"/>
      <c r="R957" s="171"/>
      <c r="S957" s="172"/>
    </row>
    <row r="958" spans="1:19" ht="42.75">
      <c r="A958" s="164" t="s">
        <v>776</v>
      </c>
      <c r="B958" s="165" t="s">
        <v>4223</v>
      </c>
      <c r="C958" s="165" t="s">
        <v>4231</v>
      </c>
      <c r="D958" s="164">
        <v>1746</v>
      </c>
      <c r="E958" s="164">
        <v>1869</v>
      </c>
      <c r="F958" s="164" t="s">
        <v>3955</v>
      </c>
      <c r="G958" s="164"/>
      <c r="H958" s="167"/>
      <c r="I958" s="167"/>
      <c r="J958" s="167"/>
      <c r="K958" s="169"/>
      <c r="L958" s="129"/>
      <c r="M958" s="129"/>
      <c r="N958" s="129"/>
      <c r="O958" s="129"/>
      <c r="P958" s="146"/>
      <c r="Q958" s="170"/>
      <c r="R958" s="171"/>
      <c r="S958" s="172"/>
    </row>
    <row r="959" spans="1:19" ht="42.75">
      <c r="A959" s="164" t="s">
        <v>776</v>
      </c>
      <c r="B959" s="165" t="s">
        <v>4223</v>
      </c>
      <c r="C959" s="165" t="s">
        <v>4230</v>
      </c>
      <c r="D959" s="164">
        <v>2620</v>
      </c>
      <c r="E959" s="164">
        <v>3810</v>
      </c>
      <c r="F959" s="164" t="s">
        <v>3955</v>
      </c>
      <c r="G959" s="164"/>
      <c r="H959" s="167"/>
      <c r="I959" s="167"/>
      <c r="J959" s="167"/>
      <c r="K959" s="169"/>
      <c r="L959" s="129"/>
      <c r="M959" s="129"/>
      <c r="N959" s="129"/>
      <c r="O959" s="129"/>
      <c r="P959" s="146"/>
      <c r="Q959" s="170"/>
      <c r="R959" s="171"/>
      <c r="S959" s="172"/>
    </row>
    <row r="960" spans="1:19" ht="42.75">
      <c r="A960" s="164" t="s">
        <v>777</v>
      </c>
      <c r="B960" s="165" t="s">
        <v>1169</v>
      </c>
      <c r="C960" s="165" t="s">
        <v>4505</v>
      </c>
      <c r="D960" s="164">
        <v>2083</v>
      </c>
      <c r="E960" s="164">
        <v>2472</v>
      </c>
      <c r="F960" s="164" t="s">
        <v>3955</v>
      </c>
      <c r="G960" s="164"/>
      <c r="H960" s="167"/>
      <c r="I960" s="167"/>
      <c r="J960" s="167"/>
      <c r="K960" s="169"/>
      <c r="L960" s="129"/>
      <c r="M960" s="129"/>
      <c r="N960" s="129"/>
      <c r="O960" s="129"/>
      <c r="P960" s="146"/>
      <c r="Q960" s="170"/>
      <c r="R960" s="171"/>
      <c r="S960" s="172"/>
    </row>
    <row r="961" spans="1:19" ht="42.75">
      <c r="A961" s="164" t="s">
        <v>777</v>
      </c>
      <c r="B961" s="165" t="s">
        <v>1169</v>
      </c>
      <c r="C961" s="165" t="s">
        <v>4506</v>
      </c>
      <c r="D961" s="164">
        <v>7467</v>
      </c>
      <c r="E961" s="164">
        <v>8355</v>
      </c>
      <c r="F961" s="164" t="s">
        <v>3955</v>
      </c>
      <c r="G961" s="164"/>
      <c r="H961" s="167"/>
      <c r="I961" s="167"/>
      <c r="J961" s="167"/>
      <c r="K961" s="169"/>
      <c r="L961" s="129"/>
      <c r="M961" s="129"/>
      <c r="N961" s="129"/>
      <c r="O961" s="129"/>
      <c r="P961" s="146"/>
      <c r="Q961" s="170"/>
      <c r="R961" s="171"/>
      <c r="S961" s="172"/>
    </row>
    <row r="962" spans="1:19" ht="42.75">
      <c r="A962" s="164" t="s">
        <v>777</v>
      </c>
      <c r="B962" s="165" t="s">
        <v>1169</v>
      </c>
      <c r="C962" s="165" t="s">
        <v>4508</v>
      </c>
      <c r="D962" s="164">
        <v>5156</v>
      </c>
      <c r="E962" s="164">
        <v>5355</v>
      </c>
      <c r="F962" s="164" t="s">
        <v>3955</v>
      </c>
      <c r="G962" s="164"/>
      <c r="H962" s="167"/>
      <c r="I962" s="167"/>
      <c r="J962" s="167"/>
      <c r="K962" s="169"/>
      <c r="L962" s="129"/>
      <c r="M962" s="129"/>
      <c r="N962" s="129"/>
      <c r="O962" s="129"/>
      <c r="P962" s="146"/>
      <c r="Q962" s="170"/>
      <c r="R962" s="171"/>
      <c r="S962" s="172"/>
    </row>
    <row r="963" spans="1:19" ht="42.75">
      <c r="A963" s="164" t="s">
        <v>777</v>
      </c>
      <c r="B963" s="165" t="s">
        <v>1169</v>
      </c>
      <c r="C963" s="165" t="s">
        <v>4510</v>
      </c>
      <c r="D963" s="164">
        <v>1969</v>
      </c>
      <c r="E963" s="164">
        <v>2086</v>
      </c>
      <c r="F963" s="164" t="s">
        <v>3955</v>
      </c>
      <c r="G963" s="164"/>
      <c r="H963" s="167"/>
      <c r="I963" s="167"/>
      <c r="J963" s="167"/>
      <c r="K963" s="169"/>
      <c r="L963" s="129"/>
      <c r="M963" s="129"/>
      <c r="N963" s="129"/>
      <c r="O963" s="129"/>
      <c r="P963" s="146"/>
      <c r="Q963" s="170"/>
      <c r="R963" s="171"/>
      <c r="S963" s="172"/>
    </row>
    <row r="964" spans="1:19" ht="42.75">
      <c r="A964" s="164" t="s">
        <v>777</v>
      </c>
      <c r="B964" s="165" t="s">
        <v>1169</v>
      </c>
      <c r="C964" s="165" t="s">
        <v>3699</v>
      </c>
      <c r="D964" s="164">
        <v>2503</v>
      </c>
      <c r="E964" s="164">
        <v>2631</v>
      </c>
      <c r="F964" s="164" t="s">
        <v>3955</v>
      </c>
      <c r="G964" s="164"/>
      <c r="H964" s="167"/>
      <c r="I964" s="167"/>
      <c r="J964" s="167"/>
      <c r="K964" s="169"/>
      <c r="L964" s="129"/>
      <c r="M964" s="129"/>
      <c r="N964" s="129"/>
      <c r="O964" s="129"/>
      <c r="P964" s="146"/>
      <c r="Q964" s="170"/>
      <c r="R964" s="171"/>
      <c r="S964" s="172"/>
    </row>
    <row r="965" spans="1:19" ht="42.75">
      <c r="A965" s="164" t="s">
        <v>777</v>
      </c>
      <c r="B965" s="165" t="s">
        <v>1169</v>
      </c>
      <c r="C965" s="165" t="s">
        <v>4503</v>
      </c>
      <c r="D965" s="164">
        <v>1396</v>
      </c>
      <c r="E965" s="164">
        <v>1679</v>
      </c>
      <c r="F965" s="164" t="s">
        <v>3955</v>
      </c>
      <c r="G965" s="164"/>
      <c r="H965" s="167"/>
      <c r="I965" s="167"/>
      <c r="J965" s="167"/>
      <c r="K965" s="169"/>
      <c r="L965" s="129"/>
      <c r="M965" s="129"/>
      <c r="N965" s="129"/>
      <c r="O965" s="129"/>
      <c r="P965" s="146"/>
      <c r="Q965" s="170"/>
      <c r="R965" s="171"/>
      <c r="S965" s="172"/>
    </row>
    <row r="966" spans="1:19" ht="42.75">
      <c r="A966" s="164" t="s">
        <v>777</v>
      </c>
      <c r="B966" s="165" t="s">
        <v>1169</v>
      </c>
      <c r="C966" s="165" t="s">
        <v>1197</v>
      </c>
      <c r="D966" s="164">
        <v>2192</v>
      </c>
      <c r="E966" s="164">
        <v>2527</v>
      </c>
      <c r="F966" s="164" t="s">
        <v>3955</v>
      </c>
      <c r="G966" s="164"/>
      <c r="H966" s="167"/>
      <c r="I966" s="167"/>
      <c r="J966" s="167"/>
      <c r="K966" s="169"/>
      <c r="L966" s="129"/>
      <c r="M966" s="129"/>
      <c r="N966" s="129"/>
      <c r="O966" s="129"/>
      <c r="P966" s="146"/>
      <c r="Q966" s="170"/>
      <c r="R966" s="171"/>
      <c r="S966" s="172"/>
    </row>
    <row r="967" spans="1:19" ht="42.75">
      <c r="A967" s="164" t="s">
        <v>777</v>
      </c>
      <c r="B967" s="165" t="s">
        <v>1169</v>
      </c>
      <c r="C967" s="165" t="s">
        <v>4515</v>
      </c>
      <c r="D967" s="164">
        <v>1660</v>
      </c>
      <c r="E967" s="164">
        <v>2306</v>
      </c>
      <c r="F967" s="164" t="s">
        <v>3955</v>
      </c>
      <c r="G967" s="164"/>
      <c r="H967" s="167"/>
      <c r="I967" s="167"/>
      <c r="J967" s="167"/>
      <c r="K967" s="169"/>
      <c r="L967" s="129"/>
      <c r="M967" s="129"/>
      <c r="N967" s="129"/>
      <c r="O967" s="129"/>
      <c r="P967" s="146"/>
      <c r="Q967" s="170"/>
      <c r="R967" s="171"/>
      <c r="S967" s="172"/>
    </row>
    <row r="968" spans="1:19" ht="42.75">
      <c r="A968" s="164" t="s">
        <v>777</v>
      </c>
      <c r="B968" s="165" t="s">
        <v>1169</v>
      </c>
      <c r="C968" s="165" t="s">
        <v>4516</v>
      </c>
      <c r="D968" s="164">
        <v>2122</v>
      </c>
      <c r="E968" s="164">
        <v>2383</v>
      </c>
      <c r="F968" s="164" t="s">
        <v>3955</v>
      </c>
      <c r="G968" s="164"/>
      <c r="H968" s="167"/>
      <c r="I968" s="167"/>
      <c r="J968" s="167"/>
      <c r="K968" s="169"/>
      <c r="L968" s="129"/>
      <c r="M968" s="129"/>
      <c r="N968" s="129"/>
      <c r="O968" s="129"/>
      <c r="P968" s="146"/>
      <c r="Q968" s="170"/>
      <c r="R968" s="171"/>
      <c r="S968" s="172"/>
    </row>
    <row r="969" spans="1:19" ht="42.75">
      <c r="A969" s="164" t="s">
        <v>777</v>
      </c>
      <c r="B969" s="165" t="s">
        <v>1169</v>
      </c>
      <c r="C969" s="165" t="s">
        <v>4517</v>
      </c>
      <c r="D969" s="164">
        <v>1646</v>
      </c>
      <c r="E969" s="164">
        <v>1512</v>
      </c>
      <c r="F969" s="164" t="s">
        <v>3955</v>
      </c>
      <c r="G969" s="164"/>
      <c r="H969" s="167"/>
      <c r="I969" s="167"/>
      <c r="J969" s="167"/>
      <c r="K969" s="169"/>
      <c r="L969" s="129"/>
      <c r="M969" s="129"/>
      <c r="N969" s="129"/>
      <c r="O969" s="129"/>
      <c r="P969" s="146"/>
      <c r="Q969" s="170"/>
      <c r="R969" s="171"/>
      <c r="S969" s="172"/>
    </row>
    <row r="970" spans="1:19" ht="42.75">
      <c r="A970" s="164" t="s">
        <v>777</v>
      </c>
      <c r="B970" s="165" t="s">
        <v>1169</v>
      </c>
      <c r="C970" s="165" t="s">
        <v>4518</v>
      </c>
      <c r="D970" s="164">
        <v>1338</v>
      </c>
      <c r="E970" s="164">
        <v>1208</v>
      </c>
      <c r="F970" s="164" t="s">
        <v>3955</v>
      </c>
      <c r="G970" s="164"/>
      <c r="H970" s="167"/>
      <c r="I970" s="167"/>
      <c r="J970" s="167"/>
      <c r="K970" s="169"/>
      <c r="L970" s="129"/>
      <c r="M970" s="129"/>
      <c r="N970" s="129"/>
      <c r="O970" s="129"/>
      <c r="P970" s="146"/>
      <c r="Q970" s="170"/>
      <c r="R970" s="171"/>
      <c r="S970" s="172"/>
    </row>
    <row r="971" spans="1:19" ht="42.75">
      <c r="A971" s="164" t="s">
        <v>777</v>
      </c>
      <c r="B971" s="165" t="s">
        <v>1169</v>
      </c>
      <c r="C971" s="165" t="s">
        <v>4519</v>
      </c>
      <c r="D971" s="164">
        <v>726</v>
      </c>
      <c r="E971" s="164">
        <v>696</v>
      </c>
      <c r="F971" s="164" t="s">
        <v>3955</v>
      </c>
      <c r="G971" s="164"/>
      <c r="H971" s="167"/>
      <c r="I971" s="167"/>
      <c r="J971" s="167"/>
      <c r="K971" s="169"/>
      <c r="L971" s="129"/>
      <c r="M971" s="129"/>
      <c r="N971" s="129"/>
      <c r="O971" s="129"/>
      <c r="P971" s="146"/>
      <c r="Q971" s="170"/>
      <c r="R971" s="171"/>
      <c r="S971" s="172"/>
    </row>
    <row r="972" spans="1:19" ht="42.75">
      <c r="A972" s="164" t="s">
        <v>777</v>
      </c>
      <c r="B972" s="165" t="s">
        <v>1169</v>
      </c>
      <c r="C972" s="165" t="s">
        <v>3809</v>
      </c>
      <c r="D972" s="164">
        <v>2953</v>
      </c>
      <c r="E972" s="164">
        <v>3272</v>
      </c>
      <c r="F972" s="164" t="s">
        <v>3404</v>
      </c>
      <c r="G972" s="164">
        <v>2024</v>
      </c>
      <c r="H972" s="175">
        <v>45422</v>
      </c>
      <c r="I972" s="175">
        <v>45422</v>
      </c>
      <c r="J972" s="168" t="s">
        <v>7136</v>
      </c>
      <c r="K972" s="174">
        <v>45427</v>
      </c>
      <c r="L972" s="129" t="s">
        <v>3532</v>
      </c>
      <c r="M972" s="129"/>
      <c r="N972" s="129"/>
      <c r="O972" s="129" t="s">
        <v>3406</v>
      </c>
      <c r="P972" s="146"/>
      <c r="Q972" s="170"/>
      <c r="R972" s="171"/>
      <c r="S972" s="172"/>
    </row>
    <row r="973" spans="1:19" ht="42.75">
      <c r="A973" s="164" t="s">
        <v>777</v>
      </c>
      <c r="B973" s="165" t="s">
        <v>1169</v>
      </c>
      <c r="C973" s="165" t="s">
        <v>4520</v>
      </c>
      <c r="D973" s="164">
        <v>1221</v>
      </c>
      <c r="E973" s="164">
        <v>1520</v>
      </c>
      <c r="F973" s="164" t="s">
        <v>3955</v>
      </c>
      <c r="G973" s="164"/>
      <c r="H973" s="167"/>
      <c r="I973" s="167"/>
      <c r="J973" s="167"/>
      <c r="K973" s="169"/>
      <c r="L973" s="129"/>
      <c r="M973" s="129"/>
      <c r="N973" s="129"/>
      <c r="O973" s="129"/>
      <c r="P973" s="146"/>
      <c r="Q973" s="170"/>
      <c r="R973" s="171"/>
      <c r="S973" s="172"/>
    </row>
    <row r="974" spans="1:19" ht="42.75">
      <c r="A974" s="164" t="s">
        <v>777</v>
      </c>
      <c r="B974" s="165" t="s">
        <v>1169</v>
      </c>
      <c r="C974" s="165" t="s">
        <v>4521</v>
      </c>
      <c r="D974" s="164">
        <v>1731</v>
      </c>
      <c r="E974" s="164">
        <v>2355</v>
      </c>
      <c r="F974" s="164" t="s">
        <v>3955</v>
      </c>
      <c r="G974" s="164"/>
      <c r="H974" s="167"/>
      <c r="I974" s="167"/>
      <c r="J974" s="167"/>
      <c r="K974" s="169"/>
      <c r="L974" s="129"/>
      <c r="M974" s="129"/>
      <c r="N974" s="129"/>
      <c r="O974" s="129"/>
      <c r="P974" s="146"/>
      <c r="Q974" s="170"/>
      <c r="R974" s="171"/>
      <c r="S974" s="172"/>
    </row>
    <row r="975" spans="1:19" ht="42.75">
      <c r="A975" s="164" t="s">
        <v>777</v>
      </c>
      <c r="B975" s="165" t="s">
        <v>1169</v>
      </c>
      <c r="C975" s="165" t="s">
        <v>4523</v>
      </c>
      <c r="D975" s="164">
        <v>1780</v>
      </c>
      <c r="E975" s="164">
        <v>1934</v>
      </c>
      <c r="F975" s="164" t="s">
        <v>3955</v>
      </c>
      <c r="G975" s="164"/>
      <c r="H975" s="167"/>
      <c r="I975" s="167"/>
      <c r="J975" s="167"/>
      <c r="K975" s="169"/>
      <c r="L975" s="129"/>
      <c r="M975" s="129"/>
      <c r="N975" s="129"/>
      <c r="O975" s="129"/>
      <c r="P975" s="146"/>
      <c r="Q975" s="170"/>
      <c r="R975" s="171"/>
      <c r="S975" s="172"/>
    </row>
    <row r="976" spans="1:19" ht="42.75">
      <c r="A976" s="164" t="s">
        <v>777</v>
      </c>
      <c r="B976" s="165" t="s">
        <v>1169</v>
      </c>
      <c r="C976" s="165" t="s">
        <v>4524</v>
      </c>
      <c r="D976" s="164">
        <v>2251</v>
      </c>
      <c r="E976" s="164">
        <v>2771</v>
      </c>
      <c r="F976" s="164" t="s">
        <v>3955</v>
      </c>
      <c r="G976" s="164"/>
      <c r="H976" s="167"/>
      <c r="I976" s="167"/>
      <c r="J976" s="167"/>
      <c r="K976" s="169"/>
      <c r="L976" s="129"/>
      <c r="M976" s="129"/>
      <c r="N976" s="129"/>
      <c r="O976" s="129"/>
      <c r="P976" s="146"/>
      <c r="Q976" s="170"/>
      <c r="R976" s="171"/>
      <c r="S976" s="172"/>
    </row>
    <row r="977" spans="1:19" ht="42.75">
      <c r="A977" s="164" t="s">
        <v>777</v>
      </c>
      <c r="B977" s="165" t="s">
        <v>1169</v>
      </c>
      <c r="C977" s="165" t="s">
        <v>918</v>
      </c>
      <c r="D977" s="164">
        <v>4768</v>
      </c>
      <c r="E977" s="164">
        <v>5255</v>
      </c>
      <c r="F977" s="164" t="s">
        <v>3955</v>
      </c>
      <c r="G977" s="164"/>
      <c r="H977" s="167"/>
      <c r="I977" s="167"/>
      <c r="J977" s="167"/>
      <c r="K977" s="169"/>
      <c r="L977" s="129"/>
      <c r="M977" s="129"/>
      <c r="N977" s="129"/>
      <c r="O977" s="129"/>
      <c r="P977" s="146"/>
      <c r="Q977" s="170"/>
      <c r="R977" s="171"/>
      <c r="S977" s="172"/>
    </row>
    <row r="978" spans="1:19" ht="42.75">
      <c r="A978" s="164" t="s">
        <v>777</v>
      </c>
      <c r="B978" s="165" t="s">
        <v>1169</v>
      </c>
      <c r="C978" s="165" t="s">
        <v>4525</v>
      </c>
      <c r="D978" s="164">
        <v>1979</v>
      </c>
      <c r="E978" s="164">
        <v>2056</v>
      </c>
      <c r="F978" s="164" t="s">
        <v>3955</v>
      </c>
      <c r="G978" s="164"/>
      <c r="H978" s="167"/>
      <c r="I978" s="167"/>
      <c r="J978" s="167"/>
      <c r="K978" s="169"/>
      <c r="L978" s="129"/>
      <c r="M978" s="129"/>
      <c r="N978" s="129"/>
      <c r="O978" s="129"/>
      <c r="P978" s="146"/>
      <c r="Q978" s="170"/>
      <c r="R978" s="171"/>
      <c r="S978" s="172"/>
    </row>
    <row r="979" spans="1:19" ht="42.75">
      <c r="A979" s="164" t="s">
        <v>777</v>
      </c>
      <c r="B979" s="165" t="s">
        <v>1169</v>
      </c>
      <c r="C979" s="165" t="s">
        <v>4511</v>
      </c>
      <c r="D979" s="164">
        <v>1081</v>
      </c>
      <c r="E979" s="164">
        <v>1230</v>
      </c>
      <c r="F979" s="164" t="s">
        <v>3955</v>
      </c>
      <c r="G979" s="164"/>
      <c r="H979" s="167"/>
      <c r="I979" s="167"/>
      <c r="J979" s="167"/>
      <c r="K979" s="169"/>
      <c r="L979" s="129"/>
      <c r="M979" s="129"/>
      <c r="N979" s="129"/>
      <c r="O979" s="129"/>
      <c r="P979" s="146"/>
      <c r="Q979" s="170"/>
      <c r="R979" s="171"/>
      <c r="S979" s="172"/>
    </row>
    <row r="980" spans="1:19" ht="42.75">
      <c r="A980" s="164" t="s">
        <v>777</v>
      </c>
      <c r="B980" s="165" t="s">
        <v>1169</v>
      </c>
      <c r="C980" s="165" t="s">
        <v>1424</v>
      </c>
      <c r="D980" s="164">
        <v>1195</v>
      </c>
      <c r="E980" s="164">
        <v>1185</v>
      </c>
      <c r="F980" s="164" t="s">
        <v>3955</v>
      </c>
      <c r="G980" s="164"/>
      <c r="H980" s="167"/>
      <c r="I980" s="167"/>
      <c r="J980" s="167"/>
      <c r="K980" s="169"/>
      <c r="L980" s="129"/>
      <c r="M980" s="129"/>
      <c r="N980" s="129"/>
      <c r="O980" s="129"/>
      <c r="P980" s="146"/>
      <c r="Q980" s="170"/>
      <c r="R980" s="171"/>
      <c r="S980" s="172"/>
    </row>
    <row r="981" spans="1:19" ht="42.75">
      <c r="A981" s="164" t="s">
        <v>777</v>
      </c>
      <c r="B981" s="165" t="s">
        <v>1169</v>
      </c>
      <c r="C981" s="165" t="s">
        <v>1170</v>
      </c>
      <c r="D981" s="164">
        <v>2197</v>
      </c>
      <c r="E981" s="164">
        <v>2427</v>
      </c>
      <c r="F981" s="164" t="s">
        <v>3955</v>
      </c>
      <c r="G981" s="164"/>
      <c r="H981" s="167"/>
      <c r="I981" s="167"/>
      <c r="J981" s="167"/>
      <c r="K981" s="169"/>
      <c r="L981" s="129"/>
      <c r="M981" s="129"/>
      <c r="N981" s="129"/>
      <c r="O981" s="129"/>
      <c r="P981" s="146"/>
      <c r="Q981" s="170"/>
      <c r="R981" s="171"/>
      <c r="S981" s="172"/>
    </row>
    <row r="982" spans="1:19" ht="42.75">
      <c r="A982" s="164" t="s">
        <v>777</v>
      </c>
      <c r="B982" s="165" t="s">
        <v>1169</v>
      </c>
      <c r="C982" s="165" t="s">
        <v>4261</v>
      </c>
      <c r="D982" s="164">
        <v>2268</v>
      </c>
      <c r="E982" s="164">
        <v>2645</v>
      </c>
      <c r="F982" s="164" t="s">
        <v>3955</v>
      </c>
      <c r="G982" s="164"/>
      <c r="H982" s="167"/>
      <c r="I982" s="167"/>
      <c r="J982" s="167"/>
      <c r="K982" s="169"/>
      <c r="L982" s="129"/>
      <c r="M982" s="129"/>
      <c r="N982" s="129"/>
      <c r="O982" s="129"/>
      <c r="P982" s="146"/>
      <c r="Q982" s="170"/>
      <c r="R982" s="171"/>
      <c r="S982" s="172"/>
    </row>
    <row r="983" spans="1:19" ht="42.75">
      <c r="A983" s="164" t="s">
        <v>777</v>
      </c>
      <c r="B983" s="165" t="s">
        <v>1169</v>
      </c>
      <c r="C983" s="165" t="s">
        <v>3566</v>
      </c>
      <c r="D983" s="164">
        <v>5117</v>
      </c>
      <c r="E983" s="164">
        <v>5708</v>
      </c>
      <c r="F983" s="164" t="s">
        <v>3955</v>
      </c>
      <c r="G983" s="164"/>
      <c r="H983" s="167"/>
      <c r="I983" s="167"/>
      <c r="J983" s="167"/>
      <c r="K983" s="169"/>
      <c r="L983" s="129"/>
      <c r="M983" s="129"/>
      <c r="N983" s="129"/>
      <c r="O983" s="129"/>
      <c r="P983" s="146"/>
      <c r="Q983" s="170"/>
      <c r="R983" s="171"/>
      <c r="S983" s="172"/>
    </row>
    <row r="984" spans="1:19" ht="42.75">
      <c r="A984" s="164" t="s">
        <v>777</v>
      </c>
      <c r="B984" s="165" t="s">
        <v>1169</v>
      </c>
      <c r="C984" s="165" t="s">
        <v>4529</v>
      </c>
      <c r="D984" s="164">
        <v>1039</v>
      </c>
      <c r="E984" s="164">
        <v>887</v>
      </c>
      <c r="F984" s="164" t="s">
        <v>3955</v>
      </c>
      <c r="G984" s="164"/>
      <c r="H984" s="167"/>
      <c r="I984" s="167"/>
      <c r="J984" s="167"/>
      <c r="K984" s="169"/>
      <c r="L984" s="129"/>
      <c r="M984" s="129"/>
      <c r="N984" s="129"/>
      <c r="O984" s="129"/>
      <c r="P984" s="146"/>
      <c r="Q984" s="170"/>
      <c r="R984" s="171"/>
      <c r="S984" s="172"/>
    </row>
    <row r="985" spans="1:19" ht="42.75">
      <c r="A985" s="164" t="s">
        <v>777</v>
      </c>
      <c r="B985" s="165" t="s">
        <v>1169</v>
      </c>
      <c r="C985" s="165" t="s">
        <v>4530</v>
      </c>
      <c r="D985" s="164">
        <v>3705</v>
      </c>
      <c r="E985" s="164">
        <v>3908</v>
      </c>
      <c r="F985" s="164" t="s">
        <v>3955</v>
      </c>
      <c r="G985" s="164"/>
      <c r="H985" s="167"/>
      <c r="I985" s="167"/>
      <c r="J985" s="167"/>
      <c r="K985" s="169"/>
      <c r="L985" s="129"/>
      <c r="M985" s="129"/>
      <c r="N985" s="129"/>
      <c r="O985" s="129"/>
      <c r="P985" s="146"/>
      <c r="Q985" s="170"/>
      <c r="R985" s="171"/>
      <c r="S985" s="172"/>
    </row>
    <row r="986" spans="1:19" ht="42.75">
      <c r="A986" s="164" t="s">
        <v>777</v>
      </c>
      <c r="B986" s="165" t="s">
        <v>1173</v>
      </c>
      <c r="C986" s="165" t="s">
        <v>4533</v>
      </c>
      <c r="D986" s="164">
        <v>4124</v>
      </c>
      <c r="E986" s="164">
        <v>4684</v>
      </c>
      <c r="F986" s="164" t="s">
        <v>3955</v>
      </c>
      <c r="G986" s="164"/>
      <c r="H986" s="167"/>
      <c r="I986" s="167"/>
      <c r="J986" s="167"/>
      <c r="K986" s="169"/>
      <c r="L986" s="129"/>
      <c r="M986" s="129"/>
      <c r="N986" s="129"/>
      <c r="O986" s="129"/>
      <c r="P986" s="146"/>
      <c r="Q986" s="170"/>
      <c r="R986" s="171"/>
      <c r="S986" s="172"/>
    </row>
    <row r="987" spans="1:19" ht="42.75">
      <c r="A987" s="164" t="s">
        <v>777</v>
      </c>
      <c r="B987" s="165" t="s">
        <v>1173</v>
      </c>
      <c r="C987" s="165" t="s">
        <v>4534</v>
      </c>
      <c r="D987" s="164">
        <v>1263</v>
      </c>
      <c r="E987" s="164">
        <v>1515</v>
      </c>
      <c r="F987" s="164" t="s">
        <v>3955</v>
      </c>
      <c r="G987" s="164"/>
      <c r="H987" s="167"/>
      <c r="I987" s="167"/>
      <c r="J987" s="167"/>
      <c r="K987" s="169"/>
      <c r="L987" s="129"/>
      <c r="M987" s="129"/>
      <c r="N987" s="129"/>
      <c r="O987" s="129"/>
      <c r="P987" s="146"/>
      <c r="Q987" s="170"/>
      <c r="R987" s="171"/>
      <c r="S987" s="172"/>
    </row>
    <row r="988" spans="1:19" ht="42.75">
      <c r="A988" s="164" t="s">
        <v>777</v>
      </c>
      <c r="B988" s="165" t="s">
        <v>1173</v>
      </c>
      <c r="C988" s="165" t="s">
        <v>4535</v>
      </c>
      <c r="D988" s="164">
        <v>917</v>
      </c>
      <c r="E988" s="164">
        <v>877</v>
      </c>
      <c r="F988" s="164" t="s">
        <v>3955</v>
      </c>
      <c r="G988" s="164"/>
      <c r="H988" s="167"/>
      <c r="I988" s="167"/>
      <c r="J988" s="167"/>
      <c r="K988" s="169"/>
      <c r="L988" s="129"/>
      <c r="M988" s="129"/>
      <c r="N988" s="129"/>
      <c r="O988" s="129"/>
      <c r="P988" s="146"/>
      <c r="Q988" s="170"/>
      <c r="R988" s="171"/>
      <c r="S988" s="172"/>
    </row>
    <row r="989" spans="1:19" ht="42.75">
      <c r="A989" s="164" t="s">
        <v>777</v>
      </c>
      <c r="B989" s="165" t="s">
        <v>1173</v>
      </c>
      <c r="C989" s="165" t="s">
        <v>4536</v>
      </c>
      <c r="D989" s="164">
        <v>2900</v>
      </c>
      <c r="E989" s="164">
        <v>2575</v>
      </c>
      <c r="F989" s="164" t="s">
        <v>3955</v>
      </c>
      <c r="G989" s="164"/>
      <c r="H989" s="167"/>
      <c r="I989" s="167"/>
      <c r="J989" s="167"/>
      <c r="K989" s="169"/>
      <c r="L989" s="129"/>
      <c r="M989" s="129"/>
      <c r="N989" s="129"/>
      <c r="O989" s="129"/>
      <c r="P989" s="146"/>
      <c r="Q989" s="170"/>
      <c r="R989" s="171"/>
      <c r="S989" s="172"/>
    </row>
    <row r="990" spans="1:19" ht="42.75">
      <c r="A990" s="164" t="s">
        <v>777</v>
      </c>
      <c r="B990" s="165" t="s">
        <v>1173</v>
      </c>
      <c r="C990" s="165" t="s">
        <v>4537</v>
      </c>
      <c r="D990" s="164">
        <v>283</v>
      </c>
      <c r="E990" s="164">
        <v>208</v>
      </c>
      <c r="F990" s="164" t="s">
        <v>3955</v>
      </c>
      <c r="G990" s="164"/>
      <c r="H990" s="167"/>
      <c r="I990" s="167"/>
      <c r="J990" s="167"/>
      <c r="K990" s="169"/>
      <c r="L990" s="129"/>
      <c r="M990" s="129"/>
      <c r="N990" s="129"/>
      <c r="O990" s="129"/>
      <c r="P990" s="146"/>
      <c r="Q990" s="170"/>
      <c r="R990" s="171"/>
      <c r="S990" s="172"/>
    </row>
    <row r="991" spans="1:19" ht="42.75">
      <c r="A991" s="164" t="s">
        <v>777</v>
      </c>
      <c r="B991" s="165" t="s">
        <v>1173</v>
      </c>
      <c r="C991" s="165" t="s">
        <v>4538</v>
      </c>
      <c r="D991" s="164">
        <v>2013</v>
      </c>
      <c r="E991" s="164">
        <v>2087</v>
      </c>
      <c r="F991" s="164" t="s">
        <v>3955</v>
      </c>
      <c r="G991" s="164"/>
      <c r="H991" s="167"/>
      <c r="I991" s="167"/>
      <c r="J991" s="167"/>
      <c r="K991" s="169"/>
      <c r="L991" s="129"/>
      <c r="M991" s="129"/>
      <c r="N991" s="129"/>
      <c r="O991" s="129"/>
      <c r="P991" s="146"/>
      <c r="Q991" s="170"/>
      <c r="R991" s="171"/>
      <c r="S991" s="172"/>
    </row>
    <row r="992" spans="1:19" ht="42.75">
      <c r="A992" s="164" t="s">
        <v>777</v>
      </c>
      <c r="B992" s="165" t="s">
        <v>1173</v>
      </c>
      <c r="C992" s="165" t="s">
        <v>4541</v>
      </c>
      <c r="D992" s="164">
        <v>1106</v>
      </c>
      <c r="E992" s="164">
        <v>1544</v>
      </c>
      <c r="F992" s="164" t="s">
        <v>3955</v>
      </c>
      <c r="G992" s="164"/>
      <c r="H992" s="167"/>
      <c r="I992" s="167"/>
      <c r="J992" s="167"/>
      <c r="K992" s="169"/>
      <c r="L992" s="129"/>
      <c r="M992" s="129"/>
      <c r="N992" s="129"/>
      <c r="O992" s="129"/>
      <c r="P992" s="146"/>
      <c r="Q992" s="170"/>
      <c r="R992" s="171"/>
      <c r="S992" s="172"/>
    </row>
    <row r="993" spans="1:19" ht="42.75">
      <c r="A993" s="164" t="s">
        <v>777</v>
      </c>
      <c r="B993" s="165" t="s">
        <v>1173</v>
      </c>
      <c r="C993" s="165" t="s">
        <v>4531</v>
      </c>
      <c r="D993" s="164">
        <v>3763</v>
      </c>
      <c r="E993" s="164">
        <v>3819</v>
      </c>
      <c r="F993" s="164" t="s">
        <v>3955</v>
      </c>
      <c r="G993" s="164"/>
      <c r="H993" s="167"/>
      <c r="I993" s="167"/>
      <c r="J993" s="167"/>
      <c r="K993" s="169"/>
      <c r="L993" s="129"/>
      <c r="M993" s="129"/>
      <c r="N993" s="129"/>
      <c r="O993" s="129"/>
      <c r="P993" s="146"/>
      <c r="Q993" s="170"/>
      <c r="R993" s="171"/>
      <c r="S993" s="172"/>
    </row>
    <row r="994" spans="1:19" ht="42.75">
      <c r="A994" s="164" t="s">
        <v>777</v>
      </c>
      <c r="B994" s="165" t="s">
        <v>1173</v>
      </c>
      <c r="C994" s="165" t="s">
        <v>4542</v>
      </c>
      <c r="D994" s="164">
        <v>2865</v>
      </c>
      <c r="E994" s="164">
        <v>2735</v>
      </c>
      <c r="F994" s="164" t="s">
        <v>3955</v>
      </c>
      <c r="G994" s="164"/>
      <c r="H994" s="167"/>
      <c r="I994" s="167"/>
      <c r="J994" s="167"/>
      <c r="K994" s="169"/>
      <c r="L994" s="129"/>
      <c r="M994" s="129"/>
      <c r="N994" s="129"/>
      <c r="O994" s="129"/>
      <c r="P994" s="146"/>
      <c r="Q994" s="170"/>
      <c r="R994" s="171"/>
      <c r="S994" s="172"/>
    </row>
    <row r="995" spans="1:19" ht="42.75">
      <c r="A995" s="164" t="s">
        <v>777</v>
      </c>
      <c r="B995" s="165" t="s">
        <v>1173</v>
      </c>
      <c r="C995" s="165" t="s">
        <v>4543</v>
      </c>
      <c r="D995" s="164">
        <v>1575</v>
      </c>
      <c r="E995" s="164">
        <v>1644</v>
      </c>
      <c r="F995" s="164" t="s">
        <v>3955</v>
      </c>
      <c r="G995" s="164"/>
      <c r="H995" s="167"/>
      <c r="I995" s="167"/>
      <c r="J995" s="167"/>
      <c r="K995" s="169"/>
      <c r="L995" s="129"/>
      <c r="M995" s="129"/>
      <c r="N995" s="129"/>
      <c r="O995" s="129"/>
      <c r="P995" s="146"/>
      <c r="Q995" s="170"/>
      <c r="R995" s="171"/>
      <c r="S995" s="172"/>
    </row>
    <row r="996" spans="1:19" ht="42.75">
      <c r="A996" s="164" t="s">
        <v>777</v>
      </c>
      <c r="B996" s="165" t="s">
        <v>1173</v>
      </c>
      <c r="C996" s="165" t="s">
        <v>4544</v>
      </c>
      <c r="D996" s="164">
        <v>1597</v>
      </c>
      <c r="E996" s="164">
        <v>1710</v>
      </c>
      <c r="F996" s="164" t="s">
        <v>3955</v>
      </c>
      <c r="G996" s="164"/>
      <c r="H996" s="167"/>
      <c r="I996" s="167"/>
      <c r="J996" s="167"/>
      <c r="K996" s="169"/>
      <c r="L996" s="129"/>
      <c r="M996" s="129"/>
      <c r="N996" s="129"/>
      <c r="O996" s="129"/>
      <c r="P996" s="146"/>
      <c r="Q996" s="170"/>
      <c r="R996" s="171"/>
      <c r="S996" s="172"/>
    </row>
    <row r="997" spans="1:19" ht="42.75">
      <c r="A997" s="164" t="s">
        <v>777</v>
      </c>
      <c r="B997" s="165" t="s">
        <v>1173</v>
      </c>
      <c r="C997" s="165" t="s">
        <v>4539</v>
      </c>
      <c r="D997" s="164">
        <v>2248</v>
      </c>
      <c r="E997" s="164">
        <v>2347</v>
      </c>
      <c r="F997" s="164" t="s">
        <v>3955</v>
      </c>
      <c r="G997" s="164"/>
      <c r="H997" s="167"/>
      <c r="I997" s="167"/>
      <c r="J997" s="167"/>
      <c r="K997" s="169"/>
      <c r="L997" s="129"/>
      <c r="M997" s="129"/>
      <c r="N997" s="129"/>
      <c r="O997" s="129"/>
      <c r="P997" s="146"/>
      <c r="Q997" s="170"/>
      <c r="R997" s="171"/>
      <c r="S997" s="172"/>
    </row>
    <row r="998" spans="1:19" ht="42.75">
      <c r="A998" s="164" t="s">
        <v>777</v>
      </c>
      <c r="B998" s="165" t="s">
        <v>1173</v>
      </c>
      <c r="C998" s="165" t="s">
        <v>4546</v>
      </c>
      <c r="D998" s="164">
        <v>2707</v>
      </c>
      <c r="E998" s="164">
        <v>2735</v>
      </c>
      <c r="F998" s="164" t="s">
        <v>3955</v>
      </c>
      <c r="G998" s="164"/>
      <c r="H998" s="167"/>
      <c r="I998" s="167"/>
      <c r="J998" s="167"/>
      <c r="K998" s="169"/>
      <c r="L998" s="129"/>
      <c r="M998" s="129"/>
      <c r="N998" s="129"/>
      <c r="O998" s="129"/>
      <c r="P998" s="146"/>
      <c r="Q998" s="170"/>
      <c r="R998" s="171"/>
      <c r="S998" s="172"/>
    </row>
    <row r="999" spans="1:19" ht="42.75">
      <c r="A999" s="164" t="s">
        <v>777</v>
      </c>
      <c r="B999" s="165" t="s">
        <v>1173</v>
      </c>
      <c r="C999" s="165" t="s">
        <v>4547</v>
      </c>
      <c r="D999" s="164">
        <v>1715</v>
      </c>
      <c r="E999" s="164">
        <v>1437</v>
      </c>
      <c r="F999" s="164" t="s">
        <v>3955</v>
      </c>
      <c r="G999" s="164"/>
      <c r="H999" s="167"/>
      <c r="I999" s="167"/>
      <c r="J999" s="167"/>
      <c r="K999" s="169"/>
      <c r="L999" s="129"/>
      <c r="M999" s="129"/>
      <c r="N999" s="129"/>
      <c r="O999" s="129"/>
      <c r="P999" s="146"/>
      <c r="Q999" s="170"/>
      <c r="R999" s="171"/>
      <c r="S999" s="172"/>
    </row>
    <row r="1000" spans="1:19" ht="42.75">
      <c r="A1000" s="164" t="s">
        <v>777</v>
      </c>
      <c r="B1000" s="165" t="s">
        <v>1173</v>
      </c>
      <c r="C1000" s="165" t="s">
        <v>4549</v>
      </c>
      <c r="D1000" s="164">
        <v>1358</v>
      </c>
      <c r="E1000" s="164">
        <v>1399</v>
      </c>
      <c r="F1000" s="164" t="s">
        <v>3955</v>
      </c>
      <c r="G1000" s="164"/>
      <c r="H1000" s="167"/>
      <c r="I1000" s="167"/>
      <c r="J1000" s="167"/>
      <c r="K1000" s="169"/>
      <c r="L1000" s="129"/>
      <c r="M1000" s="129"/>
      <c r="N1000" s="129"/>
      <c r="O1000" s="129"/>
      <c r="P1000" s="146"/>
      <c r="Q1000" s="170"/>
      <c r="R1000" s="171"/>
      <c r="S1000" s="172"/>
    </row>
    <row r="1001" spans="1:19" ht="42.75">
      <c r="A1001" s="164" t="s">
        <v>777</v>
      </c>
      <c r="B1001" s="165" t="s">
        <v>1173</v>
      </c>
      <c r="C1001" s="165" t="s">
        <v>4551</v>
      </c>
      <c r="D1001" s="164">
        <v>1944</v>
      </c>
      <c r="E1001" s="164">
        <v>2275</v>
      </c>
      <c r="F1001" s="164" t="s">
        <v>3955</v>
      </c>
      <c r="G1001" s="164"/>
      <c r="H1001" s="167"/>
      <c r="I1001" s="167"/>
      <c r="J1001" s="167"/>
      <c r="K1001" s="169"/>
      <c r="L1001" s="129"/>
      <c r="M1001" s="129"/>
      <c r="N1001" s="129"/>
      <c r="O1001" s="129"/>
      <c r="P1001" s="146"/>
      <c r="Q1001" s="170"/>
      <c r="R1001" s="171"/>
      <c r="S1001" s="172"/>
    </row>
    <row r="1002" spans="1:19" ht="42.75">
      <c r="A1002" s="164" t="s">
        <v>777</v>
      </c>
      <c r="B1002" s="165" t="s">
        <v>1173</v>
      </c>
      <c r="C1002" s="165" t="s">
        <v>4552</v>
      </c>
      <c r="D1002" s="164">
        <v>2288</v>
      </c>
      <c r="E1002" s="164">
        <v>2423</v>
      </c>
      <c r="F1002" s="164" t="s">
        <v>3955</v>
      </c>
      <c r="G1002" s="164"/>
      <c r="H1002" s="167"/>
      <c r="I1002" s="167"/>
      <c r="J1002" s="167"/>
      <c r="K1002" s="169"/>
      <c r="L1002" s="129"/>
      <c r="M1002" s="129"/>
      <c r="N1002" s="129"/>
      <c r="O1002" s="129"/>
      <c r="P1002" s="146"/>
      <c r="Q1002" s="170"/>
      <c r="R1002" s="171"/>
      <c r="S1002" s="172"/>
    </row>
    <row r="1003" spans="1:19" ht="42.75">
      <c r="A1003" s="164" t="s">
        <v>777</v>
      </c>
      <c r="B1003" s="165" t="s">
        <v>1173</v>
      </c>
      <c r="C1003" s="165" t="s">
        <v>1174</v>
      </c>
      <c r="D1003" s="164">
        <v>2281</v>
      </c>
      <c r="E1003" s="164">
        <v>2651</v>
      </c>
      <c r="F1003" s="164" t="s">
        <v>3404</v>
      </c>
      <c r="G1003" s="164">
        <v>2024</v>
      </c>
      <c r="H1003" s="175">
        <v>45546</v>
      </c>
      <c r="I1003" s="175">
        <v>45551</v>
      </c>
      <c r="J1003" s="168" t="s">
        <v>7137</v>
      </c>
      <c r="K1003" s="174">
        <v>45552</v>
      </c>
      <c r="L1003" s="129" t="s">
        <v>3127</v>
      </c>
      <c r="M1003" s="129" t="s">
        <v>4</v>
      </c>
      <c r="N1003" s="129" t="s">
        <v>50</v>
      </c>
      <c r="O1003" s="129" t="s">
        <v>3406</v>
      </c>
      <c r="P1003" s="146"/>
      <c r="Q1003" s="170">
        <v>45555</v>
      </c>
      <c r="R1003" s="171" t="s">
        <v>6643</v>
      </c>
      <c r="S1003" s="172"/>
    </row>
    <row r="1004" spans="1:19" ht="42.75">
      <c r="A1004" s="164" t="s">
        <v>777</v>
      </c>
      <c r="B1004" s="165" t="s">
        <v>1173</v>
      </c>
      <c r="C1004" s="165" t="s">
        <v>3713</v>
      </c>
      <c r="D1004" s="164">
        <v>2946</v>
      </c>
      <c r="E1004" s="164">
        <v>3194</v>
      </c>
      <c r="F1004" s="164" t="s">
        <v>3955</v>
      </c>
      <c r="G1004" s="164"/>
      <c r="H1004" s="167"/>
      <c r="I1004" s="167"/>
      <c r="J1004" s="167"/>
      <c r="K1004" s="169"/>
      <c r="L1004" s="129"/>
      <c r="M1004" s="129"/>
      <c r="N1004" s="129"/>
      <c r="O1004" s="129"/>
      <c r="P1004" s="146"/>
      <c r="Q1004" s="170"/>
      <c r="R1004" s="171"/>
      <c r="S1004" s="172"/>
    </row>
    <row r="1005" spans="1:19" ht="42.75">
      <c r="A1005" s="164" t="s">
        <v>777</v>
      </c>
      <c r="B1005" s="165" t="s">
        <v>1173</v>
      </c>
      <c r="C1005" s="165" t="s">
        <v>4554</v>
      </c>
      <c r="D1005" s="164">
        <v>1644</v>
      </c>
      <c r="E1005" s="164">
        <v>1525</v>
      </c>
      <c r="F1005" s="164" t="s">
        <v>3955</v>
      </c>
      <c r="G1005" s="164">
        <v>2025</v>
      </c>
      <c r="H1005" s="167"/>
      <c r="I1005" s="167"/>
      <c r="J1005" s="167"/>
      <c r="K1005" s="169"/>
      <c r="L1005" s="129" t="s">
        <v>3424</v>
      </c>
      <c r="M1005" s="129"/>
      <c r="N1005" s="129"/>
      <c r="O1005" s="129"/>
      <c r="P1005" s="146"/>
      <c r="Q1005" s="170"/>
      <c r="R1005" s="171"/>
      <c r="S1005" s="172"/>
    </row>
    <row r="1006" spans="1:19" ht="42.75">
      <c r="A1006" s="164" t="s">
        <v>777</v>
      </c>
      <c r="B1006" s="165" t="s">
        <v>1173</v>
      </c>
      <c r="C1006" s="165" t="s">
        <v>3915</v>
      </c>
      <c r="D1006" s="164">
        <v>2465</v>
      </c>
      <c r="E1006" s="164">
        <v>2773</v>
      </c>
      <c r="F1006" s="164" t="s">
        <v>3955</v>
      </c>
      <c r="G1006" s="164"/>
      <c r="H1006" s="167"/>
      <c r="I1006" s="196"/>
      <c r="J1006" s="196"/>
      <c r="K1006" s="169"/>
      <c r="L1006" s="129"/>
      <c r="M1006" s="129"/>
      <c r="N1006" s="129"/>
      <c r="O1006" s="129"/>
      <c r="P1006" s="146"/>
      <c r="Q1006" s="170"/>
      <c r="R1006" s="171"/>
      <c r="S1006" s="172"/>
    </row>
    <row r="1007" spans="1:19" ht="42.75">
      <c r="A1007" s="164" t="s">
        <v>777</v>
      </c>
      <c r="B1007" s="165" t="s">
        <v>1173</v>
      </c>
      <c r="C1007" s="165" t="s">
        <v>4556</v>
      </c>
      <c r="D1007" s="164">
        <v>6037</v>
      </c>
      <c r="E1007" s="164">
        <v>6046</v>
      </c>
      <c r="F1007" s="164" t="s">
        <v>3404</v>
      </c>
      <c r="G1007" s="164">
        <v>2024</v>
      </c>
      <c r="H1007" s="221">
        <v>45385</v>
      </c>
      <c r="I1007" s="174">
        <v>45388</v>
      </c>
      <c r="J1007" s="235" t="s">
        <v>7138</v>
      </c>
      <c r="K1007" s="193">
        <v>45394</v>
      </c>
      <c r="L1007" s="129" t="s">
        <v>3470</v>
      </c>
      <c r="M1007" s="129"/>
      <c r="N1007" s="129"/>
      <c r="O1007" s="129" t="s">
        <v>3406</v>
      </c>
      <c r="P1007" s="146"/>
      <c r="Q1007" s="170"/>
      <c r="R1007" s="171"/>
      <c r="S1007" s="172"/>
    </row>
    <row r="1008" spans="1:19" ht="42.75">
      <c r="A1008" s="164" t="s">
        <v>777</v>
      </c>
      <c r="B1008" s="165" t="s">
        <v>1173</v>
      </c>
      <c r="C1008" s="165" t="s">
        <v>4557</v>
      </c>
      <c r="D1008" s="164">
        <v>2672</v>
      </c>
      <c r="E1008" s="164">
        <v>2542</v>
      </c>
      <c r="F1008" s="164" t="s">
        <v>3955</v>
      </c>
      <c r="G1008" s="164"/>
      <c r="H1008" s="167"/>
      <c r="I1008" s="236"/>
      <c r="J1008" s="167"/>
      <c r="K1008" s="237"/>
      <c r="L1008" s="129"/>
      <c r="M1008" s="129"/>
      <c r="N1008" s="129"/>
      <c r="O1008" s="129"/>
      <c r="P1008" s="146"/>
      <c r="Q1008" s="170"/>
      <c r="R1008" s="171"/>
      <c r="S1008" s="172"/>
    </row>
    <row r="1009" spans="1:19" ht="42.75">
      <c r="A1009" s="164" t="s">
        <v>777</v>
      </c>
      <c r="B1009" s="165" t="s">
        <v>1173</v>
      </c>
      <c r="C1009" s="165" t="s">
        <v>4558</v>
      </c>
      <c r="D1009" s="164">
        <v>623</v>
      </c>
      <c r="E1009" s="164">
        <v>587</v>
      </c>
      <c r="F1009" s="164" t="s">
        <v>3404</v>
      </c>
      <c r="G1009" s="164">
        <v>2024</v>
      </c>
      <c r="H1009" s="175">
        <v>45596</v>
      </c>
      <c r="I1009" s="175">
        <v>45603</v>
      </c>
      <c r="J1009" s="168" t="s">
        <v>7139</v>
      </c>
      <c r="K1009" s="174">
        <v>45612</v>
      </c>
      <c r="L1009" s="129" t="s">
        <v>3129</v>
      </c>
      <c r="M1009" s="129" t="s">
        <v>4</v>
      </c>
      <c r="N1009" s="129" t="s">
        <v>50</v>
      </c>
      <c r="O1009" s="129" t="s">
        <v>3406</v>
      </c>
      <c r="P1009" s="146"/>
      <c r="Q1009" s="170">
        <v>45614</v>
      </c>
      <c r="R1009" s="171" t="s">
        <v>6643</v>
      </c>
      <c r="S1009" s="172"/>
    </row>
    <row r="1010" spans="1:19" ht="42.75">
      <c r="A1010" s="164" t="s">
        <v>777</v>
      </c>
      <c r="B1010" s="165" t="s">
        <v>1173</v>
      </c>
      <c r="C1010" s="165" t="s">
        <v>4559</v>
      </c>
      <c r="D1010" s="164">
        <v>663</v>
      </c>
      <c r="E1010" s="164">
        <v>795</v>
      </c>
      <c r="F1010" s="164" t="s">
        <v>3955</v>
      </c>
      <c r="G1010" s="164"/>
      <c r="H1010" s="167"/>
      <c r="I1010" s="167"/>
      <c r="J1010" s="167"/>
      <c r="K1010" s="169"/>
      <c r="L1010" s="129"/>
      <c r="M1010" s="129"/>
      <c r="N1010" s="129"/>
      <c r="O1010" s="129"/>
      <c r="P1010" s="146"/>
      <c r="Q1010" s="170"/>
      <c r="R1010" s="171"/>
      <c r="S1010" s="172"/>
    </row>
    <row r="1011" spans="1:19" ht="42.75">
      <c r="A1011" s="164" t="s">
        <v>777</v>
      </c>
      <c r="B1011" s="165" t="s">
        <v>1173</v>
      </c>
      <c r="C1011" s="165" t="s">
        <v>4561</v>
      </c>
      <c r="D1011" s="164">
        <v>2034</v>
      </c>
      <c r="E1011" s="164">
        <v>2259</v>
      </c>
      <c r="F1011" s="164" t="s">
        <v>3955</v>
      </c>
      <c r="G1011" s="164"/>
      <c r="H1011" s="167"/>
      <c r="I1011" s="167"/>
      <c r="J1011" s="167"/>
      <c r="K1011" s="169"/>
      <c r="L1011" s="129"/>
      <c r="M1011" s="129"/>
      <c r="N1011" s="129"/>
      <c r="O1011" s="129"/>
      <c r="P1011" s="146"/>
      <c r="Q1011" s="170"/>
      <c r="R1011" s="171"/>
      <c r="S1011" s="172"/>
    </row>
    <row r="1012" spans="1:19" ht="42.75">
      <c r="A1012" s="164" t="s">
        <v>777</v>
      </c>
      <c r="B1012" s="165" t="s">
        <v>1173</v>
      </c>
      <c r="C1012" s="165" t="s">
        <v>4562</v>
      </c>
      <c r="D1012" s="164">
        <v>2034</v>
      </c>
      <c r="E1012" s="164">
        <v>2291</v>
      </c>
      <c r="F1012" s="164" t="s">
        <v>3955</v>
      </c>
      <c r="G1012" s="164"/>
      <c r="H1012" s="167"/>
      <c r="I1012" s="167"/>
      <c r="J1012" s="167"/>
      <c r="K1012" s="169"/>
      <c r="L1012" s="129"/>
      <c r="M1012" s="129"/>
      <c r="N1012" s="129"/>
      <c r="O1012" s="129"/>
      <c r="P1012" s="146"/>
      <c r="Q1012" s="170"/>
      <c r="R1012" s="171"/>
      <c r="S1012" s="172"/>
    </row>
    <row r="1013" spans="1:19" ht="42.75">
      <c r="A1013" s="164" t="s">
        <v>777</v>
      </c>
      <c r="B1013" s="165" t="s">
        <v>1173</v>
      </c>
      <c r="C1013" s="165" t="s">
        <v>4564</v>
      </c>
      <c r="D1013" s="164">
        <v>6108</v>
      </c>
      <c r="E1013" s="164">
        <v>6162</v>
      </c>
      <c r="F1013" s="164" t="s">
        <v>3955</v>
      </c>
      <c r="G1013" s="164"/>
      <c r="H1013" s="167"/>
      <c r="I1013" s="167"/>
      <c r="J1013" s="167"/>
      <c r="K1013" s="169"/>
      <c r="L1013" s="129"/>
      <c r="M1013" s="129"/>
      <c r="N1013" s="129"/>
      <c r="O1013" s="129"/>
      <c r="P1013" s="146"/>
      <c r="Q1013" s="170"/>
      <c r="R1013" s="171"/>
      <c r="S1013" s="172"/>
    </row>
    <row r="1014" spans="1:19" ht="42.75">
      <c r="A1014" s="164" t="s">
        <v>777</v>
      </c>
      <c r="B1014" s="165" t="s">
        <v>1176</v>
      </c>
      <c r="C1014" s="165" t="s">
        <v>4565</v>
      </c>
      <c r="D1014" s="164">
        <v>5116</v>
      </c>
      <c r="E1014" s="164">
        <v>5116</v>
      </c>
      <c r="F1014" s="164" t="s">
        <v>3955</v>
      </c>
      <c r="G1014" s="164"/>
      <c r="H1014" s="167"/>
      <c r="I1014" s="167"/>
      <c r="J1014" s="167"/>
      <c r="K1014" s="169"/>
      <c r="L1014" s="129"/>
      <c r="M1014" s="129"/>
      <c r="N1014" s="129"/>
      <c r="O1014" s="129"/>
      <c r="P1014" s="146"/>
      <c r="Q1014" s="170"/>
      <c r="R1014" s="171"/>
      <c r="S1014" s="172"/>
    </row>
    <row r="1015" spans="1:19" ht="42.75">
      <c r="A1015" s="164" t="s">
        <v>777</v>
      </c>
      <c r="B1015" s="165" t="s">
        <v>1176</v>
      </c>
      <c r="C1015" s="165" t="s">
        <v>4569</v>
      </c>
      <c r="D1015" s="164">
        <v>4599</v>
      </c>
      <c r="E1015" s="164">
        <v>5272</v>
      </c>
      <c r="F1015" s="164" t="s">
        <v>3955</v>
      </c>
      <c r="G1015" s="164"/>
      <c r="H1015" s="167"/>
      <c r="I1015" s="167"/>
      <c r="J1015" s="167"/>
      <c r="K1015" s="169"/>
      <c r="L1015" s="129"/>
      <c r="M1015" s="129"/>
      <c r="N1015" s="129"/>
      <c r="O1015" s="129"/>
      <c r="P1015" s="146"/>
      <c r="Q1015" s="170"/>
      <c r="R1015" s="171"/>
      <c r="S1015" s="172"/>
    </row>
    <row r="1016" spans="1:19" ht="42.75">
      <c r="A1016" s="164" t="s">
        <v>777</v>
      </c>
      <c r="B1016" s="165" t="s">
        <v>1176</v>
      </c>
      <c r="C1016" s="165" t="s">
        <v>4170</v>
      </c>
      <c r="D1016" s="164">
        <v>852</v>
      </c>
      <c r="E1016" s="164">
        <v>934</v>
      </c>
      <c r="F1016" s="164" t="s">
        <v>3955</v>
      </c>
      <c r="G1016" s="164"/>
      <c r="H1016" s="167"/>
      <c r="I1016" s="167"/>
      <c r="J1016" s="167"/>
      <c r="K1016" s="169"/>
      <c r="L1016" s="129"/>
      <c r="M1016" s="129"/>
      <c r="N1016" s="129"/>
      <c r="O1016" s="129"/>
      <c r="P1016" s="146"/>
      <c r="Q1016" s="170"/>
      <c r="R1016" s="171"/>
      <c r="S1016" s="172"/>
    </row>
    <row r="1017" spans="1:19" ht="42.75">
      <c r="A1017" s="164" t="s">
        <v>777</v>
      </c>
      <c r="B1017" s="165" t="s">
        <v>1176</v>
      </c>
      <c r="C1017" s="165" t="s">
        <v>4570</v>
      </c>
      <c r="D1017" s="164">
        <v>3073</v>
      </c>
      <c r="E1017" s="164">
        <v>3359</v>
      </c>
      <c r="F1017" s="164" t="s">
        <v>3955</v>
      </c>
      <c r="G1017" s="164"/>
      <c r="H1017" s="167"/>
      <c r="I1017" s="167"/>
      <c r="J1017" s="167"/>
      <c r="K1017" s="169"/>
      <c r="L1017" s="129"/>
      <c r="M1017" s="129"/>
      <c r="N1017" s="129"/>
      <c r="O1017" s="129"/>
      <c r="P1017" s="146"/>
      <c r="Q1017" s="170"/>
      <c r="R1017" s="171"/>
      <c r="S1017" s="172"/>
    </row>
    <row r="1018" spans="1:19" ht="42.75">
      <c r="A1018" s="164" t="s">
        <v>777</v>
      </c>
      <c r="B1018" s="165" t="s">
        <v>1176</v>
      </c>
      <c r="C1018" s="165" t="s">
        <v>4571</v>
      </c>
      <c r="D1018" s="164">
        <v>7659</v>
      </c>
      <c r="E1018" s="164">
        <v>9981</v>
      </c>
      <c r="F1018" s="164" t="s">
        <v>3955</v>
      </c>
      <c r="G1018" s="164"/>
      <c r="H1018" s="167"/>
      <c r="I1018" s="167"/>
      <c r="J1018" s="167"/>
      <c r="K1018" s="169"/>
      <c r="L1018" s="129"/>
      <c r="M1018" s="129"/>
      <c r="N1018" s="129"/>
      <c r="O1018" s="129"/>
      <c r="P1018" s="146"/>
      <c r="Q1018" s="170"/>
      <c r="R1018" s="171"/>
      <c r="S1018" s="172"/>
    </row>
    <row r="1019" spans="1:19" ht="42.75">
      <c r="A1019" s="164" t="s">
        <v>777</v>
      </c>
      <c r="B1019" s="165" t="s">
        <v>1176</v>
      </c>
      <c r="C1019" s="165" t="s">
        <v>4045</v>
      </c>
      <c r="D1019" s="164">
        <v>2141</v>
      </c>
      <c r="E1019" s="164">
        <v>2307</v>
      </c>
      <c r="F1019" s="164" t="s">
        <v>3955</v>
      </c>
      <c r="G1019" s="164"/>
      <c r="H1019" s="167"/>
      <c r="I1019" s="167"/>
      <c r="J1019" s="167"/>
      <c r="K1019" s="169"/>
      <c r="L1019" s="129"/>
      <c r="M1019" s="129"/>
      <c r="N1019" s="129"/>
      <c r="O1019" s="129"/>
      <c r="P1019" s="146"/>
      <c r="Q1019" s="170"/>
      <c r="R1019" s="171"/>
      <c r="S1019" s="172"/>
    </row>
    <row r="1020" spans="1:19" ht="42.75">
      <c r="A1020" s="164" t="s">
        <v>777</v>
      </c>
      <c r="B1020" s="165" t="s">
        <v>1176</v>
      </c>
      <c r="C1020" s="165" t="s">
        <v>4572</v>
      </c>
      <c r="D1020" s="164">
        <v>7596</v>
      </c>
      <c r="E1020" s="164">
        <v>7688</v>
      </c>
      <c r="F1020" s="164" t="s">
        <v>3955</v>
      </c>
      <c r="G1020" s="164"/>
      <c r="H1020" s="167"/>
      <c r="I1020" s="167"/>
      <c r="J1020" s="167"/>
      <c r="K1020" s="169"/>
      <c r="L1020" s="129"/>
      <c r="M1020" s="129"/>
      <c r="N1020" s="129"/>
      <c r="O1020" s="129"/>
      <c r="P1020" s="146"/>
      <c r="Q1020" s="170"/>
      <c r="R1020" s="171"/>
      <c r="S1020" s="172"/>
    </row>
    <row r="1021" spans="1:19" ht="42.75">
      <c r="A1021" s="164" t="s">
        <v>777</v>
      </c>
      <c r="B1021" s="165" t="s">
        <v>1176</v>
      </c>
      <c r="C1021" s="165" t="s">
        <v>4573</v>
      </c>
      <c r="D1021" s="164">
        <v>2390</v>
      </c>
      <c r="E1021" s="164">
        <v>2009</v>
      </c>
      <c r="F1021" s="164" t="s">
        <v>3955</v>
      </c>
      <c r="G1021" s="164"/>
      <c r="H1021" s="167"/>
      <c r="I1021" s="167"/>
      <c r="J1021" s="167"/>
      <c r="K1021" s="169"/>
      <c r="L1021" s="129"/>
      <c r="M1021" s="129"/>
      <c r="N1021" s="129"/>
      <c r="O1021" s="129"/>
      <c r="P1021" s="146"/>
      <c r="Q1021" s="170"/>
      <c r="R1021" s="171"/>
      <c r="S1021" s="172"/>
    </row>
    <row r="1022" spans="1:19" ht="42.75">
      <c r="A1022" s="164" t="s">
        <v>777</v>
      </c>
      <c r="B1022" s="165" t="s">
        <v>1176</v>
      </c>
      <c r="C1022" s="165" t="s">
        <v>4574</v>
      </c>
      <c r="D1022" s="164">
        <v>8695</v>
      </c>
      <c r="E1022" s="164">
        <v>8686</v>
      </c>
      <c r="F1022" s="164" t="s">
        <v>3955</v>
      </c>
      <c r="G1022" s="164"/>
      <c r="H1022" s="167"/>
      <c r="I1022" s="167"/>
      <c r="J1022" s="167"/>
      <c r="K1022" s="169"/>
      <c r="L1022" s="129"/>
      <c r="M1022" s="129"/>
      <c r="N1022" s="129"/>
      <c r="O1022" s="129"/>
      <c r="P1022" s="146"/>
      <c r="Q1022" s="170"/>
      <c r="R1022" s="171"/>
      <c r="S1022" s="172"/>
    </row>
    <row r="1023" spans="1:19" ht="42.75">
      <c r="A1023" s="164" t="s">
        <v>777</v>
      </c>
      <c r="B1023" s="165" t="s">
        <v>1176</v>
      </c>
      <c r="C1023" s="165" t="s">
        <v>4575</v>
      </c>
      <c r="D1023" s="164">
        <v>2066</v>
      </c>
      <c r="E1023" s="164">
        <v>2258</v>
      </c>
      <c r="F1023" s="164" t="s">
        <v>3955</v>
      </c>
      <c r="G1023" s="164"/>
      <c r="H1023" s="167"/>
      <c r="I1023" s="196"/>
      <c r="J1023" s="196"/>
      <c r="K1023" s="169"/>
      <c r="L1023" s="129"/>
      <c r="M1023" s="129"/>
      <c r="N1023" s="129"/>
      <c r="O1023" s="129"/>
      <c r="P1023" s="146"/>
      <c r="Q1023" s="170"/>
      <c r="R1023" s="171"/>
      <c r="S1023" s="172"/>
    </row>
    <row r="1024" spans="1:19" ht="42.75">
      <c r="A1024" s="164" t="s">
        <v>777</v>
      </c>
      <c r="B1024" s="165" t="s">
        <v>1176</v>
      </c>
      <c r="C1024" s="165" t="s">
        <v>4577</v>
      </c>
      <c r="D1024" s="164">
        <v>5374</v>
      </c>
      <c r="E1024" s="164">
        <v>5290</v>
      </c>
      <c r="F1024" s="164" t="s">
        <v>3404</v>
      </c>
      <c r="G1024" s="164">
        <v>2024</v>
      </c>
      <c r="H1024" s="221">
        <v>45316</v>
      </c>
      <c r="I1024" s="174">
        <v>45321</v>
      </c>
      <c r="J1024" s="181" t="s">
        <v>7140</v>
      </c>
      <c r="K1024" s="237"/>
      <c r="L1024" s="129" t="s">
        <v>3458</v>
      </c>
      <c r="M1024" s="129"/>
      <c r="N1024" s="129"/>
      <c r="O1024" s="129" t="s">
        <v>3406</v>
      </c>
      <c r="P1024" s="146"/>
      <c r="Q1024" s="170"/>
      <c r="R1024" s="171"/>
      <c r="S1024" s="172"/>
    </row>
    <row r="1025" spans="1:19" ht="42.75">
      <c r="A1025" s="164" t="s">
        <v>777</v>
      </c>
      <c r="B1025" s="165" t="s">
        <v>1176</v>
      </c>
      <c r="C1025" s="165" t="s">
        <v>4576</v>
      </c>
      <c r="D1025" s="164">
        <v>1233</v>
      </c>
      <c r="E1025" s="164">
        <v>1144</v>
      </c>
      <c r="F1025" s="164" t="s">
        <v>3955</v>
      </c>
      <c r="G1025" s="164"/>
      <c r="H1025" s="167"/>
      <c r="I1025" s="167"/>
      <c r="J1025" s="167"/>
      <c r="K1025" s="169"/>
      <c r="L1025" s="129"/>
      <c r="M1025" s="129"/>
      <c r="N1025" s="129"/>
      <c r="O1025" s="129"/>
      <c r="P1025" s="146"/>
      <c r="Q1025" s="170"/>
      <c r="R1025" s="171"/>
      <c r="S1025" s="172"/>
    </row>
    <row r="1026" spans="1:19" ht="42.75">
      <c r="A1026" s="164" t="s">
        <v>777</v>
      </c>
      <c r="B1026" s="165" t="s">
        <v>1176</v>
      </c>
      <c r="C1026" s="165" t="s">
        <v>4579</v>
      </c>
      <c r="D1026" s="164">
        <v>5779</v>
      </c>
      <c r="E1026" s="164">
        <v>5513</v>
      </c>
      <c r="F1026" s="164" t="s">
        <v>3955</v>
      </c>
      <c r="G1026" s="164"/>
      <c r="H1026" s="167"/>
      <c r="I1026" s="167"/>
      <c r="J1026" s="167"/>
      <c r="K1026" s="169"/>
      <c r="L1026" s="129"/>
      <c r="M1026" s="129"/>
      <c r="N1026" s="129"/>
      <c r="O1026" s="129"/>
      <c r="P1026" s="146"/>
      <c r="Q1026" s="170"/>
      <c r="R1026" s="171"/>
      <c r="S1026" s="172"/>
    </row>
    <row r="1027" spans="1:19" ht="42.75">
      <c r="A1027" s="164" t="s">
        <v>777</v>
      </c>
      <c r="B1027" s="165" t="s">
        <v>1176</v>
      </c>
      <c r="C1027" s="165" t="s">
        <v>4578</v>
      </c>
      <c r="D1027" s="164">
        <v>2917</v>
      </c>
      <c r="E1027" s="164">
        <v>3041</v>
      </c>
      <c r="F1027" s="164" t="s">
        <v>3955</v>
      </c>
      <c r="G1027" s="164"/>
      <c r="H1027" s="167"/>
      <c r="I1027" s="167"/>
      <c r="J1027" s="167"/>
      <c r="K1027" s="169"/>
      <c r="L1027" s="129"/>
      <c r="M1027" s="129"/>
      <c r="N1027" s="129"/>
      <c r="O1027" s="129"/>
      <c r="P1027" s="146"/>
      <c r="Q1027" s="170"/>
      <c r="R1027" s="171"/>
      <c r="S1027" s="172"/>
    </row>
    <row r="1028" spans="1:19" ht="42.75">
      <c r="A1028" s="164" t="s">
        <v>777</v>
      </c>
      <c r="B1028" s="165" t="s">
        <v>1176</v>
      </c>
      <c r="C1028" s="165" t="s">
        <v>4425</v>
      </c>
      <c r="D1028" s="164">
        <v>3322</v>
      </c>
      <c r="E1028" s="164">
        <v>3461</v>
      </c>
      <c r="F1028" s="164" t="s">
        <v>3955</v>
      </c>
      <c r="G1028" s="164"/>
      <c r="H1028" s="167"/>
      <c r="I1028" s="167"/>
      <c r="J1028" s="167"/>
      <c r="K1028" s="169"/>
      <c r="L1028" s="129"/>
      <c r="M1028" s="129"/>
      <c r="N1028" s="129"/>
      <c r="O1028" s="129"/>
      <c r="P1028" s="146"/>
      <c r="Q1028" s="170"/>
      <c r="R1028" s="171"/>
      <c r="S1028" s="172"/>
    </row>
    <row r="1029" spans="1:19" ht="42.75">
      <c r="A1029" s="164" t="s">
        <v>777</v>
      </c>
      <c r="B1029" s="165" t="s">
        <v>1176</v>
      </c>
      <c r="C1029" s="165" t="s">
        <v>4582</v>
      </c>
      <c r="D1029" s="164">
        <v>11112</v>
      </c>
      <c r="E1029" s="164">
        <v>11104</v>
      </c>
      <c r="F1029" s="164" t="s">
        <v>3955</v>
      </c>
      <c r="G1029" s="164"/>
      <c r="H1029" s="167"/>
      <c r="I1029" s="167"/>
      <c r="J1029" s="167"/>
      <c r="K1029" s="169"/>
      <c r="L1029" s="129"/>
      <c r="M1029" s="129"/>
      <c r="N1029" s="129"/>
      <c r="O1029" s="129"/>
      <c r="P1029" s="146"/>
      <c r="Q1029" s="170"/>
      <c r="R1029" s="171"/>
      <c r="S1029" s="172"/>
    </row>
    <row r="1030" spans="1:19" ht="42.75">
      <c r="A1030" s="164" t="s">
        <v>777</v>
      </c>
      <c r="B1030" s="165" t="s">
        <v>1176</v>
      </c>
      <c r="C1030" s="165" t="s">
        <v>4584</v>
      </c>
      <c r="D1030" s="164">
        <v>4054</v>
      </c>
      <c r="E1030" s="164">
        <v>5182</v>
      </c>
      <c r="F1030" s="164" t="s">
        <v>3955</v>
      </c>
      <c r="G1030" s="164"/>
      <c r="H1030" s="167"/>
      <c r="I1030" s="167"/>
      <c r="J1030" s="167"/>
      <c r="K1030" s="169"/>
      <c r="L1030" s="129"/>
      <c r="M1030" s="129"/>
      <c r="N1030" s="129"/>
      <c r="O1030" s="129"/>
      <c r="P1030" s="146"/>
      <c r="Q1030" s="170"/>
      <c r="R1030" s="171"/>
      <c r="S1030" s="172"/>
    </row>
    <row r="1031" spans="1:19" ht="42.75">
      <c r="A1031" s="164" t="s">
        <v>777</v>
      </c>
      <c r="B1031" s="165" t="s">
        <v>1176</v>
      </c>
      <c r="C1031" s="165" t="s">
        <v>4586</v>
      </c>
      <c r="D1031" s="164">
        <v>11449</v>
      </c>
      <c r="E1031" s="164">
        <v>11917</v>
      </c>
      <c r="F1031" s="164" t="s">
        <v>3955</v>
      </c>
      <c r="G1031" s="164"/>
      <c r="H1031" s="167"/>
      <c r="I1031" s="167"/>
      <c r="J1031" s="167"/>
      <c r="K1031" s="169"/>
      <c r="L1031" s="129"/>
      <c r="M1031" s="129"/>
      <c r="N1031" s="129"/>
      <c r="O1031" s="129"/>
      <c r="P1031" s="146"/>
      <c r="Q1031" s="170"/>
      <c r="R1031" s="171"/>
      <c r="S1031" s="172"/>
    </row>
    <row r="1032" spans="1:19" ht="42.75">
      <c r="A1032" s="164" t="s">
        <v>777</v>
      </c>
      <c r="B1032" s="165" t="s">
        <v>1176</v>
      </c>
      <c r="C1032" s="165" t="s">
        <v>4611</v>
      </c>
      <c r="D1032" s="164">
        <v>4425</v>
      </c>
      <c r="E1032" s="164">
        <v>4795</v>
      </c>
      <c r="F1032" s="164" t="s">
        <v>3404</v>
      </c>
      <c r="G1032" s="164">
        <v>2024</v>
      </c>
      <c r="H1032" s="175">
        <v>45504</v>
      </c>
      <c r="I1032" s="175">
        <v>45509</v>
      </c>
      <c r="J1032" s="168" t="s">
        <v>7141</v>
      </c>
      <c r="K1032" s="174">
        <v>45512</v>
      </c>
      <c r="L1032" s="129" t="s">
        <v>3126</v>
      </c>
      <c r="M1032" s="129" t="s">
        <v>4</v>
      </c>
      <c r="N1032" s="129" t="s">
        <v>50</v>
      </c>
      <c r="O1032" s="129" t="s">
        <v>3406</v>
      </c>
      <c r="P1032" s="146"/>
      <c r="Q1032" s="170">
        <v>45513</v>
      </c>
      <c r="R1032" s="171" t="s">
        <v>6643</v>
      </c>
      <c r="S1032" s="172"/>
    </row>
    <row r="1033" spans="1:19" ht="42.75">
      <c r="A1033" s="164" t="s">
        <v>777</v>
      </c>
      <c r="B1033" s="165" t="s">
        <v>1176</v>
      </c>
      <c r="C1033" s="165" t="s">
        <v>4589</v>
      </c>
      <c r="D1033" s="164">
        <v>1816</v>
      </c>
      <c r="E1033" s="164">
        <v>2163</v>
      </c>
      <c r="F1033" s="164" t="s">
        <v>3955</v>
      </c>
      <c r="G1033" s="164"/>
      <c r="H1033" s="167"/>
      <c r="I1033" s="167"/>
      <c r="J1033" s="167"/>
      <c r="K1033" s="169"/>
      <c r="L1033" s="129"/>
      <c r="M1033" s="129"/>
      <c r="N1033" s="129"/>
      <c r="O1033" s="129"/>
      <c r="P1033" s="146"/>
      <c r="Q1033" s="170"/>
      <c r="R1033" s="171"/>
      <c r="S1033" s="172"/>
    </row>
    <row r="1034" spans="1:19" ht="42.75">
      <c r="A1034" s="164" t="s">
        <v>777</v>
      </c>
      <c r="B1034" s="165" t="s">
        <v>1176</v>
      </c>
      <c r="C1034" s="165" t="s">
        <v>4590</v>
      </c>
      <c r="D1034" s="164">
        <v>172</v>
      </c>
      <c r="E1034" s="164">
        <v>95</v>
      </c>
      <c r="F1034" s="164" t="s">
        <v>3955</v>
      </c>
      <c r="G1034" s="164"/>
      <c r="H1034" s="167"/>
      <c r="I1034" s="167"/>
      <c r="J1034" s="167"/>
      <c r="K1034" s="169"/>
      <c r="L1034" s="129"/>
      <c r="M1034" s="129"/>
      <c r="N1034" s="129"/>
      <c r="O1034" s="129"/>
      <c r="P1034" s="146"/>
      <c r="Q1034" s="170"/>
      <c r="R1034" s="171"/>
      <c r="S1034" s="172"/>
    </row>
    <row r="1035" spans="1:19" ht="42.75">
      <c r="A1035" s="164" t="s">
        <v>777</v>
      </c>
      <c r="B1035" s="165" t="s">
        <v>1176</v>
      </c>
      <c r="C1035" s="165" t="s">
        <v>4588</v>
      </c>
      <c r="D1035" s="164">
        <v>1614</v>
      </c>
      <c r="E1035" s="164">
        <v>1920</v>
      </c>
      <c r="F1035" s="164" t="s">
        <v>3955</v>
      </c>
      <c r="G1035" s="164"/>
      <c r="H1035" s="167"/>
      <c r="I1035" s="167"/>
      <c r="J1035" s="167"/>
      <c r="K1035" s="169"/>
      <c r="L1035" s="129"/>
      <c r="M1035" s="129"/>
      <c r="N1035" s="129"/>
      <c r="O1035" s="129"/>
      <c r="P1035" s="146"/>
      <c r="Q1035" s="170"/>
      <c r="R1035" s="171"/>
      <c r="S1035" s="172"/>
    </row>
    <row r="1036" spans="1:19" ht="42.75">
      <c r="A1036" s="164" t="s">
        <v>777</v>
      </c>
      <c r="B1036" s="165" t="s">
        <v>1176</v>
      </c>
      <c r="C1036" s="165" t="s">
        <v>4591</v>
      </c>
      <c r="D1036" s="164">
        <v>1451</v>
      </c>
      <c r="E1036" s="164">
        <v>1791</v>
      </c>
      <c r="F1036" s="164" t="s">
        <v>3955</v>
      </c>
      <c r="G1036" s="164"/>
      <c r="H1036" s="167"/>
      <c r="I1036" s="167"/>
      <c r="J1036" s="167"/>
      <c r="K1036" s="169"/>
      <c r="L1036" s="129"/>
      <c r="M1036" s="129"/>
      <c r="N1036" s="129"/>
      <c r="O1036" s="129"/>
      <c r="P1036" s="146"/>
      <c r="Q1036" s="170"/>
      <c r="R1036" s="171"/>
      <c r="S1036" s="172"/>
    </row>
    <row r="1037" spans="1:19" ht="42.75">
      <c r="A1037" s="164" t="s">
        <v>777</v>
      </c>
      <c r="B1037" s="165" t="s">
        <v>1176</v>
      </c>
      <c r="C1037" s="165" t="s">
        <v>4593</v>
      </c>
      <c r="D1037" s="164">
        <v>4145</v>
      </c>
      <c r="E1037" s="164">
        <v>5354</v>
      </c>
      <c r="F1037" s="164" t="s">
        <v>3955</v>
      </c>
      <c r="G1037" s="164"/>
      <c r="H1037" s="167"/>
      <c r="I1037" s="167"/>
      <c r="J1037" s="167"/>
      <c r="K1037" s="169"/>
      <c r="L1037" s="129"/>
      <c r="M1037" s="129"/>
      <c r="N1037" s="129"/>
      <c r="O1037" s="129"/>
      <c r="P1037" s="146"/>
      <c r="Q1037" s="170"/>
      <c r="R1037" s="171"/>
      <c r="S1037" s="172"/>
    </row>
    <row r="1038" spans="1:19" ht="42.75">
      <c r="A1038" s="164" t="s">
        <v>777</v>
      </c>
      <c r="B1038" s="165" t="s">
        <v>1176</v>
      </c>
      <c r="C1038" s="165" t="s">
        <v>4594</v>
      </c>
      <c r="D1038" s="164">
        <v>7191</v>
      </c>
      <c r="E1038" s="164">
        <v>8030</v>
      </c>
      <c r="F1038" s="164" t="s">
        <v>3955</v>
      </c>
      <c r="G1038" s="164"/>
      <c r="H1038" s="167"/>
      <c r="I1038" s="167"/>
      <c r="J1038" s="167"/>
      <c r="K1038" s="169"/>
      <c r="L1038" s="129"/>
      <c r="M1038" s="129"/>
      <c r="N1038" s="129"/>
      <c r="O1038" s="129"/>
      <c r="P1038" s="146"/>
      <c r="Q1038" s="170"/>
      <c r="R1038" s="171"/>
      <c r="S1038" s="172"/>
    </row>
    <row r="1039" spans="1:19" ht="42.75">
      <c r="A1039" s="164" t="s">
        <v>777</v>
      </c>
      <c r="B1039" s="165" t="s">
        <v>1176</v>
      </c>
      <c r="C1039" s="165" t="s">
        <v>4596</v>
      </c>
      <c r="D1039" s="164">
        <v>2057</v>
      </c>
      <c r="E1039" s="164">
        <v>2202</v>
      </c>
      <c r="F1039" s="164" t="s">
        <v>3955</v>
      </c>
      <c r="G1039" s="164"/>
      <c r="H1039" s="167"/>
      <c r="I1039" s="167"/>
      <c r="J1039" s="167"/>
      <c r="K1039" s="169"/>
      <c r="L1039" s="129"/>
      <c r="M1039" s="129"/>
      <c r="N1039" s="129"/>
      <c r="O1039" s="129"/>
      <c r="P1039" s="146"/>
      <c r="Q1039" s="170"/>
      <c r="R1039" s="171"/>
      <c r="S1039" s="172"/>
    </row>
    <row r="1040" spans="1:19" ht="42.75">
      <c r="A1040" s="164" t="s">
        <v>777</v>
      </c>
      <c r="B1040" s="165" t="s">
        <v>1176</v>
      </c>
      <c r="C1040" s="165" t="s">
        <v>4592</v>
      </c>
      <c r="D1040" s="164">
        <v>4480</v>
      </c>
      <c r="E1040" s="164">
        <v>4344</v>
      </c>
      <c r="F1040" s="164" t="s">
        <v>3955</v>
      </c>
      <c r="G1040" s="164"/>
      <c r="H1040" s="167"/>
      <c r="I1040" s="167"/>
      <c r="J1040" s="167"/>
      <c r="K1040" s="169"/>
      <c r="L1040" s="129"/>
      <c r="M1040" s="129"/>
      <c r="N1040" s="129"/>
      <c r="O1040" s="129"/>
      <c r="P1040" s="146"/>
      <c r="Q1040" s="170"/>
      <c r="R1040" s="171"/>
      <c r="S1040" s="172"/>
    </row>
    <row r="1041" spans="1:19" ht="42.75">
      <c r="A1041" s="164" t="s">
        <v>777</v>
      </c>
      <c r="B1041" s="165" t="s">
        <v>1176</v>
      </c>
      <c r="C1041" s="165" t="s">
        <v>4597</v>
      </c>
      <c r="D1041" s="164">
        <v>1421</v>
      </c>
      <c r="E1041" s="164">
        <v>1281</v>
      </c>
      <c r="F1041" s="164" t="s">
        <v>3955</v>
      </c>
      <c r="G1041" s="164"/>
      <c r="H1041" s="167"/>
      <c r="I1041" s="196"/>
      <c r="J1041" s="196"/>
      <c r="K1041" s="169"/>
      <c r="L1041" s="129"/>
      <c r="M1041" s="129"/>
      <c r="N1041" s="129"/>
      <c r="O1041" s="129"/>
      <c r="P1041" s="146"/>
      <c r="Q1041" s="170"/>
      <c r="R1041" s="171"/>
      <c r="S1041" s="172"/>
    </row>
    <row r="1042" spans="1:19" ht="42.75">
      <c r="A1042" s="164" t="s">
        <v>777</v>
      </c>
      <c r="B1042" s="165" t="s">
        <v>1176</v>
      </c>
      <c r="C1042" s="165" t="s">
        <v>4600</v>
      </c>
      <c r="D1042" s="164">
        <v>7076</v>
      </c>
      <c r="E1042" s="164">
        <v>7405</v>
      </c>
      <c r="F1042" s="164" t="s">
        <v>3404</v>
      </c>
      <c r="G1042" s="164">
        <v>2024</v>
      </c>
      <c r="H1042" s="221">
        <v>45316</v>
      </c>
      <c r="I1042" s="174">
        <v>45321</v>
      </c>
      <c r="J1042" s="235" t="s">
        <v>7140</v>
      </c>
      <c r="K1042" s="193">
        <v>45348</v>
      </c>
      <c r="L1042" s="129" t="s">
        <v>3458</v>
      </c>
      <c r="M1042" s="129"/>
      <c r="N1042" s="129"/>
      <c r="O1042" s="129" t="s">
        <v>3406</v>
      </c>
      <c r="P1042" s="146"/>
      <c r="Q1042" s="170">
        <v>45349</v>
      </c>
      <c r="R1042" s="171" t="s">
        <v>6643</v>
      </c>
      <c r="S1042" s="172" t="s">
        <v>7142</v>
      </c>
    </row>
    <row r="1043" spans="1:19" ht="42.75">
      <c r="A1043" s="164" t="s">
        <v>777</v>
      </c>
      <c r="B1043" s="165" t="s">
        <v>1176</v>
      </c>
      <c r="C1043" s="165" t="s">
        <v>4599</v>
      </c>
      <c r="D1043" s="164">
        <v>886</v>
      </c>
      <c r="E1043" s="164">
        <v>777</v>
      </c>
      <c r="F1043" s="164" t="s">
        <v>3955</v>
      </c>
      <c r="G1043" s="164"/>
      <c r="H1043" s="167"/>
      <c r="I1043" s="167"/>
      <c r="J1043" s="167"/>
      <c r="K1043" s="169"/>
      <c r="L1043" s="129"/>
      <c r="M1043" s="129"/>
      <c r="N1043" s="129"/>
      <c r="O1043" s="129"/>
      <c r="P1043" s="146"/>
      <c r="Q1043" s="170"/>
      <c r="R1043" s="171"/>
      <c r="S1043" s="172"/>
    </row>
    <row r="1044" spans="1:19" ht="42.75">
      <c r="A1044" s="164" t="s">
        <v>777</v>
      </c>
      <c r="B1044" s="165" t="s">
        <v>1176</v>
      </c>
      <c r="C1044" s="165" t="s">
        <v>4601</v>
      </c>
      <c r="D1044" s="164">
        <v>1548</v>
      </c>
      <c r="E1044" s="164">
        <v>1516</v>
      </c>
      <c r="F1044" s="164" t="s">
        <v>3955</v>
      </c>
      <c r="G1044" s="164"/>
      <c r="H1044" s="167"/>
      <c r="I1044" s="167"/>
      <c r="J1044" s="167"/>
      <c r="K1044" s="169"/>
      <c r="L1044" s="129"/>
      <c r="M1044" s="129"/>
      <c r="N1044" s="129"/>
      <c r="O1044" s="129"/>
      <c r="P1044" s="146"/>
      <c r="Q1044" s="170"/>
      <c r="R1044" s="171"/>
      <c r="S1044" s="172"/>
    </row>
    <row r="1045" spans="1:19" ht="42.75">
      <c r="A1045" s="164" t="s">
        <v>777</v>
      </c>
      <c r="B1045" s="165" t="s">
        <v>1176</v>
      </c>
      <c r="C1045" s="165" t="s">
        <v>4603</v>
      </c>
      <c r="D1045" s="164">
        <v>2313</v>
      </c>
      <c r="E1045" s="164">
        <v>2662</v>
      </c>
      <c r="F1045" s="164" t="s">
        <v>3955</v>
      </c>
      <c r="G1045" s="164"/>
      <c r="H1045" s="167"/>
      <c r="I1045" s="167"/>
      <c r="J1045" s="167"/>
      <c r="K1045" s="169"/>
      <c r="L1045" s="129"/>
      <c r="M1045" s="129"/>
      <c r="N1045" s="129"/>
      <c r="O1045" s="129"/>
      <c r="P1045" s="146"/>
      <c r="Q1045" s="170"/>
      <c r="R1045" s="171"/>
      <c r="S1045" s="172"/>
    </row>
    <row r="1046" spans="1:19" ht="42.75">
      <c r="A1046" s="164" t="s">
        <v>777</v>
      </c>
      <c r="B1046" s="165" t="s">
        <v>1176</v>
      </c>
      <c r="C1046" s="165" t="s">
        <v>4607</v>
      </c>
      <c r="D1046" s="164">
        <v>4001</v>
      </c>
      <c r="E1046" s="164">
        <v>3639</v>
      </c>
      <c r="F1046" s="164" t="s">
        <v>3404</v>
      </c>
      <c r="G1046" s="164">
        <v>2024</v>
      </c>
      <c r="H1046" s="175">
        <v>45595</v>
      </c>
      <c r="I1046" s="175">
        <v>45603</v>
      </c>
      <c r="J1046" s="168" t="s">
        <v>7143</v>
      </c>
      <c r="K1046" s="174">
        <v>45612</v>
      </c>
      <c r="L1046" s="129" t="s">
        <v>3129</v>
      </c>
      <c r="M1046" s="129" t="s">
        <v>4</v>
      </c>
      <c r="N1046" s="129" t="s">
        <v>50</v>
      </c>
      <c r="O1046" s="129" t="s">
        <v>3406</v>
      </c>
      <c r="P1046" s="146"/>
      <c r="Q1046" s="170">
        <v>45614</v>
      </c>
      <c r="R1046" s="171" t="s">
        <v>6643</v>
      </c>
      <c r="S1046" s="172"/>
    </row>
    <row r="1047" spans="1:19" ht="42.75">
      <c r="A1047" s="164" t="s">
        <v>777</v>
      </c>
      <c r="B1047" s="165" t="s">
        <v>1176</v>
      </c>
      <c r="C1047" s="165" t="s">
        <v>4608</v>
      </c>
      <c r="D1047" s="164">
        <v>2081</v>
      </c>
      <c r="E1047" s="164">
        <v>2340</v>
      </c>
      <c r="F1047" s="164" t="s">
        <v>3955</v>
      </c>
      <c r="G1047" s="164"/>
      <c r="H1047" s="167"/>
      <c r="I1047" s="167"/>
      <c r="J1047" s="167"/>
      <c r="K1047" s="169"/>
      <c r="L1047" s="129"/>
      <c r="M1047" s="129"/>
      <c r="N1047" s="129"/>
      <c r="O1047" s="129"/>
      <c r="P1047" s="146"/>
      <c r="Q1047" s="170"/>
      <c r="R1047" s="171"/>
      <c r="S1047" s="172"/>
    </row>
    <row r="1048" spans="1:19" ht="42.75">
      <c r="A1048" s="164" t="s">
        <v>777</v>
      </c>
      <c r="B1048" s="165" t="s">
        <v>1176</v>
      </c>
      <c r="C1048" s="165" t="s">
        <v>4580</v>
      </c>
      <c r="D1048" s="164">
        <v>1757</v>
      </c>
      <c r="E1048" s="164">
        <v>1836</v>
      </c>
      <c r="F1048" s="164" t="s">
        <v>3955</v>
      </c>
      <c r="G1048" s="164"/>
      <c r="H1048" s="167"/>
      <c r="I1048" s="167"/>
      <c r="J1048" s="167"/>
      <c r="K1048" s="169"/>
      <c r="L1048" s="129"/>
      <c r="M1048" s="129"/>
      <c r="N1048" s="129"/>
      <c r="O1048" s="129"/>
      <c r="P1048" s="146"/>
      <c r="Q1048" s="170"/>
      <c r="R1048" s="171"/>
      <c r="S1048" s="172"/>
    </row>
    <row r="1049" spans="1:19" ht="42.75">
      <c r="A1049" s="164" t="s">
        <v>777</v>
      </c>
      <c r="B1049" s="165" t="s">
        <v>1176</v>
      </c>
      <c r="C1049" s="165" t="s">
        <v>4609</v>
      </c>
      <c r="D1049" s="164">
        <v>3344</v>
      </c>
      <c r="E1049" s="164">
        <v>3585</v>
      </c>
      <c r="F1049" s="164" t="s">
        <v>3955</v>
      </c>
      <c r="G1049" s="164"/>
      <c r="H1049" s="167"/>
      <c r="I1049" s="167"/>
      <c r="J1049" s="167"/>
      <c r="K1049" s="169"/>
      <c r="L1049" s="129"/>
      <c r="M1049" s="129"/>
      <c r="N1049" s="129"/>
      <c r="O1049" s="129"/>
      <c r="P1049" s="146"/>
      <c r="Q1049" s="170"/>
      <c r="R1049" s="171"/>
      <c r="S1049" s="172"/>
    </row>
    <row r="1050" spans="1:19" ht="42.75">
      <c r="A1050" s="164" t="s">
        <v>777</v>
      </c>
      <c r="B1050" s="165" t="s">
        <v>1176</v>
      </c>
      <c r="C1050" s="165" t="s">
        <v>4610</v>
      </c>
      <c r="D1050" s="164">
        <v>5056</v>
      </c>
      <c r="E1050" s="164">
        <v>6210</v>
      </c>
      <c r="F1050" s="164" t="s">
        <v>3955</v>
      </c>
      <c r="G1050" s="164"/>
      <c r="H1050" s="167"/>
      <c r="I1050" s="167"/>
      <c r="J1050" s="167"/>
      <c r="K1050" s="169"/>
      <c r="L1050" s="129"/>
      <c r="M1050" s="129"/>
      <c r="N1050" s="129"/>
      <c r="O1050" s="129"/>
      <c r="P1050" s="146"/>
      <c r="Q1050" s="170"/>
      <c r="R1050" s="171"/>
      <c r="S1050" s="172"/>
    </row>
    <row r="1051" spans="1:19" ht="42.75">
      <c r="A1051" s="164" t="s">
        <v>777</v>
      </c>
      <c r="B1051" s="165" t="s">
        <v>1176</v>
      </c>
      <c r="C1051" s="165" t="s">
        <v>4612</v>
      </c>
      <c r="D1051" s="164">
        <v>2366</v>
      </c>
      <c r="E1051" s="164">
        <v>2715</v>
      </c>
      <c r="F1051" s="164" t="s">
        <v>3955</v>
      </c>
      <c r="G1051" s="164"/>
      <c r="H1051" s="167"/>
      <c r="I1051" s="167"/>
      <c r="J1051" s="196"/>
      <c r="K1051" s="169"/>
      <c r="L1051" s="129"/>
      <c r="M1051" s="129"/>
      <c r="N1051" s="129"/>
      <c r="O1051" s="129"/>
      <c r="P1051" s="146"/>
      <c r="Q1051" s="170"/>
      <c r="R1051" s="171"/>
      <c r="S1051" s="172"/>
    </row>
    <row r="1052" spans="1:19" ht="42.75">
      <c r="A1052" s="164" t="s">
        <v>777</v>
      </c>
      <c r="B1052" s="165" t="s">
        <v>1176</v>
      </c>
      <c r="C1052" s="165" t="s">
        <v>4614</v>
      </c>
      <c r="D1052" s="164">
        <v>4670</v>
      </c>
      <c r="E1052" s="164">
        <v>6148</v>
      </c>
      <c r="F1052" s="164" t="s">
        <v>3404</v>
      </c>
      <c r="G1052" s="164">
        <v>2024</v>
      </c>
      <c r="H1052" s="175">
        <v>45595</v>
      </c>
      <c r="I1052" s="238">
        <v>45603</v>
      </c>
      <c r="J1052" s="239" t="s">
        <v>7144</v>
      </c>
      <c r="K1052" s="193">
        <v>45613</v>
      </c>
      <c r="L1052" s="129" t="s">
        <v>3129</v>
      </c>
      <c r="M1052" s="129" t="s">
        <v>6701</v>
      </c>
      <c r="N1052" s="129" t="s">
        <v>3528</v>
      </c>
      <c r="O1052" s="129" t="s">
        <v>3406</v>
      </c>
      <c r="P1052" s="146"/>
      <c r="Q1052" s="170">
        <v>45614</v>
      </c>
      <c r="R1052" s="171" t="s">
        <v>6643</v>
      </c>
      <c r="S1052" s="172"/>
    </row>
    <row r="1053" spans="1:19" ht="42.75">
      <c r="A1053" s="164" t="s">
        <v>777</v>
      </c>
      <c r="B1053" s="165" t="s">
        <v>1176</v>
      </c>
      <c r="C1053" s="165" t="s">
        <v>4615</v>
      </c>
      <c r="D1053" s="164">
        <v>3314</v>
      </c>
      <c r="E1053" s="164">
        <v>3208</v>
      </c>
      <c r="F1053" s="164" t="s">
        <v>3404</v>
      </c>
      <c r="G1053" s="164">
        <v>2024</v>
      </c>
      <c r="H1053" s="221">
        <v>45421</v>
      </c>
      <c r="I1053" s="174">
        <v>45425</v>
      </c>
      <c r="J1053" s="240" t="s">
        <v>7145</v>
      </c>
      <c r="K1053" s="193">
        <v>45429</v>
      </c>
      <c r="L1053" s="129" t="s">
        <v>3532</v>
      </c>
      <c r="M1053" s="129"/>
      <c r="N1053" s="129"/>
      <c r="O1053" s="129" t="s">
        <v>3406</v>
      </c>
      <c r="P1053" s="146"/>
      <c r="Q1053" s="170">
        <v>45432</v>
      </c>
      <c r="R1053" s="171"/>
      <c r="S1053" s="172"/>
    </row>
    <row r="1054" spans="1:19" ht="42.75">
      <c r="A1054" s="164" t="s">
        <v>777</v>
      </c>
      <c r="B1054" s="165" t="s">
        <v>1176</v>
      </c>
      <c r="C1054" s="165" t="s">
        <v>4616</v>
      </c>
      <c r="D1054" s="164">
        <v>4317</v>
      </c>
      <c r="E1054" s="164">
        <v>5501</v>
      </c>
      <c r="F1054" s="164" t="s">
        <v>3404</v>
      </c>
      <c r="G1054" s="164">
        <v>2024</v>
      </c>
      <c r="H1054" s="221">
        <v>45316</v>
      </c>
      <c r="I1054" s="174">
        <v>45321</v>
      </c>
      <c r="J1054" s="235" t="s">
        <v>7140</v>
      </c>
      <c r="K1054" s="237"/>
      <c r="L1054" s="129" t="s">
        <v>3458</v>
      </c>
      <c r="M1054" s="129"/>
      <c r="N1054" s="129"/>
      <c r="O1054" s="129" t="s">
        <v>3406</v>
      </c>
      <c r="P1054" s="146"/>
      <c r="Q1054" s="170"/>
      <c r="R1054" s="171"/>
      <c r="S1054" s="172"/>
    </row>
    <row r="1055" spans="1:19" ht="42.75">
      <c r="A1055" s="164" t="s">
        <v>777</v>
      </c>
      <c r="B1055" s="165" t="s">
        <v>1176</v>
      </c>
      <c r="C1055" s="165" t="s">
        <v>4617</v>
      </c>
      <c r="D1055" s="164">
        <v>3378</v>
      </c>
      <c r="E1055" s="164">
        <v>3623</v>
      </c>
      <c r="F1055" s="164" t="s">
        <v>3955</v>
      </c>
      <c r="G1055" s="164"/>
      <c r="H1055" s="167"/>
      <c r="I1055" s="167"/>
      <c r="J1055" s="167"/>
      <c r="K1055" s="169"/>
      <c r="L1055" s="129"/>
      <c r="M1055" s="129"/>
      <c r="N1055" s="129"/>
      <c r="O1055" s="129"/>
      <c r="P1055" s="146"/>
      <c r="Q1055" s="170"/>
      <c r="R1055" s="171"/>
      <c r="S1055" s="172"/>
    </row>
    <row r="1056" spans="1:19" ht="42.75">
      <c r="A1056" s="164" t="s">
        <v>777</v>
      </c>
      <c r="B1056" s="165" t="s">
        <v>1176</v>
      </c>
      <c r="C1056" s="165" t="s">
        <v>7146</v>
      </c>
      <c r="D1056" s="164">
        <v>4492</v>
      </c>
      <c r="E1056" s="164">
        <v>4242</v>
      </c>
      <c r="F1056" s="164" t="s">
        <v>3955</v>
      </c>
      <c r="G1056" s="164"/>
      <c r="H1056" s="167"/>
      <c r="I1056" s="167"/>
      <c r="J1056" s="167"/>
      <c r="K1056" s="169"/>
      <c r="L1056" s="129"/>
      <c r="M1056" s="129"/>
      <c r="N1056" s="129"/>
      <c r="O1056" s="129"/>
      <c r="P1056" s="146"/>
      <c r="Q1056" s="170"/>
      <c r="R1056" s="171"/>
      <c r="S1056" s="172"/>
    </row>
    <row r="1057" spans="1:19" ht="42.75">
      <c r="A1057" s="164" t="s">
        <v>777</v>
      </c>
      <c r="B1057" s="165" t="s">
        <v>1176</v>
      </c>
      <c r="C1057" s="165" t="s">
        <v>4623</v>
      </c>
      <c r="D1057" s="164">
        <v>1123</v>
      </c>
      <c r="E1057" s="164">
        <v>1010</v>
      </c>
      <c r="F1057" s="164" t="s">
        <v>3955</v>
      </c>
      <c r="G1057" s="164"/>
      <c r="H1057" s="167"/>
      <c r="I1057" s="167"/>
      <c r="J1057" s="167"/>
      <c r="K1057" s="169"/>
      <c r="L1057" s="129"/>
      <c r="M1057" s="129"/>
      <c r="N1057" s="129"/>
      <c r="O1057" s="129"/>
      <c r="P1057" s="146"/>
      <c r="Q1057" s="170"/>
      <c r="R1057" s="171"/>
      <c r="S1057" s="172"/>
    </row>
    <row r="1058" spans="1:19" ht="42.75">
      <c r="A1058" s="164" t="s">
        <v>777</v>
      </c>
      <c r="B1058" s="165" t="s">
        <v>1176</v>
      </c>
      <c r="C1058" s="165" t="s">
        <v>4613</v>
      </c>
      <c r="D1058" s="164">
        <v>2457</v>
      </c>
      <c r="E1058" s="164">
        <v>2478</v>
      </c>
      <c r="F1058" s="164" t="s">
        <v>3955</v>
      </c>
      <c r="G1058" s="164"/>
      <c r="H1058" s="167"/>
      <c r="I1058" s="167"/>
      <c r="J1058" s="167"/>
      <c r="K1058" s="169"/>
      <c r="L1058" s="129"/>
      <c r="M1058" s="129"/>
      <c r="N1058" s="129"/>
      <c r="O1058" s="129"/>
      <c r="P1058" s="146"/>
      <c r="Q1058" s="170"/>
      <c r="R1058" s="171"/>
      <c r="S1058" s="172"/>
    </row>
    <row r="1059" spans="1:19" ht="42.75">
      <c r="A1059" s="164" t="s">
        <v>777</v>
      </c>
      <c r="B1059" s="165" t="s">
        <v>1176</v>
      </c>
      <c r="C1059" s="165" t="s">
        <v>4624</v>
      </c>
      <c r="D1059" s="164">
        <v>2288</v>
      </c>
      <c r="E1059" s="164">
        <v>2750</v>
      </c>
      <c r="F1059" s="164" t="s">
        <v>3955</v>
      </c>
      <c r="G1059" s="164"/>
      <c r="H1059" s="167"/>
      <c r="I1059" s="167"/>
      <c r="J1059" s="167"/>
      <c r="K1059" s="169"/>
      <c r="L1059" s="129"/>
      <c r="M1059" s="129"/>
      <c r="N1059" s="129"/>
      <c r="O1059" s="129"/>
      <c r="P1059" s="146"/>
      <c r="Q1059" s="170"/>
      <c r="R1059" s="171"/>
      <c r="S1059" s="172"/>
    </row>
    <row r="1060" spans="1:19" ht="42.75">
      <c r="A1060" s="164" t="s">
        <v>777</v>
      </c>
      <c r="B1060" s="165" t="s">
        <v>1176</v>
      </c>
      <c r="C1060" s="165" t="s">
        <v>4605</v>
      </c>
      <c r="D1060" s="164">
        <v>5473</v>
      </c>
      <c r="E1060" s="164">
        <v>5904</v>
      </c>
      <c r="F1060" s="164" t="s">
        <v>3955</v>
      </c>
      <c r="G1060" s="164"/>
      <c r="H1060" s="167"/>
      <c r="I1060" s="167"/>
      <c r="J1060" s="167"/>
      <c r="K1060" s="169"/>
      <c r="L1060" s="129"/>
      <c r="M1060" s="129"/>
      <c r="N1060" s="129"/>
      <c r="O1060" s="129"/>
      <c r="P1060" s="146"/>
      <c r="Q1060" s="170"/>
      <c r="R1060" s="171"/>
      <c r="S1060" s="172"/>
    </row>
    <row r="1061" spans="1:19" ht="42.75">
      <c r="A1061" s="164" t="s">
        <v>777</v>
      </c>
      <c r="B1061" s="165" t="s">
        <v>1176</v>
      </c>
      <c r="C1061" s="165" t="s">
        <v>4626</v>
      </c>
      <c r="D1061" s="164">
        <v>654</v>
      </c>
      <c r="E1061" s="164">
        <v>387</v>
      </c>
      <c r="F1061" s="164" t="s">
        <v>3955</v>
      </c>
      <c r="G1061" s="164"/>
      <c r="H1061" s="167"/>
      <c r="I1061" s="167"/>
      <c r="J1061" s="167"/>
      <c r="K1061" s="169"/>
      <c r="L1061" s="129"/>
      <c r="M1061" s="129"/>
      <c r="N1061" s="129"/>
      <c r="O1061" s="129"/>
      <c r="P1061" s="146"/>
      <c r="Q1061" s="170"/>
      <c r="R1061" s="171"/>
      <c r="S1061" s="172"/>
    </row>
    <row r="1062" spans="1:19" ht="42.75">
      <c r="A1062" s="164" t="s">
        <v>777</v>
      </c>
      <c r="B1062" s="165" t="s">
        <v>1176</v>
      </c>
      <c r="C1062" s="165" t="s">
        <v>4628</v>
      </c>
      <c r="D1062" s="164">
        <v>4361</v>
      </c>
      <c r="E1062" s="164">
        <v>4360</v>
      </c>
      <c r="F1062" s="164" t="s">
        <v>3955</v>
      </c>
      <c r="G1062" s="164"/>
      <c r="H1062" s="167"/>
      <c r="I1062" s="196"/>
      <c r="J1062" s="196"/>
      <c r="K1062" s="169"/>
      <c r="L1062" s="129"/>
      <c r="M1062" s="129"/>
      <c r="N1062" s="129"/>
      <c r="O1062" s="129"/>
      <c r="P1062" s="146"/>
      <c r="Q1062" s="170"/>
      <c r="R1062" s="171"/>
      <c r="S1062" s="172"/>
    </row>
    <row r="1063" spans="1:19" ht="42.75">
      <c r="A1063" s="164" t="s">
        <v>777</v>
      </c>
      <c r="B1063" s="165" t="s">
        <v>1176</v>
      </c>
      <c r="C1063" s="165" t="s">
        <v>4630</v>
      </c>
      <c r="D1063" s="164">
        <v>4018</v>
      </c>
      <c r="E1063" s="164">
        <v>4298</v>
      </c>
      <c r="F1063" s="164" t="s">
        <v>3404</v>
      </c>
      <c r="G1063" s="164">
        <v>2024</v>
      </c>
      <c r="H1063" s="221">
        <v>45316</v>
      </c>
      <c r="I1063" s="174">
        <v>45321</v>
      </c>
      <c r="J1063" s="235" t="s">
        <v>7140</v>
      </c>
      <c r="K1063" s="237"/>
      <c r="L1063" s="129" t="s">
        <v>3458</v>
      </c>
      <c r="M1063" s="129"/>
      <c r="N1063" s="129"/>
      <c r="O1063" s="129" t="s">
        <v>3406</v>
      </c>
      <c r="P1063" s="146"/>
      <c r="Q1063" s="170"/>
      <c r="R1063" s="171"/>
      <c r="S1063" s="172"/>
    </row>
    <row r="1064" spans="1:19" ht="42.75">
      <c r="A1064" s="164" t="s">
        <v>777</v>
      </c>
      <c r="B1064" s="165" t="s">
        <v>1176</v>
      </c>
      <c r="C1064" s="165" t="s">
        <v>1177</v>
      </c>
      <c r="D1064" s="164">
        <v>2997</v>
      </c>
      <c r="E1064" s="164">
        <v>3261</v>
      </c>
      <c r="F1064" s="164" t="s">
        <v>3404</v>
      </c>
      <c r="G1064" s="164">
        <v>2024</v>
      </c>
      <c r="H1064" s="175">
        <v>45558</v>
      </c>
      <c r="I1064" s="175">
        <v>45560</v>
      </c>
      <c r="J1064" s="168" t="s">
        <v>7147</v>
      </c>
      <c r="K1064" s="174">
        <v>45569</v>
      </c>
      <c r="L1064" s="129" t="s">
        <v>3128</v>
      </c>
      <c r="M1064" s="129" t="s">
        <v>4</v>
      </c>
      <c r="N1064" s="129" t="s">
        <v>50</v>
      </c>
      <c r="O1064" s="129" t="s">
        <v>3406</v>
      </c>
      <c r="P1064" s="146"/>
      <c r="Q1064" s="189">
        <v>45569</v>
      </c>
      <c r="R1064" s="115" t="s">
        <v>6643</v>
      </c>
      <c r="S1064" s="163"/>
    </row>
    <row r="1065" spans="1:19" ht="42.75">
      <c r="A1065" s="164" t="s">
        <v>777</v>
      </c>
      <c r="B1065" s="165" t="s">
        <v>1176</v>
      </c>
      <c r="C1065" s="165" t="s">
        <v>4631</v>
      </c>
      <c r="D1065" s="164">
        <v>2221</v>
      </c>
      <c r="E1065" s="164">
        <v>2648</v>
      </c>
      <c r="F1065" s="164" t="s">
        <v>3955</v>
      </c>
      <c r="G1065" s="164"/>
      <c r="H1065" s="167"/>
      <c r="I1065" s="167"/>
      <c r="J1065" s="167"/>
      <c r="K1065" s="169"/>
      <c r="L1065" s="129"/>
      <c r="M1065" s="129"/>
      <c r="N1065" s="129"/>
      <c r="O1065" s="129"/>
      <c r="P1065" s="146"/>
      <c r="Q1065" s="170"/>
      <c r="R1065" s="171"/>
      <c r="S1065" s="172"/>
    </row>
    <row r="1066" spans="1:19" ht="42.75">
      <c r="A1066" s="164" t="s">
        <v>777</v>
      </c>
      <c r="B1066" s="165" t="s">
        <v>1176</v>
      </c>
      <c r="C1066" s="165" t="s">
        <v>4632</v>
      </c>
      <c r="D1066" s="164">
        <v>3870</v>
      </c>
      <c r="E1066" s="164">
        <v>4203</v>
      </c>
      <c r="F1066" s="164" t="s">
        <v>3955</v>
      </c>
      <c r="G1066" s="164"/>
      <c r="H1066" s="167"/>
      <c r="I1066" s="167"/>
      <c r="J1066" s="167"/>
      <c r="K1066" s="169"/>
      <c r="L1066" s="129"/>
      <c r="M1066" s="129"/>
      <c r="N1066" s="129"/>
      <c r="O1066" s="129"/>
      <c r="P1066" s="146"/>
      <c r="Q1066" s="170"/>
      <c r="R1066" s="171"/>
      <c r="S1066" s="172"/>
    </row>
    <row r="1067" spans="1:19" ht="42.75">
      <c r="A1067" s="164" t="s">
        <v>777</v>
      </c>
      <c r="B1067" s="165" t="s">
        <v>1176</v>
      </c>
      <c r="C1067" s="165" t="s">
        <v>4634</v>
      </c>
      <c r="D1067" s="164">
        <v>2815</v>
      </c>
      <c r="E1067" s="164">
        <v>3290</v>
      </c>
      <c r="F1067" s="164" t="s">
        <v>3955</v>
      </c>
      <c r="G1067" s="164"/>
      <c r="H1067" s="167"/>
      <c r="I1067" s="167"/>
      <c r="J1067" s="167"/>
      <c r="K1067" s="169"/>
      <c r="L1067" s="129"/>
      <c r="M1067" s="129"/>
      <c r="N1067" s="129"/>
      <c r="O1067" s="129"/>
      <c r="P1067" s="146"/>
      <c r="Q1067" s="170"/>
      <c r="R1067" s="171"/>
      <c r="S1067" s="172"/>
    </row>
    <row r="1068" spans="1:19" ht="42.75">
      <c r="A1068" s="164" t="s">
        <v>777</v>
      </c>
      <c r="B1068" s="165" t="s">
        <v>1176</v>
      </c>
      <c r="C1068" s="165" t="s">
        <v>4635</v>
      </c>
      <c r="D1068" s="164">
        <v>2349</v>
      </c>
      <c r="E1068" s="164">
        <v>2417</v>
      </c>
      <c r="F1068" s="164" t="s">
        <v>3955</v>
      </c>
      <c r="G1068" s="164"/>
      <c r="H1068" s="167"/>
      <c r="I1068" s="167"/>
      <c r="J1068" s="167"/>
      <c r="K1068" s="169"/>
      <c r="L1068" s="129"/>
      <c r="M1068" s="129"/>
      <c r="N1068" s="129"/>
      <c r="O1068" s="129"/>
      <c r="P1068" s="146"/>
      <c r="Q1068" s="170"/>
      <c r="R1068" s="171"/>
      <c r="S1068" s="172"/>
    </row>
    <row r="1069" spans="1:19" ht="42.75">
      <c r="A1069" s="164" t="s">
        <v>777</v>
      </c>
      <c r="B1069" s="165" t="s">
        <v>1176</v>
      </c>
      <c r="C1069" s="165" t="s">
        <v>4636</v>
      </c>
      <c r="D1069" s="164">
        <v>2605</v>
      </c>
      <c r="E1069" s="164">
        <v>2913</v>
      </c>
      <c r="F1069" s="164" t="s">
        <v>3955</v>
      </c>
      <c r="G1069" s="164"/>
      <c r="H1069" s="167"/>
      <c r="I1069" s="167"/>
      <c r="J1069" s="167"/>
      <c r="K1069" s="169"/>
      <c r="L1069" s="129"/>
      <c r="M1069" s="129"/>
      <c r="N1069" s="129"/>
      <c r="O1069" s="129"/>
      <c r="P1069" s="146"/>
      <c r="Q1069" s="170"/>
      <c r="R1069" s="171"/>
      <c r="S1069" s="172"/>
    </row>
    <row r="1070" spans="1:19" ht="42.75">
      <c r="A1070" s="164" t="s">
        <v>777</v>
      </c>
      <c r="B1070" s="165" t="s">
        <v>1176</v>
      </c>
      <c r="C1070" s="165" t="s">
        <v>4637</v>
      </c>
      <c r="D1070" s="164">
        <v>1708</v>
      </c>
      <c r="E1070" s="164">
        <v>1306</v>
      </c>
      <c r="F1070" s="164" t="s">
        <v>3955</v>
      </c>
      <c r="G1070" s="164"/>
      <c r="H1070" s="167"/>
      <c r="I1070" s="167"/>
      <c r="J1070" s="167"/>
      <c r="K1070" s="169"/>
      <c r="L1070" s="129"/>
      <c r="M1070" s="129"/>
      <c r="N1070" s="129"/>
      <c r="O1070" s="129"/>
      <c r="P1070" s="146"/>
      <c r="Q1070" s="170"/>
      <c r="R1070" s="171"/>
      <c r="S1070" s="172"/>
    </row>
    <row r="1071" spans="1:19" ht="42.75">
      <c r="A1071" s="164" t="s">
        <v>777</v>
      </c>
      <c r="B1071" s="165" t="s">
        <v>1176</v>
      </c>
      <c r="C1071" s="165" t="s">
        <v>4639</v>
      </c>
      <c r="D1071" s="164">
        <v>1949</v>
      </c>
      <c r="E1071" s="164">
        <v>1648</v>
      </c>
      <c r="F1071" s="164" t="s">
        <v>3955</v>
      </c>
      <c r="G1071" s="164"/>
      <c r="H1071" s="167"/>
      <c r="I1071" s="167"/>
      <c r="J1071" s="167"/>
      <c r="K1071" s="169"/>
      <c r="L1071" s="129"/>
      <c r="M1071" s="129"/>
      <c r="N1071" s="129"/>
      <c r="O1071" s="129"/>
      <c r="P1071" s="146"/>
      <c r="Q1071" s="170"/>
      <c r="R1071" s="171"/>
      <c r="S1071" s="172"/>
    </row>
    <row r="1072" spans="1:19" ht="42.75">
      <c r="A1072" s="164" t="s">
        <v>777</v>
      </c>
      <c r="B1072" s="165" t="s">
        <v>1176</v>
      </c>
      <c r="C1072" s="165" t="s">
        <v>4640</v>
      </c>
      <c r="D1072" s="164">
        <v>789</v>
      </c>
      <c r="E1072" s="164">
        <v>784</v>
      </c>
      <c r="F1072" s="164" t="s">
        <v>3404</v>
      </c>
      <c r="G1072" s="164">
        <v>2024</v>
      </c>
      <c r="H1072" s="175">
        <v>45609</v>
      </c>
      <c r="I1072" s="175">
        <v>45610</v>
      </c>
      <c r="J1072" s="168" t="s">
        <v>7148</v>
      </c>
      <c r="K1072" s="174">
        <v>45616</v>
      </c>
      <c r="L1072" s="129" t="s">
        <v>3129</v>
      </c>
      <c r="M1072" s="129" t="s">
        <v>4</v>
      </c>
      <c r="N1072" s="129" t="s">
        <v>50</v>
      </c>
      <c r="O1072" s="129" t="s">
        <v>3406</v>
      </c>
      <c r="P1072" s="146"/>
      <c r="Q1072" s="170">
        <v>45616</v>
      </c>
      <c r="R1072" s="171" t="s">
        <v>6643</v>
      </c>
      <c r="S1072" s="172"/>
    </row>
    <row r="1073" spans="1:19" ht="42.75">
      <c r="A1073" s="164" t="s">
        <v>777</v>
      </c>
      <c r="B1073" s="165" t="s">
        <v>1176</v>
      </c>
      <c r="C1073" s="165" t="s">
        <v>4641</v>
      </c>
      <c r="D1073" s="164">
        <v>1713</v>
      </c>
      <c r="E1073" s="164">
        <v>1806</v>
      </c>
      <c r="F1073" s="164" t="s">
        <v>3955</v>
      </c>
      <c r="G1073" s="164"/>
      <c r="H1073" s="167"/>
      <c r="I1073" s="167"/>
      <c r="J1073" s="167"/>
      <c r="K1073" s="169"/>
      <c r="L1073" s="129"/>
      <c r="M1073" s="129"/>
      <c r="N1073" s="129"/>
      <c r="O1073" s="129"/>
      <c r="P1073" s="146"/>
      <c r="Q1073" s="170"/>
      <c r="R1073" s="171"/>
      <c r="S1073" s="172"/>
    </row>
    <row r="1074" spans="1:19" ht="42.75">
      <c r="A1074" s="164" t="s">
        <v>777</v>
      </c>
      <c r="B1074" s="165" t="s">
        <v>1176</v>
      </c>
      <c r="C1074" s="165" t="s">
        <v>1180</v>
      </c>
      <c r="D1074" s="164">
        <v>4996</v>
      </c>
      <c r="E1074" s="164">
        <v>6277</v>
      </c>
      <c r="F1074" s="164" t="s">
        <v>3955</v>
      </c>
      <c r="G1074" s="164"/>
      <c r="H1074" s="167"/>
      <c r="I1074" s="167"/>
      <c r="J1074" s="167"/>
      <c r="K1074" s="169"/>
      <c r="L1074" s="129"/>
      <c r="M1074" s="129"/>
      <c r="N1074" s="129"/>
      <c r="O1074" s="129"/>
      <c r="P1074" s="146"/>
      <c r="Q1074" s="170"/>
      <c r="R1074" s="171"/>
      <c r="S1074" s="172"/>
    </row>
    <row r="1075" spans="1:19" ht="42.75">
      <c r="A1075" s="164" t="s">
        <v>777</v>
      </c>
      <c r="B1075" s="165" t="s">
        <v>1176</v>
      </c>
      <c r="C1075" s="165" t="s">
        <v>4643</v>
      </c>
      <c r="D1075" s="164">
        <v>4442</v>
      </c>
      <c r="E1075" s="164">
        <v>4684</v>
      </c>
      <c r="F1075" s="164" t="s">
        <v>3404</v>
      </c>
      <c r="G1075" s="164">
        <v>2024</v>
      </c>
      <c r="H1075" s="175">
        <v>45561</v>
      </c>
      <c r="I1075" s="175">
        <v>45567</v>
      </c>
      <c r="J1075" s="168" t="s">
        <v>7149</v>
      </c>
      <c r="K1075" s="174">
        <v>45574</v>
      </c>
      <c r="L1075" s="129" t="s">
        <v>3128</v>
      </c>
      <c r="M1075" s="129" t="s">
        <v>4</v>
      </c>
      <c r="N1075" s="129" t="s">
        <v>50</v>
      </c>
      <c r="O1075" s="129" t="s">
        <v>3406</v>
      </c>
      <c r="P1075" s="146"/>
      <c r="Q1075" s="189">
        <v>45574</v>
      </c>
      <c r="R1075" s="115" t="s">
        <v>6643</v>
      </c>
      <c r="S1075" s="163"/>
    </row>
    <row r="1076" spans="1:19" ht="42.75">
      <c r="A1076" s="164" t="s">
        <v>777</v>
      </c>
      <c r="B1076" s="165" t="s">
        <v>1176</v>
      </c>
      <c r="C1076" s="165" t="s">
        <v>4644</v>
      </c>
      <c r="D1076" s="164">
        <v>6793</v>
      </c>
      <c r="E1076" s="164">
        <v>7785</v>
      </c>
      <c r="F1076" s="164" t="s">
        <v>3404</v>
      </c>
      <c r="G1076" s="164">
        <v>2024</v>
      </c>
      <c r="H1076" s="175">
        <v>45561</v>
      </c>
      <c r="I1076" s="175">
        <v>45567</v>
      </c>
      <c r="J1076" s="168" t="s">
        <v>7150</v>
      </c>
      <c r="K1076" s="174">
        <v>45574</v>
      </c>
      <c r="L1076" s="129" t="s">
        <v>3128</v>
      </c>
      <c r="M1076" s="129" t="s">
        <v>4</v>
      </c>
      <c r="N1076" s="129" t="s">
        <v>50</v>
      </c>
      <c r="O1076" s="129" t="s">
        <v>3406</v>
      </c>
      <c r="P1076" s="146"/>
      <c r="Q1076" s="189">
        <v>45574</v>
      </c>
      <c r="R1076" s="115" t="s">
        <v>6643</v>
      </c>
      <c r="S1076" s="163"/>
    </row>
    <row r="1077" spans="1:19" ht="42.75">
      <c r="A1077" s="164" t="s">
        <v>777</v>
      </c>
      <c r="B1077" s="165" t="s">
        <v>1176</v>
      </c>
      <c r="C1077" s="165" t="s">
        <v>4645</v>
      </c>
      <c r="D1077" s="164">
        <v>6687</v>
      </c>
      <c r="E1077" s="164">
        <v>8772</v>
      </c>
      <c r="F1077" s="164" t="s">
        <v>3955</v>
      </c>
      <c r="G1077" s="164"/>
      <c r="H1077" s="167"/>
      <c r="I1077" s="167"/>
      <c r="J1077" s="167"/>
      <c r="K1077" s="169"/>
      <c r="L1077" s="129"/>
      <c r="M1077" s="129"/>
      <c r="N1077" s="129"/>
      <c r="O1077" s="129"/>
      <c r="P1077" s="146"/>
      <c r="Q1077" s="170"/>
      <c r="R1077" s="171"/>
      <c r="S1077" s="172"/>
    </row>
    <row r="1078" spans="1:19" ht="42.75">
      <c r="A1078" s="164" t="s">
        <v>777</v>
      </c>
      <c r="B1078" s="165" t="s">
        <v>1176</v>
      </c>
      <c r="C1078" s="165" t="s">
        <v>4646</v>
      </c>
      <c r="D1078" s="164">
        <v>1128</v>
      </c>
      <c r="E1078" s="164">
        <v>944</v>
      </c>
      <c r="F1078" s="164" t="s">
        <v>3955</v>
      </c>
      <c r="G1078" s="164"/>
      <c r="H1078" s="167"/>
      <c r="I1078" s="167"/>
      <c r="J1078" s="167"/>
      <c r="K1078" s="169"/>
      <c r="L1078" s="129"/>
      <c r="M1078" s="129"/>
      <c r="N1078" s="129"/>
      <c r="O1078" s="129"/>
      <c r="P1078" s="146"/>
      <c r="Q1078" s="170"/>
      <c r="R1078" s="171"/>
      <c r="S1078" s="172"/>
    </row>
    <row r="1079" spans="1:19" ht="42.75">
      <c r="A1079" s="164" t="s">
        <v>777</v>
      </c>
      <c r="B1079" s="165" t="s">
        <v>1176</v>
      </c>
      <c r="C1079" s="165" t="s">
        <v>4647</v>
      </c>
      <c r="D1079" s="164">
        <v>1356</v>
      </c>
      <c r="E1079" s="164">
        <v>1314</v>
      </c>
      <c r="F1079" s="164" t="s">
        <v>3955</v>
      </c>
      <c r="G1079" s="164"/>
      <c r="H1079" s="167"/>
      <c r="I1079" s="167"/>
      <c r="J1079" s="167"/>
      <c r="K1079" s="169"/>
      <c r="L1079" s="129"/>
      <c r="M1079" s="129"/>
      <c r="N1079" s="129"/>
      <c r="O1079" s="129"/>
      <c r="P1079" s="146"/>
      <c r="Q1079" s="170"/>
      <c r="R1079" s="171"/>
      <c r="S1079" s="172"/>
    </row>
    <row r="1080" spans="1:19" ht="42.75">
      <c r="A1080" s="164" t="s">
        <v>777</v>
      </c>
      <c r="B1080" s="165" t="s">
        <v>1176</v>
      </c>
      <c r="C1080" s="165" t="s">
        <v>4648</v>
      </c>
      <c r="D1080" s="164">
        <v>1331</v>
      </c>
      <c r="E1080" s="164">
        <v>1298</v>
      </c>
      <c r="F1080" s="164" t="s">
        <v>3955</v>
      </c>
      <c r="G1080" s="164"/>
      <c r="H1080" s="167"/>
      <c r="I1080" s="167"/>
      <c r="J1080" s="167"/>
      <c r="K1080" s="169"/>
      <c r="L1080" s="129"/>
      <c r="M1080" s="129"/>
      <c r="N1080" s="129"/>
      <c r="O1080" s="129"/>
      <c r="P1080" s="146"/>
      <c r="Q1080" s="170"/>
      <c r="R1080" s="171"/>
      <c r="S1080" s="172"/>
    </row>
    <row r="1081" spans="1:19" ht="42.75">
      <c r="A1081" s="164" t="s">
        <v>777</v>
      </c>
      <c r="B1081" s="165" t="s">
        <v>1176</v>
      </c>
      <c r="C1081" s="165" t="s">
        <v>4649</v>
      </c>
      <c r="D1081" s="164">
        <v>2015</v>
      </c>
      <c r="E1081" s="164">
        <v>1566</v>
      </c>
      <c r="F1081" s="164" t="s">
        <v>3955</v>
      </c>
      <c r="G1081" s="164"/>
      <c r="H1081" s="167"/>
      <c r="I1081" s="167"/>
      <c r="J1081" s="167"/>
      <c r="K1081" s="169"/>
      <c r="L1081" s="129"/>
      <c r="M1081" s="129"/>
      <c r="N1081" s="129"/>
      <c r="O1081" s="129"/>
      <c r="P1081" s="146"/>
      <c r="Q1081" s="170"/>
      <c r="R1081" s="171"/>
      <c r="S1081" s="172"/>
    </row>
    <row r="1082" spans="1:19" ht="42.75">
      <c r="A1082" s="164" t="s">
        <v>777</v>
      </c>
      <c r="B1082" s="165" t="s">
        <v>1176</v>
      </c>
      <c r="C1082" s="165" t="s">
        <v>4651</v>
      </c>
      <c r="D1082" s="164">
        <v>4598</v>
      </c>
      <c r="E1082" s="164">
        <v>5751</v>
      </c>
      <c r="F1082" s="164" t="s">
        <v>3404</v>
      </c>
      <c r="G1082" s="164">
        <v>2024</v>
      </c>
      <c r="H1082" s="175">
        <v>45520</v>
      </c>
      <c r="I1082" s="175">
        <v>45523</v>
      </c>
      <c r="J1082" s="168" t="s">
        <v>7151</v>
      </c>
      <c r="K1082" s="174">
        <v>45524</v>
      </c>
      <c r="L1082" s="129" t="s">
        <v>3126</v>
      </c>
      <c r="M1082" s="129" t="s">
        <v>4</v>
      </c>
      <c r="N1082" s="129" t="s">
        <v>50</v>
      </c>
      <c r="O1082" s="129" t="s">
        <v>3406</v>
      </c>
      <c r="P1082" s="146"/>
      <c r="Q1082" s="170">
        <v>45525</v>
      </c>
      <c r="R1082" s="171"/>
      <c r="S1082" s="172"/>
    </row>
    <row r="1083" spans="1:19" ht="42.75">
      <c r="A1083" s="164" t="s">
        <v>777</v>
      </c>
      <c r="B1083" s="165" t="s">
        <v>1176</v>
      </c>
      <c r="C1083" s="165" t="s">
        <v>4653</v>
      </c>
      <c r="D1083" s="164">
        <v>4698</v>
      </c>
      <c r="E1083" s="164">
        <v>4869</v>
      </c>
      <c r="F1083" s="164" t="s">
        <v>3955</v>
      </c>
      <c r="G1083" s="164"/>
      <c r="H1083" s="167"/>
      <c r="I1083" s="167"/>
      <c r="J1083" s="167"/>
      <c r="K1083" s="169"/>
      <c r="L1083" s="129"/>
      <c r="M1083" s="129"/>
      <c r="N1083" s="129"/>
      <c r="O1083" s="129"/>
      <c r="P1083" s="146"/>
      <c r="Q1083" s="170"/>
      <c r="R1083" s="171"/>
      <c r="S1083" s="172"/>
    </row>
    <row r="1084" spans="1:19" ht="42.75">
      <c r="A1084" s="164" t="s">
        <v>777</v>
      </c>
      <c r="B1084" s="165" t="s">
        <v>1176</v>
      </c>
      <c r="C1084" s="165" t="s">
        <v>4656</v>
      </c>
      <c r="D1084" s="164">
        <v>4321</v>
      </c>
      <c r="E1084" s="164">
        <v>4216</v>
      </c>
      <c r="F1084" s="164" t="s">
        <v>3955</v>
      </c>
      <c r="G1084" s="164"/>
      <c r="H1084" s="167"/>
      <c r="I1084" s="167"/>
      <c r="J1084" s="167"/>
      <c r="K1084" s="169"/>
      <c r="L1084" s="129"/>
      <c r="M1084" s="129"/>
      <c r="N1084" s="129"/>
      <c r="O1084" s="129"/>
      <c r="P1084" s="146"/>
      <c r="Q1084" s="170"/>
      <c r="R1084" s="171"/>
      <c r="S1084" s="172"/>
    </row>
    <row r="1085" spans="1:19" ht="42.75">
      <c r="A1085" s="164" t="s">
        <v>777</v>
      </c>
      <c r="B1085" s="165" t="s">
        <v>1176</v>
      </c>
      <c r="C1085" s="165" t="s">
        <v>2162</v>
      </c>
      <c r="D1085" s="164">
        <v>4856</v>
      </c>
      <c r="E1085" s="164">
        <v>6503</v>
      </c>
      <c r="F1085" s="164" t="s">
        <v>3955</v>
      </c>
      <c r="G1085" s="164"/>
      <c r="H1085" s="167"/>
      <c r="I1085" s="167"/>
      <c r="J1085" s="167"/>
      <c r="K1085" s="169"/>
      <c r="L1085" s="129"/>
      <c r="M1085" s="129"/>
      <c r="N1085" s="129"/>
      <c r="O1085" s="129"/>
      <c r="P1085" s="146"/>
      <c r="Q1085" s="170"/>
      <c r="R1085" s="171"/>
      <c r="S1085" s="172"/>
    </row>
    <row r="1086" spans="1:19" ht="42.75">
      <c r="A1086" s="164" t="s">
        <v>777</v>
      </c>
      <c r="B1086" s="165" t="s">
        <v>1176</v>
      </c>
      <c r="C1086" s="165" t="s">
        <v>4658</v>
      </c>
      <c r="D1086" s="164">
        <v>1376</v>
      </c>
      <c r="E1086" s="164">
        <v>1096</v>
      </c>
      <c r="F1086" s="164" t="s">
        <v>3955</v>
      </c>
      <c r="G1086" s="164"/>
      <c r="H1086" s="167"/>
      <c r="I1086" s="167"/>
      <c r="J1086" s="167"/>
      <c r="K1086" s="169"/>
      <c r="L1086" s="129"/>
      <c r="M1086" s="129"/>
      <c r="N1086" s="129"/>
      <c r="O1086" s="129"/>
      <c r="P1086" s="146"/>
      <c r="Q1086" s="170"/>
      <c r="R1086" s="171"/>
      <c r="S1086" s="172"/>
    </row>
    <row r="1087" spans="1:19" ht="42.75">
      <c r="A1087" s="164" t="s">
        <v>777</v>
      </c>
      <c r="B1087" s="165" t="s">
        <v>1176</v>
      </c>
      <c r="C1087" s="165" t="s">
        <v>4659</v>
      </c>
      <c r="D1087" s="164">
        <v>1319</v>
      </c>
      <c r="E1087" s="164">
        <v>1315</v>
      </c>
      <c r="F1087" s="164" t="s">
        <v>3955</v>
      </c>
      <c r="G1087" s="164"/>
      <c r="H1087" s="167"/>
      <c r="I1087" s="167"/>
      <c r="J1087" s="167"/>
      <c r="K1087" s="169"/>
      <c r="L1087" s="129"/>
      <c r="M1087" s="129"/>
      <c r="N1087" s="129"/>
      <c r="O1087" s="129"/>
      <c r="P1087" s="146"/>
      <c r="Q1087" s="170"/>
      <c r="R1087" s="171"/>
      <c r="S1087" s="172"/>
    </row>
    <row r="1088" spans="1:19" ht="42.75">
      <c r="A1088" s="164" t="s">
        <v>777</v>
      </c>
      <c r="B1088" s="165" t="s">
        <v>1176</v>
      </c>
      <c r="C1088" s="165" t="s">
        <v>4660</v>
      </c>
      <c r="D1088" s="164">
        <v>1558</v>
      </c>
      <c r="E1088" s="164">
        <v>1495</v>
      </c>
      <c r="F1088" s="164" t="s">
        <v>3404</v>
      </c>
      <c r="G1088" s="164">
        <v>2024</v>
      </c>
      <c r="H1088" s="175">
        <v>45504</v>
      </c>
      <c r="I1088" s="241">
        <v>45509</v>
      </c>
      <c r="J1088" s="191" t="s">
        <v>7152</v>
      </c>
      <c r="K1088" s="174">
        <v>45512</v>
      </c>
      <c r="L1088" s="129" t="s">
        <v>3126</v>
      </c>
      <c r="M1088" s="129" t="s">
        <v>4</v>
      </c>
      <c r="N1088" s="129" t="s">
        <v>50</v>
      </c>
      <c r="O1088" s="129" t="s">
        <v>3406</v>
      </c>
      <c r="P1088" s="146"/>
      <c r="Q1088" s="170">
        <v>45512</v>
      </c>
      <c r="R1088" s="171" t="s">
        <v>6643</v>
      </c>
      <c r="S1088" s="172"/>
    </row>
    <row r="1089" spans="1:19" ht="42.75">
      <c r="A1089" s="164" t="s">
        <v>777</v>
      </c>
      <c r="B1089" s="165" t="s">
        <v>1176</v>
      </c>
      <c r="C1089" s="165" t="s">
        <v>4627</v>
      </c>
      <c r="D1089" s="164">
        <v>730</v>
      </c>
      <c r="E1089" s="164">
        <v>703</v>
      </c>
      <c r="F1089" s="164" t="s">
        <v>3404</v>
      </c>
      <c r="G1089" s="164">
        <v>2024</v>
      </c>
      <c r="H1089" s="221">
        <v>45609</v>
      </c>
      <c r="I1089" s="174">
        <v>45615</v>
      </c>
      <c r="J1089" s="181" t="s">
        <v>7153</v>
      </c>
      <c r="K1089" s="193">
        <v>45616</v>
      </c>
      <c r="L1089" s="129" t="s">
        <v>3129</v>
      </c>
      <c r="M1089" s="129" t="s">
        <v>4</v>
      </c>
      <c r="N1089" s="129" t="s">
        <v>847</v>
      </c>
      <c r="O1089" s="129" t="s">
        <v>3406</v>
      </c>
      <c r="P1089" s="146"/>
      <c r="Q1089" s="170">
        <v>45617</v>
      </c>
      <c r="R1089" s="171" t="s">
        <v>6643</v>
      </c>
      <c r="S1089" s="172"/>
    </row>
    <row r="1090" spans="1:19" ht="42.75">
      <c r="A1090" s="164" t="s">
        <v>777</v>
      </c>
      <c r="B1090" s="165" t="s">
        <v>1176</v>
      </c>
      <c r="C1090" s="165" t="s">
        <v>4629</v>
      </c>
      <c r="D1090" s="164">
        <v>324</v>
      </c>
      <c r="E1090" s="164">
        <v>328</v>
      </c>
      <c r="F1090" s="164" t="s">
        <v>3955</v>
      </c>
      <c r="G1090" s="164"/>
      <c r="H1090" s="167"/>
      <c r="I1090" s="167"/>
      <c r="J1090" s="167"/>
      <c r="K1090" s="169"/>
      <c r="L1090" s="129"/>
      <c r="M1090" s="129"/>
      <c r="N1090" s="129"/>
      <c r="O1090" s="129"/>
      <c r="P1090" s="146"/>
      <c r="Q1090" s="170"/>
      <c r="R1090" s="171"/>
      <c r="S1090" s="172"/>
    </row>
    <row r="1091" spans="1:19" ht="42.75">
      <c r="A1091" s="164" t="s">
        <v>777</v>
      </c>
      <c r="B1091" s="165" t="s">
        <v>1176</v>
      </c>
      <c r="C1091" s="165" t="s">
        <v>4655</v>
      </c>
      <c r="D1091" s="164">
        <v>1726</v>
      </c>
      <c r="E1091" s="164">
        <v>2498</v>
      </c>
      <c r="F1091" s="164" t="s">
        <v>3955</v>
      </c>
      <c r="G1091" s="164"/>
      <c r="H1091" s="167"/>
      <c r="I1091" s="196"/>
      <c r="J1091" s="196"/>
      <c r="K1091" s="169"/>
      <c r="L1091" s="129"/>
      <c r="M1091" s="129"/>
      <c r="N1091" s="129"/>
      <c r="O1091" s="129"/>
      <c r="P1091" s="146"/>
      <c r="Q1091" s="170"/>
      <c r="R1091" s="171"/>
      <c r="S1091" s="172"/>
    </row>
    <row r="1092" spans="1:19" ht="42.75">
      <c r="A1092" s="164" t="s">
        <v>777</v>
      </c>
      <c r="B1092" s="165" t="s">
        <v>1176</v>
      </c>
      <c r="C1092" s="165" t="s">
        <v>4566</v>
      </c>
      <c r="D1092" s="164">
        <v>5546</v>
      </c>
      <c r="E1092" s="164">
        <v>5755</v>
      </c>
      <c r="F1092" s="164" t="s">
        <v>3404</v>
      </c>
      <c r="G1092" s="164">
        <v>2024</v>
      </c>
      <c r="H1092" s="221">
        <v>45394</v>
      </c>
      <c r="I1092" s="174">
        <v>45396</v>
      </c>
      <c r="J1092" s="235" t="s">
        <v>7154</v>
      </c>
      <c r="K1092" s="193">
        <v>45399</v>
      </c>
      <c r="L1092" s="129" t="s">
        <v>3470</v>
      </c>
      <c r="M1092" s="129"/>
      <c r="N1092" s="129"/>
      <c r="O1092" s="129" t="s">
        <v>3406</v>
      </c>
      <c r="P1092" s="146"/>
      <c r="Q1092" s="170"/>
      <c r="R1092" s="171"/>
      <c r="S1092" s="172"/>
    </row>
    <row r="1093" spans="1:19" ht="42.75">
      <c r="A1093" s="164" t="s">
        <v>777</v>
      </c>
      <c r="B1093" s="165" t="s">
        <v>1176</v>
      </c>
      <c r="C1093" s="165" t="s">
        <v>4568</v>
      </c>
      <c r="D1093" s="164">
        <v>6745</v>
      </c>
      <c r="E1093" s="164">
        <v>7640</v>
      </c>
      <c r="F1093" s="164" t="s">
        <v>3955</v>
      </c>
      <c r="G1093" s="164"/>
      <c r="H1093" s="167"/>
      <c r="I1093" s="167"/>
      <c r="J1093" s="167"/>
      <c r="K1093" s="169"/>
      <c r="L1093" s="129"/>
      <c r="M1093" s="129"/>
      <c r="N1093" s="129"/>
      <c r="O1093" s="129"/>
      <c r="P1093" s="146"/>
      <c r="Q1093" s="170"/>
      <c r="R1093" s="171"/>
      <c r="S1093" s="172"/>
    </row>
    <row r="1094" spans="1:19" ht="42.75">
      <c r="A1094" s="164" t="s">
        <v>777</v>
      </c>
      <c r="B1094" s="165" t="s">
        <v>1176</v>
      </c>
      <c r="C1094" s="165" t="s">
        <v>4602</v>
      </c>
      <c r="D1094" s="164">
        <v>4039</v>
      </c>
      <c r="E1094" s="164">
        <v>4756</v>
      </c>
      <c r="F1094" s="164" t="s">
        <v>3955</v>
      </c>
      <c r="G1094" s="164"/>
      <c r="H1094" s="167"/>
      <c r="I1094" s="167"/>
      <c r="J1094" s="167"/>
      <c r="K1094" s="169"/>
      <c r="L1094" s="129"/>
      <c r="M1094" s="129"/>
      <c r="N1094" s="129"/>
      <c r="O1094" s="129"/>
      <c r="P1094" s="146"/>
      <c r="Q1094" s="170"/>
      <c r="R1094" s="171"/>
      <c r="S1094" s="172"/>
    </row>
    <row r="1095" spans="1:19" ht="42.75">
      <c r="A1095" s="164" t="s">
        <v>777</v>
      </c>
      <c r="B1095" s="165" t="s">
        <v>1176</v>
      </c>
      <c r="C1095" s="165" t="s">
        <v>4446</v>
      </c>
      <c r="D1095" s="164">
        <v>1382</v>
      </c>
      <c r="E1095" s="164">
        <v>1590</v>
      </c>
      <c r="F1095" s="164" t="s">
        <v>3955</v>
      </c>
      <c r="G1095" s="164"/>
      <c r="H1095" s="167"/>
      <c r="I1095" s="167"/>
      <c r="J1095" s="167"/>
      <c r="K1095" s="169"/>
      <c r="L1095" s="129"/>
      <c r="M1095" s="129"/>
      <c r="N1095" s="129"/>
      <c r="O1095" s="129"/>
      <c r="P1095" s="146"/>
      <c r="Q1095" s="170"/>
      <c r="R1095" s="171"/>
      <c r="S1095" s="172"/>
    </row>
    <row r="1096" spans="1:19" ht="42.75">
      <c r="A1096" s="164" t="s">
        <v>777</v>
      </c>
      <c r="B1096" s="165" t="s">
        <v>1176</v>
      </c>
      <c r="C1096" s="165" t="s">
        <v>4652</v>
      </c>
      <c r="D1096" s="164">
        <v>4118</v>
      </c>
      <c r="E1096" s="164">
        <v>4517</v>
      </c>
      <c r="F1096" s="164" t="s">
        <v>3955</v>
      </c>
      <c r="G1096" s="164"/>
      <c r="H1096" s="167"/>
      <c r="I1096" s="167"/>
      <c r="J1096" s="167"/>
      <c r="K1096" s="169"/>
      <c r="L1096" s="129"/>
      <c r="M1096" s="129"/>
      <c r="N1096" s="129"/>
      <c r="O1096" s="129"/>
      <c r="P1096" s="146"/>
      <c r="Q1096" s="170"/>
      <c r="R1096" s="171"/>
      <c r="S1096" s="172"/>
    </row>
    <row r="1097" spans="1:19" ht="42.75">
      <c r="A1097" s="164" t="s">
        <v>777</v>
      </c>
      <c r="B1097" s="165" t="s">
        <v>1176</v>
      </c>
      <c r="C1097" s="165" t="s">
        <v>4654</v>
      </c>
      <c r="D1097" s="164">
        <v>4487</v>
      </c>
      <c r="E1097" s="164">
        <v>5776</v>
      </c>
      <c r="F1097" s="164" t="s">
        <v>3404</v>
      </c>
      <c r="G1097" s="164">
        <v>2024</v>
      </c>
      <c r="H1097" s="175">
        <v>45526</v>
      </c>
      <c r="I1097" s="175">
        <v>45531</v>
      </c>
      <c r="J1097" s="168" t="s">
        <v>7155</v>
      </c>
      <c r="K1097" s="174">
        <v>45539</v>
      </c>
      <c r="L1097" s="129" t="s">
        <v>3127</v>
      </c>
      <c r="M1097" s="129" t="s">
        <v>4</v>
      </c>
      <c r="N1097" s="129" t="s">
        <v>50</v>
      </c>
      <c r="O1097" s="129" t="s">
        <v>3406</v>
      </c>
      <c r="P1097" s="146"/>
      <c r="Q1097" s="170">
        <v>45539</v>
      </c>
      <c r="R1097" s="171" t="s">
        <v>6643</v>
      </c>
      <c r="S1097" s="172"/>
    </row>
    <row r="1098" spans="1:19" ht="42.75">
      <c r="A1098" s="164" t="s">
        <v>777</v>
      </c>
      <c r="B1098" s="165" t="s">
        <v>1176</v>
      </c>
      <c r="C1098" s="165" t="s">
        <v>4587</v>
      </c>
      <c r="D1098" s="164">
        <v>1885</v>
      </c>
      <c r="E1098" s="164">
        <v>1905</v>
      </c>
      <c r="F1098" s="164" t="s">
        <v>3955</v>
      </c>
      <c r="G1098" s="164"/>
      <c r="H1098" s="167"/>
      <c r="I1098" s="167"/>
      <c r="J1098" s="167"/>
      <c r="K1098" s="169"/>
      <c r="L1098" s="129"/>
      <c r="M1098" s="129"/>
      <c r="N1098" s="129"/>
      <c r="O1098" s="129"/>
      <c r="P1098" s="146"/>
      <c r="Q1098" s="170"/>
      <c r="R1098" s="171"/>
      <c r="S1098" s="172"/>
    </row>
    <row r="1099" spans="1:19" ht="42.75">
      <c r="A1099" s="164" t="s">
        <v>777</v>
      </c>
      <c r="B1099" s="165" t="s">
        <v>1176</v>
      </c>
      <c r="C1099" s="165" t="s">
        <v>7156</v>
      </c>
      <c r="D1099" s="164">
        <v>2800</v>
      </c>
      <c r="E1099" s="164">
        <v>2419</v>
      </c>
      <c r="F1099" s="164" t="s">
        <v>3955</v>
      </c>
      <c r="G1099" s="164"/>
      <c r="H1099" s="167"/>
      <c r="I1099" s="167"/>
      <c r="J1099" s="167"/>
      <c r="K1099" s="169"/>
      <c r="L1099" s="129"/>
      <c r="M1099" s="129"/>
      <c r="N1099" s="129"/>
      <c r="O1099" s="129"/>
      <c r="P1099" s="146"/>
      <c r="Q1099" s="170"/>
      <c r="R1099" s="171"/>
      <c r="S1099" s="172"/>
    </row>
    <row r="1100" spans="1:19" ht="42.75">
      <c r="A1100" s="164" t="s">
        <v>777</v>
      </c>
      <c r="B1100" s="165" t="s">
        <v>1176</v>
      </c>
      <c r="C1100" s="165" t="s">
        <v>4622</v>
      </c>
      <c r="D1100" s="164">
        <v>930</v>
      </c>
      <c r="E1100" s="164">
        <v>969</v>
      </c>
      <c r="F1100" s="164" t="s">
        <v>3955</v>
      </c>
      <c r="G1100" s="164"/>
      <c r="H1100" s="167"/>
      <c r="I1100" s="167"/>
      <c r="J1100" s="167"/>
      <c r="K1100" s="169"/>
      <c r="L1100" s="129"/>
      <c r="M1100" s="129"/>
      <c r="N1100" s="129"/>
      <c r="O1100" s="129"/>
      <c r="P1100" s="146"/>
      <c r="Q1100" s="170"/>
      <c r="R1100" s="171"/>
      <c r="S1100" s="172"/>
    </row>
    <row r="1101" spans="1:19" ht="42.75">
      <c r="A1101" s="164" t="s">
        <v>777</v>
      </c>
      <c r="B1101" s="165" t="s">
        <v>1176</v>
      </c>
      <c r="C1101" s="165" t="s">
        <v>4650</v>
      </c>
      <c r="D1101" s="164">
        <v>2050</v>
      </c>
      <c r="E1101" s="164">
        <v>1531</v>
      </c>
      <c r="F1101" s="164" t="s">
        <v>3955</v>
      </c>
      <c r="G1101" s="164"/>
      <c r="H1101" s="167"/>
      <c r="I1101" s="167"/>
      <c r="J1101" s="167"/>
      <c r="K1101" s="169"/>
      <c r="L1101" s="129"/>
      <c r="M1101" s="129"/>
      <c r="N1101" s="129"/>
      <c r="O1101" s="129"/>
      <c r="P1101" s="146"/>
      <c r="Q1101" s="170"/>
      <c r="R1101" s="171"/>
      <c r="S1101" s="172"/>
    </row>
    <row r="1102" spans="1:19" ht="42.75">
      <c r="A1102" s="164" t="s">
        <v>777</v>
      </c>
      <c r="B1102" s="165" t="s">
        <v>1176</v>
      </c>
      <c r="C1102" s="165" t="s">
        <v>3727</v>
      </c>
      <c r="D1102" s="164">
        <v>1807</v>
      </c>
      <c r="E1102" s="164">
        <v>1946</v>
      </c>
      <c r="F1102" s="164" t="s">
        <v>3955</v>
      </c>
      <c r="G1102" s="164"/>
      <c r="H1102" s="167"/>
      <c r="I1102" s="167"/>
      <c r="J1102" s="167"/>
      <c r="K1102" s="169"/>
      <c r="L1102" s="129"/>
      <c r="M1102" s="129"/>
      <c r="N1102" s="129"/>
      <c r="O1102" s="129"/>
      <c r="P1102" s="146"/>
      <c r="Q1102" s="170"/>
      <c r="R1102" s="171"/>
      <c r="S1102" s="172"/>
    </row>
    <row r="1103" spans="1:19" ht="42.75">
      <c r="A1103" s="164" t="s">
        <v>777</v>
      </c>
      <c r="B1103" s="165" t="s">
        <v>1184</v>
      </c>
      <c r="C1103" s="165" t="s">
        <v>4170</v>
      </c>
      <c r="D1103" s="164">
        <v>1394</v>
      </c>
      <c r="E1103" s="164">
        <v>1538</v>
      </c>
      <c r="F1103" s="164" t="s">
        <v>3404</v>
      </c>
      <c r="G1103" s="164">
        <v>2024</v>
      </c>
      <c r="H1103" s="175">
        <v>45553</v>
      </c>
      <c r="I1103" s="175">
        <v>45553</v>
      </c>
      <c r="J1103" s="168" t="s">
        <v>7157</v>
      </c>
      <c r="K1103" s="174">
        <v>45572</v>
      </c>
      <c r="L1103" s="129" t="s">
        <v>3128</v>
      </c>
      <c r="M1103" s="129" t="s">
        <v>4</v>
      </c>
      <c r="N1103" s="129" t="s">
        <v>50</v>
      </c>
      <c r="O1103" s="129" t="s">
        <v>4662</v>
      </c>
      <c r="P1103" s="146"/>
      <c r="Q1103" s="189">
        <v>45573</v>
      </c>
      <c r="R1103" s="115" t="s">
        <v>6643</v>
      </c>
      <c r="S1103" s="163"/>
    </row>
    <row r="1104" spans="1:19" ht="42.75">
      <c r="A1104" s="164" t="s">
        <v>777</v>
      </c>
      <c r="B1104" s="165" t="s">
        <v>1184</v>
      </c>
      <c r="C1104" s="165" t="s">
        <v>4569</v>
      </c>
      <c r="D1104" s="164">
        <v>1534</v>
      </c>
      <c r="E1104" s="164">
        <v>1808</v>
      </c>
      <c r="F1104" s="164" t="s">
        <v>3955</v>
      </c>
      <c r="G1104" s="164"/>
      <c r="H1104" s="167"/>
      <c r="I1104" s="196"/>
      <c r="J1104" s="196"/>
      <c r="K1104" s="169"/>
      <c r="L1104" s="129"/>
      <c r="M1104" s="129"/>
      <c r="N1104" s="129"/>
      <c r="O1104" s="129"/>
      <c r="P1104" s="146"/>
      <c r="Q1104" s="170"/>
      <c r="R1104" s="171"/>
      <c r="S1104" s="172"/>
    </row>
    <row r="1105" spans="1:19" ht="42.75">
      <c r="A1105" s="164" t="s">
        <v>777</v>
      </c>
      <c r="B1105" s="165" t="s">
        <v>1184</v>
      </c>
      <c r="C1105" s="165" t="s">
        <v>1332</v>
      </c>
      <c r="D1105" s="164">
        <v>4080</v>
      </c>
      <c r="E1105" s="164">
        <v>4270</v>
      </c>
      <c r="F1105" s="164" t="s">
        <v>3404</v>
      </c>
      <c r="G1105" s="164">
        <v>2024</v>
      </c>
      <c r="H1105" s="221">
        <v>45454</v>
      </c>
      <c r="I1105" s="174">
        <v>45454</v>
      </c>
      <c r="J1105" s="181" t="s">
        <v>7158</v>
      </c>
      <c r="K1105" s="193">
        <v>45462</v>
      </c>
      <c r="L1105" s="129" t="s">
        <v>3689</v>
      </c>
      <c r="M1105" s="129"/>
      <c r="N1105" s="129"/>
      <c r="O1105" s="129" t="s">
        <v>3406</v>
      </c>
      <c r="P1105" s="146"/>
      <c r="Q1105" s="170">
        <v>45464</v>
      </c>
      <c r="R1105" s="171"/>
      <c r="S1105" s="172"/>
    </row>
    <row r="1106" spans="1:19" ht="42.75">
      <c r="A1106" s="164" t="s">
        <v>777</v>
      </c>
      <c r="B1106" s="165" t="s">
        <v>1184</v>
      </c>
      <c r="C1106" s="165" t="s">
        <v>1185</v>
      </c>
      <c r="D1106" s="164">
        <v>3768</v>
      </c>
      <c r="E1106" s="164">
        <v>4344</v>
      </c>
      <c r="F1106" s="164" t="s">
        <v>3955</v>
      </c>
      <c r="G1106" s="164"/>
      <c r="H1106" s="167"/>
      <c r="I1106" s="196"/>
      <c r="J1106" s="196"/>
      <c r="K1106" s="169"/>
      <c r="L1106" s="129"/>
      <c r="M1106" s="129"/>
      <c r="N1106" s="129"/>
      <c r="O1106" s="129"/>
      <c r="P1106" s="146"/>
      <c r="Q1106" s="170"/>
      <c r="R1106" s="171"/>
      <c r="S1106" s="172"/>
    </row>
    <row r="1107" spans="1:19" ht="42.75">
      <c r="A1107" s="164" t="s">
        <v>777</v>
      </c>
      <c r="B1107" s="165" t="s">
        <v>1184</v>
      </c>
      <c r="C1107" s="165" t="s">
        <v>4664</v>
      </c>
      <c r="D1107" s="164">
        <v>5891</v>
      </c>
      <c r="E1107" s="164">
        <v>6341</v>
      </c>
      <c r="F1107" s="164" t="s">
        <v>3404</v>
      </c>
      <c r="G1107" s="164">
        <v>2024</v>
      </c>
      <c r="H1107" s="221">
        <v>45433</v>
      </c>
      <c r="I1107" s="174">
        <v>45433</v>
      </c>
      <c r="J1107" s="181" t="s">
        <v>7159</v>
      </c>
      <c r="K1107" s="193">
        <v>45461</v>
      </c>
      <c r="L1107" s="129" t="s">
        <v>3689</v>
      </c>
      <c r="M1107" s="129"/>
      <c r="N1107" s="129"/>
      <c r="O1107" s="129" t="s">
        <v>3406</v>
      </c>
      <c r="P1107" s="146"/>
      <c r="Q1107" s="170">
        <v>45462</v>
      </c>
      <c r="R1107" s="171"/>
      <c r="S1107" s="172"/>
    </row>
    <row r="1108" spans="1:19" ht="42.75">
      <c r="A1108" s="164" t="s">
        <v>777</v>
      </c>
      <c r="B1108" s="165" t="s">
        <v>1184</v>
      </c>
      <c r="C1108" s="165" t="s">
        <v>1245</v>
      </c>
      <c r="D1108" s="164">
        <v>2594</v>
      </c>
      <c r="E1108" s="164">
        <v>2769</v>
      </c>
      <c r="F1108" s="164" t="s">
        <v>3955</v>
      </c>
      <c r="G1108" s="164"/>
      <c r="H1108" s="167"/>
      <c r="I1108" s="167"/>
      <c r="J1108" s="167"/>
      <c r="K1108" s="169"/>
      <c r="L1108" s="129"/>
      <c r="M1108" s="129"/>
      <c r="N1108" s="129"/>
      <c r="O1108" s="129"/>
      <c r="P1108" s="146"/>
      <c r="Q1108" s="170"/>
      <c r="R1108" s="171"/>
      <c r="S1108" s="172"/>
    </row>
    <row r="1109" spans="1:19" ht="42.75">
      <c r="A1109" s="164" t="s">
        <v>777</v>
      </c>
      <c r="B1109" s="165" t="s">
        <v>1184</v>
      </c>
      <c r="C1109" s="165" t="s">
        <v>4665</v>
      </c>
      <c r="D1109" s="164">
        <v>694</v>
      </c>
      <c r="E1109" s="164">
        <v>575</v>
      </c>
      <c r="F1109" s="164" t="s">
        <v>3955</v>
      </c>
      <c r="G1109" s="164"/>
      <c r="H1109" s="167"/>
      <c r="I1109" s="196"/>
      <c r="J1109" s="196"/>
      <c r="K1109" s="169"/>
      <c r="L1109" s="129"/>
      <c r="M1109" s="129"/>
      <c r="N1109" s="129"/>
      <c r="O1109" s="129"/>
      <c r="P1109" s="146"/>
      <c r="Q1109" s="170"/>
      <c r="R1109" s="171"/>
      <c r="S1109" s="172"/>
    </row>
    <row r="1110" spans="1:19" ht="42.75">
      <c r="A1110" s="164" t="s">
        <v>777</v>
      </c>
      <c r="B1110" s="165" t="s">
        <v>1184</v>
      </c>
      <c r="C1110" s="165" t="s">
        <v>4667</v>
      </c>
      <c r="D1110" s="164">
        <v>1003</v>
      </c>
      <c r="E1110" s="164">
        <v>960</v>
      </c>
      <c r="F1110" s="164" t="s">
        <v>3404</v>
      </c>
      <c r="G1110" s="164">
        <v>2024</v>
      </c>
      <c r="H1110" s="221">
        <v>45377</v>
      </c>
      <c r="I1110" s="174">
        <v>46107</v>
      </c>
      <c r="J1110" s="235" t="s">
        <v>7160</v>
      </c>
      <c r="K1110" s="193">
        <v>45385</v>
      </c>
      <c r="L1110" s="129" t="s">
        <v>3470</v>
      </c>
      <c r="M1110" s="129"/>
      <c r="N1110" s="129"/>
      <c r="O1110" s="129" t="s">
        <v>3406</v>
      </c>
      <c r="P1110" s="146"/>
      <c r="Q1110" s="170"/>
      <c r="R1110" s="171"/>
      <c r="S1110" s="172"/>
    </row>
    <row r="1111" spans="1:19" ht="42.75">
      <c r="A1111" s="164" t="s">
        <v>777</v>
      </c>
      <c r="B1111" s="165" t="s">
        <v>1184</v>
      </c>
      <c r="C1111" s="165" t="s">
        <v>4668</v>
      </c>
      <c r="D1111" s="164">
        <v>3846</v>
      </c>
      <c r="E1111" s="164">
        <v>3578</v>
      </c>
      <c r="F1111" s="164" t="s">
        <v>3404</v>
      </c>
      <c r="G1111" s="164">
        <v>2024</v>
      </c>
      <c r="H1111" s="175">
        <v>45433</v>
      </c>
      <c r="I1111" s="175">
        <v>45433</v>
      </c>
      <c r="J1111" s="168" t="s">
        <v>7161</v>
      </c>
      <c r="K1111" s="174">
        <v>45461</v>
      </c>
      <c r="L1111" s="129" t="s">
        <v>3689</v>
      </c>
      <c r="M1111" s="129"/>
      <c r="N1111" s="129"/>
      <c r="O1111" s="129" t="s">
        <v>3406</v>
      </c>
      <c r="P1111" s="146"/>
      <c r="Q1111" s="170">
        <v>45462</v>
      </c>
      <c r="R1111" s="171"/>
      <c r="S1111" s="172"/>
    </row>
    <row r="1112" spans="1:19" ht="42.75">
      <c r="A1112" s="164" t="s">
        <v>777</v>
      </c>
      <c r="B1112" s="165" t="s">
        <v>1184</v>
      </c>
      <c r="C1112" s="165" t="s">
        <v>914</v>
      </c>
      <c r="D1112" s="164">
        <v>2225</v>
      </c>
      <c r="E1112" s="164">
        <v>2340</v>
      </c>
      <c r="F1112" s="164" t="s">
        <v>3955</v>
      </c>
      <c r="G1112" s="164"/>
      <c r="H1112" s="167"/>
      <c r="I1112" s="167"/>
      <c r="J1112" s="167"/>
      <c r="K1112" s="169"/>
      <c r="L1112" s="129"/>
      <c r="M1112" s="129"/>
      <c r="N1112" s="129"/>
      <c r="O1112" s="129"/>
      <c r="P1112" s="146"/>
      <c r="Q1112" s="170"/>
      <c r="R1112" s="171"/>
      <c r="S1112" s="172"/>
    </row>
    <row r="1113" spans="1:19" ht="42.75">
      <c r="A1113" s="164" t="s">
        <v>777</v>
      </c>
      <c r="B1113" s="165" t="s">
        <v>1184</v>
      </c>
      <c r="C1113" s="165" t="s">
        <v>4670</v>
      </c>
      <c r="D1113" s="164">
        <v>3661</v>
      </c>
      <c r="E1113" s="164">
        <v>3822</v>
      </c>
      <c r="F1113" s="164" t="s">
        <v>3404</v>
      </c>
      <c r="G1113" s="164">
        <v>2024</v>
      </c>
      <c r="H1113" s="175">
        <v>45328</v>
      </c>
      <c r="I1113" s="175">
        <v>45328</v>
      </c>
      <c r="J1113" s="168" t="s">
        <v>7162</v>
      </c>
      <c r="K1113" s="169"/>
      <c r="L1113" s="129" t="s">
        <v>3458</v>
      </c>
      <c r="M1113" s="129"/>
      <c r="N1113" s="129"/>
      <c r="O1113" s="129" t="s">
        <v>3406</v>
      </c>
      <c r="P1113" s="146"/>
      <c r="Q1113" s="170"/>
      <c r="R1113" s="171"/>
      <c r="S1113" s="172"/>
    </row>
    <row r="1114" spans="1:19" ht="42.75">
      <c r="A1114" s="164" t="s">
        <v>777</v>
      </c>
      <c r="B1114" s="165" t="s">
        <v>1184</v>
      </c>
      <c r="C1114" s="165" t="s">
        <v>4671</v>
      </c>
      <c r="D1114" s="164">
        <v>11772</v>
      </c>
      <c r="E1114" s="164">
        <v>13016</v>
      </c>
      <c r="F1114" s="164" t="s">
        <v>3404</v>
      </c>
      <c r="G1114" s="164">
        <v>2024</v>
      </c>
      <c r="H1114" s="175">
        <v>45328</v>
      </c>
      <c r="I1114" s="175">
        <v>45328</v>
      </c>
      <c r="J1114" s="168" t="s">
        <v>7163</v>
      </c>
      <c r="K1114" s="169"/>
      <c r="L1114" s="129" t="s">
        <v>3458</v>
      </c>
      <c r="M1114" s="129"/>
      <c r="N1114" s="129"/>
      <c r="O1114" s="129" t="s">
        <v>3406</v>
      </c>
      <c r="P1114" s="146"/>
      <c r="Q1114" s="170"/>
      <c r="R1114" s="171"/>
      <c r="S1114" s="172"/>
    </row>
    <row r="1115" spans="1:19" ht="42.75">
      <c r="A1115" s="164" t="s">
        <v>777</v>
      </c>
      <c r="B1115" s="165" t="s">
        <v>1184</v>
      </c>
      <c r="C1115" s="165" t="s">
        <v>1300</v>
      </c>
      <c r="D1115" s="164">
        <v>1970</v>
      </c>
      <c r="E1115" s="164">
        <v>2151</v>
      </c>
      <c r="F1115" s="164" t="s">
        <v>3404</v>
      </c>
      <c r="G1115" s="164">
        <v>2024</v>
      </c>
      <c r="H1115" s="175">
        <v>45505</v>
      </c>
      <c r="I1115" s="175">
        <v>45505</v>
      </c>
      <c r="J1115" s="168" t="s">
        <v>7164</v>
      </c>
      <c r="K1115" s="174">
        <v>45510</v>
      </c>
      <c r="L1115" s="129" t="s">
        <v>3126</v>
      </c>
      <c r="M1115" s="129" t="s">
        <v>4</v>
      </c>
      <c r="N1115" s="129" t="s">
        <v>50</v>
      </c>
      <c r="O1115" s="129" t="s">
        <v>3406</v>
      </c>
      <c r="P1115" s="146"/>
      <c r="Q1115" s="130">
        <v>45510</v>
      </c>
      <c r="R1115" s="171" t="s">
        <v>6643</v>
      </c>
      <c r="S1115" s="172"/>
    </row>
    <row r="1116" spans="1:19" ht="42.75">
      <c r="A1116" s="164" t="s">
        <v>777</v>
      </c>
      <c r="B1116" s="165" t="s">
        <v>1184</v>
      </c>
      <c r="C1116" s="165" t="s">
        <v>4672</v>
      </c>
      <c r="D1116" s="164">
        <v>378</v>
      </c>
      <c r="E1116" s="164">
        <v>319</v>
      </c>
      <c r="F1116" s="164" t="s">
        <v>3404</v>
      </c>
      <c r="G1116" s="164">
        <v>2024</v>
      </c>
      <c r="H1116" s="175">
        <v>45505</v>
      </c>
      <c r="I1116" s="175">
        <v>45505</v>
      </c>
      <c r="J1116" s="168" t="s">
        <v>7165</v>
      </c>
      <c r="K1116" s="174">
        <v>45510</v>
      </c>
      <c r="L1116" s="129" t="s">
        <v>3126</v>
      </c>
      <c r="M1116" s="129" t="s">
        <v>4</v>
      </c>
      <c r="N1116" s="129" t="s">
        <v>50</v>
      </c>
      <c r="O1116" s="129" t="s">
        <v>3406</v>
      </c>
      <c r="P1116" s="146"/>
      <c r="Q1116" s="130">
        <v>45510</v>
      </c>
      <c r="R1116" s="171" t="s">
        <v>6643</v>
      </c>
      <c r="S1116" s="172"/>
    </row>
    <row r="1117" spans="1:19" ht="42.75">
      <c r="A1117" s="164" t="s">
        <v>777</v>
      </c>
      <c r="B1117" s="165" t="s">
        <v>1184</v>
      </c>
      <c r="C1117" s="165" t="s">
        <v>4673</v>
      </c>
      <c r="D1117" s="164">
        <v>902</v>
      </c>
      <c r="E1117" s="164">
        <v>498</v>
      </c>
      <c r="F1117" s="164" t="s">
        <v>3404</v>
      </c>
      <c r="G1117" s="164">
        <v>2024</v>
      </c>
      <c r="H1117" s="175">
        <v>45505</v>
      </c>
      <c r="I1117" s="175">
        <v>45505</v>
      </c>
      <c r="J1117" s="168" t="s">
        <v>7166</v>
      </c>
      <c r="K1117" s="174">
        <v>45510</v>
      </c>
      <c r="L1117" s="129" t="s">
        <v>3126</v>
      </c>
      <c r="M1117" s="129" t="s">
        <v>4</v>
      </c>
      <c r="N1117" s="129" t="s">
        <v>50</v>
      </c>
      <c r="O1117" s="129" t="s">
        <v>3406</v>
      </c>
      <c r="P1117" s="146"/>
      <c r="Q1117" s="130">
        <v>45510</v>
      </c>
      <c r="R1117" s="171" t="s">
        <v>6643</v>
      </c>
      <c r="S1117" s="172"/>
    </row>
    <row r="1118" spans="1:19" ht="42.75">
      <c r="A1118" s="164" t="s">
        <v>777</v>
      </c>
      <c r="B1118" s="165" t="s">
        <v>1184</v>
      </c>
      <c r="C1118" s="165" t="s">
        <v>3974</v>
      </c>
      <c r="D1118" s="164">
        <v>4908</v>
      </c>
      <c r="E1118" s="164">
        <v>5898</v>
      </c>
      <c r="F1118" s="164" t="s">
        <v>3955</v>
      </c>
      <c r="G1118" s="164"/>
      <c r="H1118" s="167"/>
      <c r="I1118" s="196"/>
      <c r="J1118" s="196"/>
      <c r="K1118" s="169"/>
      <c r="L1118" s="129"/>
      <c r="M1118" s="129"/>
      <c r="N1118" s="129"/>
      <c r="O1118" s="129"/>
      <c r="P1118" s="146"/>
      <c r="Q1118" s="170"/>
      <c r="R1118" s="171"/>
      <c r="S1118" s="172"/>
    </row>
    <row r="1119" spans="1:19" ht="42.75">
      <c r="A1119" s="164" t="s">
        <v>777</v>
      </c>
      <c r="B1119" s="165" t="s">
        <v>1184</v>
      </c>
      <c r="C1119" s="165" t="s">
        <v>1166</v>
      </c>
      <c r="D1119" s="164">
        <v>7895</v>
      </c>
      <c r="E1119" s="164">
        <v>8872</v>
      </c>
      <c r="F1119" s="164" t="s">
        <v>3404</v>
      </c>
      <c r="G1119" s="164">
        <v>2024</v>
      </c>
      <c r="H1119" s="221">
        <v>45434</v>
      </c>
      <c r="I1119" s="174">
        <v>45434</v>
      </c>
      <c r="J1119" s="181" t="s">
        <v>7167</v>
      </c>
      <c r="K1119" s="193">
        <v>45461</v>
      </c>
      <c r="L1119" s="129" t="s">
        <v>3689</v>
      </c>
      <c r="M1119" s="129"/>
      <c r="N1119" s="129"/>
      <c r="O1119" s="129" t="s">
        <v>3406</v>
      </c>
      <c r="P1119" s="146"/>
      <c r="Q1119" s="170">
        <v>45462</v>
      </c>
      <c r="R1119" s="171"/>
      <c r="S1119" s="172"/>
    </row>
    <row r="1120" spans="1:19" ht="42.75">
      <c r="A1120" s="164" t="s">
        <v>777</v>
      </c>
      <c r="B1120" s="165" t="s">
        <v>1184</v>
      </c>
      <c r="C1120" s="165" t="s">
        <v>4242</v>
      </c>
      <c r="D1120" s="164">
        <v>7997</v>
      </c>
      <c r="E1120" s="164">
        <v>8441</v>
      </c>
      <c r="F1120" s="164" t="s">
        <v>3955</v>
      </c>
      <c r="G1120" s="164"/>
      <c r="H1120" s="167"/>
      <c r="I1120" s="167"/>
      <c r="J1120" s="167"/>
      <c r="K1120" s="169"/>
      <c r="L1120" s="129"/>
      <c r="M1120" s="129"/>
      <c r="N1120" s="129"/>
      <c r="O1120" s="129"/>
      <c r="P1120" s="146"/>
      <c r="Q1120" s="170"/>
      <c r="R1120" s="171"/>
      <c r="S1120" s="172"/>
    </row>
    <row r="1121" spans="1:19" ht="42.75">
      <c r="A1121" s="164" t="s">
        <v>777</v>
      </c>
      <c r="B1121" s="165" t="s">
        <v>1184</v>
      </c>
      <c r="C1121" s="165" t="s">
        <v>4674</v>
      </c>
      <c r="D1121" s="164">
        <v>4403</v>
      </c>
      <c r="E1121" s="164">
        <v>5187</v>
      </c>
      <c r="F1121" s="164" t="s">
        <v>3955</v>
      </c>
      <c r="G1121" s="164"/>
      <c r="H1121" s="167"/>
      <c r="I1121" s="196"/>
      <c r="J1121" s="196"/>
      <c r="K1121" s="169"/>
      <c r="L1121" s="129"/>
      <c r="M1121" s="129"/>
      <c r="N1121" s="129"/>
      <c r="O1121" s="129"/>
      <c r="P1121" s="146"/>
      <c r="Q1121" s="170"/>
      <c r="R1121" s="171"/>
      <c r="S1121" s="172"/>
    </row>
    <row r="1122" spans="1:19" ht="42.75">
      <c r="A1122" s="164" t="s">
        <v>777</v>
      </c>
      <c r="B1122" s="165" t="s">
        <v>1184</v>
      </c>
      <c r="C1122" s="165" t="s">
        <v>4636</v>
      </c>
      <c r="D1122" s="164">
        <v>1395</v>
      </c>
      <c r="E1122" s="164">
        <v>1510</v>
      </c>
      <c r="F1122" s="164" t="s">
        <v>3404</v>
      </c>
      <c r="G1122" s="164">
        <v>2024</v>
      </c>
      <c r="H1122" s="221">
        <v>45377</v>
      </c>
      <c r="I1122" s="174">
        <v>45377</v>
      </c>
      <c r="J1122" s="235" t="s">
        <v>7168</v>
      </c>
      <c r="K1122" s="193">
        <v>45384</v>
      </c>
      <c r="L1122" s="129" t="s">
        <v>3470</v>
      </c>
      <c r="M1122" s="129"/>
      <c r="N1122" s="129"/>
      <c r="O1122" s="129" t="s">
        <v>3406</v>
      </c>
      <c r="P1122" s="146"/>
      <c r="Q1122" s="170"/>
      <c r="R1122" s="171"/>
      <c r="S1122" s="172"/>
    </row>
    <row r="1123" spans="1:19" ht="42.75">
      <c r="A1123" s="164" t="s">
        <v>777</v>
      </c>
      <c r="B1123" s="165" t="s">
        <v>1184</v>
      </c>
      <c r="C1123" s="165" t="s">
        <v>3809</v>
      </c>
      <c r="D1123" s="164">
        <v>3229</v>
      </c>
      <c r="E1123" s="164">
        <v>3820</v>
      </c>
      <c r="F1123" s="164" t="s">
        <v>3404</v>
      </c>
      <c r="G1123" s="164">
        <v>2024</v>
      </c>
      <c r="H1123" s="221">
        <v>45377</v>
      </c>
      <c r="I1123" s="174">
        <v>45377</v>
      </c>
      <c r="J1123" s="235" t="s">
        <v>7169</v>
      </c>
      <c r="K1123" s="193">
        <v>45385</v>
      </c>
      <c r="L1123" s="129" t="s">
        <v>3470</v>
      </c>
      <c r="M1123" s="129"/>
      <c r="N1123" s="129"/>
      <c r="O1123" s="129" t="s">
        <v>3406</v>
      </c>
      <c r="P1123" s="146"/>
      <c r="Q1123" s="170"/>
      <c r="R1123" s="171"/>
      <c r="S1123" s="172"/>
    </row>
    <row r="1124" spans="1:19" ht="42.75">
      <c r="A1124" s="164" t="s">
        <v>777</v>
      </c>
      <c r="B1124" s="165" t="s">
        <v>1184</v>
      </c>
      <c r="C1124" s="165" t="s">
        <v>3725</v>
      </c>
      <c r="D1124" s="164">
        <v>1481</v>
      </c>
      <c r="E1124" s="164">
        <v>1628</v>
      </c>
      <c r="F1124" s="164" t="s">
        <v>3955</v>
      </c>
      <c r="G1124" s="164"/>
      <c r="H1124" s="167"/>
      <c r="I1124" s="167"/>
      <c r="J1124" s="167"/>
      <c r="K1124" s="169"/>
      <c r="L1124" s="129"/>
      <c r="M1124" s="129"/>
      <c r="N1124" s="129"/>
      <c r="O1124" s="129"/>
      <c r="P1124" s="146"/>
      <c r="Q1124" s="170"/>
      <c r="R1124" s="171"/>
      <c r="S1124" s="172"/>
    </row>
    <row r="1125" spans="1:19" ht="42.75">
      <c r="A1125" s="164" t="s">
        <v>777</v>
      </c>
      <c r="B1125" s="165" t="s">
        <v>1184</v>
      </c>
      <c r="C1125" s="165" t="s">
        <v>4027</v>
      </c>
      <c r="D1125" s="164">
        <v>1987</v>
      </c>
      <c r="E1125" s="164">
        <v>2177</v>
      </c>
      <c r="F1125" s="164" t="s">
        <v>3955</v>
      </c>
      <c r="G1125" s="164"/>
      <c r="H1125" s="167"/>
      <c r="I1125" s="167"/>
      <c r="J1125" s="167"/>
      <c r="K1125" s="169"/>
      <c r="L1125" s="129"/>
      <c r="M1125" s="129"/>
      <c r="N1125" s="129"/>
      <c r="O1125" s="129"/>
      <c r="P1125" s="146"/>
      <c r="Q1125" s="170"/>
      <c r="R1125" s="171"/>
      <c r="S1125" s="172"/>
    </row>
    <row r="1126" spans="1:19" ht="42.75">
      <c r="A1126" s="164" t="s">
        <v>777</v>
      </c>
      <c r="B1126" s="165" t="s">
        <v>2579</v>
      </c>
      <c r="C1126" s="165" t="s">
        <v>4693</v>
      </c>
      <c r="D1126" s="164">
        <v>2205</v>
      </c>
      <c r="E1126" s="164">
        <v>2428</v>
      </c>
      <c r="F1126" s="164" t="s">
        <v>3955</v>
      </c>
      <c r="G1126" s="164"/>
      <c r="H1126" s="167"/>
      <c r="I1126" s="167"/>
      <c r="J1126" s="167"/>
      <c r="K1126" s="169"/>
      <c r="L1126" s="129"/>
      <c r="M1126" s="129"/>
      <c r="N1126" s="129"/>
      <c r="O1126" s="129"/>
      <c r="P1126" s="146"/>
      <c r="Q1126" s="170"/>
      <c r="R1126" s="171"/>
      <c r="S1126" s="172"/>
    </row>
    <row r="1127" spans="1:19" ht="42.75">
      <c r="A1127" s="164" t="s">
        <v>777</v>
      </c>
      <c r="B1127" s="165" t="s">
        <v>2579</v>
      </c>
      <c r="C1127" s="165" t="s">
        <v>4535</v>
      </c>
      <c r="D1127" s="164">
        <v>1273</v>
      </c>
      <c r="E1127" s="164">
        <v>928</v>
      </c>
      <c r="F1127" s="164" t="s">
        <v>3955</v>
      </c>
      <c r="G1127" s="164"/>
      <c r="H1127" s="167"/>
      <c r="I1127" s="167"/>
      <c r="J1127" s="167"/>
      <c r="K1127" s="169"/>
      <c r="L1127" s="129"/>
      <c r="M1127" s="129"/>
      <c r="N1127" s="129"/>
      <c r="O1127" s="129"/>
      <c r="P1127" s="146"/>
      <c r="Q1127" s="170"/>
      <c r="R1127" s="171"/>
      <c r="S1127" s="172"/>
    </row>
    <row r="1128" spans="1:19" ht="42.75">
      <c r="A1128" s="164" t="s">
        <v>777</v>
      </c>
      <c r="B1128" s="165" t="s">
        <v>2579</v>
      </c>
      <c r="C1128" s="165" t="s">
        <v>4675</v>
      </c>
      <c r="D1128" s="164">
        <v>3919</v>
      </c>
      <c r="E1128" s="164">
        <v>3916</v>
      </c>
      <c r="F1128" s="164" t="s">
        <v>3955</v>
      </c>
      <c r="G1128" s="164"/>
      <c r="H1128" s="167"/>
      <c r="I1128" s="167"/>
      <c r="J1128" s="167"/>
      <c r="K1128" s="169"/>
      <c r="L1128" s="129"/>
      <c r="M1128" s="129"/>
      <c r="N1128" s="129"/>
      <c r="O1128" s="129"/>
      <c r="P1128" s="146"/>
      <c r="Q1128" s="170"/>
      <c r="R1128" s="171"/>
      <c r="S1128" s="172"/>
    </row>
    <row r="1129" spans="1:19" ht="42.75">
      <c r="A1129" s="164" t="s">
        <v>777</v>
      </c>
      <c r="B1129" s="165" t="s">
        <v>2579</v>
      </c>
      <c r="C1129" s="165" t="s">
        <v>1490</v>
      </c>
      <c r="D1129" s="164">
        <v>3844</v>
      </c>
      <c r="E1129" s="164">
        <v>4231</v>
      </c>
      <c r="F1129" s="164" t="s">
        <v>3955</v>
      </c>
      <c r="G1129" s="164"/>
      <c r="H1129" s="167"/>
      <c r="I1129" s="167"/>
      <c r="J1129" s="167"/>
      <c r="K1129" s="169"/>
      <c r="L1129" s="129"/>
      <c r="M1129" s="129"/>
      <c r="N1129" s="129"/>
      <c r="O1129" s="129"/>
      <c r="P1129" s="146"/>
      <c r="Q1129" s="170"/>
      <c r="R1129" s="171"/>
      <c r="S1129" s="172"/>
    </row>
    <row r="1130" spans="1:19" ht="42.75">
      <c r="A1130" s="164" t="s">
        <v>777</v>
      </c>
      <c r="B1130" s="165" t="s">
        <v>2579</v>
      </c>
      <c r="C1130" s="165" t="s">
        <v>4677</v>
      </c>
      <c r="D1130" s="164">
        <v>2445</v>
      </c>
      <c r="E1130" s="164">
        <v>2395</v>
      </c>
      <c r="F1130" s="164" t="s">
        <v>3955</v>
      </c>
      <c r="G1130" s="164"/>
      <c r="H1130" s="167"/>
      <c r="I1130" s="167"/>
      <c r="J1130" s="167"/>
      <c r="K1130" s="169"/>
      <c r="L1130" s="129"/>
      <c r="M1130" s="129"/>
      <c r="N1130" s="129"/>
      <c r="O1130" s="129"/>
      <c r="P1130" s="146"/>
      <c r="Q1130" s="170"/>
      <c r="R1130" s="171"/>
      <c r="S1130" s="172"/>
    </row>
    <row r="1131" spans="1:19" ht="42.75">
      <c r="A1131" s="164" t="s">
        <v>777</v>
      </c>
      <c r="B1131" s="165" t="s">
        <v>2579</v>
      </c>
      <c r="C1131" s="165" t="s">
        <v>4684</v>
      </c>
      <c r="D1131" s="164">
        <v>4018</v>
      </c>
      <c r="E1131" s="164">
        <v>5573</v>
      </c>
      <c r="F1131" s="164" t="s">
        <v>3955</v>
      </c>
      <c r="G1131" s="164"/>
      <c r="H1131" s="167"/>
      <c r="I1131" s="167"/>
      <c r="J1131" s="167"/>
      <c r="K1131" s="169"/>
      <c r="L1131" s="129"/>
      <c r="M1131" s="129"/>
      <c r="N1131" s="129"/>
      <c r="O1131" s="129"/>
      <c r="P1131" s="146"/>
      <c r="Q1131" s="170"/>
      <c r="R1131" s="171"/>
      <c r="S1131" s="172"/>
    </row>
    <row r="1132" spans="1:19" ht="42.75">
      <c r="A1132" s="164" t="s">
        <v>777</v>
      </c>
      <c r="B1132" s="165" t="s">
        <v>2579</v>
      </c>
      <c r="C1132" s="165" t="s">
        <v>4683</v>
      </c>
      <c r="D1132" s="164">
        <v>4616</v>
      </c>
      <c r="E1132" s="164">
        <v>4769</v>
      </c>
      <c r="F1132" s="164" t="s">
        <v>3955</v>
      </c>
      <c r="G1132" s="164"/>
      <c r="H1132" s="167"/>
      <c r="I1132" s="167"/>
      <c r="J1132" s="167"/>
      <c r="K1132" s="169"/>
      <c r="L1132" s="129"/>
      <c r="M1132" s="129"/>
      <c r="N1132" s="129"/>
      <c r="O1132" s="129"/>
      <c r="P1132" s="146"/>
      <c r="Q1132" s="170"/>
      <c r="R1132" s="171"/>
      <c r="S1132" s="172"/>
    </row>
    <row r="1133" spans="1:19" ht="42.75">
      <c r="A1133" s="164" t="s">
        <v>777</v>
      </c>
      <c r="B1133" s="165" t="s">
        <v>2579</v>
      </c>
      <c r="C1133" s="165" t="s">
        <v>4686</v>
      </c>
      <c r="D1133" s="164">
        <v>1475</v>
      </c>
      <c r="E1133" s="164">
        <v>1788</v>
      </c>
      <c r="F1133" s="164" t="s">
        <v>3955</v>
      </c>
      <c r="G1133" s="164"/>
      <c r="H1133" s="167"/>
      <c r="I1133" s="167"/>
      <c r="J1133" s="167"/>
      <c r="K1133" s="169"/>
      <c r="L1133" s="129"/>
      <c r="M1133" s="129"/>
      <c r="N1133" s="129"/>
      <c r="O1133" s="129"/>
      <c r="P1133" s="146"/>
      <c r="Q1133" s="170"/>
      <c r="R1133" s="171"/>
      <c r="S1133" s="172"/>
    </row>
    <row r="1134" spans="1:19" ht="42.75">
      <c r="A1134" s="164" t="s">
        <v>777</v>
      </c>
      <c r="B1134" s="165" t="s">
        <v>2579</v>
      </c>
      <c r="C1134" s="165" t="s">
        <v>4688</v>
      </c>
      <c r="D1134" s="164">
        <v>2234</v>
      </c>
      <c r="E1134" s="164">
        <v>838</v>
      </c>
      <c r="F1134" s="164" t="s">
        <v>3955</v>
      </c>
      <c r="G1134" s="164"/>
      <c r="H1134" s="167"/>
      <c r="I1134" s="167"/>
      <c r="J1134" s="167"/>
      <c r="K1134" s="169"/>
      <c r="L1134" s="129"/>
      <c r="M1134" s="129"/>
      <c r="N1134" s="129"/>
      <c r="O1134" s="129"/>
      <c r="P1134" s="146"/>
      <c r="Q1134" s="170"/>
      <c r="R1134" s="171"/>
      <c r="S1134" s="172"/>
    </row>
    <row r="1135" spans="1:19" ht="42.75">
      <c r="A1135" s="164" t="s">
        <v>777</v>
      </c>
      <c r="B1135" s="165" t="s">
        <v>2579</v>
      </c>
      <c r="C1135" s="165" t="s">
        <v>4690</v>
      </c>
      <c r="D1135" s="164">
        <v>4766</v>
      </c>
      <c r="E1135" s="164">
        <v>5001</v>
      </c>
      <c r="F1135" s="164" t="s">
        <v>3955</v>
      </c>
      <c r="G1135" s="164"/>
      <c r="H1135" s="167"/>
      <c r="I1135" s="167"/>
      <c r="J1135" s="167"/>
      <c r="K1135" s="169"/>
      <c r="L1135" s="129"/>
      <c r="M1135" s="129"/>
      <c r="N1135" s="129"/>
      <c r="O1135" s="129"/>
      <c r="P1135" s="146"/>
      <c r="Q1135" s="170"/>
      <c r="R1135" s="171"/>
      <c r="S1135" s="172"/>
    </row>
    <row r="1136" spans="1:19" ht="42.75">
      <c r="A1136" s="164" t="s">
        <v>777</v>
      </c>
      <c r="B1136" s="165" t="s">
        <v>2579</v>
      </c>
      <c r="C1136" s="165" t="s">
        <v>4691</v>
      </c>
      <c r="D1136" s="164">
        <v>1405</v>
      </c>
      <c r="E1136" s="164">
        <v>1441</v>
      </c>
      <c r="F1136" s="164" t="s">
        <v>3955</v>
      </c>
      <c r="G1136" s="164"/>
      <c r="H1136" s="167"/>
      <c r="I1136" s="167"/>
      <c r="J1136" s="167"/>
      <c r="K1136" s="169"/>
      <c r="L1136" s="129"/>
      <c r="M1136" s="129"/>
      <c r="N1136" s="129"/>
      <c r="O1136" s="129"/>
      <c r="P1136" s="146"/>
      <c r="Q1136" s="170"/>
      <c r="R1136" s="171"/>
      <c r="S1136" s="172"/>
    </row>
    <row r="1137" spans="1:19" ht="42.75">
      <c r="A1137" s="164" t="s">
        <v>777</v>
      </c>
      <c r="B1137" s="165" t="s">
        <v>2579</v>
      </c>
      <c r="C1137" s="165" t="s">
        <v>4695</v>
      </c>
      <c r="D1137" s="164">
        <v>1218</v>
      </c>
      <c r="E1137" s="164">
        <v>943</v>
      </c>
      <c r="F1137" s="164" t="s">
        <v>3955</v>
      </c>
      <c r="G1137" s="164"/>
      <c r="H1137" s="167"/>
      <c r="I1137" s="167"/>
      <c r="J1137" s="167"/>
      <c r="K1137" s="169"/>
      <c r="L1137" s="129"/>
      <c r="M1137" s="129"/>
      <c r="N1137" s="129"/>
      <c r="O1137" s="129"/>
      <c r="P1137" s="146"/>
      <c r="Q1137" s="170"/>
      <c r="R1137" s="171"/>
      <c r="S1137" s="172"/>
    </row>
    <row r="1138" spans="1:19" ht="42.75">
      <c r="A1138" s="164" t="s">
        <v>777</v>
      </c>
      <c r="B1138" s="165" t="s">
        <v>2579</v>
      </c>
      <c r="C1138" s="165" t="s">
        <v>4126</v>
      </c>
      <c r="D1138" s="164">
        <v>2276</v>
      </c>
      <c r="E1138" s="164">
        <v>2484</v>
      </c>
      <c r="F1138" s="164" t="s">
        <v>3955</v>
      </c>
      <c r="G1138" s="164"/>
      <c r="H1138" s="167"/>
      <c r="I1138" s="167"/>
      <c r="J1138" s="167"/>
      <c r="K1138" s="169"/>
      <c r="L1138" s="129"/>
      <c r="M1138" s="129"/>
      <c r="N1138" s="129"/>
      <c r="O1138" s="129"/>
      <c r="P1138" s="146"/>
      <c r="Q1138" s="170"/>
      <c r="R1138" s="171"/>
      <c r="S1138" s="172"/>
    </row>
    <row r="1139" spans="1:19" ht="42.75">
      <c r="A1139" s="164" t="s">
        <v>777</v>
      </c>
      <c r="B1139" s="165" t="s">
        <v>2579</v>
      </c>
      <c r="C1139" s="165" t="s">
        <v>4696</v>
      </c>
      <c r="D1139" s="164">
        <v>1435</v>
      </c>
      <c r="E1139" s="164">
        <v>1318</v>
      </c>
      <c r="F1139" s="164" t="s">
        <v>3955</v>
      </c>
      <c r="G1139" s="164"/>
      <c r="H1139" s="167"/>
      <c r="I1139" s="167"/>
      <c r="J1139" s="167"/>
      <c r="K1139" s="169"/>
      <c r="L1139" s="129"/>
      <c r="M1139" s="129"/>
      <c r="N1139" s="129"/>
      <c r="O1139" s="129"/>
      <c r="P1139" s="146"/>
      <c r="Q1139" s="170"/>
      <c r="R1139" s="171"/>
      <c r="S1139" s="172"/>
    </row>
    <row r="1140" spans="1:19" ht="42.75">
      <c r="A1140" s="164" t="s">
        <v>777</v>
      </c>
      <c r="B1140" s="165" t="s">
        <v>2579</v>
      </c>
      <c r="C1140" s="165" t="s">
        <v>4681</v>
      </c>
      <c r="D1140" s="164">
        <v>939</v>
      </c>
      <c r="E1140" s="164">
        <v>1096</v>
      </c>
      <c r="F1140" s="164" t="s">
        <v>3955</v>
      </c>
      <c r="G1140" s="164"/>
      <c r="H1140" s="167"/>
      <c r="I1140" s="167"/>
      <c r="J1140" s="167"/>
      <c r="K1140" s="169"/>
      <c r="L1140" s="129"/>
      <c r="M1140" s="129"/>
      <c r="N1140" s="129"/>
      <c r="O1140" s="129"/>
      <c r="P1140" s="146"/>
      <c r="Q1140" s="170"/>
      <c r="R1140" s="171"/>
      <c r="S1140" s="172"/>
    </row>
    <row r="1141" spans="1:19" ht="42.75">
      <c r="A1141" s="164" t="s">
        <v>777</v>
      </c>
      <c r="B1141" s="165" t="s">
        <v>2579</v>
      </c>
      <c r="C1141" s="165" t="s">
        <v>4679</v>
      </c>
      <c r="D1141" s="164">
        <v>1642</v>
      </c>
      <c r="E1141" s="164">
        <v>1709</v>
      </c>
      <c r="F1141" s="164" t="s">
        <v>3955</v>
      </c>
      <c r="G1141" s="164"/>
      <c r="H1141" s="167"/>
      <c r="I1141" s="167"/>
      <c r="J1141" s="167"/>
      <c r="K1141" s="169"/>
      <c r="L1141" s="129"/>
      <c r="M1141" s="129"/>
      <c r="N1141" s="129"/>
      <c r="O1141" s="129"/>
      <c r="P1141" s="146"/>
      <c r="Q1141" s="170"/>
      <c r="R1141" s="171"/>
      <c r="S1141" s="172"/>
    </row>
    <row r="1142" spans="1:19" ht="42.75">
      <c r="A1142" s="164" t="s">
        <v>777</v>
      </c>
      <c r="B1142" s="165" t="s">
        <v>2579</v>
      </c>
      <c r="C1142" s="165" t="s">
        <v>4682</v>
      </c>
      <c r="D1142" s="164">
        <v>1421</v>
      </c>
      <c r="E1142" s="164">
        <v>1562</v>
      </c>
      <c r="F1142" s="164" t="s">
        <v>3955</v>
      </c>
      <c r="G1142" s="164"/>
      <c r="H1142" s="167"/>
      <c r="I1142" s="167"/>
      <c r="J1142" s="167"/>
      <c r="K1142" s="169"/>
      <c r="L1142" s="129"/>
      <c r="M1142" s="129"/>
      <c r="N1142" s="129"/>
      <c r="O1142" s="129"/>
      <c r="P1142" s="146"/>
      <c r="Q1142" s="170"/>
      <c r="R1142" s="171"/>
      <c r="S1142" s="172"/>
    </row>
    <row r="1143" spans="1:19" ht="42.75">
      <c r="A1143" s="164" t="s">
        <v>777</v>
      </c>
      <c r="B1143" s="165" t="s">
        <v>1096</v>
      </c>
      <c r="C1143" s="165" t="s">
        <v>4747</v>
      </c>
      <c r="D1143" s="164">
        <v>2544</v>
      </c>
      <c r="E1143" s="164">
        <v>2630</v>
      </c>
      <c r="F1143" s="164" t="s">
        <v>3955</v>
      </c>
      <c r="G1143" s="164"/>
      <c r="H1143" s="167"/>
      <c r="I1143" s="167"/>
      <c r="J1143" s="167"/>
      <c r="K1143" s="169"/>
      <c r="L1143" s="129"/>
      <c r="M1143" s="129"/>
      <c r="N1143" s="129"/>
      <c r="O1143" s="129"/>
      <c r="P1143" s="146"/>
      <c r="Q1143" s="170"/>
      <c r="R1143" s="171"/>
      <c r="S1143" s="172"/>
    </row>
    <row r="1144" spans="1:19" ht="42.75">
      <c r="A1144" s="164" t="s">
        <v>777</v>
      </c>
      <c r="B1144" s="165" t="s">
        <v>1096</v>
      </c>
      <c r="C1144" s="165" t="s">
        <v>4748</v>
      </c>
      <c r="D1144" s="164">
        <v>2030</v>
      </c>
      <c r="E1144" s="164">
        <v>2162</v>
      </c>
      <c r="F1144" s="164" t="s">
        <v>3955</v>
      </c>
      <c r="G1144" s="164"/>
      <c r="H1144" s="167"/>
      <c r="I1144" s="167"/>
      <c r="J1144" s="167"/>
      <c r="K1144" s="169"/>
      <c r="L1144" s="129"/>
      <c r="M1144" s="129"/>
      <c r="N1144" s="129"/>
      <c r="O1144" s="129"/>
      <c r="P1144" s="146"/>
      <c r="Q1144" s="170"/>
      <c r="R1144" s="171"/>
      <c r="S1144" s="172"/>
    </row>
    <row r="1145" spans="1:19" ht="42.75">
      <c r="A1145" s="164" t="s">
        <v>777</v>
      </c>
      <c r="B1145" s="165" t="s">
        <v>1096</v>
      </c>
      <c r="C1145" s="165" t="s">
        <v>4535</v>
      </c>
      <c r="D1145" s="164">
        <v>531</v>
      </c>
      <c r="E1145" s="164">
        <v>596</v>
      </c>
      <c r="F1145" s="164" t="s">
        <v>3955</v>
      </c>
      <c r="G1145" s="164"/>
      <c r="H1145" s="167"/>
      <c r="I1145" s="167"/>
      <c r="J1145" s="167"/>
      <c r="K1145" s="169"/>
      <c r="L1145" s="129"/>
      <c r="M1145" s="129"/>
      <c r="N1145" s="129"/>
      <c r="O1145" s="129"/>
      <c r="P1145" s="146"/>
      <c r="Q1145" s="170"/>
      <c r="R1145" s="171"/>
      <c r="S1145" s="172"/>
    </row>
    <row r="1146" spans="1:19" ht="42.75">
      <c r="A1146" s="164" t="s">
        <v>777</v>
      </c>
      <c r="B1146" s="165" t="s">
        <v>1096</v>
      </c>
      <c r="C1146" s="165" t="s">
        <v>4749</v>
      </c>
      <c r="D1146" s="164">
        <v>1358</v>
      </c>
      <c r="E1146" s="164">
        <v>1523</v>
      </c>
      <c r="F1146" s="164" t="s">
        <v>3955</v>
      </c>
      <c r="G1146" s="164"/>
      <c r="H1146" s="167"/>
      <c r="I1146" s="167"/>
      <c r="J1146" s="167"/>
      <c r="K1146" s="169"/>
      <c r="L1146" s="129"/>
      <c r="M1146" s="129"/>
      <c r="N1146" s="129"/>
      <c r="O1146" s="129"/>
      <c r="P1146" s="146"/>
      <c r="Q1146" s="170"/>
      <c r="R1146" s="171"/>
      <c r="S1146" s="172"/>
    </row>
    <row r="1147" spans="1:19" ht="42.75">
      <c r="A1147" s="164" t="s">
        <v>777</v>
      </c>
      <c r="B1147" s="165" t="s">
        <v>1096</v>
      </c>
      <c r="C1147" s="165" t="s">
        <v>4506</v>
      </c>
      <c r="D1147" s="164">
        <v>1198</v>
      </c>
      <c r="E1147" s="164">
        <v>1407</v>
      </c>
      <c r="F1147" s="164" t="s">
        <v>3955</v>
      </c>
      <c r="G1147" s="164"/>
      <c r="H1147" s="167"/>
      <c r="I1147" s="167"/>
      <c r="J1147" s="167"/>
      <c r="K1147" s="169"/>
      <c r="L1147" s="129"/>
      <c r="M1147" s="129"/>
      <c r="N1147" s="129"/>
      <c r="O1147" s="129"/>
      <c r="P1147" s="146"/>
      <c r="Q1147" s="170"/>
      <c r="R1147" s="171"/>
      <c r="S1147" s="172"/>
    </row>
    <row r="1148" spans="1:19" ht="42.75">
      <c r="A1148" s="164" t="s">
        <v>777</v>
      </c>
      <c r="B1148" s="165" t="s">
        <v>1096</v>
      </c>
      <c r="C1148" s="165" t="s">
        <v>4750</v>
      </c>
      <c r="D1148" s="164">
        <v>1515</v>
      </c>
      <c r="E1148" s="164">
        <v>1575</v>
      </c>
      <c r="F1148" s="164" t="s">
        <v>3955</v>
      </c>
      <c r="G1148" s="164"/>
      <c r="H1148" s="167"/>
      <c r="I1148" s="167"/>
      <c r="J1148" s="167"/>
      <c r="K1148" s="169"/>
      <c r="L1148" s="129"/>
      <c r="M1148" s="129"/>
      <c r="N1148" s="129"/>
      <c r="O1148" s="129"/>
      <c r="P1148" s="146"/>
      <c r="Q1148" s="170"/>
      <c r="R1148" s="171"/>
      <c r="S1148" s="172"/>
    </row>
    <row r="1149" spans="1:19" ht="42.75">
      <c r="A1149" s="164" t="s">
        <v>777</v>
      </c>
      <c r="B1149" s="165" t="s">
        <v>1096</v>
      </c>
      <c r="C1149" s="165" t="s">
        <v>4751</v>
      </c>
      <c r="D1149" s="164">
        <v>508</v>
      </c>
      <c r="E1149" s="164">
        <v>568</v>
      </c>
      <c r="F1149" s="164" t="s">
        <v>3955</v>
      </c>
      <c r="G1149" s="164"/>
      <c r="H1149" s="167"/>
      <c r="I1149" s="167"/>
      <c r="J1149" s="167"/>
      <c r="K1149" s="169"/>
      <c r="L1149" s="129"/>
      <c r="M1149" s="129"/>
      <c r="N1149" s="129"/>
      <c r="O1149" s="129"/>
      <c r="P1149" s="146"/>
      <c r="Q1149" s="170"/>
      <c r="R1149" s="171"/>
      <c r="S1149" s="172"/>
    </row>
    <row r="1150" spans="1:19" ht="42.75">
      <c r="A1150" s="164" t="s">
        <v>777</v>
      </c>
      <c r="B1150" s="165" t="s">
        <v>1096</v>
      </c>
      <c r="C1150" s="165" t="s">
        <v>4752</v>
      </c>
      <c r="D1150" s="164">
        <v>1164</v>
      </c>
      <c r="E1150" s="164">
        <v>1361</v>
      </c>
      <c r="F1150" s="164" t="s">
        <v>3955</v>
      </c>
      <c r="G1150" s="164"/>
      <c r="H1150" s="167"/>
      <c r="I1150" s="167"/>
      <c r="J1150" s="167"/>
      <c r="K1150" s="169"/>
      <c r="L1150" s="129"/>
      <c r="M1150" s="129"/>
      <c r="N1150" s="129"/>
      <c r="O1150" s="129"/>
      <c r="P1150" s="146"/>
      <c r="Q1150" s="170"/>
      <c r="R1150" s="171"/>
      <c r="S1150" s="172"/>
    </row>
    <row r="1151" spans="1:19" ht="42.75">
      <c r="A1151" s="164" t="s">
        <v>777</v>
      </c>
      <c r="B1151" s="165" t="s">
        <v>1096</v>
      </c>
      <c r="C1151" s="165" t="s">
        <v>1490</v>
      </c>
      <c r="D1151" s="164">
        <v>1565</v>
      </c>
      <c r="E1151" s="164">
        <v>1468</v>
      </c>
      <c r="F1151" s="164" t="s">
        <v>3955</v>
      </c>
      <c r="G1151" s="164"/>
      <c r="H1151" s="167"/>
      <c r="I1151" s="167"/>
      <c r="J1151" s="167"/>
      <c r="K1151" s="169"/>
      <c r="L1151" s="129"/>
      <c r="M1151" s="129"/>
      <c r="N1151" s="129"/>
      <c r="O1151" s="129"/>
      <c r="P1151" s="146"/>
      <c r="Q1151" s="170"/>
      <c r="R1151" s="171"/>
      <c r="S1151" s="172"/>
    </row>
    <row r="1152" spans="1:19" ht="42.75">
      <c r="A1152" s="164" t="s">
        <v>777</v>
      </c>
      <c r="B1152" s="165" t="s">
        <v>1096</v>
      </c>
      <c r="C1152" s="165" t="s">
        <v>4754</v>
      </c>
      <c r="D1152" s="164">
        <v>1202</v>
      </c>
      <c r="E1152" s="164">
        <v>1066</v>
      </c>
      <c r="F1152" s="164" t="s">
        <v>3955</v>
      </c>
      <c r="G1152" s="164"/>
      <c r="H1152" s="167"/>
      <c r="I1152" s="167"/>
      <c r="J1152" s="167"/>
      <c r="K1152" s="169"/>
      <c r="L1152" s="129"/>
      <c r="M1152" s="129"/>
      <c r="N1152" s="129"/>
      <c r="O1152" s="129"/>
      <c r="P1152" s="146"/>
      <c r="Q1152" s="170"/>
      <c r="R1152" s="171"/>
      <c r="S1152" s="172"/>
    </row>
    <row r="1153" spans="1:19" ht="42.75">
      <c r="A1153" s="164" t="s">
        <v>777</v>
      </c>
      <c r="B1153" s="165" t="s">
        <v>1096</v>
      </c>
      <c r="C1153" s="165" t="s">
        <v>4753</v>
      </c>
      <c r="D1153" s="164">
        <v>710</v>
      </c>
      <c r="E1153" s="164">
        <v>782</v>
      </c>
      <c r="F1153" s="164" t="s">
        <v>3955</v>
      </c>
      <c r="G1153" s="164"/>
      <c r="H1153" s="167"/>
      <c r="I1153" s="167"/>
      <c r="J1153" s="167"/>
      <c r="K1153" s="169"/>
      <c r="L1153" s="129"/>
      <c r="M1153" s="129"/>
      <c r="N1153" s="129"/>
      <c r="O1153" s="129"/>
      <c r="P1153" s="146"/>
      <c r="Q1153" s="170"/>
      <c r="R1153" s="171"/>
      <c r="S1153" s="172"/>
    </row>
    <row r="1154" spans="1:19" ht="42.75">
      <c r="A1154" s="164" t="s">
        <v>777</v>
      </c>
      <c r="B1154" s="165" t="s">
        <v>1096</v>
      </c>
      <c r="C1154" s="165" t="s">
        <v>4755</v>
      </c>
      <c r="D1154" s="164">
        <v>689</v>
      </c>
      <c r="E1154" s="164">
        <v>763</v>
      </c>
      <c r="F1154" s="164" t="s">
        <v>3955</v>
      </c>
      <c r="G1154" s="164"/>
      <c r="H1154" s="167"/>
      <c r="I1154" s="167"/>
      <c r="J1154" s="167"/>
      <c r="K1154" s="169"/>
      <c r="L1154" s="129"/>
      <c r="M1154" s="129"/>
      <c r="N1154" s="129"/>
      <c r="O1154" s="129"/>
      <c r="P1154" s="146"/>
      <c r="Q1154" s="170"/>
      <c r="R1154" s="171"/>
      <c r="S1154" s="172"/>
    </row>
    <row r="1155" spans="1:19" ht="42.75">
      <c r="A1155" s="164" t="s">
        <v>777</v>
      </c>
      <c r="B1155" s="165" t="s">
        <v>1096</v>
      </c>
      <c r="C1155" s="165" t="s">
        <v>4756</v>
      </c>
      <c r="D1155" s="164">
        <v>958</v>
      </c>
      <c r="E1155" s="164">
        <v>1084</v>
      </c>
      <c r="F1155" s="164" t="s">
        <v>3955</v>
      </c>
      <c r="G1155" s="164"/>
      <c r="H1155" s="167"/>
      <c r="I1155" s="167"/>
      <c r="J1155" s="167"/>
      <c r="K1155" s="169"/>
      <c r="L1155" s="129"/>
      <c r="M1155" s="129"/>
      <c r="N1155" s="129"/>
      <c r="O1155" s="129"/>
      <c r="P1155" s="146"/>
      <c r="Q1155" s="170"/>
      <c r="R1155" s="171"/>
      <c r="S1155" s="172"/>
    </row>
    <row r="1156" spans="1:19" ht="42.75">
      <c r="A1156" s="164" t="s">
        <v>777</v>
      </c>
      <c r="B1156" s="165" t="s">
        <v>1096</v>
      </c>
      <c r="C1156" s="165" t="s">
        <v>4757</v>
      </c>
      <c r="D1156" s="164">
        <v>1636</v>
      </c>
      <c r="E1156" s="164">
        <v>1724</v>
      </c>
      <c r="F1156" s="164" t="s">
        <v>3955</v>
      </c>
      <c r="G1156" s="164"/>
      <c r="H1156" s="167"/>
      <c r="I1156" s="167"/>
      <c r="J1156" s="167"/>
      <c r="K1156" s="169"/>
      <c r="L1156" s="129"/>
      <c r="M1156" s="129"/>
      <c r="N1156" s="129"/>
      <c r="O1156" s="129"/>
      <c r="P1156" s="146"/>
      <c r="Q1156" s="170"/>
      <c r="R1156" s="171"/>
      <c r="S1156" s="172"/>
    </row>
    <row r="1157" spans="1:19" ht="42.75">
      <c r="A1157" s="164" t="s">
        <v>777</v>
      </c>
      <c r="B1157" s="165" t="s">
        <v>1096</v>
      </c>
      <c r="C1157" s="165" t="s">
        <v>4758</v>
      </c>
      <c r="D1157" s="164">
        <v>678</v>
      </c>
      <c r="E1157" s="164">
        <v>727</v>
      </c>
      <c r="F1157" s="164" t="s">
        <v>3955</v>
      </c>
      <c r="G1157" s="164"/>
      <c r="H1157" s="167"/>
      <c r="I1157" s="167"/>
      <c r="J1157" s="167"/>
      <c r="K1157" s="169"/>
      <c r="L1157" s="129"/>
      <c r="M1157" s="129"/>
      <c r="N1157" s="129"/>
      <c r="O1157" s="129"/>
      <c r="P1157" s="146"/>
      <c r="Q1157" s="170"/>
      <c r="R1157" s="171"/>
      <c r="S1157" s="172"/>
    </row>
    <row r="1158" spans="1:19" ht="42.75">
      <c r="A1158" s="164" t="s">
        <v>777</v>
      </c>
      <c r="B1158" s="165" t="s">
        <v>1096</v>
      </c>
      <c r="C1158" s="165" t="s">
        <v>4759</v>
      </c>
      <c r="D1158" s="164">
        <v>641</v>
      </c>
      <c r="E1158" s="164">
        <v>816</v>
      </c>
      <c r="F1158" s="164" t="s">
        <v>3955</v>
      </c>
      <c r="G1158" s="164"/>
      <c r="H1158" s="167"/>
      <c r="I1158" s="167"/>
      <c r="J1158" s="167"/>
      <c r="K1158" s="169"/>
      <c r="L1158" s="129"/>
      <c r="M1158" s="129"/>
      <c r="N1158" s="129"/>
      <c r="O1158" s="129"/>
      <c r="P1158" s="146"/>
      <c r="Q1158" s="170"/>
      <c r="R1158" s="171"/>
      <c r="S1158" s="172"/>
    </row>
    <row r="1159" spans="1:19" ht="42.75">
      <c r="A1159" s="164" t="s">
        <v>777</v>
      </c>
      <c r="B1159" s="165" t="s">
        <v>1096</v>
      </c>
      <c r="C1159" s="165" t="s">
        <v>4531</v>
      </c>
      <c r="D1159" s="164">
        <v>867</v>
      </c>
      <c r="E1159" s="164">
        <v>981</v>
      </c>
      <c r="F1159" s="164" t="s">
        <v>3955</v>
      </c>
      <c r="G1159" s="164"/>
      <c r="H1159" s="167"/>
      <c r="I1159" s="167"/>
      <c r="J1159" s="167"/>
      <c r="K1159" s="169"/>
      <c r="L1159" s="129"/>
      <c r="M1159" s="129"/>
      <c r="N1159" s="129"/>
      <c r="O1159" s="129"/>
      <c r="P1159" s="146"/>
      <c r="Q1159" s="170"/>
      <c r="R1159" s="171"/>
      <c r="S1159" s="172"/>
    </row>
    <row r="1160" spans="1:19" ht="42.75">
      <c r="A1160" s="164" t="s">
        <v>777</v>
      </c>
      <c r="B1160" s="165" t="s">
        <v>1096</v>
      </c>
      <c r="C1160" s="165" t="s">
        <v>4761</v>
      </c>
      <c r="D1160" s="164">
        <v>1061</v>
      </c>
      <c r="E1160" s="164">
        <v>1015</v>
      </c>
      <c r="F1160" s="164" t="s">
        <v>3955</v>
      </c>
      <c r="G1160" s="164"/>
      <c r="H1160" s="167"/>
      <c r="I1160" s="167"/>
      <c r="J1160" s="167"/>
      <c r="K1160" s="169"/>
      <c r="L1160" s="129"/>
      <c r="M1160" s="129"/>
      <c r="N1160" s="129"/>
      <c r="O1160" s="129"/>
      <c r="P1160" s="146"/>
      <c r="Q1160" s="170"/>
      <c r="R1160" s="171"/>
      <c r="S1160" s="172"/>
    </row>
    <row r="1161" spans="1:19" ht="42.75">
      <c r="A1161" s="164" t="s">
        <v>777</v>
      </c>
      <c r="B1161" s="165" t="s">
        <v>1096</v>
      </c>
      <c r="C1161" s="165" t="s">
        <v>4763</v>
      </c>
      <c r="D1161" s="164">
        <v>1522</v>
      </c>
      <c r="E1161" s="164">
        <v>1472</v>
      </c>
      <c r="F1161" s="164" t="s">
        <v>3955</v>
      </c>
      <c r="G1161" s="164"/>
      <c r="H1161" s="167"/>
      <c r="I1161" s="167"/>
      <c r="J1161" s="167"/>
      <c r="K1161" s="169"/>
      <c r="L1161" s="129"/>
      <c r="M1161" s="129"/>
      <c r="N1161" s="129"/>
      <c r="O1161" s="129"/>
      <c r="P1161" s="146"/>
      <c r="Q1161" s="170"/>
      <c r="R1161" s="171"/>
      <c r="S1161" s="172"/>
    </row>
    <row r="1162" spans="1:19" ht="42.75">
      <c r="A1162" s="164" t="s">
        <v>777</v>
      </c>
      <c r="B1162" s="165" t="s">
        <v>1096</v>
      </c>
      <c r="C1162" s="165" t="s">
        <v>4765</v>
      </c>
      <c r="D1162" s="164">
        <v>1340</v>
      </c>
      <c r="E1162" s="164">
        <v>1372</v>
      </c>
      <c r="F1162" s="164" t="s">
        <v>3955</v>
      </c>
      <c r="G1162" s="164"/>
      <c r="H1162" s="167"/>
      <c r="I1162" s="167"/>
      <c r="J1162" s="167"/>
      <c r="K1162" s="169"/>
      <c r="L1162" s="129"/>
      <c r="M1162" s="129"/>
      <c r="N1162" s="129"/>
      <c r="O1162" s="129"/>
      <c r="P1162" s="146"/>
      <c r="Q1162" s="170"/>
      <c r="R1162" s="171"/>
      <c r="S1162" s="172"/>
    </row>
    <row r="1163" spans="1:19" ht="42.75">
      <c r="A1163" s="164" t="s">
        <v>777</v>
      </c>
      <c r="B1163" s="165" t="s">
        <v>1096</v>
      </c>
      <c r="C1163" s="165" t="s">
        <v>4766</v>
      </c>
      <c r="D1163" s="164">
        <v>975</v>
      </c>
      <c r="E1163" s="164">
        <v>887</v>
      </c>
      <c r="F1163" s="164" t="s">
        <v>3955</v>
      </c>
      <c r="G1163" s="164"/>
      <c r="H1163" s="167"/>
      <c r="I1163" s="167"/>
      <c r="J1163" s="167"/>
      <c r="K1163" s="169"/>
      <c r="L1163" s="129"/>
      <c r="M1163" s="129"/>
      <c r="N1163" s="129"/>
      <c r="O1163" s="129"/>
      <c r="P1163" s="146"/>
      <c r="Q1163" s="170"/>
      <c r="R1163" s="171"/>
      <c r="S1163" s="172"/>
    </row>
    <row r="1164" spans="1:19" ht="42.75">
      <c r="A1164" s="164" t="s">
        <v>777</v>
      </c>
      <c r="B1164" s="165" t="s">
        <v>1096</v>
      </c>
      <c r="C1164" s="165" t="s">
        <v>4767</v>
      </c>
      <c r="D1164" s="164">
        <v>1762</v>
      </c>
      <c r="E1164" s="164">
        <v>1776</v>
      </c>
      <c r="F1164" s="164" t="s">
        <v>3955</v>
      </c>
      <c r="G1164" s="164"/>
      <c r="H1164" s="167"/>
      <c r="I1164" s="167"/>
      <c r="J1164" s="167"/>
      <c r="K1164" s="169"/>
      <c r="L1164" s="129"/>
      <c r="M1164" s="129"/>
      <c r="N1164" s="129"/>
      <c r="O1164" s="129"/>
      <c r="P1164" s="146"/>
      <c r="Q1164" s="170"/>
      <c r="R1164" s="171"/>
      <c r="S1164" s="172"/>
    </row>
    <row r="1165" spans="1:19" ht="42.75">
      <c r="A1165" s="164" t="s">
        <v>777</v>
      </c>
      <c r="B1165" s="165" t="s">
        <v>1096</v>
      </c>
      <c r="C1165" s="165" t="s">
        <v>4768</v>
      </c>
      <c r="D1165" s="164">
        <v>719</v>
      </c>
      <c r="E1165" s="164">
        <v>740</v>
      </c>
      <c r="F1165" s="164" t="s">
        <v>3955</v>
      </c>
      <c r="G1165" s="164"/>
      <c r="H1165" s="167"/>
      <c r="I1165" s="167"/>
      <c r="J1165" s="167"/>
      <c r="K1165" s="169"/>
      <c r="L1165" s="129"/>
      <c r="M1165" s="129"/>
      <c r="N1165" s="129"/>
      <c r="O1165" s="129"/>
      <c r="P1165" s="146"/>
      <c r="Q1165" s="170"/>
      <c r="R1165" s="171"/>
      <c r="S1165" s="172"/>
    </row>
    <row r="1166" spans="1:19" ht="42.75">
      <c r="A1166" s="164" t="s">
        <v>777</v>
      </c>
      <c r="B1166" s="165" t="s">
        <v>1096</v>
      </c>
      <c r="C1166" s="165" t="s">
        <v>4769</v>
      </c>
      <c r="D1166" s="164">
        <v>1255</v>
      </c>
      <c r="E1166" s="164">
        <v>1269</v>
      </c>
      <c r="F1166" s="164" t="s">
        <v>3955</v>
      </c>
      <c r="G1166" s="164"/>
      <c r="H1166" s="167"/>
      <c r="I1166" s="167"/>
      <c r="J1166" s="167"/>
      <c r="K1166" s="169"/>
      <c r="L1166" s="129"/>
      <c r="M1166" s="129"/>
      <c r="N1166" s="129"/>
      <c r="O1166" s="129"/>
      <c r="P1166" s="146"/>
      <c r="Q1166" s="170"/>
      <c r="R1166" s="171"/>
      <c r="S1166" s="172"/>
    </row>
    <row r="1167" spans="1:19" ht="42.75">
      <c r="A1167" s="164" t="s">
        <v>777</v>
      </c>
      <c r="B1167" s="165" t="s">
        <v>1096</v>
      </c>
      <c r="C1167" s="165" t="s">
        <v>4771</v>
      </c>
      <c r="D1167" s="164">
        <v>824</v>
      </c>
      <c r="E1167" s="164">
        <v>828</v>
      </c>
      <c r="F1167" s="164" t="s">
        <v>3955</v>
      </c>
      <c r="G1167" s="164"/>
      <c r="H1167" s="167"/>
      <c r="I1167" s="167"/>
      <c r="J1167" s="167"/>
      <c r="K1167" s="169"/>
      <c r="L1167" s="129"/>
      <c r="M1167" s="129"/>
      <c r="N1167" s="129"/>
      <c r="O1167" s="129"/>
      <c r="P1167" s="146"/>
      <c r="Q1167" s="170"/>
      <c r="R1167" s="171"/>
      <c r="S1167" s="172"/>
    </row>
    <row r="1168" spans="1:19" ht="42.75">
      <c r="A1168" s="164" t="s">
        <v>777</v>
      </c>
      <c r="B1168" s="165" t="s">
        <v>1096</v>
      </c>
      <c r="C1168" s="165" t="s">
        <v>4772</v>
      </c>
      <c r="D1168" s="164">
        <v>2169</v>
      </c>
      <c r="E1168" s="164">
        <v>2204</v>
      </c>
      <c r="F1168" s="164" t="s">
        <v>3955</v>
      </c>
      <c r="G1168" s="164"/>
      <c r="H1168" s="167"/>
      <c r="I1168" s="167"/>
      <c r="J1168" s="167"/>
      <c r="K1168" s="169"/>
      <c r="L1168" s="129"/>
      <c r="M1168" s="129"/>
      <c r="N1168" s="129"/>
      <c r="O1168" s="129"/>
      <c r="P1168" s="146"/>
      <c r="Q1168" s="170"/>
      <c r="R1168" s="171"/>
      <c r="S1168" s="172"/>
    </row>
    <row r="1169" spans="1:19" ht="42.75">
      <c r="A1169" s="164" t="s">
        <v>777</v>
      </c>
      <c r="B1169" s="165" t="s">
        <v>1096</v>
      </c>
      <c r="C1169" s="165" t="s">
        <v>4773</v>
      </c>
      <c r="D1169" s="164">
        <v>1186</v>
      </c>
      <c r="E1169" s="164">
        <v>1146</v>
      </c>
      <c r="F1169" s="164" t="s">
        <v>3955</v>
      </c>
      <c r="G1169" s="164"/>
      <c r="H1169" s="167"/>
      <c r="I1169" s="167"/>
      <c r="J1169" s="167"/>
      <c r="K1169" s="169"/>
      <c r="L1169" s="129"/>
      <c r="M1169" s="129"/>
      <c r="N1169" s="129"/>
      <c r="O1169" s="129"/>
      <c r="P1169" s="146"/>
      <c r="Q1169" s="170"/>
      <c r="R1169" s="171"/>
      <c r="S1169" s="172"/>
    </row>
    <row r="1170" spans="1:19" ht="42.75">
      <c r="A1170" s="164" t="s">
        <v>777</v>
      </c>
      <c r="B1170" s="165" t="s">
        <v>1096</v>
      </c>
      <c r="C1170" s="165" t="s">
        <v>4774</v>
      </c>
      <c r="D1170" s="164">
        <v>1287</v>
      </c>
      <c r="E1170" s="164">
        <v>1305</v>
      </c>
      <c r="F1170" s="164" t="s">
        <v>3955</v>
      </c>
      <c r="G1170" s="164"/>
      <c r="H1170" s="167"/>
      <c r="I1170" s="167"/>
      <c r="J1170" s="167"/>
      <c r="K1170" s="169"/>
      <c r="L1170" s="129"/>
      <c r="M1170" s="129"/>
      <c r="N1170" s="129"/>
      <c r="O1170" s="129"/>
      <c r="P1170" s="146"/>
      <c r="Q1170" s="170"/>
      <c r="R1170" s="171"/>
      <c r="S1170" s="172"/>
    </row>
    <row r="1171" spans="1:19" ht="42.75">
      <c r="A1171" s="164" t="s">
        <v>777</v>
      </c>
      <c r="B1171" s="165" t="s">
        <v>1096</v>
      </c>
      <c r="C1171" s="165" t="s">
        <v>4775</v>
      </c>
      <c r="D1171" s="164">
        <v>681</v>
      </c>
      <c r="E1171" s="164">
        <v>693</v>
      </c>
      <c r="F1171" s="164" t="s">
        <v>3955</v>
      </c>
      <c r="G1171" s="164"/>
      <c r="H1171" s="167"/>
      <c r="I1171" s="167"/>
      <c r="J1171" s="167"/>
      <c r="K1171" s="169"/>
      <c r="L1171" s="129"/>
      <c r="M1171" s="129"/>
      <c r="N1171" s="129"/>
      <c r="O1171" s="129"/>
      <c r="P1171" s="146"/>
      <c r="Q1171" s="170"/>
      <c r="R1171" s="171"/>
      <c r="S1171" s="172"/>
    </row>
    <row r="1172" spans="1:19" ht="42.75">
      <c r="A1172" s="164" t="s">
        <v>777</v>
      </c>
      <c r="B1172" s="165" t="s">
        <v>1096</v>
      </c>
      <c r="C1172" s="165" t="s">
        <v>4776</v>
      </c>
      <c r="D1172" s="164">
        <v>1616</v>
      </c>
      <c r="E1172" s="164">
        <v>1918</v>
      </c>
      <c r="F1172" s="164" t="s">
        <v>3955</v>
      </c>
      <c r="G1172" s="164"/>
      <c r="H1172" s="167"/>
      <c r="I1172" s="167"/>
      <c r="J1172" s="167"/>
      <c r="K1172" s="169"/>
      <c r="L1172" s="129"/>
      <c r="M1172" s="129"/>
      <c r="N1172" s="129"/>
      <c r="O1172" s="129"/>
      <c r="P1172" s="146"/>
      <c r="Q1172" s="170"/>
      <c r="R1172" s="171"/>
      <c r="S1172" s="172"/>
    </row>
    <row r="1173" spans="1:19" ht="42.75">
      <c r="A1173" s="164" t="s">
        <v>777</v>
      </c>
      <c r="B1173" s="165" t="s">
        <v>1096</v>
      </c>
      <c r="C1173" s="165" t="s">
        <v>1499</v>
      </c>
      <c r="D1173" s="164">
        <v>648</v>
      </c>
      <c r="E1173" s="164">
        <v>645</v>
      </c>
      <c r="F1173" s="164" t="s">
        <v>3955</v>
      </c>
      <c r="G1173" s="164"/>
      <c r="H1173" s="167"/>
      <c r="I1173" s="167"/>
      <c r="J1173" s="167"/>
      <c r="K1173" s="169"/>
      <c r="L1173" s="129"/>
      <c r="M1173" s="129"/>
      <c r="N1173" s="129"/>
      <c r="O1173" s="129"/>
      <c r="P1173" s="146"/>
      <c r="Q1173" s="170"/>
      <c r="R1173" s="171"/>
      <c r="S1173" s="172"/>
    </row>
    <row r="1174" spans="1:19" ht="42.75">
      <c r="A1174" s="164" t="s">
        <v>777</v>
      </c>
      <c r="B1174" s="165" t="s">
        <v>1096</v>
      </c>
      <c r="C1174" s="165" t="s">
        <v>4778</v>
      </c>
      <c r="D1174" s="164">
        <v>1553</v>
      </c>
      <c r="E1174" s="164">
        <v>1686</v>
      </c>
      <c r="F1174" s="164" t="s">
        <v>3955</v>
      </c>
      <c r="G1174" s="164"/>
      <c r="H1174" s="167"/>
      <c r="I1174" s="167"/>
      <c r="J1174" s="167"/>
      <c r="K1174" s="169"/>
      <c r="L1174" s="129"/>
      <c r="M1174" s="129"/>
      <c r="N1174" s="129"/>
      <c r="O1174" s="129"/>
      <c r="P1174" s="146"/>
      <c r="Q1174" s="170"/>
      <c r="R1174" s="171"/>
      <c r="S1174" s="172"/>
    </row>
    <row r="1175" spans="1:19" ht="42.75">
      <c r="A1175" s="164" t="s">
        <v>777</v>
      </c>
      <c r="B1175" s="165" t="s">
        <v>1096</v>
      </c>
      <c r="C1175" s="165" t="s">
        <v>4779</v>
      </c>
      <c r="D1175" s="164">
        <v>1387</v>
      </c>
      <c r="E1175" s="164">
        <v>1552</v>
      </c>
      <c r="F1175" s="164" t="s">
        <v>3955</v>
      </c>
      <c r="G1175" s="164"/>
      <c r="H1175" s="167"/>
      <c r="I1175" s="167"/>
      <c r="J1175" s="167"/>
      <c r="K1175" s="169"/>
      <c r="L1175" s="129"/>
      <c r="M1175" s="129"/>
      <c r="N1175" s="129"/>
      <c r="O1175" s="129"/>
      <c r="P1175" s="146"/>
      <c r="Q1175" s="170"/>
      <c r="R1175" s="171"/>
      <c r="S1175" s="172"/>
    </row>
    <row r="1176" spans="1:19" ht="42.75">
      <c r="A1176" s="164" t="s">
        <v>777</v>
      </c>
      <c r="B1176" s="165" t="s">
        <v>1096</v>
      </c>
      <c r="C1176" s="165" t="s">
        <v>4780</v>
      </c>
      <c r="D1176" s="164">
        <v>1555</v>
      </c>
      <c r="E1176" s="164">
        <v>1720</v>
      </c>
      <c r="F1176" s="164" t="s">
        <v>3955</v>
      </c>
      <c r="G1176" s="164"/>
      <c r="H1176" s="167"/>
      <c r="I1176" s="167"/>
      <c r="J1176" s="167"/>
      <c r="K1176" s="169"/>
      <c r="L1176" s="129"/>
      <c r="M1176" s="129"/>
      <c r="N1176" s="129"/>
      <c r="O1176" s="129"/>
      <c r="P1176" s="146"/>
      <c r="Q1176" s="170"/>
      <c r="R1176" s="171"/>
      <c r="S1176" s="172"/>
    </row>
    <row r="1177" spans="1:19" ht="42.75">
      <c r="A1177" s="164" t="s">
        <v>777</v>
      </c>
      <c r="B1177" s="165" t="s">
        <v>1096</v>
      </c>
      <c r="C1177" s="165" t="s">
        <v>4781</v>
      </c>
      <c r="D1177" s="164">
        <v>1850</v>
      </c>
      <c r="E1177" s="164">
        <v>1886</v>
      </c>
      <c r="F1177" s="164" t="s">
        <v>3955</v>
      </c>
      <c r="G1177" s="164"/>
      <c r="H1177" s="167"/>
      <c r="I1177" s="167"/>
      <c r="J1177" s="167"/>
      <c r="K1177" s="169"/>
      <c r="L1177" s="129"/>
      <c r="M1177" s="129"/>
      <c r="N1177" s="129"/>
      <c r="O1177" s="129"/>
      <c r="P1177" s="146"/>
      <c r="Q1177" s="170"/>
      <c r="R1177" s="171"/>
      <c r="S1177" s="172"/>
    </row>
    <row r="1178" spans="1:19" ht="42.75">
      <c r="A1178" s="164" t="s">
        <v>777</v>
      </c>
      <c r="B1178" s="165" t="s">
        <v>1096</v>
      </c>
      <c r="C1178" s="165" t="s">
        <v>4782</v>
      </c>
      <c r="D1178" s="164">
        <v>998</v>
      </c>
      <c r="E1178" s="164">
        <v>1012</v>
      </c>
      <c r="F1178" s="164" t="s">
        <v>3955</v>
      </c>
      <c r="G1178" s="164"/>
      <c r="H1178" s="167"/>
      <c r="I1178" s="167"/>
      <c r="J1178" s="167"/>
      <c r="K1178" s="169"/>
      <c r="L1178" s="129"/>
      <c r="M1178" s="129"/>
      <c r="N1178" s="129"/>
      <c r="O1178" s="129"/>
      <c r="P1178" s="146"/>
      <c r="Q1178" s="170"/>
      <c r="R1178" s="171"/>
      <c r="S1178" s="172"/>
    </row>
    <row r="1179" spans="1:19" ht="42.75">
      <c r="A1179" s="164" t="s">
        <v>777</v>
      </c>
      <c r="B1179" s="165" t="s">
        <v>1096</v>
      </c>
      <c r="C1179" s="165" t="s">
        <v>4783</v>
      </c>
      <c r="D1179" s="164">
        <v>1215</v>
      </c>
      <c r="E1179" s="164">
        <v>1260</v>
      </c>
      <c r="F1179" s="164" t="s">
        <v>3955</v>
      </c>
      <c r="G1179" s="164"/>
      <c r="H1179" s="167"/>
      <c r="I1179" s="167"/>
      <c r="J1179" s="167"/>
      <c r="K1179" s="169"/>
      <c r="L1179" s="129"/>
      <c r="M1179" s="129"/>
      <c r="N1179" s="129"/>
      <c r="O1179" s="129"/>
      <c r="P1179" s="146"/>
      <c r="Q1179" s="170"/>
      <c r="R1179" s="171"/>
      <c r="S1179" s="172"/>
    </row>
    <row r="1180" spans="1:19" ht="42.75">
      <c r="A1180" s="164" t="s">
        <v>777</v>
      </c>
      <c r="B1180" s="165" t="s">
        <v>1096</v>
      </c>
      <c r="C1180" s="165" t="s">
        <v>4784</v>
      </c>
      <c r="D1180" s="164">
        <v>665</v>
      </c>
      <c r="E1180" s="164">
        <v>660</v>
      </c>
      <c r="F1180" s="164" t="s">
        <v>3955</v>
      </c>
      <c r="G1180" s="164"/>
      <c r="H1180" s="167"/>
      <c r="I1180" s="167"/>
      <c r="J1180" s="167"/>
      <c r="K1180" s="169"/>
      <c r="L1180" s="129"/>
      <c r="M1180" s="129"/>
      <c r="N1180" s="129"/>
      <c r="O1180" s="129"/>
      <c r="P1180" s="146"/>
      <c r="Q1180" s="170"/>
      <c r="R1180" s="171"/>
      <c r="S1180" s="172"/>
    </row>
    <row r="1181" spans="1:19" ht="42.75">
      <c r="A1181" s="164" t="s">
        <v>777</v>
      </c>
      <c r="B1181" s="165" t="s">
        <v>1096</v>
      </c>
      <c r="C1181" s="165" t="s">
        <v>1299</v>
      </c>
      <c r="D1181" s="164">
        <v>856</v>
      </c>
      <c r="E1181" s="164">
        <v>913</v>
      </c>
      <c r="F1181" s="164" t="s">
        <v>3955</v>
      </c>
      <c r="G1181" s="164"/>
      <c r="H1181" s="167"/>
      <c r="I1181" s="167"/>
      <c r="J1181" s="167"/>
      <c r="K1181" s="169"/>
      <c r="L1181" s="129"/>
      <c r="M1181" s="129"/>
      <c r="N1181" s="129"/>
      <c r="O1181" s="129"/>
      <c r="P1181" s="146"/>
      <c r="Q1181" s="170"/>
      <c r="R1181" s="171"/>
      <c r="S1181" s="172"/>
    </row>
    <row r="1182" spans="1:19" ht="42.75">
      <c r="A1182" s="164" t="s">
        <v>777</v>
      </c>
      <c r="B1182" s="165" t="s">
        <v>1096</v>
      </c>
      <c r="C1182" s="165" t="s">
        <v>1097</v>
      </c>
      <c r="D1182" s="164">
        <v>1633</v>
      </c>
      <c r="E1182" s="164">
        <v>1510</v>
      </c>
      <c r="F1182" s="164" t="s">
        <v>3955</v>
      </c>
      <c r="G1182" s="164"/>
      <c r="H1182" s="167"/>
      <c r="I1182" s="167"/>
      <c r="J1182" s="167"/>
      <c r="K1182" s="169"/>
      <c r="L1182" s="129"/>
      <c r="M1182" s="129"/>
      <c r="N1182" s="129"/>
      <c r="O1182" s="129"/>
      <c r="P1182" s="146"/>
      <c r="Q1182" s="170"/>
      <c r="R1182" s="171"/>
      <c r="S1182" s="172"/>
    </row>
    <row r="1183" spans="1:19" ht="42.75">
      <c r="A1183" s="164" t="s">
        <v>777</v>
      </c>
      <c r="B1183" s="165" t="s">
        <v>1096</v>
      </c>
      <c r="C1183" s="165" t="s">
        <v>4785</v>
      </c>
      <c r="D1183" s="164">
        <v>1388</v>
      </c>
      <c r="E1183" s="164">
        <v>1390</v>
      </c>
      <c r="F1183" s="164" t="s">
        <v>3955</v>
      </c>
      <c r="G1183" s="164"/>
      <c r="H1183" s="167"/>
      <c r="I1183" s="167"/>
      <c r="J1183" s="167"/>
      <c r="K1183" s="169"/>
      <c r="L1183" s="129"/>
      <c r="M1183" s="129"/>
      <c r="N1183" s="129"/>
      <c r="O1183" s="129"/>
      <c r="P1183" s="146"/>
      <c r="Q1183" s="170"/>
      <c r="R1183" s="171"/>
      <c r="S1183" s="172"/>
    </row>
    <row r="1184" spans="1:19" ht="42.75">
      <c r="A1184" s="164" t="s">
        <v>777</v>
      </c>
      <c r="B1184" s="165" t="s">
        <v>1096</v>
      </c>
      <c r="C1184" s="165" t="s">
        <v>914</v>
      </c>
      <c r="D1184" s="164">
        <v>4118</v>
      </c>
      <c r="E1184" s="164">
        <v>4341</v>
      </c>
      <c r="F1184" s="164" t="s">
        <v>3955</v>
      </c>
      <c r="G1184" s="164"/>
      <c r="H1184" s="167"/>
      <c r="I1184" s="167"/>
      <c r="J1184" s="167"/>
      <c r="K1184" s="169"/>
      <c r="L1184" s="129"/>
      <c r="M1184" s="129"/>
      <c r="N1184" s="129"/>
      <c r="O1184" s="129"/>
      <c r="P1184" s="146"/>
      <c r="Q1184" s="170"/>
      <c r="R1184" s="171"/>
      <c r="S1184" s="172"/>
    </row>
    <row r="1185" spans="1:19" ht="42.75">
      <c r="A1185" s="164" t="s">
        <v>777</v>
      </c>
      <c r="B1185" s="165" t="s">
        <v>1096</v>
      </c>
      <c r="C1185" s="165" t="s">
        <v>858</v>
      </c>
      <c r="D1185" s="164">
        <v>1266</v>
      </c>
      <c r="E1185" s="164">
        <v>1318</v>
      </c>
      <c r="F1185" s="164" t="s">
        <v>3955</v>
      </c>
      <c r="G1185" s="164"/>
      <c r="H1185" s="167"/>
      <c r="I1185" s="167"/>
      <c r="J1185" s="167"/>
      <c r="K1185" s="169"/>
      <c r="L1185" s="129"/>
      <c r="M1185" s="129"/>
      <c r="N1185" s="129"/>
      <c r="O1185" s="129"/>
      <c r="P1185" s="146"/>
      <c r="Q1185" s="170"/>
      <c r="R1185" s="171"/>
      <c r="S1185" s="172"/>
    </row>
    <row r="1186" spans="1:19" ht="42.75">
      <c r="A1186" s="164" t="s">
        <v>777</v>
      </c>
      <c r="B1186" s="165" t="s">
        <v>1096</v>
      </c>
      <c r="C1186" s="165" t="s">
        <v>918</v>
      </c>
      <c r="D1186" s="164">
        <v>597</v>
      </c>
      <c r="E1186" s="164">
        <v>625</v>
      </c>
      <c r="F1186" s="164" t="s">
        <v>3955</v>
      </c>
      <c r="G1186" s="164"/>
      <c r="H1186" s="167"/>
      <c r="I1186" s="167"/>
      <c r="J1186" s="167"/>
      <c r="K1186" s="169"/>
      <c r="L1186" s="129"/>
      <c r="M1186" s="129"/>
      <c r="N1186" s="129"/>
      <c r="O1186" s="129"/>
      <c r="P1186" s="146"/>
      <c r="Q1186" s="170"/>
      <c r="R1186" s="171"/>
      <c r="S1186" s="172"/>
    </row>
    <row r="1187" spans="1:19" ht="42.75">
      <c r="A1187" s="164" t="s">
        <v>777</v>
      </c>
      <c r="B1187" s="165" t="s">
        <v>1096</v>
      </c>
      <c r="C1187" s="165" t="s">
        <v>4499</v>
      </c>
      <c r="D1187" s="164">
        <v>1678</v>
      </c>
      <c r="E1187" s="164">
        <v>1740</v>
      </c>
      <c r="F1187" s="164" t="s">
        <v>3955</v>
      </c>
      <c r="G1187" s="164"/>
      <c r="H1187" s="167"/>
      <c r="I1187" s="167"/>
      <c r="J1187" s="167"/>
      <c r="K1187" s="169"/>
      <c r="L1187" s="129"/>
      <c r="M1187" s="129"/>
      <c r="N1187" s="129"/>
      <c r="O1187" s="129"/>
      <c r="P1187" s="146"/>
      <c r="Q1187" s="170"/>
      <c r="R1187" s="171"/>
      <c r="S1187" s="172"/>
    </row>
    <row r="1188" spans="1:19" ht="42.75">
      <c r="A1188" s="164" t="s">
        <v>777</v>
      </c>
      <c r="B1188" s="165" t="s">
        <v>1096</v>
      </c>
      <c r="C1188" s="165" t="s">
        <v>1899</v>
      </c>
      <c r="D1188" s="164">
        <v>1128</v>
      </c>
      <c r="E1188" s="164">
        <v>1189</v>
      </c>
      <c r="F1188" s="164" t="s">
        <v>3955</v>
      </c>
      <c r="G1188" s="164"/>
      <c r="H1188" s="167"/>
      <c r="I1188" s="167"/>
      <c r="J1188" s="167"/>
      <c r="K1188" s="169"/>
      <c r="L1188" s="129"/>
      <c r="M1188" s="129"/>
      <c r="N1188" s="129"/>
      <c r="O1188" s="129"/>
      <c r="P1188" s="146"/>
      <c r="Q1188" s="170"/>
      <c r="R1188" s="171"/>
      <c r="S1188" s="172"/>
    </row>
    <row r="1189" spans="1:19" ht="42.75">
      <c r="A1189" s="164" t="s">
        <v>777</v>
      </c>
      <c r="B1189" s="165" t="s">
        <v>1096</v>
      </c>
      <c r="C1189" s="165" t="s">
        <v>4787</v>
      </c>
      <c r="D1189" s="164">
        <v>1151</v>
      </c>
      <c r="E1189" s="164">
        <v>1235</v>
      </c>
      <c r="F1189" s="164" t="s">
        <v>3955</v>
      </c>
      <c r="G1189" s="164"/>
      <c r="H1189" s="167"/>
      <c r="I1189" s="167"/>
      <c r="J1189" s="167"/>
      <c r="K1189" s="169"/>
      <c r="L1189" s="129"/>
      <c r="M1189" s="129"/>
      <c r="N1189" s="129"/>
      <c r="O1189" s="129"/>
      <c r="P1189" s="146"/>
      <c r="Q1189" s="170"/>
      <c r="R1189" s="171"/>
      <c r="S1189" s="172"/>
    </row>
    <row r="1190" spans="1:19" ht="42.75">
      <c r="A1190" s="164" t="s">
        <v>777</v>
      </c>
      <c r="B1190" s="165" t="s">
        <v>1096</v>
      </c>
      <c r="C1190" s="165" t="s">
        <v>4788</v>
      </c>
      <c r="D1190" s="164">
        <v>1027</v>
      </c>
      <c r="E1190" s="164">
        <v>1042</v>
      </c>
      <c r="F1190" s="164" t="s">
        <v>3955</v>
      </c>
      <c r="G1190" s="164"/>
      <c r="H1190" s="167"/>
      <c r="I1190" s="167"/>
      <c r="J1190" s="167"/>
      <c r="K1190" s="169"/>
      <c r="L1190" s="129"/>
      <c r="M1190" s="129"/>
      <c r="N1190" s="129"/>
      <c r="O1190" s="129"/>
      <c r="P1190" s="146"/>
      <c r="Q1190" s="170"/>
      <c r="R1190" s="171"/>
      <c r="S1190" s="172"/>
    </row>
    <row r="1191" spans="1:19" ht="42.75">
      <c r="A1191" s="164" t="s">
        <v>777</v>
      </c>
      <c r="B1191" s="165" t="s">
        <v>1096</v>
      </c>
      <c r="C1191" s="165" t="s">
        <v>4789</v>
      </c>
      <c r="D1191" s="164">
        <v>958</v>
      </c>
      <c r="E1191" s="164">
        <v>1055</v>
      </c>
      <c r="F1191" s="164" t="s">
        <v>3955</v>
      </c>
      <c r="G1191" s="164"/>
      <c r="H1191" s="167"/>
      <c r="I1191" s="167"/>
      <c r="J1191" s="167"/>
      <c r="K1191" s="169"/>
      <c r="L1191" s="129"/>
      <c r="M1191" s="129"/>
      <c r="N1191" s="129"/>
      <c r="O1191" s="129"/>
      <c r="P1191" s="146"/>
      <c r="Q1191" s="170"/>
      <c r="R1191" s="171"/>
      <c r="S1191" s="172"/>
    </row>
    <row r="1192" spans="1:19" ht="42.75">
      <c r="A1192" s="164" t="s">
        <v>777</v>
      </c>
      <c r="B1192" s="165" t="s">
        <v>1096</v>
      </c>
      <c r="C1192" s="165" t="s">
        <v>4790</v>
      </c>
      <c r="D1192" s="164">
        <v>1895</v>
      </c>
      <c r="E1192" s="164">
        <v>2057</v>
      </c>
      <c r="F1192" s="164" t="s">
        <v>3955</v>
      </c>
      <c r="G1192" s="164"/>
      <c r="H1192" s="167"/>
      <c r="I1192" s="167"/>
      <c r="J1192" s="167"/>
      <c r="K1192" s="169"/>
      <c r="L1192" s="129"/>
      <c r="M1192" s="129"/>
      <c r="N1192" s="129"/>
      <c r="O1192" s="129"/>
      <c r="P1192" s="146"/>
      <c r="Q1192" s="170"/>
      <c r="R1192" s="171"/>
      <c r="S1192" s="172"/>
    </row>
    <row r="1193" spans="1:19" ht="42.75">
      <c r="A1193" s="164" t="s">
        <v>777</v>
      </c>
      <c r="B1193" s="165" t="s">
        <v>1096</v>
      </c>
      <c r="C1193" s="165" t="s">
        <v>4791</v>
      </c>
      <c r="D1193" s="164">
        <v>1282</v>
      </c>
      <c r="E1193" s="164">
        <v>1372</v>
      </c>
      <c r="F1193" s="164" t="s">
        <v>3955</v>
      </c>
      <c r="G1193" s="164"/>
      <c r="H1193" s="167"/>
      <c r="I1193" s="167"/>
      <c r="J1193" s="167"/>
      <c r="K1193" s="169"/>
      <c r="L1193" s="129"/>
      <c r="M1193" s="129"/>
      <c r="N1193" s="129"/>
      <c r="O1193" s="129"/>
      <c r="P1193" s="146"/>
      <c r="Q1193" s="170"/>
      <c r="R1193" s="171"/>
      <c r="S1193" s="172"/>
    </row>
    <row r="1194" spans="1:19" ht="42.75">
      <c r="A1194" s="164" t="s">
        <v>777</v>
      </c>
      <c r="B1194" s="165" t="s">
        <v>1193</v>
      </c>
      <c r="C1194" s="165" t="s">
        <v>4569</v>
      </c>
      <c r="D1194" s="164">
        <v>2725</v>
      </c>
      <c r="E1194" s="164">
        <v>2939</v>
      </c>
      <c r="F1194" s="164" t="s">
        <v>3955</v>
      </c>
      <c r="G1194" s="164"/>
      <c r="H1194" s="167"/>
      <c r="I1194" s="167"/>
      <c r="J1194" s="167"/>
      <c r="K1194" s="169"/>
      <c r="L1194" s="129"/>
      <c r="M1194" s="129"/>
      <c r="N1194" s="129"/>
      <c r="O1194" s="129"/>
      <c r="P1194" s="146"/>
      <c r="Q1194" s="170"/>
      <c r="R1194" s="171"/>
      <c r="S1194" s="172"/>
    </row>
    <row r="1195" spans="1:19" ht="42.75">
      <c r="A1195" s="164" t="s">
        <v>777</v>
      </c>
      <c r="B1195" s="165" t="s">
        <v>1193</v>
      </c>
      <c r="C1195" s="165" t="s">
        <v>4792</v>
      </c>
      <c r="D1195" s="164">
        <v>3138</v>
      </c>
      <c r="E1195" s="164">
        <v>3525</v>
      </c>
      <c r="F1195" s="164" t="s">
        <v>3955</v>
      </c>
      <c r="G1195" s="164"/>
      <c r="H1195" s="167"/>
      <c r="I1195" s="167"/>
      <c r="J1195" s="167"/>
      <c r="K1195" s="169"/>
      <c r="L1195" s="129"/>
      <c r="M1195" s="129"/>
      <c r="N1195" s="129"/>
      <c r="O1195" s="129"/>
      <c r="P1195" s="146"/>
      <c r="Q1195" s="170"/>
      <c r="R1195" s="171"/>
      <c r="S1195" s="172"/>
    </row>
    <row r="1196" spans="1:19" ht="42.75">
      <c r="A1196" s="164" t="s">
        <v>777</v>
      </c>
      <c r="B1196" s="165" t="s">
        <v>1193</v>
      </c>
      <c r="C1196" s="165" t="s">
        <v>4535</v>
      </c>
      <c r="D1196" s="164">
        <v>1099</v>
      </c>
      <c r="E1196" s="164">
        <v>1299</v>
      </c>
      <c r="F1196" s="164" t="s">
        <v>3955</v>
      </c>
      <c r="G1196" s="164"/>
      <c r="H1196" s="167"/>
      <c r="I1196" s="167"/>
      <c r="J1196" s="167"/>
      <c r="K1196" s="169"/>
      <c r="L1196" s="129"/>
      <c r="M1196" s="129"/>
      <c r="N1196" s="129"/>
      <c r="O1196" s="129"/>
      <c r="P1196" s="146"/>
      <c r="Q1196" s="170"/>
      <c r="R1196" s="171"/>
      <c r="S1196" s="172"/>
    </row>
    <row r="1197" spans="1:19" ht="42.75">
      <c r="A1197" s="164" t="s">
        <v>777</v>
      </c>
      <c r="B1197" s="165" t="s">
        <v>1193</v>
      </c>
      <c r="C1197" s="165" t="s">
        <v>4793</v>
      </c>
      <c r="D1197" s="164">
        <v>2734</v>
      </c>
      <c r="E1197" s="164">
        <v>2918</v>
      </c>
      <c r="F1197" s="164" t="s">
        <v>3955</v>
      </c>
      <c r="G1197" s="164"/>
      <c r="H1197" s="167"/>
      <c r="I1197" s="167"/>
      <c r="J1197" s="167"/>
      <c r="K1197" s="169"/>
      <c r="L1197" s="129"/>
      <c r="M1197" s="129"/>
      <c r="N1197" s="129"/>
      <c r="O1197" s="129"/>
      <c r="P1197" s="146"/>
      <c r="Q1197" s="170"/>
      <c r="R1197" s="171"/>
      <c r="S1197" s="172"/>
    </row>
    <row r="1198" spans="1:19" ht="42.75">
      <c r="A1198" s="164" t="s">
        <v>777</v>
      </c>
      <c r="B1198" s="165" t="s">
        <v>1193</v>
      </c>
      <c r="C1198" s="165" t="s">
        <v>4794</v>
      </c>
      <c r="D1198" s="164">
        <v>2528</v>
      </c>
      <c r="E1198" s="164">
        <v>3050</v>
      </c>
      <c r="F1198" s="164" t="s">
        <v>3955</v>
      </c>
      <c r="G1198" s="164"/>
      <c r="H1198" s="167"/>
      <c r="I1198" s="167"/>
      <c r="J1198" s="167"/>
      <c r="K1198" s="169"/>
      <c r="L1198" s="129"/>
      <c r="M1198" s="129"/>
      <c r="N1198" s="129"/>
      <c r="O1198" s="129"/>
      <c r="P1198" s="146"/>
      <c r="Q1198" s="170"/>
      <c r="R1198" s="171"/>
      <c r="S1198" s="172"/>
    </row>
    <row r="1199" spans="1:19" ht="42.75">
      <c r="A1199" s="164" t="s">
        <v>777</v>
      </c>
      <c r="B1199" s="165" t="s">
        <v>1193</v>
      </c>
      <c r="C1199" s="165" t="s">
        <v>4795</v>
      </c>
      <c r="D1199" s="164">
        <v>1100</v>
      </c>
      <c r="E1199" s="164">
        <v>1110</v>
      </c>
      <c r="F1199" s="164" t="s">
        <v>3955</v>
      </c>
      <c r="G1199" s="164"/>
      <c r="H1199" s="167"/>
      <c r="I1199" s="167"/>
      <c r="J1199" s="167"/>
      <c r="K1199" s="169"/>
      <c r="L1199" s="129"/>
      <c r="M1199" s="129"/>
      <c r="N1199" s="129"/>
      <c r="O1199" s="129"/>
      <c r="P1199" s="146"/>
      <c r="Q1199" s="170"/>
      <c r="R1199" s="171"/>
      <c r="S1199" s="172"/>
    </row>
    <row r="1200" spans="1:19" ht="42.75">
      <c r="A1200" s="164" t="s">
        <v>777</v>
      </c>
      <c r="B1200" s="165" t="s">
        <v>1193</v>
      </c>
      <c r="C1200" s="165" t="s">
        <v>1051</v>
      </c>
      <c r="D1200" s="164">
        <v>510</v>
      </c>
      <c r="E1200" s="164">
        <v>573</v>
      </c>
      <c r="F1200" s="164" t="s">
        <v>3955</v>
      </c>
      <c r="G1200" s="164"/>
      <c r="H1200" s="167"/>
      <c r="I1200" s="167"/>
      <c r="J1200" s="167"/>
      <c r="K1200" s="169"/>
      <c r="L1200" s="129"/>
      <c r="M1200" s="129"/>
      <c r="N1200" s="129"/>
      <c r="O1200" s="129"/>
      <c r="P1200" s="146"/>
      <c r="Q1200" s="170"/>
      <c r="R1200" s="171"/>
      <c r="S1200" s="172"/>
    </row>
    <row r="1201" spans="1:19" ht="42.75">
      <c r="A1201" s="164" t="s">
        <v>777</v>
      </c>
      <c r="B1201" s="165" t="s">
        <v>1193</v>
      </c>
      <c r="C1201" s="165" t="s">
        <v>4796</v>
      </c>
      <c r="D1201" s="164">
        <v>2063</v>
      </c>
      <c r="E1201" s="164">
        <v>1892</v>
      </c>
      <c r="F1201" s="164" t="s">
        <v>3955</v>
      </c>
      <c r="G1201" s="164"/>
      <c r="H1201" s="167"/>
      <c r="I1201" s="167"/>
      <c r="J1201" s="167"/>
      <c r="K1201" s="169"/>
      <c r="L1201" s="129"/>
      <c r="M1201" s="129"/>
      <c r="N1201" s="129"/>
      <c r="O1201" s="129"/>
      <c r="P1201" s="146"/>
      <c r="Q1201" s="170"/>
      <c r="R1201" s="171"/>
      <c r="S1201" s="172"/>
    </row>
    <row r="1202" spans="1:19" ht="42.75">
      <c r="A1202" s="164" t="s">
        <v>777</v>
      </c>
      <c r="B1202" s="165" t="s">
        <v>1193</v>
      </c>
      <c r="C1202" s="165" t="s">
        <v>4797</v>
      </c>
      <c r="D1202" s="164">
        <v>5788</v>
      </c>
      <c r="E1202" s="164">
        <v>6167</v>
      </c>
      <c r="F1202" s="164" t="s">
        <v>3955</v>
      </c>
      <c r="G1202" s="164"/>
      <c r="H1202" s="167"/>
      <c r="I1202" s="167"/>
      <c r="J1202" s="167"/>
      <c r="K1202" s="169"/>
      <c r="L1202" s="129"/>
      <c r="M1202" s="129"/>
      <c r="N1202" s="129"/>
      <c r="O1202" s="129"/>
      <c r="P1202" s="146"/>
      <c r="Q1202" s="170"/>
      <c r="R1202" s="171"/>
      <c r="S1202" s="172"/>
    </row>
    <row r="1203" spans="1:19" ht="42.75">
      <c r="A1203" s="164" t="s">
        <v>777</v>
      </c>
      <c r="B1203" s="165" t="s">
        <v>1193</v>
      </c>
      <c r="C1203" s="165" t="s">
        <v>4798</v>
      </c>
      <c r="D1203" s="164">
        <v>1345</v>
      </c>
      <c r="E1203" s="164">
        <v>1552</v>
      </c>
      <c r="F1203" s="164" t="s">
        <v>3955</v>
      </c>
      <c r="G1203" s="164"/>
      <c r="H1203" s="167"/>
      <c r="I1203" s="167"/>
      <c r="J1203" s="167"/>
      <c r="K1203" s="169"/>
      <c r="L1203" s="129"/>
      <c r="M1203" s="129"/>
      <c r="N1203" s="129"/>
      <c r="O1203" s="129"/>
      <c r="P1203" s="146"/>
      <c r="Q1203" s="170"/>
      <c r="R1203" s="171"/>
      <c r="S1203" s="172"/>
    </row>
    <row r="1204" spans="1:19" ht="42.75">
      <c r="A1204" s="164" t="s">
        <v>777</v>
      </c>
      <c r="B1204" s="165" t="s">
        <v>1193</v>
      </c>
      <c r="C1204" s="165" t="s">
        <v>4799</v>
      </c>
      <c r="D1204" s="164">
        <v>1896</v>
      </c>
      <c r="E1204" s="164">
        <v>2531</v>
      </c>
      <c r="F1204" s="164" t="s">
        <v>3955</v>
      </c>
      <c r="G1204" s="164"/>
      <c r="H1204" s="167"/>
      <c r="I1204" s="167"/>
      <c r="J1204" s="167"/>
      <c r="K1204" s="169"/>
      <c r="L1204" s="129"/>
      <c r="M1204" s="129"/>
      <c r="N1204" s="129"/>
      <c r="O1204" s="129"/>
      <c r="P1204" s="146"/>
      <c r="Q1204" s="170"/>
      <c r="R1204" s="171"/>
      <c r="S1204" s="172"/>
    </row>
    <row r="1205" spans="1:19" ht="42.75">
      <c r="A1205" s="164" t="s">
        <v>777</v>
      </c>
      <c r="B1205" s="165" t="s">
        <v>1193</v>
      </c>
      <c r="C1205" s="165" t="s">
        <v>1197</v>
      </c>
      <c r="D1205" s="164">
        <v>1614</v>
      </c>
      <c r="E1205" s="164">
        <v>1837</v>
      </c>
      <c r="F1205" s="164" t="s">
        <v>3955</v>
      </c>
      <c r="G1205" s="164"/>
      <c r="H1205" s="167"/>
      <c r="I1205" s="167"/>
      <c r="J1205" s="167"/>
      <c r="K1205" s="169"/>
      <c r="L1205" s="129"/>
      <c r="M1205" s="129"/>
      <c r="N1205" s="129"/>
      <c r="O1205" s="129"/>
      <c r="P1205" s="146"/>
      <c r="Q1205" s="170"/>
      <c r="R1205" s="171"/>
      <c r="S1205" s="172"/>
    </row>
    <row r="1206" spans="1:19" ht="42.75">
      <c r="A1206" s="164" t="s">
        <v>777</v>
      </c>
      <c r="B1206" s="165" t="s">
        <v>1193</v>
      </c>
      <c r="C1206" s="165" t="s">
        <v>4800</v>
      </c>
      <c r="D1206" s="164">
        <v>649</v>
      </c>
      <c r="E1206" s="164">
        <v>730</v>
      </c>
      <c r="F1206" s="164" t="s">
        <v>3955</v>
      </c>
      <c r="G1206" s="164"/>
      <c r="H1206" s="167"/>
      <c r="I1206" s="167"/>
      <c r="J1206" s="167"/>
      <c r="K1206" s="169"/>
      <c r="L1206" s="129"/>
      <c r="M1206" s="129"/>
      <c r="N1206" s="129"/>
      <c r="O1206" s="129"/>
      <c r="P1206" s="146"/>
      <c r="Q1206" s="170"/>
      <c r="R1206" s="171"/>
      <c r="S1206" s="172"/>
    </row>
    <row r="1207" spans="1:19" ht="42.75">
      <c r="A1207" s="164" t="s">
        <v>777</v>
      </c>
      <c r="B1207" s="165" t="s">
        <v>1193</v>
      </c>
      <c r="C1207" s="165" t="s">
        <v>954</v>
      </c>
      <c r="D1207" s="164">
        <v>4327</v>
      </c>
      <c r="E1207" s="164">
        <v>4687</v>
      </c>
      <c r="F1207" s="164" t="s">
        <v>3955</v>
      </c>
      <c r="G1207" s="164"/>
      <c r="H1207" s="167"/>
      <c r="I1207" s="167"/>
      <c r="J1207" s="167"/>
      <c r="K1207" s="169"/>
      <c r="L1207" s="129"/>
      <c r="M1207" s="129"/>
      <c r="N1207" s="129"/>
      <c r="O1207" s="129"/>
      <c r="P1207" s="146"/>
      <c r="Q1207" s="170"/>
      <c r="R1207" s="171"/>
      <c r="S1207" s="172"/>
    </row>
    <row r="1208" spans="1:19" ht="42.75">
      <c r="A1208" s="164" t="s">
        <v>777</v>
      </c>
      <c r="B1208" s="165" t="s">
        <v>1193</v>
      </c>
      <c r="C1208" s="165" t="s">
        <v>4801</v>
      </c>
      <c r="D1208" s="164">
        <v>1476</v>
      </c>
      <c r="E1208" s="164">
        <v>1578</v>
      </c>
      <c r="F1208" s="164" t="s">
        <v>3955</v>
      </c>
      <c r="G1208" s="164"/>
      <c r="H1208" s="167"/>
      <c r="I1208" s="167"/>
      <c r="J1208" s="167"/>
      <c r="K1208" s="169"/>
      <c r="L1208" s="129"/>
      <c r="M1208" s="129"/>
      <c r="N1208" s="129"/>
      <c r="O1208" s="129"/>
      <c r="P1208" s="146"/>
      <c r="Q1208" s="170"/>
      <c r="R1208" s="171"/>
      <c r="S1208" s="172"/>
    </row>
    <row r="1209" spans="1:19" ht="42.75">
      <c r="A1209" s="164" t="s">
        <v>777</v>
      </c>
      <c r="B1209" s="165" t="s">
        <v>1193</v>
      </c>
      <c r="C1209" s="165" t="s">
        <v>1315</v>
      </c>
      <c r="D1209" s="164">
        <v>2391</v>
      </c>
      <c r="E1209" s="164">
        <v>2570</v>
      </c>
      <c r="F1209" s="164" t="s">
        <v>3955</v>
      </c>
      <c r="G1209" s="164"/>
      <c r="H1209" s="167"/>
      <c r="I1209" s="167"/>
      <c r="J1209" s="167"/>
      <c r="K1209" s="169"/>
      <c r="L1209" s="129"/>
      <c r="M1209" s="129"/>
      <c r="N1209" s="129"/>
      <c r="O1209" s="129"/>
      <c r="P1209" s="146"/>
      <c r="Q1209" s="170"/>
      <c r="R1209" s="171"/>
      <c r="S1209" s="172"/>
    </row>
    <row r="1210" spans="1:19" ht="42.75">
      <c r="A1210" s="164" t="s">
        <v>777</v>
      </c>
      <c r="B1210" s="165" t="s">
        <v>3130</v>
      </c>
      <c r="C1210" s="165" t="s">
        <v>3542</v>
      </c>
      <c r="D1210" s="164">
        <v>5128</v>
      </c>
      <c r="E1210" s="164">
        <v>5504</v>
      </c>
      <c r="F1210" s="164" t="s">
        <v>3955</v>
      </c>
      <c r="G1210" s="164"/>
      <c r="H1210" s="167"/>
      <c r="I1210" s="196"/>
      <c r="J1210" s="196"/>
      <c r="K1210" s="169"/>
      <c r="L1210" s="129"/>
      <c r="M1210" s="129"/>
      <c r="N1210" s="129"/>
      <c r="O1210" s="129"/>
      <c r="P1210" s="146"/>
      <c r="Q1210" s="170"/>
      <c r="R1210" s="171"/>
      <c r="S1210" s="172"/>
    </row>
    <row r="1211" spans="1:19" ht="42.75">
      <c r="A1211" s="164" t="s">
        <v>777</v>
      </c>
      <c r="B1211" s="165" t="s">
        <v>3130</v>
      </c>
      <c r="C1211" s="165" t="s">
        <v>4700</v>
      </c>
      <c r="D1211" s="164">
        <v>2279</v>
      </c>
      <c r="E1211" s="164">
        <v>2588</v>
      </c>
      <c r="F1211" s="164" t="s">
        <v>3404</v>
      </c>
      <c r="G1211" s="164">
        <v>2024</v>
      </c>
      <c r="H1211" s="221">
        <v>45463</v>
      </c>
      <c r="I1211" s="174">
        <v>45465</v>
      </c>
      <c r="J1211" s="181" t="s">
        <v>7169</v>
      </c>
      <c r="K1211" s="193">
        <v>45474</v>
      </c>
      <c r="L1211" s="129" t="s">
        <v>3125</v>
      </c>
      <c r="M1211" s="129" t="s">
        <v>4</v>
      </c>
      <c r="N1211" s="129" t="s">
        <v>50</v>
      </c>
      <c r="O1211" s="129" t="s">
        <v>3406</v>
      </c>
      <c r="P1211" s="146"/>
      <c r="Q1211" s="130">
        <v>45474</v>
      </c>
      <c r="R1211" s="171"/>
      <c r="S1211" s="172"/>
    </row>
    <row r="1212" spans="1:19" ht="42.75">
      <c r="A1212" s="164" t="s">
        <v>777</v>
      </c>
      <c r="B1212" s="165" t="s">
        <v>3130</v>
      </c>
      <c r="C1212" s="165" t="s">
        <v>4703</v>
      </c>
      <c r="D1212" s="164">
        <v>5010</v>
      </c>
      <c r="E1212" s="164">
        <v>5813</v>
      </c>
      <c r="F1212" s="164" t="s">
        <v>3955</v>
      </c>
      <c r="G1212" s="164"/>
      <c r="H1212" s="167"/>
      <c r="I1212" s="167"/>
      <c r="J1212" s="167"/>
      <c r="K1212" s="169"/>
      <c r="L1212" s="129"/>
      <c r="M1212" s="129"/>
      <c r="N1212" s="129"/>
      <c r="O1212" s="129"/>
      <c r="P1212" s="146"/>
      <c r="Q1212" s="170"/>
      <c r="R1212" s="171"/>
      <c r="S1212" s="172"/>
    </row>
    <row r="1213" spans="1:19" ht="42.75">
      <c r="A1213" s="164" t="s">
        <v>777</v>
      </c>
      <c r="B1213" s="165" t="s">
        <v>3130</v>
      </c>
      <c r="C1213" s="165" t="s">
        <v>4706</v>
      </c>
      <c r="D1213" s="164">
        <v>2293</v>
      </c>
      <c r="E1213" s="164">
        <v>2524</v>
      </c>
      <c r="F1213" s="164" t="s">
        <v>3404</v>
      </c>
      <c r="G1213" s="164">
        <v>2024</v>
      </c>
      <c r="H1213" s="175">
        <v>45463</v>
      </c>
      <c r="I1213" s="175">
        <v>45465</v>
      </c>
      <c r="J1213" s="168" t="s">
        <v>7170</v>
      </c>
      <c r="K1213" s="174">
        <v>45474</v>
      </c>
      <c r="L1213" s="129" t="s">
        <v>3125</v>
      </c>
      <c r="M1213" s="129" t="s">
        <v>4</v>
      </c>
      <c r="N1213" s="129" t="s">
        <v>50</v>
      </c>
      <c r="O1213" s="129" t="s">
        <v>3406</v>
      </c>
      <c r="P1213" s="146"/>
      <c r="Q1213" s="130">
        <v>45474</v>
      </c>
      <c r="R1213" s="171"/>
      <c r="S1213" s="172"/>
    </row>
    <row r="1214" spans="1:19" ht="42.75">
      <c r="A1214" s="164" t="s">
        <v>777</v>
      </c>
      <c r="B1214" s="165" t="s">
        <v>3130</v>
      </c>
      <c r="C1214" s="165" t="s">
        <v>4709</v>
      </c>
      <c r="D1214" s="164">
        <v>2914</v>
      </c>
      <c r="E1214" s="164">
        <v>3711</v>
      </c>
      <c r="F1214" s="164" t="s">
        <v>3404</v>
      </c>
      <c r="G1214" s="164">
        <v>2024</v>
      </c>
      <c r="H1214" s="175">
        <v>45463</v>
      </c>
      <c r="I1214" s="175">
        <v>45465</v>
      </c>
      <c r="J1214" s="168" t="s">
        <v>7171</v>
      </c>
      <c r="K1214" s="174">
        <v>45474</v>
      </c>
      <c r="L1214" s="129" t="s">
        <v>3125</v>
      </c>
      <c r="M1214" s="129" t="s">
        <v>4</v>
      </c>
      <c r="N1214" s="129" t="s">
        <v>50</v>
      </c>
      <c r="O1214" s="129" t="s">
        <v>3406</v>
      </c>
      <c r="P1214" s="146"/>
      <c r="Q1214" s="130">
        <v>45474</v>
      </c>
      <c r="R1214" s="171"/>
      <c r="S1214" s="172"/>
    </row>
    <row r="1215" spans="1:19" ht="42.75">
      <c r="A1215" s="164" t="s">
        <v>777</v>
      </c>
      <c r="B1215" s="165" t="s">
        <v>3130</v>
      </c>
      <c r="C1215" s="165" t="s">
        <v>4710</v>
      </c>
      <c r="D1215" s="164">
        <v>10694</v>
      </c>
      <c r="E1215" s="164">
        <v>12922</v>
      </c>
      <c r="F1215" s="164" t="s">
        <v>3404</v>
      </c>
      <c r="G1215" s="164">
        <v>2024</v>
      </c>
      <c r="H1215" s="175">
        <v>45611</v>
      </c>
      <c r="I1215" s="175">
        <v>45613</v>
      </c>
      <c r="J1215" s="168" t="s">
        <v>7172</v>
      </c>
      <c r="K1215" s="174">
        <v>45616</v>
      </c>
      <c r="L1215" s="129" t="s">
        <v>3129</v>
      </c>
      <c r="M1215" s="129" t="s">
        <v>4</v>
      </c>
      <c r="N1215" s="129" t="s">
        <v>50</v>
      </c>
      <c r="O1215" s="129" t="s">
        <v>3406</v>
      </c>
      <c r="P1215" s="146"/>
      <c r="Q1215" s="170">
        <v>45616</v>
      </c>
      <c r="R1215" s="171" t="s">
        <v>150</v>
      </c>
      <c r="S1215" s="172"/>
    </row>
    <row r="1216" spans="1:19" ht="42.75">
      <c r="A1216" s="164" t="s">
        <v>777</v>
      </c>
      <c r="B1216" s="165" t="s">
        <v>3130</v>
      </c>
      <c r="C1216" s="165" t="s">
        <v>4711</v>
      </c>
      <c r="D1216" s="164">
        <v>1926</v>
      </c>
      <c r="E1216" s="164">
        <v>2004</v>
      </c>
      <c r="F1216" s="164" t="s">
        <v>3404</v>
      </c>
      <c r="G1216" s="164">
        <v>2024</v>
      </c>
      <c r="H1216" s="175">
        <v>45610</v>
      </c>
      <c r="I1216" s="175">
        <v>45613</v>
      </c>
      <c r="J1216" s="168" t="s">
        <v>7173</v>
      </c>
      <c r="K1216" s="174">
        <v>45616</v>
      </c>
      <c r="L1216" s="129" t="s">
        <v>3129</v>
      </c>
      <c r="M1216" s="129" t="s">
        <v>4</v>
      </c>
      <c r="N1216" s="129" t="s">
        <v>50</v>
      </c>
      <c r="O1216" s="129" t="s">
        <v>3406</v>
      </c>
      <c r="P1216" s="146"/>
      <c r="Q1216" s="170">
        <v>45618</v>
      </c>
      <c r="R1216" s="171" t="s">
        <v>150</v>
      </c>
      <c r="S1216" s="172"/>
    </row>
    <row r="1217" spans="1:19" ht="42.75">
      <c r="A1217" s="164" t="s">
        <v>777</v>
      </c>
      <c r="B1217" s="165" t="s">
        <v>3130</v>
      </c>
      <c r="C1217" s="165" t="s">
        <v>1203</v>
      </c>
      <c r="D1217" s="164">
        <v>11943</v>
      </c>
      <c r="E1217" s="164">
        <v>15370</v>
      </c>
      <c r="F1217" s="164" t="s">
        <v>3955</v>
      </c>
      <c r="G1217" s="164"/>
      <c r="H1217" s="167"/>
      <c r="I1217" s="167"/>
      <c r="J1217" s="167"/>
      <c r="K1217" s="169"/>
      <c r="L1217" s="129"/>
      <c r="M1217" s="129"/>
      <c r="N1217" s="129"/>
      <c r="O1217" s="129"/>
      <c r="P1217" s="146"/>
      <c r="Q1217" s="170"/>
      <c r="R1217" s="171"/>
      <c r="S1217" s="172"/>
    </row>
    <row r="1218" spans="1:19" ht="42.75">
      <c r="A1218" s="164" t="s">
        <v>777</v>
      </c>
      <c r="B1218" s="165" t="s">
        <v>3130</v>
      </c>
      <c r="C1218" s="165" t="s">
        <v>4712</v>
      </c>
      <c r="D1218" s="164">
        <v>1394</v>
      </c>
      <c r="E1218" s="164">
        <v>1820</v>
      </c>
      <c r="F1218" s="164" t="s">
        <v>3955</v>
      </c>
      <c r="G1218" s="164"/>
      <c r="H1218" s="167"/>
      <c r="I1218" s="167"/>
      <c r="J1218" s="167"/>
      <c r="K1218" s="169"/>
      <c r="L1218" s="129"/>
      <c r="M1218" s="129"/>
      <c r="N1218" s="129"/>
      <c r="O1218" s="129"/>
      <c r="P1218" s="146"/>
      <c r="Q1218" s="170"/>
      <c r="R1218" s="171"/>
      <c r="S1218" s="172"/>
    </row>
    <row r="1219" spans="1:19" ht="42.75">
      <c r="A1219" s="164" t="s">
        <v>777</v>
      </c>
      <c r="B1219" s="165" t="s">
        <v>3130</v>
      </c>
      <c r="C1219" s="165" t="s">
        <v>4717</v>
      </c>
      <c r="D1219" s="164">
        <v>5633</v>
      </c>
      <c r="E1219" s="164">
        <v>5933</v>
      </c>
      <c r="F1219" s="164" t="s">
        <v>3404</v>
      </c>
      <c r="G1219" s="164">
        <v>2024</v>
      </c>
      <c r="H1219" s="175">
        <v>45317</v>
      </c>
      <c r="I1219" s="175">
        <v>45569</v>
      </c>
      <c r="J1219" s="168" t="s">
        <v>7174</v>
      </c>
      <c r="K1219" s="169"/>
      <c r="L1219" s="129" t="s">
        <v>3458</v>
      </c>
      <c r="M1219" s="129"/>
      <c r="N1219" s="129"/>
      <c r="O1219" s="129" t="s">
        <v>3406</v>
      </c>
      <c r="P1219" s="146"/>
      <c r="Q1219" s="170"/>
      <c r="R1219" s="171"/>
      <c r="S1219" s="172"/>
    </row>
    <row r="1220" spans="1:19" ht="42.75">
      <c r="A1220" s="164" t="s">
        <v>777</v>
      </c>
      <c r="B1220" s="165" t="s">
        <v>3130</v>
      </c>
      <c r="C1220" s="165" t="s">
        <v>1439</v>
      </c>
      <c r="D1220" s="164">
        <v>12771</v>
      </c>
      <c r="E1220" s="164">
        <v>13142</v>
      </c>
      <c r="F1220" s="164" t="s">
        <v>3955</v>
      </c>
      <c r="G1220" s="164">
        <v>2025</v>
      </c>
      <c r="H1220" s="167"/>
      <c r="I1220" s="167"/>
      <c r="J1220" s="167"/>
      <c r="K1220" s="169"/>
      <c r="L1220" s="129" t="s">
        <v>3424</v>
      </c>
      <c r="M1220" s="129"/>
      <c r="N1220" s="129"/>
      <c r="O1220" s="129"/>
      <c r="P1220" s="146"/>
      <c r="Q1220" s="170"/>
      <c r="R1220" s="171"/>
      <c r="S1220" s="172"/>
    </row>
    <row r="1221" spans="1:19" ht="42.75">
      <c r="A1221" s="164" t="s">
        <v>777</v>
      </c>
      <c r="B1221" s="165" t="s">
        <v>3130</v>
      </c>
      <c r="C1221" s="165" t="s">
        <v>3974</v>
      </c>
      <c r="D1221" s="164">
        <v>8699</v>
      </c>
      <c r="E1221" s="164">
        <v>9525</v>
      </c>
      <c r="F1221" s="164" t="s">
        <v>3955</v>
      </c>
      <c r="G1221" s="164"/>
      <c r="H1221" s="167"/>
      <c r="I1221" s="167"/>
      <c r="J1221" s="167"/>
      <c r="K1221" s="169"/>
      <c r="L1221" s="129"/>
      <c r="M1221" s="129"/>
      <c r="N1221" s="129"/>
      <c r="O1221" s="129"/>
      <c r="P1221" s="146"/>
      <c r="Q1221" s="170"/>
      <c r="R1221" s="171"/>
      <c r="S1221" s="172"/>
    </row>
    <row r="1222" spans="1:19" ht="42.75">
      <c r="A1222" s="164" t="s">
        <v>777</v>
      </c>
      <c r="B1222" s="165" t="s">
        <v>3130</v>
      </c>
      <c r="C1222" s="165" t="s">
        <v>3878</v>
      </c>
      <c r="D1222" s="164">
        <v>8601</v>
      </c>
      <c r="E1222" s="164">
        <v>9092</v>
      </c>
      <c r="F1222" s="164" t="s">
        <v>3955</v>
      </c>
      <c r="G1222" s="164"/>
      <c r="H1222" s="167"/>
      <c r="I1222" s="167"/>
      <c r="J1222" s="167"/>
      <c r="K1222" s="169"/>
      <c r="L1222" s="129"/>
      <c r="M1222" s="129"/>
      <c r="N1222" s="129"/>
      <c r="O1222" s="129"/>
      <c r="P1222" s="146"/>
      <c r="Q1222" s="170"/>
      <c r="R1222" s="171"/>
      <c r="S1222" s="172"/>
    </row>
    <row r="1223" spans="1:19" ht="42.75">
      <c r="A1223" s="164" t="s">
        <v>777</v>
      </c>
      <c r="B1223" s="165" t="s">
        <v>3130</v>
      </c>
      <c r="C1223" s="165" t="s">
        <v>1899</v>
      </c>
      <c r="D1223" s="164">
        <v>3797</v>
      </c>
      <c r="E1223" s="164">
        <v>3680</v>
      </c>
      <c r="F1223" s="164" t="s">
        <v>3404</v>
      </c>
      <c r="G1223" s="164">
        <v>2024</v>
      </c>
      <c r="H1223" s="175">
        <v>45611</v>
      </c>
      <c r="I1223" s="175">
        <v>45615</v>
      </c>
      <c r="J1223" s="168" t="s">
        <v>7175</v>
      </c>
      <c r="K1223" s="174">
        <v>45628</v>
      </c>
      <c r="L1223" s="129" t="s">
        <v>3129</v>
      </c>
      <c r="M1223" s="129" t="s">
        <v>4</v>
      </c>
      <c r="N1223" s="129" t="s">
        <v>50</v>
      </c>
      <c r="O1223" s="129" t="s">
        <v>3406</v>
      </c>
      <c r="P1223" s="146"/>
      <c r="Q1223" s="170">
        <v>45628</v>
      </c>
      <c r="R1223" s="171" t="s">
        <v>150</v>
      </c>
      <c r="S1223" s="172"/>
    </row>
    <row r="1224" spans="1:19" ht="42.75">
      <c r="A1224" s="164" t="s">
        <v>777</v>
      </c>
      <c r="B1224" s="165" t="s">
        <v>3130</v>
      </c>
      <c r="C1224" s="165" t="s">
        <v>4720</v>
      </c>
      <c r="D1224" s="164">
        <v>4600</v>
      </c>
      <c r="E1224" s="164">
        <v>6162</v>
      </c>
      <c r="F1224" s="164" t="s">
        <v>3955</v>
      </c>
      <c r="G1224" s="164"/>
      <c r="H1224" s="167"/>
      <c r="I1224" s="167"/>
      <c r="J1224" s="167"/>
      <c r="K1224" s="169"/>
      <c r="L1224" s="129"/>
      <c r="M1224" s="129"/>
      <c r="N1224" s="129"/>
      <c r="O1224" s="129"/>
      <c r="P1224" s="146"/>
      <c r="Q1224" s="170"/>
      <c r="R1224" s="171"/>
      <c r="S1224" s="172"/>
    </row>
    <row r="1225" spans="1:19" ht="42.75">
      <c r="A1225" s="164" t="s">
        <v>777</v>
      </c>
      <c r="B1225" s="165" t="s">
        <v>3130</v>
      </c>
      <c r="C1225" s="165" t="s">
        <v>4722</v>
      </c>
      <c r="D1225" s="164">
        <v>4349</v>
      </c>
      <c r="E1225" s="164">
        <v>4483</v>
      </c>
      <c r="F1225" s="164" t="s">
        <v>3955</v>
      </c>
      <c r="G1225" s="164"/>
      <c r="H1225" s="167"/>
      <c r="I1225" s="167"/>
      <c r="J1225" s="167"/>
      <c r="K1225" s="169"/>
      <c r="L1225" s="129"/>
      <c r="M1225" s="129"/>
      <c r="N1225" s="129"/>
      <c r="O1225" s="129"/>
      <c r="P1225" s="146"/>
      <c r="Q1225" s="170"/>
      <c r="R1225" s="171"/>
      <c r="S1225" s="172"/>
    </row>
    <row r="1226" spans="1:19" ht="42.75">
      <c r="A1226" s="164" t="s">
        <v>777</v>
      </c>
      <c r="B1226" s="165" t="s">
        <v>3130</v>
      </c>
      <c r="C1226" s="165" t="s">
        <v>3727</v>
      </c>
      <c r="D1226" s="164">
        <v>5524</v>
      </c>
      <c r="E1226" s="164">
        <v>5019</v>
      </c>
      <c r="F1226" s="164" t="s">
        <v>3955</v>
      </c>
      <c r="G1226" s="164"/>
      <c r="H1226" s="167"/>
      <c r="I1226" s="167"/>
      <c r="J1226" s="167"/>
      <c r="K1226" s="169"/>
      <c r="L1226" s="129"/>
      <c r="M1226" s="129"/>
      <c r="N1226" s="129"/>
      <c r="O1226" s="129"/>
      <c r="P1226" s="146"/>
      <c r="Q1226" s="170"/>
      <c r="R1226" s="171"/>
      <c r="S1226" s="172"/>
    </row>
    <row r="1227" spans="1:19" ht="42.75">
      <c r="A1227" s="164" t="s">
        <v>777</v>
      </c>
      <c r="B1227" s="165" t="s">
        <v>3130</v>
      </c>
      <c r="C1227" s="165" t="s">
        <v>4707</v>
      </c>
      <c r="D1227" s="164">
        <v>2480</v>
      </c>
      <c r="E1227" s="164">
        <v>2845</v>
      </c>
      <c r="F1227" s="164" t="s">
        <v>3955</v>
      </c>
      <c r="G1227" s="164"/>
      <c r="H1227" s="167"/>
      <c r="I1227" s="167"/>
      <c r="J1227" s="167"/>
      <c r="K1227" s="169"/>
      <c r="L1227" s="129"/>
      <c r="M1227" s="129"/>
      <c r="N1227" s="129"/>
      <c r="O1227" s="129"/>
      <c r="P1227" s="146"/>
      <c r="Q1227" s="170"/>
      <c r="R1227" s="171"/>
      <c r="S1227" s="172"/>
    </row>
    <row r="1228" spans="1:19" ht="42.75">
      <c r="A1228" s="164" t="s">
        <v>777</v>
      </c>
      <c r="B1228" s="165" t="s">
        <v>3130</v>
      </c>
      <c r="C1228" s="165" t="s">
        <v>4698</v>
      </c>
      <c r="D1228" s="164">
        <v>1647</v>
      </c>
      <c r="E1228" s="164">
        <v>1675</v>
      </c>
      <c r="F1228" s="164" t="s">
        <v>3404</v>
      </c>
      <c r="G1228" s="164">
        <v>2024</v>
      </c>
      <c r="H1228" s="175">
        <v>45611</v>
      </c>
      <c r="I1228" s="175">
        <v>45614</v>
      </c>
      <c r="J1228" s="168" t="s">
        <v>7176</v>
      </c>
      <c r="K1228" s="174">
        <v>45616</v>
      </c>
      <c r="L1228" s="129" t="s">
        <v>3129</v>
      </c>
      <c r="M1228" s="129" t="s">
        <v>4</v>
      </c>
      <c r="N1228" s="129" t="s">
        <v>50</v>
      </c>
      <c r="O1228" s="129" t="s">
        <v>3406</v>
      </c>
      <c r="P1228" s="146"/>
      <c r="Q1228" s="170">
        <v>45618</v>
      </c>
      <c r="R1228" s="171" t="s">
        <v>150</v>
      </c>
      <c r="S1228" s="172"/>
    </row>
    <row r="1229" spans="1:19" ht="42.75">
      <c r="A1229" s="164" t="s">
        <v>777</v>
      </c>
      <c r="B1229" s="165" t="s">
        <v>3130</v>
      </c>
      <c r="C1229" s="165" t="s">
        <v>4701</v>
      </c>
      <c r="D1229" s="164">
        <v>2349</v>
      </c>
      <c r="E1229" s="164">
        <v>2633</v>
      </c>
      <c r="F1229" s="164" t="s">
        <v>3955</v>
      </c>
      <c r="G1229" s="164"/>
      <c r="H1229" s="167"/>
      <c r="I1229" s="167"/>
      <c r="J1229" s="167"/>
      <c r="K1229" s="169"/>
      <c r="L1229" s="129"/>
      <c r="M1229" s="129"/>
      <c r="N1229" s="129"/>
      <c r="O1229" s="129"/>
      <c r="P1229" s="146"/>
      <c r="Q1229" s="170"/>
      <c r="R1229" s="171"/>
      <c r="S1229" s="172"/>
    </row>
    <row r="1230" spans="1:19" ht="42.75">
      <c r="A1230" s="164" t="s">
        <v>777</v>
      </c>
      <c r="B1230" s="165" t="s">
        <v>3130</v>
      </c>
      <c r="C1230" s="165" t="s">
        <v>4704</v>
      </c>
      <c r="D1230" s="164">
        <v>801</v>
      </c>
      <c r="E1230" s="164">
        <v>870</v>
      </c>
      <c r="F1230" s="164" t="s">
        <v>3404</v>
      </c>
      <c r="G1230" s="164">
        <v>2024</v>
      </c>
      <c r="H1230" s="175">
        <v>45568</v>
      </c>
      <c r="I1230" s="175">
        <v>45569</v>
      </c>
      <c r="J1230" s="168" t="s">
        <v>7177</v>
      </c>
      <c r="K1230" s="174">
        <v>45574</v>
      </c>
      <c r="L1230" s="129" t="s">
        <v>3128</v>
      </c>
      <c r="M1230" s="129" t="s">
        <v>4</v>
      </c>
      <c r="N1230" s="129" t="s">
        <v>50</v>
      </c>
      <c r="O1230" s="129" t="s">
        <v>3406</v>
      </c>
      <c r="P1230" s="146"/>
      <c r="Q1230" s="170">
        <v>45575</v>
      </c>
      <c r="R1230" s="171" t="s">
        <v>150</v>
      </c>
      <c r="S1230" s="172"/>
    </row>
    <row r="1231" spans="1:19" ht="42.75">
      <c r="A1231" s="164" t="s">
        <v>777</v>
      </c>
      <c r="B1231" s="165" t="s">
        <v>3130</v>
      </c>
      <c r="C1231" s="165" t="s">
        <v>4705</v>
      </c>
      <c r="D1231" s="164">
        <v>3096</v>
      </c>
      <c r="E1231" s="164">
        <v>3514</v>
      </c>
      <c r="F1231" s="164" t="s">
        <v>3404</v>
      </c>
      <c r="G1231" s="164">
        <v>2024</v>
      </c>
      <c r="H1231" s="175">
        <v>45568</v>
      </c>
      <c r="I1231" s="175">
        <v>45569</v>
      </c>
      <c r="J1231" s="168" t="s">
        <v>7178</v>
      </c>
      <c r="K1231" s="174">
        <v>45574</v>
      </c>
      <c r="L1231" s="129" t="s">
        <v>3128</v>
      </c>
      <c r="M1231" s="129" t="s">
        <v>4</v>
      </c>
      <c r="N1231" s="129" t="s">
        <v>50</v>
      </c>
      <c r="O1231" s="129" t="s">
        <v>3406</v>
      </c>
      <c r="P1231" s="146"/>
      <c r="Q1231" s="189">
        <v>45575</v>
      </c>
      <c r="R1231" s="115" t="s">
        <v>150</v>
      </c>
      <c r="S1231" s="163"/>
    </row>
    <row r="1232" spans="1:19" ht="42.75">
      <c r="A1232" s="164" t="s">
        <v>777</v>
      </c>
      <c r="B1232" s="165" t="s">
        <v>3130</v>
      </c>
      <c r="C1232" s="165" t="s">
        <v>4715</v>
      </c>
      <c r="D1232" s="164">
        <v>2375</v>
      </c>
      <c r="E1232" s="164">
        <v>2139</v>
      </c>
      <c r="F1232" s="164" t="s">
        <v>3955</v>
      </c>
      <c r="G1232" s="164"/>
      <c r="H1232" s="167"/>
      <c r="I1232" s="167"/>
      <c r="J1232" s="167"/>
      <c r="K1232" s="169"/>
      <c r="L1232" s="129"/>
      <c r="M1232" s="129"/>
      <c r="N1232" s="129"/>
      <c r="O1232" s="129"/>
      <c r="P1232" s="146"/>
      <c r="Q1232" s="170"/>
      <c r="R1232" s="171"/>
      <c r="S1232" s="172"/>
    </row>
    <row r="1233" spans="1:19" ht="42.75">
      <c r="A1233" s="164" t="s">
        <v>777</v>
      </c>
      <c r="B1233" s="165" t="s">
        <v>4802</v>
      </c>
      <c r="C1233" s="165" t="s">
        <v>4803</v>
      </c>
      <c r="D1233" s="164">
        <v>1552</v>
      </c>
      <c r="E1233" s="164">
        <v>1656</v>
      </c>
      <c r="F1233" s="164" t="s">
        <v>3955</v>
      </c>
      <c r="G1233" s="164"/>
      <c r="H1233" s="167"/>
      <c r="I1233" s="167"/>
      <c r="J1233" s="167"/>
      <c r="K1233" s="169"/>
      <c r="L1233" s="129"/>
      <c r="M1233" s="129"/>
      <c r="N1233" s="129"/>
      <c r="O1233" s="129"/>
      <c r="P1233" s="146"/>
      <c r="Q1233" s="170"/>
      <c r="R1233" s="171"/>
      <c r="S1233" s="172"/>
    </row>
    <row r="1234" spans="1:19" ht="42.75">
      <c r="A1234" s="164" t="s">
        <v>777</v>
      </c>
      <c r="B1234" s="165" t="s">
        <v>4802</v>
      </c>
      <c r="C1234" s="165" t="s">
        <v>4805</v>
      </c>
      <c r="D1234" s="164">
        <v>1524</v>
      </c>
      <c r="E1234" s="164">
        <v>1510</v>
      </c>
      <c r="F1234" s="164" t="s">
        <v>3955</v>
      </c>
      <c r="G1234" s="201"/>
      <c r="H1234" s="196"/>
      <c r="I1234" s="196"/>
      <c r="J1234" s="196"/>
      <c r="K1234" s="242"/>
      <c r="L1234" s="129"/>
      <c r="M1234" s="129"/>
      <c r="N1234" s="129"/>
      <c r="O1234" s="129"/>
      <c r="P1234" s="146"/>
      <c r="Q1234" s="170"/>
      <c r="R1234" s="171"/>
      <c r="S1234" s="172"/>
    </row>
    <row r="1235" spans="1:19" ht="42.75">
      <c r="A1235" s="164" t="s">
        <v>777</v>
      </c>
      <c r="B1235" s="165" t="s">
        <v>4802</v>
      </c>
      <c r="C1235" s="165" t="s">
        <v>1207</v>
      </c>
      <c r="D1235" s="164">
        <v>2000</v>
      </c>
      <c r="E1235" s="164">
        <v>2002</v>
      </c>
      <c r="F1235" s="164" t="s">
        <v>3404</v>
      </c>
      <c r="G1235" s="164">
        <v>2024</v>
      </c>
      <c r="H1235" s="174">
        <v>45316</v>
      </c>
      <c r="I1235" s="174">
        <v>45324</v>
      </c>
      <c r="J1235" s="181" t="s">
        <v>7179</v>
      </c>
      <c r="K1235" s="169"/>
      <c r="L1235" s="232" t="s">
        <v>3458</v>
      </c>
      <c r="M1235" s="129"/>
      <c r="N1235" s="129"/>
      <c r="O1235" s="129" t="s">
        <v>3406</v>
      </c>
      <c r="P1235" s="146"/>
      <c r="Q1235" s="170"/>
      <c r="R1235" s="171"/>
      <c r="S1235" s="172"/>
    </row>
    <row r="1236" spans="1:19" ht="42.75">
      <c r="A1236" s="164" t="s">
        <v>777</v>
      </c>
      <c r="B1236" s="165" t="s">
        <v>4802</v>
      </c>
      <c r="C1236" s="165" t="s">
        <v>4807</v>
      </c>
      <c r="D1236" s="164">
        <v>2216</v>
      </c>
      <c r="E1236" s="164">
        <v>2341</v>
      </c>
      <c r="F1236" s="164" t="s">
        <v>3955</v>
      </c>
      <c r="G1236" s="164"/>
      <c r="H1236" s="167"/>
      <c r="I1236" s="167"/>
      <c r="J1236" s="167"/>
      <c r="K1236" s="243"/>
      <c r="L1236" s="129"/>
      <c r="M1236" s="129"/>
      <c r="N1236" s="129"/>
      <c r="O1236" s="129"/>
      <c r="P1236" s="146"/>
      <c r="Q1236" s="170"/>
      <c r="R1236" s="171"/>
      <c r="S1236" s="172"/>
    </row>
    <row r="1237" spans="1:19" ht="42.75">
      <c r="A1237" s="164" t="s">
        <v>777</v>
      </c>
      <c r="B1237" s="165" t="s">
        <v>4802</v>
      </c>
      <c r="C1237" s="165" t="s">
        <v>4808</v>
      </c>
      <c r="D1237" s="164">
        <v>1040</v>
      </c>
      <c r="E1237" s="164">
        <v>1192</v>
      </c>
      <c r="F1237" s="164" t="s">
        <v>3955</v>
      </c>
      <c r="G1237" s="164"/>
      <c r="H1237" s="167"/>
      <c r="I1237" s="167"/>
      <c r="J1237" s="167"/>
      <c r="K1237" s="169"/>
      <c r="L1237" s="129"/>
      <c r="M1237" s="129"/>
      <c r="N1237" s="129"/>
      <c r="O1237" s="129"/>
      <c r="P1237" s="146"/>
      <c r="Q1237" s="170"/>
      <c r="R1237" s="171"/>
      <c r="S1237" s="172"/>
    </row>
    <row r="1238" spans="1:19" ht="42.75">
      <c r="A1238" s="164" t="s">
        <v>777</v>
      </c>
      <c r="B1238" s="165" t="s">
        <v>4802</v>
      </c>
      <c r="C1238" s="165" t="s">
        <v>4809</v>
      </c>
      <c r="D1238" s="164">
        <v>1722</v>
      </c>
      <c r="E1238" s="164">
        <v>1891</v>
      </c>
      <c r="F1238" s="164" t="s">
        <v>3955</v>
      </c>
      <c r="G1238" s="164"/>
      <c r="H1238" s="167"/>
      <c r="I1238" s="167"/>
      <c r="J1238" s="167"/>
      <c r="K1238" s="169"/>
      <c r="L1238" s="129"/>
      <c r="M1238" s="129"/>
      <c r="N1238" s="129"/>
      <c r="O1238" s="129"/>
      <c r="P1238" s="146"/>
      <c r="Q1238" s="170"/>
      <c r="R1238" s="171"/>
      <c r="S1238" s="172"/>
    </row>
    <row r="1239" spans="1:19" ht="42.75">
      <c r="A1239" s="164" t="s">
        <v>777</v>
      </c>
      <c r="B1239" s="165" t="s">
        <v>4802</v>
      </c>
      <c r="C1239" s="165" t="s">
        <v>4810</v>
      </c>
      <c r="D1239" s="164">
        <v>2148</v>
      </c>
      <c r="E1239" s="164">
        <v>2465</v>
      </c>
      <c r="F1239" s="164" t="s">
        <v>3955</v>
      </c>
      <c r="G1239" s="164"/>
      <c r="H1239" s="167"/>
      <c r="I1239" s="167"/>
      <c r="J1239" s="167"/>
      <c r="K1239" s="169"/>
      <c r="L1239" s="129"/>
      <c r="M1239" s="129"/>
      <c r="N1239" s="129"/>
      <c r="O1239" s="129"/>
      <c r="P1239" s="146"/>
      <c r="Q1239" s="170"/>
      <c r="R1239" s="171"/>
      <c r="S1239" s="172"/>
    </row>
    <row r="1240" spans="1:19" ht="42.75">
      <c r="A1240" s="164" t="s">
        <v>777</v>
      </c>
      <c r="B1240" s="165" t="s">
        <v>4802</v>
      </c>
      <c r="C1240" s="165" t="s">
        <v>4811</v>
      </c>
      <c r="D1240" s="164">
        <v>1184</v>
      </c>
      <c r="E1240" s="164">
        <v>1243</v>
      </c>
      <c r="F1240" s="164" t="s">
        <v>3955</v>
      </c>
      <c r="G1240" s="164"/>
      <c r="H1240" s="167"/>
      <c r="I1240" s="167"/>
      <c r="J1240" s="167"/>
      <c r="K1240" s="169"/>
      <c r="L1240" s="129"/>
      <c r="M1240" s="129"/>
      <c r="N1240" s="129"/>
      <c r="O1240" s="129"/>
      <c r="P1240" s="146"/>
      <c r="Q1240" s="170"/>
      <c r="R1240" s="171"/>
      <c r="S1240" s="172"/>
    </row>
    <row r="1241" spans="1:19" ht="42.75">
      <c r="A1241" s="164" t="s">
        <v>777</v>
      </c>
      <c r="B1241" s="165" t="s">
        <v>4802</v>
      </c>
      <c r="C1241" s="165" t="s">
        <v>4812</v>
      </c>
      <c r="D1241" s="164">
        <v>1262</v>
      </c>
      <c r="E1241" s="164">
        <v>1302</v>
      </c>
      <c r="F1241" s="164" t="s">
        <v>3955</v>
      </c>
      <c r="G1241" s="164"/>
      <c r="H1241" s="167"/>
      <c r="I1241" s="167"/>
      <c r="J1241" s="167"/>
      <c r="K1241" s="169"/>
      <c r="L1241" s="129"/>
      <c r="M1241" s="129"/>
      <c r="N1241" s="129"/>
      <c r="O1241" s="129"/>
      <c r="P1241" s="146"/>
      <c r="Q1241" s="170"/>
      <c r="R1241" s="171"/>
      <c r="S1241" s="172"/>
    </row>
    <row r="1242" spans="1:19" ht="42.75">
      <c r="A1242" s="164" t="s">
        <v>777</v>
      </c>
      <c r="B1242" s="165" t="s">
        <v>4802</v>
      </c>
      <c r="C1242" s="165" t="s">
        <v>4813</v>
      </c>
      <c r="D1242" s="164">
        <v>5050</v>
      </c>
      <c r="E1242" s="164">
        <v>5582</v>
      </c>
      <c r="F1242" s="164" t="s">
        <v>3955</v>
      </c>
      <c r="G1242" s="201"/>
      <c r="H1242" s="196"/>
      <c r="I1242" s="196"/>
      <c r="J1242" s="196"/>
      <c r="K1242" s="242"/>
      <c r="L1242" s="129"/>
      <c r="M1242" s="129"/>
      <c r="N1242" s="129"/>
      <c r="O1242" s="129"/>
      <c r="P1242" s="146"/>
      <c r="Q1242" s="170"/>
      <c r="R1242" s="171"/>
      <c r="S1242" s="172"/>
    </row>
    <row r="1243" spans="1:19" ht="42.75">
      <c r="A1243" s="164" t="s">
        <v>777</v>
      </c>
      <c r="B1243" s="165" t="s">
        <v>4802</v>
      </c>
      <c r="C1243" s="165" t="s">
        <v>4815</v>
      </c>
      <c r="D1243" s="164">
        <v>1166</v>
      </c>
      <c r="E1243" s="164">
        <v>1237</v>
      </c>
      <c r="F1243" s="164" t="s">
        <v>3404</v>
      </c>
      <c r="G1243" s="164">
        <v>2024</v>
      </c>
      <c r="H1243" s="174">
        <v>45316</v>
      </c>
      <c r="I1243" s="174">
        <v>45324</v>
      </c>
      <c r="J1243" s="181" t="s">
        <v>7180</v>
      </c>
      <c r="K1243" s="169"/>
      <c r="L1243" s="232" t="s">
        <v>3458</v>
      </c>
      <c r="M1243" s="129"/>
      <c r="N1243" s="129"/>
      <c r="O1243" s="129" t="s">
        <v>3406</v>
      </c>
      <c r="P1243" s="146"/>
      <c r="Q1243" s="170"/>
      <c r="R1243" s="171"/>
      <c r="S1243" s="172"/>
    </row>
    <row r="1244" spans="1:19" ht="42.75">
      <c r="A1244" s="164" t="s">
        <v>777</v>
      </c>
      <c r="B1244" s="165" t="s">
        <v>4802</v>
      </c>
      <c r="C1244" s="165" t="s">
        <v>4816</v>
      </c>
      <c r="D1244" s="164">
        <v>1128</v>
      </c>
      <c r="E1244" s="164">
        <v>1160</v>
      </c>
      <c r="F1244" s="164" t="s">
        <v>3404</v>
      </c>
      <c r="G1244" s="164">
        <v>2024</v>
      </c>
      <c r="H1244" s="174">
        <v>45316</v>
      </c>
      <c r="I1244" s="174">
        <v>45324</v>
      </c>
      <c r="J1244" s="181" t="s">
        <v>7181</v>
      </c>
      <c r="K1244" s="169"/>
      <c r="L1244" s="232" t="s">
        <v>3458</v>
      </c>
      <c r="M1244" s="129"/>
      <c r="N1244" s="129"/>
      <c r="O1244" s="129" t="s">
        <v>3406</v>
      </c>
      <c r="P1244" s="146"/>
      <c r="Q1244" s="170"/>
      <c r="R1244" s="171"/>
      <c r="S1244" s="172"/>
    </row>
    <row r="1245" spans="1:19" ht="42.75">
      <c r="A1245" s="164" t="s">
        <v>777</v>
      </c>
      <c r="B1245" s="165" t="s">
        <v>4802</v>
      </c>
      <c r="C1245" s="165" t="s">
        <v>4817</v>
      </c>
      <c r="D1245" s="164">
        <v>3546</v>
      </c>
      <c r="E1245" s="164">
        <v>3537</v>
      </c>
      <c r="F1245" s="164" t="s">
        <v>3404</v>
      </c>
      <c r="G1245" s="164">
        <v>2024</v>
      </c>
      <c r="H1245" s="174">
        <v>45408</v>
      </c>
      <c r="I1245" s="174">
        <v>45412</v>
      </c>
      <c r="J1245" s="181" t="s">
        <v>7182</v>
      </c>
      <c r="K1245" s="174">
        <v>45420</v>
      </c>
      <c r="L1245" s="232" t="s">
        <v>3532</v>
      </c>
      <c r="M1245" s="129"/>
      <c r="N1245" s="129"/>
      <c r="O1245" s="129" t="s">
        <v>3406</v>
      </c>
      <c r="P1245" s="146"/>
      <c r="Q1245" s="170"/>
      <c r="R1245" s="171"/>
      <c r="S1245" s="172"/>
    </row>
    <row r="1246" spans="1:19" ht="42.75">
      <c r="A1246" s="164" t="s">
        <v>777</v>
      </c>
      <c r="B1246" s="165" t="s">
        <v>4802</v>
      </c>
      <c r="C1246" s="165" t="s">
        <v>4818</v>
      </c>
      <c r="D1246" s="164">
        <v>3367</v>
      </c>
      <c r="E1246" s="164">
        <v>3787</v>
      </c>
      <c r="F1246" s="164" t="s">
        <v>3955</v>
      </c>
      <c r="G1246" s="201"/>
      <c r="H1246" s="196"/>
      <c r="I1246" s="196"/>
      <c r="J1246" s="196"/>
      <c r="K1246" s="244"/>
      <c r="L1246" s="129"/>
      <c r="M1246" s="129"/>
      <c r="N1246" s="129"/>
      <c r="O1246" s="129"/>
      <c r="P1246" s="146"/>
      <c r="Q1246" s="170"/>
      <c r="R1246" s="171"/>
      <c r="S1246" s="172"/>
    </row>
    <row r="1247" spans="1:19" ht="42.75">
      <c r="A1247" s="164" t="s">
        <v>777</v>
      </c>
      <c r="B1247" s="165" t="s">
        <v>4802</v>
      </c>
      <c r="C1247" s="165" t="s">
        <v>1056</v>
      </c>
      <c r="D1247" s="164">
        <v>3670</v>
      </c>
      <c r="E1247" s="164">
        <v>3866</v>
      </c>
      <c r="F1247" s="164" t="s">
        <v>3404</v>
      </c>
      <c r="G1247" s="164">
        <v>2024</v>
      </c>
      <c r="H1247" s="174">
        <v>45408</v>
      </c>
      <c r="I1247" s="174">
        <v>45412</v>
      </c>
      <c r="J1247" s="181" t="s">
        <v>7183</v>
      </c>
      <c r="K1247" s="174">
        <v>45420</v>
      </c>
      <c r="L1247" s="232" t="s">
        <v>3532</v>
      </c>
      <c r="M1247" s="129"/>
      <c r="N1247" s="129"/>
      <c r="O1247" s="129" t="s">
        <v>3406</v>
      </c>
      <c r="P1247" s="146"/>
      <c r="Q1247" s="170"/>
      <c r="R1247" s="171"/>
      <c r="S1247" s="172"/>
    </row>
    <row r="1248" spans="1:19" ht="42.75">
      <c r="A1248" s="164" t="s">
        <v>777</v>
      </c>
      <c r="B1248" s="165" t="s">
        <v>4802</v>
      </c>
      <c r="C1248" s="165" t="s">
        <v>4637</v>
      </c>
      <c r="D1248" s="164">
        <v>674</v>
      </c>
      <c r="E1248" s="164">
        <v>731</v>
      </c>
      <c r="F1248" s="164" t="s">
        <v>3955</v>
      </c>
      <c r="G1248" s="201"/>
      <c r="H1248" s="196"/>
      <c r="I1248" s="196"/>
      <c r="J1248" s="196"/>
      <c r="K1248" s="244"/>
      <c r="L1248" s="129"/>
      <c r="M1248" s="129"/>
      <c r="N1248" s="129"/>
      <c r="O1248" s="129"/>
      <c r="P1248" s="146"/>
      <c r="Q1248" s="170"/>
      <c r="R1248" s="171"/>
      <c r="S1248" s="172"/>
    </row>
    <row r="1249" spans="1:19" ht="42.75">
      <c r="A1249" s="164" t="s">
        <v>777</v>
      </c>
      <c r="B1249" s="165" t="s">
        <v>4802</v>
      </c>
      <c r="C1249" s="165" t="s">
        <v>4819</v>
      </c>
      <c r="D1249" s="164">
        <v>618</v>
      </c>
      <c r="E1249" s="164">
        <v>624</v>
      </c>
      <c r="F1249" s="164" t="s">
        <v>3404</v>
      </c>
      <c r="G1249" s="164">
        <v>2024</v>
      </c>
      <c r="H1249" s="174">
        <v>45408</v>
      </c>
      <c r="I1249" s="174">
        <v>45412</v>
      </c>
      <c r="J1249" s="235" t="s">
        <v>7184</v>
      </c>
      <c r="K1249" s="174">
        <v>45420</v>
      </c>
      <c r="L1249" s="232" t="s">
        <v>3532</v>
      </c>
      <c r="M1249" s="129"/>
      <c r="N1249" s="129"/>
      <c r="O1249" s="129" t="s">
        <v>3406</v>
      </c>
      <c r="P1249" s="146"/>
      <c r="Q1249" s="170"/>
      <c r="R1249" s="171"/>
      <c r="S1249" s="172"/>
    </row>
    <row r="1250" spans="1:19" ht="42.75">
      <c r="A1250" s="164" t="s">
        <v>777</v>
      </c>
      <c r="B1250" s="165" t="s">
        <v>4802</v>
      </c>
      <c r="C1250" s="165" t="s">
        <v>4820</v>
      </c>
      <c r="D1250" s="164">
        <v>1476</v>
      </c>
      <c r="E1250" s="164">
        <v>1538</v>
      </c>
      <c r="F1250" s="164" t="s">
        <v>3955</v>
      </c>
      <c r="G1250" s="201"/>
      <c r="H1250" s="196"/>
      <c r="I1250" s="196"/>
      <c r="J1250" s="196"/>
      <c r="K1250" s="244"/>
      <c r="L1250" s="129"/>
      <c r="M1250" s="129"/>
      <c r="N1250" s="129"/>
      <c r="O1250" s="129"/>
      <c r="P1250" s="146"/>
      <c r="Q1250" s="170"/>
      <c r="R1250" s="171"/>
      <c r="S1250" s="172"/>
    </row>
    <row r="1251" spans="1:19" ht="42.75">
      <c r="A1251" s="164" t="s">
        <v>777</v>
      </c>
      <c r="B1251" s="165" t="s">
        <v>4802</v>
      </c>
      <c r="C1251" s="165" t="s">
        <v>4821</v>
      </c>
      <c r="D1251" s="164">
        <v>3872</v>
      </c>
      <c r="E1251" s="164">
        <v>4054</v>
      </c>
      <c r="F1251" s="164" t="s">
        <v>3404</v>
      </c>
      <c r="G1251" s="164">
        <v>2024</v>
      </c>
      <c r="H1251" s="174">
        <v>45408</v>
      </c>
      <c r="I1251" s="174">
        <v>45412</v>
      </c>
      <c r="J1251" s="181" t="s">
        <v>7185</v>
      </c>
      <c r="K1251" s="174">
        <v>45420</v>
      </c>
      <c r="L1251" s="232" t="s">
        <v>3532</v>
      </c>
      <c r="M1251" s="129"/>
      <c r="N1251" s="129"/>
      <c r="O1251" s="129" t="s">
        <v>3406</v>
      </c>
      <c r="P1251" s="146"/>
      <c r="Q1251" s="170"/>
      <c r="R1251" s="171"/>
      <c r="S1251" s="172"/>
    </row>
    <row r="1252" spans="1:19" ht="42.75">
      <c r="A1252" s="164" t="s">
        <v>777</v>
      </c>
      <c r="B1252" s="165" t="s">
        <v>4802</v>
      </c>
      <c r="C1252" s="165" t="s">
        <v>4822</v>
      </c>
      <c r="D1252" s="164">
        <v>2441</v>
      </c>
      <c r="E1252" s="164">
        <v>2593</v>
      </c>
      <c r="F1252" s="164" t="s">
        <v>3955</v>
      </c>
      <c r="G1252" s="164"/>
      <c r="H1252" s="167"/>
      <c r="I1252" s="167"/>
      <c r="J1252" s="167"/>
      <c r="K1252" s="243"/>
      <c r="L1252" s="129"/>
      <c r="M1252" s="129"/>
      <c r="N1252" s="129"/>
      <c r="O1252" s="129"/>
      <c r="P1252" s="146"/>
      <c r="Q1252" s="170"/>
      <c r="R1252" s="171"/>
      <c r="S1252" s="172"/>
    </row>
    <row r="1253" spans="1:19" ht="42.75">
      <c r="A1253" s="164" t="s">
        <v>777</v>
      </c>
      <c r="B1253" s="165" t="s">
        <v>1653</v>
      </c>
      <c r="C1253" s="165" t="s">
        <v>4824</v>
      </c>
      <c r="D1253" s="164">
        <v>3495</v>
      </c>
      <c r="E1253" s="164">
        <v>4046</v>
      </c>
      <c r="F1253" s="164" t="s">
        <v>3955</v>
      </c>
      <c r="G1253" s="164"/>
      <c r="H1253" s="167"/>
      <c r="I1253" s="167"/>
      <c r="J1253" s="167"/>
      <c r="K1253" s="169"/>
      <c r="L1253" s="129"/>
      <c r="M1253" s="129"/>
      <c r="N1253" s="129"/>
      <c r="O1253" s="129"/>
      <c r="P1253" s="146"/>
      <c r="Q1253" s="170"/>
      <c r="R1253" s="171"/>
      <c r="S1253" s="172"/>
    </row>
    <row r="1254" spans="1:19" ht="42.75">
      <c r="A1254" s="164" t="s">
        <v>777</v>
      </c>
      <c r="B1254" s="165" t="s">
        <v>1653</v>
      </c>
      <c r="C1254" s="165" t="s">
        <v>1185</v>
      </c>
      <c r="D1254" s="164">
        <v>6695</v>
      </c>
      <c r="E1254" s="164">
        <v>6887</v>
      </c>
      <c r="F1254" s="164" t="s">
        <v>3955</v>
      </c>
      <c r="G1254" s="164"/>
      <c r="H1254" s="167"/>
      <c r="I1254" s="167"/>
      <c r="J1254" s="167"/>
      <c r="K1254" s="169"/>
      <c r="L1254" s="129"/>
      <c r="M1254" s="129"/>
      <c r="N1254" s="129"/>
      <c r="O1254" s="129"/>
      <c r="P1254" s="146"/>
      <c r="Q1254" s="170"/>
      <c r="R1254" s="171"/>
      <c r="S1254" s="172"/>
    </row>
    <row r="1255" spans="1:19" ht="42.75">
      <c r="A1255" s="164" t="s">
        <v>777</v>
      </c>
      <c r="B1255" s="165" t="s">
        <v>1653</v>
      </c>
      <c r="C1255" s="165" t="s">
        <v>4825</v>
      </c>
      <c r="D1255" s="164">
        <v>3599</v>
      </c>
      <c r="E1255" s="164">
        <v>5376</v>
      </c>
      <c r="F1255" s="164" t="s">
        <v>3955</v>
      </c>
      <c r="G1255" s="164"/>
      <c r="H1255" s="167"/>
      <c r="I1255" s="167"/>
      <c r="J1255" s="167"/>
      <c r="K1255" s="169"/>
      <c r="L1255" s="129"/>
      <c r="M1255" s="129"/>
      <c r="N1255" s="129"/>
      <c r="O1255" s="129"/>
      <c r="P1255" s="146"/>
      <c r="Q1255" s="170"/>
      <c r="R1255" s="171"/>
      <c r="S1255" s="172"/>
    </row>
    <row r="1256" spans="1:19" ht="42.75">
      <c r="A1256" s="164" t="s">
        <v>777</v>
      </c>
      <c r="B1256" s="165" t="s">
        <v>1653</v>
      </c>
      <c r="C1256" s="165" t="s">
        <v>4826</v>
      </c>
      <c r="D1256" s="164">
        <v>4567</v>
      </c>
      <c r="E1256" s="164">
        <v>5249</v>
      </c>
      <c r="F1256" s="164" t="s">
        <v>3955</v>
      </c>
      <c r="G1256" s="164"/>
      <c r="H1256" s="167"/>
      <c r="I1256" s="167"/>
      <c r="J1256" s="167"/>
      <c r="K1256" s="169"/>
      <c r="L1256" s="129"/>
      <c r="M1256" s="129"/>
      <c r="N1256" s="129"/>
      <c r="O1256" s="129"/>
      <c r="P1256" s="146"/>
      <c r="Q1256" s="170"/>
      <c r="R1256" s="171"/>
      <c r="S1256" s="172"/>
    </row>
    <row r="1257" spans="1:19" ht="42.75">
      <c r="A1257" s="164" t="s">
        <v>777</v>
      </c>
      <c r="B1257" s="165" t="s">
        <v>1653</v>
      </c>
      <c r="C1257" s="165" t="s">
        <v>4828</v>
      </c>
      <c r="D1257" s="164">
        <v>6232</v>
      </c>
      <c r="E1257" s="164">
        <v>7578</v>
      </c>
      <c r="F1257" s="164" t="s">
        <v>3955</v>
      </c>
      <c r="G1257" s="164"/>
      <c r="H1257" s="167"/>
      <c r="I1257" s="167"/>
      <c r="J1257" s="167"/>
      <c r="K1257" s="169"/>
      <c r="L1257" s="129"/>
      <c r="M1257" s="129"/>
      <c r="N1257" s="129"/>
      <c r="O1257" s="129"/>
      <c r="P1257" s="146"/>
      <c r="Q1257" s="170"/>
      <c r="R1257" s="171"/>
      <c r="S1257" s="172"/>
    </row>
    <row r="1258" spans="1:19" ht="42.75">
      <c r="A1258" s="164" t="s">
        <v>777</v>
      </c>
      <c r="B1258" s="165" t="s">
        <v>1653</v>
      </c>
      <c r="C1258" s="165" t="s">
        <v>3767</v>
      </c>
      <c r="D1258" s="164">
        <v>4015</v>
      </c>
      <c r="E1258" s="164">
        <v>5081</v>
      </c>
      <c r="F1258" s="164" t="s">
        <v>3955</v>
      </c>
      <c r="G1258" s="164"/>
      <c r="H1258" s="167"/>
      <c r="I1258" s="167"/>
      <c r="J1258" s="167"/>
      <c r="K1258" s="169"/>
      <c r="L1258" s="129"/>
      <c r="M1258" s="129"/>
      <c r="N1258" s="129"/>
      <c r="O1258" s="129"/>
      <c r="P1258" s="146"/>
      <c r="Q1258" s="170"/>
      <c r="R1258" s="171"/>
      <c r="S1258" s="172"/>
    </row>
    <row r="1259" spans="1:19" ht="42.75">
      <c r="A1259" s="164" t="s">
        <v>777</v>
      </c>
      <c r="B1259" s="165" t="s">
        <v>1653</v>
      </c>
      <c r="C1259" s="165" t="s">
        <v>1286</v>
      </c>
      <c r="D1259" s="164">
        <v>1506</v>
      </c>
      <c r="E1259" s="164">
        <v>1543</v>
      </c>
      <c r="F1259" s="164" t="s">
        <v>3955</v>
      </c>
      <c r="G1259" s="164"/>
      <c r="H1259" s="167"/>
      <c r="I1259" s="167"/>
      <c r="J1259" s="167"/>
      <c r="K1259" s="169"/>
      <c r="L1259" s="129"/>
      <c r="M1259" s="129"/>
      <c r="N1259" s="129"/>
      <c r="O1259" s="129"/>
      <c r="P1259" s="146"/>
      <c r="Q1259" s="170"/>
      <c r="R1259" s="171"/>
      <c r="S1259" s="172"/>
    </row>
    <row r="1260" spans="1:19" ht="42.75">
      <c r="A1260" s="164" t="s">
        <v>777</v>
      </c>
      <c r="B1260" s="165" t="s">
        <v>1653</v>
      </c>
      <c r="C1260" s="165" t="s">
        <v>4830</v>
      </c>
      <c r="D1260" s="164">
        <v>1751</v>
      </c>
      <c r="E1260" s="164">
        <v>2012</v>
      </c>
      <c r="F1260" s="164" t="s">
        <v>3955</v>
      </c>
      <c r="G1260" s="164"/>
      <c r="H1260" s="167"/>
      <c r="I1260" s="167"/>
      <c r="J1260" s="167"/>
      <c r="K1260" s="169"/>
      <c r="L1260" s="129"/>
      <c r="M1260" s="129"/>
      <c r="N1260" s="129"/>
      <c r="O1260" s="129"/>
      <c r="P1260" s="146"/>
      <c r="Q1260" s="170"/>
      <c r="R1260" s="171"/>
      <c r="S1260" s="172"/>
    </row>
    <row r="1261" spans="1:19" ht="42.75">
      <c r="A1261" s="164" t="s">
        <v>777</v>
      </c>
      <c r="B1261" s="165" t="s">
        <v>1653</v>
      </c>
      <c r="C1261" s="165" t="s">
        <v>4832</v>
      </c>
      <c r="D1261" s="164">
        <v>9608</v>
      </c>
      <c r="E1261" s="164">
        <v>11240</v>
      </c>
      <c r="F1261" s="164" t="s">
        <v>3955</v>
      </c>
      <c r="G1261" s="164"/>
      <c r="H1261" s="167"/>
      <c r="I1261" s="167"/>
      <c r="J1261" s="167"/>
      <c r="K1261" s="169"/>
      <c r="L1261" s="129"/>
      <c r="M1261" s="129"/>
      <c r="N1261" s="129"/>
      <c r="O1261" s="129"/>
      <c r="P1261" s="146"/>
      <c r="Q1261" s="170"/>
      <c r="R1261" s="171"/>
      <c r="S1261" s="172"/>
    </row>
    <row r="1262" spans="1:19" ht="42.75">
      <c r="A1262" s="164" t="s">
        <v>777</v>
      </c>
      <c r="B1262" s="165" t="s">
        <v>1653</v>
      </c>
      <c r="C1262" s="165" t="s">
        <v>4829</v>
      </c>
      <c r="D1262" s="164">
        <v>1611</v>
      </c>
      <c r="E1262" s="164">
        <v>1778</v>
      </c>
      <c r="F1262" s="164" t="s">
        <v>3955</v>
      </c>
      <c r="G1262" s="164"/>
      <c r="H1262" s="167"/>
      <c r="I1262" s="167"/>
      <c r="J1262" s="167"/>
      <c r="K1262" s="169"/>
      <c r="L1262" s="129"/>
      <c r="M1262" s="129"/>
      <c r="N1262" s="129"/>
      <c r="O1262" s="129"/>
      <c r="P1262" s="146"/>
      <c r="Q1262" s="170"/>
      <c r="R1262" s="171"/>
      <c r="S1262" s="172"/>
    </row>
    <row r="1263" spans="1:19" ht="42.75">
      <c r="A1263" s="164" t="s">
        <v>777</v>
      </c>
      <c r="B1263" s="165" t="s">
        <v>1653</v>
      </c>
      <c r="C1263" s="165" t="s">
        <v>4831</v>
      </c>
      <c r="D1263" s="164">
        <v>1611</v>
      </c>
      <c r="E1263" s="164">
        <v>1788</v>
      </c>
      <c r="F1263" s="164" t="s">
        <v>3955</v>
      </c>
      <c r="G1263" s="164"/>
      <c r="H1263" s="167"/>
      <c r="I1263" s="167"/>
      <c r="J1263" s="167"/>
      <c r="K1263" s="169"/>
      <c r="L1263" s="129"/>
      <c r="M1263" s="129"/>
      <c r="N1263" s="129"/>
      <c r="O1263" s="129"/>
      <c r="P1263" s="146"/>
      <c r="Q1263" s="170"/>
      <c r="R1263" s="171"/>
      <c r="S1263" s="172"/>
    </row>
    <row r="1264" spans="1:19" ht="42.75">
      <c r="A1264" s="164" t="s">
        <v>777</v>
      </c>
      <c r="B1264" s="165" t="s">
        <v>1653</v>
      </c>
      <c r="C1264" s="165" t="s">
        <v>4833</v>
      </c>
      <c r="D1264" s="164">
        <v>1788</v>
      </c>
      <c r="E1264" s="164">
        <v>1834</v>
      </c>
      <c r="F1264" s="164" t="s">
        <v>3955</v>
      </c>
      <c r="G1264" s="164"/>
      <c r="H1264" s="167"/>
      <c r="I1264" s="167"/>
      <c r="J1264" s="167"/>
      <c r="K1264" s="169"/>
      <c r="L1264" s="129"/>
      <c r="M1264" s="129"/>
      <c r="N1264" s="129"/>
      <c r="O1264" s="129"/>
      <c r="P1264" s="146"/>
      <c r="Q1264" s="170"/>
      <c r="R1264" s="171"/>
      <c r="S1264" s="172"/>
    </row>
    <row r="1265" spans="1:19" ht="42.75">
      <c r="A1265" s="164" t="s">
        <v>777</v>
      </c>
      <c r="B1265" s="165" t="s">
        <v>1653</v>
      </c>
      <c r="C1265" s="165" t="s">
        <v>4827</v>
      </c>
      <c r="D1265" s="164">
        <v>1387</v>
      </c>
      <c r="E1265" s="164">
        <v>1513</v>
      </c>
      <c r="F1265" s="164" t="s">
        <v>3955</v>
      </c>
      <c r="G1265" s="164"/>
      <c r="H1265" s="167"/>
      <c r="I1265" s="167"/>
      <c r="J1265" s="167"/>
      <c r="K1265" s="169"/>
      <c r="L1265" s="129"/>
      <c r="M1265" s="129"/>
      <c r="N1265" s="129"/>
      <c r="O1265" s="129"/>
      <c r="P1265" s="146"/>
      <c r="Q1265" s="170"/>
      <c r="R1265" s="171"/>
      <c r="S1265" s="172"/>
    </row>
    <row r="1266" spans="1:19" ht="42.75">
      <c r="A1266" s="164" t="s">
        <v>777</v>
      </c>
      <c r="B1266" s="165" t="s">
        <v>1255</v>
      </c>
      <c r="C1266" s="165" t="s">
        <v>4836</v>
      </c>
      <c r="D1266" s="164">
        <v>292</v>
      </c>
      <c r="E1266" s="164">
        <v>352</v>
      </c>
      <c r="F1266" s="164" t="s">
        <v>3955</v>
      </c>
      <c r="G1266" s="164"/>
      <c r="H1266" s="167"/>
      <c r="I1266" s="167"/>
      <c r="J1266" s="167"/>
      <c r="K1266" s="169"/>
      <c r="L1266" s="129"/>
      <c r="M1266" s="129"/>
      <c r="N1266" s="129"/>
      <c r="O1266" s="129"/>
      <c r="P1266" s="146"/>
      <c r="Q1266" s="170"/>
      <c r="R1266" s="171"/>
      <c r="S1266" s="172"/>
    </row>
    <row r="1267" spans="1:19" ht="42.75">
      <c r="A1267" s="164" t="s">
        <v>777</v>
      </c>
      <c r="B1267" s="165" t="s">
        <v>1255</v>
      </c>
      <c r="C1267" s="165" t="s">
        <v>4837</v>
      </c>
      <c r="D1267" s="164">
        <v>643</v>
      </c>
      <c r="E1267" s="164">
        <v>663</v>
      </c>
      <c r="F1267" s="164" t="s">
        <v>3404</v>
      </c>
      <c r="G1267" s="164">
        <v>2024</v>
      </c>
      <c r="H1267" s="175">
        <v>45561</v>
      </c>
      <c r="I1267" s="175">
        <v>45563</v>
      </c>
      <c r="J1267" s="168" t="s">
        <v>7186</v>
      </c>
      <c r="K1267" s="174">
        <v>45572</v>
      </c>
      <c r="L1267" s="129" t="s">
        <v>3128</v>
      </c>
      <c r="M1267" s="129" t="s">
        <v>4</v>
      </c>
      <c r="N1267" s="129" t="s">
        <v>50</v>
      </c>
      <c r="O1267" s="129" t="s">
        <v>3406</v>
      </c>
      <c r="P1267" s="146"/>
      <c r="Q1267" s="189">
        <v>45573</v>
      </c>
      <c r="R1267" s="115" t="s">
        <v>150</v>
      </c>
      <c r="S1267" s="163"/>
    </row>
    <row r="1268" spans="1:19" ht="42.75">
      <c r="A1268" s="164" t="s">
        <v>777</v>
      </c>
      <c r="B1268" s="165" t="s">
        <v>1255</v>
      </c>
      <c r="C1268" s="165" t="s">
        <v>4838</v>
      </c>
      <c r="D1268" s="164">
        <v>2757</v>
      </c>
      <c r="E1268" s="164">
        <v>2773</v>
      </c>
      <c r="F1268" s="164" t="s">
        <v>3955</v>
      </c>
      <c r="G1268" s="164"/>
      <c r="H1268" s="167"/>
      <c r="I1268" s="167"/>
      <c r="J1268" s="167"/>
      <c r="K1268" s="169"/>
      <c r="L1268" s="129"/>
      <c r="M1268" s="129"/>
      <c r="N1268" s="129"/>
      <c r="O1268" s="129"/>
      <c r="P1268" s="146"/>
      <c r="Q1268" s="170"/>
      <c r="R1268" s="171"/>
      <c r="S1268" s="172"/>
    </row>
    <row r="1269" spans="1:19" ht="42.75">
      <c r="A1269" s="164" t="s">
        <v>777</v>
      </c>
      <c r="B1269" s="165" t="s">
        <v>1255</v>
      </c>
      <c r="C1269" s="165" t="s">
        <v>4303</v>
      </c>
      <c r="D1269" s="164">
        <v>1157</v>
      </c>
      <c r="E1269" s="164">
        <v>1239</v>
      </c>
      <c r="F1269" s="164" t="s">
        <v>3955</v>
      </c>
      <c r="G1269" s="164"/>
      <c r="H1269" s="167"/>
      <c r="I1269" s="167"/>
      <c r="J1269" s="167"/>
      <c r="K1269" s="169"/>
      <c r="L1269" s="129"/>
      <c r="M1269" s="129"/>
      <c r="N1269" s="129"/>
      <c r="O1269" s="129"/>
      <c r="P1269" s="146"/>
      <c r="Q1269" s="170"/>
      <c r="R1269" s="171"/>
      <c r="S1269" s="172"/>
    </row>
    <row r="1270" spans="1:19" ht="42.75">
      <c r="A1270" s="164" t="s">
        <v>777</v>
      </c>
      <c r="B1270" s="165" t="s">
        <v>1255</v>
      </c>
      <c r="C1270" s="165" t="s">
        <v>4840</v>
      </c>
      <c r="D1270" s="164">
        <v>606</v>
      </c>
      <c r="E1270" s="164">
        <v>575</v>
      </c>
      <c r="F1270" s="164" t="s">
        <v>3955</v>
      </c>
      <c r="G1270" s="164"/>
      <c r="H1270" s="167"/>
      <c r="I1270" s="167"/>
      <c r="J1270" s="167"/>
      <c r="K1270" s="169"/>
      <c r="L1270" s="129"/>
      <c r="M1270" s="129"/>
      <c r="N1270" s="129"/>
      <c r="O1270" s="129"/>
      <c r="P1270" s="146"/>
      <c r="Q1270" s="170"/>
      <c r="R1270" s="171"/>
      <c r="S1270" s="172"/>
    </row>
    <row r="1271" spans="1:19" ht="42.75">
      <c r="A1271" s="164" t="s">
        <v>777</v>
      </c>
      <c r="B1271" s="165" t="s">
        <v>1255</v>
      </c>
      <c r="C1271" s="165" t="s">
        <v>4842</v>
      </c>
      <c r="D1271" s="164">
        <v>1779</v>
      </c>
      <c r="E1271" s="164">
        <v>1945</v>
      </c>
      <c r="F1271" s="164" t="s">
        <v>3955</v>
      </c>
      <c r="G1271" s="164"/>
      <c r="H1271" s="167"/>
      <c r="I1271" s="167"/>
      <c r="J1271" s="167"/>
      <c r="K1271" s="169"/>
      <c r="L1271" s="129"/>
      <c r="M1271" s="129"/>
      <c r="N1271" s="129"/>
      <c r="O1271" s="129"/>
      <c r="P1271" s="146"/>
      <c r="Q1271" s="170"/>
      <c r="R1271" s="171"/>
      <c r="S1271" s="172"/>
    </row>
    <row r="1272" spans="1:19" ht="42.75">
      <c r="A1272" s="164" t="s">
        <v>777</v>
      </c>
      <c r="B1272" s="165" t="s">
        <v>1255</v>
      </c>
      <c r="C1272" s="165" t="s">
        <v>4843</v>
      </c>
      <c r="D1272" s="164">
        <v>677</v>
      </c>
      <c r="E1272" s="164">
        <v>709</v>
      </c>
      <c r="F1272" s="164" t="s">
        <v>3955</v>
      </c>
      <c r="G1272" s="164"/>
      <c r="H1272" s="167"/>
      <c r="I1272" s="167"/>
      <c r="J1272" s="167"/>
      <c r="K1272" s="169"/>
      <c r="L1272" s="129"/>
      <c r="M1272" s="129"/>
      <c r="N1272" s="129"/>
      <c r="O1272" s="129"/>
      <c r="P1272" s="146"/>
      <c r="Q1272" s="170"/>
      <c r="R1272" s="171"/>
      <c r="S1272" s="172"/>
    </row>
    <row r="1273" spans="1:19" ht="42.75">
      <c r="A1273" s="164" t="s">
        <v>777</v>
      </c>
      <c r="B1273" s="165" t="s">
        <v>1255</v>
      </c>
      <c r="C1273" s="165" t="s">
        <v>4844</v>
      </c>
      <c r="D1273" s="164">
        <v>1498</v>
      </c>
      <c r="E1273" s="164">
        <v>1407</v>
      </c>
      <c r="F1273" s="164" t="s">
        <v>3955</v>
      </c>
      <c r="G1273" s="201"/>
      <c r="H1273" s="196"/>
      <c r="I1273" s="196"/>
      <c r="J1273" s="196"/>
      <c r="K1273" s="242"/>
      <c r="L1273" s="129"/>
      <c r="M1273" s="129"/>
      <c r="N1273" s="129"/>
      <c r="O1273" s="129"/>
      <c r="P1273" s="146"/>
      <c r="Q1273" s="170"/>
      <c r="R1273" s="171"/>
      <c r="S1273" s="172"/>
    </row>
    <row r="1274" spans="1:19" ht="42.75">
      <c r="A1274" s="164" t="s">
        <v>777</v>
      </c>
      <c r="B1274" s="165" t="s">
        <v>1255</v>
      </c>
      <c r="C1274" s="165" t="s">
        <v>4535</v>
      </c>
      <c r="D1274" s="164">
        <v>3361</v>
      </c>
      <c r="E1274" s="164">
        <v>4396</v>
      </c>
      <c r="F1274" s="164" t="s">
        <v>3404</v>
      </c>
      <c r="G1274" s="164">
        <v>2024</v>
      </c>
      <c r="H1274" s="174">
        <v>45393</v>
      </c>
      <c r="I1274" s="174">
        <v>45395</v>
      </c>
      <c r="J1274" s="181" t="s">
        <v>7187</v>
      </c>
      <c r="K1274" s="174">
        <v>45399</v>
      </c>
      <c r="L1274" s="232" t="s">
        <v>3470</v>
      </c>
      <c r="M1274" s="129"/>
      <c r="N1274" s="129"/>
      <c r="O1274" s="129" t="s">
        <v>3406</v>
      </c>
      <c r="P1274" s="146"/>
      <c r="Q1274" s="170"/>
      <c r="R1274" s="171"/>
      <c r="S1274" s="172"/>
    </row>
    <row r="1275" spans="1:19" ht="42.75">
      <c r="A1275" s="164" t="s">
        <v>777</v>
      </c>
      <c r="B1275" s="165" t="s">
        <v>1255</v>
      </c>
      <c r="C1275" s="165" t="s">
        <v>4846</v>
      </c>
      <c r="D1275" s="164">
        <v>496</v>
      </c>
      <c r="E1275" s="164">
        <v>557</v>
      </c>
      <c r="F1275" s="164" t="s">
        <v>3955</v>
      </c>
      <c r="G1275" s="164"/>
      <c r="H1275" s="167"/>
      <c r="I1275" s="167"/>
      <c r="J1275" s="167"/>
      <c r="K1275" s="243"/>
      <c r="L1275" s="129"/>
      <c r="M1275" s="129"/>
      <c r="N1275" s="129"/>
      <c r="O1275" s="129"/>
      <c r="P1275" s="146"/>
      <c r="Q1275" s="170"/>
      <c r="R1275" s="171"/>
      <c r="S1275" s="172"/>
    </row>
    <row r="1276" spans="1:19" ht="42.75">
      <c r="A1276" s="164" t="s">
        <v>777</v>
      </c>
      <c r="B1276" s="165" t="s">
        <v>1255</v>
      </c>
      <c r="C1276" s="165" t="s">
        <v>4728</v>
      </c>
      <c r="D1276" s="164">
        <v>1905</v>
      </c>
      <c r="E1276" s="164">
        <v>2234</v>
      </c>
      <c r="F1276" s="164" t="s">
        <v>3955</v>
      </c>
      <c r="G1276" s="164"/>
      <c r="H1276" s="167"/>
      <c r="I1276" s="167"/>
      <c r="J1276" s="167"/>
      <c r="K1276" s="169"/>
      <c r="L1276" s="129"/>
      <c r="M1276" s="129"/>
      <c r="N1276" s="129"/>
      <c r="O1276" s="129"/>
      <c r="P1276" s="146"/>
      <c r="Q1276" s="170"/>
      <c r="R1276" s="171"/>
      <c r="S1276" s="172"/>
    </row>
    <row r="1277" spans="1:19" ht="42.75">
      <c r="A1277" s="164" t="s">
        <v>777</v>
      </c>
      <c r="B1277" s="165" t="s">
        <v>1255</v>
      </c>
      <c r="C1277" s="165" t="s">
        <v>4849</v>
      </c>
      <c r="D1277" s="164">
        <v>1650</v>
      </c>
      <c r="E1277" s="164">
        <v>1830</v>
      </c>
      <c r="F1277" s="164" t="s">
        <v>3955</v>
      </c>
      <c r="G1277" s="164"/>
      <c r="H1277" s="167"/>
      <c r="I1277" s="167"/>
      <c r="J1277" s="167"/>
      <c r="K1277" s="169"/>
      <c r="L1277" s="129"/>
      <c r="M1277" s="129"/>
      <c r="N1277" s="129"/>
      <c r="O1277" s="129"/>
      <c r="P1277" s="146"/>
      <c r="Q1277" s="170"/>
      <c r="R1277" s="171"/>
      <c r="S1277" s="172"/>
    </row>
    <row r="1278" spans="1:19" ht="42.75">
      <c r="A1278" s="164" t="s">
        <v>777</v>
      </c>
      <c r="B1278" s="165" t="s">
        <v>1255</v>
      </c>
      <c r="C1278" s="165" t="s">
        <v>4851</v>
      </c>
      <c r="D1278" s="164">
        <v>1186</v>
      </c>
      <c r="E1278" s="164">
        <v>871</v>
      </c>
      <c r="F1278" s="164" t="s">
        <v>3955</v>
      </c>
      <c r="G1278" s="164"/>
      <c r="H1278" s="167"/>
      <c r="I1278" s="167"/>
      <c r="J1278" s="167"/>
      <c r="K1278" s="169"/>
      <c r="L1278" s="129"/>
      <c r="M1278" s="129"/>
      <c r="N1278" s="129"/>
      <c r="O1278" s="129"/>
      <c r="P1278" s="146"/>
      <c r="Q1278" s="170"/>
      <c r="R1278" s="171"/>
      <c r="S1278" s="172"/>
    </row>
    <row r="1279" spans="1:19" ht="42.75">
      <c r="A1279" s="164" t="s">
        <v>777</v>
      </c>
      <c r="B1279" s="165" t="s">
        <v>1255</v>
      </c>
      <c r="C1279" s="165" t="s">
        <v>4852</v>
      </c>
      <c r="D1279" s="164">
        <v>831</v>
      </c>
      <c r="E1279" s="164">
        <v>849</v>
      </c>
      <c r="F1279" s="164" t="s">
        <v>3955</v>
      </c>
      <c r="G1279" s="164"/>
      <c r="H1279" s="167"/>
      <c r="I1279" s="167"/>
      <c r="J1279" s="167"/>
      <c r="K1279" s="169"/>
      <c r="L1279" s="129"/>
      <c r="M1279" s="129"/>
      <c r="N1279" s="129"/>
      <c r="O1279" s="129"/>
      <c r="P1279" s="146"/>
      <c r="Q1279" s="170"/>
      <c r="R1279" s="171"/>
      <c r="S1279" s="172"/>
    </row>
    <row r="1280" spans="1:19" ht="42.75">
      <c r="A1280" s="164" t="s">
        <v>777</v>
      </c>
      <c r="B1280" s="165" t="s">
        <v>1255</v>
      </c>
      <c r="C1280" s="165" t="s">
        <v>1469</v>
      </c>
      <c r="D1280" s="164">
        <v>1912</v>
      </c>
      <c r="E1280" s="164">
        <v>1983</v>
      </c>
      <c r="F1280" s="164" t="s">
        <v>3955</v>
      </c>
      <c r="G1280" s="164"/>
      <c r="H1280" s="167"/>
      <c r="I1280" s="167"/>
      <c r="J1280" s="167"/>
      <c r="K1280" s="169"/>
      <c r="L1280" s="129"/>
      <c r="M1280" s="129"/>
      <c r="N1280" s="129"/>
      <c r="O1280" s="129"/>
      <c r="P1280" s="146"/>
      <c r="Q1280" s="170"/>
      <c r="R1280" s="171"/>
      <c r="S1280" s="172"/>
    </row>
    <row r="1281" spans="1:19" ht="42.75">
      <c r="A1281" s="164" t="s">
        <v>777</v>
      </c>
      <c r="B1281" s="165" t="s">
        <v>1255</v>
      </c>
      <c r="C1281" s="165" t="s">
        <v>4853</v>
      </c>
      <c r="D1281" s="164">
        <v>557</v>
      </c>
      <c r="E1281" s="164">
        <v>573</v>
      </c>
      <c r="F1281" s="164" t="s">
        <v>3955</v>
      </c>
      <c r="G1281" s="164"/>
      <c r="H1281" s="167"/>
      <c r="I1281" s="167"/>
      <c r="J1281" s="167"/>
      <c r="K1281" s="169"/>
      <c r="L1281" s="129"/>
      <c r="M1281" s="129"/>
      <c r="N1281" s="129"/>
      <c r="O1281" s="129"/>
      <c r="P1281" s="146"/>
      <c r="Q1281" s="170"/>
      <c r="R1281" s="171"/>
      <c r="S1281" s="172"/>
    </row>
    <row r="1282" spans="1:19" ht="42.75">
      <c r="A1282" s="164" t="s">
        <v>777</v>
      </c>
      <c r="B1282" s="165" t="s">
        <v>1255</v>
      </c>
      <c r="C1282" s="165" t="s">
        <v>4854</v>
      </c>
      <c r="D1282" s="164">
        <v>1583</v>
      </c>
      <c r="E1282" s="164">
        <v>1657</v>
      </c>
      <c r="F1282" s="164" t="s">
        <v>3955</v>
      </c>
      <c r="G1282" s="164"/>
      <c r="H1282" s="167"/>
      <c r="I1282" s="167"/>
      <c r="J1282" s="167"/>
      <c r="K1282" s="169"/>
      <c r="L1282" s="129"/>
      <c r="M1282" s="129"/>
      <c r="N1282" s="129"/>
      <c r="O1282" s="129"/>
      <c r="P1282" s="146"/>
      <c r="Q1282" s="170"/>
      <c r="R1282" s="171"/>
      <c r="S1282" s="172"/>
    </row>
    <row r="1283" spans="1:19" ht="42.75">
      <c r="A1283" s="164" t="s">
        <v>777</v>
      </c>
      <c r="B1283" s="165" t="s">
        <v>1255</v>
      </c>
      <c r="C1283" s="165" t="s">
        <v>4856</v>
      </c>
      <c r="D1283" s="164">
        <v>1316</v>
      </c>
      <c r="E1283" s="164">
        <v>1442</v>
      </c>
      <c r="F1283" s="164" t="s">
        <v>3955</v>
      </c>
      <c r="G1283" s="164"/>
      <c r="H1283" s="167"/>
      <c r="I1283" s="167"/>
      <c r="J1283" s="167"/>
      <c r="K1283" s="169"/>
      <c r="L1283" s="129"/>
      <c r="M1283" s="129"/>
      <c r="N1283" s="129"/>
      <c r="O1283" s="129"/>
      <c r="P1283" s="146"/>
      <c r="Q1283" s="170"/>
      <c r="R1283" s="171"/>
      <c r="S1283" s="172"/>
    </row>
    <row r="1284" spans="1:19" ht="42.75">
      <c r="A1284" s="164" t="s">
        <v>777</v>
      </c>
      <c r="B1284" s="165" t="s">
        <v>1255</v>
      </c>
      <c r="C1284" s="165" t="s">
        <v>4857</v>
      </c>
      <c r="D1284" s="164">
        <v>3469</v>
      </c>
      <c r="E1284" s="164">
        <v>4069</v>
      </c>
      <c r="F1284" s="164" t="s">
        <v>3404</v>
      </c>
      <c r="G1284" s="164">
        <v>2024</v>
      </c>
      <c r="H1284" s="175">
        <v>45561</v>
      </c>
      <c r="I1284" s="175">
        <v>45563</v>
      </c>
      <c r="J1284" s="168" t="s">
        <v>7188</v>
      </c>
      <c r="K1284" s="174">
        <v>45572</v>
      </c>
      <c r="L1284" s="129" t="s">
        <v>3128</v>
      </c>
      <c r="M1284" s="129" t="s">
        <v>4</v>
      </c>
      <c r="N1284" s="129" t="s">
        <v>50</v>
      </c>
      <c r="O1284" s="129" t="s">
        <v>3406</v>
      </c>
      <c r="P1284" s="146"/>
      <c r="Q1284" s="189">
        <v>45573</v>
      </c>
      <c r="R1284" s="115" t="s">
        <v>150</v>
      </c>
      <c r="S1284" s="163"/>
    </row>
    <row r="1285" spans="1:19" ht="42.75">
      <c r="A1285" s="164" t="s">
        <v>777</v>
      </c>
      <c r="B1285" s="165" t="s">
        <v>1255</v>
      </c>
      <c r="C1285" s="165" t="s">
        <v>4858</v>
      </c>
      <c r="D1285" s="164">
        <v>4028</v>
      </c>
      <c r="E1285" s="164">
        <v>4593</v>
      </c>
      <c r="F1285" s="164" t="s">
        <v>3955</v>
      </c>
      <c r="G1285" s="164"/>
      <c r="H1285" s="167"/>
      <c r="I1285" s="167"/>
      <c r="J1285" s="167"/>
      <c r="K1285" s="169"/>
      <c r="L1285" s="129"/>
      <c r="M1285" s="129"/>
      <c r="N1285" s="129"/>
      <c r="O1285" s="129"/>
      <c r="P1285" s="146"/>
      <c r="Q1285" s="170"/>
      <c r="R1285" s="171"/>
      <c r="S1285" s="172"/>
    </row>
    <row r="1286" spans="1:19" ht="42.75">
      <c r="A1286" s="164" t="s">
        <v>777</v>
      </c>
      <c r="B1286" s="165" t="s">
        <v>1255</v>
      </c>
      <c r="C1286" s="165" t="s">
        <v>4859</v>
      </c>
      <c r="D1286" s="164">
        <v>829</v>
      </c>
      <c r="E1286" s="164">
        <v>846</v>
      </c>
      <c r="F1286" s="164" t="s">
        <v>3955</v>
      </c>
      <c r="G1286" s="164"/>
      <c r="H1286" s="167"/>
      <c r="I1286" s="167"/>
      <c r="J1286" s="167"/>
      <c r="K1286" s="169"/>
      <c r="L1286" s="129"/>
      <c r="M1286" s="129"/>
      <c r="N1286" s="129"/>
      <c r="O1286" s="129"/>
      <c r="P1286" s="146"/>
      <c r="Q1286" s="170"/>
      <c r="R1286" s="171"/>
      <c r="S1286" s="172"/>
    </row>
    <row r="1287" spans="1:19" ht="42.75">
      <c r="A1287" s="164" t="s">
        <v>777</v>
      </c>
      <c r="B1287" s="165" t="s">
        <v>1255</v>
      </c>
      <c r="C1287" s="165" t="s">
        <v>2187</v>
      </c>
      <c r="D1287" s="164">
        <v>2268</v>
      </c>
      <c r="E1287" s="164">
        <v>2444</v>
      </c>
      <c r="F1287" s="164" t="s">
        <v>3955</v>
      </c>
      <c r="G1287" s="164"/>
      <c r="H1287" s="167"/>
      <c r="I1287" s="167"/>
      <c r="J1287" s="167"/>
      <c r="K1287" s="169"/>
      <c r="L1287" s="129"/>
      <c r="M1287" s="129"/>
      <c r="N1287" s="129"/>
      <c r="O1287" s="129"/>
      <c r="P1287" s="146"/>
      <c r="Q1287" s="170"/>
      <c r="R1287" s="171"/>
      <c r="S1287" s="172"/>
    </row>
    <row r="1288" spans="1:19" ht="42.75">
      <c r="A1288" s="164" t="s">
        <v>777</v>
      </c>
      <c r="B1288" s="165" t="s">
        <v>1255</v>
      </c>
      <c r="C1288" s="165" t="s">
        <v>4861</v>
      </c>
      <c r="D1288" s="164">
        <v>378</v>
      </c>
      <c r="E1288" s="164">
        <v>446</v>
      </c>
      <c r="F1288" s="164" t="s">
        <v>3955</v>
      </c>
      <c r="G1288" s="164"/>
      <c r="H1288" s="167"/>
      <c r="I1288" s="167"/>
      <c r="J1288" s="167"/>
      <c r="K1288" s="169"/>
      <c r="L1288" s="129"/>
      <c r="M1288" s="129"/>
      <c r="N1288" s="129"/>
      <c r="O1288" s="129"/>
      <c r="P1288" s="146"/>
      <c r="Q1288" s="170"/>
      <c r="R1288" s="171"/>
      <c r="S1288" s="172"/>
    </row>
    <row r="1289" spans="1:19" ht="42.75">
      <c r="A1289" s="164" t="s">
        <v>777</v>
      </c>
      <c r="B1289" s="165" t="s">
        <v>1255</v>
      </c>
      <c r="C1289" s="165" t="s">
        <v>4862</v>
      </c>
      <c r="D1289" s="164">
        <v>1092</v>
      </c>
      <c r="E1289" s="164">
        <v>1246</v>
      </c>
      <c r="F1289" s="164" t="s">
        <v>3955</v>
      </c>
      <c r="G1289" s="164"/>
      <c r="H1289" s="167"/>
      <c r="I1289" s="167"/>
      <c r="J1289" s="167"/>
      <c r="K1289" s="169"/>
      <c r="L1289" s="129"/>
      <c r="M1289" s="129"/>
      <c r="N1289" s="129"/>
      <c r="O1289" s="129"/>
      <c r="P1289" s="146"/>
      <c r="Q1289" s="170"/>
      <c r="R1289" s="171"/>
      <c r="S1289" s="172"/>
    </row>
    <row r="1290" spans="1:19" ht="42.75">
      <c r="A1290" s="164" t="s">
        <v>777</v>
      </c>
      <c r="B1290" s="165" t="s">
        <v>1255</v>
      </c>
      <c r="C1290" s="165" t="s">
        <v>4863</v>
      </c>
      <c r="D1290" s="164">
        <v>1493</v>
      </c>
      <c r="E1290" s="164">
        <v>1806</v>
      </c>
      <c r="F1290" s="164" t="s">
        <v>3955</v>
      </c>
      <c r="G1290" s="164"/>
      <c r="H1290" s="167"/>
      <c r="I1290" s="167"/>
      <c r="J1290" s="167"/>
      <c r="K1290" s="169"/>
      <c r="L1290" s="129"/>
      <c r="M1290" s="129"/>
      <c r="N1290" s="129"/>
      <c r="O1290" s="129"/>
      <c r="P1290" s="146"/>
      <c r="Q1290" s="170"/>
      <c r="R1290" s="171"/>
      <c r="S1290" s="172"/>
    </row>
    <row r="1291" spans="1:19" ht="42.75">
      <c r="A1291" s="164" t="s">
        <v>777</v>
      </c>
      <c r="B1291" s="165" t="s">
        <v>1255</v>
      </c>
      <c r="C1291" s="165" t="s">
        <v>4864</v>
      </c>
      <c r="D1291" s="164">
        <v>1470</v>
      </c>
      <c r="E1291" s="164">
        <v>1616</v>
      </c>
      <c r="F1291" s="164" t="s">
        <v>3404</v>
      </c>
      <c r="G1291" s="164">
        <v>2024</v>
      </c>
      <c r="H1291" s="175">
        <v>45561</v>
      </c>
      <c r="I1291" s="175">
        <v>45563</v>
      </c>
      <c r="J1291" s="168" t="s">
        <v>7189</v>
      </c>
      <c r="K1291" s="174">
        <v>45574</v>
      </c>
      <c r="L1291" s="129" t="s">
        <v>3128</v>
      </c>
      <c r="M1291" s="129" t="s">
        <v>4</v>
      </c>
      <c r="N1291" s="129" t="s">
        <v>50</v>
      </c>
      <c r="O1291" s="129" t="s">
        <v>3406</v>
      </c>
      <c r="P1291" s="146"/>
      <c r="Q1291" s="189">
        <v>45575</v>
      </c>
      <c r="R1291" s="115" t="s">
        <v>150</v>
      </c>
      <c r="S1291" s="163"/>
    </row>
    <row r="1292" spans="1:19" ht="42.75">
      <c r="A1292" s="164" t="s">
        <v>777</v>
      </c>
      <c r="B1292" s="165" t="s">
        <v>1255</v>
      </c>
      <c r="C1292" s="165" t="s">
        <v>4865</v>
      </c>
      <c r="D1292" s="164">
        <v>1408</v>
      </c>
      <c r="E1292" s="164">
        <v>1333</v>
      </c>
      <c r="F1292" s="164" t="s">
        <v>3955</v>
      </c>
      <c r="G1292" s="164"/>
      <c r="H1292" s="167"/>
      <c r="I1292" s="167"/>
      <c r="J1292" s="167"/>
      <c r="K1292" s="169"/>
      <c r="L1292" s="129"/>
      <c r="M1292" s="129"/>
      <c r="N1292" s="129"/>
      <c r="O1292" s="129"/>
      <c r="P1292" s="146"/>
      <c r="Q1292" s="170"/>
      <c r="R1292" s="171"/>
      <c r="S1292" s="172"/>
    </row>
    <row r="1293" spans="1:19" ht="42.75">
      <c r="A1293" s="164" t="s">
        <v>777</v>
      </c>
      <c r="B1293" s="165" t="s">
        <v>1255</v>
      </c>
      <c r="C1293" s="165" t="s">
        <v>1256</v>
      </c>
      <c r="D1293" s="164">
        <v>4072</v>
      </c>
      <c r="E1293" s="164">
        <v>4296</v>
      </c>
      <c r="F1293" s="164" t="s">
        <v>3955</v>
      </c>
      <c r="G1293" s="164"/>
      <c r="H1293" s="167"/>
      <c r="I1293" s="167"/>
      <c r="J1293" s="167"/>
      <c r="K1293" s="169"/>
      <c r="L1293" s="129"/>
      <c r="M1293" s="129"/>
      <c r="N1293" s="129"/>
      <c r="O1293" s="129"/>
      <c r="P1293" s="146"/>
      <c r="Q1293" s="170"/>
      <c r="R1293" s="171"/>
      <c r="S1293" s="172"/>
    </row>
    <row r="1294" spans="1:19" ht="42.75">
      <c r="A1294" s="164" t="s">
        <v>777</v>
      </c>
      <c r="B1294" s="165" t="s">
        <v>1255</v>
      </c>
      <c r="C1294" s="165" t="s">
        <v>4866</v>
      </c>
      <c r="D1294" s="164">
        <v>873</v>
      </c>
      <c r="E1294" s="164">
        <v>830</v>
      </c>
      <c r="F1294" s="164" t="s">
        <v>3955</v>
      </c>
      <c r="G1294" s="164"/>
      <c r="H1294" s="167"/>
      <c r="I1294" s="167"/>
      <c r="J1294" s="167"/>
      <c r="K1294" s="169"/>
      <c r="L1294" s="129"/>
      <c r="M1294" s="129"/>
      <c r="N1294" s="129"/>
      <c r="O1294" s="129"/>
      <c r="P1294" s="146"/>
      <c r="Q1294" s="170"/>
      <c r="R1294" s="171"/>
      <c r="S1294" s="172"/>
    </row>
    <row r="1295" spans="1:19" ht="42.75">
      <c r="A1295" s="164" t="s">
        <v>777</v>
      </c>
      <c r="B1295" s="165" t="s">
        <v>1255</v>
      </c>
      <c r="C1295" s="165" t="s">
        <v>4867</v>
      </c>
      <c r="D1295" s="164">
        <v>648</v>
      </c>
      <c r="E1295" s="164">
        <v>678</v>
      </c>
      <c r="F1295" s="164" t="s">
        <v>3955</v>
      </c>
      <c r="G1295" s="164"/>
      <c r="H1295" s="167"/>
      <c r="I1295" s="167"/>
      <c r="J1295" s="167"/>
      <c r="K1295" s="169"/>
      <c r="L1295" s="129"/>
      <c r="M1295" s="129"/>
      <c r="N1295" s="129"/>
      <c r="O1295" s="129"/>
      <c r="P1295" s="146"/>
      <c r="Q1295" s="170"/>
      <c r="R1295" s="171"/>
      <c r="S1295" s="172"/>
    </row>
    <row r="1296" spans="1:19" ht="42.75">
      <c r="A1296" s="164" t="s">
        <v>777</v>
      </c>
      <c r="B1296" s="165" t="s">
        <v>1255</v>
      </c>
      <c r="C1296" s="165" t="s">
        <v>4868</v>
      </c>
      <c r="D1296" s="164">
        <v>2309</v>
      </c>
      <c r="E1296" s="164">
        <v>2529</v>
      </c>
      <c r="F1296" s="164" t="s">
        <v>3955</v>
      </c>
      <c r="G1296" s="164"/>
      <c r="H1296" s="167"/>
      <c r="I1296" s="167"/>
      <c r="J1296" s="167"/>
      <c r="K1296" s="169"/>
      <c r="L1296" s="129"/>
      <c r="M1296" s="129"/>
      <c r="N1296" s="129"/>
      <c r="O1296" s="129"/>
      <c r="P1296" s="146"/>
      <c r="Q1296" s="170"/>
      <c r="R1296" s="171"/>
      <c r="S1296" s="172"/>
    </row>
    <row r="1297" spans="1:19" ht="42.75">
      <c r="A1297" s="164" t="s">
        <v>777</v>
      </c>
      <c r="B1297" s="165" t="s">
        <v>1255</v>
      </c>
      <c r="C1297" s="165" t="s">
        <v>4869</v>
      </c>
      <c r="D1297" s="164">
        <v>2940</v>
      </c>
      <c r="E1297" s="164">
        <v>3002</v>
      </c>
      <c r="F1297" s="164" t="s">
        <v>3955</v>
      </c>
      <c r="G1297" s="164"/>
      <c r="H1297" s="167"/>
      <c r="I1297" s="167"/>
      <c r="J1297" s="167"/>
      <c r="K1297" s="169"/>
      <c r="L1297" s="129"/>
      <c r="M1297" s="129"/>
      <c r="N1297" s="129"/>
      <c r="O1297" s="129"/>
      <c r="P1297" s="146"/>
      <c r="Q1297" s="170"/>
      <c r="R1297" s="171"/>
      <c r="S1297" s="172"/>
    </row>
    <row r="1298" spans="1:19" ht="42.75">
      <c r="A1298" s="164" t="s">
        <v>777</v>
      </c>
      <c r="B1298" s="165" t="s">
        <v>1255</v>
      </c>
      <c r="C1298" s="165" t="s">
        <v>4870</v>
      </c>
      <c r="D1298" s="164">
        <v>2564</v>
      </c>
      <c r="E1298" s="164">
        <v>2934</v>
      </c>
      <c r="F1298" s="164" t="s">
        <v>3955</v>
      </c>
      <c r="G1298" s="164"/>
      <c r="H1298" s="167"/>
      <c r="I1298" s="167"/>
      <c r="J1298" s="167"/>
      <c r="K1298" s="169"/>
      <c r="L1298" s="129"/>
      <c r="M1298" s="129"/>
      <c r="N1298" s="129"/>
      <c r="O1298" s="129"/>
      <c r="P1298" s="146"/>
      <c r="Q1298" s="170"/>
      <c r="R1298" s="171"/>
      <c r="S1298" s="172"/>
    </row>
    <row r="1299" spans="1:19" ht="42.75">
      <c r="A1299" s="164" t="s">
        <v>777</v>
      </c>
      <c r="B1299" s="165" t="s">
        <v>1255</v>
      </c>
      <c r="C1299" s="165" t="s">
        <v>4871</v>
      </c>
      <c r="D1299" s="164">
        <v>5878</v>
      </c>
      <c r="E1299" s="164">
        <v>6198</v>
      </c>
      <c r="F1299" s="164" t="s">
        <v>3955</v>
      </c>
      <c r="G1299" s="164"/>
      <c r="H1299" s="167"/>
      <c r="I1299" s="167"/>
      <c r="J1299" s="167"/>
      <c r="K1299" s="169"/>
      <c r="L1299" s="129"/>
      <c r="M1299" s="129"/>
      <c r="N1299" s="129"/>
      <c r="O1299" s="129"/>
      <c r="P1299" s="146"/>
      <c r="Q1299" s="170"/>
      <c r="R1299" s="171"/>
      <c r="S1299" s="172"/>
    </row>
    <row r="1300" spans="1:19" ht="42.75">
      <c r="A1300" s="164" t="s">
        <v>777</v>
      </c>
      <c r="B1300" s="165" t="s">
        <v>1255</v>
      </c>
      <c r="C1300" s="165" t="s">
        <v>4873</v>
      </c>
      <c r="D1300" s="164">
        <v>2973</v>
      </c>
      <c r="E1300" s="164">
        <v>3227</v>
      </c>
      <c r="F1300" s="164" t="s">
        <v>3955</v>
      </c>
      <c r="G1300" s="164"/>
      <c r="H1300" s="167"/>
      <c r="I1300" s="167"/>
      <c r="J1300" s="167"/>
      <c r="K1300" s="169"/>
      <c r="L1300" s="129"/>
      <c r="M1300" s="129"/>
      <c r="N1300" s="129"/>
      <c r="O1300" s="129"/>
      <c r="P1300" s="146"/>
      <c r="Q1300" s="170"/>
      <c r="R1300" s="171"/>
      <c r="S1300" s="172"/>
    </row>
    <row r="1301" spans="1:19" ht="42.75">
      <c r="A1301" s="164" t="s">
        <v>777</v>
      </c>
      <c r="B1301" s="165" t="s">
        <v>1255</v>
      </c>
      <c r="C1301" s="165" t="s">
        <v>4874</v>
      </c>
      <c r="D1301" s="164">
        <v>607</v>
      </c>
      <c r="E1301" s="164">
        <v>637</v>
      </c>
      <c r="F1301" s="164" t="s">
        <v>3955</v>
      </c>
      <c r="G1301" s="164"/>
      <c r="H1301" s="167"/>
      <c r="I1301" s="167"/>
      <c r="J1301" s="167"/>
      <c r="K1301" s="169"/>
      <c r="L1301" s="129"/>
      <c r="M1301" s="129"/>
      <c r="N1301" s="129"/>
      <c r="O1301" s="129"/>
      <c r="P1301" s="146"/>
      <c r="Q1301" s="170"/>
      <c r="R1301" s="171"/>
      <c r="S1301" s="172"/>
    </row>
    <row r="1302" spans="1:19" ht="42.75">
      <c r="A1302" s="164" t="s">
        <v>777</v>
      </c>
      <c r="B1302" s="165" t="s">
        <v>1255</v>
      </c>
      <c r="C1302" s="165" t="s">
        <v>4875</v>
      </c>
      <c r="D1302" s="164">
        <v>3172</v>
      </c>
      <c r="E1302" s="164">
        <v>3418</v>
      </c>
      <c r="F1302" s="164" t="s">
        <v>3955</v>
      </c>
      <c r="G1302" s="164"/>
      <c r="H1302" s="167"/>
      <c r="I1302" s="167"/>
      <c r="J1302" s="167"/>
      <c r="K1302" s="169"/>
      <c r="L1302" s="129"/>
      <c r="M1302" s="129"/>
      <c r="N1302" s="129"/>
      <c r="O1302" s="129"/>
      <c r="P1302" s="146"/>
      <c r="Q1302" s="170"/>
      <c r="R1302" s="171"/>
      <c r="S1302" s="172"/>
    </row>
    <row r="1303" spans="1:19" ht="42.75">
      <c r="A1303" s="164" t="s">
        <v>777</v>
      </c>
      <c r="B1303" s="165" t="s">
        <v>1255</v>
      </c>
      <c r="C1303" s="165" t="s">
        <v>4876</v>
      </c>
      <c r="D1303" s="164">
        <v>954</v>
      </c>
      <c r="E1303" s="164">
        <v>1045</v>
      </c>
      <c r="F1303" s="164" t="s">
        <v>3955</v>
      </c>
      <c r="G1303" s="164"/>
      <c r="H1303" s="167"/>
      <c r="I1303" s="167"/>
      <c r="J1303" s="167"/>
      <c r="K1303" s="169"/>
      <c r="L1303" s="129"/>
      <c r="M1303" s="129"/>
      <c r="N1303" s="129"/>
      <c r="O1303" s="129"/>
      <c r="P1303" s="146"/>
      <c r="Q1303" s="170"/>
      <c r="R1303" s="171"/>
      <c r="S1303" s="172"/>
    </row>
    <row r="1304" spans="1:19" ht="42.75">
      <c r="A1304" s="164" t="s">
        <v>777</v>
      </c>
      <c r="B1304" s="165" t="s">
        <v>1255</v>
      </c>
      <c r="C1304" s="165" t="s">
        <v>4834</v>
      </c>
      <c r="D1304" s="164">
        <v>1842</v>
      </c>
      <c r="E1304" s="164">
        <v>1929</v>
      </c>
      <c r="F1304" s="164" t="s">
        <v>3955</v>
      </c>
      <c r="G1304" s="164"/>
      <c r="H1304" s="167"/>
      <c r="I1304" s="167"/>
      <c r="J1304" s="167"/>
      <c r="K1304" s="169"/>
      <c r="L1304" s="129"/>
      <c r="M1304" s="129"/>
      <c r="N1304" s="129"/>
      <c r="O1304" s="129"/>
      <c r="P1304" s="146"/>
      <c r="Q1304" s="170"/>
      <c r="R1304" s="171"/>
      <c r="S1304" s="172"/>
    </row>
    <row r="1305" spans="1:19" ht="42.75">
      <c r="A1305" s="164" t="s">
        <v>777</v>
      </c>
      <c r="B1305" s="165" t="s">
        <v>1255</v>
      </c>
      <c r="C1305" s="165" t="s">
        <v>4877</v>
      </c>
      <c r="D1305" s="164">
        <v>2575</v>
      </c>
      <c r="E1305" s="164">
        <v>2623</v>
      </c>
      <c r="F1305" s="164" t="s">
        <v>3955</v>
      </c>
      <c r="G1305" s="164"/>
      <c r="H1305" s="167"/>
      <c r="I1305" s="167"/>
      <c r="J1305" s="167"/>
      <c r="K1305" s="169"/>
      <c r="L1305" s="129"/>
      <c r="M1305" s="129"/>
      <c r="N1305" s="129"/>
      <c r="O1305" s="129"/>
      <c r="P1305" s="146"/>
      <c r="Q1305" s="170"/>
      <c r="R1305" s="171"/>
      <c r="S1305" s="172"/>
    </row>
    <row r="1306" spans="1:19" ht="42.75">
      <c r="A1306" s="164" t="s">
        <v>777</v>
      </c>
      <c r="B1306" s="165" t="s">
        <v>1255</v>
      </c>
      <c r="C1306" s="165" t="s">
        <v>4878</v>
      </c>
      <c r="D1306" s="164">
        <v>1505</v>
      </c>
      <c r="E1306" s="164">
        <v>1647</v>
      </c>
      <c r="F1306" s="164" t="s">
        <v>3955</v>
      </c>
      <c r="G1306" s="164"/>
      <c r="H1306" s="167"/>
      <c r="I1306" s="167"/>
      <c r="J1306" s="167"/>
      <c r="K1306" s="169"/>
      <c r="L1306" s="129"/>
      <c r="M1306" s="129"/>
      <c r="N1306" s="129"/>
      <c r="O1306" s="129"/>
      <c r="P1306" s="146"/>
      <c r="Q1306" s="170"/>
      <c r="R1306" s="171"/>
      <c r="S1306" s="172"/>
    </row>
    <row r="1307" spans="1:19" ht="42.75">
      <c r="A1307" s="164" t="s">
        <v>777</v>
      </c>
      <c r="B1307" s="165" t="s">
        <v>1255</v>
      </c>
      <c r="C1307" s="165" t="s">
        <v>4879</v>
      </c>
      <c r="D1307" s="164">
        <v>696</v>
      </c>
      <c r="E1307" s="164">
        <v>795</v>
      </c>
      <c r="F1307" s="164" t="s">
        <v>3955</v>
      </c>
      <c r="G1307" s="164"/>
      <c r="H1307" s="167"/>
      <c r="I1307" s="167"/>
      <c r="J1307" s="167"/>
      <c r="K1307" s="169"/>
      <c r="L1307" s="129"/>
      <c r="M1307" s="129"/>
      <c r="N1307" s="129"/>
      <c r="O1307" s="129"/>
      <c r="P1307" s="146"/>
      <c r="Q1307" s="170"/>
      <c r="R1307" s="171"/>
      <c r="S1307" s="172"/>
    </row>
    <row r="1308" spans="1:19" ht="42.75">
      <c r="A1308" s="164" t="s">
        <v>777</v>
      </c>
      <c r="B1308" s="165" t="s">
        <v>1255</v>
      </c>
      <c r="C1308" s="165" t="s">
        <v>4880</v>
      </c>
      <c r="D1308" s="164">
        <v>2152</v>
      </c>
      <c r="E1308" s="164">
        <v>2252</v>
      </c>
      <c r="F1308" s="164" t="s">
        <v>3955</v>
      </c>
      <c r="G1308" s="164"/>
      <c r="H1308" s="167"/>
      <c r="I1308" s="167"/>
      <c r="J1308" s="167"/>
      <c r="K1308" s="169"/>
      <c r="L1308" s="129"/>
      <c r="M1308" s="129"/>
      <c r="N1308" s="129"/>
      <c r="O1308" s="129"/>
      <c r="P1308" s="146"/>
      <c r="Q1308" s="170"/>
      <c r="R1308" s="171"/>
      <c r="S1308" s="172"/>
    </row>
    <row r="1309" spans="1:19" ht="42.75">
      <c r="A1309" s="164" t="s">
        <v>777</v>
      </c>
      <c r="B1309" s="165" t="s">
        <v>1255</v>
      </c>
      <c r="C1309" s="165" t="s">
        <v>4881</v>
      </c>
      <c r="D1309" s="164">
        <v>1660</v>
      </c>
      <c r="E1309" s="164">
        <v>1777</v>
      </c>
      <c r="F1309" s="164" t="s">
        <v>3955</v>
      </c>
      <c r="G1309" s="164"/>
      <c r="H1309" s="167"/>
      <c r="I1309" s="167"/>
      <c r="J1309" s="167"/>
      <c r="K1309" s="169"/>
      <c r="L1309" s="129"/>
      <c r="M1309" s="129"/>
      <c r="N1309" s="129"/>
      <c r="O1309" s="129"/>
      <c r="P1309" s="146"/>
      <c r="Q1309" s="170"/>
      <c r="R1309" s="171"/>
      <c r="S1309" s="172"/>
    </row>
    <row r="1310" spans="1:19" ht="42.75">
      <c r="A1310" s="164" t="s">
        <v>777</v>
      </c>
      <c r="B1310" s="165" t="s">
        <v>1255</v>
      </c>
      <c r="C1310" s="165" t="s">
        <v>4126</v>
      </c>
      <c r="D1310" s="164">
        <v>931</v>
      </c>
      <c r="E1310" s="164">
        <v>1010</v>
      </c>
      <c r="F1310" s="164" t="s">
        <v>3955</v>
      </c>
      <c r="G1310" s="164"/>
      <c r="H1310" s="167"/>
      <c r="I1310" s="167"/>
      <c r="J1310" s="167"/>
      <c r="K1310" s="169"/>
      <c r="L1310" s="129"/>
      <c r="M1310" s="129"/>
      <c r="N1310" s="129"/>
      <c r="O1310" s="129"/>
      <c r="P1310" s="146"/>
      <c r="Q1310" s="170"/>
      <c r="R1310" s="171"/>
      <c r="S1310" s="172"/>
    </row>
    <row r="1311" spans="1:19" ht="42.75">
      <c r="A1311" s="164" t="s">
        <v>777</v>
      </c>
      <c r="B1311" s="165" t="s">
        <v>1255</v>
      </c>
      <c r="C1311" s="165" t="s">
        <v>4882</v>
      </c>
      <c r="D1311" s="164">
        <v>1365</v>
      </c>
      <c r="E1311" s="164">
        <v>1635</v>
      </c>
      <c r="F1311" s="164" t="s">
        <v>3404</v>
      </c>
      <c r="G1311" s="164">
        <v>2024</v>
      </c>
      <c r="H1311" s="175">
        <v>45561</v>
      </c>
      <c r="I1311" s="175">
        <v>45563</v>
      </c>
      <c r="J1311" s="168" t="s">
        <v>7190</v>
      </c>
      <c r="K1311" s="174">
        <v>45574</v>
      </c>
      <c r="L1311" s="129" t="s">
        <v>3128</v>
      </c>
      <c r="M1311" s="129" t="s">
        <v>4</v>
      </c>
      <c r="N1311" s="129" t="s">
        <v>50</v>
      </c>
      <c r="O1311" s="129" t="s">
        <v>3406</v>
      </c>
      <c r="P1311" s="146"/>
      <c r="Q1311" s="189">
        <v>45574</v>
      </c>
      <c r="R1311" s="115" t="s">
        <v>150</v>
      </c>
      <c r="S1311" s="163"/>
    </row>
    <row r="1312" spans="1:19" ht="42.75">
      <c r="A1312" s="164" t="s">
        <v>777</v>
      </c>
      <c r="B1312" s="165" t="s">
        <v>1255</v>
      </c>
      <c r="C1312" s="165" t="s">
        <v>4883</v>
      </c>
      <c r="D1312" s="164">
        <v>1354</v>
      </c>
      <c r="E1312" s="164">
        <v>1437</v>
      </c>
      <c r="F1312" s="164" t="s">
        <v>3955</v>
      </c>
      <c r="G1312" s="164"/>
      <c r="H1312" s="167"/>
      <c r="I1312" s="167"/>
      <c r="J1312" s="167"/>
      <c r="K1312" s="169"/>
      <c r="L1312" s="129"/>
      <c r="M1312" s="129"/>
      <c r="N1312" s="129"/>
      <c r="O1312" s="129"/>
      <c r="P1312" s="146"/>
      <c r="Q1312" s="170"/>
      <c r="R1312" s="171"/>
      <c r="S1312" s="172"/>
    </row>
    <row r="1313" spans="1:19" ht="42.75">
      <c r="A1313" s="164" t="s">
        <v>777</v>
      </c>
      <c r="B1313" s="165" t="s">
        <v>1255</v>
      </c>
      <c r="C1313" s="165" t="s">
        <v>1556</v>
      </c>
      <c r="D1313" s="164">
        <v>529</v>
      </c>
      <c r="E1313" s="164">
        <v>586</v>
      </c>
      <c r="F1313" s="164" t="s">
        <v>3955</v>
      </c>
      <c r="G1313" s="164"/>
      <c r="H1313" s="167"/>
      <c r="I1313" s="167"/>
      <c r="J1313" s="167"/>
      <c r="K1313" s="169"/>
      <c r="L1313" s="129"/>
      <c r="M1313" s="129"/>
      <c r="N1313" s="129"/>
      <c r="O1313" s="129"/>
      <c r="P1313" s="146"/>
      <c r="Q1313" s="170"/>
      <c r="R1313" s="171"/>
      <c r="S1313" s="172"/>
    </row>
    <row r="1314" spans="1:19" ht="42.75">
      <c r="A1314" s="164" t="s">
        <v>777</v>
      </c>
      <c r="B1314" s="165" t="s">
        <v>1255</v>
      </c>
      <c r="C1314" s="165" t="s">
        <v>1151</v>
      </c>
      <c r="D1314" s="164">
        <v>2303</v>
      </c>
      <c r="E1314" s="164">
        <v>2632</v>
      </c>
      <c r="F1314" s="164" t="s">
        <v>3955</v>
      </c>
      <c r="G1314" s="164"/>
      <c r="H1314" s="167"/>
      <c r="I1314" s="167"/>
      <c r="J1314" s="167"/>
      <c r="K1314" s="169"/>
      <c r="L1314" s="129"/>
      <c r="M1314" s="129"/>
      <c r="N1314" s="129"/>
      <c r="O1314" s="129"/>
      <c r="P1314" s="146"/>
      <c r="Q1314" s="170"/>
      <c r="R1314" s="171"/>
      <c r="S1314" s="172"/>
    </row>
    <row r="1315" spans="1:19" ht="42.75">
      <c r="A1315" s="164" t="s">
        <v>777</v>
      </c>
      <c r="B1315" s="165" t="s">
        <v>1255</v>
      </c>
      <c r="C1315" s="165" t="s">
        <v>1155</v>
      </c>
      <c r="D1315" s="164">
        <v>1597</v>
      </c>
      <c r="E1315" s="164">
        <v>1623</v>
      </c>
      <c r="F1315" s="164" t="s">
        <v>3955</v>
      </c>
      <c r="G1315" s="164"/>
      <c r="H1315" s="167"/>
      <c r="I1315" s="167"/>
      <c r="J1315" s="167"/>
      <c r="K1315" s="169"/>
      <c r="L1315" s="129"/>
      <c r="M1315" s="129"/>
      <c r="N1315" s="129"/>
      <c r="O1315" s="129"/>
      <c r="P1315" s="146"/>
      <c r="Q1315" s="170"/>
      <c r="R1315" s="171"/>
      <c r="S1315" s="172"/>
    </row>
    <row r="1316" spans="1:19" ht="42.75">
      <c r="A1316" s="164" t="s">
        <v>777</v>
      </c>
      <c r="B1316" s="165" t="s">
        <v>1255</v>
      </c>
      <c r="C1316" s="165" t="s">
        <v>3974</v>
      </c>
      <c r="D1316" s="164">
        <v>5704</v>
      </c>
      <c r="E1316" s="164">
        <v>6307</v>
      </c>
      <c r="F1316" s="164" t="s">
        <v>3404</v>
      </c>
      <c r="G1316" s="164">
        <v>2024</v>
      </c>
      <c r="H1316" s="175">
        <v>45561</v>
      </c>
      <c r="I1316" s="175">
        <v>45563</v>
      </c>
      <c r="J1316" s="168" t="s">
        <v>7191</v>
      </c>
      <c r="K1316" s="174">
        <v>45574</v>
      </c>
      <c r="L1316" s="129" t="s">
        <v>3128</v>
      </c>
      <c r="M1316" s="129" t="s">
        <v>4</v>
      </c>
      <c r="N1316" s="129" t="s">
        <v>50</v>
      </c>
      <c r="O1316" s="129" t="s">
        <v>3406</v>
      </c>
      <c r="P1316" s="146"/>
      <c r="Q1316" s="189">
        <v>45574</v>
      </c>
      <c r="R1316" s="115" t="s">
        <v>150</v>
      </c>
      <c r="S1316" s="163"/>
    </row>
    <row r="1317" spans="1:19" ht="42.75">
      <c r="A1317" s="164" t="s">
        <v>777</v>
      </c>
      <c r="B1317" s="165" t="s">
        <v>1255</v>
      </c>
      <c r="C1317" s="165" t="s">
        <v>4026</v>
      </c>
      <c r="D1317" s="164">
        <v>1106</v>
      </c>
      <c r="E1317" s="164">
        <v>1164</v>
      </c>
      <c r="F1317" s="164" t="s">
        <v>3955</v>
      </c>
      <c r="G1317" s="164"/>
      <c r="H1317" s="167"/>
      <c r="I1317" s="167"/>
      <c r="J1317" s="167"/>
      <c r="K1317" s="169"/>
      <c r="L1317" s="129"/>
      <c r="M1317" s="129"/>
      <c r="N1317" s="129"/>
      <c r="O1317" s="129"/>
      <c r="P1317" s="146"/>
      <c r="Q1317" s="170"/>
      <c r="R1317" s="171"/>
      <c r="S1317" s="172"/>
    </row>
    <row r="1318" spans="1:19" ht="42.75">
      <c r="A1318" s="164" t="s">
        <v>777</v>
      </c>
      <c r="B1318" s="165" t="s">
        <v>1255</v>
      </c>
      <c r="C1318" s="165" t="s">
        <v>1899</v>
      </c>
      <c r="D1318" s="164">
        <v>1412</v>
      </c>
      <c r="E1318" s="164">
        <v>1495</v>
      </c>
      <c r="F1318" s="164" t="s">
        <v>3955</v>
      </c>
      <c r="G1318" s="164"/>
      <c r="H1318" s="167"/>
      <c r="I1318" s="167"/>
      <c r="J1318" s="167"/>
      <c r="K1318" s="169"/>
      <c r="L1318" s="129"/>
      <c r="M1318" s="129"/>
      <c r="N1318" s="129"/>
      <c r="O1318" s="129"/>
      <c r="P1318" s="146"/>
      <c r="Q1318" s="170"/>
      <c r="R1318" s="171"/>
      <c r="S1318" s="172"/>
    </row>
    <row r="1319" spans="1:19" ht="42.75">
      <c r="A1319" s="164" t="s">
        <v>777</v>
      </c>
      <c r="B1319" s="165" t="s">
        <v>1255</v>
      </c>
      <c r="C1319" s="165" t="s">
        <v>3565</v>
      </c>
      <c r="D1319" s="164">
        <v>2206</v>
      </c>
      <c r="E1319" s="164">
        <v>2207</v>
      </c>
      <c r="F1319" s="164" t="s">
        <v>3955</v>
      </c>
      <c r="G1319" s="164"/>
      <c r="H1319" s="167"/>
      <c r="I1319" s="167"/>
      <c r="J1319" s="167"/>
      <c r="K1319" s="169"/>
      <c r="L1319" s="129"/>
      <c r="M1319" s="129"/>
      <c r="N1319" s="129"/>
      <c r="O1319" s="129"/>
      <c r="P1319" s="146"/>
      <c r="Q1319" s="170"/>
      <c r="R1319" s="171"/>
      <c r="S1319" s="172"/>
    </row>
    <row r="1320" spans="1:19" ht="42.75">
      <c r="A1320" s="164" t="s">
        <v>777</v>
      </c>
      <c r="B1320" s="165" t="s">
        <v>1255</v>
      </c>
      <c r="C1320" s="165" t="s">
        <v>4887</v>
      </c>
      <c r="D1320" s="164">
        <v>4476</v>
      </c>
      <c r="E1320" s="164">
        <v>3873</v>
      </c>
      <c r="F1320" s="164" t="s">
        <v>3955</v>
      </c>
      <c r="G1320" s="164"/>
      <c r="H1320" s="167"/>
      <c r="I1320" s="167"/>
      <c r="J1320" s="167"/>
      <c r="K1320" s="169"/>
      <c r="L1320" s="129"/>
      <c r="M1320" s="129"/>
      <c r="N1320" s="129"/>
      <c r="O1320" s="129"/>
      <c r="P1320" s="146"/>
      <c r="Q1320" s="170"/>
      <c r="R1320" s="171"/>
      <c r="S1320" s="172"/>
    </row>
    <row r="1321" spans="1:19" ht="42.75">
      <c r="A1321" s="164" t="s">
        <v>777</v>
      </c>
      <c r="B1321" s="165" t="s">
        <v>1255</v>
      </c>
      <c r="C1321" s="165" t="s">
        <v>4889</v>
      </c>
      <c r="D1321" s="164">
        <v>3231</v>
      </c>
      <c r="E1321" s="164">
        <v>3799</v>
      </c>
      <c r="F1321" s="164" t="s">
        <v>3955</v>
      </c>
      <c r="G1321" s="164"/>
      <c r="H1321" s="167"/>
      <c r="I1321" s="167"/>
      <c r="J1321" s="167"/>
      <c r="K1321" s="169"/>
      <c r="L1321" s="129"/>
      <c r="M1321" s="129"/>
      <c r="N1321" s="129"/>
      <c r="O1321" s="129"/>
      <c r="P1321" s="146"/>
      <c r="Q1321" s="170"/>
      <c r="R1321" s="171"/>
      <c r="S1321" s="172"/>
    </row>
    <row r="1322" spans="1:19" ht="42.75">
      <c r="A1322" s="164" t="s">
        <v>777</v>
      </c>
      <c r="B1322" s="165" t="s">
        <v>1255</v>
      </c>
      <c r="C1322" s="165" t="s">
        <v>4890</v>
      </c>
      <c r="D1322" s="164">
        <v>2280</v>
      </c>
      <c r="E1322" s="164">
        <v>2591</v>
      </c>
      <c r="F1322" s="164" t="s">
        <v>3404</v>
      </c>
      <c r="G1322" s="164">
        <v>2024</v>
      </c>
      <c r="H1322" s="175">
        <v>45561</v>
      </c>
      <c r="I1322" s="175">
        <v>45563</v>
      </c>
      <c r="J1322" s="168" t="s">
        <v>7192</v>
      </c>
      <c r="K1322" s="174">
        <v>45574</v>
      </c>
      <c r="L1322" s="245" t="s">
        <v>3128</v>
      </c>
      <c r="M1322" s="129" t="s">
        <v>4</v>
      </c>
      <c r="N1322" s="129" t="s">
        <v>50</v>
      </c>
      <c r="O1322" s="129" t="s">
        <v>3406</v>
      </c>
      <c r="P1322" s="146"/>
      <c r="Q1322" s="189">
        <v>45575</v>
      </c>
      <c r="R1322" s="115" t="s">
        <v>150</v>
      </c>
      <c r="S1322" s="163"/>
    </row>
    <row r="1323" spans="1:19" ht="42.75">
      <c r="A1323" s="164" t="s">
        <v>777</v>
      </c>
      <c r="B1323" s="165" t="s">
        <v>1255</v>
      </c>
      <c r="C1323" s="165" t="s">
        <v>4891</v>
      </c>
      <c r="D1323" s="164">
        <v>1249</v>
      </c>
      <c r="E1323" s="164">
        <v>1332</v>
      </c>
      <c r="F1323" s="164" t="s">
        <v>3955</v>
      </c>
      <c r="G1323" s="164"/>
      <c r="H1323" s="167"/>
      <c r="I1323" s="167"/>
      <c r="J1323" s="167"/>
      <c r="K1323" s="169"/>
      <c r="L1323" s="129"/>
      <c r="M1323" s="129"/>
      <c r="N1323" s="129"/>
      <c r="O1323" s="129"/>
      <c r="P1323" s="146"/>
      <c r="Q1323" s="170"/>
      <c r="R1323" s="171"/>
      <c r="S1323" s="172"/>
    </row>
    <row r="1324" spans="1:19" ht="42.75">
      <c r="A1324" s="164" t="s">
        <v>777</v>
      </c>
      <c r="B1324" s="165" t="s">
        <v>1255</v>
      </c>
      <c r="C1324" s="165" t="s">
        <v>4892</v>
      </c>
      <c r="D1324" s="164">
        <v>1646</v>
      </c>
      <c r="E1324" s="164">
        <v>1939</v>
      </c>
      <c r="F1324" s="164" t="s">
        <v>3955</v>
      </c>
      <c r="G1324" s="164"/>
      <c r="H1324" s="167"/>
      <c r="I1324" s="167"/>
      <c r="J1324" s="167"/>
      <c r="K1324" s="169"/>
      <c r="L1324" s="129"/>
      <c r="M1324" s="129"/>
      <c r="N1324" s="129"/>
      <c r="O1324" s="129"/>
      <c r="P1324" s="146"/>
      <c r="Q1324" s="170"/>
      <c r="R1324" s="171"/>
      <c r="S1324" s="172"/>
    </row>
    <row r="1325" spans="1:19" ht="42.75">
      <c r="A1325" s="164" t="s">
        <v>777</v>
      </c>
      <c r="B1325" s="165" t="s">
        <v>1255</v>
      </c>
      <c r="C1325" s="165" t="s">
        <v>4893</v>
      </c>
      <c r="D1325" s="164">
        <v>1047</v>
      </c>
      <c r="E1325" s="164">
        <v>1062</v>
      </c>
      <c r="F1325" s="164" t="s">
        <v>3955</v>
      </c>
      <c r="G1325" s="164"/>
      <c r="H1325" s="167"/>
      <c r="I1325" s="167"/>
      <c r="J1325" s="167"/>
      <c r="K1325" s="169"/>
      <c r="L1325" s="129"/>
      <c r="M1325" s="129"/>
      <c r="N1325" s="129"/>
      <c r="O1325" s="129"/>
      <c r="P1325" s="146"/>
      <c r="Q1325" s="170"/>
      <c r="R1325" s="171"/>
      <c r="S1325" s="172"/>
    </row>
    <row r="1326" spans="1:19" ht="42.75">
      <c r="A1326" s="164" t="s">
        <v>777</v>
      </c>
      <c r="B1326" s="165" t="s">
        <v>1255</v>
      </c>
      <c r="C1326" s="165" t="s">
        <v>4894</v>
      </c>
      <c r="D1326" s="164">
        <v>1218</v>
      </c>
      <c r="E1326" s="164">
        <v>1378</v>
      </c>
      <c r="F1326" s="164" t="s">
        <v>3955</v>
      </c>
      <c r="G1326" s="164"/>
      <c r="H1326" s="167"/>
      <c r="I1326" s="167"/>
      <c r="J1326" s="167"/>
      <c r="K1326" s="169"/>
      <c r="L1326" s="129"/>
      <c r="M1326" s="129"/>
      <c r="N1326" s="129"/>
      <c r="O1326" s="129"/>
      <c r="P1326" s="146"/>
      <c r="Q1326" s="170"/>
      <c r="R1326" s="171"/>
      <c r="S1326" s="172"/>
    </row>
    <row r="1327" spans="1:19" ht="42.75">
      <c r="A1327" s="164" t="s">
        <v>777</v>
      </c>
      <c r="B1327" s="165" t="s">
        <v>1255</v>
      </c>
      <c r="C1327" s="165" t="s">
        <v>4895</v>
      </c>
      <c r="D1327" s="164">
        <v>2680</v>
      </c>
      <c r="E1327" s="164">
        <v>2713</v>
      </c>
      <c r="F1327" s="164" t="s">
        <v>3955</v>
      </c>
      <c r="G1327" s="164"/>
      <c r="H1327" s="167"/>
      <c r="I1327" s="167"/>
      <c r="J1327" s="167"/>
      <c r="K1327" s="169"/>
      <c r="L1327" s="129"/>
      <c r="M1327" s="129"/>
      <c r="N1327" s="129"/>
      <c r="O1327" s="129"/>
      <c r="P1327" s="146"/>
      <c r="Q1327" s="170"/>
      <c r="R1327" s="171"/>
      <c r="S1327" s="172"/>
    </row>
    <row r="1328" spans="1:19" ht="42.75">
      <c r="A1328" s="164" t="s">
        <v>777</v>
      </c>
      <c r="B1328" s="165" t="s">
        <v>1255</v>
      </c>
      <c r="C1328" s="165" t="s">
        <v>4897</v>
      </c>
      <c r="D1328" s="164">
        <v>896</v>
      </c>
      <c r="E1328" s="164">
        <v>987</v>
      </c>
      <c r="F1328" s="164" t="s">
        <v>3955</v>
      </c>
      <c r="G1328" s="164"/>
      <c r="H1328" s="167"/>
      <c r="I1328" s="167"/>
      <c r="J1328" s="167"/>
      <c r="K1328" s="169"/>
      <c r="L1328" s="129"/>
      <c r="M1328" s="129"/>
      <c r="N1328" s="129"/>
      <c r="O1328" s="129"/>
      <c r="P1328" s="146"/>
      <c r="Q1328" s="170"/>
      <c r="R1328" s="171"/>
      <c r="S1328" s="172"/>
    </row>
    <row r="1329" spans="1:19" ht="42.75">
      <c r="A1329" s="164" t="s">
        <v>777</v>
      </c>
      <c r="B1329" s="165" t="s">
        <v>1255</v>
      </c>
      <c r="C1329" s="165" t="s">
        <v>4847</v>
      </c>
      <c r="D1329" s="164">
        <v>3364</v>
      </c>
      <c r="E1329" s="164">
        <v>3612</v>
      </c>
      <c r="F1329" s="164" t="s">
        <v>3955</v>
      </c>
      <c r="G1329" s="164"/>
      <c r="H1329" s="167"/>
      <c r="I1329" s="167"/>
      <c r="J1329" s="167"/>
      <c r="K1329" s="169"/>
      <c r="L1329" s="129"/>
      <c r="M1329" s="129"/>
      <c r="N1329" s="129"/>
      <c r="O1329" s="129"/>
      <c r="P1329" s="146"/>
      <c r="Q1329" s="170"/>
      <c r="R1329" s="171"/>
      <c r="S1329" s="172"/>
    </row>
    <row r="1330" spans="1:19" ht="42.75">
      <c r="A1330" s="164" t="s">
        <v>777</v>
      </c>
      <c r="B1330" s="165" t="s">
        <v>1262</v>
      </c>
      <c r="C1330" s="165" t="s">
        <v>4795</v>
      </c>
      <c r="D1330" s="164">
        <v>1289</v>
      </c>
      <c r="E1330" s="164">
        <v>1500</v>
      </c>
      <c r="F1330" s="164" t="s">
        <v>3955</v>
      </c>
      <c r="G1330" s="164"/>
      <c r="H1330" s="167"/>
      <c r="I1330" s="167"/>
      <c r="J1330" s="167"/>
      <c r="K1330" s="169"/>
      <c r="L1330" s="129"/>
      <c r="M1330" s="129"/>
      <c r="N1330" s="129"/>
      <c r="O1330" s="129"/>
      <c r="P1330" s="146"/>
      <c r="Q1330" s="170"/>
      <c r="R1330" s="171"/>
      <c r="S1330" s="172"/>
    </row>
    <row r="1331" spans="1:19" ht="42.75">
      <c r="A1331" s="164" t="s">
        <v>777</v>
      </c>
      <c r="B1331" s="165" t="s">
        <v>1262</v>
      </c>
      <c r="C1331" s="165" t="s">
        <v>4900</v>
      </c>
      <c r="D1331" s="164">
        <v>4912</v>
      </c>
      <c r="E1331" s="164">
        <v>4946</v>
      </c>
      <c r="F1331" s="164" t="s">
        <v>3404</v>
      </c>
      <c r="G1331" s="164">
        <v>2024</v>
      </c>
      <c r="H1331" s="175">
        <v>45408</v>
      </c>
      <c r="I1331" s="175">
        <v>45409</v>
      </c>
      <c r="J1331" s="168" t="s">
        <v>7193</v>
      </c>
      <c r="K1331" s="174">
        <v>45420</v>
      </c>
      <c r="L1331" s="129" t="s">
        <v>3532</v>
      </c>
      <c r="M1331" s="129"/>
      <c r="N1331" s="129"/>
      <c r="O1331" s="129" t="s">
        <v>3406</v>
      </c>
      <c r="P1331" s="146"/>
      <c r="Q1331" s="170"/>
      <c r="R1331" s="171"/>
      <c r="S1331" s="172"/>
    </row>
    <row r="1332" spans="1:19" ht="42.75">
      <c r="A1332" s="164" t="s">
        <v>777</v>
      </c>
      <c r="B1332" s="165" t="s">
        <v>1262</v>
      </c>
      <c r="C1332" s="165" t="s">
        <v>4903</v>
      </c>
      <c r="D1332" s="164">
        <v>1843</v>
      </c>
      <c r="E1332" s="164">
        <v>1961</v>
      </c>
      <c r="F1332" s="164" t="s">
        <v>3955</v>
      </c>
      <c r="G1332" s="164"/>
      <c r="H1332" s="167"/>
      <c r="I1332" s="167"/>
      <c r="J1332" s="196"/>
      <c r="K1332" s="169"/>
      <c r="L1332" s="129"/>
      <c r="M1332" s="129"/>
      <c r="N1332" s="129"/>
      <c r="O1332" s="129"/>
      <c r="P1332" s="146"/>
      <c r="Q1332" s="170"/>
      <c r="R1332" s="171"/>
      <c r="S1332" s="172"/>
    </row>
    <row r="1333" spans="1:19" ht="42.75">
      <c r="A1333" s="164" t="s">
        <v>777</v>
      </c>
      <c r="B1333" s="165" t="s">
        <v>1262</v>
      </c>
      <c r="C1333" s="165" t="s">
        <v>4905</v>
      </c>
      <c r="D1333" s="164">
        <v>2387</v>
      </c>
      <c r="E1333" s="164">
        <v>2645</v>
      </c>
      <c r="F1333" s="164" t="s">
        <v>3404</v>
      </c>
      <c r="G1333" s="164">
        <v>2024</v>
      </c>
      <c r="H1333" s="175">
        <v>45604</v>
      </c>
      <c r="I1333" s="221">
        <v>45605</v>
      </c>
      <c r="J1333" s="181" t="s">
        <v>7194</v>
      </c>
      <c r="K1333" s="193">
        <v>45612</v>
      </c>
      <c r="L1333" s="129" t="s">
        <v>3129</v>
      </c>
      <c r="M1333" s="129" t="s">
        <v>4</v>
      </c>
      <c r="N1333" s="129" t="s">
        <v>50</v>
      </c>
      <c r="O1333" s="129" t="s">
        <v>3406</v>
      </c>
      <c r="P1333" s="146"/>
      <c r="Q1333" s="170">
        <v>45614</v>
      </c>
      <c r="R1333" s="171" t="s">
        <v>150</v>
      </c>
      <c r="S1333" s="172"/>
    </row>
    <row r="1334" spans="1:19" ht="42.75">
      <c r="A1334" s="164" t="s">
        <v>777</v>
      </c>
      <c r="B1334" s="165" t="s">
        <v>1262</v>
      </c>
      <c r="C1334" s="165" t="s">
        <v>4906</v>
      </c>
      <c r="D1334" s="164">
        <v>891</v>
      </c>
      <c r="E1334" s="164">
        <v>1141</v>
      </c>
      <c r="F1334" s="164" t="s">
        <v>3955</v>
      </c>
      <c r="G1334" s="164"/>
      <c r="H1334" s="167"/>
      <c r="I1334" s="167"/>
      <c r="J1334" s="167"/>
      <c r="K1334" s="169"/>
      <c r="L1334" s="129"/>
      <c r="M1334" s="129"/>
      <c r="N1334" s="129"/>
      <c r="O1334" s="129"/>
      <c r="P1334" s="146"/>
      <c r="Q1334" s="170"/>
      <c r="R1334" s="171"/>
      <c r="S1334" s="172"/>
    </row>
    <row r="1335" spans="1:19" ht="42.75">
      <c r="A1335" s="164" t="s">
        <v>777</v>
      </c>
      <c r="B1335" s="165" t="s">
        <v>1262</v>
      </c>
      <c r="C1335" s="165" t="s">
        <v>1072</v>
      </c>
      <c r="D1335" s="164">
        <v>3665</v>
      </c>
      <c r="E1335" s="164">
        <v>4019</v>
      </c>
      <c r="F1335" s="164" t="s">
        <v>3955</v>
      </c>
      <c r="G1335" s="164"/>
      <c r="H1335" s="167"/>
      <c r="I1335" s="167"/>
      <c r="J1335" s="167"/>
      <c r="K1335" s="169"/>
      <c r="L1335" s="129"/>
      <c r="M1335" s="129"/>
      <c r="N1335" s="129"/>
      <c r="O1335" s="129"/>
      <c r="P1335" s="146"/>
      <c r="Q1335" s="170"/>
      <c r="R1335" s="171"/>
      <c r="S1335" s="172"/>
    </row>
    <row r="1336" spans="1:19" ht="42.75">
      <c r="A1336" s="164" t="s">
        <v>777</v>
      </c>
      <c r="B1336" s="165" t="s">
        <v>1262</v>
      </c>
      <c r="C1336" s="165" t="s">
        <v>4909</v>
      </c>
      <c r="D1336" s="164">
        <v>3198</v>
      </c>
      <c r="E1336" s="164">
        <v>3290</v>
      </c>
      <c r="F1336" s="164" t="s">
        <v>3404</v>
      </c>
      <c r="G1336" s="164">
        <v>2024</v>
      </c>
      <c r="H1336" s="175">
        <v>45414</v>
      </c>
      <c r="I1336" s="175">
        <v>45415</v>
      </c>
      <c r="J1336" s="168" t="s">
        <v>7195</v>
      </c>
      <c r="K1336" s="174">
        <v>45420</v>
      </c>
      <c r="L1336" s="129" t="s">
        <v>3532</v>
      </c>
      <c r="M1336" s="129"/>
      <c r="N1336" s="129"/>
      <c r="O1336" s="129" t="s">
        <v>3406</v>
      </c>
      <c r="P1336" s="146"/>
      <c r="Q1336" s="170"/>
      <c r="R1336" s="171"/>
      <c r="S1336" s="172"/>
    </row>
    <row r="1337" spans="1:19" ht="42.75">
      <c r="A1337" s="164" t="s">
        <v>777</v>
      </c>
      <c r="B1337" s="165" t="s">
        <v>1262</v>
      </c>
      <c r="C1337" s="165" t="s">
        <v>4910</v>
      </c>
      <c r="D1337" s="164">
        <v>3336</v>
      </c>
      <c r="E1337" s="164">
        <v>3691</v>
      </c>
      <c r="F1337" s="164" t="s">
        <v>3955</v>
      </c>
      <c r="G1337" s="164"/>
      <c r="H1337" s="167"/>
      <c r="I1337" s="167"/>
      <c r="J1337" s="167"/>
      <c r="K1337" s="169"/>
      <c r="L1337" s="129"/>
      <c r="M1337" s="129"/>
      <c r="N1337" s="129"/>
      <c r="O1337" s="129"/>
      <c r="P1337" s="146"/>
      <c r="Q1337" s="170"/>
      <c r="R1337" s="171"/>
      <c r="S1337" s="172"/>
    </row>
    <row r="1338" spans="1:19" ht="42.75">
      <c r="A1338" s="164" t="s">
        <v>777</v>
      </c>
      <c r="B1338" s="165" t="s">
        <v>1262</v>
      </c>
      <c r="C1338" s="165" t="s">
        <v>4912</v>
      </c>
      <c r="D1338" s="164">
        <v>1441</v>
      </c>
      <c r="E1338" s="164">
        <v>1546</v>
      </c>
      <c r="F1338" s="164" t="s">
        <v>3955</v>
      </c>
      <c r="G1338" s="164"/>
      <c r="H1338" s="167"/>
      <c r="I1338" s="167"/>
      <c r="J1338" s="167"/>
      <c r="K1338" s="169"/>
      <c r="L1338" s="129"/>
      <c r="M1338" s="129"/>
      <c r="N1338" s="129"/>
      <c r="O1338" s="129"/>
      <c r="P1338" s="146"/>
      <c r="Q1338" s="170"/>
      <c r="R1338" s="171"/>
      <c r="S1338" s="172"/>
    </row>
    <row r="1339" spans="1:19" ht="42.75">
      <c r="A1339" s="164" t="s">
        <v>777</v>
      </c>
      <c r="B1339" s="165" t="s">
        <v>1262</v>
      </c>
      <c r="C1339" s="165" t="s">
        <v>4914</v>
      </c>
      <c r="D1339" s="164">
        <v>4541</v>
      </c>
      <c r="E1339" s="164">
        <v>4655</v>
      </c>
      <c r="F1339" s="164" t="s">
        <v>3404</v>
      </c>
      <c r="G1339" s="164">
        <v>2024</v>
      </c>
      <c r="H1339" s="175">
        <v>45324</v>
      </c>
      <c r="I1339" s="175">
        <v>45324</v>
      </c>
      <c r="J1339" s="168" t="s">
        <v>7196</v>
      </c>
      <c r="K1339" s="169"/>
      <c r="L1339" s="129" t="s">
        <v>3416</v>
      </c>
      <c r="M1339" s="129"/>
      <c r="N1339" s="129"/>
      <c r="O1339" s="129" t="s">
        <v>3406</v>
      </c>
      <c r="P1339" s="146"/>
      <c r="Q1339" s="170"/>
      <c r="R1339" s="171"/>
      <c r="S1339" s="172"/>
    </row>
    <row r="1340" spans="1:19" ht="42.75">
      <c r="A1340" s="164" t="s">
        <v>777</v>
      </c>
      <c r="B1340" s="165" t="s">
        <v>1262</v>
      </c>
      <c r="C1340" s="165" t="s">
        <v>4901</v>
      </c>
      <c r="D1340" s="164">
        <v>1396</v>
      </c>
      <c r="E1340" s="164">
        <v>1433</v>
      </c>
      <c r="F1340" s="164" t="s">
        <v>3955</v>
      </c>
      <c r="G1340" s="164"/>
      <c r="H1340" s="167"/>
      <c r="I1340" s="167"/>
      <c r="J1340" s="167"/>
      <c r="K1340" s="169"/>
      <c r="L1340" s="129"/>
      <c r="M1340" s="129"/>
      <c r="N1340" s="129"/>
      <c r="O1340" s="129"/>
      <c r="P1340" s="146"/>
      <c r="Q1340" s="170"/>
      <c r="R1340" s="171"/>
      <c r="S1340" s="172"/>
    </row>
    <row r="1341" spans="1:19" ht="42.75">
      <c r="A1341" s="164" t="s">
        <v>777</v>
      </c>
      <c r="B1341" s="165" t="s">
        <v>1262</v>
      </c>
      <c r="C1341" s="165" t="s">
        <v>4925</v>
      </c>
      <c r="D1341" s="164">
        <v>2623</v>
      </c>
      <c r="E1341" s="164">
        <v>2920</v>
      </c>
      <c r="F1341" s="164" t="s">
        <v>3404</v>
      </c>
      <c r="G1341" s="164">
        <v>2024</v>
      </c>
      <c r="H1341" s="175">
        <v>45414</v>
      </c>
      <c r="I1341" s="175">
        <v>45415</v>
      </c>
      <c r="J1341" s="168" t="s">
        <v>7197</v>
      </c>
      <c r="K1341" s="174">
        <v>45420</v>
      </c>
      <c r="L1341" s="129" t="s">
        <v>3532</v>
      </c>
      <c r="M1341" s="129"/>
      <c r="N1341" s="129"/>
      <c r="O1341" s="129" t="s">
        <v>3406</v>
      </c>
      <c r="P1341" s="146"/>
      <c r="Q1341" s="170"/>
      <c r="R1341" s="171"/>
      <c r="S1341" s="172"/>
    </row>
    <row r="1342" spans="1:19" ht="42.75">
      <c r="A1342" s="164" t="s">
        <v>777</v>
      </c>
      <c r="B1342" s="165" t="s">
        <v>1262</v>
      </c>
      <c r="C1342" s="165" t="s">
        <v>1263</v>
      </c>
      <c r="D1342" s="164">
        <v>6319</v>
      </c>
      <c r="E1342" s="164">
        <v>7377</v>
      </c>
      <c r="F1342" s="164" t="s">
        <v>3955</v>
      </c>
      <c r="G1342" s="164"/>
      <c r="H1342" s="167"/>
      <c r="I1342" s="167"/>
      <c r="J1342" s="167"/>
      <c r="K1342" s="169"/>
      <c r="L1342" s="129"/>
      <c r="M1342" s="129"/>
      <c r="N1342" s="129"/>
      <c r="O1342" s="129"/>
      <c r="P1342" s="146"/>
      <c r="Q1342" s="170"/>
      <c r="R1342" s="171"/>
      <c r="S1342" s="172"/>
    </row>
    <row r="1343" spans="1:19" ht="42.75">
      <c r="A1343" s="164" t="s">
        <v>777</v>
      </c>
      <c r="B1343" s="165" t="s">
        <v>1262</v>
      </c>
      <c r="C1343" s="165" t="s">
        <v>4920</v>
      </c>
      <c r="D1343" s="164">
        <v>2146</v>
      </c>
      <c r="E1343" s="164">
        <v>2358</v>
      </c>
      <c r="F1343" s="164" t="s">
        <v>3955</v>
      </c>
      <c r="G1343" s="164"/>
      <c r="H1343" s="167"/>
      <c r="I1343" s="167"/>
      <c r="J1343" s="167"/>
      <c r="K1343" s="169"/>
      <c r="L1343" s="129"/>
      <c r="M1343" s="129"/>
      <c r="N1343" s="129"/>
      <c r="O1343" s="129"/>
      <c r="P1343" s="146"/>
      <c r="Q1343" s="170"/>
      <c r="R1343" s="171"/>
      <c r="S1343" s="172"/>
    </row>
    <row r="1344" spans="1:19" ht="42.75">
      <c r="A1344" s="164" t="s">
        <v>777</v>
      </c>
      <c r="B1344" s="165" t="s">
        <v>1262</v>
      </c>
      <c r="C1344" s="165" t="s">
        <v>4918</v>
      </c>
      <c r="D1344" s="164">
        <v>1471</v>
      </c>
      <c r="E1344" s="164">
        <v>1751</v>
      </c>
      <c r="F1344" s="164" t="s">
        <v>3955</v>
      </c>
      <c r="G1344" s="164"/>
      <c r="H1344" s="167"/>
      <c r="I1344" s="167"/>
      <c r="J1344" s="167"/>
      <c r="K1344" s="169"/>
      <c r="L1344" s="129"/>
      <c r="M1344" s="129"/>
      <c r="N1344" s="129"/>
      <c r="O1344" s="129"/>
      <c r="P1344" s="146"/>
      <c r="Q1344" s="170"/>
      <c r="R1344" s="171"/>
      <c r="S1344" s="172"/>
    </row>
    <row r="1345" spans="1:19" ht="42.75">
      <c r="A1345" s="164" t="s">
        <v>777</v>
      </c>
      <c r="B1345" s="165" t="s">
        <v>1262</v>
      </c>
      <c r="C1345" s="165" t="s">
        <v>4922</v>
      </c>
      <c r="D1345" s="164">
        <v>3415</v>
      </c>
      <c r="E1345" s="164">
        <v>3677</v>
      </c>
      <c r="F1345" s="164" t="s">
        <v>3955</v>
      </c>
      <c r="G1345" s="164"/>
      <c r="H1345" s="167"/>
      <c r="I1345" s="167"/>
      <c r="J1345" s="167"/>
      <c r="K1345" s="169"/>
      <c r="L1345" s="129"/>
      <c r="M1345" s="129"/>
      <c r="N1345" s="129"/>
      <c r="O1345" s="129"/>
      <c r="P1345" s="146"/>
      <c r="Q1345" s="170"/>
      <c r="R1345" s="171"/>
      <c r="S1345" s="172"/>
    </row>
    <row r="1346" spans="1:19" ht="42.75">
      <c r="A1346" s="164" t="s">
        <v>777</v>
      </c>
      <c r="B1346" s="165" t="s">
        <v>1262</v>
      </c>
      <c r="C1346" s="165" t="s">
        <v>4932</v>
      </c>
      <c r="D1346" s="164">
        <v>2281</v>
      </c>
      <c r="E1346" s="164">
        <v>2466</v>
      </c>
      <c r="F1346" s="164" t="s">
        <v>3955</v>
      </c>
      <c r="G1346" s="164"/>
      <c r="H1346" s="167"/>
      <c r="I1346" s="167"/>
      <c r="J1346" s="167"/>
      <c r="K1346" s="169"/>
      <c r="L1346" s="129"/>
      <c r="M1346" s="129"/>
      <c r="N1346" s="129"/>
      <c r="O1346" s="129"/>
      <c r="P1346" s="146"/>
      <c r="Q1346" s="170"/>
      <c r="R1346" s="171"/>
      <c r="S1346" s="172"/>
    </row>
    <row r="1347" spans="1:19" ht="42.75">
      <c r="A1347" s="164" t="s">
        <v>777</v>
      </c>
      <c r="B1347" s="165" t="s">
        <v>1262</v>
      </c>
      <c r="C1347" s="165" t="s">
        <v>4924</v>
      </c>
      <c r="D1347" s="164">
        <v>3503</v>
      </c>
      <c r="E1347" s="164">
        <v>3952</v>
      </c>
      <c r="F1347" s="164" t="s">
        <v>3404</v>
      </c>
      <c r="G1347" s="164">
        <v>2024</v>
      </c>
      <c r="H1347" s="175">
        <v>45408</v>
      </c>
      <c r="I1347" s="175">
        <v>45409</v>
      </c>
      <c r="J1347" s="168" t="s">
        <v>7198</v>
      </c>
      <c r="K1347" s="174">
        <v>45420</v>
      </c>
      <c r="L1347" s="129" t="s">
        <v>3532</v>
      </c>
      <c r="M1347" s="129"/>
      <c r="N1347" s="129"/>
      <c r="O1347" s="129" t="s">
        <v>3406</v>
      </c>
      <c r="P1347" s="146"/>
      <c r="Q1347" s="170"/>
      <c r="R1347" s="171"/>
      <c r="S1347" s="172"/>
    </row>
    <row r="1348" spans="1:19" ht="42.75">
      <c r="A1348" s="164" t="s">
        <v>777</v>
      </c>
      <c r="B1348" s="165" t="s">
        <v>1262</v>
      </c>
      <c r="C1348" s="165" t="s">
        <v>4916</v>
      </c>
      <c r="D1348" s="164">
        <v>699</v>
      </c>
      <c r="E1348" s="164">
        <v>727</v>
      </c>
      <c r="F1348" s="164" t="s">
        <v>3955</v>
      </c>
      <c r="G1348" s="164"/>
      <c r="H1348" s="167"/>
      <c r="I1348" s="167"/>
      <c r="J1348" s="167"/>
      <c r="K1348" s="169"/>
      <c r="L1348" s="129"/>
      <c r="M1348" s="129"/>
      <c r="N1348" s="129"/>
      <c r="O1348" s="129"/>
      <c r="P1348" s="146"/>
      <c r="Q1348" s="170"/>
      <c r="R1348" s="171"/>
      <c r="S1348" s="172"/>
    </row>
    <row r="1349" spans="1:19" ht="42.75">
      <c r="A1349" s="164" t="s">
        <v>777</v>
      </c>
      <c r="B1349" s="165" t="s">
        <v>1262</v>
      </c>
      <c r="C1349" s="165" t="s">
        <v>858</v>
      </c>
      <c r="D1349" s="164">
        <v>3312</v>
      </c>
      <c r="E1349" s="164">
        <v>3604</v>
      </c>
      <c r="F1349" s="164" t="s">
        <v>3404</v>
      </c>
      <c r="G1349" s="164">
        <v>2024</v>
      </c>
      <c r="H1349" s="175">
        <v>45408</v>
      </c>
      <c r="I1349" s="175">
        <v>45409</v>
      </c>
      <c r="J1349" s="168" t="s">
        <v>7199</v>
      </c>
      <c r="K1349" s="174">
        <v>45420</v>
      </c>
      <c r="L1349" s="129" t="s">
        <v>3532</v>
      </c>
      <c r="M1349" s="129"/>
      <c r="N1349" s="129"/>
      <c r="O1349" s="129" t="s">
        <v>3406</v>
      </c>
      <c r="P1349" s="146"/>
      <c r="Q1349" s="170"/>
      <c r="R1349" s="171"/>
      <c r="S1349" s="172"/>
    </row>
    <row r="1350" spans="1:19" ht="42.75">
      <c r="A1350" s="164" t="s">
        <v>777</v>
      </c>
      <c r="B1350" s="165" t="s">
        <v>1262</v>
      </c>
      <c r="C1350" s="165" t="s">
        <v>3723</v>
      </c>
      <c r="D1350" s="164">
        <v>2033</v>
      </c>
      <c r="E1350" s="164">
        <v>2198</v>
      </c>
      <c r="F1350" s="164" t="s">
        <v>3955</v>
      </c>
      <c r="G1350" s="164"/>
      <c r="H1350" s="167"/>
      <c r="I1350" s="167"/>
      <c r="J1350" s="167"/>
      <c r="K1350" s="169"/>
      <c r="L1350" s="129"/>
      <c r="M1350" s="129"/>
      <c r="N1350" s="129"/>
      <c r="O1350" s="129"/>
      <c r="P1350" s="146"/>
      <c r="Q1350" s="170"/>
      <c r="R1350" s="171"/>
      <c r="S1350" s="172"/>
    </row>
    <row r="1351" spans="1:19" ht="42.75">
      <c r="A1351" s="164" t="s">
        <v>777</v>
      </c>
      <c r="B1351" s="165" t="s">
        <v>1262</v>
      </c>
      <c r="C1351" s="165" t="s">
        <v>3974</v>
      </c>
      <c r="D1351" s="164">
        <v>1934</v>
      </c>
      <c r="E1351" s="164">
        <v>2210</v>
      </c>
      <c r="F1351" s="164" t="s">
        <v>3955</v>
      </c>
      <c r="G1351" s="164"/>
      <c r="H1351" s="167"/>
      <c r="I1351" s="167"/>
      <c r="J1351" s="167"/>
      <c r="K1351" s="169"/>
      <c r="L1351" s="129"/>
      <c r="M1351" s="129"/>
      <c r="N1351" s="129"/>
      <c r="O1351" s="129"/>
      <c r="P1351" s="146"/>
      <c r="Q1351" s="170"/>
      <c r="R1351" s="171"/>
      <c r="S1351" s="172"/>
    </row>
    <row r="1352" spans="1:19" ht="42.75">
      <c r="A1352" s="164" t="s">
        <v>777</v>
      </c>
      <c r="B1352" s="165" t="s">
        <v>1262</v>
      </c>
      <c r="C1352" s="165" t="s">
        <v>1166</v>
      </c>
      <c r="D1352" s="164">
        <v>1712</v>
      </c>
      <c r="E1352" s="164">
        <v>1126</v>
      </c>
      <c r="F1352" s="164" t="s">
        <v>3955</v>
      </c>
      <c r="G1352" s="164"/>
      <c r="H1352" s="167"/>
      <c r="I1352" s="167"/>
      <c r="J1352" s="167"/>
      <c r="K1352" s="169"/>
      <c r="L1352" s="129"/>
      <c r="M1352" s="129"/>
      <c r="N1352" s="129"/>
      <c r="O1352" s="129"/>
      <c r="P1352" s="146"/>
      <c r="Q1352" s="170"/>
      <c r="R1352" s="171"/>
      <c r="S1352" s="172"/>
    </row>
    <row r="1353" spans="1:19" ht="42.75">
      <c r="A1353" s="164" t="s">
        <v>777</v>
      </c>
      <c r="B1353" s="165" t="s">
        <v>1262</v>
      </c>
      <c r="C1353" s="165" t="s">
        <v>4242</v>
      </c>
      <c r="D1353" s="164">
        <v>1326</v>
      </c>
      <c r="E1353" s="164">
        <v>1483</v>
      </c>
      <c r="F1353" s="164" t="s">
        <v>3404</v>
      </c>
      <c r="G1353" s="164">
        <v>2024</v>
      </c>
      <c r="H1353" s="175">
        <v>45324</v>
      </c>
      <c r="I1353" s="175">
        <v>45324</v>
      </c>
      <c r="J1353" s="168" t="s">
        <v>7200</v>
      </c>
      <c r="K1353" s="169"/>
      <c r="L1353" s="129" t="s">
        <v>3416</v>
      </c>
      <c r="M1353" s="129"/>
      <c r="N1353" s="129"/>
      <c r="O1353" s="129" t="s">
        <v>3406</v>
      </c>
      <c r="P1353" s="146"/>
      <c r="Q1353" s="170"/>
      <c r="R1353" s="171"/>
      <c r="S1353" s="172"/>
    </row>
    <row r="1354" spans="1:19" ht="42.75">
      <c r="A1354" s="164" t="s">
        <v>777</v>
      </c>
      <c r="B1354" s="165" t="s">
        <v>1262</v>
      </c>
      <c r="C1354" s="165" t="s">
        <v>4928</v>
      </c>
      <c r="D1354" s="164">
        <v>3323</v>
      </c>
      <c r="E1354" s="164">
        <v>3464</v>
      </c>
      <c r="F1354" s="164" t="s">
        <v>3955</v>
      </c>
      <c r="G1354" s="164"/>
      <c r="H1354" s="167"/>
      <c r="I1354" s="167"/>
      <c r="J1354" s="167"/>
      <c r="K1354" s="169"/>
      <c r="L1354" s="129"/>
      <c r="M1354" s="129"/>
      <c r="N1354" s="129"/>
      <c r="O1354" s="129"/>
      <c r="P1354" s="146"/>
      <c r="Q1354" s="170"/>
      <c r="R1354" s="171"/>
      <c r="S1354" s="172"/>
    </row>
    <row r="1355" spans="1:19" ht="42.75">
      <c r="A1355" s="164" t="s">
        <v>777</v>
      </c>
      <c r="B1355" s="165" t="s">
        <v>1262</v>
      </c>
      <c r="C1355" s="165" t="s">
        <v>4930</v>
      </c>
      <c r="D1355" s="164">
        <v>4675</v>
      </c>
      <c r="E1355" s="164">
        <v>4940</v>
      </c>
      <c r="F1355" s="164" t="s">
        <v>3955</v>
      </c>
      <c r="G1355" s="164"/>
      <c r="H1355" s="167"/>
      <c r="I1355" s="167"/>
      <c r="J1355" s="167"/>
      <c r="K1355" s="169"/>
      <c r="L1355" s="129"/>
      <c r="M1355" s="129"/>
      <c r="N1355" s="129"/>
      <c r="O1355" s="129"/>
      <c r="P1355" s="146"/>
      <c r="Q1355" s="170"/>
      <c r="R1355" s="171"/>
      <c r="S1355" s="172"/>
    </row>
    <row r="1356" spans="1:19" ht="42.75">
      <c r="A1356" s="164" t="s">
        <v>777</v>
      </c>
      <c r="B1356" s="165" t="s">
        <v>1262</v>
      </c>
      <c r="C1356" s="165" t="s">
        <v>4446</v>
      </c>
      <c r="D1356" s="164">
        <v>3513</v>
      </c>
      <c r="E1356" s="164">
        <v>4109</v>
      </c>
      <c r="F1356" s="164" t="s">
        <v>3404</v>
      </c>
      <c r="G1356" s="164">
        <v>2024</v>
      </c>
      <c r="H1356" s="175">
        <v>45462</v>
      </c>
      <c r="I1356" s="175">
        <v>45463</v>
      </c>
      <c r="J1356" s="168" t="s">
        <v>7201</v>
      </c>
      <c r="K1356" s="174">
        <v>45474</v>
      </c>
      <c r="L1356" s="129" t="s">
        <v>3125</v>
      </c>
      <c r="M1356" s="129" t="s">
        <v>4</v>
      </c>
      <c r="N1356" s="129" t="s">
        <v>50</v>
      </c>
      <c r="O1356" s="129" t="s">
        <v>3406</v>
      </c>
      <c r="P1356" s="146"/>
      <c r="Q1356" s="130">
        <v>45474</v>
      </c>
      <c r="R1356" s="171"/>
      <c r="S1356" s="172"/>
    </row>
    <row r="1357" spans="1:19" ht="42.75">
      <c r="A1357" s="164" t="s">
        <v>777</v>
      </c>
      <c r="B1357" s="165" t="s">
        <v>1266</v>
      </c>
      <c r="C1357" s="165" t="s">
        <v>3403</v>
      </c>
      <c r="D1357" s="164">
        <v>2715</v>
      </c>
      <c r="E1357" s="164">
        <v>2715</v>
      </c>
      <c r="F1357" s="164" t="s">
        <v>3955</v>
      </c>
      <c r="G1357" s="164"/>
      <c r="H1357" s="167"/>
      <c r="I1357" s="167"/>
      <c r="J1357" s="167"/>
      <c r="K1357" s="169"/>
      <c r="L1357" s="129"/>
      <c r="M1357" s="129"/>
      <c r="N1357" s="129"/>
      <c r="O1357" s="129"/>
      <c r="P1357" s="146"/>
      <c r="Q1357" s="170"/>
      <c r="R1357" s="171"/>
      <c r="S1357" s="172"/>
    </row>
    <row r="1358" spans="1:19" ht="42.75">
      <c r="A1358" s="164" t="s">
        <v>777</v>
      </c>
      <c r="B1358" s="165" t="s">
        <v>1266</v>
      </c>
      <c r="C1358" s="165" t="s">
        <v>3407</v>
      </c>
      <c r="D1358" s="164">
        <v>1524</v>
      </c>
      <c r="E1358" s="164">
        <v>1557</v>
      </c>
      <c r="F1358" s="164" t="s">
        <v>3955</v>
      </c>
      <c r="G1358" s="164"/>
      <c r="H1358" s="167"/>
      <c r="I1358" s="167"/>
      <c r="J1358" s="167"/>
      <c r="K1358" s="169"/>
      <c r="L1358" s="129"/>
      <c r="M1358" s="129"/>
      <c r="N1358" s="129"/>
      <c r="O1358" s="129"/>
      <c r="P1358" s="146"/>
      <c r="Q1358" s="170"/>
      <c r="R1358" s="171"/>
      <c r="S1358" s="172"/>
    </row>
    <row r="1359" spans="1:19" ht="42.75">
      <c r="A1359" s="164" t="s">
        <v>777</v>
      </c>
      <c r="B1359" s="165" t="s">
        <v>1266</v>
      </c>
      <c r="C1359" s="165" t="s">
        <v>3409</v>
      </c>
      <c r="D1359" s="164">
        <v>1399</v>
      </c>
      <c r="E1359" s="164">
        <v>1278</v>
      </c>
      <c r="F1359" s="164" t="s">
        <v>3955</v>
      </c>
      <c r="G1359" s="164"/>
      <c r="H1359" s="167"/>
      <c r="I1359" s="167"/>
      <c r="J1359" s="167"/>
      <c r="K1359" s="169"/>
      <c r="L1359" s="129"/>
      <c r="M1359" s="129"/>
      <c r="N1359" s="129"/>
      <c r="O1359" s="129"/>
      <c r="P1359" s="146"/>
      <c r="Q1359" s="170"/>
      <c r="R1359" s="171"/>
      <c r="S1359" s="172"/>
    </row>
    <row r="1360" spans="1:19" ht="42.75">
      <c r="A1360" s="164" t="s">
        <v>777</v>
      </c>
      <c r="B1360" s="165" t="s">
        <v>1266</v>
      </c>
      <c r="C1360" s="165" t="s">
        <v>3410</v>
      </c>
      <c r="D1360" s="164">
        <v>3054</v>
      </c>
      <c r="E1360" s="164">
        <v>3196</v>
      </c>
      <c r="F1360" s="164" t="s">
        <v>3955</v>
      </c>
      <c r="G1360" s="164"/>
      <c r="H1360" s="167"/>
      <c r="I1360" s="167"/>
      <c r="J1360" s="167"/>
      <c r="K1360" s="169"/>
      <c r="L1360" s="129"/>
      <c r="M1360" s="129"/>
      <c r="N1360" s="129"/>
      <c r="O1360" s="129"/>
      <c r="P1360" s="146"/>
      <c r="Q1360" s="170"/>
      <c r="R1360" s="171"/>
      <c r="S1360" s="172"/>
    </row>
    <row r="1361" spans="1:19" ht="42.75">
      <c r="A1361" s="164" t="s">
        <v>777</v>
      </c>
      <c r="B1361" s="165" t="s">
        <v>1266</v>
      </c>
      <c r="C1361" s="165" t="s">
        <v>4936</v>
      </c>
      <c r="D1361" s="164">
        <v>586</v>
      </c>
      <c r="E1361" s="164">
        <v>625</v>
      </c>
      <c r="F1361" s="164" t="s">
        <v>3955</v>
      </c>
      <c r="G1361" s="164"/>
      <c r="H1361" s="167"/>
      <c r="I1361" s="167"/>
      <c r="J1361" s="167"/>
      <c r="K1361" s="169"/>
      <c r="L1361" s="129"/>
      <c r="M1361" s="129"/>
      <c r="N1361" s="129"/>
      <c r="O1361" s="129"/>
      <c r="P1361" s="146"/>
      <c r="Q1361" s="170"/>
      <c r="R1361" s="171"/>
      <c r="S1361" s="172"/>
    </row>
    <row r="1362" spans="1:19" ht="42.75">
      <c r="A1362" s="164" t="s">
        <v>777</v>
      </c>
      <c r="B1362" s="165" t="s">
        <v>1266</v>
      </c>
      <c r="C1362" s="165" t="s">
        <v>4937</v>
      </c>
      <c r="D1362" s="164">
        <v>2471</v>
      </c>
      <c r="E1362" s="164">
        <v>2911</v>
      </c>
      <c r="F1362" s="164" t="s">
        <v>3955</v>
      </c>
      <c r="G1362" s="164"/>
      <c r="H1362" s="167"/>
      <c r="I1362" s="167"/>
      <c r="J1362" s="167"/>
      <c r="K1362" s="169"/>
      <c r="L1362" s="129"/>
      <c r="M1362" s="129"/>
      <c r="N1362" s="129"/>
      <c r="O1362" s="129"/>
      <c r="P1362" s="146"/>
      <c r="Q1362" s="170"/>
      <c r="R1362" s="171"/>
      <c r="S1362" s="172"/>
    </row>
    <row r="1363" spans="1:19" ht="42.75">
      <c r="A1363" s="164" t="s">
        <v>777</v>
      </c>
      <c r="B1363" s="165" t="s">
        <v>1266</v>
      </c>
      <c r="C1363" s="165" t="s">
        <v>4938</v>
      </c>
      <c r="D1363" s="164">
        <v>857</v>
      </c>
      <c r="E1363" s="164">
        <v>930</v>
      </c>
      <c r="F1363" s="164" t="s">
        <v>3955</v>
      </c>
      <c r="G1363" s="164"/>
      <c r="H1363" s="167"/>
      <c r="I1363" s="167"/>
      <c r="J1363" s="167"/>
      <c r="K1363" s="169"/>
      <c r="L1363" s="129"/>
      <c r="M1363" s="129"/>
      <c r="N1363" s="129"/>
      <c r="O1363" s="129"/>
      <c r="P1363" s="146"/>
      <c r="Q1363" s="170"/>
      <c r="R1363" s="171"/>
      <c r="S1363" s="172"/>
    </row>
    <row r="1364" spans="1:19" ht="42.75">
      <c r="A1364" s="164" t="s">
        <v>777</v>
      </c>
      <c r="B1364" s="165" t="s">
        <v>1266</v>
      </c>
      <c r="C1364" s="165" t="s">
        <v>4939</v>
      </c>
      <c r="D1364" s="164">
        <v>420</v>
      </c>
      <c r="E1364" s="164">
        <v>459</v>
      </c>
      <c r="F1364" s="164" t="s">
        <v>3955</v>
      </c>
      <c r="G1364" s="164"/>
      <c r="H1364" s="167"/>
      <c r="I1364" s="167"/>
      <c r="J1364" s="167"/>
      <c r="K1364" s="169"/>
      <c r="L1364" s="129"/>
      <c r="M1364" s="129"/>
      <c r="N1364" s="129"/>
      <c r="O1364" s="129"/>
      <c r="P1364" s="146"/>
      <c r="Q1364" s="170"/>
      <c r="R1364" s="171"/>
      <c r="S1364" s="172"/>
    </row>
    <row r="1365" spans="1:19" ht="42.75">
      <c r="A1365" s="164" t="s">
        <v>777</v>
      </c>
      <c r="B1365" s="165" t="s">
        <v>1266</v>
      </c>
      <c r="C1365" s="165" t="s">
        <v>4940</v>
      </c>
      <c r="D1365" s="164">
        <v>1901</v>
      </c>
      <c r="E1365" s="164">
        <v>1927</v>
      </c>
      <c r="F1365" s="164" t="s">
        <v>3955</v>
      </c>
      <c r="G1365" s="164"/>
      <c r="H1365" s="167"/>
      <c r="I1365" s="167"/>
      <c r="J1365" s="167"/>
      <c r="K1365" s="169"/>
      <c r="L1365" s="129"/>
      <c r="M1365" s="129"/>
      <c r="N1365" s="129"/>
      <c r="O1365" s="129"/>
      <c r="P1365" s="146"/>
      <c r="Q1365" s="170"/>
      <c r="R1365" s="171"/>
      <c r="S1365" s="172"/>
    </row>
    <row r="1366" spans="1:19" ht="42.75">
      <c r="A1366" s="164" t="s">
        <v>777</v>
      </c>
      <c r="B1366" s="165" t="s">
        <v>1266</v>
      </c>
      <c r="C1366" s="165" t="s">
        <v>1267</v>
      </c>
      <c r="D1366" s="164">
        <v>2916</v>
      </c>
      <c r="E1366" s="164">
        <v>3173</v>
      </c>
      <c r="F1366" s="164" t="s">
        <v>3404</v>
      </c>
      <c r="G1366" s="164">
        <v>2024</v>
      </c>
      <c r="H1366" s="175">
        <v>45377</v>
      </c>
      <c r="I1366" s="175">
        <v>45377</v>
      </c>
      <c r="J1366" s="168" t="s">
        <v>7202</v>
      </c>
      <c r="K1366" s="169"/>
      <c r="L1366" s="129" t="s">
        <v>3470</v>
      </c>
      <c r="M1366" s="129"/>
      <c r="N1366" s="129"/>
      <c r="O1366" s="129"/>
      <c r="P1366" s="146"/>
      <c r="Q1366" s="170"/>
      <c r="R1366" s="171"/>
      <c r="S1366" s="172"/>
    </row>
    <row r="1367" spans="1:19" ht="42.75">
      <c r="A1367" s="164" t="s">
        <v>777</v>
      </c>
      <c r="B1367" s="165" t="s">
        <v>1266</v>
      </c>
      <c r="C1367" s="165" t="s">
        <v>1953</v>
      </c>
      <c r="D1367" s="164">
        <v>3052</v>
      </c>
      <c r="E1367" s="164">
        <v>3183</v>
      </c>
      <c r="F1367" s="164" t="s">
        <v>3955</v>
      </c>
      <c r="G1367" s="164"/>
      <c r="H1367" s="167"/>
      <c r="I1367" s="167"/>
      <c r="J1367" s="167"/>
      <c r="K1367" s="169"/>
      <c r="L1367" s="129"/>
      <c r="M1367" s="129"/>
      <c r="N1367" s="129"/>
      <c r="O1367" s="129"/>
      <c r="P1367" s="146"/>
      <c r="Q1367" s="170"/>
      <c r="R1367" s="171"/>
      <c r="S1367" s="172"/>
    </row>
    <row r="1368" spans="1:19" ht="42.75">
      <c r="A1368" s="164" t="s">
        <v>777</v>
      </c>
      <c r="B1368" s="165" t="s">
        <v>1266</v>
      </c>
      <c r="C1368" s="165" t="s">
        <v>1180</v>
      </c>
      <c r="D1368" s="164">
        <v>3457</v>
      </c>
      <c r="E1368" s="164">
        <v>4136</v>
      </c>
      <c r="F1368" s="164" t="s">
        <v>3955</v>
      </c>
      <c r="G1368" s="164"/>
      <c r="H1368" s="167"/>
      <c r="I1368" s="167"/>
      <c r="J1368" s="167"/>
      <c r="K1368" s="169"/>
      <c r="L1368" s="129"/>
      <c r="M1368" s="129"/>
      <c r="N1368" s="129"/>
      <c r="O1368" s="129"/>
      <c r="P1368" s="146"/>
      <c r="Q1368" s="170"/>
      <c r="R1368" s="171"/>
      <c r="S1368" s="172"/>
    </row>
    <row r="1369" spans="1:19" ht="42.75">
      <c r="A1369" s="164" t="s">
        <v>777</v>
      </c>
      <c r="B1369" s="165" t="s">
        <v>1266</v>
      </c>
      <c r="C1369" s="165" t="s">
        <v>4925</v>
      </c>
      <c r="D1369" s="164">
        <v>1736</v>
      </c>
      <c r="E1369" s="164">
        <v>1984</v>
      </c>
      <c r="F1369" s="164" t="s">
        <v>3955</v>
      </c>
      <c r="G1369" s="164"/>
      <c r="H1369" s="167"/>
      <c r="I1369" s="167"/>
      <c r="J1369" s="167"/>
      <c r="K1369" s="169"/>
      <c r="L1369" s="129"/>
      <c r="M1369" s="129"/>
      <c r="N1369" s="129"/>
      <c r="O1369" s="129"/>
      <c r="P1369" s="146"/>
      <c r="Q1369" s="170"/>
      <c r="R1369" s="171"/>
      <c r="S1369" s="172"/>
    </row>
    <row r="1370" spans="1:19" ht="42.75">
      <c r="A1370" s="164" t="s">
        <v>777</v>
      </c>
      <c r="B1370" s="165" t="s">
        <v>1266</v>
      </c>
      <c r="C1370" s="165" t="s">
        <v>918</v>
      </c>
      <c r="D1370" s="164">
        <v>2115</v>
      </c>
      <c r="E1370" s="164">
        <v>2435</v>
      </c>
      <c r="F1370" s="164" t="s">
        <v>3955</v>
      </c>
      <c r="G1370" s="164"/>
      <c r="H1370" s="167"/>
      <c r="I1370" s="167"/>
      <c r="J1370" s="167"/>
      <c r="K1370" s="169"/>
      <c r="L1370" s="129"/>
      <c r="M1370" s="129"/>
      <c r="N1370" s="129"/>
      <c r="O1370" s="129"/>
      <c r="P1370" s="146"/>
      <c r="Q1370" s="170"/>
      <c r="R1370" s="171"/>
      <c r="S1370" s="172"/>
    </row>
    <row r="1371" spans="1:19" ht="42.75">
      <c r="A1371" s="164" t="s">
        <v>777</v>
      </c>
      <c r="B1371" s="165" t="s">
        <v>1266</v>
      </c>
      <c r="C1371" s="165" t="s">
        <v>1166</v>
      </c>
      <c r="D1371" s="164">
        <v>2315</v>
      </c>
      <c r="E1371" s="164">
        <v>2058</v>
      </c>
      <c r="F1371" s="164" t="s">
        <v>3404</v>
      </c>
      <c r="G1371" s="164">
        <v>2024</v>
      </c>
      <c r="H1371" s="175">
        <v>45351</v>
      </c>
      <c r="I1371" s="175">
        <v>45355</v>
      </c>
      <c r="J1371" s="168" t="s">
        <v>7203</v>
      </c>
      <c r="K1371" s="169"/>
      <c r="L1371" s="129" t="s">
        <v>3416</v>
      </c>
      <c r="M1371" s="129"/>
      <c r="N1371" s="129"/>
      <c r="O1371" s="129"/>
      <c r="P1371" s="146"/>
      <c r="Q1371" s="170"/>
      <c r="R1371" s="171"/>
      <c r="S1371" s="172"/>
    </row>
    <row r="1372" spans="1:19" ht="42.75">
      <c r="A1372" s="164" t="s">
        <v>777</v>
      </c>
      <c r="B1372" s="165" t="s">
        <v>1266</v>
      </c>
      <c r="C1372" s="165" t="s">
        <v>4942</v>
      </c>
      <c r="D1372" s="164">
        <v>3162</v>
      </c>
      <c r="E1372" s="164">
        <v>3399</v>
      </c>
      <c r="F1372" s="164" t="s">
        <v>3955</v>
      </c>
      <c r="G1372" s="164"/>
      <c r="H1372" s="167"/>
      <c r="I1372" s="167"/>
      <c r="J1372" s="167"/>
      <c r="K1372" s="169"/>
      <c r="L1372" s="129"/>
      <c r="M1372" s="129"/>
      <c r="N1372" s="129"/>
      <c r="O1372" s="129"/>
      <c r="P1372" s="146"/>
      <c r="Q1372" s="170"/>
      <c r="R1372" s="171"/>
      <c r="S1372" s="172"/>
    </row>
    <row r="1373" spans="1:19" ht="42.75">
      <c r="A1373" s="164" t="s">
        <v>777</v>
      </c>
      <c r="B1373" s="165" t="s">
        <v>1266</v>
      </c>
      <c r="C1373" s="165" t="s">
        <v>1225</v>
      </c>
      <c r="D1373" s="164">
        <v>1976</v>
      </c>
      <c r="E1373" s="164">
        <v>2297</v>
      </c>
      <c r="F1373" s="164" t="s">
        <v>3955</v>
      </c>
      <c r="G1373" s="164"/>
      <c r="H1373" s="175"/>
      <c r="I1373" s="175"/>
      <c r="J1373" s="167"/>
      <c r="K1373" s="174"/>
      <c r="L1373" s="129"/>
      <c r="M1373" s="129"/>
      <c r="N1373" s="129"/>
      <c r="O1373" s="129" t="s">
        <v>3406</v>
      </c>
      <c r="P1373" s="146"/>
      <c r="Q1373" s="170"/>
      <c r="R1373" s="171"/>
      <c r="S1373" s="172"/>
    </row>
    <row r="1374" spans="1:19" ht="42.75">
      <c r="A1374" s="164" t="s">
        <v>777</v>
      </c>
      <c r="B1374" s="165" t="s">
        <v>1269</v>
      </c>
      <c r="C1374" s="165" t="s">
        <v>4943</v>
      </c>
      <c r="D1374" s="164">
        <v>1388</v>
      </c>
      <c r="E1374" s="164">
        <v>1498</v>
      </c>
      <c r="F1374" s="164" t="s">
        <v>3955</v>
      </c>
      <c r="G1374" s="164"/>
      <c r="H1374" s="167"/>
      <c r="I1374" s="167"/>
      <c r="J1374" s="167"/>
      <c r="K1374" s="169"/>
      <c r="L1374" s="129"/>
      <c r="M1374" s="129"/>
      <c r="N1374" s="129"/>
      <c r="O1374" s="129"/>
      <c r="P1374" s="146"/>
      <c r="Q1374" s="170"/>
      <c r="R1374" s="171"/>
      <c r="S1374" s="172"/>
    </row>
    <row r="1375" spans="1:19" ht="42.75">
      <c r="A1375" s="164" t="s">
        <v>777</v>
      </c>
      <c r="B1375" s="165" t="s">
        <v>1269</v>
      </c>
      <c r="C1375" s="165" t="s">
        <v>1486</v>
      </c>
      <c r="D1375" s="164">
        <v>1393</v>
      </c>
      <c r="E1375" s="164">
        <v>1356</v>
      </c>
      <c r="F1375" s="164" t="s">
        <v>3955</v>
      </c>
      <c r="G1375" s="164"/>
      <c r="H1375" s="167"/>
      <c r="I1375" s="167"/>
      <c r="J1375" s="167"/>
      <c r="K1375" s="169"/>
      <c r="L1375" s="129"/>
      <c r="M1375" s="129"/>
      <c r="N1375" s="129"/>
      <c r="O1375" s="129"/>
      <c r="P1375" s="146"/>
      <c r="Q1375" s="170"/>
      <c r="R1375" s="171"/>
      <c r="S1375" s="172"/>
    </row>
    <row r="1376" spans="1:19" ht="42.75">
      <c r="A1376" s="164" t="s">
        <v>777</v>
      </c>
      <c r="B1376" s="165" t="s">
        <v>1269</v>
      </c>
      <c r="C1376" s="165" t="s">
        <v>4946</v>
      </c>
      <c r="D1376" s="164">
        <v>2565</v>
      </c>
      <c r="E1376" s="164">
        <v>2561</v>
      </c>
      <c r="F1376" s="164" t="s">
        <v>3955</v>
      </c>
      <c r="G1376" s="164"/>
      <c r="H1376" s="167"/>
      <c r="I1376" s="167"/>
      <c r="J1376" s="167"/>
      <c r="K1376" s="169"/>
      <c r="L1376" s="129"/>
      <c r="M1376" s="129"/>
      <c r="N1376" s="129"/>
      <c r="O1376" s="129"/>
      <c r="P1376" s="146"/>
      <c r="Q1376" s="170"/>
      <c r="R1376" s="171"/>
      <c r="S1376" s="172"/>
    </row>
    <row r="1377" spans="1:19" ht="42.75">
      <c r="A1377" s="164" t="s">
        <v>777</v>
      </c>
      <c r="B1377" s="165" t="s">
        <v>1269</v>
      </c>
      <c r="C1377" s="165" t="s">
        <v>4947</v>
      </c>
      <c r="D1377" s="164">
        <v>3268</v>
      </c>
      <c r="E1377" s="164">
        <v>3211</v>
      </c>
      <c r="F1377" s="164" t="s">
        <v>3955</v>
      </c>
      <c r="G1377" s="164"/>
      <c r="H1377" s="167"/>
      <c r="I1377" s="167"/>
      <c r="J1377" s="167"/>
      <c r="K1377" s="169"/>
      <c r="L1377" s="129"/>
      <c r="M1377" s="129"/>
      <c r="N1377" s="129"/>
      <c r="O1377" s="129"/>
      <c r="P1377" s="146"/>
      <c r="Q1377" s="170"/>
      <c r="R1377" s="171"/>
      <c r="S1377" s="172"/>
    </row>
    <row r="1378" spans="1:19" ht="42.75">
      <c r="A1378" s="164" t="s">
        <v>777</v>
      </c>
      <c r="B1378" s="165" t="s">
        <v>1269</v>
      </c>
      <c r="C1378" s="165" t="s">
        <v>4948</v>
      </c>
      <c r="D1378" s="164">
        <v>3721</v>
      </c>
      <c r="E1378" s="164">
        <v>3863</v>
      </c>
      <c r="F1378" s="164" t="s">
        <v>3955</v>
      </c>
      <c r="G1378" s="164"/>
      <c r="H1378" s="167"/>
      <c r="I1378" s="167"/>
      <c r="J1378" s="167"/>
      <c r="K1378" s="169"/>
      <c r="L1378" s="129"/>
      <c r="M1378" s="129"/>
      <c r="N1378" s="129"/>
      <c r="O1378" s="129"/>
      <c r="P1378" s="146"/>
      <c r="Q1378" s="170"/>
      <c r="R1378" s="171"/>
      <c r="S1378" s="172"/>
    </row>
    <row r="1379" spans="1:19" ht="42.75">
      <c r="A1379" s="164" t="s">
        <v>777</v>
      </c>
      <c r="B1379" s="165" t="s">
        <v>1269</v>
      </c>
      <c r="C1379" s="165" t="s">
        <v>858</v>
      </c>
      <c r="D1379" s="164">
        <v>1449</v>
      </c>
      <c r="E1379" s="164">
        <v>1624</v>
      </c>
      <c r="F1379" s="164" t="s">
        <v>3955</v>
      </c>
      <c r="G1379" s="164"/>
      <c r="H1379" s="167"/>
      <c r="I1379" s="167"/>
      <c r="J1379" s="167"/>
      <c r="K1379" s="169"/>
      <c r="L1379" s="129"/>
      <c r="M1379" s="129"/>
      <c r="N1379" s="129"/>
      <c r="O1379" s="129"/>
      <c r="P1379" s="146"/>
      <c r="Q1379" s="170"/>
      <c r="R1379" s="171"/>
      <c r="S1379" s="172"/>
    </row>
    <row r="1380" spans="1:19" ht="42.75">
      <c r="A1380" s="164" t="s">
        <v>777</v>
      </c>
      <c r="B1380" s="165" t="s">
        <v>1269</v>
      </c>
      <c r="C1380" s="165" t="s">
        <v>918</v>
      </c>
      <c r="D1380" s="164">
        <v>3641</v>
      </c>
      <c r="E1380" s="164">
        <v>3758</v>
      </c>
      <c r="F1380" s="164" t="s">
        <v>3955</v>
      </c>
      <c r="G1380" s="164"/>
      <c r="H1380" s="167"/>
      <c r="I1380" s="167"/>
      <c r="J1380" s="167"/>
      <c r="K1380" s="169"/>
      <c r="L1380" s="129"/>
      <c r="M1380" s="129"/>
      <c r="N1380" s="129"/>
      <c r="O1380" s="129"/>
      <c r="P1380" s="146"/>
      <c r="Q1380" s="170"/>
      <c r="R1380" s="171"/>
      <c r="S1380" s="172"/>
    </row>
    <row r="1381" spans="1:19" ht="42.75">
      <c r="A1381" s="164" t="s">
        <v>777</v>
      </c>
      <c r="B1381" s="165" t="s">
        <v>1269</v>
      </c>
      <c r="C1381" s="165" t="s">
        <v>4950</v>
      </c>
      <c r="D1381" s="164">
        <v>4249</v>
      </c>
      <c r="E1381" s="164">
        <v>4347</v>
      </c>
      <c r="F1381" s="164" t="s">
        <v>3955</v>
      </c>
      <c r="G1381" s="164"/>
      <c r="H1381" s="167"/>
      <c r="I1381" s="167"/>
      <c r="J1381" s="167"/>
      <c r="K1381" s="169"/>
      <c r="L1381" s="129"/>
      <c r="M1381" s="129"/>
      <c r="N1381" s="129"/>
      <c r="O1381" s="129"/>
      <c r="P1381" s="146"/>
      <c r="Q1381" s="170"/>
      <c r="R1381" s="171"/>
      <c r="S1381" s="172"/>
    </row>
    <row r="1382" spans="1:19" ht="42.75">
      <c r="A1382" s="164" t="s">
        <v>777</v>
      </c>
      <c r="B1382" s="165" t="s">
        <v>1269</v>
      </c>
      <c r="C1382" s="165" t="s">
        <v>3918</v>
      </c>
      <c r="D1382" s="164">
        <v>1031</v>
      </c>
      <c r="E1382" s="164">
        <v>1080</v>
      </c>
      <c r="F1382" s="164" t="s">
        <v>3955</v>
      </c>
      <c r="G1382" s="164"/>
      <c r="H1382" s="167"/>
      <c r="I1382" s="167"/>
      <c r="J1382" s="167"/>
      <c r="K1382" s="169"/>
      <c r="L1382" s="129"/>
      <c r="M1382" s="129"/>
      <c r="N1382" s="129"/>
      <c r="O1382" s="129"/>
      <c r="P1382" s="146"/>
      <c r="Q1382" s="170"/>
      <c r="R1382" s="171"/>
      <c r="S1382" s="172"/>
    </row>
    <row r="1383" spans="1:19" ht="42.75">
      <c r="A1383" s="164" t="s">
        <v>777</v>
      </c>
      <c r="B1383" s="165" t="s">
        <v>1269</v>
      </c>
      <c r="C1383" s="165" t="s">
        <v>4952</v>
      </c>
      <c r="D1383" s="164">
        <v>3073</v>
      </c>
      <c r="E1383" s="164">
        <v>3236</v>
      </c>
      <c r="F1383" s="164" t="s">
        <v>3955</v>
      </c>
      <c r="G1383" s="164"/>
      <c r="H1383" s="167"/>
      <c r="I1383" s="167"/>
      <c r="J1383" s="167"/>
      <c r="K1383" s="169"/>
      <c r="L1383" s="129"/>
      <c r="M1383" s="129"/>
      <c r="N1383" s="129"/>
      <c r="O1383" s="129"/>
      <c r="P1383" s="146"/>
      <c r="Q1383" s="170"/>
      <c r="R1383" s="171"/>
      <c r="S1383" s="172"/>
    </row>
    <row r="1384" spans="1:19" ht="42.75">
      <c r="A1384" s="164" t="s">
        <v>777</v>
      </c>
      <c r="B1384" s="165" t="s">
        <v>1269</v>
      </c>
      <c r="C1384" s="165" t="s">
        <v>3667</v>
      </c>
      <c r="D1384" s="164">
        <v>2476</v>
      </c>
      <c r="E1384" s="164">
        <v>2735</v>
      </c>
      <c r="F1384" s="164" t="s">
        <v>3955</v>
      </c>
      <c r="G1384" s="164"/>
      <c r="H1384" s="167"/>
      <c r="I1384" s="167"/>
      <c r="J1384" s="167"/>
      <c r="K1384" s="169"/>
      <c r="L1384" s="129"/>
      <c r="M1384" s="129"/>
      <c r="N1384" s="129"/>
      <c r="O1384" s="129"/>
      <c r="P1384" s="146"/>
      <c r="Q1384" s="170"/>
      <c r="R1384" s="171"/>
      <c r="S1384" s="172"/>
    </row>
    <row r="1385" spans="1:19" ht="42.75">
      <c r="A1385" s="164" t="s">
        <v>777</v>
      </c>
      <c r="B1385" s="165" t="s">
        <v>1274</v>
      </c>
      <c r="C1385" s="165" t="s">
        <v>4956</v>
      </c>
      <c r="D1385" s="164">
        <v>2494</v>
      </c>
      <c r="E1385" s="164">
        <v>2538</v>
      </c>
      <c r="F1385" s="164" t="s">
        <v>3955</v>
      </c>
      <c r="G1385" s="164"/>
      <c r="H1385" s="167"/>
      <c r="I1385" s="167"/>
      <c r="J1385" s="167"/>
      <c r="K1385" s="169"/>
      <c r="L1385" s="129"/>
      <c r="M1385" s="129"/>
      <c r="N1385" s="129"/>
      <c r="O1385" s="129"/>
      <c r="P1385" s="146"/>
      <c r="Q1385" s="170"/>
      <c r="R1385" s="171"/>
      <c r="S1385" s="172"/>
    </row>
    <row r="1386" spans="1:19" ht="42.75">
      <c r="A1386" s="164" t="s">
        <v>777</v>
      </c>
      <c r="B1386" s="165" t="s">
        <v>1274</v>
      </c>
      <c r="C1386" s="165" t="s">
        <v>4958</v>
      </c>
      <c r="D1386" s="164">
        <v>1236</v>
      </c>
      <c r="E1386" s="164">
        <v>1259</v>
      </c>
      <c r="F1386" s="164" t="s">
        <v>3404</v>
      </c>
      <c r="G1386" s="164">
        <v>2024</v>
      </c>
      <c r="H1386" s="241">
        <v>45397</v>
      </c>
      <c r="I1386" s="175">
        <v>45398</v>
      </c>
      <c r="J1386" s="191" t="s">
        <v>7204</v>
      </c>
      <c r="K1386" s="174">
        <v>45399</v>
      </c>
      <c r="L1386" s="129" t="s">
        <v>3470</v>
      </c>
      <c r="M1386" s="129"/>
      <c r="N1386" s="129"/>
      <c r="O1386" s="129" t="s">
        <v>3406</v>
      </c>
      <c r="P1386" s="146"/>
      <c r="Q1386" s="170"/>
      <c r="R1386" s="171"/>
      <c r="S1386" s="172"/>
    </row>
    <row r="1387" spans="1:19" ht="42.75">
      <c r="A1387" s="164" t="s">
        <v>777</v>
      </c>
      <c r="B1387" s="165" t="s">
        <v>1274</v>
      </c>
      <c r="C1387" s="165" t="s">
        <v>4959</v>
      </c>
      <c r="D1387" s="164">
        <v>1432</v>
      </c>
      <c r="E1387" s="164">
        <v>1572</v>
      </c>
      <c r="F1387" s="164" t="s">
        <v>3404</v>
      </c>
      <c r="G1387" s="164">
        <v>2024</v>
      </c>
      <c r="H1387" s="246">
        <v>45397</v>
      </c>
      <c r="I1387" s="221">
        <v>45398</v>
      </c>
      <c r="J1387" s="247" t="s">
        <v>7205</v>
      </c>
      <c r="K1387" s="174">
        <v>45399</v>
      </c>
      <c r="L1387" s="129" t="s">
        <v>3470</v>
      </c>
      <c r="M1387" s="129"/>
      <c r="N1387" s="129"/>
      <c r="O1387" s="129" t="s">
        <v>3406</v>
      </c>
      <c r="P1387" s="146"/>
      <c r="Q1387" s="170"/>
      <c r="R1387" s="171"/>
      <c r="S1387" s="172"/>
    </row>
    <row r="1388" spans="1:19" ht="42.75">
      <c r="A1388" s="164" t="s">
        <v>777</v>
      </c>
      <c r="B1388" s="165" t="s">
        <v>1274</v>
      </c>
      <c r="C1388" s="165" t="s">
        <v>4960</v>
      </c>
      <c r="D1388" s="164">
        <v>2174</v>
      </c>
      <c r="E1388" s="164">
        <v>2268</v>
      </c>
      <c r="F1388" s="164" t="s">
        <v>3955</v>
      </c>
      <c r="G1388" s="164"/>
      <c r="H1388" s="167"/>
      <c r="I1388" s="167"/>
      <c r="J1388" s="167"/>
      <c r="K1388" s="169"/>
      <c r="L1388" s="129"/>
      <c r="M1388" s="129"/>
      <c r="N1388" s="129"/>
      <c r="O1388" s="129"/>
      <c r="P1388" s="146"/>
      <c r="Q1388" s="170"/>
      <c r="R1388" s="171"/>
      <c r="S1388" s="172"/>
    </row>
    <row r="1389" spans="1:19" ht="42.75">
      <c r="A1389" s="164" t="s">
        <v>777</v>
      </c>
      <c r="B1389" s="165" t="s">
        <v>1274</v>
      </c>
      <c r="C1389" s="165" t="s">
        <v>4962</v>
      </c>
      <c r="D1389" s="164">
        <v>889</v>
      </c>
      <c r="E1389" s="164">
        <v>933</v>
      </c>
      <c r="F1389" s="164" t="s">
        <v>3955</v>
      </c>
      <c r="G1389" s="164"/>
      <c r="H1389" s="167"/>
      <c r="I1389" s="167"/>
      <c r="J1389" s="167"/>
      <c r="K1389" s="169"/>
      <c r="L1389" s="129"/>
      <c r="M1389" s="129"/>
      <c r="N1389" s="129"/>
      <c r="O1389" s="129"/>
      <c r="P1389" s="146"/>
      <c r="Q1389" s="170"/>
      <c r="R1389" s="171"/>
      <c r="S1389" s="172"/>
    </row>
    <row r="1390" spans="1:19" ht="42.75">
      <c r="A1390" s="164" t="s">
        <v>777</v>
      </c>
      <c r="B1390" s="165" t="s">
        <v>1274</v>
      </c>
      <c r="C1390" s="165" t="s">
        <v>4683</v>
      </c>
      <c r="D1390" s="164">
        <v>2763</v>
      </c>
      <c r="E1390" s="164">
        <v>3030</v>
      </c>
      <c r="F1390" s="164" t="s">
        <v>3404</v>
      </c>
      <c r="G1390" s="164">
        <v>2024</v>
      </c>
      <c r="H1390" s="175">
        <v>45419</v>
      </c>
      <c r="I1390" s="175">
        <v>45423</v>
      </c>
      <c r="J1390" s="168" t="s">
        <v>7206</v>
      </c>
      <c r="K1390" s="174">
        <v>45427</v>
      </c>
      <c r="L1390" s="129" t="s">
        <v>3532</v>
      </c>
      <c r="M1390" s="129"/>
      <c r="N1390" s="129"/>
      <c r="O1390" s="129" t="s">
        <v>3406</v>
      </c>
      <c r="P1390" s="146"/>
      <c r="Q1390" s="170"/>
      <c r="R1390" s="171"/>
      <c r="S1390" s="172"/>
    </row>
    <row r="1391" spans="1:19" ht="42.75">
      <c r="A1391" s="164" t="s">
        <v>777</v>
      </c>
      <c r="B1391" s="165" t="s">
        <v>1274</v>
      </c>
      <c r="C1391" s="165" t="s">
        <v>4964</v>
      </c>
      <c r="D1391" s="164">
        <v>2384</v>
      </c>
      <c r="E1391" s="164">
        <v>2500</v>
      </c>
      <c r="F1391" s="164" t="s">
        <v>3955</v>
      </c>
      <c r="G1391" s="164"/>
      <c r="H1391" s="167"/>
      <c r="I1391" s="167"/>
      <c r="J1391" s="167"/>
      <c r="K1391" s="169"/>
      <c r="L1391" s="129"/>
      <c r="M1391" s="129"/>
      <c r="N1391" s="129"/>
      <c r="O1391" s="129"/>
      <c r="P1391" s="146"/>
      <c r="Q1391" s="170"/>
      <c r="R1391" s="171"/>
      <c r="S1391" s="172"/>
    </row>
    <row r="1392" spans="1:19" ht="42.75">
      <c r="A1392" s="164" t="s">
        <v>777</v>
      </c>
      <c r="B1392" s="165" t="s">
        <v>1274</v>
      </c>
      <c r="C1392" s="165" t="s">
        <v>4966</v>
      </c>
      <c r="D1392" s="164">
        <v>1040</v>
      </c>
      <c r="E1392" s="164">
        <v>1222</v>
      </c>
      <c r="F1392" s="164" t="s">
        <v>3955</v>
      </c>
      <c r="G1392" s="164"/>
      <c r="H1392" s="167"/>
      <c r="I1392" s="167"/>
      <c r="J1392" s="167"/>
      <c r="K1392" s="169"/>
      <c r="L1392" s="129"/>
      <c r="M1392" s="129"/>
      <c r="N1392" s="129"/>
      <c r="O1392" s="129"/>
      <c r="P1392" s="146"/>
      <c r="Q1392" s="170"/>
      <c r="R1392" s="171"/>
      <c r="S1392" s="172"/>
    </row>
    <row r="1393" spans="1:19" ht="42.75">
      <c r="A1393" s="164" t="s">
        <v>777</v>
      </c>
      <c r="B1393" s="165" t="s">
        <v>1274</v>
      </c>
      <c r="C1393" s="165" t="s">
        <v>4967</v>
      </c>
      <c r="D1393" s="164">
        <v>1339</v>
      </c>
      <c r="E1393" s="164">
        <v>1481</v>
      </c>
      <c r="F1393" s="164" t="s">
        <v>3955</v>
      </c>
      <c r="G1393" s="164"/>
      <c r="H1393" s="167"/>
      <c r="I1393" s="167"/>
      <c r="J1393" s="167"/>
      <c r="K1393" s="169"/>
      <c r="L1393" s="129"/>
      <c r="M1393" s="129"/>
      <c r="N1393" s="129"/>
      <c r="O1393" s="129"/>
      <c r="P1393" s="146"/>
      <c r="Q1393" s="170"/>
      <c r="R1393" s="171"/>
      <c r="S1393" s="172"/>
    </row>
    <row r="1394" spans="1:19" ht="42.75">
      <c r="A1394" s="164" t="s">
        <v>777</v>
      </c>
      <c r="B1394" s="165" t="s">
        <v>1274</v>
      </c>
      <c r="C1394" s="165" t="s">
        <v>4797</v>
      </c>
      <c r="D1394" s="164">
        <v>690</v>
      </c>
      <c r="E1394" s="164">
        <v>739</v>
      </c>
      <c r="F1394" s="164" t="s">
        <v>3955</v>
      </c>
      <c r="G1394" s="164"/>
      <c r="H1394" s="167"/>
      <c r="I1394" s="167"/>
      <c r="J1394" s="167"/>
      <c r="K1394" s="169"/>
      <c r="L1394" s="129"/>
      <c r="M1394" s="129"/>
      <c r="N1394" s="129"/>
      <c r="O1394" s="129"/>
      <c r="P1394" s="146"/>
      <c r="Q1394" s="170"/>
      <c r="R1394" s="171"/>
      <c r="S1394" s="172"/>
    </row>
    <row r="1395" spans="1:19" ht="42.75">
      <c r="A1395" s="164" t="s">
        <v>777</v>
      </c>
      <c r="B1395" s="165" t="s">
        <v>1274</v>
      </c>
      <c r="C1395" s="165" t="s">
        <v>4969</v>
      </c>
      <c r="D1395" s="164">
        <v>1487</v>
      </c>
      <c r="E1395" s="164">
        <v>1629</v>
      </c>
      <c r="F1395" s="164" t="s">
        <v>3955</v>
      </c>
      <c r="G1395" s="164"/>
      <c r="H1395" s="167"/>
      <c r="I1395" s="167"/>
      <c r="J1395" s="167"/>
      <c r="K1395" s="169"/>
      <c r="L1395" s="129"/>
      <c r="M1395" s="129"/>
      <c r="N1395" s="129"/>
      <c r="O1395" s="129"/>
      <c r="P1395" s="146"/>
      <c r="Q1395" s="170"/>
      <c r="R1395" s="171"/>
      <c r="S1395" s="172"/>
    </row>
    <row r="1396" spans="1:19" ht="42.75">
      <c r="A1396" s="164" t="s">
        <v>777</v>
      </c>
      <c r="B1396" s="165" t="s">
        <v>1274</v>
      </c>
      <c r="C1396" s="165" t="s">
        <v>4954</v>
      </c>
      <c r="D1396" s="164">
        <v>2175</v>
      </c>
      <c r="E1396" s="164">
        <v>2431</v>
      </c>
      <c r="F1396" s="164" t="s">
        <v>3404</v>
      </c>
      <c r="G1396" s="164">
        <v>2024</v>
      </c>
      <c r="H1396" s="175">
        <v>45419</v>
      </c>
      <c r="I1396" s="175">
        <v>45423</v>
      </c>
      <c r="J1396" s="168" t="s">
        <v>7207</v>
      </c>
      <c r="K1396" s="174">
        <v>45427</v>
      </c>
      <c r="L1396" s="129" t="s">
        <v>3532</v>
      </c>
      <c r="M1396" s="129"/>
      <c r="N1396" s="129"/>
      <c r="O1396" s="129" t="s">
        <v>3406</v>
      </c>
      <c r="P1396" s="146"/>
      <c r="Q1396" s="170"/>
      <c r="R1396" s="171"/>
      <c r="S1396" s="172"/>
    </row>
    <row r="1397" spans="1:19" ht="42.75">
      <c r="A1397" s="164" t="s">
        <v>777</v>
      </c>
      <c r="B1397" s="165" t="s">
        <v>1274</v>
      </c>
      <c r="C1397" s="165" t="s">
        <v>1135</v>
      </c>
      <c r="D1397" s="164">
        <v>3492</v>
      </c>
      <c r="E1397" s="164">
        <v>3711</v>
      </c>
      <c r="F1397" s="164" t="s">
        <v>3404</v>
      </c>
      <c r="G1397" s="164">
        <v>2024</v>
      </c>
      <c r="H1397" s="175">
        <v>45504</v>
      </c>
      <c r="I1397" s="175">
        <v>45512</v>
      </c>
      <c r="J1397" s="168" t="s">
        <v>7208</v>
      </c>
      <c r="K1397" s="174">
        <v>45516</v>
      </c>
      <c r="L1397" s="129" t="s">
        <v>3126</v>
      </c>
      <c r="M1397" s="129" t="s">
        <v>4</v>
      </c>
      <c r="N1397" s="129" t="s">
        <v>50</v>
      </c>
      <c r="O1397" s="129" t="s">
        <v>3406</v>
      </c>
      <c r="P1397" s="146"/>
      <c r="Q1397" s="170">
        <v>45517</v>
      </c>
      <c r="R1397" s="171" t="s">
        <v>6643</v>
      </c>
      <c r="S1397" s="172"/>
    </row>
    <row r="1398" spans="1:19" ht="42.75">
      <c r="A1398" s="164" t="s">
        <v>777</v>
      </c>
      <c r="B1398" s="165" t="s">
        <v>1274</v>
      </c>
      <c r="C1398" s="165" t="s">
        <v>3608</v>
      </c>
      <c r="D1398" s="164">
        <v>3400</v>
      </c>
      <c r="E1398" s="164">
        <v>3551</v>
      </c>
      <c r="F1398" s="164" t="s">
        <v>3404</v>
      </c>
      <c r="G1398" s="164">
        <v>2024</v>
      </c>
      <c r="H1398" s="175">
        <v>45504</v>
      </c>
      <c r="I1398" s="175">
        <v>45512</v>
      </c>
      <c r="J1398" s="168" t="s">
        <v>7209</v>
      </c>
      <c r="K1398" s="174">
        <v>45516</v>
      </c>
      <c r="L1398" s="129" t="s">
        <v>3126</v>
      </c>
      <c r="M1398" s="129" t="s">
        <v>4</v>
      </c>
      <c r="N1398" s="129" t="s">
        <v>50</v>
      </c>
      <c r="O1398" s="129" t="s">
        <v>3406</v>
      </c>
      <c r="P1398" s="146"/>
      <c r="Q1398" s="170">
        <v>45517</v>
      </c>
      <c r="R1398" s="171" t="s">
        <v>6643</v>
      </c>
      <c r="S1398" s="172"/>
    </row>
    <row r="1399" spans="1:19" ht="42.75">
      <c r="A1399" s="164" t="s">
        <v>777</v>
      </c>
      <c r="B1399" s="165" t="s">
        <v>1274</v>
      </c>
      <c r="C1399" s="165" t="s">
        <v>1225</v>
      </c>
      <c r="D1399" s="164">
        <v>1914</v>
      </c>
      <c r="E1399" s="164">
        <v>1984</v>
      </c>
      <c r="F1399" s="164" t="s">
        <v>3404</v>
      </c>
      <c r="G1399" s="164">
        <v>2024</v>
      </c>
      <c r="H1399" s="175">
        <v>45419</v>
      </c>
      <c r="I1399" s="175">
        <v>45423</v>
      </c>
      <c r="J1399" s="168" t="s">
        <v>7210</v>
      </c>
      <c r="K1399" s="174">
        <v>45427</v>
      </c>
      <c r="L1399" s="129" t="s">
        <v>3532</v>
      </c>
      <c r="M1399" s="129"/>
      <c r="N1399" s="129"/>
      <c r="O1399" s="129" t="s">
        <v>3406</v>
      </c>
      <c r="P1399" s="146"/>
      <c r="Q1399" s="170"/>
      <c r="R1399" s="171"/>
      <c r="S1399" s="172"/>
    </row>
    <row r="1400" spans="1:19" ht="42.75">
      <c r="A1400" s="164" t="s">
        <v>777</v>
      </c>
      <c r="B1400" s="165" t="s">
        <v>1274</v>
      </c>
      <c r="C1400" s="165" t="s">
        <v>4024</v>
      </c>
      <c r="D1400" s="164">
        <v>2177</v>
      </c>
      <c r="E1400" s="164">
        <v>2229</v>
      </c>
      <c r="F1400" s="164" t="s">
        <v>3955</v>
      </c>
      <c r="G1400" s="164"/>
      <c r="H1400" s="167"/>
      <c r="I1400" s="167"/>
      <c r="J1400" s="167"/>
      <c r="K1400" s="169"/>
      <c r="L1400" s="129"/>
      <c r="M1400" s="129"/>
      <c r="N1400" s="129"/>
      <c r="O1400" s="129"/>
      <c r="P1400" s="146"/>
      <c r="Q1400" s="170"/>
      <c r="R1400" s="171"/>
      <c r="S1400" s="172"/>
    </row>
    <row r="1401" spans="1:19" ht="42.75">
      <c r="A1401" s="164" t="s">
        <v>777</v>
      </c>
      <c r="B1401" s="165" t="s">
        <v>1274</v>
      </c>
      <c r="C1401" s="165" t="s">
        <v>1439</v>
      </c>
      <c r="D1401" s="164">
        <v>455</v>
      </c>
      <c r="E1401" s="164">
        <v>577</v>
      </c>
      <c r="F1401" s="164" t="s">
        <v>3404</v>
      </c>
      <c r="G1401" s="164">
        <v>2024</v>
      </c>
      <c r="H1401" s="175">
        <v>45611</v>
      </c>
      <c r="I1401" s="175">
        <v>45617</v>
      </c>
      <c r="J1401" s="168" t="s">
        <v>7211</v>
      </c>
      <c r="K1401" s="174">
        <v>45628</v>
      </c>
      <c r="L1401" s="129" t="s">
        <v>3129</v>
      </c>
      <c r="M1401" s="129" t="s">
        <v>4</v>
      </c>
      <c r="N1401" s="129" t="s">
        <v>50</v>
      </c>
      <c r="O1401" s="129" t="s">
        <v>3406</v>
      </c>
      <c r="P1401" s="146"/>
      <c r="Q1401" s="170">
        <v>45628</v>
      </c>
      <c r="R1401" s="171" t="s">
        <v>6643</v>
      </c>
      <c r="S1401" s="172"/>
    </row>
    <row r="1402" spans="1:19" ht="42.75">
      <c r="A1402" s="164" t="s">
        <v>777</v>
      </c>
      <c r="B1402" s="165" t="s">
        <v>1274</v>
      </c>
      <c r="C1402" s="165" t="s">
        <v>1166</v>
      </c>
      <c r="D1402" s="164">
        <v>1356</v>
      </c>
      <c r="E1402" s="164">
        <v>1427</v>
      </c>
      <c r="F1402" s="164" t="s">
        <v>3955</v>
      </c>
      <c r="G1402" s="164"/>
      <c r="H1402" s="167"/>
      <c r="I1402" s="167"/>
      <c r="J1402" s="196"/>
      <c r="K1402" s="169"/>
      <c r="L1402" s="129"/>
      <c r="M1402" s="129"/>
      <c r="N1402" s="129"/>
      <c r="O1402" s="129"/>
      <c r="P1402" s="146"/>
      <c r="Q1402" s="170"/>
      <c r="R1402" s="171"/>
      <c r="S1402" s="172"/>
    </row>
    <row r="1403" spans="1:19" ht="42.75">
      <c r="A1403" s="164" t="s">
        <v>777</v>
      </c>
      <c r="B1403" s="165" t="s">
        <v>1274</v>
      </c>
      <c r="C1403" s="165" t="s">
        <v>3975</v>
      </c>
      <c r="D1403" s="164">
        <v>1635</v>
      </c>
      <c r="E1403" s="164">
        <v>1910</v>
      </c>
      <c r="F1403" s="164" t="s">
        <v>3955</v>
      </c>
      <c r="G1403" s="164"/>
      <c r="H1403" s="167"/>
      <c r="I1403" s="236"/>
      <c r="J1403" s="169"/>
      <c r="K1403" s="237"/>
      <c r="L1403" s="129"/>
      <c r="M1403" s="129"/>
      <c r="N1403" s="129"/>
      <c r="O1403" s="129"/>
      <c r="P1403" s="146"/>
      <c r="Q1403" s="170"/>
      <c r="R1403" s="171"/>
      <c r="S1403" s="172"/>
    </row>
    <row r="1404" spans="1:19" ht="42.75">
      <c r="A1404" s="164" t="s">
        <v>777</v>
      </c>
      <c r="B1404" s="165" t="s">
        <v>1274</v>
      </c>
      <c r="C1404" s="165" t="s">
        <v>1474</v>
      </c>
      <c r="D1404" s="164">
        <v>3003</v>
      </c>
      <c r="E1404" s="164">
        <v>3185</v>
      </c>
      <c r="F1404" s="164" t="s">
        <v>3404</v>
      </c>
      <c r="G1404" s="164">
        <v>2024</v>
      </c>
      <c r="H1404" s="175">
        <v>45387</v>
      </c>
      <c r="I1404" s="221">
        <v>45390</v>
      </c>
      <c r="J1404" s="248" t="s">
        <v>7212</v>
      </c>
      <c r="K1404" s="193">
        <v>45394</v>
      </c>
      <c r="L1404" s="129" t="s">
        <v>3470</v>
      </c>
      <c r="M1404" s="129"/>
      <c r="N1404" s="129"/>
      <c r="O1404" s="129" t="s">
        <v>3406</v>
      </c>
      <c r="P1404" s="146"/>
      <c r="Q1404" s="170"/>
      <c r="R1404" s="171"/>
      <c r="S1404" s="172"/>
    </row>
    <row r="1405" spans="1:19" ht="42.75">
      <c r="A1405" s="164" t="s">
        <v>777</v>
      </c>
      <c r="B1405" s="165" t="s">
        <v>1274</v>
      </c>
      <c r="C1405" s="165" t="s">
        <v>4971</v>
      </c>
      <c r="D1405" s="164">
        <v>1153</v>
      </c>
      <c r="E1405" s="164">
        <v>1187</v>
      </c>
      <c r="F1405" s="164" t="s">
        <v>3955</v>
      </c>
      <c r="G1405" s="164"/>
      <c r="H1405" s="167"/>
      <c r="I1405" s="167"/>
      <c r="J1405" s="167"/>
      <c r="K1405" s="169"/>
      <c r="L1405" s="129"/>
      <c r="M1405" s="129"/>
      <c r="N1405" s="129"/>
      <c r="O1405" s="129"/>
      <c r="P1405" s="146"/>
      <c r="Q1405" s="170"/>
      <c r="R1405" s="171"/>
      <c r="S1405" s="172"/>
    </row>
    <row r="1406" spans="1:19" ht="42.75">
      <c r="A1406" s="164" t="s">
        <v>777</v>
      </c>
      <c r="B1406" s="165" t="s">
        <v>1274</v>
      </c>
      <c r="C1406" s="165" t="s">
        <v>4957</v>
      </c>
      <c r="D1406" s="164">
        <v>1013</v>
      </c>
      <c r="E1406" s="164">
        <v>918</v>
      </c>
      <c r="F1406" s="164" t="s">
        <v>3404</v>
      </c>
      <c r="G1406" s="164">
        <v>2024</v>
      </c>
      <c r="H1406" s="175">
        <v>45419</v>
      </c>
      <c r="I1406" s="175">
        <v>45423</v>
      </c>
      <c r="J1406" s="168" t="s">
        <v>7213</v>
      </c>
      <c r="K1406" s="174">
        <v>45427</v>
      </c>
      <c r="L1406" s="129" t="s">
        <v>3532</v>
      </c>
      <c r="M1406" s="129"/>
      <c r="N1406" s="129"/>
      <c r="O1406" s="129" t="s">
        <v>3406</v>
      </c>
      <c r="P1406" s="146"/>
      <c r="Q1406" s="170"/>
      <c r="R1406" s="171"/>
      <c r="S1406" s="172"/>
    </row>
    <row r="1407" spans="1:19" ht="42.75">
      <c r="A1407" s="164" t="s">
        <v>777</v>
      </c>
      <c r="B1407" s="165" t="s">
        <v>1278</v>
      </c>
      <c r="C1407" s="165" t="s">
        <v>4974</v>
      </c>
      <c r="D1407" s="164">
        <v>1358</v>
      </c>
      <c r="E1407" s="164">
        <v>1485</v>
      </c>
      <c r="F1407" s="164" t="s">
        <v>3955</v>
      </c>
      <c r="G1407" s="164"/>
      <c r="H1407" s="167"/>
      <c r="I1407" s="167"/>
      <c r="J1407" s="167"/>
      <c r="K1407" s="169"/>
      <c r="L1407" s="129"/>
      <c r="M1407" s="129"/>
      <c r="N1407" s="129"/>
      <c r="O1407" s="129"/>
      <c r="P1407" s="146"/>
      <c r="Q1407" s="170"/>
      <c r="R1407" s="171"/>
      <c r="S1407" s="172"/>
    </row>
    <row r="1408" spans="1:19" ht="42.75">
      <c r="A1408" s="164" t="s">
        <v>777</v>
      </c>
      <c r="B1408" s="165" t="s">
        <v>1278</v>
      </c>
      <c r="C1408" s="165" t="s">
        <v>4976</v>
      </c>
      <c r="D1408" s="164">
        <v>1675</v>
      </c>
      <c r="E1408" s="164">
        <v>1788</v>
      </c>
      <c r="F1408" s="164" t="s">
        <v>3404</v>
      </c>
      <c r="G1408" s="164">
        <v>2024</v>
      </c>
      <c r="H1408" s="175">
        <v>45517</v>
      </c>
      <c r="I1408" s="175">
        <v>45524</v>
      </c>
      <c r="J1408" s="168" t="s">
        <v>7214</v>
      </c>
      <c r="K1408" s="174">
        <v>45526</v>
      </c>
      <c r="L1408" s="129" t="s">
        <v>3127</v>
      </c>
      <c r="M1408" s="129" t="s">
        <v>4</v>
      </c>
      <c r="N1408" s="129" t="s">
        <v>50</v>
      </c>
      <c r="O1408" s="129" t="s">
        <v>3406</v>
      </c>
      <c r="P1408" s="146"/>
      <c r="Q1408" s="170">
        <v>45526</v>
      </c>
      <c r="R1408" s="171" t="s">
        <v>6643</v>
      </c>
      <c r="S1408" s="172"/>
    </row>
    <row r="1409" spans="1:19" ht="42.75">
      <c r="A1409" s="164" t="s">
        <v>777</v>
      </c>
      <c r="B1409" s="165" t="s">
        <v>1278</v>
      </c>
      <c r="C1409" s="165" t="s">
        <v>4977</v>
      </c>
      <c r="D1409" s="164">
        <v>945</v>
      </c>
      <c r="E1409" s="164">
        <v>922</v>
      </c>
      <c r="F1409" s="164" t="s">
        <v>3955</v>
      </c>
      <c r="G1409" s="164"/>
      <c r="H1409" s="167"/>
      <c r="I1409" s="167"/>
      <c r="J1409" s="167"/>
      <c r="K1409" s="169"/>
      <c r="L1409" s="129"/>
      <c r="M1409" s="129"/>
      <c r="N1409" s="129"/>
      <c r="O1409" s="129"/>
      <c r="P1409" s="146"/>
      <c r="Q1409" s="170"/>
      <c r="R1409" s="171"/>
      <c r="S1409" s="172"/>
    </row>
    <row r="1410" spans="1:19" ht="42.75">
      <c r="A1410" s="164" t="s">
        <v>777</v>
      </c>
      <c r="B1410" s="165" t="s">
        <v>1278</v>
      </c>
      <c r="C1410" s="165" t="s">
        <v>4979</v>
      </c>
      <c r="D1410" s="164">
        <v>1840</v>
      </c>
      <c r="E1410" s="164">
        <v>1777</v>
      </c>
      <c r="F1410" s="164" t="s">
        <v>3955</v>
      </c>
      <c r="G1410" s="164"/>
      <c r="H1410" s="167"/>
      <c r="I1410" s="167"/>
      <c r="J1410" s="167"/>
      <c r="K1410" s="169"/>
      <c r="L1410" s="129"/>
      <c r="M1410" s="129"/>
      <c r="N1410" s="129"/>
      <c r="O1410" s="129"/>
      <c r="P1410" s="146"/>
      <c r="Q1410" s="170"/>
      <c r="R1410" s="171"/>
      <c r="S1410" s="172"/>
    </row>
    <row r="1411" spans="1:19" ht="42.75">
      <c r="A1411" s="164" t="s">
        <v>777</v>
      </c>
      <c r="B1411" s="165" t="s">
        <v>1278</v>
      </c>
      <c r="C1411" s="165" t="s">
        <v>4984</v>
      </c>
      <c r="D1411" s="164">
        <v>1640</v>
      </c>
      <c r="E1411" s="164">
        <v>1817</v>
      </c>
      <c r="F1411" s="164" t="s">
        <v>3404</v>
      </c>
      <c r="G1411" s="164">
        <v>2024</v>
      </c>
      <c r="H1411" s="175">
        <v>45541</v>
      </c>
      <c r="I1411" s="175">
        <v>45552</v>
      </c>
      <c r="J1411" s="168" t="s">
        <v>7215</v>
      </c>
      <c r="K1411" s="174">
        <v>45553</v>
      </c>
      <c r="L1411" s="129" t="s">
        <v>3127</v>
      </c>
      <c r="M1411" s="129" t="s">
        <v>4</v>
      </c>
      <c r="N1411" s="129" t="s">
        <v>50</v>
      </c>
      <c r="O1411" s="129" t="s">
        <v>3406</v>
      </c>
      <c r="P1411" s="146"/>
      <c r="Q1411" s="170">
        <v>45553</v>
      </c>
      <c r="R1411" s="171" t="s">
        <v>7216</v>
      </c>
      <c r="S1411" s="172"/>
    </row>
    <row r="1412" spans="1:19" ht="42.75">
      <c r="A1412" s="164" t="s">
        <v>777</v>
      </c>
      <c r="B1412" s="165" t="s">
        <v>1278</v>
      </c>
      <c r="C1412" s="165" t="s">
        <v>4980</v>
      </c>
      <c r="D1412" s="164">
        <v>3816</v>
      </c>
      <c r="E1412" s="164">
        <v>3971</v>
      </c>
      <c r="F1412" s="164" t="s">
        <v>3404</v>
      </c>
      <c r="G1412" s="164">
        <v>2024</v>
      </c>
      <c r="H1412" s="175">
        <v>45517</v>
      </c>
      <c r="I1412" s="175">
        <v>45524</v>
      </c>
      <c r="J1412" s="168" t="s">
        <v>7217</v>
      </c>
      <c r="K1412" s="174">
        <v>45526</v>
      </c>
      <c r="L1412" s="129" t="s">
        <v>3127</v>
      </c>
      <c r="M1412" s="129" t="s">
        <v>4</v>
      </c>
      <c r="N1412" s="129" t="s">
        <v>50</v>
      </c>
      <c r="O1412" s="129" t="s">
        <v>3406</v>
      </c>
      <c r="P1412" s="146"/>
      <c r="Q1412" s="170">
        <v>45526</v>
      </c>
      <c r="R1412" s="171" t="s">
        <v>6643</v>
      </c>
      <c r="S1412" s="172"/>
    </row>
    <row r="1413" spans="1:19" ht="42.75">
      <c r="A1413" s="164" t="s">
        <v>777</v>
      </c>
      <c r="B1413" s="165" t="s">
        <v>1278</v>
      </c>
      <c r="C1413" s="165" t="s">
        <v>4982</v>
      </c>
      <c r="D1413" s="164">
        <v>2677</v>
      </c>
      <c r="E1413" s="164">
        <v>2454</v>
      </c>
      <c r="F1413" s="164" t="s">
        <v>3955</v>
      </c>
      <c r="G1413" s="164"/>
      <c r="H1413" s="167"/>
      <c r="I1413" s="167"/>
      <c r="J1413" s="167"/>
      <c r="K1413" s="169"/>
      <c r="L1413" s="129"/>
      <c r="M1413" s="129"/>
      <c r="N1413" s="129"/>
      <c r="O1413" s="129"/>
      <c r="P1413" s="146"/>
      <c r="Q1413" s="170"/>
      <c r="R1413" s="171"/>
      <c r="S1413" s="172"/>
    </row>
    <row r="1414" spans="1:19" ht="42.75">
      <c r="A1414" s="164" t="s">
        <v>777</v>
      </c>
      <c r="B1414" s="165" t="s">
        <v>1278</v>
      </c>
      <c r="C1414" s="165" t="s">
        <v>1490</v>
      </c>
      <c r="D1414" s="164">
        <v>1502</v>
      </c>
      <c r="E1414" s="164">
        <v>1570</v>
      </c>
      <c r="F1414" s="164" t="s">
        <v>3404</v>
      </c>
      <c r="G1414" s="164">
        <v>2024</v>
      </c>
      <c r="H1414" s="175">
        <v>45518</v>
      </c>
      <c r="I1414" s="175">
        <v>45524</v>
      </c>
      <c r="J1414" s="168" t="s">
        <v>7218</v>
      </c>
      <c r="K1414" s="174">
        <v>45526</v>
      </c>
      <c r="L1414" s="129" t="s">
        <v>3127</v>
      </c>
      <c r="M1414" s="129" t="s">
        <v>4</v>
      </c>
      <c r="N1414" s="129" t="s">
        <v>50</v>
      </c>
      <c r="O1414" s="129" t="s">
        <v>3406</v>
      </c>
      <c r="P1414" s="146"/>
      <c r="Q1414" s="170">
        <v>45526</v>
      </c>
      <c r="R1414" s="171" t="s">
        <v>6643</v>
      </c>
      <c r="S1414" s="172"/>
    </row>
    <row r="1415" spans="1:19" ht="42.75">
      <c r="A1415" s="164" t="s">
        <v>777</v>
      </c>
      <c r="B1415" s="165" t="s">
        <v>1278</v>
      </c>
      <c r="C1415" s="165" t="s">
        <v>4983</v>
      </c>
      <c r="D1415" s="164">
        <v>1017</v>
      </c>
      <c r="E1415" s="164">
        <v>1075</v>
      </c>
      <c r="F1415" s="164" t="s">
        <v>3404</v>
      </c>
      <c r="G1415" s="164">
        <v>2024</v>
      </c>
      <c r="H1415" s="175">
        <v>45541</v>
      </c>
      <c r="I1415" s="175">
        <v>45552</v>
      </c>
      <c r="J1415" s="168" t="s">
        <v>7219</v>
      </c>
      <c r="K1415" s="174">
        <v>45553</v>
      </c>
      <c r="L1415" s="129" t="s">
        <v>3127</v>
      </c>
      <c r="M1415" s="129" t="s">
        <v>4</v>
      </c>
      <c r="N1415" s="129" t="s">
        <v>50</v>
      </c>
      <c r="O1415" s="129" t="s">
        <v>3406</v>
      </c>
      <c r="P1415" s="146"/>
      <c r="Q1415" s="170">
        <v>45553</v>
      </c>
      <c r="R1415" s="171" t="s">
        <v>7216</v>
      </c>
      <c r="S1415" s="172"/>
    </row>
    <row r="1416" spans="1:19" ht="42.75">
      <c r="A1416" s="164" t="s">
        <v>777</v>
      </c>
      <c r="B1416" s="165" t="s">
        <v>1278</v>
      </c>
      <c r="C1416" s="165" t="s">
        <v>4985</v>
      </c>
      <c r="D1416" s="164">
        <v>782</v>
      </c>
      <c r="E1416" s="164">
        <v>692</v>
      </c>
      <c r="F1416" s="164" t="s">
        <v>3955</v>
      </c>
      <c r="G1416" s="164"/>
      <c r="H1416" s="167"/>
      <c r="I1416" s="167"/>
      <c r="J1416" s="167"/>
      <c r="K1416" s="169"/>
      <c r="L1416" s="129"/>
      <c r="M1416" s="129"/>
      <c r="N1416" s="129"/>
      <c r="O1416" s="129"/>
      <c r="P1416" s="146"/>
      <c r="Q1416" s="170"/>
      <c r="R1416" s="171"/>
      <c r="S1416" s="172"/>
    </row>
    <row r="1417" spans="1:19" ht="42.75">
      <c r="A1417" s="164" t="s">
        <v>777</v>
      </c>
      <c r="B1417" s="165" t="s">
        <v>1278</v>
      </c>
      <c r="C1417" s="165" t="s">
        <v>1279</v>
      </c>
      <c r="D1417" s="164">
        <v>1743</v>
      </c>
      <c r="E1417" s="164">
        <v>2058</v>
      </c>
      <c r="F1417" s="164" t="s">
        <v>3955</v>
      </c>
      <c r="G1417" s="164"/>
      <c r="H1417" s="167"/>
      <c r="I1417" s="167"/>
      <c r="J1417" s="167"/>
      <c r="K1417" s="169"/>
      <c r="L1417" s="129"/>
      <c r="M1417" s="129"/>
      <c r="N1417" s="129"/>
      <c r="O1417" s="129"/>
      <c r="P1417" s="146"/>
      <c r="Q1417" s="170"/>
      <c r="R1417" s="171"/>
      <c r="S1417" s="172"/>
    </row>
    <row r="1418" spans="1:19" ht="42.75">
      <c r="A1418" s="164" t="s">
        <v>777</v>
      </c>
      <c r="B1418" s="165" t="s">
        <v>1278</v>
      </c>
      <c r="C1418" s="165" t="s">
        <v>4989</v>
      </c>
      <c r="D1418" s="164">
        <v>3998</v>
      </c>
      <c r="E1418" s="164">
        <v>4451</v>
      </c>
      <c r="F1418" s="164" t="s">
        <v>3955</v>
      </c>
      <c r="G1418" s="164"/>
      <c r="H1418" s="167"/>
      <c r="I1418" s="167"/>
      <c r="J1418" s="167"/>
      <c r="K1418" s="169"/>
      <c r="L1418" s="129"/>
      <c r="M1418" s="129"/>
      <c r="N1418" s="129"/>
      <c r="O1418" s="129"/>
      <c r="P1418" s="146"/>
      <c r="Q1418" s="170"/>
      <c r="R1418" s="171"/>
      <c r="S1418" s="172"/>
    </row>
    <row r="1419" spans="1:19" ht="42.75">
      <c r="A1419" s="164" t="s">
        <v>777</v>
      </c>
      <c r="B1419" s="165" t="s">
        <v>1278</v>
      </c>
      <c r="C1419" s="165" t="s">
        <v>1286</v>
      </c>
      <c r="D1419" s="164">
        <v>884</v>
      </c>
      <c r="E1419" s="164">
        <v>765</v>
      </c>
      <c r="F1419" s="164" t="s">
        <v>3955</v>
      </c>
      <c r="G1419" s="164"/>
      <c r="H1419" s="167"/>
      <c r="I1419" s="167"/>
      <c r="J1419" s="167"/>
      <c r="K1419" s="169"/>
      <c r="L1419" s="129"/>
      <c r="M1419" s="129"/>
      <c r="N1419" s="129"/>
      <c r="O1419" s="129"/>
      <c r="P1419" s="146"/>
      <c r="Q1419" s="170"/>
      <c r="R1419" s="171"/>
      <c r="S1419" s="172"/>
    </row>
    <row r="1420" spans="1:19" ht="42.75">
      <c r="A1420" s="164" t="s">
        <v>777</v>
      </c>
      <c r="B1420" s="165" t="s">
        <v>1278</v>
      </c>
      <c r="C1420" s="165" t="s">
        <v>4991</v>
      </c>
      <c r="D1420" s="164">
        <v>659</v>
      </c>
      <c r="E1420" s="164">
        <v>566</v>
      </c>
      <c r="F1420" s="164" t="s">
        <v>3955</v>
      </c>
      <c r="G1420" s="164"/>
      <c r="H1420" s="167"/>
      <c r="I1420" s="167"/>
      <c r="J1420" s="167"/>
      <c r="K1420" s="169"/>
      <c r="L1420" s="129"/>
      <c r="M1420" s="129"/>
      <c r="N1420" s="129"/>
      <c r="O1420" s="129"/>
      <c r="P1420" s="146"/>
      <c r="Q1420" s="170"/>
      <c r="R1420" s="171"/>
      <c r="S1420" s="172"/>
    </row>
    <row r="1421" spans="1:19" ht="42.75">
      <c r="A1421" s="164" t="s">
        <v>777</v>
      </c>
      <c r="B1421" s="165" t="s">
        <v>1278</v>
      </c>
      <c r="C1421" s="165" t="s">
        <v>2068</v>
      </c>
      <c r="D1421" s="164">
        <v>1392</v>
      </c>
      <c r="E1421" s="164">
        <v>1700</v>
      </c>
      <c r="F1421" s="164" t="s">
        <v>3955</v>
      </c>
      <c r="G1421" s="164"/>
      <c r="H1421" s="167"/>
      <c r="I1421" s="167"/>
      <c r="J1421" s="167"/>
      <c r="K1421" s="169"/>
      <c r="L1421" s="129"/>
      <c r="M1421" s="129"/>
      <c r="N1421" s="129"/>
      <c r="O1421" s="129"/>
      <c r="P1421" s="146"/>
      <c r="Q1421" s="170"/>
      <c r="R1421" s="171"/>
      <c r="S1421" s="172"/>
    </row>
    <row r="1422" spans="1:19" ht="42.75">
      <c r="A1422" s="164" t="s">
        <v>777</v>
      </c>
      <c r="B1422" s="165" t="s">
        <v>1278</v>
      </c>
      <c r="C1422" s="165" t="s">
        <v>4830</v>
      </c>
      <c r="D1422" s="164">
        <v>1307</v>
      </c>
      <c r="E1422" s="164">
        <v>1387</v>
      </c>
      <c r="F1422" s="164" t="s">
        <v>3955</v>
      </c>
      <c r="G1422" s="164"/>
      <c r="H1422" s="167"/>
      <c r="I1422" s="167"/>
      <c r="J1422" s="167"/>
      <c r="K1422" s="169"/>
      <c r="L1422" s="129"/>
      <c r="M1422" s="129"/>
      <c r="N1422" s="129"/>
      <c r="O1422" s="129"/>
      <c r="P1422" s="146"/>
      <c r="Q1422" s="170"/>
      <c r="R1422" s="171"/>
      <c r="S1422" s="172"/>
    </row>
    <row r="1423" spans="1:19" ht="42.75">
      <c r="A1423" s="164" t="s">
        <v>777</v>
      </c>
      <c r="B1423" s="165" t="s">
        <v>1278</v>
      </c>
      <c r="C1423" s="165" t="s">
        <v>4993</v>
      </c>
      <c r="D1423" s="164">
        <v>1818</v>
      </c>
      <c r="E1423" s="164">
        <v>2092</v>
      </c>
      <c r="F1423" s="164" t="s">
        <v>3955</v>
      </c>
      <c r="G1423" s="164"/>
      <c r="H1423" s="167"/>
      <c r="I1423" s="167"/>
      <c r="J1423" s="167"/>
      <c r="K1423" s="169"/>
      <c r="L1423" s="129"/>
      <c r="M1423" s="129"/>
      <c r="N1423" s="129"/>
      <c r="O1423" s="129"/>
      <c r="P1423" s="146"/>
      <c r="Q1423" s="170"/>
      <c r="R1423" s="171"/>
      <c r="S1423" s="172"/>
    </row>
    <row r="1424" spans="1:19" ht="42.75">
      <c r="A1424" s="164" t="s">
        <v>777</v>
      </c>
      <c r="B1424" s="165" t="s">
        <v>1278</v>
      </c>
      <c r="C1424" s="165" t="s">
        <v>4995</v>
      </c>
      <c r="D1424" s="164">
        <v>1776</v>
      </c>
      <c r="E1424" s="164">
        <v>1798</v>
      </c>
      <c r="F1424" s="164" t="s">
        <v>3955</v>
      </c>
      <c r="G1424" s="164"/>
      <c r="H1424" s="167"/>
      <c r="I1424" s="167"/>
      <c r="J1424" s="196"/>
      <c r="K1424" s="169"/>
      <c r="L1424" s="129"/>
      <c r="M1424" s="129"/>
      <c r="N1424" s="129"/>
      <c r="O1424" s="129"/>
      <c r="P1424" s="146"/>
      <c r="Q1424" s="170"/>
      <c r="R1424" s="171"/>
      <c r="S1424" s="172"/>
    </row>
    <row r="1425" spans="1:19" ht="42.75">
      <c r="A1425" s="164" t="s">
        <v>777</v>
      </c>
      <c r="B1425" s="165" t="s">
        <v>1278</v>
      </c>
      <c r="C1425" s="165" t="s">
        <v>1884</v>
      </c>
      <c r="D1425" s="164">
        <v>2119</v>
      </c>
      <c r="E1425" s="164">
        <v>2189</v>
      </c>
      <c r="F1425" s="164" t="s">
        <v>3404</v>
      </c>
      <c r="G1425" s="164">
        <v>2024</v>
      </c>
      <c r="H1425" s="175">
        <v>45385</v>
      </c>
      <c r="I1425" s="221">
        <v>45395</v>
      </c>
      <c r="J1425" s="235" t="s">
        <v>7220</v>
      </c>
      <c r="K1425" s="193">
        <v>45399</v>
      </c>
      <c r="L1425" s="129" t="s">
        <v>3470</v>
      </c>
      <c r="M1425" s="129"/>
      <c r="N1425" s="129"/>
      <c r="O1425" s="129" t="s">
        <v>3406</v>
      </c>
      <c r="P1425" s="146"/>
      <c r="Q1425" s="170"/>
      <c r="R1425" s="171"/>
      <c r="S1425" s="172"/>
    </row>
    <row r="1426" spans="1:19" ht="42.75">
      <c r="A1426" s="164" t="s">
        <v>777</v>
      </c>
      <c r="B1426" s="165" t="s">
        <v>1278</v>
      </c>
      <c r="C1426" s="165" t="s">
        <v>4987</v>
      </c>
      <c r="D1426" s="164">
        <v>1664</v>
      </c>
      <c r="E1426" s="164">
        <v>1823</v>
      </c>
      <c r="F1426" s="164" t="s">
        <v>3955</v>
      </c>
      <c r="G1426" s="164"/>
      <c r="H1426" s="167"/>
      <c r="I1426" s="167"/>
      <c r="J1426" s="167"/>
      <c r="K1426" s="169"/>
      <c r="L1426" s="129"/>
      <c r="M1426" s="129"/>
      <c r="N1426" s="129"/>
      <c r="O1426" s="129"/>
      <c r="P1426" s="146"/>
      <c r="Q1426" s="170"/>
      <c r="R1426" s="171"/>
      <c r="S1426" s="172"/>
    </row>
    <row r="1427" spans="1:19" ht="42.75">
      <c r="A1427" s="164" t="s">
        <v>777</v>
      </c>
      <c r="B1427" s="165" t="s">
        <v>1278</v>
      </c>
      <c r="C1427" s="165" t="s">
        <v>1180</v>
      </c>
      <c r="D1427" s="164">
        <v>4967</v>
      </c>
      <c r="E1427" s="164">
        <v>5239</v>
      </c>
      <c r="F1427" s="164" t="s">
        <v>3955</v>
      </c>
      <c r="G1427" s="164"/>
      <c r="H1427" s="167"/>
      <c r="I1427" s="167"/>
      <c r="J1427" s="167"/>
      <c r="K1427" s="169"/>
      <c r="L1427" s="129"/>
      <c r="M1427" s="129"/>
      <c r="N1427" s="129"/>
      <c r="O1427" s="129"/>
      <c r="P1427" s="146"/>
      <c r="Q1427" s="170"/>
      <c r="R1427" s="171"/>
      <c r="S1427" s="172"/>
    </row>
    <row r="1428" spans="1:19" ht="42.75">
      <c r="A1428" s="164" t="s">
        <v>777</v>
      </c>
      <c r="B1428" s="165" t="s">
        <v>1278</v>
      </c>
      <c r="C1428" s="165" t="s">
        <v>1253</v>
      </c>
      <c r="D1428" s="164">
        <v>1578</v>
      </c>
      <c r="E1428" s="164">
        <v>1660</v>
      </c>
      <c r="F1428" s="164" t="s">
        <v>3955</v>
      </c>
      <c r="G1428" s="164"/>
      <c r="H1428" s="167"/>
      <c r="I1428" s="167"/>
      <c r="J1428" s="167"/>
      <c r="K1428" s="169"/>
      <c r="L1428" s="129"/>
      <c r="M1428" s="129"/>
      <c r="N1428" s="129"/>
      <c r="O1428" s="129"/>
      <c r="P1428" s="146"/>
      <c r="Q1428" s="170"/>
      <c r="R1428" s="171"/>
      <c r="S1428" s="172"/>
    </row>
    <row r="1429" spans="1:19" ht="42.75">
      <c r="A1429" s="164" t="s">
        <v>777</v>
      </c>
      <c r="B1429" s="165" t="s">
        <v>1278</v>
      </c>
      <c r="C1429" s="165" t="s">
        <v>3974</v>
      </c>
      <c r="D1429" s="164">
        <v>1980</v>
      </c>
      <c r="E1429" s="164">
        <v>1925</v>
      </c>
      <c r="F1429" s="164" t="s">
        <v>3955</v>
      </c>
      <c r="G1429" s="164"/>
      <c r="H1429" s="167"/>
      <c r="I1429" s="167"/>
      <c r="J1429" s="167"/>
      <c r="K1429" s="169"/>
      <c r="L1429" s="129"/>
      <c r="M1429" s="129"/>
      <c r="N1429" s="129"/>
      <c r="O1429" s="129"/>
      <c r="P1429" s="146"/>
      <c r="Q1429" s="170"/>
      <c r="R1429" s="171"/>
      <c r="S1429" s="172"/>
    </row>
    <row r="1430" spans="1:19" ht="42.75">
      <c r="A1430" s="164" t="s">
        <v>777</v>
      </c>
      <c r="B1430" s="165" t="s">
        <v>1278</v>
      </c>
      <c r="C1430" s="165" t="s">
        <v>3133</v>
      </c>
      <c r="D1430" s="164">
        <v>651</v>
      </c>
      <c r="E1430" s="164">
        <v>713</v>
      </c>
      <c r="F1430" s="164" t="s">
        <v>3955</v>
      </c>
      <c r="G1430" s="164"/>
      <c r="H1430" s="167"/>
      <c r="I1430" s="167"/>
      <c r="J1430" s="167"/>
      <c r="K1430" s="169"/>
      <c r="L1430" s="129"/>
      <c r="M1430" s="129"/>
      <c r="N1430" s="129"/>
      <c r="O1430" s="129"/>
      <c r="P1430" s="146"/>
      <c r="Q1430" s="170"/>
      <c r="R1430" s="171"/>
      <c r="S1430" s="172"/>
    </row>
    <row r="1431" spans="1:19" ht="42.75">
      <c r="A1431" s="164" t="s">
        <v>777</v>
      </c>
      <c r="B1431" s="165" t="s">
        <v>1317</v>
      </c>
      <c r="C1431" s="165" t="s">
        <v>4569</v>
      </c>
      <c r="D1431" s="164">
        <v>2033</v>
      </c>
      <c r="E1431" s="164">
        <v>2031</v>
      </c>
      <c r="F1431" s="164" t="s">
        <v>3955</v>
      </c>
      <c r="G1431" s="164"/>
      <c r="H1431" s="167"/>
      <c r="I1431" s="167"/>
      <c r="J1431" s="196"/>
      <c r="K1431" s="169"/>
      <c r="L1431" s="129"/>
      <c r="M1431" s="129"/>
      <c r="N1431" s="129"/>
      <c r="O1431" s="129"/>
      <c r="P1431" s="146"/>
      <c r="Q1431" s="170"/>
      <c r="R1431" s="171"/>
      <c r="S1431" s="172"/>
    </row>
    <row r="1432" spans="1:19" ht="42.75">
      <c r="A1432" s="164" t="s">
        <v>777</v>
      </c>
      <c r="B1432" s="165" t="s">
        <v>1317</v>
      </c>
      <c r="C1432" s="165" t="s">
        <v>4698</v>
      </c>
      <c r="D1432" s="164">
        <v>2039</v>
      </c>
      <c r="E1432" s="164">
        <v>1865</v>
      </c>
      <c r="F1432" s="164" t="s">
        <v>3404</v>
      </c>
      <c r="G1432" s="164">
        <v>2024</v>
      </c>
      <c r="H1432" s="175">
        <v>45603</v>
      </c>
      <c r="I1432" s="221">
        <v>45607</v>
      </c>
      <c r="J1432" s="181" t="s">
        <v>7221</v>
      </c>
      <c r="K1432" s="193">
        <v>45612</v>
      </c>
      <c r="L1432" s="129" t="s">
        <v>3129</v>
      </c>
      <c r="M1432" s="129" t="s">
        <v>4</v>
      </c>
      <c r="N1432" s="129" t="s">
        <v>50</v>
      </c>
      <c r="O1432" s="129" t="s">
        <v>3406</v>
      </c>
      <c r="P1432" s="146"/>
      <c r="Q1432" s="170">
        <v>45614</v>
      </c>
      <c r="R1432" s="171" t="s">
        <v>150</v>
      </c>
      <c r="S1432" s="172"/>
    </row>
    <row r="1433" spans="1:19" ht="42.75">
      <c r="A1433" s="164" t="s">
        <v>777</v>
      </c>
      <c r="B1433" s="165" t="s">
        <v>1317</v>
      </c>
      <c r="C1433" s="165" t="s">
        <v>4535</v>
      </c>
      <c r="D1433" s="164">
        <v>10345</v>
      </c>
      <c r="E1433" s="164">
        <v>11104</v>
      </c>
      <c r="F1433" s="164" t="s">
        <v>3955</v>
      </c>
      <c r="G1433" s="164"/>
      <c r="H1433" s="167"/>
      <c r="I1433" s="167"/>
      <c r="J1433" s="167"/>
      <c r="K1433" s="169"/>
      <c r="L1433" s="129"/>
      <c r="M1433" s="129"/>
      <c r="N1433" s="129"/>
      <c r="O1433" s="129"/>
      <c r="P1433" s="146"/>
      <c r="Q1433" s="170"/>
      <c r="R1433" s="171"/>
      <c r="S1433" s="172"/>
    </row>
    <row r="1434" spans="1:19" ht="42.75">
      <c r="A1434" s="164" t="s">
        <v>777</v>
      </c>
      <c r="B1434" s="165" t="s">
        <v>1317</v>
      </c>
      <c r="C1434" s="165" t="s">
        <v>5210</v>
      </c>
      <c r="D1434" s="164">
        <v>2793</v>
      </c>
      <c r="E1434" s="164">
        <v>2868</v>
      </c>
      <c r="F1434" s="164" t="s">
        <v>3404</v>
      </c>
      <c r="G1434" s="164">
        <v>2024</v>
      </c>
      <c r="H1434" s="175">
        <v>45321</v>
      </c>
      <c r="I1434" s="175">
        <v>45321</v>
      </c>
      <c r="J1434" s="168" t="s">
        <v>7222</v>
      </c>
      <c r="K1434" s="169"/>
      <c r="L1434" s="129" t="s">
        <v>3458</v>
      </c>
      <c r="M1434" s="129"/>
      <c r="N1434" s="129"/>
      <c r="O1434" s="129" t="s">
        <v>3406</v>
      </c>
      <c r="P1434" s="146"/>
      <c r="Q1434" s="170"/>
      <c r="R1434" s="171"/>
      <c r="S1434" s="172"/>
    </row>
    <row r="1435" spans="1:19" ht="42.75">
      <c r="A1435" s="164" t="s">
        <v>777</v>
      </c>
      <c r="B1435" s="165" t="s">
        <v>1317</v>
      </c>
      <c r="C1435" s="165" t="s">
        <v>5211</v>
      </c>
      <c r="D1435" s="164">
        <v>1264</v>
      </c>
      <c r="E1435" s="164">
        <v>1259</v>
      </c>
      <c r="F1435" s="164" t="s">
        <v>3955</v>
      </c>
      <c r="G1435" s="164"/>
      <c r="H1435" s="167"/>
      <c r="I1435" s="167"/>
      <c r="J1435" s="167"/>
      <c r="K1435" s="169"/>
      <c r="L1435" s="129"/>
      <c r="M1435" s="129"/>
      <c r="N1435" s="129"/>
      <c r="O1435" s="129"/>
      <c r="P1435" s="146"/>
      <c r="Q1435" s="170"/>
      <c r="R1435" s="171"/>
      <c r="S1435" s="172"/>
    </row>
    <row r="1436" spans="1:19" ht="42.75">
      <c r="A1436" s="164" t="s">
        <v>777</v>
      </c>
      <c r="B1436" s="165" t="s">
        <v>1317</v>
      </c>
      <c r="C1436" s="165" t="s">
        <v>5212</v>
      </c>
      <c r="D1436" s="164">
        <v>1080</v>
      </c>
      <c r="E1436" s="164">
        <v>1170</v>
      </c>
      <c r="F1436" s="164" t="s">
        <v>3955</v>
      </c>
      <c r="G1436" s="164"/>
      <c r="H1436" s="167"/>
      <c r="I1436" s="167"/>
      <c r="J1436" s="167"/>
      <c r="K1436" s="169"/>
      <c r="L1436" s="129"/>
      <c r="M1436" s="129"/>
      <c r="N1436" s="129"/>
      <c r="O1436" s="129"/>
      <c r="P1436" s="146"/>
      <c r="Q1436" s="170"/>
      <c r="R1436" s="171"/>
      <c r="S1436" s="172"/>
    </row>
    <row r="1437" spans="1:19" ht="42.75">
      <c r="A1437" s="164" t="s">
        <v>777</v>
      </c>
      <c r="B1437" s="165" t="s">
        <v>1317</v>
      </c>
      <c r="C1437" s="165" t="s">
        <v>5214</v>
      </c>
      <c r="D1437" s="164">
        <v>968</v>
      </c>
      <c r="E1437" s="164">
        <v>1009</v>
      </c>
      <c r="F1437" s="164" t="s">
        <v>3955</v>
      </c>
      <c r="G1437" s="164"/>
      <c r="H1437" s="167"/>
      <c r="I1437" s="167"/>
      <c r="J1437" s="167"/>
      <c r="K1437" s="169"/>
      <c r="L1437" s="129"/>
      <c r="M1437" s="129"/>
      <c r="N1437" s="129"/>
      <c r="O1437" s="129"/>
      <c r="P1437" s="146"/>
      <c r="Q1437" s="170"/>
      <c r="R1437" s="171"/>
      <c r="S1437" s="172"/>
    </row>
    <row r="1438" spans="1:19" ht="42.75">
      <c r="A1438" s="164" t="s">
        <v>777</v>
      </c>
      <c r="B1438" s="165" t="s">
        <v>1317</v>
      </c>
      <c r="C1438" s="165" t="s">
        <v>5216</v>
      </c>
      <c r="D1438" s="164">
        <v>3200</v>
      </c>
      <c r="E1438" s="164">
        <v>3783</v>
      </c>
      <c r="F1438" s="164" t="s">
        <v>3955</v>
      </c>
      <c r="G1438" s="164"/>
      <c r="H1438" s="167"/>
      <c r="I1438" s="167"/>
      <c r="J1438" s="167"/>
      <c r="K1438" s="169"/>
      <c r="L1438" s="129"/>
      <c r="M1438" s="129"/>
      <c r="N1438" s="129"/>
      <c r="O1438" s="129"/>
      <c r="P1438" s="146"/>
      <c r="Q1438" s="170"/>
      <c r="R1438" s="171"/>
      <c r="S1438" s="172"/>
    </row>
    <row r="1439" spans="1:19" ht="42.75">
      <c r="A1439" s="164" t="s">
        <v>777</v>
      </c>
      <c r="B1439" s="165" t="s">
        <v>1317</v>
      </c>
      <c r="C1439" s="165" t="s">
        <v>4531</v>
      </c>
      <c r="D1439" s="164">
        <v>1201</v>
      </c>
      <c r="E1439" s="164">
        <v>1305</v>
      </c>
      <c r="F1439" s="164" t="s">
        <v>3955</v>
      </c>
      <c r="G1439" s="164"/>
      <c r="H1439" s="167"/>
      <c r="I1439" s="167"/>
      <c r="J1439" s="196"/>
      <c r="K1439" s="169"/>
      <c r="L1439" s="129"/>
      <c r="M1439" s="129"/>
      <c r="N1439" s="129"/>
      <c r="O1439" s="129"/>
      <c r="P1439" s="146"/>
      <c r="Q1439" s="170"/>
      <c r="R1439" s="171"/>
      <c r="S1439" s="172"/>
    </row>
    <row r="1440" spans="1:19" ht="42.75">
      <c r="A1440" s="164" t="s">
        <v>777</v>
      </c>
      <c r="B1440" s="165" t="s">
        <v>1317</v>
      </c>
      <c r="C1440" s="165" t="s">
        <v>1318</v>
      </c>
      <c r="D1440" s="164">
        <v>2650</v>
      </c>
      <c r="E1440" s="164">
        <v>2822</v>
      </c>
      <c r="F1440" s="164" t="s">
        <v>3404</v>
      </c>
      <c r="G1440" s="164">
        <v>2024</v>
      </c>
      <c r="H1440" s="175">
        <v>45603</v>
      </c>
      <c r="I1440" s="221">
        <v>45607</v>
      </c>
      <c r="J1440" s="181" t="s">
        <v>7223</v>
      </c>
      <c r="K1440" s="193">
        <v>45612</v>
      </c>
      <c r="L1440" s="129" t="s">
        <v>3129</v>
      </c>
      <c r="M1440" s="129" t="s">
        <v>4</v>
      </c>
      <c r="N1440" s="129" t="s">
        <v>50</v>
      </c>
      <c r="O1440" s="129" t="s">
        <v>3406</v>
      </c>
      <c r="P1440" s="146"/>
      <c r="Q1440" s="170">
        <v>45614</v>
      </c>
      <c r="R1440" s="171" t="s">
        <v>150</v>
      </c>
      <c r="S1440" s="172"/>
    </row>
    <row r="1441" spans="1:19" ht="42.75">
      <c r="A1441" s="164" t="s">
        <v>777</v>
      </c>
      <c r="B1441" s="165" t="s">
        <v>1317</v>
      </c>
      <c r="C1441" s="165" t="s">
        <v>1193</v>
      </c>
      <c r="D1441" s="164">
        <v>2118</v>
      </c>
      <c r="E1441" s="164">
        <v>2309</v>
      </c>
      <c r="F1441" s="164" t="s">
        <v>3955</v>
      </c>
      <c r="G1441" s="164"/>
      <c r="H1441" s="167"/>
      <c r="I1441" s="167"/>
      <c r="J1441" s="167"/>
      <c r="K1441" s="169"/>
      <c r="L1441" s="129"/>
      <c r="M1441" s="129"/>
      <c r="N1441" s="129"/>
      <c r="O1441" s="129"/>
      <c r="P1441" s="146"/>
      <c r="Q1441" s="170"/>
      <c r="R1441" s="171"/>
      <c r="S1441" s="172"/>
    </row>
    <row r="1442" spans="1:19" ht="42.75">
      <c r="A1442" s="164" t="s">
        <v>777</v>
      </c>
      <c r="B1442" s="165" t="s">
        <v>1317</v>
      </c>
      <c r="C1442" s="165" t="s">
        <v>5219</v>
      </c>
      <c r="D1442" s="164">
        <v>940</v>
      </c>
      <c r="E1442" s="164">
        <v>1064</v>
      </c>
      <c r="F1442" s="164" t="s">
        <v>3955</v>
      </c>
      <c r="G1442" s="164"/>
      <c r="H1442" s="167"/>
      <c r="I1442" s="167"/>
      <c r="J1442" s="167"/>
      <c r="K1442" s="169"/>
      <c r="L1442" s="129"/>
      <c r="M1442" s="129"/>
      <c r="N1442" s="129"/>
      <c r="O1442" s="129"/>
      <c r="P1442" s="146"/>
      <c r="Q1442" s="170"/>
      <c r="R1442" s="171"/>
      <c r="S1442" s="172"/>
    </row>
    <row r="1443" spans="1:19" ht="42.75">
      <c r="A1443" s="164" t="s">
        <v>777</v>
      </c>
      <c r="B1443" s="165" t="s">
        <v>1317</v>
      </c>
      <c r="C1443" s="165" t="s">
        <v>5221</v>
      </c>
      <c r="D1443" s="164">
        <v>1613</v>
      </c>
      <c r="E1443" s="164">
        <v>1521</v>
      </c>
      <c r="F1443" s="164" t="s">
        <v>3955</v>
      </c>
      <c r="G1443" s="164"/>
      <c r="H1443" s="167"/>
      <c r="I1443" s="167"/>
      <c r="J1443" s="167"/>
      <c r="K1443" s="169"/>
      <c r="L1443" s="129"/>
      <c r="M1443" s="129"/>
      <c r="N1443" s="129"/>
      <c r="O1443" s="129"/>
      <c r="P1443" s="146"/>
      <c r="Q1443" s="170"/>
      <c r="R1443" s="171"/>
      <c r="S1443" s="172"/>
    </row>
    <row r="1444" spans="1:19" ht="42.75">
      <c r="A1444" s="164" t="s">
        <v>777</v>
      </c>
      <c r="B1444" s="165" t="s">
        <v>1317</v>
      </c>
      <c r="C1444" s="165" t="s">
        <v>5222</v>
      </c>
      <c r="D1444" s="164">
        <v>2985</v>
      </c>
      <c r="E1444" s="164">
        <v>3151</v>
      </c>
      <c r="F1444" s="164" t="s">
        <v>3404</v>
      </c>
      <c r="G1444" s="164">
        <v>2024</v>
      </c>
      <c r="H1444" s="175">
        <v>45541</v>
      </c>
      <c r="I1444" s="175">
        <v>45551</v>
      </c>
      <c r="J1444" s="168" t="s">
        <v>7224</v>
      </c>
      <c r="K1444" s="174">
        <v>45552</v>
      </c>
      <c r="L1444" s="129" t="s">
        <v>3988</v>
      </c>
      <c r="M1444" s="129" t="s">
        <v>1078</v>
      </c>
      <c r="N1444" s="129" t="s">
        <v>847</v>
      </c>
      <c r="O1444" s="129" t="s">
        <v>3406</v>
      </c>
      <c r="P1444" s="146"/>
      <c r="Q1444" s="170">
        <v>45553</v>
      </c>
      <c r="R1444" s="171" t="s">
        <v>7216</v>
      </c>
      <c r="S1444" s="172"/>
    </row>
    <row r="1445" spans="1:19" ht="42.75">
      <c r="A1445" s="164" t="s">
        <v>777</v>
      </c>
      <c r="B1445" s="165" t="s">
        <v>1317</v>
      </c>
      <c r="C1445" s="165" t="s">
        <v>5225</v>
      </c>
      <c r="D1445" s="164">
        <v>1688</v>
      </c>
      <c r="E1445" s="164">
        <v>1819</v>
      </c>
      <c r="F1445" s="164" t="s">
        <v>3955</v>
      </c>
      <c r="G1445" s="164"/>
      <c r="H1445" s="167"/>
      <c r="I1445" s="167"/>
      <c r="J1445" s="167"/>
      <c r="K1445" s="169"/>
      <c r="L1445" s="129"/>
      <c r="M1445" s="129"/>
      <c r="N1445" s="129"/>
      <c r="O1445" s="129"/>
      <c r="P1445" s="146"/>
      <c r="Q1445" s="170"/>
      <c r="R1445" s="171"/>
      <c r="S1445" s="172"/>
    </row>
    <row r="1446" spans="1:19" ht="42.75">
      <c r="A1446" s="164" t="s">
        <v>777</v>
      </c>
      <c r="B1446" s="165" t="s">
        <v>1317</v>
      </c>
      <c r="C1446" s="165" t="s">
        <v>5223</v>
      </c>
      <c r="D1446" s="164">
        <v>2205</v>
      </c>
      <c r="E1446" s="164">
        <v>2452</v>
      </c>
      <c r="F1446" s="164" t="s">
        <v>3955</v>
      </c>
      <c r="G1446" s="164"/>
      <c r="H1446" s="167"/>
      <c r="I1446" s="167"/>
      <c r="J1446" s="167"/>
      <c r="K1446" s="169"/>
      <c r="L1446" s="129"/>
      <c r="M1446" s="129"/>
      <c r="N1446" s="129"/>
      <c r="O1446" s="129"/>
      <c r="P1446" s="146"/>
      <c r="Q1446" s="170"/>
      <c r="R1446" s="171"/>
      <c r="S1446" s="172"/>
    </row>
    <row r="1447" spans="1:19" ht="42.75">
      <c r="A1447" s="164" t="s">
        <v>777</v>
      </c>
      <c r="B1447" s="165" t="s">
        <v>1317</v>
      </c>
      <c r="C1447" s="165" t="s">
        <v>1245</v>
      </c>
      <c r="D1447" s="164">
        <v>4643</v>
      </c>
      <c r="E1447" s="164">
        <v>4656</v>
      </c>
      <c r="F1447" s="164" t="s">
        <v>3955</v>
      </c>
      <c r="G1447" s="164">
        <v>2025</v>
      </c>
      <c r="H1447" s="167"/>
      <c r="I1447" s="167"/>
      <c r="J1447" s="167"/>
      <c r="K1447" s="169"/>
      <c r="L1447" s="129" t="s">
        <v>3424</v>
      </c>
      <c r="M1447" s="129"/>
      <c r="N1447" s="129"/>
      <c r="O1447" s="129"/>
      <c r="P1447" s="146"/>
      <c r="Q1447" s="170"/>
      <c r="R1447" s="171"/>
      <c r="S1447" s="172"/>
    </row>
    <row r="1448" spans="1:19" ht="42.75">
      <c r="A1448" s="164" t="s">
        <v>777</v>
      </c>
      <c r="B1448" s="165" t="s">
        <v>1317</v>
      </c>
      <c r="C1448" s="165" t="s">
        <v>4985</v>
      </c>
      <c r="D1448" s="164">
        <v>575</v>
      </c>
      <c r="E1448" s="164">
        <v>627</v>
      </c>
      <c r="F1448" s="164" t="s">
        <v>3955</v>
      </c>
      <c r="G1448" s="164"/>
      <c r="H1448" s="167"/>
      <c r="I1448" s="167"/>
      <c r="J1448" s="167"/>
      <c r="K1448" s="169"/>
      <c r="L1448" s="129"/>
      <c r="M1448" s="129"/>
      <c r="N1448" s="129"/>
      <c r="O1448" s="129"/>
      <c r="P1448" s="146"/>
      <c r="Q1448" s="170"/>
      <c r="R1448" s="171"/>
      <c r="S1448" s="172"/>
    </row>
    <row r="1449" spans="1:19" ht="42.75">
      <c r="A1449" s="164" t="s">
        <v>777</v>
      </c>
      <c r="B1449" s="165" t="s">
        <v>1317</v>
      </c>
      <c r="C1449" s="165" t="s">
        <v>5228</v>
      </c>
      <c r="D1449" s="164">
        <v>2935</v>
      </c>
      <c r="E1449" s="164">
        <v>2458</v>
      </c>
      <c r="F1449" s="164" t="s">
        <v>3955</v>
      </c>
      <c r="G1449" s="164"/>
      <c r="H1449" s="167"/>
      <c r="I1449" s="167"/>
      <c r="J1449" s="167"/>
      <c r="K1449" s="169"/>
      <c r="L1449" s="129"/>
      <c r="M1449" s="129"/>
      <c r="N1449" s="129"/>
      <c r="O1449" s="129"/>
      <c r="P1449" s="146"/>
      <c r="Q1449" s="170"/>
      <c r="R1449" s="171"/>
      <c r="S1449" s="172"/>
    </row>
    <row r="1450" spans="1:19" ht="42.75">
      <c r="A1450" s="164" t="s">
        <v>777</v>
      </c>
      <c r="B1450" s="165" t="s">
        <v>1317</v>
      </c>
      <c r="C1450" s="165" t="s">
        <v>5229</v>
      </c>
      <c r="D1450" s="164">
        <v>972</v>
      </c>
      <c r="E1450" s="164">
        <v>1093</v>
      </c>
      <c r="F1450" s="164" t="s">
        <v>3955</v>
      </c>
      <c r="G1450" s="164"/>
      <c r="H1450" s="167"/>
      <c r="I1450" s="167"/>
      <c r="J1450" s="167"/>
      <c r="K1450" s="169"/>
      <c r="L1450" s="129"/>
      <c r="M1450" s="129"/>
      <c r="N1450" s="129"/>
      <c r="O1450" s="129"/>
      <c r="P1450" s="146"/>
      <c r="Q1450" s="170"/>
      <c r="R1450" s="171"/>
      <c r="S1450" s="172"/>
    </row>
    <row r="1451" spans="1:19" ht="42.75">
      <c r="A1451" s="164" t="s">
        <v>777</v>
      </c>
      <c r="B1451" s="165" t="s">
        <v>1317</v>
      </c>
      <c r="C1451" s="165" t="s">
        <v>4874</v>
      </c>
      <c r="D1451" s="164">
        <v>586</v>
      </c>
      <c r="E1451" s="164">
        <v>584</v>
      </c>
      <c r="F1451" s="164" t="s">
        <v>3955</v>
      </c>
      <c r="G1451" s="164"/>
      <c r="H1451" s="167"/>
      <c r="I1451" s="167"/>
      <c r="J1451" s="167"/>
      <c r="K1451" s="169"/>
      <c r="L1451" s="129"/>
      <c r="M1451" s="129"/>
      <c r="N1451" s="129"/>
      <c r="O1451" s="129"/>
      <c r="P1451" s="146"/>
      <c r="Q1451" s="170"/>
      <c r="R1451" s="171"/>
      <c r="S1451" s="172"/>
    </row>
    <row r="1452" spans="1:19" ht="42.75">
      <c r="A1452" s="164" t="s">
        <v>777</v>
      </c>
      <c r="B1452" s="165" t="s">
        <v>1317</v>
      </c>
      <c r="C1452" s="165" t="s">
        <v>5230</v>
      </c>
      <c r="D1452" s="164">
        <v>2777</v>
      </c>
      <c r="E1452" s="164">
        <v>2987</v>
      </c>
      <c r="F1452" s="164" t="s">
        <v>3955</v>
      </c>
      <c r="G1452" s="164"/>
      <c r="H1452" s="167"/>
      <c r="I1452" s="167"/>
      <c r="J1452" s="167"/>
      <c r="K1452" s="169"/>
      <c r="L1452" s="129"/>
      <c r="M1452" s="129"/>
      <c r="N1452" s="129"/>
      <c r="O1452" s="129"/>
      <c r="P1452" s="146"/>
      <c r="Q1452" s="170"/>
      <c r="R1452" s="171"/>
      <c r="S1452" s="172"/>
    </row>
    <row r="1453" spans="1:19" ht="42.75">
      <c r="A1453" s="164" t="s">
        <v>777</v>
      </c>
      <c r="B1453" s="165" t="s">
        <v>1317</v>
      </c>
      <c r="C1453" s="165" t="s">
        <v>5231</v>
      </c>
      <c r="D1453" s="164">
        <v>963</v>
      </c>
      <c r="E1453" s="164">
        <v>990</v>
      </c>
      <c r="F1453" s="164" t="s">
        <v>3955</v>
      </c>
      <c r="G1453" s="164"/>
      <c r="H1453" s="167"/>
      <c r="I1453" s="167"/>
      <c r="J1453" s="196"/>
      <c r="K1453" s="169"/>
      <c r="L1453" s="129"/>
      <c r="M1453" s="129"/>
      <c r="N1453" s="129"/>
      <c r="O1453" s="129"/>
      <c r="P1453" s="146"/>
      <c r="Q1453" s="170"/>
      <c r="R1453" s="171"/>
      <c r="S1453" s="172"/>
    </row>
    <row r="1454" spans="1:19" ht="42.75">
      <c r="A1454" s="164" t="s">
        <v>777</v>
      </c>
      <c r="B1454" s="165" t="s">
        <v>1317</v>
      </c>
      <c r="C1454" s="165" t="s">
        <v>1286</v>
      </c>
      <c r="D1454" s="164">
        <v>2080</v>
      </c>
      <c r="E1454" s="164">
        <v>2006</v>
      </c>
      <c r="F1454" s="164" t="s">
        <v>3404</v>
      </c>
      <c r="G1454" s="164">
        <v>2024</v>
      </c>
      <c r="H1454" s="175">
        <v>45603</v>
      </c>
      <c r="I1454" s="221">
        <v>45607</v>
      </c>
      <c r="J1454" s="181" t="s">
        <v>7225</v>
      </c>
      <c r="K1454" s="193">
        <v>45612</v>
      </c>
      <c r="L1454" s="129" t="s">
        <v>3129</v>
      </c>
      <c r="M1454" s="129" t="s">
        <v>4</v>
      </c>
      <c r="N1454" s="129" t="s">
        <v>50</v>
      </c>
      <c r="O1454" s="129" t="s">
        <v>3406</v>
      </c>
      <c r="P1454" s="146"/>
      <c r="Q1454" s="170">
        <v>45614</v>
      </c>
      <c r="R1454" s="171" t="s">
        <v>150</v>
      </c>
      <c r="S1454" s="172"/>
    </row>
    <row r="1455" spans="1:19" ht="42.75">
      <c r="A1455" s="164" t="s">
        <v>777</v>
      </c>
      <c r="B1455" s="165" t="s">
        <v>1317</v>
      </c>
      <c r="C1455" s="165" t="s">
        <v>4991</v>
      </c>
      <c r="D1455" s="164">
        <v>2758</v>
      </c>
      <c r="E1455" s="164">
        <v>2707</v>
      </c>
      <c r="F1455" s="164" t="s">
        <v>3955</v>
      </c>
      <c r="G1455" s="164"/>
      <c r="H1455" s="167"/>
      <c r="I1455" s="167"/>
      <c r="J1455" s="196"/>
      <c r="K1455" s="169"/>
      <c r="L1455" s="129"/>
      <c r="M1455" s="129"/>
      <c r="N1455" s="129"/>
      <c r="O1455" s="129"/>
      <c r="P1455" s="146"/>
      <c r="Q1455" s="170"/>
      <c r="R1455" s="171"/>
      <c r="S1455" s="172"/>
    </row>
    <row r="1456" spans="1:19" ht="42.75">
      <c r="A1456" s="164" t="s">
        <v>777</v>
      </c>
      <c r="B1456" s="165" t="s">
        <v>1317</v>
      </c>
      <c r="C1456" s="165" t="s">
        <v>2068</v>
      </c>
      <c r="D1456" s="164">
        <v>2350</v>
      </c>
      <c r="E1456" s="164">
        <v>1790</v>
      </c>
      <c r="F1456" s="164" t="s">
        <v>3404</v>
      </c>
      <c r="G1456" s="164">
        <v>2024</v>
      </c>
      <c r="H1456" s="175">
        <v>45603</v>
      </c>
      <c r="I1456" s="221">
        <v>45607</v>
      </c>
      <c r="J1456" s="181" t="s">
        <v>7226</v>
      </c>
      <c r="K1456" s="193">
        <v>45612</v>
      </c>
      <c r="L1456" s="129" t="s">
        <v>3129</v>
      </c>
      <c r="M1456" s="129" t="s">
        <v>4</v>
      </c>
      <c r="N1456" s="129" t="s">
        <v>50</v>
      </c>
      <c r="O1456" s="129" t="s">
        <v>3406</v>
      </c>
      <c r="P1456" s="146"/>
      <c r="Q1456" s="170">
        <v>45614</v>
      </c>
      <c r="R1456" s="171" t="s">
        <v>150</v>
      </c>
      <c r="S1456" s="172"/>
    </row>
    <row r="1457" spans="1:19" ht="42.75">
      <c r="A1457" s="164" t="s">
        <v>777</v>
      </c>
      <c r="B1457" s="165" t="s">
        <v>1317</v>
      </c>
      <c r="C1457" s="165" t="s">
        <v>4830</v>
      </c>
      <c r="D1457" s="164">
        <v>4085</v>
      </c>
      <c r="E1457" s="164">
        <v>3247</v>
      </c>
      <c r="F1457" s="164" t="s">
        <v>3955</v>
      </c>
      <c r="G1457" s="164"/>
      <c r="H1457" s="167"/>
      <c r="I1457" s="167"/>
      <c r="J1457" s="167"/>
      <c r="K1457" s="169"/>
      <c r="L1457" s="129"/>
      <c r="M1457" s="129"/>
      <c r="N1457" s="129"/>
      <c r="O1457" s="129"/>
      <c r="P1457" s="146"/>
      <c r="Q1457" s="170"/>
      <c r="R1457" s="171"/>
      <c r="S1457" s="172"/>
    </row>
    <row r="1458" spans="1:19" ht="42.75">
      <c r="A1458" s="164" t="s">
        <v>777</v>
      </c>
      <c r="B1458" s="165" t="s">
        <v>1317</v>
      </c>
      <c r="C1458" s="165" t="s">
        <v>5233</v>
      </c>
      <c r="D1458" s="164">
        <v>2139</v>
      </c>
      <c r="E1458" s="164">
        <v>2311</v>
      </c>
      <c r="F1458" s="164" t="s">
        <v>3955</v>
      </c>
      <c r="G1458" s="164"/>
      <c r="H1458" s="167"/>
      <c r="I1458" s="167"/>
      <c r="J1458" s="167"/>
      <c r="K1458" s="169"/>
      <c r="L1458" s="129"/>
      <c r="M1458" s="129"/>
      <c r="N1458" s="129"/>
      <c r="O1458" s="129"/>
      <c r="P1458" s="146"/>
      <c r="Q1458" s="170"/>
      <c r="R1458" s="171"/>
      <c r="S1458" s="172"/>
    </row>
    <row r="1459" spans="1:19" ht="42.75">
      <c r="A1459" s="164" t="s">
        <v>777</v>
      </c>
      <c r="B1459" s="165" t="s">
        <v>1317</v>
      </c>
      <c r="C1459" s="165" t="s">
        <v>1299</v>
      </c>
      <c r="D1459" s="164">
        <v>1640</v>
      </c>
      <c r="E1459" s="164">
        <v>1751</v>
      </c>
      <c r="F1459" s="164" t="s">
        <v>3955</v>
      </c>
      <c r="G1459" s="164"/>
      <c r="H1459" s="167"/>
      <c r="I1459" s="167"/>
      <c r="J1459" s="167"/>
      <c r="K1459" s="169"/>
      <c r="L1459" s="129"/>
      <c r="M1459" s="129"/>
      <c r="N1459" s="129"/>
      <c r="O1459" s="129"/>
      <c r="P1459" s="146"/>
      <c r="Q1459" s="170"/>
      <c r="R1459" s="171"/>
      <c r="S1459" s="172"/>
    </row>
    <row r="1460" spans="1:19" ht="42.75">
      <c r="A1460" s="164" t="s">
        <v>777</v>
      </c>
      <c r="B1460" s="165" t="s">
        <v>1317</v>
      </c>
      <c r="C1460" s="165" t="s">
        <v>4882</v>
      </c>
      <c r="D1460" s="164">
        <v>1667</v>
      </c>
      <c r="E1460" s="164">
        <v>1798</v>
      </c>
      <c r="F1460" s="164" t="s">
        <v>3955</v>
      </c>
      <c r="G1460" s="164"/>
      <c r="H1460" s="167"/>
      <c r="I1460" s="167"/>
      <c r="J1460" s="167"/>
      <c r="K1460" s="169"/>
      <c r="L1460" s="129"/>
      <c r="M1460" s="129"/>
      <c r="N1460" s="129"/>
      <c r="O1460" s="129"/>
      <c r="P1460" s="146"/>
      <c r="Q1460" s="170"/>
      <c r="R1460" s="171"/>
      <c r="S1460" s="172"/>
    </row>
    <row r="1461" spans="1:19" ht="42.75">
      <c r="A1461" s="164" t="s">
        <v>777</v>
      </c>
      <c r="B1461" s="165" t="s">
        <v>1317</v>
      </c>
      <c r="C1461" s="165" t="s">
        <v>914</v>
      </c>
      <c r="D1461" s="164">
        <v>2166</v>
      </c>
      <c r="E1461" s="164">
        <v>2305</v>
      </c>
      <c r="F1461" s="164" t="s">
        <v>3955</v>
      </c>
      <c r="G1461" s="164"/>
      <c r="H1461" s="167"/>
      <c r="I1461" s="167"/>
      <c r="J1461" s="196"/>
      <c r="K1461" s="169"/>
      <c r="L1461" s="129"/>
      <c r="M1461" s="129"/>
      <c r="N1461" s="129"/>
      <c r="O1461" s="129"/>
      <c r="P1461" s="146"/>
      <c r="Q1461" s="170"/>
      <c r="R1461" s="171"/>
      <c r="S1461" s="172"/>
    </row>
    <row r="1462" spans="1:19" ht="42.75">
      <c r="A1462" s="164" t="s">
        <v>777</v>
      </c>
      <c r="B1462" s="165" t="s">
        <v>1317</v>
      </c>
      <c r="C1462" s="165" t="s">
        <v>1225</v>
      </c>
      <c r="D1462" s="164">
        <v>1973</v>
      </c>
      <c r="E1462" s="164">
        <v>2020</v>
      </c>
      <c r="F1462" s="164" t="s">
        <v>3404</v>
      </c>
      <c r="G1462" s="164">
        <v>2024</v>
      </c>
      <c r="H1462" s="175">
        <v>45604</v>
      </c>
      <c r="I1462" s="221">
        <v>45607</v>
      </c>
      <c r="J1462" s="181" t="s">
        <v>7227</v>
      </c>
      <c r="K1462" s="193">
        <v>45612</v>
      </c>
      <c r="L1462" s="129" t="s">
        <v>3129</v>
      </c>
      <c r="M1462" s="129" t="s">
        <v>4</v>
      </c>
      <c r="N1462" s="129" t="s">
        <v>50</v>
      </c>
      <c r="O1462" s="129" t="s">
        <v>3406</v>
      </c>
      <c r="P1462" s="146"/>
      <c r="Q1462" s="170">
        <v>45614</v>
      </c>
      <c r="R1462" s="171" t="s">
        <v>150</v>
      </c>
      <c r="S1462" s="172"/>
    </row>
    <row r="1463" spans="1:19" ht="42.75">
      <c r="A1463" s="164" t="s">
        <v>777</v>
      </c>
      <c r="B1463" s="165" t="s">
        <v>1317</v>
      </c>
      <c r="C1463" s="165" t="s">
        <v>5235</v>
      </c>
      <c r="D1463" s="164">
        <v>1483</v>
      </c>
      <c r="E1463" s="164">
        <v>1570</v>
      </c>
      <c r="F1463" s="164" t="s">
        <v>3955</v>
      </c>
      <c r="G1463" s="164"/>
      <c r="H1463" s="167"/>
      <c r="I1463" s="167"/>
      <c r="J1463" s="167"/>
      <c r="K1463" s="169"/>
      <c r="L1463" s="129"/>
      <c r="M1463" s="129"/>
      <c r="N1463" s="129"/>
      <c r="O1463" s="129"/>
      <c r="P1463" s="146"/>
      <c r="Q1463" s="170"/>
      <c r="R1463" s="171"/>
      <c r="S1463" s="172"/>
    </row>
    <row r="1464" spans="1:19" ht="42.75">
      <c r="A1464" s="164" t="s">
        <v>777</v>
      </c>
      <c r="B1464" s="165" t="s">
        <v>1317</v>
      </c>
      <c r="C1464" s="165" t="s">
        <v>5239</v>
      </c>
      <c r="D1464" s="164">
        <v>2811</v>
      </c>
      <c r="E1464" s="164">
        <v>2686</v>
      </c>
      <c r="F1464" s="164" t="s">
        <v>3955</v>
      </c>
      <c r="G1464" s="164"/>
      <c r="H1464" s="167"/>
      <c r="I1464" s="167"/>
      <c r="J1464" s="167"/>
      <c r="K1464" s="169"/>
      <c r="L1464" s="129"/>
      <c r="M1464" s="129"/>
      <c r="N1464" s="129"/>
      <c r="O1464" s="129"/>
      <c r="P1464" s="146"/>
      <c r="Q1464" s="170"/>
      <c r="R1464" s="171"/>
      <c r="S1464" s="172"/>
    </row>
    <row r="1465" spans="1:19" ht="42.75">
      <c r="A1465" s="164" t="s">
        <v>777</v>
      </c>
      <c r="B1465" s="165" t="s">
        <v>1317</v>
      </c>
      <c r="C1465" s="165" t="s">
        <v>5241</v>
      </c>
      <c r="D1465" s="164">
        <v>1301</v>
      </c>
      <c r="E1465" s="164">
        <v>2377</v>
      </c>
      <c r="F1465" s="164" t="s">
        <v>3955</v>
      </c>
      <c r="G1465" s="164"/>
      <c r="H1465" s="167"/>
      <c r="I1465" s="167"/>
      <c r="J1465" s="167"/>
      <c r="K1465" s="169"/>
      <c r="L1465" s="129"/>
      <c r="M1465" s="129"/>
      <c r="N1465" s="129"/>
      <c r="O1465" s="129"/>
      <c r="P1465" s="146"/>
      <c r="Q1465" s="170"/>
      <c r="R1465" s="171"/>
      <c r="S1465" s="172"/>
    </row>
    <row r="1466" spans="1:19" ht="42.75">
      <c r="A1466" s="164" t="s">
        <v>777</v>
      </c>
      <c r="B1466" s="165" t="s">
        <v>1317</v>
      </c>
      <c r="C1466" s="165" t="s">
        <v>5242</v>
      </c>
      <c r="D1466" s="164">
        <v>959</v>
      </c>
      <c r="E1466" s="164">
        <v>986</v>
      </c>
      <c r="F1466" s="164" t="s">
        <v>3955</v>
      </c>
      <c r="G1466" s="164"/>
      <c r="H1466" s="167"/>
      <c r="I1466" s="167"/>
      <c r="J1466" s="167"/>
      <c r="K1466" s="169"/>
      <c r="L1466" s="129"/>
      <c r="M1466" s="129"/>
      <c r="N1466" s="129"/>
      <c r="O1466" s="129"/>
      <c r="P1466" s="146"/>
      <c r="Q1466" s="170"/>
      <c r="R1466" s="171"/>
      <c r="S1466" s="172"/>
    </row>
    <row r="1467" spans="1:19" ht="42.75">
      <c r="A1467" s="164" t="s">
        <v>777</v>
      </c>
      <c r="B1467" s="165" t="s">
        <v>1317</v>
      </c>
      <c r="C1467" s="165" t="s">
        <v>5237</v>
      </c>
      <c r="D1467" s="164">
        <v>1498</v>
      </c>
      <c r="E1467" s="164">
        <v>1827</v>
      </c>
      <c r="F1467" s="164" t="s">
        <v>3955</v>
      </c>
      <c r="G1467" s="164"/>
      <c r="H1467" s="167"/>
      <c r="I1467" s="167"/>
      <c r="J1467" s="167"/>
      <c r="K1467" s="169"/>
      <c r="L1467" s="129"/>
      <c r="M1467" s="129"/>
      <c r="N1467" s="129"/>
      <c r="O1467" s="129"/>
      <c r="P1467" s="146"/>
      <c r="Q1467" s="170"/>
      <c r="R1467" s="171"/>
      <c r="S1467" s="172"/>
    </row>
    <row r="1468" spans="1:19" ht="42.75">
      <c r="A1468" s="164" t="s">
        <v>777</v>
      </c>
      <c r="B1468" s="165" t="s">
        <v>1120</v>
      </c>
      <c r="C1468" s="165" t="s">
        <v>5000</v>
      </c>
      <c r="D1468" s="164">
        <v>377</v>
      </c>
      <c r="E1468" s="164">
        <v>123</v>
      </c>
      <c r="F1468" s="164" t="s">
        <v>3955</v>
      </c>
      <c r="G1468" s="164"/>
      <c r="H1468" s="167"/>
      <c r="I1468" s="167"/>
      <c r="J1468" s="167"/>
      <c r="K1468" s="169"/>
      <c r="L1468" s="129"/>
      <c r="M1468" s="129"/>
      <c r="N1468" s="129"/>
      <c r="O1468" s="129"/>
      <c r="P1468" s="146"/>
      <c r="Q1468" s="170"/>
      <c r="R1468" s="171"/>
      <c r="S1468" s="172"/>
    </row>
    <row r="1469" spans="1:19" ht="42.75">
      <c r="A1469" s="164" t="s">
        <v>777</v>
      </c>
      <c r="B1469" s="165" t="s">
        <v>1120</v>
      </c>
      <c r="C1469" s="165" t="s">
        <v>5001</v>
      </c>
      <c r="D1469" s="164">
        <v>1573</v>
      </c>
      <c r="E1469" s="164">
        <v>1620</v>
      </c>
      <c r="F1469" s="164" t="s">
        <v>3955</v>
      </c>
      <c r="G1469" s="164"/>
      <c r="H1469" s="167"/>
      <c r="I1469" s="167"/>
      <c r="J1469" s="167"/>
      <c r="K1469" s="169"/>
      <c r="L1469" s="129"/>
      <c r="M1469" s="129"/>
      <c r="N1469" s="129"/>
      <c r="O1469" s="129"/>
      <c r="P1469" s="146"/>
      <c r="Q1469" s="170"/>
      <c r="R1469" s="171"/>
      <c r="S1469" s="172"/>
    </row>
    <row r="1470" spans="1:19" ht="42.75">
      <c r="A1470" s="164" t="s">
        <v>777</v>
      </c>
      <c r="B1470" s="165" t="s">
        <v>1120</v>
      </c>
      <c r="C1470" s="165" t="s">
        <v>5002</v>
      </c>
      <c r="D1470" s="164">
        <v>1727</v>
      </c>
      <c r="E1470" s="164">
        <v>1707</v>
      </c>
      <c r="F1470" s="164" t="s">
        <v>3955</v>
      </c>
      <c r="G1470" s="164"/>
      <c r="H1470" s="167"/>
      <c r="I1470" s="167"/>
      <c r="J1470" s="167"/>
      <c r="K1470" s="169"/>
      <c r="L1470" s="129"/>
      <c r="M1470" s="129"/>
      <c r="N1470" s="129"/>
      <c r="O1470" s="129"/>
      <c r="P1470" s="146"/>
      <c r="Q1470" s="170"/>
      <c r="R1470" s="171"/>
      <c r="S1470" s="172"/>
    </row>
    <row r="1471" spans="1:19" ht="42.75">
      <c r="A1471" s="164" t="s">
        <v>777</v>
      </c>
      <c r="B1471" s="165" t="s">
        <v>1120</v>
      </c>
      <c r="C1471" s="165" t="s">
        <v>5003</v>
      </c>
      <c r="D1471" s="164">
        <v>400</v>
      </c>
      <c r="E1471" s="164">
        <v>391</v>
      </c>
      <c r="F1471" s="164" t="s">
        <v>3955</v>
      </c>
      <c r="G1471" s="164"/>
      <c r="H1471" s="167"/>
      <c r="I1471" s="167"/>
      <c r="J1471" s="167"/>
      <c r="K1471" s="169"/>
      <c r="L1471" s="129"/>
      <c r="M1471" s="129"/>
      <c r="N1471" s="129"/>
      <c r="O1471" s="129"/>
      <c r="P1471" s="146"/>
      <c r="Q1471" s="170"/>
      <c r="R1471" s="171"/>
      <c r="S1471" s="172"/>
    </row>
    <row r="1472" spans="1:19" ht="42.75">
      <c r="A1472" s="164" t="s">
        <v>777</v>
      </c>
      <c r="B1472" s="165" t="s">
        <v>1120</v>
      </c>
      <c r="C1472" s="165" t="s">
        <v>5004</v>
      </c>
      <c r="D1472" s="164">
        <v>896</v>
      </c>
      <c r="E1472" s="164">
        <v>957</v>
      </c>
      <c r="F1472" s="164" t="s">
        <v>3955</v>
      </c>
      <c r="G1472" s="164"/>
      <c r="H1472" s="167"/>
      <c r="I1472" s="167"/>
      <c r="J1472" s="167"/>
      <c r="K1472" s="169"/>
      <c r="L1472" s="129"/>
      <c r="M1472" s="129"/>
      <c r="N1472" s="129"/>
      <c r="O1472" s="129"/>
      <c r="P1472" s="146"/>
      <c r="Q1472" s="170"/>
      <c r="R1472" s="171"/>
      <c r="S1472" s="172"/>
    </row>
    <row r="1473" spans="1:19" ht="42.75">
      <c r="A1473" s="164" t="s">
        <v>777</v>
      </c>
      <c r="B1473" s="165" t="s">
        <v>1120</v>
      </c>
      <c r="C1473" s="165" t="s">
        <v>5005</v>
      </c>
      <c r="D1473" s="164">
        <v>429</v>
      </c>
      <c r="E1473" s="164">
        <v>408</v>
      </c>
      <c r="F1473" s="164" t="s">
        <v>3955</v>
      </c>
      <c r="G1473" s="164"/>
      <c r="H1473" s="167"/>
      <c r="I1473" s="167"/>
      <c r="J1473" s="167"/>
      <c r="K1473" s="169"/>
      <c r="L1473" s="129"/>
      <c r="M1473" s="129"/>
      <c r="N1473" s="129"/>
      <c r="O1473" s="129"/>
      <c r="P1473" s="146"/>
      <c r="Q1473" s="170"/>
      <c r="R1473" s="171"/>
      <c r="S1473" s="172"/>
    </row>
    <row r="1474" spans="1:19" ht="42.75">
      <c r="A1474" s="164" t="s">
        <v>777</v>
      </c>
      <c r="B1474" s="165" t="s">
        <v>1120</v>
      </c>
      <c r="C1474" s="165" t="s">
        <v>5006</v>
      </c>
      <c r="D1474" s="164">
        <v>179</v>
      </c>
      <c r="E1474" s="164">
        <v>128</v>
      </c>
      <c r="F1474" s="164" t="s">
        <v>3955</v>
      </c>
      <c r="G1474" s="164"/>
      <c r="H1474" s="167"/>
      <c r="I1474" s="167"/>
      <c r="J1474" s="167"/>
      <c r="K1474" s="169"/>
      <c r="L1474" s="129"/>
      <c r="M1474" s="129"/>
      <c r="N1474" s="129"/>
      <c r="O1474" s="129"/>
      <c r="P1474" s="146"/>
      <c r="Q1474" s="170"/>
      <c r="R1474" s="171"/>
      <c r="S1474" s="172"/>
    </row>
    <row r="1475" spans="1:19" ht="42.75">
      <c r="A1475" s="164" t="s">
        <v>777</v>
      </c>
      <c r="B1475" s="165" t="s">
        <v>1120</v>
      </c>
      <c r="C1475" s="165" t="s">
        <v>5008</v>
      </c>
      <c r="D1475" s="164">
        <v>494</v>
      </c>
      <c r="E1475" s="164">
        <v>479</v>
      </c>
      <c r="F1475" s="164" t="s">
        <v>3955</v>
      </c>
      <c r="G1475" s="164"/>
      <c r="H1475" s="167"/>
      <c r="I1475" s="167"/>
      <c r="J1475" s="167"/>
      <c r="K1475" s="169"/>
      <c r="L1475" s="129"/>
      <c r="M1475" s="129"/>
      <c r="N1475" s="129"/>
      <c r="O1475" s="129"/>
      <c r="P1475" s="146"/>
      <c r="Q1475" s="170"/>
      <c r="R1475" s="171"/>
      <c r="S1475" s="172"/>
    </row>
    <row r="1476" spans="1:19" ht="42.75">
      <c r="A1476" s="164" t="s">
        <v>777</v>
      </c>
      <c r="B1476" s="165" t="s">
        <v>1120</v>
      </c>
      <c r="C1476" s="165" t="s">
        <v>1485</v>
      </c>
      <c r="D1476" s="164">
        <v>1186</v>
      </c>
      <c r="E1476" s="164">
        <v>1111</v>
      </c>
      <c r="F1476" s="164" t="s">
        <v>3955</v>
      </c>
      <c r="G1476" s="164"/>
      <c r="H1476" s="167"/>
      <c r="I1476" s="167"/>
      <c r="J1476" s="167"/>
      <c r="K1476" s="169"/>
      <c r="L1476" s="129"/>
      <c r="M1476" s="129"/>
      <c r="N1476" s="129"/>
      <c r="O1476" s="129"/>
      <c r="P1476" s="146"/>
      <c r="Q1476" s="170"/>
      <c r="R1476" s="171"/>
      <c r="S1476" s="172"/>
    </row>
    <row r="1477" spans="1:19" ht="42.75">
      <c r="A1477" s="164" t="s">
        <v>777</v>
      </c>
      <c r="B1477" s="165" t="s">
        <v>1120</v>
      </c>
      <c r="C1477" s="165" t="s">
        <v>5009</v>
      </c>
      <c r="D1477" s="164">
        <v>542</v>
      </c>
      <c r="E1477" s="164">
        <v>656</v>
      </c>
      <c r="F1477" s="164" t="s">
        <v>3955</v>
      </c>
      <c r="G1477" s="164"/>
      <c r="H1477" s="167"/>
      <c r="I1477" s="167"/>
      <c r="J1477" s="167"/>
      <c r="K1477" s="169"/>
      <c r="L1477" s="129"/>
      <c r="M1477" s="129"/>
      <c r="N1477" s="129"/>
      <c r="O1477" s="129"/>
      <c r="P1477" s="146"/>
      <c r="Q1477" s="170"/>
      <c r="R1477" s="171"/>
      <c r="S1477" s="172"/>
    </row>
    <row r="1478" spans="1:19" ht="42.75">
      <c r="A1478" s="164" t="s">
        <v>777</v>
      </c>
      <c r="B1478" s="165" t="s">
        <v>1120</v>
      </c>
      <c r="C1478" s="165" t="s">
        <v>5010</v>
      </c>
      <c r="D1478" s="164">
        <v>975</v>
      </c>
      <c r="E1478" s="164">
        <v>962</v>
      </c>
      <c r="F1478" s="164" t="s">
        <v>3955</v>
      </c>
      <c r="G1478" s="164"/>
      <c r="H1478" s="167"/>
      <c r="I1478" s="167"/>
      <c r="J1478" s="167"/>
      <c r="K1478" s="169"/>
      <c r="L1478" s="129"/>
      <c r="M1478" s="129"/>
      <c r="N1478" s="129"/>
      <c r="O1478" s="129"/>
      <c r="P1478" s="146"/>
      <c r="Q1478" s="170"/>
      <c r="R1478" s="171"/>
      <c r="S1478" s="172"/>
    </row>
    <row r="1479" spans="1:19" ht="42.75">
      <c r="A1479" s="164" t="s">
        <v>777</v>
      </c>
      <c r="B1479" s="165" t="s">
        <v>1120</v>
      </c>
      <c r="C1479" s="165" t="s">
        <v>947</v>
      </c>
      <c r="D1479" s="164">
        <v>544</v>
      </c>
      <c r="E1479" s="164">
        <v>551</v>
      </c>
      <c r="F1479" s="164" t="s">
        <v>3955</v>
      </c>
      <c r="G1479" s="164"/>
      <c r="H1479" s="167"/>
      <c r="I1479" s="167"/>
      <c r="J1479" s="167"/>
      <c r="K1479" s="169"/>
      <c r="L1479" s="129"/>
      <c r="M1479" s="129"/>
      <c r="N1479" s="129"/>
      <c r="O1479" s="129"/>
      <c r="P1479" s="146"/>
      <c r="Q1479" s="170"/>
      <c r="R1479" s="171"/>
      <c r="S1479" s="172"/>
    </row>
    <row r="1480" spans="1:19" ht="42.75">
      <c r="A1480" s="164" t="s">
        <v>777</v>
      </c>
      <c r="B1480" s="165" t="s">
        <v>1120</v>
      </c>
      <c r="C1480" s="165" t="s">
        <v>5011</v>
      </c>
      <c r="D1480" s="164">
        <v>507</v>
      </c>
      <c r="E1480" s="164">
        <v>513</v>
      </c>
      <c r="F1480" s="164" t="s">
        <v>3955</v>
      </c>
      <c r="G1480" s="164"/>
      <c r="H1480" s="167"/>
      <c r="I1480" s="167"/>
      <c r="J1480" s="167"/>
      <c r="K1480" s="169"/>
      <c r="L1480" s="129"/>
      <c r="M1480" s="129"/>
      <c r="N1480" s="129"/>
      <c r="O1480" s="129"/>
      <c r="P1480" s="146"/>
      <c r="Q1480" s="170"/>
      <c r="R1480" s="171"/>
      <c r="S1480" s="172"/>
    </row>
    <row r="1481" spans="1:19" ht="42.75">
      <c r="A1481" s="164" t="s">
        <v>777</v>
      </c>
      <c r="B1481" s="165" t="s">
        <v>1120</v>
      </c>
      <c r="C1481" s="165" t="s">
        <v>5007</v>
      </c>
      <c r="D1481" s="164">
        <v>653</v>
      </c>
      <c r="E1481" s="164">
        <v>658</v>
      </c>
      <c r="F1481" s="164" t="s">
        <v>3955</v>
      </c>
      <c r="G1481" s="164"/>
      <c r="H1481" s="167"/>
      <c r="I1481" s="167"/>
      <c r="J1481" s="167"/>
      <c r="K1481" s="169"/>
      <c r="L1481" s="129"/>
      <c r="M1481" s="129"/>
      <c r="N1481" s="129"/>
      <c r="O1481" s="129"/>
      <c r="P1481" s="146"/>
      <c r="Q1481" s="170"/>
      <c r="R1481" s="171"/>
      <c r="S1481" s="172"/>
    </row>
    <row r="1482" spans="1:19" ht="42.75">
      <c r="A1482" s="164" t="s">
        <v>777</v>
      </c>
      <c r="B1482" s="165" t="s">
        <v>1120</v>
      </c>
      <c r="C1482" s="165" t="s">
        <v>5018</v>
      </c>
      <c r="D1482" s="164">
        <v>555</v>
      </c>
      <c r="E1482" s="164">
        <v>744</v>
      </c>
      <c r="F1482" s="164" t="s">
        <v>3955</v>
      </c>
      <c r="G1482" s="164"/>
      <c r="H1482" s="167"/>
      <c r="I1482" s="167"/>
      <c r="J1482" s="167"/>
      <c r="K1482" s="169"/>
      <c r="L1482" s="129"/>
      <c r="M1482" s="129"/>
      <c r="N1482" s="129"/>
      <c r="O1482" s="129"/>
      <c r="P1482" s="146"/>
      <c r="Q1482" s="170"/>
      <c r="R1482" s="171"/>
      <c r="S1482" s="172"/>
    </row>
    <row r="1483" spans="1:19" ht="42.75">
      <c r="A1483" s="164" t="s">
        <v>777</v>
      </c>
      <c r="B1483" s="165" t="s">
        <v>1120</v>
      </c>
      <c r="C1483" s="165" t="s">
        <v>5012</v>
      </c>
      <c r="D1483" s="164">
        <v>1359</v>
      </c>
      <c r="E1483" s="164">
        <v>1354</v>
      </c>
      <c r="F1483" s="164" t="s">
        <v>3955</v>
      </c>
      <c r="G1483" s="164"/>
      <c r="H1483" s="167"/>
      <c r="I1483" s="167"/>
      <c r="J1483" s="167"/>
      <c r="K1483" s="169"/>
      <c r="L1483" s="129"/>
      <c r="M1483" s="129"/>
      <c r="N1483" s="129"/>
      <c r="O1483" s="129"/>
      <c r="P1483" s="146"/>
      <c r="Q1483" s="170"/>
      <c r="R1483" s="171"/>
      <c r="S1483" s="172"/>
    </row>
    <row r="1484" spans="1:19" ht="42.75">
      <c r="A1484" s="164" t="s">
        <v>777</v>
      </c>
      <c r="B1484" s="165" t="s">
        <v>1120</v>
      </c>
      <c r="C1484" s="165" t="s">
        <v>5013</v>
      </c>
      <c r="D1484" s="164">
        <v>648</v>
      </c>
      <c r="E1484" s="164">
        <v>541</v>
      </c>
      <c r="F1484" s="164" t="s">
        <v>3955</v>
      </c>
      <c r="G1484" s="164"/>
      <c r="H1484" s="167"/>
      <c r="I1484" s="167"/>
      <c r="J1484" s="167"/>
      <c r="K1484" s="169"/>
      <c r="L1484" s="129"/>
      <c r="M1484" s="129"/>
      <c r="N1484" s="129"/>
      <c r="O1484" s="129"/>
      <c r="P1484" s="146"/>
      <c r="Q1484" s="170"/>
      <c r="R1484" s="171"/>
      <c r="S1484" s="172"/>
    </row>
    <row r="1485" spans="1:19" ht="42.75">
      <c r="A1485" s="164" t="s">
        <v>777</v>
      </c>
      <c r="B1485" s="165" t="s">
        <v>1120</v>
      </c>
      <c r="C1485" s="165" t="s">
        <v>5014</v>
      </c>
      <c r="D1485" s="164">
        <v>458</v>
      </c>
      <c r="E1485" s="164">
        <v>450</v>
      </c>
      <c r="F1485" s="164" t="s">
        <v>3955</v>
      </c>
      <c r="G1485" s="164"/>
      <c r="H1485" s="167"/>
      <c r="I1485" s="167"/>
      <c r="J1485" s="167"/>
      <c r="K1485" s="169"/>
      <c r="L1485" s="129"/>
      <c r="M1485" s="129"/>
      <c r="N1485" s="129"/>
      <c r="O1485" s="129"/>
      <c r="P1485" s="146"/>
      <c r="Q1485" s="170"/>
      <c r="R1485" s="171"/>
      <c r="S1485" s="172"/>
    </row>
    <row r="1486" spans="1:19" ht="42.75">
      <c r="A1486" s="164" t="s">
        <v>777</v>
      </c>
      <c r="B1486" s="165" t="s">
        <v>1120</v>
      </c>
      <c r="C1486" s="165" t="s">
        <v>5015</v>
      </c>
      <c r="D1486" s="164">
        <v>847</v>
      </c>
      <c r="E1486" s="164">
        <v>816</v>
      </c>
      <c r="F1486" s="164" t="s">
        <v>3955</v>
      </c>
      <c r="G1486" s="164"/>
      <c r="H1486" s="167"/>
      <c r="I1486" s="167"/>
      <c r="J1486" s="167"/>
      <c r="K1486" s="169"/>
      <c r="L1486" s="129"/>
      <c r="M1486" s="129"/>
      <c r="N1486" s="129"/>
      <c r="O1486" s="129"/>
      <c r="P1486" s="146"/>
      <c r="Q1486" s="170"/>
      <c r="R1486" s="171"/>
      <c r="S1486" s="172"/>
    </row>
    <row r="1487" spans="1:19" ht="42.75">
      <c r="A1487" s="164" t="s">
        <v>777</v>
      </c>
      <c r="B1487" s="165" t="s">
        <v>1120</v>
      </c>
      <c r="C1487" s="165" t="s">
        <v>5016</v>
      </c>
      <c r="D1487" s="164">
        <v>205</v>
      </c>
      <c r="E1487" s="164">
        <v>21</v>
      </c>
      <c r="F1487" s="164" t="s">
        <v>3955</v>
      </c>
      <c r="G1487" s="164"/>
      <c r="H1487" s="167"/>
      <c r="I1487" s="167"/>
      <c r="J1487" s="167"/>
      <c r="K1487" s="169"/>
      <c r="L1487" s="129"/>
      <c r="M1487" s="129"/>
      <c r="N1487" s="129"/>
      <c r="O1487" s="129"/>
      <c r="P1487" s="146"/>
      <c r="Q1487" s="170"/>
      <c r="R1487" s="171"/>
      <c r="S1487" s="172"/>
    </row>
    <row r="1488" spans="1:19" ht="42.75">
      <c r="A1488" s="164" t="s">
        <v>777</v>
      </c>
      <c r="B1488" s="165" t="s">
        <v>1120</v>
      </c>
      <c r="C1488" s="165" t="s">
        <v>5017</v>
      </c>
      <c r="D1488" s="164">
        <v>400</v>
      </c>
      <c r="E1488" s="164">
        <v>281</v>
      </c>
      <c r="F1488" s="164" t="s">
        <v>3955</v>
      </c>
      <c r="G1488" s="164"/>
      <c r="H1488" s="167"/>
      <c r="I1488" s="167"/>
      <c r="J1488" s="167"/>
      <c r="K1488" s="169"/>
      <c r="L1488" s="129"/>
      <c r="M1488" s="129"/>
      <c r="N1488" s="129"/>
      <c r="O1488" s="129"/>
      <c r="P1488" s="146"/>
      <c r="Q1488" s="170"/>
      <c r="R1488" s="171"/>
      <c r="S1488" s="172"/>
    </row>
    <row r="1489" spans="1:19" ht="42.75">
      <c r="A1489" s="164" t="s">
        <v>777</v>
      </c>
      <c r="B1489" s="165" t="s">
        <v>3131</v>
      </c>
      <c r="C1489" s="165" t="s">
        <v>4725</v>
      </c>
      <c r="D1489" s="164">
        <v>1190</v>
      </c>
      <c r="E1489" s="164">
        <v>1289</v>
      </c>
      <c r="F1489" s="164" t="s">
        <v>3955</v>
      </c>
      <c r="G1489" s="164"/>
      <c r="H1489" s="167"/>
      <c r="I1489" s="167"/>
      <c r="J1489" s="167"/>
      <c r="K1489" s="169"/>
      <c r="L1489" s="129"/>
      <c r="M1489" s="129"/>
      <c r="N1489" s="129"/>
      <c r="O1489" s="129"/>
      <c r="P1489" s="146"/>
      <c r="Q1489" s="170"/>
      <c r="R1489" s="171"/>
      <c r="S1489" s="172"/>
    </row>
    <row r="1490" spans="1:19" ht="42.75">
      <c r="A1490" s="164" t="s">
        <v>777</v>
      </c>
      <c r="B1490" s="165" t="s">
        <v>3131</v>
      </c>
      <c r="C1490" s="165" t="s">
        <v>4727</v>
      </c>
      <c r="D1490" s="164">
        <v>5859</v>
      </c>
      <c r="E1490" s="164">
        <v>6876</v>
      </c>
      <c r="F1490" s="164" t="s">
        <v>3955</v>
      </c>
      <c r="G1490" s="164"/>
      <c r="H1490" s="167"/>
      <c r="I1490" s="167"/>
      <c r="J1490" s="167"/>
      <c r="K1490" s="169"/>
      <c r="L1490" s="129"/>
      <c r="M1490" s="129"/>
      <c r="N1490" s="129"/>
      <c r="O1490" s="129"/>
      <c r="P1490" s="146"/>
      <c r="Q1490" s="170"/>
      <c r="R1490" s="171"/>
      <c r="S1490" s="172"/>
    </row>
    <row r="1491" spans="1:19" ht="42.75">
      <c r="A1491" s="164" t="s">
        <v>777</v>
      </c>
      <c r="B1491" s="165" t="s">
        <v>3131</v>
      </c>
      <c r="C1491" s="165" t="s">
        <v>4731</v>
      </c>
      <c r="D1491" s="164">
        <v>1323</v>
      </c>
      <c r="E1491" s="164">
        <v>1354</v>
      </c>
      <c r="F1491" s="164" t="s">
        <v>3404</v>
      </c>
      <c r="G1491" s="164">
        <v>2024</v>
      </c>
      <c r="H1491" s="175">
        <v>45608</v>
      </c>
      <c r="I1491" s="175">
        <v>45617</v>
      </c>
      <c r="J1491" s="168" t="s">
        <v>7228</v>
      </c>
      <c r="K1491" s="174">
        <v>45630</v>
      </c>
      <c r="L1491" s="245">
        <v>45597</v>
      </c>
      <c r="M1491" s="129" t="s">
        <v>4</v>
      </c>
      <c r="N1491" s="129" t="s">
        <v>50</v>
      </c>
      <c r="O1491" s="129" t="s">
        <v>3406</v>
      </c>
      <c r="P1491" s="146"/>
      <c r="Q1491" s="170">
        <v>45630</v>
      </c>
      <c r="R1491" s="171" t="s">
        <v>6643</v>
      </c>
      <c r="S1491" s="172"/>
    </row>
    <row r="1492" spans="1:19" ht="42.75">
      <c r="A1492" s="164" t="s">
        <v>777</v>
      </c>
      <c r="B1492" s="165" t="s">
        <v>3131</v>
      </c>
      <c r="C1492" s="165" t="s">
        <v>1245</v>
      </c>
      <c r="D1492" s="164">
        <v>1406</v>
      </c>
      <c r="E1492" s="164">
        <v>1050</v>
      </c>
      <c r="F1492" s="164" t="s">
        <v>3955</v>
      </c>
      <c r="G1492" s="164"/>
      <c r="H1492" s="167"/>
      <c r="I1492" s="167"/>
      <c r="J1492" s="167"/>
      <c r="K1492" s="169"/>
      <c r="L1492" s="129"/>
      <c r="M1492" s="129"/>
      <c r="N1492" s="129"/>
      <c r="O1492" s="129"/>
      <c r="P1492" s="146"/>
      <c r="Q1492" s="170"/>
      <c r="R1492" s="171"/>
      <c r="S1492" s="172"/>
    </row>
    <row r="1493" spans="1:19" ht="42.75">
      <c r="A1493" s="164" t="s">
        <v>777</v>
      </c>
      <c r="B1493" s="165" t="s">
        <v>3131</v>
      </c>
      <c r="C1493" s="165" t="s">
        <v>4735</v>
      </c>
      <c r="D1493" s="164">
        <v>1929</v>
      </c>
      <c r="E1493" s="164">
        <v>2189</v>
      </c>
      <c r="F1493" s="164" t="s">
        <v>3955</v>
      </c>
      <c r="G1493" s="164"/>
      <c r="H1493" s="167"/>
      <c r="I1493" s="167"/>
      <c r="J1493" s="167"/>
      <c r="K1493" s="169"/>
      <c r="L1493" s="129"/>
      <c r="M1493" s="129"/>
      <c r="N1493" s="129"/>
      <c r="O1493" s="129"/>
      <c r="P1493" s="146"/>
      <c r="Q1493" s="170"/>
      <c r="R1493" s="171"/>
      <c r="S1493" s="172"/>
    </row>
    <row r="1494" spans="1:19" ht="42.75">
      <c r="A1494" s="164" t="s">
        <v>777</v>
      </c>
      <c r="B1494" s="165" t="s">
        <v>3131</v>
      </c>
      <c r="C1494" s="165" t="s">
        <v>4737</v>
      </c>
      <c r="D1494" s="164">
        <v>681</v>
      </c>
      <c r="E1494" s="164">
        <v>711</v>
      </c>
      <c r="F1494" s="164" t="s">
        <v>3955</v>
      </c>
      <c r="G1494" s="164"/>
      <c r="H1494" s="167"/>
      <c r="I1494" s="167"/>
      <c r="J1494" s="167"/>
      <c r="K1494" s="169"/>
      <c r="L1494" s="129"/>
      <c r="M1494" s="129"/>
      <c r="N1494" s="129"/>
      <c r="O1494" s="129"/>
      <c r="P1494" s="146"/>
      <c r="Q1494" s="170"/>
      <c r="R1494" s="171"/>
      <c r="S1494" s="172"/>
    </row>
    <row r="1495" spans="1:19" ht="42.75">
      <c r="A1495" s="164" t="s">
        <v>777</v>
      </c>
      <c r="B1495" s="165" t="s">
        <v>3131</v>
      </c>
      <c r="C1495" s="165" t="s">
        <v>4738</v>
      </c>
      <c r="D1495" s="164">
        <v>2393</v>
      </c>
      <c r="E1495" s="164">
        <v>2742</v>
      </c>
      <c r="F1495" s="164" t="s">
        <v>3955</v>
      </c>
      <c r="G1495" s="164"/>
      <c r="H1495" s="167"/>
      <c r="I1495" s="167"/>
      <c r="J1495" s="167"/>
      <c r="K1495" s="169"/>
      <c r="L1495" s="129"/>
      <c r="M1495" s="129"/>
      <c r="N1495" s="129"/>
      <c r="O1495" s="129"/>
      <c r="P1495" s="146"/>
      <c r="Q1495" s="170"/>
      <c r="R1495" s="171"/>
      <c r="S1495" s="172"/>
    </row>
    <row r="1496" spans="1:19" ht="42.75">
      <c r="A1496" s="164" t="s">
        <v>777</v>
      </c>
      <c r="B1496" s="165" t="s">
        <v>3131</v>
      </c>
      <c r="C1496" s="165" t="s">
        <v>4734</v>
      </c>
      <c r="D1496" s="164">
        <v>1893</v>
      </c>
      <c r="E1496" s="164">
        <v>2131</v>
      </c>
      <c r="F1496" s="164" t="s">
        <v>3404</v>
      </c>
      <c r="G1496" s="164">
        <v>2024</v>
      </c>
      <c r="H1496" s="175">
        <v>45608</v>
      </c>
      <c r="I1496" s="175">
        <v>45617</v>
      </c>
      <c r="J1496" s="168" t="s">
        <v>7229</v>
      </c>
      <c r="K1496" s="174">
        <v>45630</v>
      </c>
      <c r="L1496" s="245">
        <v>45597</v>
      </c>
      <c r="M1496" s="129" t="s">
        <v>4</v>
      </c>
      <c r="N1496" s="129" t="s">
        <v>50</v>
      </c>
      <c r="O1496" s="129" t="s">
        <v>3406</v>
      </c>
      <c r="P1496" s="146"/>
      <c r="Q1496" s="170">
        <v>45630</v>
      </c>
      <c r="R1496" s="171" t="s">
        <v>6643</v>
      </c>
      <c r="S1496" s="172"/>
    </row>
    <row r="1497" spans="1:19" ht="42.75">
      <c r="A1497" s="164" t="s">
        <v>777</v>
      </c>
      <c r="B1497" s="165" t="s">
        <v>3131</v>
      </c>
      <c r="C1497" s="165" t="s">
        <v>4744</v>
      </c>
      <c r="D1497" s="164">
        <v>3892</v>
      </c>
      <c r="E1497" s="164">
        <v>4496</v>
      </c>
      <c r="F1497" s="164" t="s">
        <v>3955</v>
      </c>
      <c r="G1497" s="164"/>
      <c r="H1497" s="167"/>
      <c r="I1497" s="167"/>
      <c r="J1497" s="167"/>
      <c r="K1497" s="169"/>
      <c r="L1497" s="129"/>
      <c r="M1497" s="129"/>
      <c r="N1497" s="129"/>
      <c r="O1497" s="129"/>
      <c r="P1497" s="146"/>
      <c r="Q1497" s="170"/>
      <c r="R1497" s="171"/>
      <c r="S1497" s="172"/>
    </row>
    <row r="1498" spans="1:19" ht="42.75">
      <c r="A1498" s="164" t="s">
        <v>777</v>
      </c>
      <c r="B1498" s="165" t="s">
        <v>3131</v>
      </c>
      <c r="C1498" s="165" t="s">
        <v>1283</v>
      </c>
      <c r="D1498" s="164">
        <v>2093</v>
      </c>
      <c r="E1498" s="164">
        <v>2568</v>
      </c>
      <c r="F1498" s="164" t="s">
        <v>3955</v>
      </c>
      <c r="G1498" s="164"/>
      <c r="H1498" s="167"/>
      <c r="I1498" s="167"/>
      <c r="J1498" s="167"/>
      <c r="K1498" s="169"/>
      <c r="L1498" s="129"/>
      <c r="M1498" s="129"/>
      <c r="N1498" s="129"/>
      <c r="O1498" s="129"/>
      <c r="P1498" s="146"/>
      <c r="Q1498" s="170"/>
      <c r="R1498" s="171"/>
      <c r="S1498" s="172"/>
    </row>
    <row r="1499" spans="1:19" ht="42.75">
      <c r="A1499" s="164" t="s">
        <v>777</v>
      </c>
      <c r="B1499" s="165" t="s">
        <v>3131</v>
      </c>
      <c r="C1499" s="165" t="s">
        <v>2190</v>
      </c>
      <c r="D1499" s="164">
        <v>3210</v>
      </c>
      <c r="E1499" s="164">
        <v>3942</v>
      </c>
      <c r="F1499" s="164" t="s">
        <v>3404</v>
      </c>
      <c r="G1499" s="164">
        <v>2024</v>
      </c>
      <c r="H1499" s="175">
        <v>45546</v>
      </c>
      <c r="I1499" s="175">
        <v>45546</v>
      </c>
      <c r="J1499" s="168" t="s">
        <v>7230</v>
      </c>
      <c r="K1499" s="174">
        <v>45552</v>
      </c>
      <c r="L1499" s="129" t="s">
        <v>3127</v>
      </c>
      <c r="M1499" s="129" t="s">
        <v>4</v>
      </c>
      <c r="N1499" s="129" t="s">
        <v>50</v>
      </c>
      <c r="O1499" s="129" t="s">
        <v>3406</v>
      </c>
      <c r="P1499" s="146"/>
      <c r="Q1499" s="170">
        <v>45553</v>
      </c>
      <c r="R1499" s="171" t="s">
        <v>6643</v>
      </c>
      <c r="S1499" s="172"/>
    </row>
    <row r="1500" spans="1:19" ht="42.75">
      <c r="A1500" s="164" t="s">
        <v>777</v>
      </c>
      <c r="B1500" s="165" t="s">
        <v>3131</v>
      </c>
      <c r="C1500" s="165" t="s">
        <v>4728</v>
      </c>
      <c r="D1500" s="164">
        <v>2981</v>
      </c>
      <c r="E1500" s="164">
        <v>3614</v>
      </c>
      <c r="F1500" s="164" t="s">
        <v>3404</v>
      </c>
      <c r="G1500" s="164">
        <v>2024</v>
      </c>
      <c r="H1500" s="175">
        <v>45546</v>
      </c>
      <c r="I1500" s="175">
        <v>45546</v>
      </c>
      <c r="J1500" s="168" t="s">
        <v>7231</v>
      </c>
      <c r="K1500" s="174">
        <v>45552</v>
      </c>
      <c r="L1500" s="129" t="s">
        <v>3127</v>
      </c>
      <c r="M1500" s="129" t="s">
        <v>4</v>
      </c>
      <c r="N1500" s="129" t="s">
        <v>50</v>
      </c>
      <c r="O1500" s="129" t="s">
        <v>3406</v>
      </c>
      <c r="P1500" s="146"/>
      <c r="Q1500" s="170">
        <v>45553</v>
      </c>
      <c r="R1500" s="171" t="s">
        <v>6643</v>
      </c>
      <c r="S1500" s="172"/>
    </row>
    <row r="1501" spans="1:19" ht="42.75">
      <c r="A1501" s="164" t="s">
        <v>777</v>
      </c>
      <c r="B1501" s="165" t="s">
        <v>3131</v>
      </c>
      <c r="C1501" s="165" t="s">
        <v>4729</v>
      </c>
      <c r="D1501" s="164">
        <v>2359</v>
      </c>
      <c r="E1501" s="164">
        <v>2553</v>
      </c>
      <c r="F1501" s="164" t="s">
        <v>3404</v>
      </c>
      <c r="G1501" s="164">
        <v>2024</v>
      </c>
      <c r="H1501" s="175">
        <v>45608</v>
      </c>
      <c r="I1501" s="175">
        <v>45617</v>
      </c>
      <c r="J1501" s="168" t="s">
        <v>7232</v>
      </c>
      <c r="K1501" s="174">
        <v>45630</v>
      </c>
      <c r="L1501" s="129" t="s">
        <v>3129</v>
      </c>
      <c r="M1501" s="129" t="s">
        <v>4</v>
      </c>
      <c r="N1501" s="129" t="s">
        <v>50</v>
      </c>
      <c r="O1501" s="129" t="s">
        <v>3406</v>
      </c>
      <c r="P1501" s="146"/>
      <c r="Q1501" s="170">
        <v>45630</v>
      </c>
      <c r="R1501" s="171" t="s">
        <v>6643</v>
      </c>
      <c r="S1501" s="172"/>
    </row>
    <row r="1502" spans="1:19" ht="42.75">
      <c r="A1502" s="164" t="s">
        <v>777</v>
      </c>
      <c r="B1502" s="165" t="s">
        <v>3131</v>
      </c>
      <c r="C1502" s="165" t="s">
        <v>4730</v>
      </c>
      <c r="D1502" s="164">
        <v>2229</v>
      </c>
      <c r="E1502" s="164">
        <v>2024</v>
      </c>
      <c r="F1502" s="164" t="s">
        <v>3955</v>
      </c>
      <c r="G1502" s="164"/>
      <c r="H1502" s="167"/>
      <c r="I1502" s="167"/>
      <c r="J1502" s="167"/>
      <c r="K1502" s="169"/>
      <c r="L1502" s="129"/>
      <c r="M1502" s="129"/>
      <c r="N1502" s="129"/>
      <c r="O1502" s="129"/>
      <c r="P1502" s="146"/>
      <c r="Q1502" s="170"/>
      <c r="R1502" s="171"/>
      <c r="S1502" s="172"/>
    </row>
    <row r="1503" spans="1:19" ht="42.75">
      <c r="A1503" s="164" t="s">
        <v>777</v>
      </c>
      <c r="B1503" s="165" t="s">
        <v>3131</v>
      </c>
      <c r="C1503" s="165" t="s">
        <v>4732</v>
      </c>
      <c r="D1503" s="164">
        <v>2356</v>
      </c>
      <c r="E1503" s="164">
        <v>2596</v>
      </c>
      <c r="F1503" s="164" t="s">
        <v>3955</v>
      </c>
      <c r="G1503" s="164"/>
      <c r="H1503" s="167"/>
      <c r="I1503" s="167"/>
      <c r="J1503" s="167"/>
      <c r="K1503" s="169"/>
      <c r="L1503" s="129"/>
      <c r="M1503" s="129"/>
      <c r="N1503" s="129"/>
      <c r="O1503" s="129"/>
      <c r="P1503" s="146"/>
      <c r="Q1503" s="170"/>
      <c r="R1503" s="171"/>
      <c r="S1503" s="172"/>
    </row>
    <row r="1504" spans="1:19" ht="42.75">
      <c r="A1504" s="164" t="s">
        <v>777</v>
      </c>
      <c r="B1504" s="165" t="s">
        <v>3131</v>
      </c>
      <c r="C1504" s="165" t="s">
        <v>4152</v>
      </c>
      <c r="D1504" s="164">
        <v>1302</v>
      </c>
      <c r="E1504" s="164">
        <v>1349</v>
      </c>
      <c r="F1504" s="164" t="s">
        <v>3955</v>
      </c>
      <c r="G1504" s="164"/>
      <c r="H1504" s="167"/>
      <c r="I1504" s="167"/>
      <c r="J1504" s="167"/>
      <c r="K1504" s="169"/>
      <c r="L1504" s="129"/>
      <c r="M1504" s="129"/>
      <c r="N1504" s="129"/>
      <c r="O1504" s="129"/>
      <c r="P1504" s="146"/>
      <c r="Q1504" s="170"/>
      <c r="R1504" s="171"/>
      <c r="S1504" s="172"/>
    </row>
    <row r="1505" spans="1:19" ht="42.75">
      <c r="A1505" s="164" t="s">
        <v>777</v>
      </c>
      <c r="B1505" s="165" t="s">
        <v>3131</v>
      </c>
      <c r="C1505" s="165" t="s">
        <v>4742</v>
      </c>
      <c r="D1505" s="164">
        <v>1985</v>
      </c>
      <c r="E1505" s="164">
        <v>1996</v>
      </c>
      <c r="F1505" s="164" t="s">
        <v>3955</v>
      </c>
      <c r="G1505" s="164"/>
      <c r="H1505" s="167"/>
      <c r="I1505" s="167"/>
      <c r="J1505" s="167"/>
      <c r="K1505" s="169"/>
      <c r="L1505" s="129"/>
      <c r="M1505" s="129"/>
      <c r="N1505" s="129"/>
      <c r="O1505" s="129"/>
      <c r="P1505" s="146"/>
      <c r="Q1505" s="170"/>
      <c r="R1505" s="171"/>
      <c r="S1505" s="172"/>
    </row>
    <row r="1506" spans="1:19" ht="42.75">
      <c r="A1506" s="164" t="s">
        <v>777</v>
      </c>
      <c r="B1506" s="165" t="s">
        <v>3131</v>
      </c>
      <c r="C1506" s="165" t="s">
        <v>4740</v>
      </c>
      <c r="D1506" s="164">
        <v>997</v>
      </c>
      <c r="E1506" s="164">
        <v>1206</v>
      </c>
      <c r="F1506" s="164" t="s">
        <v>3955</v>
      </c>
      <c r="G1506" s="164"/>
      <c r="H1506" s="167"/>
      <c r="I1506" s="167"/>
      <c r="J1506" s="167"/>
      <c r="K1506" s="169"/>
      <c r="L1506" s="129"/>
      <c r="M1506" s="129"/>
      <c r="N1506" s="129"/>
      <c r="O1506" s="129"/>
      <c r="P1506" s="146"/>
      <c r="Q1506" s="170"/>
      <c r="R1506" s="171"/>
      <c r="S1506" s="172"/>
    </row>
    <row r="1507" spans="1:19" ht="42.75">
      <c r="A1507" s="164" t="s">
        <v>777</v>
      </c>
      <c r="B1507" s="165" t="s">
        <v>3131</v>
      </c>
      <c r="C1507" s="165" t="s">
        <v>4170</v>
      </c>
      <c r="D1507" s="164">
        <v>963</v>
      </c>
      <c r="E1507" s="164">
        <v>697</v>
      </c>
      <c r="F1507" s="164" t="s">
        <v>3955</v>
      </c>
      <c r="G1507" s="164"/>
      <c r="H1507" s="167"/>
      <c r="I1507" s="167"/>
      <c r="J1507" s="167"/>
      <c r="K1507" s="169"/>
      <c r="L1507" s="129"/>
      <c r="M1507" s="129"/>
      <c r="N1507" s="129"/>
      <c r="O1507" s="129"/>
      <c r="P1507" s="146"/>
      <c r="Q1507" s="170"/>
      <c r="R1507" s="171"/>
      <c r="S1507" s="172"/>
    </row>
    <row r="1508" spans="1:19" ht="42.75">
      <c r="A1508" s="164" t="s">
        <v>777</v>
      </c>
      <c r="B1508" s="165" t="s">
        <v>1285</v>
      </c>
      <c r="C1508" s="165" t="s">
        <v>5019</v>
      </c>
      <c r="D1508" s="164">
        <v>2409</v>
      </c>
      <c r="E1508" s="164">
        <v>2632</v>
      </c>
      <c r="F1508" s="164" t="s">
        <v>3955</v>
      </c>
      <c r="G1508" s="164"/>
      <c r="H1508" s="167"/>
      <c r="I1508" s="167"/>
      <c r="J1508" s="167"/>
      <c r="K1508" s="169"/>
      <c r="L1508" s="129"/>
      <c r="M1508" s="129"/>
      <c r="N1508" s="129"/>
      <c r="O1508" s="129"/>
      <c r="P1508" s="146"/>
      <c r="Q1508" s="170"/>
      <c r="R1508" s="171"/>
      <c r="S1508" s="172"/>
    </row>
    <row r="1509" spans="1:19" ht="42.75">
      <c r="A1509" s="164" t="s">
        <v>777</v>
      </c>
      <c r="B1509" s="165" t="s">
        <v>1285</v>
      </c>
      <c r="C1509" s="165" t="s">
        <v>5020</v>
      </c>
      <c r="D1509" s="164">
        <v>2069</v>
      </c>
      <c r="E1509" s="164">
        <v>2079</v>
      </c>
      <c r="F1509" s="164" t="s">
        <v>3955</v>
      </c>
      <c r="G1509" s="164"/>
      <c r="H1509" s="167"/>
      <c r="I1509" s="167"/>
      <c r="J1509" s="167"/>
      <c r="K1509" s="169"/>
      <c r="L1509" s="129"/>
      <c r="M1509" s="129"/>
      <c r="N1509" s="129"/>
      <c r="O1509" s="129"/>
      <c r="P1509" s="146"/>
      <c r="Q1509" s="170"/>
      <c r="R1509" s="171"/>
      <c r="S1509" s="172"/>
    </row>
    <row r="1510" spans="1:19" ht="42.75">
      <c r="A1510" s="164" t="s">
        <v>777</v>
      </c>
      <c r="B1510" s="165" t="s">
        <v>1285</v>
      </c>
      <c r="C1510" s="165" t="s">
        <v>5021</v>
      </c>
      <c r="D1510" s="164">
        <v>2573</v>
      </c>
      <c r="E1510" s="164">
        <v>2743</v>
      </c>
      <c r="F1510" s="164" t="s">
        <v>3955</v>
      </c>
      <c r="G1510" s="164"/>
      <c r="H1510" s="167"/>
      <c r="I1510" s="167"/>
      <c r="J1510" s="167"/>
      <c r="K1510" s="169"/>
      <c r="L1510" s="129"/>
      <c r="M1510" s="129"/>
      <c r="N1510" s="129"/>
      <c r="O1510" s="129"/>
      <c r="P1510" s="146"/>
      <c r="Q1510" s="170"/>
      <c r="R1510" s="171"/>
      <c r="S1510" s="172"/>
    </row>
    <row r="1511" spans="1:19" ht="42.75">
      <c r="A1511" s="164" t="s">
        <v>777</v>
      </c>
      <c r="B1511" s="165" t="s">
        <v>1285</v>
      </c>
      <c r="C1511" s="165" t="s">
        <v>5022</v>
      </c>
      <c r="D1511" s="164">
        <v>2461</v>
      </c>
      <c r="E1511" s="164">
        <v>2492</v>
      </c>
      <c r="F1511" s="164" t="s">
        <v>3955</v>
      </c>
      <c r="G1511" s="164"/>
      <c r="H1511" s="167"/>
      <c r="I1511" s="167"/>
      <c r="J1511" s="167"/>
      <c r="K1511" s="169"/>
      <c r="L1511" s="129"/>
      <c r="M1511" s="129"/>
      <c r="N1511" s="129"/>
      <c r="O1511" s="129"/>
      <c r="P1511" s="146"/>
      <c r="Q1511" s="170"/>
      <c r="R1511" s="171"/>
      <c r="S1511" s="172"/>
    </row>
    <row r="1512" spans="1:19" ht="42.75">
      <c r="A1512" s="164" t="s">
        <v>777</v>
      </c>
      <c r="B1512" s="165" t="s">
        <v>1285</v>
      </c>
      <c r="C1512" s="165" t="s">
        <v>5023</v>
      </c>
      <c r="D1512" s="164">
        <v>1153</v>
      </c>
      <c r="E1512" s="164">
        <v>1193</v>
      </c>
      <c r="F1512" s="164" t="s">
        <v>3955</v>
      </c>
      <c r="G1512" s="164"/>
      <c r="H1512" s="167"/>
      <c r="I1512" s="167"/>
      <c r="J1512" s="167"/>
      <c r="K1512" s="169"/>
      <c r="L1512" s="129"/>
      <c r="M1512" s="129"/>
      <c r="N1512" s="129"/>
      <c r="O1512" s="129"/>
      <c r="P1512" s="146"/>
      <c r="Q1512" s="170"/>
      <c r="R1512" s="171"/>
      <c r="S1512" s="172"/>
    </row>
    <row r="1513" spans="1:19" ht="42.75">
      <c r="A1513" s="164" t="s">
        <v>777</v>
      </c>
      <c r="B1513" s="165" t="s">
        <v>1285</v>
      </c>
      <c r="C1513" s="165" t="s">
        <v>5024</v>
      </c>
      <c r="D1513" s="164">
        <v>2387</v>
      </c>
      <c r="E1513" s="164">
        <v>2808</v>
      </c>
      <c r="F1513" s="164" t="s">
        <v>3404</v>
      </c>
      <c r="G1513" s="164">
        <v>2024</v>
      </c>
      <c r="H1513" s="175">
        <v>45469</v>
      </c>
      <c r="I1513" s="175">
        <v>45475</v>
      </c>
      <c r="J1513" s="168" t="s">
        <v>7233</v>
      </c>
      <c r="K1513" s="174">
        <v>45483</v>
      </c>
      <c r="L1513" s="129" t="s">
        <v>3125</v>
      </c>
      <c r="M1513" s="129" t="s">
        <v>4</v>
      </c>
      <c r="N1513" s="129" t="s">
        <v>50</v>
      </c>
      <c r="O1513" s="129" t="s">
        <v>3406</v>
      </c>
      <c r="P1513" s="146"/>
      <c r="Q1513" s="170">
        <v>45483</v>
      </c>
      <c r="R1513" s="171"/>
      <c r="S1513" s="172"/>
    </row>
    <row r="1514" spans="1:19" ht="42.75">
      <c r="A1514" s="164" t="s">
        <v>777</v>
      </c>
      <c r="B1514" s="165" t="s">
        <v>1285</v>
      </c>
      <c r="C1514" s="165" t="s">
        <v>3454</v>
      </c>
      <c r="D1514" s="164">
        <v>2313</v>
      </c>
      <c r="E1514" s="164">
        <v>2582</v>
      </c>
      <c r="F1514" s="164" t="s">
        <v>3955</v>
      </c>
      <c r="G1514" s="164"/>
      <c r="H1514" s="167"/>
      <c r="I1514" s="167"/>
      <c r="J1514" s="167"/>
      <c r="K1514" s="169"/>
      <c r="L1514" s="129"/>
      <c r="M1514" s="129"/>
      <c r="N1514" s="129"/>
      <c r="O1514" s="129"/>
      <c r="P1514" s="146"/>
      <c r="Q1514" s="170"/>
      <c r="R1514" s="171"/>
      <c r="S1514" s="172"/>
    </row>
    <row r="1515" spans="1:19" ht="42.75">
      <c r="A1515" s="164" t="s">
        <v>777</v>
      </c>
      <c r="B1515" s="165" t="s">
        <v>1285</v>
      </c>
      <c r="C1515" s="165" t="s">
        <v>5025</v>
      </c>
      <c r="D1515" s="164">
        <v>1214</v>
      </c>
      <c r="E1515" s="164">
        <v>1226</v>
      </c>
      <c r="F1515" s="164" t="s">
        <v>3955</v>
      </c>
      <c r="G1515" s="164"/>
      <c r="H1515" s="167"/>
      <c r="I1515" s="167"/>
      <c r="J1515" s="167"/>
      <c r="K1515" s="169"/>
      <c r="L1515" s="129"/>
      <c r="M1515" s="129"/>
      <c r="N1515" s="129"/>
      <c r="O1515" s="129"/>
      <c r="P1515" s="146"/>
      <c r="Q1515" s="170"/>
      <c r="R1515" s="171"/>
      <c r="S1515" s="172"/>
    </row>
    <row r="1516" spans="1:19" ht="42.75">
      <c r="A1516" s="164" t="s">
        <v>777</v>
      </c>
      <c r="B1516" s="165" t="s">
        <v>1285</v>
      </c>
      <c r="C1516" s="165" t="s">
        <v>1286</v>
      </c>
      <c r="D1516" s="164">
        <v>3517</v>
      </c>
      <c r="E1516" s="164">
        <v>3757</v>
      </c>
      <c r="F1516" s="164" t="s">
        <v>3404</v>
      </c>
      <c r="G1516" s="164">
        <v>2024</v>
      </c>
      <c r="H1516" s="175">
        <v>45470</v>
      </c>
      <c r="I1516" s="175">
        <v>45475</v>
      </c>
      <c r="J1516" s="168" t="s">
        <v>7234</v>
      </c>
      <c r="K1516" s="174">
        <v>45483</v>
      </c>
      <c r="L1516" s="129" t="s">
        <v>3125</v>
      </c>
      <c r="M1516" s="129" t="s">
        <v>4</v>
      </c>
      <c r="N1516" s="129" t="s">
        <v>50</v>
      </c>
      <c r="O1516" s="129" t="s">
        <v>3406</v>
      </c>
      <c r="P1516" s="146"/>
      <c r="Q1516" s="130">
        <v>45483</v>
      </c>
      <c r="R1516" s="171"/>
      <c r="S1516" s="172"/>
    </row>
    <row r="1517" spans="1:19" ht="42.75">
      <c r="A1517" s="164" t="s">
        <v>777</v>
      </c>
      <c r="B1517" s="165" t="s">
        <v>1285</v>
      </c>
      <c r="C1517" s="165" t="s">
        <v>4830</v>
      </c>
      <c r="D1517" s="164">
        <v>3015</v>
      </c>
      <c r="E1517" s="164">
        <v>2625</v>
      </c>
      <c r="F1517" s="164" t="s">
        <v>3955</v>
      </c>
      <c r="G1517" s="164"/>
      <c r="H1517" s="167"/>
      <c r="I1517" s="167"/>
      <c r="J1517" s="167"/>
      <c r="K1517" s="169"/>
      <c r="L1517" s="129"/>
      <c r="M1517" s="129"/>
      <c r="N1517" s="129"/>
      <c r="O1517" s="129"/>
      <c r="P1517" s="146"/>
      <c r="Q1517" s="170"/>
      <c r="R1517" s="171"/>
      <c r="S1517" s="172"/>
    </row>
    <row r="1518" spans="1:19" ht="42.75">
      <c r="A1518" s="164" t="s">
        <v>777</v>
      </c>
      <c r="B1518" s="165" t="s">
        <v>1285</v>
      </c>
      <c r="C1518" s="165" t="s">
        <v>4476</v>
      </c>
      <c r="D1518" s="164">
        <v>2056</v>
      </c>
      <c r="E1518" s="164">
        <v>2086</v>
      </c>
      <c r="F1518" s="164" t="s">
        <v>3955</v>
      </c>
      <c r="G1518" s="164"/>
      <c r="H1518" s="167"/>
      <c r="I1518" s="167"/>
      <c r="J1518" s="167"/>
      <c r="K1518" s="169"/>
      <c r="L1518" s="129"/>
      <c r="M1518" s="129"/>
      <c r="N1518" s="129"/>
      <c r="O1518" s="129"/>
      <c r="P1518" s="146"/>
      <c r="Q1518" s="170"/>
      <c r="R1518" s="171"/>
      <c r="S1518" s="172"/>
    </row>
    <row r="1519" spans="1:19" ht="42.75">
      <c r="A1519" s="164" t="s">
        <v>777</v>
      </c>
      <c r="B1519" s="165" t="s">
        <v>1285</v>
      </c>
      <c r="C1519" s="165" t="s">
        <v>918</v>
      </c>
      <c r="D1519" s="164">
        <v>1717</v>
      </c>
      <c r="E1519" s="164">
        <v>2435</v>
      </c>
      <c r="F1519" s="164" t="s">
        <v>3955</v>
      </c>
      <c r="G1519" s="164"/>
      <c r="H1519" s="167"/>
      <c r="I1519" s="167"/>
      <c r="J1519" s="167"/>
      <c r="K1519" s="169"/>
      <c r="L1519" s="129"/>
      <c r="M1519" s="129"/>
      <c r="N1519" s="129"/>
      <c r="O1519" s="129"/>
      <c r="P1519" s="146"/>
      <c r="Q1519" s="170"/>
      <c r="R1519" s="171"/>
      <c r="S1519" s="172"/>
    </row>
    <row r="1520" spans="1:19" ht="42.75">
      <c r="A1520" s="164" t="s">
        <v>777</v>
      </c>
      <c r="B1520" s="165" t="s">
        <v>1285</v>
      </c>
      <c r="C1520" s="165" t="s">
        <v>5026</v>
      </c>
      <c r="D1520" s="164">
        <v>1691</v>
      </c>
      <c r="E1520" s="164">
        <v>1913</v>
      </c>
      <c r="F1520" s="164" t="s">
        <v>3404</v>
      </c>
      <c r="G1520" s="164">
        <v>2024</v>
      </c>
      <c r="H1520" s="175">
        <v>45469</v>
      </c>
      <c r="I1520" s="175">
        <v>45475</v>
      </c>
      <c r="J1520" s="168" t="s">
        <v>7235</v>
      </c>
      <c r="K1520" s="169"/>
      <c r="L1520" s="129" t="s">
        <v>3125</v>
      </c>
      <c r="M1520" s="129" t="s">
        <v>4</v>
      </c>
      <c r="N1520" s="129" t="s">
        <v>50</v>
      </c>
      <c r="O1520" s="129" t="s">
        <v>3406</v>
      </c>
      <c r="P1520" s="146"/>
      <c r="Q1520" s="170">
        <v>45483</v>
      </c>
      <c r="R1520" s="171"/>
      <c r="S1520" s="172"/>
    </row>
    <row r="1521" spans="1:19" ht="42.75">
      <c r="A1521" s="164" t="s">
        <v>777</v>
      </c>
      <c r="B1521" s="165" t="s">
        <v>1285</v>
      </c>
      <c r="C1521" s="165" t="s">
        <v>4178</v>
      </c>
      <c r="D1521" s="164">
        <v>1350</v>
      </c>
      <c r="E1521" s="164">
        <v>1192</v>
      </c>
      <c r="F1521" s="164" t="s">
        <v>3955</v>
      </c>
      <c r="G1521" s="164"/>
      <c r="H1521" s="167"/>
      <c r="I1521" s="167"/>
      <c r="J1521" s="167"/>
      <c r="K1521" s="169"/>
      <c r="L1521" s="129"/>
      <c r="M1521" s="129"/>
      <c r="N1521" s="129"/>
      <c r="O1521" s="129"/>
      <c r="P1521" s="146"/>
      <c r="Q1521" s="170"/>
      <c r="R1521" s="171"/>
      <c r="S1521" s="172"/>
    </row>
    <row r="1522" spans="1:19" ht="42.75">
      <c r="A1522" s="164" t="s">
        <v>777</v>
      </c>
      <c r="B1522" s="165" t="s">
        <v>1291</v>
      </c>
      <c r="C1522" s="165" t="s">
        <v>1292</v>
      </c>
      <c r="D1522" s="164">
        <v>3322</v>
      </c>
      <c r="E1522" s="164">
        <v>3509</v>
      </c>
      <c r="F1522" s="164" t="s">
        <v>3404</v>
      </c>
      <c r="G1522" s="164">
        <v>2024</v>
      </c>
      <c r="H1522" s="175">
        <v>45510</v>
      </c>
      <c r="I1522" s="175">
        <v>45511</v>
      </c>
      <c r="J1522" s="168" t="s">
        <v>7236</v>
      </c>
      <c r="K1522" s="174">
        <v>45512</v>
      </c>
      <c r="L1522" s="129" t="s">
        <v>3126</v>
      </c>
      <c r="M1522" s="129" t="s">
        <v>1078</v>
      </c>
      <c r="N1522" s="129" t="s">
        <v>50</v>
      </c>
      <c r="O1522" s="129" t="s">
        <v>3406</v>
      </c>
      <c r="P1522" s="146"/>
      <c r="Q1522" s="170">
        <v>45512</v>
      </c>
      <c r="R1522" s="171" t="s">
        <v>6643</v>
      </c>
      <c r="S1522" s="172"/>
    </row>
    <row r="1523" spans="1:19" ht="42.75">
      <c r="A1523" s="164" t="s">
        <v>777</v>
      </c>
      <c r="B1523" s="165" t="s">
        <v>1291</v>
      </c>
      <c r="C1523" s="165" t="s">
        <v>5027</v>
      </c>
      <c r="D1523" s="164">
        <v>3219</v>
      </c>
      <c r="E1523" s="164">
        <v>3362</v>
      </c>
      <c r="F1523" s="164" t="s">
        <v>3955</v>
      </c>
      <c r="G1523" s="164"/>
      <c r="H1523" s="167"/>
      <c r="I1523" s="167"/>
      <c r="J1523" s="167"/>
      <c r="K1523" s="169"/>
      <c r="L1523" s="129"/>
      <c r="M1523" s="129"/>
      <c r="N1523" s="129"/>
      <c r="O1523" s="129"/>
      <c r="P1523" s="146"/>
      <c r="Q1523" s="170"/>
      <c r="R1523" s="171"/>
      <c r="S1523" s="172"/>
    </row>
    <row r="1524" spans="1:19" ht="42.75">
      <c r="A1524" s="164" t="s">
        <v>777</v>
      </c>
      <c r="B1524" s="165" t="s">
        <v>1291</v>
      </c>
      <c r="C1524" s="165" t="s">
        <v>4206</v>
      </c>
      <c r="D1524" s="164">
        <v>1731</v>
      </c>
      <c r="E1524" s="164">
        <v>1823</v>
      </c>
      <c r="F1524" s="164" t="s">
        <v>3955</v>
      </c>
      <c r="G1524" s="164"/>
      <c r="H1524" s="167"/>
      <c r="I1524" s="167"/>
      <c r="J1524" s="167"/>
      <c r="K1524" s="169"/>
      <c r="L1524" s="129"/>
      <c r="M1524" s="129"/>
      <c r="N1524" s="129"/>
      <c r="O1524" s="129"/>
      <c r="P1524" s="146"/>
      <c r="Q1524" s="170"/>
      <c r="R1524" s="171"/>
      <c r="S1524" s="172"/>
    </row>
    <row r="1525" spans="1:19" ht="42.75">
      <c r="A1525" s="164" t="s">
        <v>777</v>
      </c>
      <c r="B1525" s="165" t="s">
        <v>1291</v>
      </c>
      <c r="C1525" s="165" t="s">
        <v>4277</v>
      </c>
      <c r="D1525" s="164">
        <v>1047</v>
      </c>
      <c r="E1525" s="164">
        <v>1144</v>
      </c>
      <c r="F1525" s="164" t="s">
        <v>3955</v>
      </c>
      <c r="G1525" s="164"/>
      <c r="H1525" s="167"/>
      <c r="I1525" s="167"/>
      <c r="J1525" s="167"/>
      <c r="K1525" s="169"/>
      <c r="L1525" s="129"/>
      <c r="M1525" s="129"/>
      <c r="N1525" s="129"/>
      <c r="O1525" s="129"/>
      <c r="P1525" s="146"/>
      <c r="Q1525" s="170"/>
      <c r="R1525" s="171"/>
      <c r="S1525" s="172"/>
    </row>
    <row r="1526" spans="1:19" ht="42.75">
      <c r="A1526" s="164" t="s">
        <v>777</v>
      </c>
      <c r="B1526" s="165" t="s">
        <v>1291</v>
      </c>
      <c r="C1526" s="165" t="s">
        <v>5031</v>
      </c>
      <c r="D1526" s="164">
        <v>1139</v>
      </c>
      <c r="E1526" s="164">
        <v>1289</v>
      </c>
      <c r="F1526" s="164" t="s">
        <v>3955</v>
      </c>
      <c r="G1526" s="164"/>
      <c r="H1526" s="167"/>
      <c r="I1526" s="167"/>
      <c r="J1526" s="167"/>
      <c r="K1526" s="169"/>
      <c r="L1526" s="129"/>
      <c r="M1526" s="129"/>
      <c r="N1526" s="129"/>
      <c r="O1526" s="129"/>
      <c r="P1526" s="146"/>
      <c r="Q1526" s="170"/>
      <c r="R1526" s="171"/>
      <c r="S1526" s="172"/>
    </row>
    <row r="1527" spans="1:19" ht="42.75">
      <c r="A1527" s="164" t="s">
        <v>777</v>
      </c>
      <c r="B1527" s="165" t="s">
        <v>1291</v>
      </c>
      <c r="C1527" s="165" t="s">
        <v>5033</v>
      </c>
      <c r="D1527" s="164">
        <v>1617</v>
      </c>
      <c r="E1527" s="164">
        <v>1700</v>
      </c>
      <c r="F1527" s="164" t="s">
        <v>3404</v>
      </c>
      <c r="G1527" s="164">
        <v>2024</v>
      </c>
      <c r="H1527" s="175">
        <v>45552</v>
      </c>
      <c r="I1527" s="175">
        <v>45552</v>
      </c>
      <c r="J1527" s="168" t="s">
        <v>7237</v>
      </c>
      <c r="K1527" s="174">
        <v>45553</v>
      </c>
      <c r="L1527" s="129" t="s">
        <v>3127</v>
      </c>
      <c r="M1527" s="129" t="s">
        <v>4</v>
      </c>
      <c r="N1527" s="129" t="s">
        <v>50</v>
      </c>
      <c r="O1527" s="129" t="s">
        <v>3406</v>
      </c>
      <c r="P1527" s="146"/>
      <c r="Q1527" s="170">
        <v>45553</v>
      </c>
      <c r="R1527" s="171" t="s">
        <v>7238</v>
      </c>
      <c r="S1527" s="172"/>
    </row>
    <row r="1528" spans="1:19" ht="42.75">
      <c r="A1528" s="164" t="s">
        <v>777</v>
      </c>
      <c r="B1528" s="165" t="s">
        <v>1291</v>
      </c>
      <c r="C1528" s="165" t="s">
        <v>3566</v>
      </c>
      <c r="D1528" s="164">
        <v>7417</v>
      </c>
      <c r="E1528" s="164">
        <v>7705</v>
      </c>
      <c r="F1528" s="164" t="s">
        <v>3955</v>
      </c>
      <c r="G1528" s="164"/>
      <c r="H1528" s="167"/>
      <c r="I1528" s="167"/>
      <c r="J1528" s="167"/>
      <c r="K1528" s="169"/>
      <c r="L1528" s="129"/>
      <c r="M1528" s="129"/>
      <c r="N1528" s="129"/>
      <c r="O1528" s="129"/>
      <c r="P1528" s="146"/>
      <c r="Q1528" s="170"/>
      <c r="R1528" s="171"/>
      <c r="S1528" s="172"/>
    </row>
    <row r="1529" spans="1:19" ht="42.75">
      <c r="A1529" s="164" t="s">
        <v>777</v>
      </c>
      <c r="B1529" s="165" t="s">
        <v>1291</v>
      </c>
      <c r="C1529" s="165" t="s">
        <v>2168</v>
      </c>
      <c r="D1529" s="164">
        <v>4681</v>
      </c>
      <c r="E1529" s="164">
        <v>5130</v>
      </c>
      <c r="F1529" s="164" t="s">
        <v>3955</v>
      </c>
      <c r="G1529" s="164"/>
      <c r="H1529" s="167"/>
      <c r="I1529" s="167"/>
      <c r="J1529" s="167"/>
      <c r="K1529" s="169"/>
      <c r="L1529" s="129"/>
      <c r="M1529" s="129"/>
      <c r="N1529" s="129"/>
      <c r="O1529" s="129"/>
      <c r="P1529" s="146"/>
      <c r="Q1529" s="170"/>
      <c r="R1529" s="171"/>
      <c r="S1529" s="172"/>
    </row>
    <row r="1530" spans="1:19" ht="42.75">
      <c r="A1530" s="164" t="s">
        <v>777</v>
      </c>
      <c r="B1530" s="165" t="s">
        <v>1291</v>
      </c>
      <c r="C1530" s="165" t="s">
        <v>4925</v>
      </c>
      <c r="D1530" s="164">
        <v>4862</v>
      </c>
      <c r="E1530" s="164">
        <v>5495</v>
      </c>
      <c r="F1530" s="164" t="s">
        <v>3955</v>
      </c>
      <c r="G1530" s="164"/>
      <c r="H1530" s="167"/>
      <c r="I1530" s="167"/>
      <c r="J1530" s="167"/>
      <c r="K1530" s="169"/>
      <c r="L1530" s="129"/>
      <c r="M1530" s="129"/>
      <c r="N1530" s="129"/>
      <c r="O1530" s="129"/>
      <c r="P1530" s="146"/>
      <c r="Q1530" s="170"/>
      <c r="R1530" s="171"/>
      <c r="S1530" s="172"/>
    </row>
    <row r="1531" spans="1:19" ht="42.75">
      <c r="A1531" s="164" t="s">
        <v>777</v>
      </c>
      <c r="B1531" s="165" t="s">
        <v>1291</v>
      </c>
      <c r="C1531" s="165" t="s">
        <v>5034</v>
      </c>
      <c r="D1531" s="164">
        <v>847</v>
      </c>
      <c r="E1531" s="164">
        <v>1112</v>
      </c>
      <c r="F1531" s="164" t="s">
        <v>3404</v>
      </c>
      <c r="G1531" s="164">
        <v>2024</v>
      </c>
      <c r="H1531" s="175">
        <v>45426</v>
      </c>
      <c r="I1531" s="175">
        <v>45426</v>
      </c>
      <c r="J1531" s="168" t="s">
        <v>7239</v>
      </c>
      <c r="K1531" s="174">
        <v>45429</v>
      </c>
      <c r="L1531" s="129" t="s">
        <v>3532</v>
      </c>
      <c r="M1531" s="129"/>
      <c r="N1531" s="129"/>
      <c r="O1531" s="129" t="s">
        <v>3406</v>
      </c>
      <c r="P1531" s="146"/>
      <c r="Q1531" s="170">
        <v>45432</v>
      </c>
      <c r="R1531" s="171"/>
      <c r="S1531" s="172"/>
    </row>
    <row r="1532" spans="1:19" ht="42.75">
      <c r="A1532" s="164" t="s">
        <v>777</v>
      </c>
      <c r="B1532" s="165" t="s">
        <v>1295</v>
      </c>
      <c r="C1532" s="165" t="s">
        <v>5040</v>
      </c>
      <c r="D1532" s="164">
        <v>4827</v>
      </c>
      <c r="E1532" s="164">
        <v>4792</v>
      </c>
      <c r="F1532" s="164" t="s">
        <v>3955</v>
      </c>
      <c r="G1532" s="164"/>
      <c r="H1532" s="167"/>
      <c r="I1532" s="167"/>
      <c r="J1532" s="167"/>
      <c r="K1532" s="169"/>
      <c r="L1532" s="129"/>
      <c r="M1532" s="129"/>
      <c r="N1532" s="129"/>
      <c r="O1532" s="129"/>
      <c r="P1532" s="146"/>
      <c r="Q1532" s="170"/>
      <c r="R1532" s="171"/>
      <c r="S1532" s="172"/>
    </row>
    <row r="1533" spans="1:19" ht="42.75">
      <c r="A1533" s="164" t="s">
        <v>777</v>
      </c>
      <c r="B1533" s="165" t="s">
        <v>1295</v>
      </c>
      <c r="C1533" s="165" t="s">
        <v>5042</v>
      </c>
      <c r="D1533" s="164">
        <v>2329</v>
      </c>
      <c r="E1533" s="164">
        <v>2506</v>
      </c>
      <c r="F1533" s="164" t="s">
        <v>3955</v>
      </c>
      <c r="G1533" s="164"/>
      <c r="H1533" s="167"/>
      <c r="I1533" s="167"/>
      <c r="J1533" s="167"/>
      <c r="K1533" s="169"/>
      <c r="L1533" s="129"/>
      <c r="M1533" s="129"/>
      <c r="N1533" s="129"/>
      <c r="O1533" s="129"/>
      <c r="P1533" s="146"/>
      <c r="Q1533" s="170"/>
      <c r="R1533" s="171"/>
      <c r="S1533" s="172"/>
    </row>
    <row r="1534" spans="1:19" ht="42.75">
      <c r="A1534" s="164" t="s">
        <v>777</v>
      </c>
      <c r="B1534" s="165" t="s">
        <v>1295</v>
      </c>
      <c r="C1534" s="165" t="s">
        <v>4177</v>
      </c>
      <c r="D1534" s="164">
        <v>4458</v>
      </c>
      <c r="E1534" s="164">
        <v>4687</v>
      </c>
      <c r="F1534" s="164" t="s">
        <v>3955</v>
      </c>
      <c r="G1534" s="164"/>
      <c r="H1534" s="167"/>
      <c r="I1534" s="167"/>
      <c r="J1534" s="167"/>
      <c r="K1534" s="169"/>
      <c r="L1534" s="129"/>
      <c r="M1534" s="129"/>
      <c r="N1534" s="129"/>
      <c r="O1534" s="129"/>
      <c r="P1534" s="146"/>
      <c r="Q1534" s="170"/>
      <c r="R1534" s="171"/>
      <c r="S1534" s="172"/>
    </row>
    <row r="1535" spans="1:19" ht="42.75">
      <c r="A1535" s="164" t="s">
        <v>777</v>
      </c>
      <c r="B1535" s="165" t="s">
        <v>1295</v>
      </c>
      <c r="C1535" s="165" t="s">
        <v>5045</v>
      </c>
      <c r="D1535" s="164">
        <v>3624</v>
      </c>
      <c r="E1535" s="164">
        <v>3771</v>
      </c>
      <c r="F1535" s="164" t="s">
        <v>3955</v>
      </c>
      <c r="G1535" s="164"/>
      <c r="H1535" s="167"/>
      <c r="I1535" s="167"/>
      <c r="J1535" s="167"/>
      <c r="K1535" s="169"/>
      <c r="L1535" s="129"/>
      <c r="M1535" s="129"/>
      <c r="N1535" s="129"/>
      <c r="O1535" s="129"/>
      <c r="P1535" s="146"/>
      <c r="Q1535" s="170"/>
      <c r="R1535" s="171"/>
      <c r="S1535" s="172"/>
    </row>
    <row r="1536" spans="1:19" ht="42.75">
      <c r="A1536" s="164" t="s">
        <v>777</v>
      </c>
      <c r="B1536" s="165" t="s">
        <v>1295</v>
      </c>
      <c r="C1536" s="165" t="s">
        <v>3403</v>
      </c>
      <c r="D1536" s="164">
        <v>1487</v>
      </c>
      <c r="E1536" s="164">
        <v>1531</v>
      </c>
      <c r="F1536" s="164" t="s">
        <v>3955</v>
      </c>
      <c r="G1536" s="164"/>
      <c r="H1536" s="167"/>
      <c r="I1536" s="167"/>
      <c r="J1536" s="167"/>
      <c r="K1536" s="169"/>
      <c r="L1536" s="129"/>
      <c r="M1536" s="129"/>
      <c r="N1536" s="129"/>
      <c r="O1536" s="129"/>
      <c r="P1536" s="146"/>
      <c r="Q1536" s="170"/>
      <c r="R1536" s="171"/>
      <c r="S1536" s="172"/>
    </row>
    <row r="1537" spans="1:19" ht="42.75">
      <c r="A1537" s="164" t="s">
        <v>777</v>
      </c>
      <c r="B1537" s="165" t="s">
        <v>1295</v>
      </c>
      <c r="C1537" s="165" t="s">
        <v>3407</v>
      </c>
      <c r="D1537" s="164">
        <v>705</v>
      </c>
      <c r="E1537" s="164">
        <v>686</v>
      </c>
      <c r="F1537" s="164" t="s">
        <v>3955</v>
      </c>
      <c r="G1537" s="164"/>
      <c r="H1537" s="167"/>
      <c r="I1537" s="167"/>
      <c r="J1537" s="167"/>
      <c r="K1537" s="169"/>
      <c r="L1537" s="129"/>
      <c r="M1537" s="129"/>
      <c r="N1537" s="129"/>
      <c r="O1537" s="129"/>
      <c r="P1537" s="146"/>
      <c r="Q1537" s="170"/>
      <c r="R1537" s="171"/>
      <c r="S1537" s="172"/>
    </row>
    <row r="1538" spans="1:19" ht="42.75">
      <c r="A1538" s="164" t="s">
        <v>777</v>
      </c>
      <c r="B1538" s="165" t="s">
        <v>1295</v>
      </c>
      <c r="C1538" s="165" t="s">
        <v>5046</v>
      </c>
      <c r="D1538" s="164">
        <v>1739</v>
      </c>
      <c r="E1538" s="164">
        <v>1760</v>
      </c>
      <c r="F1538" s="164" t="s">
        <v>3955</v>
      </c>
      <c r="G1538" s="164"/>
      <c r="H1538" s="167"/>
      <c r="I1538" s="167"/>
      <c r="J1538" s="167"/>
      <c r="K1538" s="169"/>
      <c r="L1538" s="129"/>
      <c r="M1538" s="129"/>
      <c r="N1538" s="129"/>
      <c r="O1538" s="129"/>
      <c r="P1538" s="146"/>
      <c r="Q1538" s="170"/>
      <c r="R1538" s="171"/>
      <c r="S1538" s="172"/>
    </row>
    <row r="1539" spans="1:19" ht="42.75">
      <c r="A1539" s="164" t="s">
        <v>777</v>
      </c>
      <c r="B1539" s="165" t="s">
        <v>1295</v>
      </c>
      <c r="C1539" s="165" t="s">
        <v>5036</v>
      </c>
      <c r="D1539" s="164">
        <v>3486</v>
      </c>
      <c r="E1539" s="164">
        <v>3308</v>
      </c>
      <c r="F1539" s="164" t="s">
        <v>3955</v>
      </c>
      <c r="G1539" s="164"/>
      <c r="H1539" s="167"/>
      <c r="I1539" s="167"/>
      <c r="J1539" s="167"/>
      <c r="K1539" s="169"/>
      <c r="L1539" s="129"/>
      <c r="M1539" s="129"/>
      <c r="N1539" s="129"/>
      <c r="O1539" s="129"/>
      <c r="P1539" s="146"/>
      <c r="Q1539" s="170"/>
      <c r="R1539" s="171"/>
      <c r="S1539" s="172"/>
    </row>
    <row r="1540" spans="1:19" ht="42.75">
      <c r="A1540" s="164" t="s">
        <v>777</v>
      </c>
      <c r="B1540" s="165" t="s">
        <v>1295</v>
      </c>
      <c r="C1540" s="165" t="s">
        <v>5047</v>
      </c>
      <c r="D1540" s="164">
        <v>2027</v>
      </c>
      <c r="E1540" s="164">
        <v>2255</v>
      </c>
      <c r="F1540" s="164" t="s">
        <v>3955</v>
      </c>
      <c r="G1540" s="164"/>
      <c r="H1540" s="167"/>
      <c r="I1540" s="167"/>
      <c r="J1540" s="167"/>
      <c r="K1540" s="169"/>
      <c r="L1540" s="129"/>
      <c r="M1540" s="129"/>
      <c r="N1540" s="129"/>
      <c r="O1540" s="129"/>
      <c r="P1540" s="146"/>
      <c r="Q1540" s="170"/>
      <c r="R1540" s="171"/>
      <c r="S1540" s="172"/>
    </row>
    <row r="1541" spans="1:19" ht="42.75">
      <c r="A1541" s="164" t="s">
        <v>777</v>
      </c>
      <c r="B1541" s="165" t="s">
        <v>1295</v>
      </c>
      <c r="C1541" s="165" t="s">
        <v>5049</v>
      </c>
      <c r="D1541" s="164">
        <v>1793</v>
      </c>
      <c r="E1541" s="164">
        <v>1823</v>
      </c>
      <c r="F1541" s="164" t="s">
        <v>3955</v>
      </c>
      <c r="G1541" s="164"/>
      <c r="H1541" s="167"/>
      <c r="I1541" s="167"/>
      <c r="J1541" s="167"/>
      <c r="K1541" s="169"/>
      <c r="L1541" s="129"/>
      <c r="M1541" s="129"/>
      <c r="N1541" s="129"/>
      <c r="O1541" s="129"/>
      <c r="P1541" s="146"/>
      <c r="Q1541" s="170"/>
      <c r="R1541" s="171"/>
      <c r="S1541" s="172"/>
    </row>
    <row r="1542" spans="1:19" ht="42.75">
      <c r="A1542" s="164" t="s">
        <v>777</v>
      </c>
      <c r="B1542" s="165" t="s">
        <v>1295</v>
      </c>
      <c r="C1542" s="165" t="s">
        <v>1511</v>
      </c>
      <c r="D1542" s="164">
        <v>1800</v>
      </c>
      <c r="E1542" s="164">
        <v>1963</v>
      </c>
      <c r="F1542" s="164" t="s">
        <v>3955</v>
      </c>
      <c r="G1542" s="164"/>
      <c r="H1542" s="167"/>
      <c r="I1542" s="167"/>
      <c r="J1542" s="167"/>
      <c r="K1542" s="169"/>
      <c r="L1542" s="129"/>
      <c r="M1542" s="129"/>
      <c r="N1542" s="129"/>
      <c r="O1542" s="129"/>
      <c r="P1542" s="146"/>
      <c r="Q1542" s="170"/>
      <c r="R1542" s="171"/>
      <c r="S1542" s="172"/>
    </row>
    <row r="1543" spans="1:19" ht="42.75">
      <c r="A1543" s="164" t="s">
        <v>777</v>
      </c>
      <c r="B1543" s="165" t="s">
        <v>1295</v>
      </c>
      <c r="C1543" s="165" t="s">
        <v>4499</v>
      </c>
      <c r="D1543" s="164">
        <v>2401</v>
      </c>
      <c r="E1543" s="164">
        <v>2262</v>
      </c>
      <c r="F1543" s="164" t="s">
        <v>3955</v>
      </c>
      <c r="G1543" s="164"/>
      <c r="H1543" s="167"/>
      <c r="I1543" s="167"/>
      <c r="J1543" s="167"/>
      <c r="K1543" s="169"/>
      <c r="L1543" s="129"/>
      <c r="M1543" s="129"/>
      <c r="N1543" s="129"/>
      <c r="O1543" s="129"/>
      <c r="P1543" s="146"/>
      <c r="Q1543" s="170"/>
      <c r="R1543" s="171"/>
      <c r="S1543" s="172"/>
    </row>
    <row r="1544" spans="1:19" ht="42.75">
      <c r="A1544" s="164" t="s">
        <v>777</v>
      </c>
      <c r="B1544" s="165" t="s">
        <v>1295</v>
      </c>
      <c r="C1544" s="165" t="s">
        <v>4242</v>
      </c>
      <c r="D1544" s="164">
        <v>3868</v>
      </c>
      <c r="E1544" s="164">
        <v>4107</v>
      </c>
      <c r="F1544" s="164" t="s">
        <v>3955</v>
      </c>
      <c r="G1544" s="164"/>
      <c r="H1544" s="167"/>
      <c r="I1544" s="167"/>
      <c r="J1544" s="167"/>
      <c r="K1544" s="169"/>
      <c r="L1544" s="129"/>
      <c r="M1544" s="129"/>
      <c r="N1544" s="129"/>
      <c r="O1544" s="129"/>
      <c r="P1544" s="146"/>
      <c r="Q1544" s="170"/>
      <c r="R1544" s="171"/>
      <c r="S1544" s="172"/>
    </row>
    <row r="1545" spans="1:19" ht="42.75">
      <c r="A1545" s="164" t="s">
        <v>777</v>
      </c>
      <c r="B1545" s="165" t="s">
        <v>1295</v>
      </c>
      <c r="C1545" s="165" t="s">
        <v>3977</v>
      </c>
      <c r="D1545" s="164">
        <v>1185</v>
      </c>
      <c r="E1545" s="164">
        <v>1269</v>
      </c>
      <c r="F1545" s="164" t="s">
        <v>3955</v>
      </c>
      <c r="G1545" s="164"/>
      <c r="H1545" s="167"/>
      <c r="I1545" s="167"/>
      <c r="J1545" s="167"/>
      <c r="K1545" s="169"/>
      <c r="L1545" s="129"/>
      <c r="M1545" s="129"/>
      <c r="N1545" s="129"/>
      <c r="O1545" s="129"/>
      <c r="P1545" s="146"/>
      <c r="Q1545" s="170"/>
      <c r="R1545" s="171"/>
      <c r="S1545" s="172"/>
    </row>
    <row r="1546" spans="1:19" ht="42.75">
      <c r="A1546" s="164" t="s">
        <v>777</v>
      </c>
      <c r="B1546" s="165" t="s">
        <v>1295</v>
      </c>
      <c r="C1546" s="165" t="s">
        <v>5052</v>
      </c>
      <c r="D1546" s="164">
        <v>2111</v>
      </c>
      <c r="E1546" s="164">
        <v>2203</v>
      </c>
      <c r="F1546" s="164" t="s">
        <v>3955</v>
      </c>
      <c r="G1546" s="164"/>
      <c r="H1546" s="167"/>
      <c r="I1546" s="167"/>
      <c r="J1546" s="167"/>
      <c r="K1546" s="169"/>
      <c r="L1546" s="129"/>
      <c r="M1546" s="129"/>
      <c r="N1546" s="129"/>
      <c r="O1546" s="129"/>
      <c r="P1546" s="146"/>
      <c r="Q1546" s="170"/>
      <c r="R1546" s="171"/>
      <c r="S1546" s="172"/>
    </row>
    <row r="1547" spans="1:19" ht="42.75">
      <c r="A1547" s="164" t="s">
        <v>777</v>
      </c>
      <c r="B1547" s="165" t="s">
        <v>1295</v>
      </c>
      <c r="C1547" s="165" t="s">
        <v>1151</v>
      </c>
      <c r="D1547" s="164">
        <v>2752</v>
      </c>
      <c r="E1547" s="164">
        <v>2922</v>
      </c>
      <c r="F1547" s="164" t="s">
        <v>3955</v>
      </c>
      <c r="G1547" s="164"/>
      <c r="H1547" s="167"/>
      <c r="I1547" s="167"/>
      <c r="J1547" s="167"/>
      <c r="K1547" s="169"/>
      <c r="L1547" s="129"/>
      <c r="M1547" s="129"/>
      <c r="N1547" s="129"/>
      <c r="O1547" s="129"/>
      <c r="P1547" s="146"/>
      <c r="Q1547" s="170"/>
      <c r="R1547" s="171"/>
      <c r="S1547" s="172"/>
    </row>
    <row r="1548" spans="1:19" ht="42.75">
      <c r="A1548" s="164" t="s">
        <v>777</v>
      </c>
      <c r="B1548" s="165" t="s">
        <v>1299</v>
      </c>
      <c r="C1548" s="165" t="s">
        <v>5055</v>
      </c>
      <c r="D1548" s="164">
        <v>4182</v>
      </c>
      <c r="E1548" s="164">
        <v>4292</v>
      </c>
      <c r="F1548" s="164" t="s">
        <v>3404</v>
      </c>
      <c r="G1548" s="164">
        <v>2024</v>
      </c>
      <c r="H1548" s="175">
        <v>45568</v>
      </c>
      <c r="I1548" s="175">
        <v>45571</v>
      </c>
      <c r="J1548" s="168" t="s">
        <v>7240</v>
      </c>
      <c r="K1548" s="174">
        <v>45574</v>
      </c>
      <c r="L1548" s="129" t="s">
        <v>3128</v>
      </c>
      <c r="M1548" s="129" t="s">
        <v>4</v>
      </c>
      <c r="N1548" s="129" t="s">
        <v>50</v>
      </c>
      <c r="O1548" s="129" t="s">
        <v>3406</v>
      </c>
      <c r="P1548" s="146"/>
      <c r="Q1548" s="189">
        <v>45574</v>
      </c>
      <c r="R1548" s="115" t="s">
        <v>6643</v>
      </c>
      <c r="S1548" s="163"/>
    </row>
    <row r="1549" spans="1:19" ht="42.75">
      <c r="A1549" s="164" t="s">
        <v>777</v>
      </c>
      <c r="B1549" s="165" t="s">
        <v>1299</v>
      </c>
      <c r="C1549" s="165" t="s">
        <v>5057</v>
      </c>
      <c r="D1549" s="164">
        <v>4641</v>
      </c>
      <c r="E1549" s="164">
        <v>5869</v>
      </c>
      <c r="F1549" s="164" t="s">
        <v>3404</v>
      </c>
      <c r="G1549" s="164">
        <v>2024</v>
      </c>
      <c r="H1549" s="175">
        <v>45470</v>
      </c>
      <c r="I1549" s="175">
        <v>45475</v>
      </c>
      <c r="J1549" s="168" t="s">
        <v>7241</v>
      </c>
      <c r="K1549" s="174">
        <v>45483</v>
      </c>
      <c r="L1549" s="129" t="s">
        <v>3125</v>
      </c>
      <c r="M1549" s="129" t="s">
        <v>4</v>
      </c>
      <c r="N1549" s="129" t="s">
        <v>50</v>
      </c>
      <c r="O1549" s="129" t="s">
        <v>3406</v>
      </c>
      <c r="P1549" s="146"/>
      <c r="Q1549" s="170">
        <v>45483</v>
      </c>
      <c r="R1549" s="171"/>
      <c r="S1549" s="172"/>
    </row>
    <row r="1550" spans="1:19" ht="42.75">
      <c r="A1550" s="164" t="s">
        <v>777</v>
      </c>
      <c r="B1550" s="165" t="s">
        <v>1299</v>
      </c>
      <c r="C1550" s="165" t="s">
        <v>5058</v>
      </c>
      <c r="D1550" s="164">
        <v>4641</v>
      </c>
      <c r="E1550" s="164">
        <v>5250</v>
      </c>
      <c r="F1550" s="164" t="s">
        <v>3404</v>
      </c>
      <c r="G1550" s="164">
        <v>2024</v>
      </c>
      <c r="H1550" s="175">
        <v>45568</v>
      </c>
      <c r="I1550" s="175">
        <v>45573</v>
      </c>
      <c r="J1550" s="168" t="s">
        <v>7242</v>
      </c>
      <c r="K1550" s="174">
        <v>45580</v>
      </c>
      <c r="L1550" s="129" t="s">
        <v>3128</v>
      </c>
      <c r="M1550" s="129" t="s">
        <v>4</v>
      </c>
      <c r="N1550" s="129" t="s">
        <v>50</v>
      </c>
      <c r="O1550" s="129" t="s">
        <v>3406</v>
      </c>
      <c r="P1550" s="146"/>
      <c r="Q1550" s="170">
        <v>45580</v>
      </c>
      <c r="R1550" s="171" t="s">
        <v>6643</v>
      </c>
      <c r="S1550" s="172"/>
    </row>
    <row r="1551" spans="1:19" ht="42.75">
      <c r="A1551" s="164" t="s">
        <v>777</v>
      </c>
      <c r="B1551" s="165" t="s">
        <v>1299</v>
      </c>
      <c r="C1551" s="165" t="s">
        <v>5059</v>
      </c>
      <c r="D1551" s="164">
        <v>3527</v>
      </c>
      <c r="E1551" s="164">
        <v>3842</v>
      </c>
      <c r="F1551" s="164" t="s">
        <v>3404</v>
      </c>
      <c r="G1551" s="164">
        <v>2024</v>
      </c>
      <c r="H1551" s="175">
        <v>45496</v>
      </c>
      <c r="I1551" s="175">
        <v>45499</v>
      </c>
      <c r="J1551" s="168" t="s">
        <v>7243</v>
      </c>
      <c r="K1551" s="174">
        <v>45503</v>
      </c>
      <c r="L1551" s="129" t="s">
        <v>3126</v>
      </c>
      <c r="M1551" s="129" t="s">
        <v>4</v>
      </c>
      <c r="N1551" s="129" t="s">
        <v>50</v>
      </c>
      <c r="O1551" s="129" t="s">
        <v>3406</v>
      </c>
      <c r="P1551" s="146"/>
      <c r="Q1551" s="170">
        <v>45503</v>
      </c>
      <c r="R1551" s="171"/>
      <c r="S1551" s="172"/>
    </row>
    <row r="1552" spans="1:19" ht="42.75">
      <c r="A1552" s="164" t="s">
        <v>777</v>
      </c>
      <c r="B1552" s="165" t="s">
        <v>1299</v>
      </c>
      <c r="C1552" s="165" t="s">
        <v>5053</v>
      </c>
      <c r="D1552" s="164">
        <v>2486</v>
      </c>
      <c r="E1552" s="164">
        <v>2787</v>
      </c>
      <c r="F1552" s="164" t="s">
        <v>3955</v>
      </c>
      <c r="G1552" s="164"/>
      <c r="H1552" s="167"/>
      <c r="I1552" s="167"/>
      <c r="J1552" s="167"/>
      <c r="K1552" s="169"/>
      <c r="L1552" s="129"/>
      <c r="M1552" s="129"/>
      <c r="N1552" s="129"/>
      <c r="O1552" s="129"/>
      <c r="P1552" s="146"/>
      <c r="Q1552" s="170"/>
      <c r="R1552" s="171"/>
      <c r="S1552" s="172"/>
    </row>
    <row r="1553" spans="1:19" ht="42.75">
      <c r="A1553" s="164" t="s">
        <v>777</v>
      </c>
      <c r="B1553" s="165" t="s">
        <v>1299</v>
      </c>
      <c r="C1553" s="165" t="s">
        <v>5061</v>
      </c>
      <c r="D1553" s="164">
        <v>1006</v>
      </c>
      <c r="E1553" s="164">
        <v>1012</v>
      </c>
      <c r="F1553" s="164" t="s">
        <v>3955</v>
      </c>
      <c r="G1553" s="164"/>
      <c r="H1553" s="167"/>
      <c r="I1553" s="167"/>
      <c r="J1553" s="167"/>
      <c r="K1553" s="169"/>
      <c r="L1553" s="129"/>
      <c r="M1553" s="129"/>
      <c r="N1553" s="129"/>
      <c r="O1553" s="129"/>
      <c r="P1553" s="146"/>
      <c r="Q1553" s="170"/>
      <c r="R1553" s="171"/>
      <c r="S1553" s="172"/>
    </row>
    <row r="1554" spans="1:19" ht="42.75">
      <c r="A1554" s="164" t="s">
        <v>777</v>
      </c>
      <c r="B1554" s="165" t="s">
        <v>1299</v>
      </c>
      <c r="C1554" s="165" t="s">
        <v>5062</v>
      </c>
      <c r="D1554" s="164">
        <v>776</v>
      </c>
      <c r="E1554" s="164">
        <v>846</v>
      </c>
      <c r="F1554" s="164" t="s">
        <v>3955</v>
      </c>
      <c r="G1554" s="164"/>
      <c r="H1554" s="167"/>
      <c r="I1554" s="167"/>
      <c r="J1554" s="167"/>
      <c r="K1554" s="169"/>
      <c r="L1554" s="129"/>
      <c r="M1554" s="129"/>
      <c r="N1554" s="129"/>
      <c r="O1554" s="129"/>
      <c r="P1554" s="146"/>
      <c r="Q1554" s="170"/>
      <c r="R1554" s="171"/>
      <c r="S1554" s="172"/>
    </row>
    <row r="1555" spans="1:19" ht="42.75">
      <c r="A1555" s="164" t="s">
        <v>777</v>
      </c>
      <c r="B1555" s="165" t="s">
        <v>1299</v>
      </c>
      <c r="C1555" s="165" t="s">
        <v>5056</v>
      </c>
      <c r="D1555" s="164">
        <v>3111</v>
      </c>
      <c r="E1555" s="164">
        <v>3463</v>
      </c>
      <c r="F1555" s="164" t="s">
        <v>3955</v>
      </c>
      <c r="G1555" s="164"/>
      <c r="H1555" s="167"/>
      <c r="I1555" s="167"/>
      <c r="J1555" s="167"/>
      <c r="K1555" s="169"/>
      <c r="L1555" s="129"/>
      <c r="M1555" s="129"/>
      <c r="N1555" s="129"/>
      <c r="O1555" s="129"/>
      <c r="P1555" s="146"/>
      <c r="Q1555" s="170"/>
      <c r="R1555" s="171"/>
      <c r="S1555" s="172"/>
    </row>
    <row r="1556" spans="1:19" ht="42.75">
      <c r="A1556" s="164" t="s">
        <v>777</v>
      </c>
      <c r="B1556" s="165" t="s">
        <v>1299</v>
      </c>
      <c r="C1556" s="165" t="s">
        <v>5063</v>
      </c>
      <c r="D1556" s="164">
        <v>1320</v>
      </c>
      <c r="E1556" s="164">
        <v>1425</v>
      </c>
      <c r="F1556" s="164" t="s">
        <v>3404</v>
      </c>
      <c r="G1556" s="164">
        <v>2024</v>
      </c>
      <c r="H1556" s="175">
        <v>45568</v>
      </c>
      <c r="I1556" s="175">
        <v>45571</v>
      </c>
      <c r="J1556" s="168" t="s">
        <v>7244</v>
      </c>
      <c r="K1556" s="174">
        <v>45574</v>
      </c>
      <c r="L1556" s="129" t="s">
        <v>3128</v>
      </c>
      <c r="M1556" s="129" t="s">
        <v>4</v>
      </c>
      <c r="N1556" s="129" t="s">
        <v>50</v>
      </c>
      <c r="O1556" s="129" t="s">
        <v>3406</v>
      </c>
      <c r="P1556" s="146"/>
      <c r="Q1556" s="189">
        <v>45574</v>
      </c>
      <c r="R1556" s="115" t="s">
        <v>6643</v>
      </c>
      <c r="S1556" s="163"/>
    </row>
    <row r="1557" spans="1:19" ht="42.75">
      <c r="A1557" s="164" t="s">
        <v>777</v>
      </c>
      <c r="B1557" s="165" t="s">
        <v>1299</v>
      </c>
      <c r="C1557" s="165" t="s">
        <v>5064</v>
      </c>
      <c r="D1557" s="164">
        <v>5175</v>
      </c>
      <c r="E1557" s="164">
        <v>5512</v>
      </c>
      <c r="F1557" s="164" t="s">
        <v>3404</v>
      </c>
      <c r="G1557" s="164">
        <v>2024</v>
      </c>
      <c r="H1557" s="175">
        <v>45568</v>
      </c>
      <c r="I1557" s="175">
        <v>45573</v>
      </c>
      <c r="J1557" s="168" t="s">
        <v>7245</v>
      </c>
      <c r="K1557" s="174">
        <v>45582</v>
      </c>
      <c r="L1557" s="129" t="s">
        <v>3128</v>
      </c>
      <c r="M1557" s="129" t="s">
        <v>4</v>
      </c>
      <c r="N1557" s="129" t="s">
        <v>50</v>
      </c>
      <c r="O1557" s="129" t="s">
        <v>3406</v>
      </c>
      <c r="P1557" s="146"/>
      <c r="Q1557" s="170">
        <v>45580</v>
      </c>
      <c r="R1557" s="171" t="s">
        <v>6643</v>
      </c>
      <c r="S1557" s="172"/>
    </row>
    <row r="1558" spans="1:19" ht="42.75">
      <c r="A1558" s="164" t="s">
        <v>777</v>
      </c>
      <c r="B1558" s="165" t="s">
        <v>1299</v>
      </c>
      <c r="C1558" s="165" t="s">
        <v>4683</v>
      </c>
      <c r="D1558" s="164">
        <v>2203</v>
      </c>
      <c r="E1558" s="164">
        <v>2511</v>
      </c>
      <c r="F1558" s="164" t="s">
        <v>3955</v>
      </c>
      <c r="G1558" s="164"/>
      <c r="H1558" s="167"/>
      <c r="I1558" s="167"/>
      <c r="J1558" s="167"/>
      <c r="K1558" s="169"/>
      <c r="L1558" s="129"/>
      <c r="M1558" s="129"/>
      <c r="N1558" s="129"/>
      <c r="O1558" s="129"/>
      <c r="P1558" s="146"/>
      <c r="Q1558" s="170"/>
      <c r="R1558" s="171"/>
      <c r="S1558" s="172"/>
    </row>
    <row r="1559" spans="1:19" ht="42.75">
      <c r="A1559" s="164" t="s">
        <v>777</v>
      </c>
      <c r="B1559" s="165" t="s">
        <v>1299</v>
      </c>
      <c r="C1559" s="165" t="s">
        <v>5067</v>
      </c>
      <c r="D1559" s="164">
        <v>2813</v>
      </c>
      <c r="E1559" s="164">
        <v>2925</v>
      </c>
      <c r="F1559" s="164" t="s">
        <v>3955</v>
      </c>
      <c r="G1559" s="164"/>
      <c r="H1559" s="167"/>
      <c r="I1559" s="167"/>
      <c r="J1559" s="167"/>
      <c r="K1559" s="169"/>
      <c r="L1559" s="129"/>
      <c r="M1559" s="129"/>
      <c r="N1559" s="129"/>
      <c r="O1559" s="129"/>
      <c r="P1559" s="146"/>
      <c r="Q1559" s="170"/>
      <c r="R1559" s="171"/>
      <c r="S1559" s="172"/>
    </row>
    <row r="1560" spans="1:19" ht="42.75">
      <c r="A1560" s="164" t="s">
        <v>777</v>
      </c>
      <c r="B1560" s="165" t="s">
        <v>1299</v>
      </c>
      <c r="C1560" s="165" t="s">
        <v>1245</v>
      </c>
      <c r="D1560" s="164">
        <v>1666</v>
      </c>
      <c r="E1560" s="164">
        <v>1924</v>
      </c>
      <c r="F1560" s="164" t="s">
        <v>3955</v>
      </c>
      <c r="G1560" s="164"/>
      <c r="H1560" s="167"/>
      <c r="I1560" s="167"/>
      <c r="J1560" s="167"/>
      <c r="K1560" s="169"/>
      <c r="L1560" s="129"/>
      <c r="M1560" s="129"/>
      <c r="N1560" s="129"/>
      <c r="O1560" s="129"/>
      <c r="P1560" s="146"/>
      <c r="Q1560" s="170"/>
      <c r="R1560" s="171"/>
      <c r="S1560" s="172"/>
    </row>
    <row r="1561" spans="1:19" ht="42.75">
      <c r="A1561" s="164" t="s">
        <v>777</v>
      </c>
      <c r="B1561" s="165" t="s">
        <v>1299</v>
      </c>
      <c r="C1561" s="165" t="s">
        <v>5069</v>
      </c>
      <c r="D1561" s="164">
        <v>3278</v>
      </c>
      <c r="E1561" s="164">
        <v>3425</v>
      </c>
      <c r="F1561" s="164" t="s">
        <v>3404</v>
      </c>
      <c r="G1561" s="164">
        <v>2024</v>
      </c>
      <c r="H1561" s="175">
        <v>45568</v>
      </c>
      <c r="I1561" s="175">
        <v>45573</v>
      </c>
      <c r="J1561" s="168" t="s">
        <v>7246</v>
      </c>
      <c r="K1561" s="174">
        <v>45580</v>
      </c>
      <c r="L1561" s="129" t="s">
        <v>3128</v>
      </c>
      <c r="M1561" s="129" t="s">
        <v>4</v>
      </c>
      <c r="N1561" s="129" t="s">
        <v>50</v>
      </c>
      <c r="O1561" s="129" t="s">
        <v>3406</v>
      </c>
      <c r="P1561" s="146"/>
      <c r="Q1561" s="170">
        <v>45580</v>
      </c>
      <c r="R1561" s="171" t="s">
        <v>6643</v>
      </c>
      <c r="S1561" s="172"/>
    </row>
    <row r="1562" spans="1:19" ht="42.75">
      <c r="A1562" s="164" t="s">
        <v>777</v>
      </c>
      <c r="B1562" s="165" t="s">
        <v>1299</v>
      </c>
      <c r="C1562" s="165" t="s">
        <v>5070</v>
      </c>
      <c r="D1562" s="164">
        <v>1385</v>
      </c>
      <c r="E1562" s="164">
        <v>1466</v>
      </c>
      <c r="F1562" s="164" t="s">
        <v>3404</v>
      </c>
      <c r="G1562" s="164">
        <v>2024</v>
      </c>
      <c r="H1562" s="175">
        <v>45568</v>
      </c>
      <c r="I1562" s="175">
        <v>45571</v>
      </c>
      <c r="J1562" s="168" t="s">
        <v>7247</v>
      </c>
      <c r="K1562" s="174">
        <v>45580</v>
      </c>
      <c r="L1562" s="129" t="s">
        <v>3128</v>
      </c>
      <c r="M1562" s="129" t="s">
        <v>4</v>
      </c>
      <c r="N1562" s="129" t="s">
        <v>50</v>
      </c>
      <c r="O1562" s="129" t="s">
        <v>3406</v>
      </c>
      <c r="P1562" s="146"/>
      <c r="Q1562" s="189">
        <v>45580</v>
      </c>
      <c r="R1562" s="115" t="s">
        <v>6643</v>
      </c>
      <c r="S1562" s="163"/>
    </row>
    <row r="1563" spans="1:19" ht="42.75">
      <c r="A1563" s="164" t="s">
        <v>777</v>
      </c>
      <c r="B1563" s="165" t="s">
        <v>1299</v>
      </c>
      <c r="C1563" s="165" t="s">
        <v>4829</v>
      </c>
      <c r="D1563" s="164">
        <v>771</v>
      </c>
      <c r="E1563" s="164">
        <v>643</v>
      </c>
      <c r="F1563" s="164" t="s">
        <v>3955</v>
      </c>
      <c r="G1563" s="164"/>
      <c r="H1563" s="167"/>
      <c r="I1563" s="167"/>
      <c r="J1563" s="167"/>
      <c r="K1563" s="169"/>
      <c r="L1563" s="129"/>
      <c r="M1563" s="129"/>
      <c r="N1563" s="129"/>
      <c r="O1563" s="129"/>
      <c r="P1563" s="146"/>
      <c r="Q1563" s="170"/>
      <c r="R1563" s="171"/>
      <c r="S1563" s="172"/>
    </row>
    <row r="1564" spans="1:19" ht="42.75">
      <c r="A1564" s="164" t="s">
        <v>777</v>
      </c>
      <c r="B1564" s="165" t="s">
        <v>1299</v>
      </c>
      <c r="C1564" s="165" t="s">
        <v>1286</v>
      </c>
      <c r="D1564" s="164">
        <v>1969</v>
      </c>
      <c r="E1564" s="164">
        <v>2025</v>
      </c>
      <c r="F1564" s="164" t="s">
        <v>3955</v>
      </c>
      <c r="G1564" s="164"/>
      <c r="H1564" s="167"/>
      <c r="I1564" s="167"/>
      <c r="J1564" s="167"/>
      <c r="K1564" s="169"/>
      <c r="L1564" s="129"/>
      <c r="M1564" s="129"/>
      <c r="N1564" s="129"/>
      <c r="O1564" s="129"/>
      <c r="P1564" s="146"/>
      <c r="Q1564" s="170"/>
      <c r="R1564" s="171"/>
      <c r="S1564" s="172"/>
    </row>
    <row r="1565" spans="1:19" ht="42.75">
      <c r="A1565" s="164" t="s">
        <v>777</v>
      </c>
      <c r="B1565" s="165" t="s">
        <v>1299</v>
      </c>
      <c r="C1565" s="165" t="s">
        <v>1486</v>
      </c>
      <c r="D1565" s="164">
        <v>3003</v>
      </c>
      <c r="E1565" s="164">
        <v>3356</v>
      </c>
      <c r="F1565" s="164" t="s">
        <v>3955</v>
      </c>
      <c r="G1565" s="164"/>
      <c r="H1565" s="167"/>
      <c r="I1565" s="167"/>
      <c r="J1565" s="167"/>
      <c r="K1565" s="169"/>
      <c r="L1565" s="129"/>
      <c r="M1565" s="129"/>
      <c r="N1565" s="129"/>
      <c r="O1565" s="129"/>
      <c r="P1565" s="146"/>
      <c r="Q1565" s="170"/>
      <c r="R1565" s="171"/>
      <c r="S1565" s="172"/>
    </row>
    <row r="1566" spans="1:19" ht="42.75">
      <c r="A1566" s="164" t="s">
        <v>777</v>
      </c>
      <c r="B1566" s="165" t="s">
        <v>1299</v>
      </c>
      <c r="C1566" s="165" t="s">
        <v>4946</v>
      </c>
      <c r="D1566" s="164">
        <v>3160</v>
      </c>
      <c r="E1566" s="164">
        <v>3690</v>
      </c>
      <c r="F1566" s="164" t="s">
        <v>3955</v>
      </c>
      <c r="G1566" s="164"/>
      <c r="H1566" s="167"/>
      <c r="I1566" s="167"/>
      <c r="J1566" s="167"/>
      <c r="K1566" s="169"/>
      <c r="L1566" s="129"/>
      <c r="M1566" s="129"/>
      <c r="N1566" s="129"/>
      <c r="O1566" s="129"/>
      <c r="P1566" s="146"/>
      <c r="Q1566" s="170"/>
      <c r="R1566" s="171"/>
      <c r="S1566" s="172"/>
    </row>
    <row r="1567" spans="1:19" ht="42.75">
      <c r="A1567" s="164" t="s">
        <v>777</v>
      </c>
      <c r="B1567" s="165" t="s">
        <v>1299</v>
      </c>
      <c r="C1567" s="165" t="s">
        <v>4830</v>
      </c>
      <c r="D1567" s="164">
        <v>3696</v>
      </c>
      <c r="E1567" s="164">
        <v>3814</v>
      </c>
      <c r="F1567" s="164" t="s">
        <v>3955</v>
      </c>
      <c r="G1567" s="164"/>
      <c r="H1567" s="167"/>
      <c r="I1567" s="167"/>
      <c r="J1567" s="167"/>
      <c r="K1567" s="169"/>
      <c r="L1567" s="129"/>
      <c r="M1567" s="129"/>
      <c r="N1567" s="129"/>
      <c r="O1567" s="129"/>
      <c r="P1567" s="146"/>
      <c r="Q1567" s="170"/>
      <c r="R1567" s="171"/>
      <c r="S1567" s="172"/>
    </row>
    <row r="1568" spans="1:19" ht="42.75">
      <c r="A1568" s="164" t="s">
        <v>777</v>
      </c>
      <c r="B1568" s="165" t="s">
        <v>1299</v>
      </c>
      <c r="C1568" s="165" t="s">
        <v>5071</v>
      </c>
      <c r="D1568" s="164">
        <v>1932</v>
      </c>
      <c r="E1568" s="164">
        <v>2075</v>
      </c>
      <c r="F1568" s="164" t="s">
        <v>3955</v>
      </c>
      <c r="G1568" s="164"/>
      <c r="H1568" s="167"/>
      <c r="I1568" s="167"/>
      <c r="J1568" s="167"/>
      <c r="K1568" s="169"/>
      <c r="L1568" s="129"/>
      <c r="M1568" s="129"/>
      <c r="N1568" s="129"/>
      <c r="O1568" s="129"/>
      <c r="P1568" s="146"/>
      <c r="Q1568" s="170"/>
      <c r="R1568" s="171"/>
      <c r="S1568" s="172"/>
    </row>
    <row r="1569" spans="1:19" ht="42.75">
      <c r="A1569" s="164" t="s">
        <v>777</v>
      </c>
      <c r="B1569" s="165" t="s">
        <v>1299</v>
      </c>
      <c r="C1569" s="165" t="s">
        <v>5065</v>
      </c>
      <c r="D1569" s="164">
        <v>1581</v>
      </c>
      <c r="E1569" s="164">
        <v>1655</v>
      </c>
      <c r="F1569" s="164" t="s">
        <v>3955</v>
      </c>
      <c r="G1569" s="164"/>
      <c r="H1569" s="167"/>
      <c r="I1569" s="167"/>
      <c r="J1569" s="167"/>
      <c r="K1569" s="169"/>
      <c r="L1569" s="129"/>
      <c r="M1569" s="129"/>
      <c r="N1569" s="129"/>
      <c r="O1569" s="129"/>
      <c r="P1569" s="146"/>
      <c r="Q1569" s="170"/>
      <c r="R1569" s="171"/>
      <c r="S1569" s="172"/>
    </row>
    <row r="1570" spans="1:19" ht="42.75">
      <c r="A1570" s="164" t="s">
        <v>777</v>
      </c>
      <c r="B1570" s="165" t="s">
        <v>1299</v>
      </c>
      <c r="C1570" s="165" t="s">
        <v>1424</v>
      </c>
      <c r="D1570" s="164">
        <v>2570</v>
      </c>
      <c r="E1570" s="164">
        <v>2733</v>
      </c>
      <c r="F1570" s="164" t="s">
        <v>3404</v>
      </c>
      <c r="G1570" s="164">
        <v>2024</v>
      </c>
      <c r="H1570" s="175">
        <v>45496</v>
      </c>
      <c r="I1570" s="175">
        <v>45499</v>
      </c>
      <c r="J1570" s="168" t="s">
        <v>7248</v>
      </c>
      <c r="K1570" s="174">
        <v>45503</v>
      </c>
      <c r="L1570" s="129" t="s">
        <v>3126</v>
      </c>
      <c r="M1570" s="129" t="s">
        <v>4</v>
      </c>
      <c r="N1570" s="129" t="s">
        <v>50</v>
      </c>
      <c r="O1570" s="129" t="s">
        <v>3406</v>
      </c>
      <c r="P1570" s="146"/>
      <c r="Q1570" s="170">
        <v>45503</v>
      </c>
      <c r="R1570" s="171"/>
      <c r="S1570" s="172"/>
    </row>
    <row r="1571" spans="1:19" ht="42.75">
      <c r="A1571" s="164" t="s">
        <v>777</v>
      </c>
      <c r="B1571" s="165" t="s">
        <v>1299</v>
      </c>
      <c r="C1571" s="165" t="s">
        <v>5072</v>
      </c>
      <c r="D1571" s="164">
        <v>881</v>
      </c>
      <c r="E1571" s="164">
        <v>1014</v>
      </c>
      <c r="F1571" s="164" t="s">
        <v>3955</v>
      </c>
      <c r="G1571" s="164"/>
      <c r="H1571" s="167"/>
      <c r="I1571" s="167"/>
      <c r="J1571" s="167"/>
      <c r="K1571" s="169"/>
      <c r="L1571" s="129"/>
      <c r="M1571" s="129"/>
      <c r="N1571" s="129"/>
      <c r="O1571" s="129"/>
      <c r="P1571" s="146"/>
      <c r="Q1571" s="170"/>
      <c r="R1571" s="171"/>
      <c r="S1571" s="172"/>
    </row>
    <row r="1572" spans="1:19" ht="42.75">
      <c r="A1572" s="164" t="s">
        <v>777</v>
      </c>
      <c r="B1572" s="165" t="s">
        <v>1299</v>
      </c>
      <c r="C1572" s="165" t="s">
        <v>5074</v>
      </c>
      <c r="D1572" s="164">
        <v>770</v>
      </c>
      <c r="E1572" s="164">
        <v>683</v>
      </c>
      <c r="F1572" s="164" t="s">
        <v>3955</v>
      </c>
      <c r="G1572" s="164"/>
      <c r="H1572" s="167"/>
      <c r="I1572" s="167"/>
      <c r="J1572" s="167"/>
      <c r="K1572" s="169"/>
      <c r="L1572" s="129"/>
      <c r="M1572" s="129"/>
      <c r="N1572" s="129"/>
      <c r="O1572" s="129"/>
      <c r="P1572" s="146"/>
      <c r="Q1572" s="170"/>
      <c r="R1572" s="171"/>
      <c r="S1572" s="172"/>
    </row>
    <row r="1573" spans="1:19" ht="42.75">
      <c r="A1573" s="164" t="s">
        <v>777</v>
      </c>
      <c r="B1573" s="165" t="s">
        <v>1299</v>
      </c>
      <c r="C1573" s="165" t="s">
        <v>1300</v>
      </c>
      <c r="D1573" s="164">
        <v>1544</v>
      </c>
      <c r="E1573" s="164">
        <v>1959</v>
      </c>
      <c r="F1573" s="164" t="s">
        <v>3955</v>
      </c>
      <c r="G1573" s="164"/>
      <c r="H1573" s="167"/>
      <c r="I1573" s="167"/>
      <c r="J1573" s="167"/>
      <c r="K1573" s="169"/>
      <c r="L1573" s="129"/>
      <c r="M1573" s="129"/>
      <c r="N1573" s="129"/>
      <c r="O1573" s="129"/>
      <c r="P1573" s="146"/>
      <c r="Q1573" s="170"/>
      <c r="R1573" s="171"/>
      <c r="S1573" s="172"/>
    </row>
    <row r="1574" spans="1:19" ht="42.75">
      <c r="A1574" s="164" t="s">
        <v>777</v>
      </c>
      <c r="B1574" s="165" t="s">
        <v>914</v>
      </c>
      <c r="C1574" s="165" t="s">
        <v>4425</v>
      </c>
      <c r="D1574" s="164">
        <v>4205</v>
      </c>
      <c r="E1574" s="164">
        <v>4631</v>
      </c>
      <c r="F1574" s="164" t="s">
        <v>3955</v>
      </c>
      <c r="G1574" s="164"/>
      <c r="H1574" s="167"/>
      <c r="I1574" s="167"/>
      <c r="J1574" s="196"/>
      <c r="K1574" s="169"/>
      <c r="L1574" s="129"/>
      <c r="M1574" s="129"/>
      <c r="N1574" s="129"/>
      <c r="O1574" s="129"/>
      <c r="P1574" s="146"/>
      <c r="Q1574" s="170"/>
      <c r="R1574" s="171"/>
      <c r="S1574" s="172"/>
    </row>
    <row r="1575" spans="1:19" ht="42.75">
      <c r="A1575" s="164" t="s">
        <v>777</v>
      </c>
      <c r="B1575" s="165" t="s">
        <v>914</v>
      </c>
      <c r="C1575" s="165" t="s">
        <v>5077</v>
      </c>
      <c r="D1575" s="164">
        <v>2778</v>
      </c>
      <c r="E1575" s="164">
        <v>2806</v>
      </c>
      <c r="F1575" s="164" t="s">
        <v>3404</v>
      </c>
      <c r="G1575" s="164">
        <v>2024</v>
      </c>
      <c r="H1575" s="175">
        <v>45582</v>
      </c>
      <c r="I1575" s="221">
        <v>45583</v>
      </c>
      <c r="J1575" s="181" t="s">
        <v>7249</v>
      </c>
      <c r="K1575" s="193">
        <v>45612</v>
      </c>
      <c r="L1575" s="129" t="s">
        <v>3129</v>
      </c>
      <c r="M1575" s="129" t="s">
        <v>4</v>
      </c>
      <c r="N1575" s="129" t="s">
        <v>50</v>
      </c>
      <c r="O1575" s="129" t="s">
        <v>3406</v>
      </c>
      <c r="P1575" s="146"/>
      <c r="Q1575" s="170">
        <v>45614</v>
      </c>
      <c r="R1575" s="171" t="s">
        <v>6643</v>
      </c>
      <c r="S1575" s="172"/>
    </row>
    <row r="1576" spans="1:19" ht="42.75">
      <c r="A1576" s="164" t="s">
        <v>777</v>
      </c>
      <c r="B1576" s="165" t="s">
        <v>914</v>
      </c>
      <c r="C1576" s="165" t="s">
        <v>5078</v>
      </c>
      <c r="D1576" s="164">
        <v>5046</v>
      </c>
      <c r="E1576" s="164">
        <v>5082</v>
      </c>
      <c r="F1576" s="164" t="s">
        <v>3404</v>
      </c>
      <c r="G1576" s="164">
        <v>2024</v>
      </c>
      <c r="H1576" s="175">
        <v>45329</v>
      </c>
      <c r="I1576" s="175">
        <v>45329</v>
      </c>
      <c r="J1576" s="168" t="s">
        <v>7250</v>
      </c>
      <c r="K1576" s="169"/>
      <c r="L1576" s="129" t="s">
        <v>3458</v>
      </c>
      <c r="M1576" s="129" t="s">
        <v>4</v>
      </c>
      <c r="N1576" s="129" t="s">
        <v>50</v>
      </c>
      <c r="O1576" s="129" t="s">
        <v>3406</v>
      </c>
      <c r="P1576" s="146"/>
      <c r="Q1576" s="170"/>
      <c r="R1576" s="171"/>
      <c r="S1576" s="172"/>
    </row>
    <row r="1577" spans="1:19" ht="42.75">
      <c r="A1577" s="164" t="s">
        <v>777</v>
      </c>
      <c r="B1577" s="165" t="s">
        <v>914</v>
      </c>
      <c r="C1577" s="165" t="s">
        <v>5079</v>
      </c>
      <c r="D1577" s="164">
        <v>2875</v>
      </c>
      <c r="E1577" s="164">
        <v>3152</v>
      </c>
      <c r="F1577" s="164" t="s">
        <v>3955</v>
      </c>
      <c r="G1577" s="164"/>
      <c r="H1577" s="167"/>
      <c r="I1577" s="167"/>
      <c r="J1577" s="167"/>
      <c r="K1577" s="169"/>
      <c r="L1577" s="129"/>
      <c r="M1577" s="129"/>
      <c r="N1577" s="129"/>
      <c r="O1577" s="129"/>
      <c r="P1577" s="146"/>
      <c r="Q1577" s="170"/>
      <c r="R1577" s="171"/>
      <c r="S1577" s="172"/>
    </row>
    <row r="1578" spans="1:19" ht="42.75">
      <c r="A1578" s="164" t="s">
        <v>777</v>
      </c>
      <c r="B1578" s="165" t="s">
        <v>914</v>
      </c>
      <c r="C1578" s="165" t="s">
        <v>2226</v>
      </c>
      <c r="D1578" s="164">
        <v>3550</v>
      </c>
      <c r="E1578" s="164">
        <v>3744</v>
      </c>
      <c r="F1578" s="164" t="s">
        <v>3955</v>
      </c>
      <c r="G1578" s="164"/>
      <c r="H1578" s="167"/>
      <c r="I1578" s="167"/>
      <c r="J1578" s="167"/>
      <c r="K1578" s="169"/>
      <c r="L1578" s="129"/>
      <c r="M1578" s="129"/>
      <c r="N1578" s="129"/>
      <c r="O1578" s="129"/>
      <c r="P1578" s="146"/>
      <c r="Q1578" s="170"/>
      <c r="R1578" s="171"/>
      <c r="S1578" s="172"/>
    </row>
    <row r="1579" spans="1:19" ht="42.75">
      <c r="A1579" s="164" t="s">
        <v>777</v>
      </c>
      <c r="B1579" s="165" t="s">
        <v>914</v>
      </c>
      <c r="C1579" s="165" t="s">
        <v>5082</v>
      </c>
      <c r="D1579" s="164">
        <v>4971</v>
      </c>
      <c r="E1579" s="164">
        <v>5383</v>
      </c>
      <c r="F1579" s="164" t="s">
        <v>3404</v>
      </c>
      <c r="G1579" s="164">
        <v>2024</v>
      </c>
      <c r="H1579" s="175">
        <v>45492</v>
      </c>
      <c r="I1579" s="175">
        <v>45492</v>
      </c>
      <c r="J1579" s="191" t="s">
        <v>7251</v>
      </c>
      <c r="K1579" s="174">
        <v>45503</v>
      </c>
      <c r="L1579" s="129" t="s">
        <v>3126</v>
      </c>
      <c r="M1579" s="129" t="s">
        <v>4</v>
      </c>
      <c r="N1579" s="129" t="s">
        <v>50</v>
      </c>
      <c r="O1579" s="129" t="s">
        <v>3406</v>
      </c>
      <c r="P1579" s="146"/>
      <c r="Q1579" s="130">
        <v>45503</v>
      </c>
      <c r="R1579" s="171"/>
      <c r="S1579" s="172"/>
    </row>
    <row r="1580" spans="1:19" ht="42.75">
      <c r="A1580" s="164" t="s">
        <v>777</v>
      </c>
      <c r="B1580" s="165" t="s">
        <v>914</v>
      </c>
      <c r="C1580" s="165" t="s">
        <v>5083</v>
      </c>
      <c r="D1580" s="164">
        <v>2904</v>
      </c>
      <c r="E1580" s="164">
        <v>2937</v>
      </c>
      <c r="F1580" s="164" t="s">
        <v>3404</v>
      </c>
      <c r="G1580" s="164">
        <v>2024</v>
      </c>
      <c r="H1580" s="175">
        <v>45582</v>
      </c>
      <c r="I1580" s="221">
        <v>45583</v>
      </c>
      <c r="J1580" s="181" t="s">
        <v>7252</v>
      </c>
      <c r="K1580" s="193">
        <v>45601</v>
      </c>
      <c r="L1580" s="129" t="s">
        <v>3129</v>
      </c>
      <c r="M1580" s="129" t="s">
        <v>4</v>
      </c>
      <c r="N1580" s="129" t="s">
        <v>50</v>
      </c>
      <c r="O1580" s="129" t="s">
        <v>3406</v>
      </c>
      <c r="P1580" s="146"/>
      <c r="Q1580" s="170">
        <v>45602</v>
      </c>
      <c r="R1580" s="171" t="s">
        <v>6643</v>
      </c>
      <c r="S1580" s="172"/>
    </row>
    <row r="1581" spans="1:19" ht="42.75">
      <c r="A1581" s="164" t="s">
        <v>777</v>
      </c>
      <c r="B1581" s="165" t="s">
        <v>914</v>
      </c>
      <c r="C1581" s="165" t="s">
        <v>5084</v>
      </c>
      <c r="D1581" s="164">
        <v>7862</v>
      </c>
      <c r="E1581" s="164">
        <v>8063</v>
      </c>
      <c r="F1581" s="164" t="s">
        <v>3404</v>
      </c>
      <c r="G1581" s="164">
        <v>2024</v>
      </c>
      <c r="H1581" s="175">
        <v>45400</v>
      </c>
      <c r="I1581" s="175">
        <v>45400</v>
      </c>
      <c r="J1581" s="168" t="s">
        <v>7253</v>
      </c>
      <c r="K1581" s="174">
        <v>45411</v>
      </c>
      <c r="L1581" s="129" t="s">
        <v>3532</v>
      </c>
      <c r="M1581" s="129"/>
      <c r="N1581" s="129"/>
      <c r="O1581" s="129" t="s">
        <v>3406</v>
      </c>
      <c r="P1581" s="146"/>
      <c r="Q1581" s="170"/>
      <c r="R1581" s="171"/>
      <c r="S1581" s="172"/>
    </row>
    <row r="1582" spans="1:19" ht="42.75">
      <c r="A1582" s="164" t="s">
        <v>777</v>
      </c>
      <c r="B1582" s="165" t="s">
        <v>914</v>
      </c>
      <c r="C1582" s="165" t="s">
        <v>1056</v>
      </c>
      <c r="D1582" s="164">
        <v>1955</v>
      </c>
      <c r="E1582" s="164">
        <v>1971</v>
      </c>
      <c r="F1582" s="164" t="s">
        <v>3404</v>
      </c>
      <c r="G1582" s="164">
        <v>2024</v>
      </c>
      <c r="H1582" s="175">
        <v>45482</v>
      </c>
      <c r="I1582" s="175">
        <v>45482</v>
      </c>
      <c r="J1582" s="168" t="s">
        <v>7254</v>
      </c>
      <c r="K1582" s="174">
        <v>45491</v>
      </c>
      <c r="L1582" s="129" t="s">
        <v>3125</v>
      </c>
      <c r="M1582" s="129" t="s">
        <v>4</v>
      </c>
      <c r="N1582" s="129" t="s">
        <v>50</v>
      </c>
      <c r="O1582" s="129" t="s">
        <v>3406</v>
      </c>
      <c r="P1582" s="146"/>
      <c r="Q1582" s="170">
        <v>45491</v>
      </c>
      <c r="R1582" s="171"/>
      <c r="S1582" s="172"/>
    </row>
    <row r="1583" spans="1:19" ht="42.75">
      <c r="A1583" s="164" t="s">
        <v>777</v>
      </c>
      <c r="B1583" s="165" t="s">
        <v>914</v>
      </c>
      <c r="C1583" s="165" t="s">
        <v>4024</v>
      </c>
      <c r="D1583" s="164">
        <v>14533</v>
      </c>
      <c r="E1583" s="164">
        <v>15307</v>
      </c>
      <c r="F1583" s="164" t="s">
        <v>3955</v>
      </c>
      <c r="G1583" s="164"/>
      <c r="H1583" s="167"/>
      <c r="I1583" s="167"/>
      <c r="J1583" s="167"/>
      <c r="K1583" s="169"/>
      <c r="L1583" s="129"/>
      <c r="M1583" s="129"/>
      <c r="N1583" s="129"/>
      <c r="O1583" s="129"/>
      <c r="P1583" s="146"/>
      <c r="Q1583" s="170"/>
      <c r="R1583" s="171"/>
      <c r="S1583" s="172"/>
    </row>
    <row r="1584" spans="1:19" ht="42.75">
      <c r="A1584" s="164" t="s">
        <v>777</v>
      </c>
      <c r="B1584" s="165" t="s">
        <v>914</v>
      </c>
      <c r="C1584" s="165" t="s">
        <v>858</v>
      </c>
      <c r="D1584" s="164">
        <v>354</v>
      </c>
      <c r="E1584" s="164">
        <v>519</v>
      </c>
      <c r="F1584" s="164" t="s">
        <v>3955</v>
      </c>
      <c r="G1584" s="164"/>
      <c r="H1584" s="167"/>
      <c r="I1584" s="167"/>
      <c r="J1584" s="167"/>
      <c r="K1584" s="169"/>
      <c r="L1584" s="129"/>
      <c r="M1584" s="129"/>
      <c r="N1584" s="129"/>
      <c r="O1584" s="129"/>
      <c r="P1584" s="146"/>
      <c r="Q1584" s="170"/>
      <c r="R1584" s="171"/>
      <c r="S1584" s="172"/>
    </row>
    <row r="1585" spans="1:19" ht="42.75">
      <c r="A1585" s="164" t="s">
        <v>777</v>
      </c>
      <c r="B1585" s="165" t="s">
        <v>914</v>
      </c>
      <c r="C1585" s="165" t="s">
        <v>5034</v>
      </c>
      <c r="D1585" s="164">
        <v>6582</v>
      </c>
      <c r="E1585" s="164">
        <v>7271</v>
      </c>
      <c r="F1585" s="164" t="s">
        <v>3955</v>
      </c>
      <c r="G1585" s="164"/>
      <c r="H1585" s="167"/>
      <c r="I1585" s="167"/>
      <c r="J1585" s="167"/>
      <c r="K1585" s="169"/>
      <c r="L1585" s="129"/>
      <c r="M1585" s="129"/>
      <c r="N1585" s="129"/>
      <c r="O1585" s="129"/>
      <c r="P1585" s="146"/>
      <c r="Q1585" s="170"/>
      <c r="R1585" s="171"/>
      <c r="S1585" s="172"/>
    </row>
    <row r="1586" spans="1:19" ht="42.75">
      <c r="A1586" s="164" t="s">
        <v>777</v>
      </c>
      <c r="B1586" s="165" t="s">
        <v>914</v>
      </c>
      <c r="C1586" s="165" t="s">
        <v>1899</v>
      </c>
      <c r="D1586" s="164">
        <v>1521</v>
      </c>
      <c r="E1586" s="164">
        <v>1782</v>
      </c>
      <c r="F1586" s="164" t="s">
        <v>3955</v>
      </c>
      <c r="G1586" s="164"/>
      <c r="H1586" s="167"/>
      <c r="I1586" s="167"/>
      <c r="J1586" s="167"/>
      <c r="K1586" s="169"/>
      <c r="L1586" s="129"/>
      <c r="M1586" s="129"/>
      <c r="N1586" s="129"/>
      <c r="O1586" s="129"/>
      <c r="P1586" s="146"/>
      <c r="Q1586" s="170"/>
      <c r="R1586" s="171"/>
      <c r="S1586" s="172"/>
    </row>
    <row r="1587" spans="1:19" ht="42.75">
      <c r="A1587" s="164" t="s">
        <v>777</v>
      </c>
      <c r="B1587" s="165" t="s">
        <v>914</v>
      </c>
      <c r="C1587" s="165" t="s">
        <v>3977</v>
      </c>
      <c r="D1587" s="164">
        <v>8273</v>
      </c>
      <c r="E1587" s="164">
        <v>9341</v>
      </c>
      <c r="F1587" s="164" t="s">
        <v>3955</v>
      </c>
      <c r="G1587" s="164"/>
      <c r="H1587" s="167"/>
      <c r="I1587" s="167"/>
      <c r="J1587" s="196"/>
      <c r="K1587" s="169"/>
      <c r="L1587" s="129"/>
      <c r="M1587" s="129"/>
      <c r="N1587" s="129"/>
      <c r="O1587" s="129"/>
      <c r="P1587" s="146"/>
      <c r="Q1587" s="170"/>
      <c r="R1587" s="171"/>
      <c r="S1587" s="172"/>
    </row>
    <row r="1588" spans="1:19" ht="42.75">
      <c r="A1588" s="164" t="s">
        <v>777</v>
      </c>
      <c r="B1588" s="165" t="s">
        <v>914</v>
      </c>
      <c r="C1588" s="165" t="s">
        <v>3975</v>
      </c>
      <c r="D1588" s="164">
        <v>7527</v>
      </c>
      <c r="E1588" s="164">
        <v>8161</v>
      </c>
      <c r="F1588" s="164" t="s">
        <v>3404</v>
      </c>
      <c r="G1588" s="164">
        <v>2024</v>
      </c>
      <c r="H1588" s="175">
        <v>45582</v>
      </c>
      <c r="I1588" s="221">
        <v>45583</v>
      </c>
      <c r="J1588" s="249" t="s">
        <v>7255</v>
      </c>
      <c r="K1588" s="193">
        <v>45612</v>
      </c>
      <c r="L1588" s="129" t="s">
        <v>3129</v>
      </c>
      <c r="M1588" s="129" t="s">
        <v>4</v>
      </c>
      <c r="N1588" s="129" t="s">
        <v>50</v>
      </c>
      <c r="O1588" s="129" t="s">
        <v>3406</v>
      </c>
      <c r="P1588" s="146"/>
      <c r="Q1588" s="170">
        <v>45614</v>
      </c>
      <c r="R1588" s="171" t="s">
        <v>6643</v>
      </c>
      <c r="S1588" s="172"/>
    </row>
    <row r="1589" spans="1:19" ht="42.75">
      <c r="A1589" s="164" t="s">
        <v>777</v>
      </c>
      <c r="B1589" s="165" t="s">
        <v>914</v>
      </c>
      <c r="C1589" s="165" t="s">
        <v>5091</v>
      </c>
      <c r="D1589" s="164">
        <v>2900</v>
      </c>
      <c r="E1589" s="164">
        <v>2910</v>
      </c>
      <c r="F1589" s="164" t="s">
        <v>3955</v>
      </c>
      <c r="G1589" s="164"/>
      <c r="H1589" s="167"/>
      <c r="I1589" s="167"/>
      <c r="J1589" s="167"/>
      <c r="K1589" s="169"/>
      <c r="L1589" s="129"/>
      <c r="M1589" s="129"/>
      <c r="N1589" s="129"/>
      <c r="O1589" s="129"/>
      <c r="P1589" s="146"/>
      <c r="Q1589" s="170"/>
      <c r="R1589" s="171"/>
      <c r="S1589" s="172"/>
    </row>
    <row r="1590" spans="1:19" ht="42.75">
      <c r="A1590" s="164" t="s">
        <v>777</v>
      </c>
      <c r="B1590" s="165" t="s">
        <v>1180</v>
      </c>
      <c r="C1590" s="165" t="s">
        <v>5093</v>
      </c>
      <c r="D1590" s="164">
        <v>4989</v>
      </c>
      <c r="E1590" s="164">
        <v>5157</v>
      </c>
      <c r="F1590" s="164" t="s">
        <v>3404</v>
      </c>
      <c r="G1590" s="164">
        <v>2024</v>
      </c>
      <c r="H1590" s="175">
        <v>45524</v>
      </c>
      <c r="I1590" s="175">
        <v>45524</v>
      </c>
      <c r="J1590" s="168" t="s">
        <v>7256</v>
      </c>
      <c r="K1590" s="174">
        <v>45526</v>
      </c>
      <c r="L1590" s="129" t="s">
        <v>3127</v>
      </c>
      <c r="M1590" s="129" t="s">
        <v>4</v>
      </c>
      <c r="N1590" s="129" t="s">
        <v>50</v>
      </c>
      <c r="O1590" s="129" t="s">
        <v>3406</v>
      </c>
      <c r="P1590" s="146"/>
      <c r="Q1590" s="170">
        <v>45526</v>
      </c>
      <c r="R1590" s="171" t="s">
        <v>6643</v>
      </c>
      <c r="S1590" s="172"/>
    </row>
    <row r="1591" spans="1:19" ht="42.75">
      <c r="A1591" s="164" t="s">
        <v>777</v>
      </c>
      <c r="B1591" s="165" t="s">
        <v>1180</v>
      </c>
      <c r="C1591" s="165" t="s">
        <v>5094</v>
      </c>
      <c r="D1591" s="164">
        <v>5129</v>
      </c>
      <c r="E1591" s="164">
        <v>5290</v>
      </c>
      <c r="F1591" s="164" t="s">
        <v>3955</v>
      </c>
      <c r="G1591" s="164"/>
      <c r="H1591" s="167"/>
      <c r="I1591" s="167"/>
      <c r="J1591" s="167"/>
      <c r="K1591" s="169"/>
      <c r="L1591" s="129"/>
      <c r="M1591" s="129"/>
      <c r="N1591" s="129"/>
      <c r="O1591" s="129"/>
      <c r="P1591" s="146"/>
      <c r="Q1591" s="170"/>
      <c r="R1591" s="171"/>
      <c r="S1591" s="172"/>
    </row>
    <row r="1592" spans="1:19" ht="42.75">
      <c r="A1592" s="164" t="s">
        <v>777</v>
      </c>
      <c r="B1592" s="165" t="s">
        <v>1180</v>
      </c>
      <c r="C1592" s="165" t="s">
        <v>5096</v>
      </c>
      <c r="D1592" s="164">
        <v>9160</v>
      </c>
      <c r="E1592" s="164">
        <v>9596</v>
      </c>
      <c r="F1592" s="164" t="s">
        <v>3404</v>
      </c>
      <c r="G1592" s="164">
        <v>2024</v>
      </c>
      <c r="H1592" s="175">
        <v>45378</v>
      </c>
      <c r="I1592" s="175">
        <v>45378</v>
      </c>
      <c r="J1592" s="215" t="s">
        <v>7257</v>
      </c>
      <c r="K1592" s="174">
        <v>45397</v>
      </c>
      <c r="L1592" s="129" t="s">
        <v>3470</v>
      </c>
      <c r="M1592" s="129"/>
      <c r="N1592" s="129"/>
      <c r="O1592" s="129" t="s">
        <v>3406</v>
      </c>
      <c r="P1592" s="146"/>
      <c r="Q1592" s="170"/>
      <c r="R1592" s="171"/>
      <c r="S1592" s="172"/>
    </row>
    <row r="1593" spans="1:19" ht="42.75">
      <c r="A1593" s="164" t="s">
        <v>777</v>
      </c>
      <c r="B1593" s="165" t="s">
        <v>1180</v>
      </c>
      <c r="C1593" s="165" t="s">
        <v>5103</v>
      </c>
      <c r="D1593" s="164">
        <v>2533</v>
      </c>
      <c r="E1593" s="164">
        <v>2665</v>
      </c>
      <c r="F1593" s="164" t="s">
        <v>3404</v>
      </c>
      <c r="G1593" s="164">
        <v>2024</v>
      </c>
      <c r="H1593" s="175">
        <v>45393</v>
      </c>
      <c r="I1593" s="221">
        <v>45393</v>
      </c>
      <c r="J1593" s="235" t="s">
        <v>7258</v>
      </c>
      <c r="K1593" s="174">
        <v>45397</v>
      </c>
      <c r="L1593" s="129" t="s">
        <v>3470</v>
      </c>
      <c r="M1593" s="129"/>
      <c r="N1593" s="129"/>
      <c r="O1593" s="129" t="s">
        <v>3406</v>
      </c>
      <c r="P1593" s="146"/>
      <c r="Q1593" s="170"/>
      <c r="R1593" s="171"/>
      <c r="S1593" s="172"/>
    </row>
    <row r="1594" spans="1:19" ht="42.75">
      <c r="A1594" s="164" t="s">
        <v>777</v>
      </c>
      <c r="B1594" s="165" t="s">
        <v>1180</v>
      </c>
      <c r="C1594" s="165" t="s">
        <v>1056</v>
      </c>
      <c r="D1594" s="164">
        <v>7214</v>
      </c>
      <c r="E1594" s="164">
        <v>7464</v>
      </c>
      <c r="F1594" s="164" t="s">
        <v>3404</v>
      </c>
      <c r="G1594" s="164">
        <v>2024</v>
      </c>
      <c r="H1594" s="175">
        <v>45378</v>
      </c>
      <c r="I1594" s="175">
        <v>45378</v>
      </c>
      <c r="J1594" s="168" t="s">
        <v>7259</v>
      </c>
      <c r="K1594" s="174">
        <v>45397</v>
      </c>
      <c r="L1594" s="129" t="s">
        <v>3470</v>
      </c>
      <c r="M1594" s="129"/>
      <c r="N1594" s="129"/>
      <c r="O1594" s="129" t="s">
        <v>3406</v>
      </c>
      <c r="P1594" s="146"/>
      <c r="Q1594" s="170"/>
      <c r="R1594" s="171"/>
      <c r="S1594" s="172"/>
    </row>
    <row r="1595" spans="1:19" ht="42.75">
      <c r="A1595" s="164" t="s">
        <v>777</v>
      </c>
      <c r="B1595" s="165" t="s">
        <v>1180</v>
      </c>
      <c r="C1595" s="165" t="s">
        <v>3763</v>
      </c>
      <c r="D1595" s="164">
        <v>5812</v>
      </c>
      <c r="E1595" s="164">
        <v>6021</v>
      </c>
      <c r="F1595" s="164" t="s">
        <v>3955</v>
      </c>
      <c r="G1595" s="164"/>
      <c r="H1595" s="167"/>
      <c r="I1595" s="167"/>
      <c r="J1595" s="167"/>
      <c r="K1595" s="169"/>
      <c r="L1595" s="129"/>
      <c r="M1595" s="129"/>
      <c r="N1595" s="129"/>
      <c r="O1595" s="129"/>
      <c r="P1595" s="146"/>
      <c r="Q1595" s="170"/>
      <c r="R1595" s="171"/>
      <c r="S1595" s="172"/>
    </row>
    <row r="1596" spans="1:19" ht="42.75">
      <c r="A1596" s="164" t="s">
        <v>777</v>
      </c>
      <c r="B1596" s="165" t="s">
        <v>1180</v>
      </c>
      <c r="C1596" s="165" t="s">
        <v>3974</v>
      </c>
      <c r="D1596" s="164">
        <v>6745</v>
      </c>
      <c r="E1596" s="164">
        <v>7019</v>
      </c>
      <c r="F1596" s="164" t="s">
        <v>3404</v>
      </c>
      <c r="G1596" s="164">
        <v>2024</v>
      </c>
      <c r="H1596" s="175">
        <v>45399</v>
      </c>
      <c r="I1596" s="175">
        <v>45399</v>
      </c>
      <c r="J1596" s="168" t="s">
        <v>7260</v>
      </c>
      <c r="K1596" s="174">
        <v>45420</v>
      </c>
      <c r="L1596" s="129" t="s">
        <v>3532</v>
      </c>
      <c r="M1596" s="129"/>
      <c r="N1596" s="129"/>
      <c r="O1596" s="129" t="s">
        <v>3406</v>
      </c>
      <c r="P1596" s="146"/>
      <c r="Q1596" s="170"/>
      <c r="R1596" s="171"/>
      <c r="S1596" s="172"/>
    </row>
    <row r="1597" spans="1:19" ht="42.75">
      <c r="A1597" s="164" t="s">
        <v>777</v>
      </c>
      <c r="B1597" s="165" t="s">
        <v>1180</v>
      </c>
      <c r="C1597" s="165" t="s">
        <v>3977</v>
      </c>
      <c r="D1597" s="164">
        <v>6177</v>
      </c>
      <c r="E1597" s="164">
        <v>6772</v>
      </c>
      <c r="F1597" s="164" t="s">
        <v>3955</v>
      </c>
      <c r="G1597" s="164"/>
      <c r="H1597" s="167"/>
      <c r="I1597" s="167"/>
      <c r="J1597" s="167"/>
      <c r="K1597" s="169"/>
      <c r="L1597" s="129"/>
      <c r="M1597" s="129"/>
      <c r="N1597" s="129"/>
      <c r="O1597" s="129"/>
      <c r="P1597" s="146"/>
      <c r="Q1597" s="170"/>
      <c r="R1597" s="171"/>
      <c r="S1597" s="172"/>
    </row>
    <row r="1598" spans="1:19" ht="42.75">
      <c r="A1598" s="164" t="s">
        <v>777</v>
      </c>
      <c r="B1598" s="165" t="s">
        <v>1180</v>
      </c>
      <c r="C1598" s="165" t="s">
        <v>1305</v>
      </c>
      <c r="D1598" s="164">
        <v>3853</v>
      </c>
      <c r="E1598" s="164">
        <v>4388</v>
      </c>
      <c r="F1598" s="164" t="s">
        <v>3404</v>
      </c>
      <c r="G1598" s="164">
        <v>2024</v>
      </c>
      <c r="H1598" s="175">
        <v>45524</v>
      </c>
      <c r="I1598" s="175">
        <v>45524</v>
      </c>
      <c r="J1598" s="168" t="s">
        <v>7261</v>
      </c>
      <c r="K1598" s="174">
        <v>45526</v>
      </c>
      <c r="L1598" s="129" t="s">
        <v>3127</v>
      </c>
      <c r="M1598" s="129" t="s">
        <v>4</v>
      </c>
      <c r="N1598" s="129" t="s">
        <v>50</v>
      </c>
      <c r="O1598" s="129" t="s">
        <v>3406</v>
      </c>
      <c r="P1598" s="146"/>
      <c r="Q1598" s="170">
        <v>45526</v>
      </c>
      <c r="R1598" s="171" t="s">
        <v>6643</v>
      </c>
      <c r="S1598" s="172"/>
    </row>
    <row r="1599" spans="1:19" ht="42.75">
      <c r="A1599" s="164" t="s">
        <v>777</v>
      </c>
      <c r="B1599" s="165" t="s">
        <v>1309</v>
      </c>
      <c r="C1599" s="165" t="s">
        <v>5109</v>
      </c>
      <c r="D1599" s="164">
        <v>1514</v>
      </c>
      <c r="E1599" s="164">
        <v>1486</v>
      </c>
      <c r="F1599" s="164" t="s">
        <v>3955</v>
      </c>
      <c r="G1599" s="164"/>
      <c r="H1599" s="167"/>
      <c r="I1599" s="167"/>
      <c r="J1599" s="167"/>
      <c r="K1599" s="169"/>
      <c r="L1599" s="129"/>
      <c r="M1599" s="129"/>
      <c r="N1599" s="129"/>
      <c r="O1599" s="129"/>
      <c r="P1599" s="146"/>
      <c r="Q1599" s="170"/>
      <c r="R1599" s="171"/>
      <c r="S1599" s="172"/>
    </row>
    <row r="1600" spans="1:19" ht="42.75">
      <c r="A1600" s="164" t="s">
        <v>777</v>
      </c>
      <c r="B1600" s="165" t="s">
        <v>1309</v>
      </c>
      <c r="C1600" s="165" t="s">
        <v>5111</v>
      </c>
      <c r="D1600" s="164">
        <v>20172</v>
      </c>
      <c r="E1600" s="164">
        <v>21214</v>
      </c>
      <c r="F1600" s="164" t="s">
        <v>3404</v>
      </c>
      <c r="G1600" s="164">
        <v>2024</v>
      </c>
      <c r="H1600" s="175">
        <v>45441</v>
      </c>
      <c r="I1600" s="175">
        <v>45443</v>
      </c>
      <c r="J1600" s="168" t="s">
        <v>7262</v>
      </c>
      <c r="K1600" s="174">
        <v>45447</v>
      </c>
      <c r="L1600" s="129" t="s">
        <v>3689</v>
      </c>
      <c r="M1600" s="129"/>
      <c r="N1600" s="129"/>
      <c r="O1600" s="129" t="s">
        <v>3406</v>
      </c>
      <c r="P1600" s="146"/>
      <c r="Q1600" s="170">
        <v>45447</v>
      </c>
      <c r="R1600" s="171"/>
      <c r="S1600" s="172"/>
    </row>
    <row r="1601" spans="1:19" ht="42.75">
      <c r="A1601" s="164" t="s">
        <v>777</v>
      </c>
      <c r="B1601" s="165" t="s">
        <v>1309</v>
      </c>
      <c r="C1601" s="165" t="s">
        <v>5110</v>
      </c>
      <c r="D1601" s="164">
        <v>2983</v>
      </c>
      <c r="E1601" s="164">
        <v>4031</v>
      </c>
      <c r="F1601" s="164" t="s">
        <v>3955</v>
      </c>
      <c r="G1601" s="164"/>
      <c r="H1601" s="167"/>
      <c r="I1601" s="167"/>
      <c r="J1601" s="167"/>
      <c r="K1601" s="169"/>
      <c r="L1601" s="129"/>
      <c r="M1601" s="129"/>
      <c r="N1601" s="129"/>
      <c r="O1601" s="129"/>
      <c r="P1601" s="146"/>
      <c r="Q1601" s="170"/>
      <c r="R1601" s="171"/>
      <c r="S1601" s="172"/>
    </row>
    <row r="1602" spans="1:19" ht="42.75">
      <c r="A1602" s="164" t="s">
        <v>777</v>
      </c>
      <c r="B1602" s="165" t="s">
        <v>1309</v>
      </c>
      <c r="C1602" s="165" t="s">
        <v>4569</v>
      </c>
      <c r="D1602" s="164">
        <v>2215</v>
      </c>
      <c r="E1602" s="164">
        <v>2270</v>
      </c>
      <c r="F1602" s="164" t="s">
        <v>3955</v>
      </c>
      <c r="G1602" s="164"/>
      <c r="H1602" s="167"/>
      <c r="I1602" s="167"/>
      <c r="J1602" s="196"/>
      <c r="K1602" s="169"/>
      <c r="L1602" s="129"/>
      <c r="M1602" s="129"/>
      <c r="N1602" s="129"/>
      <c r="O1602" s="129"/>
      <c r="P1602" s="146"/>
      <c r="Q1602" s="170"/>
      <c r="R1602" s="171"/>
      <c r="S1602" s="172"/>
    </row>
    <row r="1603" spans="1:19" ht="42.75">
      <c r="A1603" s="164" t="s">
        <v>777</v>
      </c>
      <c r="B1603" s="165" t="s">
        <v>1309</v>
      </c>
      <c r="C1603" s="165" t="s">
        <v>5112</v>
      </c>
      <c r="D1603" s="164">
        <v>5032</v>
      </c>
      <c r="E1603" s="164">
        <v>5217</v>
      </c>
      <c r="F1603" s="164" t="s">
        <v>3404</v>
      </c>
      <c r="G1603" s="164">
        <v>2024</v>
      </c>
      <c r="H1603" s="175">
        <v>45456</v>
      </c>
      <c r="I1603" s="221">
        <v>45457</v>
      </c>
      <c r="J1603" s="181" t="s">
        <v>7263</v>
      </c>
      <c r="K1603" s="193">
        <v>45462</v>
      </c>
      <c r="L1603" s="129" t="s">
        <v>3689</v>
      </c>
      <c r="M1603" s="129"/>
      <c r="N1603" s="129"/>
      <c r="O1603" s="129" t="s">
        <v>3406</v>
      </c>
      <c r="P1603" s="146"/>
      <c r="Q1603" s="170">
        <v>45464</v>
      </c>
      <c r="R1603" s="171"/>
      <c r="S1603" s="172"/>
    </row>
    <row r="1604" spans="1:19" ht="42.75">
      <c r="A1604" s="164" t="s">
        <v>777</v>
      </c>
      <c r="B1604" s="165" t="s">
        <v>1309</v>
      </c>
      <c r="C1604" s="165" t="s">
        <v>3509</v>
      </c>
      <c r="D1604" s="164">
        <v>6430</v>
      </c>
      <c r="E1604" s="164">
        <v>5945</v>
      </c>
      <c r="F1604" s="164" t="s">
        <v>3404</v>
      </c>
      <c r="G1604" s="164">
        <v>2024</v>
      </c>
      <c r="H1604" s="175">
        <v>45519</v>
      </c>
      <c r="I1604" s="175">
        <v>45524</v>
      </c>
      <c r="J1604" s="168" t="s">
        <v>7264</v>
      </c>
      <c r="K1604" s="193">
        <v>45462</v>
      </c>
      <c r="L1604" s="129" t="s">
        <v>3126</v>
      </c>
      <c r="M1604" s="129" t="s">
        <v>4</v>
      </c>
      <c r="N1604" s="129" t="s">
        <v>50</v>
      </c>
      <c r="O1604" s="129" t="s">
        <v>3406</v>
      </c>
      <c r="P1604" s="146"/>
      <c r="Q1604" s="170">
        <v>45525</v>
      </c>
      <c r="R1604" s="171"/>
      <c r="S1604" s="172"/>
    </row>
    <row r="1605" spans="1:19" ht="42.75">
      <c r="A1605" s="164" t="s">
        <v>777</v>
      </c>
      <c r="B1605" s="165" t="s">
        <v>1309</v>
      </c>
      <c r="C1605" s="165" t="s">
        <v>5113</v>
      </c>
      <c r="D1605" s="164">
        <v>1649</v>
      </c>
      <c r="E1605" s="164">
        <v>2887</v>
      </c>
      <c r="F1605" s="164" t="s">
        <v>3955</v>
      </c>
      <c r="G1605" s="164"/>
      <c r="H1605" s="167"/>
      <c r="I1605" s="167"/>
      <c r="J1605" s="167"/>
      <c r="K1605" s="169"/>
      <c r="L1605" s="129"/>
      <c r="M1605" s="129"/>
      <c r="N1605" s="129"/>
      <c r="O1605" s="129"/>
      <c r="P1605" s="146"/>
      <c r="Q1605" s="170"/>
      <c r="R1605" s="171"/>
      <c r="S1605" s="172"/>
    </row>
    <row r="1606" spans="1:19" ht="42.75">
      <c r="A1606" s="164" t="s">
        <v>777</v>
      </c>
      <c r="B1606" s="165" t="s">
        <v>1309</v>
      </c>
      <c r="C1606" s="165" t="s">
        <v>5119</v>
      </c>
      <c r="D1606" s="164">
        <v>1886</v>
      </c>
      <c r="E1606" s="164">
        <v>1894</v>
      </c>
      <c r="F1606" s="164" t="s">
        <v>3955</v>
      </c>
      <c r="G1606" s="164"/>
      <c r="H1606" s="167"/>
      <c r="I1606" s="167"/>
      <c r="J1606" s="167"/>
      <c r="K1606" s="169"/>
      <c r="L1606" s="129"/>
      <c r="M1606" s="129"/>
      <c r="N1606" s="129"/>
      <c r="O1606" s="129"/>
      <c r="P1606" s="146"/>
      <c r="Q1606" s="170"/>
      <c r="R1606" s="171"/>
      <c r="S1606" s="172"/>
    </row>
    <row r="1607" spans="1:19" ht="42.75">
      <c r="A1607" s="164" t="s">
        <v>777</v>
      </c>
      <c r="B1607" s="165" t="s">
        <v>1309</v>
      </c>
      <c r="C1607" s="165" t="s">
        <v>5120</v>
      </c>
      <c r="D1607" s="164">
        <v>912</v>
      </c>
      <c r="E1607" s="164">
        <v>1055</v>
      </c>
      <c r="F1607" s="164" t="s">
        <v>3955</v>
      </c>
      <c r="G1607" s="164"/>
      <c r="H1607" s="167"/>
      <c r="I1607" s="167"/>
      <c r="J1607" s="167"/>
      <c r="K1607" s="169"/>
      <c r="L1607" s="129"/>
      <c r="M1607" s="129"/>
      <c r="N1607" s="129"/>
      <c r="O1607" s="129"/>
      <c r="P1607" s="146"/>
      <c r="Q1607" s="170"/>
      <c r="R1607" s="171"/>
      <c r="S1607" s="172"/>
    </row>
    <row r="1608" spans="1:19" ht="42.75">
      <c r="A1608" s="164" t="s">
        <v>777</v>
      </c>
      <c r="B1608" s="165" t="s">
        <v>1309</v>
      </c>
      <c r="C1608" s="165" t="s">
        <v>5122</v>
      </c>
      <c r="D1608" s="164">
        <v>2651</v>
      </c>
      <c r="E1608" s="164">
        <v>3048</v>
      </c>
      <c r="F1608" s="164" t="s">
        <v>3404</v>
      </c>
      <c r="G1608" s="164">
        <v>2024</v>
      </c>
      <c r="H1608" s="175">
        <v>45519</v>
      </c>
      <c r="I1608" s="175">
        <v>45524</v>
      </c>
      <c r="J1608" s="191" t="s">
        <v>7265</v>
      </c>
      <c r="K1608" s="174">
        <v>45523</v>
      </c>
      <c r="L1608" s="129" t="s">
        <v>3126</v>
      </c>
      <c r="M1608" s="129" t="s">
        <v>4</v>
      </c>
      <c r="N1608" s="129" t="s">
        <v>50</v>
      </c>
      <c r="O1608" s="129" t="s">
        <v>3406</v>
      </c>
      <c r="P1608" s="146"/>
      <c r="Q1608" s="170">
        <v>45525</v>
      </c>
      <c r="R1608" s="171"/>
      <c r="S1608" s="172"/>
    </row>
    <row r="1609" spans="1:19" ht="42.75">
      <c r="A1609" s="164" t="s">
        <v>777</v>
      </c>
      <c r="B1609" s="165" t="s">
        <v>1309</v>
      </c>
      <c r="C1609" s="165" t="s">
        <v>5123</v>
      </c>
      <c r="D1609" s="164">
        <v>5314</v>
      </c>
      <c r="E1609" s="164">
        <v>5772</v>
      </c>
      <c r="F1609" s="164" t="s">
        <v>3404</v>
      </c>
      <c r="G1609" s="164">
        <v>2024</v>
      </c>
      <c r="H1609" s="175">
        <v>45601</v>
      </c>
      <c r="I1609" s="221">
        <v>45605</v>
      </c>
      <c r="J1609" s="181" t="s">
        <v>7266</v>
      </c>
      <c r="K1609" s="193">
        <v>45612</v>
      </c>
      <c r="L1609" s="129" t="s">
        <v>3129</v>
      </c>
      <c r="M1609" s="129" t="s">
        <v>4</v>
      </c>
      <c r="N1609" s="129" t="s">
        <v>50</v>
      </c>
      <c r="O1609" s="129" t="s">
        <v>3406</v>
      </c>
      <c r="P1609" s="146"/>
      <c r="Q1609" s="170">
        <v>45614</v>
      </c>
      <c r="R1609" s="171" t="s">
        <v>7058</v>
      </c>
      <c r="S1609" s="172"/>
    </row>
    <row r="1610" spans="1:19" ht="42.75">
      <c r="A1610" s="164" t="s">
        <v>777</v>
      </c>
      <c r="B1610" s="165" t="s">
        <v>1309</v>
      </c>
      <c r="C1610" s="165" t="s">
        <v>1867</v>
      </c>
      <c r="D1610" s="164">
        <v>7756</v>
      </c>
      <c r="E1610" s="164">
        <v>8614</v>
      </c>
      <c r="F1610" s="164" t="s">
        <v>3404</v>
      </c>
      <c r="G1610" s="164">
        <v>2024</v>
      </c>
      <c r="H1610" s="175">
        <v>45601</v>
      </c>
      <c r="I1610" s="221">
        <v>45605</v>
      </c>
      <c r="J1610" s="181" t="s">
        <v>7267</v>
      </c>
      <c r="K1610" s="193">
        <v>45612</v>
      </c>
      <c r="L1610" s="129" t="s">
        <v>3129</v>
      </c>
      <c r="M1610" s="129" t="s">
        <v>4</v>
      </c>
      <c r="N1610" s="129" t="s">
        <v>50</v>
      </c>
      <c r="O1610" s="129" t="s">
        <v>3406</v>
      </c>
      <c r="P1610" s="146"/>
      <c r="Q1610" s="170">
        <v>45614</v>
      </c>
      <c r="R1610" s="171" t="s">
        <v>7058</v>
      </c>
      <c r="S1610" s="172"/>
    </row>
    <row r="1611" spans="1:19" ht="42.75">
      <c r="A1611" s="164" t="s">
        <v>777</v>
      </c>
      <c r="B1611" s="165" t="s">
        <v>1309</v>
      </c>
      <c r="C1611" s="165" t="s">
        <v>5124</v>
      </c>
      <c r="D1611" s="164">
        <v>2036</v>
      </c>
      <c r="E1611" s="164">
        <v>2595</v>
      </c>
      <c r="F1611" s="164" t="s">
        <v>3955</v>
      </c>
      <c r="G1611" s="164"/>
      <c r="H1611" s="167"/>
      <c r="I1611" s="167"/>
      <c r="J1611" s="167"/>
      <c r="K1611" s="169"/>
      <c r="L1611" s="129"/>
      <c r="M1611" s="129"/>
      <c r="N1611" s="129"/>
      <c r="O1611" s="129"/>
      <c r="P1611" s="146"/>
      <c r="Q1611" s="170"/>
      <c r="R1611" s="171"/>
      <c r="S1611" s="172"/>
    </row>
    <row r="1612" spans="1:19" ht="42.75">
      <c r="A1612" s="164" t="s">
        <v>777</v>
      </c>
      <c r="B1612" s="165" t="s">
        <v>1309</v>
      </c>
      <c r="C1612" s="165" t="s">
        <v>5125</v>
      </c>
      <c r="D1612" s="164">
        <v>4718</v>
      </c>
      <c r="E1612" s="164">
        <v>5317</v>
      </c>
      <c r="F1612" s="164" t="s">
        <v>3955</v>
      </c>
      <c r="G1612" s="164"/>
      <c r="H1612" s="167"/>
      <c r="I1612" s="167"/>
      <c r="J1612" s="167"/>
      <c r="K1612" s="169"/>
      <c r="L1612" s="129"/>
      <c r="M1612" s="129"/>
      <c r="N1612" s="129"/>
      <c r="O1612" s="129"/>
      <c r="P1612" s="146"/>
      <c r="Q1612" s="170"/>
      <c r="R1612" s="171"/>
      <c r="S1612" s="172"/>
    </row>
    <row r="1613" spans="1:19" ht="42.75">
      <c r="A1613" s="164" t="s">
        <v>777</v>
      </c>
      <c r="B1613" s="165" t="s">
        <v>1309</v>
      </c>
      <c r="C1613" s="165" t="s">
        <v>5126</v>
      </c>
      <c r="D1613" s="164">
        <v>986</v>
      </c>
      <c r="E1613" s="164">
        <v>1062</v>
      </c>
      <c r="F1613" s="164" t="s">
        <v>3955</v>
      </c>
      <c r="G1613" s="164"/>
      <c r="H1613" s="167"/>
      <c r="I1613" s="167"/>
      <c r="J1613" s="167"/>
      <c r="K1613" s="169"/>
      <c r="L1613" s="129"/>
      <c r="M1613" s="129"/>
      <c r="N1613" s="129"/>
      <c r="O1613" s="129"/>
      <c r="P1613" s="146"/>
      <c r="Q1613" s="170"/>
      <c r="R1613" s="171"/>
      <c r="S1613" s="172"/>
    </row>
    <row r="1614" spans="1:19" ht="42.75">
      <c r="A1614" s="164" t="s">
        <v>777</v>
      </c>
      <c r="B1614" s="165" t="s">
        <v>1309</v>
      </c>
      <c r="C1614" s="165" t="s">
        <v>5146</v>
      </c>
      <c r="D1614" s="164">
        <v>1851</v>
      </c>
      <c r="E1614" s="164">
        <v>2216</v>
      </c>
      <c r="F1614" s="164" t="s">
        <v>3955</v>
      </c>
      <c r="G1614" s="164"/>
      <c r="H1614" s="167"/>
      <c r="I1614" s="167"/>
      <c r="J1614" s="167"/>
      <c r="K1614" s="169"/>
      <c r="L1614" s="129"/>
      <c r="M1614" s="129"/>
      <c r="N1614" s="129"/>
      <c r="O1614" s="129"/>
      <c r="P1614" s="146"/>
      <c r="Q1614" s="170"/>
      <c r="R1614" s="171"/>
      <c r="S1614" s="172"/>
    </row>
    <row r="1615" spans="1:19" ht="42.75">
      <c r="A1615" s="164" t="s">
        <v>777</v>
      </c>
      <c r="B1615" s="165" t="s">
        <v>1309</v>
      </c>
      <c r="C1615" s="165" t="s">
        <v>5127</v>
      </c>
      <c r="D1615" s="164">
        <v>3066</v>
      </c>
      <c r="E1615" s="164">
        <v>3968</v>
      </c>
      <c r="F1615" s="164" t="s">
        <v>3955</v>
      </c>
      <c r="G1615" s="164"/>
      <c r="H1615" s="167"/>
      <c r="I1615" s="167"/>
      <c r="J1615" s="196"/>
      <c r="K1615" s="169"/>
      <c r="L1615" s="129"/>
      <c r="M1615" s="129"/>
      <c r="N1615" s="129"/>
      <c r="O1615" s="129"/>
      <c r="P1615" s="146"/>
      <c r="Q1615" s="170"/>
      <c r="R1615" s="171"/>
      <c r="S1615" s="172"/>
    </row>
    <row r="1616" spans="1:19" ht="42.75">
      <c r="A1616" s="164" t="s">
        <v>777</v>
      </c>
      <c r="B1616" s="165" t="s">
        <v>1309</v>
      </c>
      <c r="C1616" s="165" t="s">
        <v>5131</v>
      </c>
      <c r="D1616" s="164">
        <v>2139</v>
      </c>
      <c r="E1616" s="164">
        <v>1867</v>
      </c>
      <c r="F1616" s="164" t="s">
        <v>3404</v>
      </c>
      <c r="G1616" s="164">
        <v>2024</v>
      </c>
      <c r="H1616" s="175">
        <v>45456</v>
      </c>
      <c r="I1616" s="221">
        <v>45457</v>
      </c>
      <c r="J1616" s="235" t="s">
        <v>7268</v>
      </c>
      <c r="K1616" s="193">
        <v>45462</v>
      </c>
      <c r="L1616" s="129" t="s">
        <v>3689</v>
      </c>
      <c r="M1616" s="129"/>
      <c r="N1616" s="129"/>
      <c r="O1616" s="129" t="s">
        <v>3406</v>
      </c>
      <c r="P1616" s="146"/>
      <c r="Q1616" s="170">
        <v>45464</v>
      </c>
      <c r="R1616" s="171"/>
      <c r="S1616" s="172"/>
    </row>
    <row r="1617" spans="1:19" ht="42.75">
      <c r="A1617" s="164" t="s">
        <v>777</v>
      </c>
      <c r="B1617" s="165" t="s">
        <v>1309</v>
      </c>
      <c r="C1617" s="165" t="s">
        <v>5121</v>
      </c>
      <c r="D1617" s="164">
        <v>1929</v>
      </c>
      <c r="E1617" s="164">
        <v>1550</v>
      </c>
      <c r="F1617" s="164" t="s">
        <v>3404</v>
      </c>
      <c r="G1617" s="164">
        <v>2024</v>
      </c>
      <c r="H1617" s="175">
        <v>45552</v>
      </c>
      <c r="I1617" s="175">
        <v>45556</v>
      </c>
      <c r="J1617" s="168" t="s">
        <v>7269</v>
      </c>
      <c r="K1617" s="174">
        <v>45569</v>
      </c>
      <c r="L1617" s="129" t="s">
        <v>3128</v>
      </c>
      <c r="M1617" s="129" t="s">
        <v>4</v>
      </c>
      <c r="N1617" s="129" t="s">
        <v>50</v>
      </c>
      <c r="O1617" s="129" t="s">
        <v>3406</v>
      </c>
      <c r="P1617" s="146"/>
      <c r="Q1617" s="189">
        <v>45569</v>
      </c>
      <c r="R1617" s="115" t="s">
        <v>7058</v>
      </c>
      <c r="S1617" s="163"/>
    </row>
    <row r="1618" spans="1:19" ht="42.75">
      <c r="A1618" s="164" t="s">
        <v>777</v>
      </c>
      <c r="B1618" s="165" t="s">
        <v>1309</v>
      </c>
      <c r="C1618" s="165" t="s">
        <v>5115</v>
      </c>
      <c r="D1618" s="164">
        <v>2353</v>
      </c>
      <c r="E1618" s="164">
        <v>2069</v>
      </c>
      <c r="F1618" s="164" t="s">
        <v>3955</v>
      </c>
      <c r="G1618" s="164"/>
      <c r="H1618" s="167"/>
      <c r="I1618" s="167"/>
      <c r="J1618" s="196"/>
      <c r="K1618" s="169"/>
      <c r="L1618" s="129"/>
      <c r="M1618" s="129"/>
      <c r="N1618" s="129"/>
      <c r="O1618" s="129"/>
      <c r="P1618" s="146"/>
      <c r="Q1618" s="170"/>
      <c r="R1618" s="171"/>
      <c r="S1618" s="172"/>
    </row>
    <row r="1619" spans="1:19" ht="42.75">
      <c r="A1619" s="164" t="s">
        <v>777</v>
      </c>
      <c r="B1619" s="165" t="s">
        <v>1309</v>
      </c>
      <c r="C1619" s="165" t="s">
        <v>5132</v>
      </c>
      <c r="D1619" s="164">
        <v>1246</v>
      </c>
      <c r="E1619" s="164">
        <v>1218</v>
      </c>
      <c r="F1619" s="164" t="s">
        <v>3404</v>
      </c>
      <c r="G1619" s="164">
        <v>2024</v>
      </c>
      <c r="H1619" s="175">
        <v>45456</v>
      </c>
      <c r="I1619" s="221">
        <v>45457</v>
      </c>
      <c r="J1619" s="181" t="s">
        <v>7270</v>
      </c>
      <c r="K1619" s="193">
        <v>45462</v>
      </c>
      <c r="L1619" s="129" t="s">
        <v>3689</v>
      </c>
      <c r="M1619" s="129"/>
      <c r="N1619" s="129"/>
      <c r="O1619" s="129" t="s">
        <v>3406</v>
      </c>
      <c r="P1619" s="146"/>
      <c r="Q1619" s="170">
        <v>45464</v>
      </c>
      <c r="R1619" s="171"/>
      <c r="S1619" s="172"/>
    </row>
    <row r="1620" spans="1:19" ht="42.75">
      <c r="A1620" s="164" t="s">
        <v>777</v>
      </c>
      <c r="B1620" s="165" t="s">
        <v>1309</v>
      </c>
      <c r="C1620" s="165" t="s">
        <v>5117</v>
      </c>
      <c r="D1620" s="164">
        <v>1251</v>
      </c>
      <c r="E1620" s="164">
        <v>1133</v>
      </c>
      <c r="F1620" s="164" t="s">
        <v>3955</v>
      </c>
      <c r="G1620" s="164"/>
      <c r="H1620" s="167"/>
      <c r="I1620" s="167"/>
      <c r="J1620" s="167"/>
      <c r="K1620" s="169"/>
      <c r="L1620" s="129"/>
      <c r="M1620" s="129"/>
      <c r="N1620" s="129"/>
      <c r="O1620" s="129"/>
      <c r="P1620" s="146"/>
      <c r="Q1620" s="170"/>
      <c r="R1620" s="171"/>
      <c r="S1620" s="172"/>
    </row>
    <row r="1621" spans="1:19" ht="42.75">
      <c r="A1621" s="164" t="s">
        <v>777</v>
      </c>
      <c r="B1621" s="165" t="s">
        <v>1309</v>
      </c>
      <c r="C1621" s="165" t="s">
        <v>5107</v>
      </c>
      <c r="D1621" s="164">
        <v>3320</v>
      </c>
      <c r="E1621" s="164">
        <v>3435</v>
      </c>
      <c r="F1621" s="164" t="s">
        <v>3955</v>
      </c>
      <c r="G1621" s="164"/>
      <c r="H1621" s="167"/>
      <c r="I1621" s="167"/>
      <c r="J1621" s="167"/>
      <c r="K1621" s="169"/>
      <c r="L1621" s="129"/>
      <c r="M1621" s="129"/>
      <c r="N1621" s="129"/>
      <c r="O1621" s="129"/>
      <c r="P1621" s="146"/>
      <c r="Q1621" s="170"/>
      <c r="R1621" s="171"/>
      <c r="S1621" s="172"/>
    </row>
    <row r="1622" spans="1:19" ht="42.75">
      <c r="A1622" s="164" t="s">
        <v>777</v>
      </c>
      <c r="B1622" s="165" t="s">
        <v>1309</v>
      </c>
      <c r="C1622" s="165" t="s">
        <v>4126</v>
      </c>
      <c r="D1622" s="164">
        <v>3475</v>
      </c>
      <c r="E1622" s="164">
        <v>4333</v>
      </c>
      <c r="F1622" s="164" t="s">
        <v>3955</v>
      </c>
      <c r="G1622" s="164">
        <v>2025</v>
      </c>
      <c r="H1622" s="167"/>
      <c r="I1622" s="167"/>
      <c r="J1622" s="167"/>
      <c r="K1622" s="169"/>
      <c r="L1622" s="129" t="s">
        <v>3424</v>
      </c>
      <c r="M1622" s="129"/>
      <c r="N1622" s="129"/>
      <c r="O1622" s="129"/>
      <c r="P1622" s="146"/>
      <c r="Q1622" s="170"/>
      <c r="R1622" s="171"/>
      <c r="S1622" s="172"/>
    </row>
    <row r="1623" spans="1:19" ht="42.75">
      <c r="A1623" s="164" t="s">
        <v>777</v>
      </c>
      <c r="B1623" s="165" t="s">
        <v>1309</v>
      </c>
      <c r="C1623" s="165" t="s">
        <v>918</v>
      </c>
      <c r="D1623" s="164">
        <v>2204</v>
      </c>
      <c r="E1623" s="164">
        <v>1890</v>
      </c>
      <c r="F1623" s="164" t="s">
        <v>3955</v>
      </c>
      <c r="G1623" s="164"/>
      <c r="H1623" s="167"/>
      <c r="I1623" s="167"/>
      <c r="J1623" s="167"/>
      <c r="K1623" s="169"/>
      <c r="L1623" s="129"/>
      <c r="M1623" s="129"/>
      <c r="N1623" s="129"/>
      <c r="O1623" s="129"/>
      <c r="P1623" s="146"/>
      <c r="Q1623" s="170"/>
      <c r="R1623" s="171"/>
      <c r="S1623" s="172"/>
    </row>
    <row r="1624" spans="1:19" ht="42.75">
      <c r="A1624" s="164" t="s">
        <v>777</v>
      </c>
      <c r="B1624" s="165" t="s">
        <v>1309</v>
      </c>
      <c r="C1624" s="165" t="s">
        <v>5135</v>
      </c>
      <c r="D1624" s="164">
        <v>1039</v>
      </c>
      <c r="E1624" s="164">
        <v>1205</v>
      </c>
      <c r="F1624" s="164" t="s">
        <v>3955</v>
      </c>
      <c r="G1624" s="164"/>
      <c r="H1624" s="167"/>
      <c r="I1624" s="167"/>
      <c r="J1624" s="167"/>
      <c r="K1624" s="169"/>
      <c r="L1624" s="129"/>
      <c r="M1624" s="129"/>
      <c r="N1624" s="129"/>
      <c r="O1624" s="129"/>
      <c r="P1624" s="146"/>
      <c r="Q1624" s="170"/>
      <c r="R1624" s="171"/>
      <c r="S1624" s="172"/>
    </row>
    <row r="1625" spans="1:19" ht="42.75">
      <c r="A1625" s="164" t="s">
        <v>777</v>
      </c>
      <c r="B1625" s="165" t="s">
        <v>1309</v>
      </c>
      <c r="C1625" s="165" t="s">
        <v>5136</v>
      </c>
      <c r="D1625" s="164">
        <v>7065</v>
      </c>
      <c r="E1625" s="164">
        <v>7294</v>
      </c>
      <c r="F1625" s="164" t="s">
        <v>3404</v>
      </c>
      <c r="G1625" s="164">
        <v>2024</v>
      </c>
      <c r="H1625" s="175">
        <v>45552</v>
      </c>
      <c r="I1625" s="175">
        <v>45556</v>
      </c>
      <c r="J1625" s="168" t="s">
        <v>7271</v>
      </c>
      <c r="K1625" s="174">
        <v>45569</v>
      </c>
      <c r="L1625" s="129" t="s">
        <v>3128</v>
      </c>
      <c r="M1625" s="129" t="s">
        <v>4</v>
      </c>
      <c r="N1625" s="129" t="s">
        <v>50</v>
      </c>
      <c r="O1625" s="129" t="s">
        <v>3406</v>
      </c>
      <c r="P1625" s="146"/>
      <c r="Q1625" s="189">
        <v>45569</v>
      </c>
      <c r="R1625" s="115" t="s">
        <v>7058</v>
      </c>
      <c r="S1625" s="163"/>
    </row>
    <row r="1626" spans="1:19" ht="42.75">
      <c r="A1626" s="164" t="s">
        <v>777</v>
      </c>
      <c r="B1626" s="165" t="s">
        <v>1309</v>
      </c>
      <c r="C1626" s="165" t="s">
        <v>5137</v>
      </c>
      <c r="D1626" s="164">
        <v>6252</v>
      </c>
      <c r="E1626" s="164">
        <v>6093</v>
      </c>
      <c r="F1626" s="164" t="s">
        <v>3404</v>
      </c>
      <c r="G1626" s="164">
        <v>2024</v>
      </c>
      <c r="H1626" s="175">
        <v>45552</v>
      </c>
      <c r="I1626" s="175">
        <v>45556</v>
      </c>
      <c r="J1626" s="168" t="s">
        <v>7272</v>
      </c>
      <c r="K1626" s="174">
        <v>45569</v>
      </c>
      <c r="L1626" s="129" t="s">
        <v>3128</v>
      </c>
      <c r="M1626" s="129" t="s">
        <v>4</v>
      </c>
      <c r="N1626" s="129" t="s">
        <v>50</v>
      </c>
      <c r="O1626" s="129" t="s">
        <v>3406</v>
      </c>
      <c r="P1626" s="146"/>
      <c r="Q1626" s="189">
        <v>45569</v>
      </c>
      <c r="R1626" s="115" t="s">
        <v>7058</v>
      </c>
      <c r="S1626" s="163"/>
    </row>
    <row r="1627" spans="1:19" ht="42.75">
      <c r="A1627" s="164" t="s">
        <v>777</v>
      </c>
      <c r="B1627" s="165" t="s">
        <v>1309</v>
      </c>
      <c r="C1627" s="165" t="s">
        <v>3566</v>
      </c>
      <c r="D1627" s="164">
        <v>6144</v>
      </c>
      <c r="E1627" s="164">
        <v>7290</v>
      </c>
      <c r="F1627" s="164" t="s">
        <v>3955</v>
      </c>
      <c r="G1627" s="164"/>
      <c r="H1627" s="167"/>
      <c r="I1627" s="167"/>
      <c r="J1627" s="167"/>
      <c r="K1627" s="169"/>
      <c r="L1627" s="129"/>
      <c r="M1627" s="129"/>
      <c r="N1627" s="129"/>
      <c r="O1627" s="129"/>
      <c r="P1627" s="146"/>
      <c r="Q1627" s="170"/>
      <c r="R1627" s="171"/>
      <c r="S1627" s="172"/>
    </row>
    <row r="1628" spans="1:19" ht="42.75">
      <c r="A1628" s="164" t="s">
        <v>777</v>
      </c>
      <c r="B1628" s="165" t="s">
        <v>1309</v>
      </c>
      <c r="C1628" s="165" t="s">
        <v>5139</v>
      </c>
      <c r="D1628" s="164">
        <v>6333</v>
      </c>
      <c r="E1628" s="164">
        <v>6473</v>
      </c>
      <c r="F1628" s="164" t="s">
        <v>3955</v>
      </c>
      <c r="G1628" s="164"/>
      <c r="H1628" s="167"/>
      <c r="I1628" s="167"/>
      <c r="J1628" s="167"/>
      <c r="K1628" s="169"/>
      <c r="L1628" s="129"/>
      <c r="M1628" s="129"/>
      <c r="N1628" s="129"/>
      <c r="O1628" s="129"/>
      <c r="P1628" s="146"/>
      <c r="Q1628" s="170"/>
      <c r="R1628" s="171"/>
      <c r="S1628" s="172"/>
    </row>
    <row r="1629" spans="1:19" ht="42.75">
      <c r="A1629" s="164" t="s">
        <v>777</v>
      </c>
      <c r="B1629" s="165" t="s">
        <v>1309</v>
      </c>
      <c r="C1629" s="165" t="s">
        <v>5141</v>
      </c>
      <c r="D1629" s="164">
        <v>1534</v>
      </c>
      <c r="E1629" s="164">
        <v>1800</v>
      </c>
      <c r="F1629" s="164" t="s">
        <v>3955</v>
      </c>
      <c r="G1629" s="164"/>
      <c r="H1629" s="167"/>
      <c r="I1629" s="167"/>
      <c r="J1629" s="167"/>
      <c r="K1629" s="169"/>
      <c r="L1629" s="129"/>
      <c r="M1629" s="129"/>
      <c r="N1629" s="129"/>
      <c r="O1629" s="129"/>
      <c r="P1629" s="146"/>
      <c r="Q1629" s="170"/>
      <c r="R1629" s="171"/>
      <c r="S1629" s="172"/>
    </row>
    <row r="1630" spans="1:19" ht="42.75">
      <c r="A1630" s="164" t="s">
        <v>777</v>
      </c>
      <c r="B1630" s="165" t="s">
        <v>1309</v>
      </c>
      <c r="C1630" s="165" t="s">
        <v>5138</v>
      </c>
      <c r="D1630" s="164">
        <v>8780</v>
      </c>
      <c r="E1630" s="164">
        <v>9851</v>
      </c>
      <c r="F1630" s="164" t="s">
        <v>3955</v>
      </c>
      <c r="G1630" s="164"/>
      <c r="H1630" s="167"/>
      <c r="I1630" s="167"/>
      <c r="J1630" s="167"/>
      <c r="K1630" s="169"/>
      <c r="L1630" s="129"/>
      <c r="M1630" s="129"/>
      <c r="N1630" s="129"/>
      <c r="O1630" s="129"/>
      <c r="P1630" s="146"/>
      <c r="Q1630" s="170"/>
      <c r="R1630" s="171"/>
      <c r="S1630" s="172"/>
    </row>
    <row r="1631" spans="1:19" ht="42.75">
      <c r="A1631" s="164" t="s">
        <v>777</v>
      </c>
      <c r="B1631" s="165" t="s">
        <v>1309</v>
      </c>
      <c r="C1631" s="165" t="s">
        <v>5142</v>
      </c>
      <c r="D1631" s="164">
        <v>1208</v>
      </c>
      <c r="E1631" s="164">
        <v>1258</v>
      </c>
      <c r="F1631" s="164" t="s">
        <v>3955</v>
      </c>
      <c r="G1631" s="164"/>
      <c r="H1631" s="167"/>
      <c r="I1631" s="167"/>
      <c r="J1631" s="167"/>
      <c r="K1631" s="169"/>
      <c r="L1631" s="129"/>
      <c r="M1631" s="129"/>
      <c r="N1631" s="129"/>
      <c r="O1631" s="129"/>
      <c r="P1631" s="146"/>
      <c r="Q1631" s="170"/>
      <c r="R1631" s="171"/>
      <c r="S1631" s="172"/>
    </row>
    <row r="1632" spans="1:19" ht="42.75">
      <c r="A1632" s="164" t="s">
        <v>777</v>
      </c>
      <c r="B1632" s="165" t="s">
        <v>1309</v>
      </c>
      <c r="C1632" s="165" t="s">
        <v>5143</v>
      </c>
      <c r="D1632" s="164">
        <v>4758</v>
      </c>
      <c r="E1632" s="164">
        <v>5518</v>
      </c>
      <c r="F1632" s="164" t="s">
        <v>3955</v>
      </c>
      <c r="G1632" s="164"/>
      <c r="H1632" s="167"/>
      <c r="I1632" s="167"/>
      <c r="J1632" s="167"/>
      <c r="K1632" s="169"/>
      <c r="L1632" s="129"/>
      <c r="M1632" s="129"/>
      <c r="N1632" s="129"/>
      <c r="O1632" s="129"/>
      <c r="P1632" s="146"/>
      <c r="Q1632" s="170"/>
      <c r="R1632" s="171"/>
      <c r="S1632" s="172"/>
    </row>
    <row r="1633" spans="1:19" ht="42.75">
      <c r="A1633" s="164" t="s">
        <v>777</v>
      </c>
      <c r="B1633" s="165" t="s">
        <v>1309</v>
      </c>
      <c r="C1633" s="165" t="s">
        <v>5144</v>
      </c>
      <c r="D1633" s="164">
        <v>3323</v>
      </c>
      <c r="E1633" s="164">
        <v>3468</v>
      </c>
      <c r="F1633" s="164" t="s">
        <v>3955</v>
      </c>
      <c r="G1633" s="164"/>
      <c r="H1633" s="167"/>
      <c r="I1633" s="167"/>
      <c r="J1633" s="167"/>
      <c r="K1633" s="169"/>
      <c r="L1633" s="129"/>
      <c r="M1633" s="129"/>
      <c r="N1633" s="129"/>
      <c r="O1633" s="129"/>
      <c r="P1633" s="146"/>
      <c r="Q1633" s="170"/>
      <c r="R1633" s="171"/>
      <c r="S1633" s="172"/>
    </row>
    <row r="1634" spans="1:19" ht="42.75">
      <c r="A1634" s="164" t="s">
        <v>777</v>
      </c>
      <c r="B1634" s="165" t="s">
        <v>1309</v>
      </c>
      <c r="C1634" s="165" t="s">
        <v>5129</v>
      </c>
      <c r="D1634" s="164">
        <v>1634</v>
      </c>
      <c r="E1634" s="164">
        <v>1657</v>
      </c>
      <c r="F1634" s="164" t="s">
        <v>3955</v>
      </c>
      <c r="G1634" s="164"/>
      <c r="H1634" s="167"/>
      <c r="I1634" s="167"/>
      <c r="J1634" s="167"/>
      <c r="K1634" s="169"/>
      <c r="L1634" s="129"/>
      <c r="M1634" s="129"/>
      <c r="N1634" s="129"/>
      <c r="O1634" s="129"/>
      <c r="P1634" s="146"/>
      <c r="Q1634" s="170"/>
      <c r="R1634" s="171"/>
      <c r="S1634" s="172"/>
    </row>
    <row r="1635" spans="1:19" ht="42.75">
      <c r="A1635" s="164" t="s">
        <v>777</v>
      </c>
      <c r="B1635" s="165" t="s">
        <v>1309</v>
      </c>
      <c r="C1635" s="165" t="s">
        <v>5145</v>
      </c>
      <c r="D1635" s="164">
        <v>762</v>
      </c>
      <c r="E1635" s="164">
        <v>960</v>
      </c>
      <c r="F1635" s="164" t="s">
        <v>3955</v>
      </c>
      <c r="G1635" s="164"/>
      <c r="H1635" s="167"/>
      <c r="I1635" s="167"/>
      <c r="J1635" s="167"/>
      <c r="K1635" s="169"/>
      <c r="L1635" s="129"/>
      <c r="M1635" s="129"/>
      <c r="N1635" s="129"/>
      <c r="O1635" s="129"/>
      <c r="P1635" s="146"/>
      <c r="Q1635" s="170"/>
      <c r="R1635" s="171"/>
      <c r="S1635" s="172"/>
    </row>
    <row r="1636" spans="1:19" ht="42.75">
      <c r="A1636" s="164" t="s">
        <v>777</v>
      </c>
      <c r="B1636" s="165" t="s">
        <v>1309</v>
      </c>
      <c r="C1636" s="165" t="s">
        <v>5148</v>
      </c>
      <c r="D1636" s="164">
        <v>1818</v>
      </c>
      <c r="E1636" s="164">
        <v>1964</v>
      </c>
      <c r="F1636" s="164" t="s">
        <v>3955</v>
      </c>
      <c r="G1636" s="164"/>
      <c r="H1636" s="167"/>
      <c r="I1636" s="167"/>
      <c r="J1636" s="167"/>
      <c r="K1636" s="169"/>
      <c r="L1636" s="129"/>
      <c r="M1636" s="129"/>
      <c r="N1636" s="129"/>
      <c r="O1636" s="129"/>
      <c r="P1636" s="146"/>
      <c r="Q1636" s="170"/>
      <c r="R1636" s="171"/>
      <c r="S1636" s="172"/>
    </row>
    <row r="1637" spans="1:19" ht="42.75">
      <c r="A1637" s="164" t="s">
        <v>777</v>
      </c>
      <c r="B1637" s="165" t="s">
        <v>1314</v>
      </c>
      <c r="C1637" s="165" t="s">
        <v>4578</v>
      </c>
      <c r="D1637" s="164">
        <v>3175</v>
      </c>
      <c r="E1637" s="164">
        <v>3294</v>
      </c>
      <c r="F1637" s="164" t="s">
        <v>3955</v>
      </c>
      <c r="G1637" s="164"/>
      <c r="H1637" s="167"/>
      <c r="I1637" s="167"/>
      <c r="J1637" s="167"/>
      <c r="K1637" s="169"/>
      <c r="L1637" s="129"/>
      <c r="M1637" s="129"/>
      <c r="N1637" s="129"/>
      <c r="O1637" s="129"/>
      <c r="P1637" s="146"/>
      <c r="Q1637" s="170"/>
      <c r="R1637" s="171"/>
      <c r="S1637" s="172"/>
    </row>
    <row r="1638" spans="1:19" ht="42.75">
      <c r="A1638" s="164" t="s">
        <v>777</v>
      </c>
      <c r="B1638" s="165" t="s">
        <v>1314</v>
      </c>
      <c r="C1638" s="165" t="s">
        <v>5149</v>
      </c>
      <c r="D1638" s="164">
        <v>2423</v>
      </c>
      <c r="E1638" s="164">
        <v>2172</v>
      </c>
      <c r="F1638" s="164" t="s">
        <v>3955</v>
      </c>
      <c r="G1638" s="164"/>
      <c r="H1638" s="167"/>
      <c r="I1638" s="167"/>
      <c r="J1638" s="167"/>
      <c r="K1638" s="169"/>
      <c r="L1638" s="129"/>
      <c r="M1638" s="129"/>
      <c r="N1638" s="129"/>
      <c r="O1638" s="129"/>
      <c r="P1638" s="146"/>
      <c r="Q1638" s="170"/>
      <c r="R1638" s="171"/>
      <c r="S1638" s="172"/>
    </row>
    <row r="1639" spans="1:19" ht="42.75">
      <c r="A1639" s="164" t="s">
        <v>777</v>
      </c>
      <c r="B1639" s="165" t="s">
        <v>1314</v>
      </c>
      <c r="C1639" s="165" t="s">
        <v>5150</v>
      </c>
      <c r="D1639" s="164">
        <v>4981</v>
      </c>
      <c r="E1639" s="164">
        <v>5548</v>
      </c>
      <c r="F1639" s="164" t="s">
        <v>3955</v>
      </c>
      <c r="G1639" s="164"/>
      <c r="H1639" s="167"/>
      <c r="I1639" s="167"/>
      <c r="J1639" s="167"/>
      <c r="K1639" s="169"/>
      <c r="L1639" s="129"/>
      <c r="M1639" s="129"/>
      <c r="N1639" s="129"/>
      <c r="O1639" s="129"/>
      <c r="P1639" s="146"/>
      <c r="Q1639" s="170"/>
      <c r="R1639" s="171"/>
      <c r="S1639" s="172"/>
    </row>
    <row r="1640" spans="1:19" ht="42.75">
      <c r="A1640" s="164" t="s">
        <v>777</v>
      </c>
      <c r="B1640" s="165" t="s">
        <v>1314</v>
      </c>
      <c r="C1640" s="165" t="s">
        <v>5151</v>
      </c>
      <c r="D1640" s="164">
        <v>1534</v>
      </c>
      <c r="E1640" s="164">
        <v>1501</v>
      </c>
      <c r="F1640" s="164" t="s">
        <v>3955</v>
      </c>
      <c r="G1640" s="164"/>
      <c r="H1640" s="167"/>
      <c r="I1640" s="167"/>
      <c r="J1640" s="167"/>
      <c r="K1640" s="169"/>
      <c r="L1640" s="129"/>
      <c r="M1640" s="129"/>
      <c r="N1640" s="129"/>
      <c r="O1640" s="129"/>
      <c r="P1640" s="146"/>
      <c r="Q1640" s="170"/>
      <c r="R1640" s="171"/>
      <c r="S1640" s="172"/>
    </row>
    <row r="1641" spans="1:19" ht="42.75">
      <c r="A1641" s="164" t="s">
        <v>777</v>
      </c>
      <c r="B1641" s="165" t="s">
        <v>1314</v>
      </c>
      <c r="C1641" s="165" t="s">
        <v>5152</v>
      </c>
      <c r="D1641" s="164">
        <v>5828</v>
      </c>
      <c r="E1641" s="164">
        <v>5867</v>
      </c>
      <c r="F1641" s="164" t="s">
        <v>3955</v>
      </c>
      <c r="G1641" s="164"/>
      <c r="H1641" s="167"/>
      <c r="I1641" s="167"/>
      <c r="J1641" s="167"/>
      <c r="K1641" s="169"/>
      <c r="L1641" s="129"/>
      <c r="M1641" s="129"/>
      <c r="N1641" s="129"/>
      <c r="O1641" s="129"/>
      <c r="P1641" s="146"/>
      <c r="Q1641" s="170"/>
      <c r="R1641" s="171"/>
      <c r="S1641" s="172"/>
    </row>
    <row r="1642" spans="1:19" ht="42.75">
      <c r="A1642" s="164" t="s">
        <v>777</v>
      </c>
      <c r="B1642" s="165" t="s">
        <v>1314</v>
      </c>
      <c r="C1642" s="165" t="s">
        <v>5153</v>
      </c>
      <c r="D1642" s="164">
        <v>9159</v>
      </c>
      <c r="E1642" s="164">
        <v>9152</v>
      </c>
      <c r="F1642" s="164" t="s">
        <v>3955</v>
      </c>
      <c r="G1642" s="164"/>
      <c r="H1642" s="167"/>
      <c r="I1642" s="167"/>
      <c r="J1642" s="167"/>
      <c r="K1642" s="169"/>
      <c r="L1642" s="129"/>
      <c r="M1642" s="129"/>
      <c r="N1642" s="129"/>
      <c r="O1642" s="129"/>
      <c r="P1642" s="146"/>
      <c r="Q1642" s="170"/>
      <c r="R1642" s="171"/>
      <c r="S1642" s="172"/>
    </row>
    <row r="1643" spans="1:19" ht="42.75">
      <c r="A1643" s="164" t="s">
        <v>777</v>
      </c>
      <c r="B1643" s="165" t="s">
        <v>1314</v>
      </c>
      <c r="C1643" s="165" t="s">
        <v>5154</v>
      </c>
      <c r="D1643" s="164">
        <v>8125</v>
      </c>
      <c r="E1643" s="164">
        <v>8597</v>
      </c>
      <c r="F1643" s="164" t="s">
        <v>3955</v>
      </c>
      <c r="G1643" s="164"/>
      <c r="H1643" s="167"/>
      <c r="I1643" s="167"/>
      <c r="J1643" s="167"/>
      <c r="K1643" s="169"/>
      <c r="L1643" s="129"/>
      <c r="M1643" s="129"/>
      <c r="N1643" s="129"/>
      <c r="O1643" s="129"/>
      <c r="P1643" s="146"/>
      <c r="Q1643" s="170"/>
      <c r="R1643" s="171"/>
      <c r="S1643" s="172"/>
    </row>
    <row r="1644" spans="1:19" ht="42.75">
      <c r="A1644" s="164" t="s">
        <v>777</v>
      </c>
      <c r="B1644" s="165" t="s">
        <v>1314</v>
      </c>
      <c r="C1644" s="165" t="s">
        <v>5155</v>
      </c>
      <c r="D1644" s="164">
        <v>5426</v>
      </c>
      <c r="E1644" s="164">
        <v>5763</v>
      </c>
      <c r="F1644" s="164" t="s">
        <v>3955</v>
      </c>
      <c r="G1644" s="164"/>
      <c r="H1644" s="167"/>
      <c r="I1644" s="167"/>
      <c r="J1644" s="167"/>
      <c r="K1644" s="169"/>
      <c r="L1644" s="129"/>
      <c r="M1644" s="129"/>
      <c r="N1644" s="129"/>
      <c r="O1644" s="129"/>
      <c r="P1644" s="146"/>
      <c r="Q1644" s="170"/>
      <c r="R1644" s="171"/>
      <c r="S1644" s="172"/>
    </row>
    <row r="1645" spans="1:19" ht="42.75">
      <c r="A1645" s="164" t="s">
        <v>777</v>
      </c>
      <c r="B1645" s="165" t="s">
        <v>1314</v>
      </c>
      <c r="C1645" s="165" t="s">
        <v>5158</v>
      </c>
      <c r="D1645" s="164">
        <v>2224</v>
      </c>
      <c r="E1645" s="164">
        <v>2270</v>
      </c>
      <c r="F1645" s="164" t="s">
        <v>3955</v>
      </c>
      <c r="G1645" s="164"/>
      <c r="H1645" s="167"/>
      <c r="I1645" s="167"/>
      <c r="J1645" s="167"/>
      <c r="K1645" s="169"/>
      <c r="L1645" s="129"/>
      <c r="M1645" s="129"/>
      <c r="N1645" s="129"/>
      <c r="O1645" s="129"/>
      <c r="P1645" s="146"/>
      <c r="Q1645" s="170"/>
      <c r="R1645" s="171"/>
      <c r="S1645" s="172"/>
    </row>
    <row r="1646" spans="1:19" ht="42.75">
      <c r="A1646" s="164" t="s">
        <v>777</v>
      </c>
      <c r="B1646" s="165" t="s">
        <v>1314</v>
      </c>
      <c r="C1646" s="165" t="s">
        <v>5156</v>
      </c>
      <c r="D1646" s="164">
        <v>2428</v>
      </c>
      <c r="E1646" s="164">
        <v>2391</v>
      </c>
      <c r="F1646" s="164" t="s">
        <v>3955</v>
      </c>
      <c r="G1646" s="164"/>
      <c r="H1646" s="167"/>
      <c r="I1646" s="167"/>
      <c r="J1646" s="167"/>
      <c r="K1646" s="169"/>
      <c r="L1646" s="129"/>
      <c r="M1646" s="129"/>
      <c r="N1646" s="129"/>
      <c r="O1646" s="129"/>
      <c r="P1646" s="146"/>
      <c r="Q1646" s="170"/>
      <c r="R1646" s="171"/>
      <c r="S1646" s="172"/>
    </row>
    <row r="1647" spans="1:19" ht="42.75">
      <c r="A1647" s="164" t="s">
        <v>777</v>
      </c>
      <c r="B1647" s="165" t="s">
        <v>1314</v>
      </c>
      <c r="C1647" s="165" t="s">
        <v>5157</v>
      </c>
      <c r="D1647" s="164">
        <v>5496</v>
      </c>
      <c r="E1647" s="164">
        <v>6993</v>
      </c>
      <c r="F1647" s="164" t="s">
        <v>3955</v>
      </c>
      <c r="G1647" s="164"/>
      <c r="H1647" s="167"/>
      <c r="I1647" s="167"/>
      <c r="J1647" s="167"/>
      <c r="K1647" s="169"/>
      <c r="L1647" s="129"/>
      <c r="M1647" s="129"/>
      <c r="N1647" s="129"/>
      <c r="O1647" s="129"/>
      <c r="P1647" s="146"/>
      <c r="Q1647" s="170"/>
      <c r="R1647" s="171"/>
      <c r="S1647" s="172"/>
    </row>
    <row r="1648" spans="1:19" ht="42.75">
      <c r="A1648" s="164" t="s">
        <v>777</v>
      </c>
      <c r="B1648" s="165" t="s">
        <v>1314</v>
      </c>
      <c r="C1648" s="165" t="s">
        <v>3974</v>
      </c>
      <c r="D1648" s="164">
        <v>3373</v>
      </c>
      <c r="E1648" s="164">
        <v>3292</v>
      </c>
      <c r="F1648" s="164" t="s">
        <v>3955</v>
      </c>
      <c r="G1648" s="164"/>
      <c r="H1648" s="167"/>
      <c r="I1648" s="167"/>
      <c r="J1648" s="196"/>
      <c r="K1648" s="242"/>
      <c r="L1648" s="129"/>
      <c r="M1648" s="129"/>
      <c r="N1648" s="129"/>
      <c r="O1648" s="129"/>
      <c r="P1648" s="146"/>
      <c r="Q1648" s="170"/>
      <c r="R1648" s="171"/>
      <c r="S1648" s="172"/>
    </row>
    <row r="1649" spans="1:19" ht="42.75">
      <c r="A1649" s="164" t="s">
        <v>777</v>
      </c>
      <c r="B1649" s="165" t="s">
        <v>1314</v>
      </c>
      <c r="C1649" s="165" t="s">
        <v>5159</v>
      </c>
      <c r="D1649" s="164">
        <v>4542</v>
      </c>
      <c r="E1649" s="164">
        <v>4638</v>
      </c>
      <c r="F1649" s="164" t="s">
        <v>3404</v>
      </c>
      <c r="G1649" s="164">
        <v>2024</v>
      </c>
      <c r="H1649" s="175">
        <v>45408</v>
      </c>
      <c r="I1649" s="221">
        <v>45408</v>
      </c>
      <c r="J1649" s="181" t="s">
        <v>7273</v>
      </c>
      <c r="K1649" s="193">
        <v>45420</v>
      </c>
      <c r="L1649" s="232" t="s">
        <v>3532</v>
      </c>
      <c r="M1649" s="232"/>
      <c r="N1649" s="232"/>
      <c r="O1649" s="129" t="s">
        <v>3406</v>
      </c>
      <c r="P1649" s="146"/>
      <c r="Q1649" s="170"/>
      <c r="R1649" s="171"/>
      <c r="S1649" s="172"/>
    </row>
    <row r="1650" spans="1:19" ht="42.75">
      <c r="A1650" s="164" t="s">
        <v>777</v>
      </c>
      <c r="B1650" s="165" t="s">
        <v>1314</v>
      </c>
      <c r="C1650" s="165" t="s">
        <v>1315</v>
      </c>
      <c r="D1650" s="164">
        <v>982</v>
      </c>
      <c r="E1650" s="164">
        <v>1188</v>
      </c>
      <c r="F1650" s="164" t="s">
        <v>3955</v>
      </c>
      <c r="G1650" s="164"/>
      <c r="H1650" s="167"/>
      <c r="I1650" s="167"/>
      <c r="J1650" s="167"/>
      <c r="K1650" s="243"/>
      <c r="L1650" s="129"/>
      <c r="M1650" s="129"/>
      <c r="N1650" s="129"/>
      <c r="O1650" s="129"/>
      <c r="P1650" s="146"/>
      <c r="Q1650" s="170"/>
      <c r="R1650" s="171"/>
      <c r="S1650" s="172"/>
    </row>
    <row r="1651" spans="1:19" ht="42.75">
      <c r="A1651" s="164" t="s">
        <v>777</v>
      </c>
      <c r="B1651" s="165" t="s">
        <v>1314</v>
      </c>
      <c r="C1651" s="165" t="s">
        <v>5160</v>
      </c>
      <c r="D1651" s="164">
        <v>5603</v>
      </c>
      <c r="E1651" s="164">
        <v>5870</v>
      </c>
      <c r="F1651" s="164" t="s">
        <v>3955</v>
      </c>
      <c r="G1651" s="164"/>
      <c r="H1651" s="167"/>
      <c r="I1651" s="167"/>
      <c r="J1651" s="167"/>
      <c r="K1651" s="169"/>
      <c r="L1651" s="129"/>
      <c r="M1651" s="129"/>
      <c r="N1651" s="129"/>
      <c r="O1651" s="129"/>
      <c r="P1651" s="146"/>
      <c r="Q1651" s="170"/>
      <c r="R1651" s="171"/>
      <c r="S1651" s="172"/>
    </row>
    <row r="1652" spans="1:19" ht="42.75">
      <c r="A1652" s="164" t="s">
        <v>777</v>
      </c>
      <c r="B1652" s="165" t="s">
        <v>3132</v>
      </c>
      <c r="C1652" s="165" t="s">
        <v>5167</v>
      </c>
      <c r="D1652" s="164">
        <v>2378</v>
      </c>
      <c r="E1652" s="164">
        <v>2604</v>
      </c>
      <c r="F1652" s="164" t="s">
        <v>3955</v>
      </c>
      <c r="G1652" s="164"/>
      <c r="H1652" s="167"/>
      <c r="I1652" s="167"/>
      <c r="J1652" s="167"/>
      <c r="K1652" s="169"/>
      <c r="L1652" s="129"/>
      <c r="M1652" s="129"/>
      <c r="N1652" s="129"/>
      <c r="O1652" s="129"/>
      <c r="P1652" s="146"/>
      <c r="Q1652" s="170"/>
      <c r="R1652" s="171"/>
      <c r="S1652" s="172"/>
    </row>
    <row r="1653" spans="1:19" ht="42.75">
      <c r="A1653" s="164" t="s">
        <v>777</v>
      </c>
      <c r="B1653" s="165" t="s">
        <v>3132</v>
      </c>
      <c r="C1653" s="165" t="s">
        <v>5162</v>
      </c>
      <c r="D1653" s="164">
        <v>2927</v>
      </c>
      <c r="E1653" s="164">
        <v>3107</v>
      </c>
      <c r="F1653" s="164" t="s">
        <v>3955</v>
      </c>
      <c r="G1653" s="164"/>
      <c r="H1653" s="167"/>
      <c r="I1653" s="167"/>
      <c r="J1653" s="167"/>
      <c r="K1653" s="169"/>
      <c r="L1653" s="129"/>
      <c r="M1653" s="129"/>
      <c r="N1653" s="129"/>
      <c r="O1653" s="129"/>
      <c r="P1653" s="146"/>
      <c r="Q1653" s="170"/>
      <c r="R1653" s="171"/>
      <c r="S1653" s="172"/>
    </row>
    <row r="1654" spans="1:19" ht="42.75">
      <c r="A1654" s="164" t="s">
        <v>777</v>
      </c>
      <c r="B1654" s="165" t="s">
        <v>3132</v>
      </c>
      <c r="C1654" s="165" t="s">
        <v>5171</v>
      </c>
      <c r="D1654" s="164">
        <v>3545</v>
      </c>
      <c r="E1654" s="164">
        <v>4039</v>
      </c>
      <c r="F1654" s="164" t="s">
        <v>3955</v>
      </c>
      <c r="G1654" s="164"/>
      <c r="H1654" s="167"/>
      <c r="I1654" s="167"/>
      <c r="J1654" s="167"/>
      <c r="K1654" s="169"/>
      <c r="L1654" s="129"/>
      <c r="M1654" s="129"/>
      <c r="N1654" s="129"/>
      <c r="O1654" s="129"/>
      <c r="P1654" s="146"/>
      <c r="Q1654" s="170"/>
      <c r="R1654" s="171"/>
      <c r="S1654" s="172"/>
    </row>
    <row r="1655" spans="1:19" ht="42.75">
      <c r="A1655" s="164" t="s">
        <v>777</v>
      </c>
      <c r="B1655" s="165" t="s">
        <v>3132</v>
      </c>
      <c r="C1655" s="165" t="s">
        <v>5174</v>
      </c>
      <c r="D1655" s="164">
        <v>1760</v>
      </c>
      <c r="E1655" s="164">
        <v>1920</v>
      </c>
      <c r="F1655" s="164" t="s">
        <v>3955</v>
      </c>
      <c r="G1655" s="164"/>
      <c r="H1655" s="167"/>
      <c r="I1655" s="167"/>
      <c r="J1655" s="167"/>
      <c r="K1655" s="169"/>
      <c r="L1655" s="129"/>
      <c r="M1655" s="129"/>
      <c r="N1655" s="129"/>
      <c r="O1655" s="129"/>
      <c r="P1655" s="146"/>
      <c r="Q1655" s="170"/>
      <c r="R1655" s="171"/>
      <c r="S1655" s="172"/>
    </row>
    <row r="1656" spans="1:19" ht="42.75">
      <c r="A1656" s="164" t="s">
        <v>777</v>
      </c>
      <c r="B1656" s="165" t="s">
        <v>3132</v>
      </c>
      <c r="C1656" s="165" t="s">
        <v>5175</v>
      </c>
      <c r="D1656" s="164">
        <v>1288</v>
      </c>
      <c r="E1656" s="164">
        <v>1605</v>
      </c>
      <c r="F1656" s="164" t="s">
        <v>3955</v>
      </c>
      <c r="G1656" s="164"/>
      <c r="H1656" s="167"/>
      <c r="I1656" s="167"/>
      <c r="J1656" s="167"/>
      <c r="K1656" s="169"/>
      <c r="L1656" s="129"/>
      <c r="M1656" s="129"/>
      <c r="N1656" s="129"/>
      <c r="O1656" s="129"/>
      <c r="P1656" s="146"/>
      <c r="Q1656" s="170"/>
      <c r="R1656" s="171"/>
      <c r="S1656" s="172"/>
    </row>
    <row r="1657" spans="1:19" ht="42.75">
      <c r="A1657" s="164" t="s">
        <v>777</v>
      </c>
      <c r="B1657" s="165" t="s">
        <v>3132</v>
      </c>
      <c r="C1657" s="165" t="s">
        <v>3474</v>
      </c>
      <c r="D1657" s="164">
        <v>4089</v>
      </c>
      <c r="E1657" s="164">
        <v>4439</v>
      </c>
      <c r="F1657" s="164" t="s">
        <v>3955</v>
      </c>
      <c r="G1657" s="164"/>
      <c r="H1657" s="167"/>
      <c r="I1657" s="167"/>
      <c r="J1657" s="167"/>
      <c r="K1657" s="169"/>
      <c r="L1657" s="129"/>
      <c r="M1657" s="129"/>
      <c r="N1657" s="129"/>
      <c r="O1657" s="129"/>
      <c r="P1657" s="146"/>
      <c r="Q1657" s="170"/>
      <c r="R1657" s="171"/>
      <c r="S1657" s="172"/>
    </row>
    <row r="1658" spans="1:19" ht="42.75">
      <c r="A1658" s="164" t="s">
        <v>777</v>
      </c>
      <c r="B1658" s="165" t="s">
        <v>3132</v>
      </c>
      <c r="C1658" s="165" t="s">
        <v>3713</v>
      </c>
      <c r="D1658" s="164">
        <v>1939</v>
      </c>
      <c r="E1658" s="164">
        <v>2083</v>
      </c>
      <c r="F1658" s="164" t="s">
        <v>3955</v>
      </c>
      <c r="G1658" s="164"/>
      <c r="H1658" s="167"/>
      <c r="I1658" s="167"/>
      <c r="J1658" s="167"/>
      <c r="K1658" s="169"/>
      <c r="L1658" s="129"/>
      <c r="M1658" s="129"/>
      <c r="N1658" s="129"/>
      <c r="O1658" s="129"/>
      <c r="P1658" s="146"/>
      <c r="Q1658" s="170"/>
      <c r="R1658" s="171"/>
      <c r="S1658" s="172"/>
    </row>
    <row r="1659" spans="1:19" ht="42.75">
      <c r="A1659" s="164" t="s">
        <v>777</v>
      </c>
      <c r="B1659" s="165" t="s">
        <v>3132</v>
      </c>
      <c r="C1659" s="165" t="s">
        <v>5176</v>
      </c>
      <c r="D1659" s="164">
        <v>2018</v>
      </c>
      <c r="E1659" s="164">
        <v>2373</v>
      </c>
      <c r="F1659" s="164" t="s">
        <v>3955</v>
      </c>
      <c r="G1659" s="164"/>
      <c r="H1659" s="167"/>
      <c r="I1659" s="167"/>
      <c r="J1659" s="167"/>
      <c r="K1659" s="169"/>
      <c r="L1659" s="129"/>
      <c r="M1659" s="129"/>
      <c r="N1659" s="129"/>
      <c r="O1659" s="129"/>
      <c r="P1659" s="146"/>
      <c r="Q1659" s="170"/>
      <c r="R1659" s="171"/>
      <c r="S1659" s="172"/>
    </row>
    <row r="1660" spans="1:19" ht="42.75">
      <c r="A1660" s="164" t="s">
        <v>777</v>
      </c>
      <c r="B1660" s="165" t="s">
        <v>3132</v>
      </c>
      <c r="C1660" s="165" t="s">
        <v>1905</v>
      </c>
      <c r="D1660" s="164">
        <v>1599</v>
      </c>
      <c r="E1660" s="164">
        <v>2034</v>
      </c>
      <c r="F1660" s="164" t="s">
        <v>3955</v>
      </c>
      <c r="G1660" s="164"/>
      <c r="H1660" s="167"/>
      <c r="I1660" s="167"/>
      <c r="J1660" s="167"/>
      <c r="K1660" s="169"/>
      <c r="L1660" s="129"/>
      <c r="M1660" s="129"/>
      <c r="N1660" s="129"/>
      <c r="O1660" s="129"/>
      <c r="P1660" s="146"/>
      <c r="Q1660" s="170"/>
      <c r="R1660" s="171"/>
      <c r="S1660" s="172"/>
    </row>
    <row r="1661" spans="1:19" ht="42.75">
      <c r="A1661" s="164" t="s">
        <v>777</v>
      </c>
      <c r="B1661" s="165" t="s">
        <v>3132</v>
      </c>
      <c r="C1661" s="165" t="s">
        <v>5177</v>
      </c>
      <c r="D1661" s="164">
        <v>2390</v>
      </c>
      <c r="E1661" s="164">
        <v>2824</v>
      </c>
      <c r="F1661" s="164" t="s">
        <v>3955</v>
      </c>
      <c r="G1661" s="164"/>
      <c r="H1661" s="167"/>
      <c r="I1661" s="167"/>
      <c r="J1661" s="167"/>
      <c r="K1661" s="169"/>
      <c r="L1661" s="129"/>
      <c r="M1661" s="129"/>
      <c r="N1661" s="129"/>
      <c r="O1661" s="129"/>
      <c r="P1661" s="146"/>
      <c r="Q1661" s="170"/>
      <c r="R1661" s="171"/>
      <c r="S1661" s="172"/>
    </row>
    <row r="1662" spans="1:19" ht="42.75">
      <c r="A1662" s="164" t="s">
        <v>777</v>
      </c>
      <c r="B1662" s="165" t="s">
        <v>3132</v>
      </c>
      <c r="C1662" s="165" t="s">
        <v>1300</v>
      </c>
      <c r="D1662" s="164">
        <v>939</v>
      </c>
      <c r="E1662" s="164">
        <v>976</v>
      </c>
      <c r="F1662" s="164" t="s">
        <v>3955</v>
      </c>
      <c r="G1662" s="164"/>
      <c r="H1662" s="167"/>
      <c r="I1662" s="167"/>
      <c r="J1662" s="167"/>
      <c r="K1662" s="169"/>
      <c r="L1662" s="129"/>
      <c r="M1662" s="129"/>
      <c r="N1662" s="129"/>
      <c r="O1662" s="129"/>
      <c r="P1662" s="146"/>
      <c r="Q1662" s="170"/>
      <c r="R1662" s="171"/>
      <c r="S1662" s="172"/>
    </row>
    <row r="1663" spans="1:19" ht="42.75">
      <c r="A1663" s="164" t="s">
        <v>777</v>
      </c>
      <c r="B1663" s="165" t="s">
        <v>3132</v>
      </c>
      <c r="C1663" s="165" t="s">
        <v>5034</v>
      </c>
      <c r="D1663" s="164">
        <v>1765</v>
      </c>
      <c r="E1663" s="164">
        <v>1693</v>
      </c>
      <c r="F1663" s="164" t="s">
        <v>3955</v>
      </c>
      <c r="G1663" s="164"/>
      <c r="H1663" s="167"/>
      <c r="I1663" s="167"/>
      <c r="J1663" s="167"/>
      <c r="K1663" s="169"/>
      <c r="L1663" s="129"/>
      <c r="M1663" s="129"/>
      <c r="N1663" s="129"/>
      <c r="O1663" s="129"/>
      <c r="P1663" s="146"/>
      <c r="Q1663" s="170"/>
      <c r="R1663" s="171"/>
      <c r="S1663" s="172"/>
    </row>
    <row r="1664" spans="1:19" ht="42.75">
      <c r="A1664" s="164" t="s">
        <v>777</v>
      </c>
      <c r="B1664" s="165" t="s">
        <v>3132</v>
      </c>
      <c r="C1664" s="165" t="s">
        <v>1253</v>
      </c>
      <c r="D1664" s="164">
        <v>1800</v>
      </c>
      <c r="E1664" s="164">
        <v>1867</v>
      </c>
      <c r="F1664" s="164" t="s">
        <v>3955</v>
      </c>
      <c r="G1664" s="164"/>
      <c r="H1664" s="167"/>
      <c r="I1664" s="167"/>
      <c r="J1664" s="167"/>
      <c r="K1664" s="169"/>
      <c r="L1664" s="129"/>
      <c r="M1664" s="129"/>
      <c r="N1664" s="129"/>
      <c r="O1664" s="129"/>
      <c r="P1664" s="146"/>
      <c r="Q1664" s="170"/>
      <c r="R1664" s="171"/>
      <c r="S1664" s="172"/>
    </row>
    <row r="1665" spans="1:19" ht="42.75">
      <c r="A1665" s="164" t="s">
        <v>777</v>
      </c>
      <c r="B1665" s="165" t="s">
        <v>3132</v>
      </c>
      <c r="C1665" s="165" t="s">
        <v>4261</v>
      </c>
      <c r="D1665" s="164">
        <v>2840</v>
      </c>
      <c r="E1665" s="164">
        <v>2917</v>
      </c>
      <c r="F1665" s="164" t="s">
        <v>3955</v>
      </c>
      <c r="G1665" s="164"/>
      <c r="H1665" s="167"/>
      <c r="I1665" s="167"/>
      <c r="J1665" s="196"/>
      <c r="K1665" s="169"/>
      <c r="L1665" s="129"/>
      <c r="M1665" s="129"/>
      <c r="N1665" s="129"/>
      <c r="O1665" s="129"/>
      <c r="P1665" s="146"/>
      <c r="Q1665" s="170"/>
      <c r="R1665" s="171"/>
      <c r="S1665" s="172"/>
    </row>
    <row r="1666" spans="1:19" ht="42.75">
      <c r="A1666" s="164" t="s">
        <v>777</v>
      </c>
      <c r="B1666" s="165" t="s">
        <v>3132</v>
      </c>
      <c r="C1666" s="165" t="s">
        <v>1322</v>
      </c>
      <c r="D1666" s="164">
        <v>5060</v>
      </c>
      <c r="E1666" s="164">
        <v>6784</v>
      </c>
      <c r="F1666" s="164" t="s">
        <v>3404</v>
      </c>
      <c r="G1666" s="164">
        <v>2024</v>
      </c>
      <c r="H1666" s="175">
        <v>45405</v>
      </c>
      <c r="I1666" s="221">
        <v>45408</v>
      </c>
      <c r="J1666" s="181" t="s">
        <v>7274</v>
      </c>
      <c r="K1666" s="193">
        <v>45420</v>
      </c>
      <c r="L1666" s="129" t="s">
        <v>3532</v>
      </c>
      <c r="M1666" s="129"/>
      <c r="N1666" s="129"/>
      <c r="O1666" s="129" t="s">
        <v>3406</v>
      </c>
      <c r="P1666" s="146"/>
      <c r="Q1666" s="170"/>
      <c r="R1666" s="171"/>
      <c r="S1666" s="172"/>
    </row>
    <row r="1667" spans="1:19" ht="42.75">
      <c r="A1667" s="164" t="s">
        <v>777</v>
      </c>
      <c r="B1667" s="165" t="s">
        <v>3132</v>
      </c>
      <c r="C1667" s="165" t="s">
        <v>5185</v>
      </c>
      <c r="D1667" s="164">
        <v>2737</v>
      </c>
      <c r="E1667" s="164">
        <v>2682</v>
      </c>
      <c r="F1667" s="164" t="s">
        <v>3955</v>
      </c>
      <c r="G1667" s="164"/>
      <c r="H1667" s="167"/>
      <c r="I1667" s="167"/>
      <c r="J1667" s="167"/>
      <c r="K1667" s="169"/>
      <c r="L1667" s="129"/>
      <c r="M1667" s="129"/>
      <c r="N1667" s="129"/>
      <c r="O1667" s="129"/>
      <c r="P1667" s="146"/>
      <c r="Q1667" s="170"/>
      <c r="R1667" s="171"/>
      <c r="S1667" s="172"/>
    </row>
    <row r="1668" spans="1:19" ht="42.75">
      <c r="A1668" s="164" t="s">
        <v>777</v>
      </c>
      <c r="B1668" s="165" t="s">
        <v>3132</v>
      </c>
      <c r="C1668" s="165" t="s">
        <v>3736</v>
      </c>
      <c r="D1668" s="164">
        <v>1461</v>
      </c>
      <c r="E1668" s="164">
        <v>1306</v>
      </c>
      <c r="F1668" s="164" t="s">
        <v>3955</v>
      </c>
      <c r="G1668" s="164"/>
      <c r="H1668" s="167"/>
      <c r="I1668" s="167"/>
      <c r="J1668" s="167"/>
      <c r="K1668" s="169"/>
      <c r="L1668" s="129"/>
      <c r="M1668" s="129"/>
      <c r="N1668" s="129"/>
      <c r="O1668" s="129"/>
      <c r="P1668" s="146"/>
      <c r="Q1668" s="170"/>
      <c r="R1668" s="171"/>
      <c r="S1668" s="172"/>
    </row>
    <row r="1669" spans="1:19" ht="42.75">
      <c r="A1669" s="164" t="s">
        <v>777</v>
      </c>
      <c r="B1669" s="165" t="s">
        <v>3132</v>
      </c>
      <c r="C1669" s="165" t="s">
        <v>5164</v>
      </c>
      <c r="D1669" s="164">
        <v>927</v>
      </c>
      <c r="E1669" s="164">
        <v>1040</v>
      </c>
      <c r="F1669" s="164" t="s">
        <v>3955</v>
      </c>
      <c r="G1669" s="164"/>
      <c r="H1669" s="167"/>
      <c r="I1669" s="167"/>
      <c r="J1669" s="167"/>
      <c r="K1669" s="169"/>
      <c r="L1669" s="129"/>
      <c r="M1669" s="129"/>
      <c r="N1669" s="129"/>
      <c r="O1669" s="129"/>
      <c r="P1669" s="146"/>
      <c r="Q1669" s="170"/>
      <c r="R1669" s="171"/>
      <c r="S1669" s="172"/>
    </row>
    <row r="1670" spans="1:19" ht="42.75">
      <c r="A1670" s="164" t="s">
        <v>777</v>
      </c>
      <c r="B1670" s="165" t="s">
        <v>3132</v>
      </c>
      <c r="C1670" s="165" t="s">
        <v>5165</v>
      </c>
      <c r="D1670" s="164">
        <v>1339</v>
      </c>
      <c r="E1670" s="164">
        <v>1392</v>
      </c>
      <c r="F1670" s="164" t="s">
        <v>3955</v>
      </c>
      <c r="G1670" s="164"/>
      <c r="H1670" s="167"/>
      <c r="I1670" s="167"/>
      <c r="J1670" s="167"/>
      <c r="K1670" s="169"/>
      <c r="L1670" s="129"/>
      <c r="M1670" s="129"/>
      <c r="N1670" s="129"/>
      <c r="O1670" s="129"/>
      <c r="P1670" s="146"/>
      <c r="Q1670" s="170"/>
      <c r="R1670" s="171"/>
      <c r="S1670" s="172"/>
    </row>
    <row r="1671" spans="1:19" ht="42.75">
      <c r="A1671" s="164" t="s">
        <v>777</v>
      </c>
      <c r="B1671" s="165" t="s">
        <v>3132</v>
      </c>
      <c r="C1671" s="165" t="s">
        <v>1490</v>
      </c>
      <c r="D1671" s="164">
        <v>1464</v>
      </c>
      <c r="E1671" s="164">
        <v>1422</v>
      </c>
      <c r="F1671" s="164" t="s">
        <v>3955</v>
      </c>
      <c r="G1671" s="164"/>
      <c r="H1671" s="167"/>
      <c r="I1671" s="167"/>
      <c r="J1671" s="167"/>
      <c r="K1671" s="169"/>
      <c r="L1671" s="129"/>
      <c r="M1671" s="129"/>
      <c r="N1671" s="129"/>
      <c r="O1671" s="129"/>
      <c r="P1671" s="146"/>
      <c r="Q1671" s="170"/>
      <c r="R1671" s="171"/>
      <c r="S1671" s="172"/>
    </row>
    <row r="1672" spans="1:19" ht="42.75">
      <c r="A1672" s="164" t="s">
        <v>777</v>
      </c>
      <c r="B1672" s="165" t="s">
        <v>3132</v>
      </c>
      <c r="C1672" s="165" t="s">
        <v>5063</v>
      </c>
      <c r="D1672" s="164">
        <v>1342</v>
      </c>
      <c r="E1672" s="164">
        <v>1359</v>
      </c>
      <c r="F1672" s="164" t="s">
        <v>3955</v>
      </c>
      <c r="G1672" s="164"/>
      <c r="H1672" s="167"/>
      <c r="I1672" s="167"/>
      <c r="J1672" s="167"/>
      <c r="K1672" s="169"/>
      <c r="L1672" s="129"/>
      <c r="M1672" s="129"/>
      <c r="N1672" s="129"/>
      <c r="O1672" s="129"/>
      <c r="P1672" s="146"/>
      <c r="Q1672" s="170"/>
      <c r="R1672" s="171"/>
      <c r="S1672" s="172"/>
    </row>
    <row r="1673" spans="1:19" ht="42.75">
      <c r="A1673" s="164" t="s">
        <v>777</v>
      </c>
      <c r="B1673" s="165" t="s">
        <v>3132</v>
      </c>
      <c r="C1673" s="165" t="s">
        <v>4966</v>
      </c>
      <c r="D1673" s="164">
        <v>1882</v>
      </c>
      <c r="E1673" s="164">
        <v>1856</v>
      </c>
      <c r="F1673" s="164" t="s">
        <v>3955</v>
      </c>
      <c r="G1673" s="164"/>
      <c r="H1673" s="167"/>
      <c r="I1673" s="167"/>
      <c r="J1673" s="167"/>
      <c r="K1673" s="169"/>
      <c r="L1673" s="129"/>
      <c r="M1673" s="129"/>
      <c r="N1673" s="129"/>
      <c r="O1673" s="129"/>
      <c r="P1673" s="146"/>
      <c r="Q1673" s="170"/>
      <c r="R1673" s="171"/>
      <c r="S1673" s="172"/>
    </row>
    <row r="1674" spans="1:19" ht="42.75">
      <c r="A1674" s="164" t="s">
        <v>777</v>
      </c>
      <c r="B1674" s="165" t="s">
        <v>3132</v>
      </c>
      <c r="C1674" s="165" t="s">
        <v>5168</v>
      </c>
      <c r="D1674" s="164">
        <v>1984</v>
      </c>
      <c r="E1674" s="164">
        <v>2064</v>
      </c>
      <c r="F1674" s="164" t="s">
        <v>3955</v>
      </c>
      <c r="G1674" s="164"/>
      <c r="H1674" s="167"/>
      <c r="I1674" s="167"/>
      <c r="J1674" s="167"/>
      <c r="K1674" s="169"/>
      <c r="L1674" s="129"/>
      <c r="M1674" s="129"/>
      <c r="N1674" s="129"/>
      <c r="O1674" s="129"/>
      <c r="P1674" s="146"/>
      <c r="Q1674" s="170"/>
      <c r="R1674" s="171"/>
      <c r="S1674" s="172"/>
    </row>
    <row r="1675" spans="1:19" ht="42.75">
      <c r="A1675" s="164" t="s">
        <v>777</v>
      </c>
      <c r="B1675" s="165" t="s">
        <v>3132</v>
      </c>
      <c r="C1675" s="165" t="s">
        <v>5169</v>
      </c>
      <c r="D1675" s="164">
        <v>2427</v>
      </c>
      <c r="E1675" s="164">
        <v>2510</v>
      </c>
      <c r="F1675" s="164" t="s">
        <v>3955</v>
      </c>
      <c r="G1675" s="164"/>
      <c r="H1675" s="167"/>
      <c r="I1675" s="167"/>
      <c r="J1675" s="167"/>
      <c r="K1675" s="169"/>
      <c r="L1675" s="129"/>
      <c r="M1675" s="129"/>
      <c r="N1675" s="129"/>
      <c r="O1675" s="129"/>
      <c r="P1675" s="146"/>
      <c r="Q1675" s="170"/>
      <c r="R1675" s="171"/>
      <c r="S1675" s="172"/>
    </row>
    <row r="1676" spans="1:19" ht="42.75">
      <c r="A1676" s="164" t="s">
        <v>777</v>
      </c>
      <c r="B1676" s="165" t="s">
        <v>3132</v>
      </c>
      <c r="C1676" s="165" t="s">
        <v>4613</v>
      </c>
      <c r="D1676" s="164">
        <v>2647</v>
      </c>
      <c r="E1676" s="164">
        <v>2695</v>
      </c>
      <c r="F1676" s="164" t="s">
        <v>3955</v>
      </c>
      <c r="G1676" s="164"/>
      <c r="H1676" s="167"/>
      <c r="I1676" s="167"/>
      <c r="J1676" s="167"/>
      <c r="K1676" s="169"/>
      <c r="L1676" s="129"/>
      <c r="M1676" s="129"/>
      <c r="N1676" s="129"/>
      <c r="O1676" s="129"/>
      <c r="P1676" s="146"/>
      <c r="Q1676" s="170"/>
      <c r="R1676" s="171"/>
      <c r="S1676" s="172"/>
    </row>
    <row r="1677" spans="1:19" ht="42.75">
      <c r="A1677" s="164" t="s">
        <v>777</v>
      </c>
      <c r="B1677" s="165" t="s">
        <v>3132</v>
      </c>
      <c r="C1677" s="165" t="s">
        <v>4774</v>
      </c>
      <c r="D1677" s="164">
        <v>1719</v>
      </c>
      <c r="E1677" s="164">
        <v>1864</v>
      </c>
      <c r="F1677" s="164" t="s">
        <v>3955</v>
      </c>
      <c r="G1677" s="164"/>
      <c r="H1677" s="167"/>
      <c r="I1677" s="167"/>
      <c r="J1677" s="167"/>
      <c r="K1677" s="169"/>
      <c r="L1677" s="129"/>
      <c r="M1677" s="129"/>
      <c r="N1677" s="129"/>
      <c r="O1677" s="129"/>
      <c r="P1677" s="146"/>
      <c r="Q1677" s="170"/>
      <c r="R1677" s="171"/>
      <c r="S1677" s="172"/>
    </row>
    <row r="1678" spans="1:19" ht="42.75">
      <c r="A1678" s="164" t="s">
        <v>777</v>
      </c>
      <c r="B1678" s="165" t="s">
        <v>3132</v>
      </c>
      <c r="C1678" s="165" t="s">
        <v>4969</v>
      </c>
      <c r="D1678" s="164">
        <v>1786</v>
      </c>
      <c r="E1678" s="164">
        <v>1819</v>
      </c>
      <c r="F1678" s="164" t="s">
        <v>3955</v>
      </c>
      <c r="G1678" s="164"/>
      <c r="H1678" s="167"/>
      <c r="I1678" s="167"/>
      <c r="J1678" s="167"/>
      <c r="K1678" s="169"/>
      <c r="L1678" s="129"/>
      <c r="M1678" s="129"/>
      <c r="N1678" s="129"/>
      <c r="O1678" s="129"/>
      <c r="P1678" s="146"/>
      <c r="Q1678" s="170"/>
      <c r="R1678" s="171"/>
      <c r="S1678" s="172"/>
    </row>
    <row r="1679" spans="1:19" ht="42.75">
      <c r="A1679" s="164" t="s">
        <v>777</v>
      </c>
      <c r="B1679" s="165" t="s">
        <v>3132</v>
      </c>
      <c r="C1679" s="165" t="s">
        <v>1180</v>
      </c>
      <c r="D1679" s="164">
        <v>1842</v>
      </c>
      <c r="E1679" s="164">
        <v>2036</v>
      </c>
      <c r="F1679" s="164" t="s">
        <v>3955</v>
      </c>
      <c r="G1679" s="164"/>
      <c r="H1679" s="167"/>
      <c r="I1679" s="167"/>
      <c r="J1679" s="167"/>
      <c r="K1679" s="169"/>
      <c r="L1679" s="129"/>
      <c r="M1679" s="129"/>
      <c r="N1679" s="129"/>
      <c r="O1679" s="129"/>
      <c r="P1679" s="146"/>
      <c r="Q1679" s="170"/>
      <c r="R1679" s="171"/>
      <c r="S1679" s="172"/>
    </row>
    <row r="1680" spans="1:19" ht="42.75">
      <c r="A1680" s="164" t="s">
        <v>777</v>
      </c>
      <c r="B1680" s="165" t="s">
        <v>3132</v>
      </c>
      <c r="C1680" s="165" t="s">
        <v>5178</v>
      </c>
      <c r="D1680" s="164">
        <v>2544</v>
      </c>
      <c r="E1680" s="164">
        <v>2695</v>
      </c>
      <c r="F1680" s="164" t="s">
        <v>3955</v>
      </c>
      <c r="G1680" s="164"/>
      <c r="H1680" s="167"/>
      <c r="I1680" s="167"/>
      <c r="J1680" s="167"/>
      <c r="K1680" s="169"/>
      <c r="L1680" s="129"/>
      <c r="M1680" s="129"/>
      <c r="N1680" s="129"/>
      <c r="O1680" s="129"/>
      <c r="P1680" s="146"/>
      <c r="Q1680" s="170"/>
      <c r="R1680" s="171"/>
      <c r="S1680" s="172"/>
    </row>
    <row r="1681" spans="1:19" ht="42.75">
      <c r="A1681" s="164" t="s">
        <v>777</v>
      </c>
      <c r="B1681" s="165" t="s">
        <v>3132</v>
      </c>
      <c r="C1681" s="165" t="s">
        <v>5180</v>
      </c>
      <c r="D1681" s="164">
        <v>1626</v>
      </c>
      <c r="E1681" s="164">
        <v>1739</v>
      </c>
      <c r="F1681" s="164" t="s">
        <v>3955</v>
      </c>
      <c r="G1681" s="164"/>
      <c r="H1681" s="167"/>
      <c r="I1681" s="167"/>
      <c r="J1681" s="167"/>
      <c r="K1681" s="169"/>
      <c r="L1681" s="129"/>
      <c r="M1681" s="129"/>
      <c r="N1681" s="129"/>
      <c r="O1681" s="129"/>
      <c r="P1681" s="146"/>
      <c r="Q1681" s="170"/>
      <c r="R1681" s="171"/>
      <c r="S1681" s="172"/>
    </row>
    <row r="1682" spans="1:19" ht="42.75">
      <c r="A1682" s="164" t="s">
        <v>777</v>
      </c>
      <c r="B1682" s="165" t="s">
        <v>3132</v>
      </c>
      <c r="C1682" s="165" t="s">
        <v>5181</v>
      </c>
      <c r="D1682" s="164">
        <v>838</v>
      </c>
      <c r="E1682" s="164">
        <v>884</v>
      </c>
      <c r="F1682" s="164" t="s">
        <v>3955</v>
      </c>
      <c r="G1682" s="164"/>
      <c r="H1682" s="167"/>
      <c r="I1682" s="167"/>
      <c r="J1682" s="167"/>
      <c r="K1682" s="169"/>
      <c r="L1682" s="129"/>
      <c r="M1682" s="129"/>
      <c r="N1682" s="129"/>
      <c r="O1682" s="129"/>
      <c r="P1682" s="146"/>
      <c r="Q1682" s="170"/>
      <c r="R1682" s="171"/>
      <c r="S1682" s="172"/>
    </row>
    <row r="1683" spans="1:19" ht="42.75">
      <c r="A1683" s="164" t="s">
        <v>777</v>
      </c>
      <c r="B1683" s="165" t="s">
        <v>3132</v>
      </c>
      <c r="C1683" s="165" t="s">
        <v>5182</v>
      </c>
      <c r="D1683" s="164">
        <v>2977</v>
      </c>
      <c r="E1683" s="164">
        <v>3471</v>
      </c>
      <c r="F1683" s="164" t="s">
        <v>3955</v>
      </c>
      <c r="G1683" s="164"/>
      <c r="H1683" s="167"/>
      <c r="I1683" s="167"/>
      <c r="J1683" s="167"/>
      <c r="K1683" s="169"/>
      <c r="L1683" s="129"/>
      <c r="M1683" s="129"/>
      <c r="N1683" s="129"/>
      <c r="O1683" s="129"/>
      <c r="P1683" s="146"/>
      <c r="Q1683" s="170"/>
      <c r="R1683" s="171"/>
      <c r="S1683" s="172"/>
    </row>
    <row r="1684" spans="1:19" ht="42.75">
      <c r="A1684" s="164" t="s">
        <v>777</v>
      </c>
      <c r="B1684" s="165" t="s">
        <v>3132</v>
      </c>
      <c r="C1684" s="165" t="s">
        <v>5183</v>
      </c>
      <c r="D1684" s="164">
        <v>1588</v>
      </c>
      <c r="E1684" s="164">
        <v>1550</v>
      </c>
      <c r="F1684" s="164" t="s">
        <v>3955</v>
      </c>
      <c r="G1684" s="164"/>
      <c r="H1684" s="167"/>
      <c r="I1684" s="167"/>
      <c r="J1684" s="167"/>
      <c r="K1684" s="169"/>
      <c r="L1684" s="129"/>
      <c r="M1684" s="129"/>
      <c r="N1684" s="129"/>
      <c r="O1684" s="129"/>
      <c r="P1684" s="146"/>
      <c r="Q1684" s="170"/>
      <c r="R1684" s="171"/>
      <c r="S1684" s="172"/>
    </row>
    <row r="1685" spans="1:19" ht="42.75">
      <c r="A1685" s="164" t="s">
        <v>777</v>
      </c>
      <c r="B1685" s="165" t="s">
        <v>3133</v>
      </c>
      <c r="C1685" s="165" t="s">
        <v>5186</v>
      </c>
      <c r="D1685" s="164">
        <v>9274</v>
      </c>
      <c r="E1685" s="164">
        <v>9619</v>
      </c>
      <c r="F1685" s="164" t="s">
        <v>3955</v>
      </c>
      <c r="G1685" s="164"/>
      <c r="H1685" s="167"/>
      <c r="I1685" s="167"/>
      <c r="J1685" s="167"/>
      <c r="K1685" s="169"/>
      <c r="L1685" s="129"/>
      <c r="M1685" s="129"/>
      <c r="N1685" s="129"/>
      <c r="O1685" s="129"/>
      <c r="P1685" s="146"/>
      <c r="Q1685" s="170"/>
      <c r="R1685" s="171"/>
      <c r="S1685" s="172"/>
    </row>
    <row r="1686" spans="1:19" ht="42.75">
      <c r="A1686" s="164" t="s">
        <v>777</v>
      </c>
      <c r="B1686" s="165" t="s">
        <v>3133</v>
      </c>
      <c r="C1686" s="165" t="s">
        <v>5188</v>
      </c>
      <c r="D1686" s="164">
        <v>1229</v>
      </c>
      <c r="E1686" s="164">
        <v>1317</v>
      </c>
      <c r="F1686" s="164" t="s">
        <v>3955</v>
      </c>
      <c r="G1686" s="164"/>
      <c r="H1686" s="167"/>
      <c r="I1686" s="167"/>
      <c r="J1686" s="167"/>
      <c r="K1686" s="169"/>
      <c r="L1686" s="129"/>
      <c r="M1686" s="129"/>
      <c r="N1686" s="129"/>
      <c r="O1686" s="129"/>
      <c r="P1686" s="146"/>
      <c r="Q1686" s="170"/>
      <c r="R1686" s="171"/>
      <c r="S1686" s="172"/>
    </row>
    <row r="1687" spans="1:19" ht="42.75">
      <c r="A1687" s="164" t="s">
        <v>777</v>
      </c>
      <c r="B1687" s="165" t="s">
        <v>3133</v>
      </c>
      <c r="C1687" s="165" t="s">
        <v>1490</v>
      </c>
      <c r="D1687" s="164">
        <v>1787</v>
      </c>
      <c r="E1687" s="164">
        <v>1812</v>
      </c>
      <c r="F1687" s="164" t="s">
        <v>3955</v>
      </c>
      <c r="G1687" s="164"/>
      <c r="H1687" s="167"/>
      <c r="I1687" s="167"/>
      <c r="J1687" s="167"/>
      <c r="K1687" s="169"/>
      <c r="L1687" s="129"/>
      <c r="M1687" s="129"/>
      <c r="N1687" s="129"/>
      <c r="O1687" s="129"/>
      <c r="P1687" s="146"/>
      <c r="Q1687" s="170"/>
      <c r="R1687" s="171"/>
      <c r="S1687" s="172"/>
    </row>
    <row r="1688" spans="1:19" ht="42.75">
      <c r="A1688" s="164" t="s">
        <v>777</v>
      </c>
      <c r="B1688" s="165" t="s">
        <v>3133</v>
      </c>
      <c r="C1688" s="165" t="s">
        <v>5191</v>
      </c>
      <c r="D1688" s="164">
        <v>2336</v>
      </c>
      <c r="E1688" s="164">
        <v>2441</v>
      </c>
      <c r="F1688" s="164" t="s">
        <v>3955</v>
      </c>
      <c r="G1688" s="164"/>
      <c r="H1688" s="167"/>
      <c r="I1688" s="167"/>
      <c r="J1688" s="167"/>
      <c r="K1688" s="169"/>
      <c r="L1688" s="129"/>
      <c r="M1688" s="129"/>
      <c r="N1688" s="129"/>
      <c r="O1688" s="129"/>
      <c r="P1688" s="146"/>
      <c r="Q1688" s="170"/>
      <c r="R1688" s="171"/>
      <c r="S1688" s="172"/>
    </row>
    <row r="1689" spans="1:19" ht="42.75">
      <c r="A1689" s="164" t="s">
        <v>777</v>
      </c>
      <c r="B1689" s="165" t="s">
        <v>3133</v>
      </c>
      <c r="C1689" s="165" t="s">
        <v>5193</v>
      </c>
      <c r="D1689" s="164">
        <v>1352</v>
      </c>
      <c r="E1689" s="164">
        <v>1470</v>
      </c>
      <c r="F1689" s="164" t="s">
        <v>3955</v>
      </c>
      <c r="G1689" s="164"/>
      <c r="H1689" s="167"/>
      <c r="I1689" s="167"/>
      <c r="J1689" s="167"/>
      <c r="K1689" s="169"/>
      <c r="L1689" s="129"/>
      <c r="M1689" s="129"/>
      <c r="N1689" s="129"/>
      <c r="O1689" s="129"/>
      <c r="P1689" s="146"/>
      <c r="Q1689" s="170"/>
      <c r="R1689" s="171"/>
      <c r="S1689" s="172"/>
    </row>
    <row r="1690" spans="1:19" ht="42.75">
      <c r="A1690" s="164" t="s">
        <v>777</v>
      </c>
      <c r="B1690" s="165" t="s">
        <v>3133</v>
      </c>
      <c r="C1690" s="165" t="s">
        <v>5194</v>
      </c>
      <c r="D1690" s="164">
        <v>1890</v>
      </c>
      <c r="E1690" s="164">
        <v>1934</v>
      </c>
      <c r="F1690" s="164" t="s">
        <v>3955</v>
      </c>
      <c r="G1690" s="164"/>
      <c r="H1690" s="167"/>
      <c r="I1690" s="167"/>
      <c r="J1690" s="167"/>
      <c r="K1690" s="169"/>
      <c r="L1690" s="129"/>
      <c r="M1690" s="129"/>
      <c r="N1690" s="129"/>
      <c r="O1690" s="129"/>
      <c r="P1690" s="146"/>
      <c r="Q1690" s="170"/>
      <c r="R1690" s="171"/>
      <c r="S1690" s="172"/>
    </row>
    <row r="1691" spans="1:19" ht="42.75">
      <c r="A1691" s="164" t="s">
        <v>777</v>
      </c>
      <c r="B1691" s="165" t="s">
        <v>3133</v>
      </c>
      <c r="C1691" s="165" t="s">
        <v>1185</v>
      </c>
      <c r="D1691" s="164">
        <v>1541</v>
      </c>
      <c r="E1691" s="164">
        <v>1575</v>
      </c>
      <c r="F1691" s="164" t="s">
        <v>3955</v>
      </c>
      <c r="G1691" s="164"/>
      <c r="H1691" s="167"/>
      <c r="I1691" s="167"/>
      <c r="J1691" s="167"/>
      <c r="K1691" s="169"/>
      <c r="L1691" s="129"/>
      <c r="M1691" s="129"/>
      <c r="N1691" s="129"/>
      <c r="O1691" s="129"/>
      <c r="P1691" s="146"/>
      <c r="Q1691" s="170"/>
      <c r="R1691" s="171"/>
      <c r="S1691" s="172"/>
    </row>
    <row r="1692" spans="1:19" ht="42.75">
      <c r="A1692" s="164" t="s">
        <v>777</v>
      </c>
      <c r="B1692" s="165" t="s">
        <v>3133</v>
      </c>
      <c r="C1692" s="165" t="s">
        <v>5197</v>
      </c>
      <c r="D1692" s="164">
        <v>2045</v>
      </c>
      <c r="E1692" s="164">
        <v>2341</v>
      </c>
      <c r="F1692" s="164" t="s">
        <v>3955</v>
      </c>
      <c r="G1692" s="164"/>
      <c r="H1692" s="167"/>
      <c r="I1692" s="167"/>
      <c r="J1692" s="167"/>
      <c r="K1692" s="169"/>
      <c r="L1692" s="129"/>
      <c r="M1692" s="129"/>
      <c r="N1692" s="129"/>
      <c r="O1692" s="129"/>
      <c r="P1692" s="146"/>
      <c r="Q1692" s="170"/>
      <c r="R1692" s="171"/>
      <c r="S1692" s="172"/>
    </row>
    <row r="1693" spans="1:19" ht="42.75">
      <c r="A1693" s="164" t="s">
        <v>777</v>
      </c>
      <c r="B1693" s="165" t="s">
        <v>3133</v>
      </c>
      <c r="C1693" s="165" t="s">
        <v>4683</v>
      </c>
      <c r="D1693" s="164">
        <v>1384</v>
      </c>
      <c r="E1693" s="164">
        <v>1482</v>
      </c>
      <c r="F1693" s="164" t="s">
        <v>3955</v>
      </c>
      <c r="G1693" s="164"/>
      <c r="H1693" s="167"/>
      <c r="I1693" s="167"/>
      <c r="J1693" s="167"/>
      <c r="K1693" s="169"/>
      <c r="L1693" s="129"/>
      <c r="M1693" s="129"/>
      <c r="N1693" s="129"/>
      <c r="O1693" s="129"/>
      <c r="P1693" s="146"/>
      <c r="Q1693" s="170"/>
      <c r="R1693" s="171"/>
      <c r="S1693" s="172"/>
    </row>
    <row r="1694" spans="1:19" ht="42.75">
      <c r="A1694" s="164" t="s">
        <v>777</v>
      </c>
      <c r="B1694" s="165" t="s">
        <v>3133</v>
      </c>
      <c r="C1694" s="165" t="s">
        <v>4150</v>
      </c>
      <c r="D1694" s="164">
        <v>1963</v>
      </c>
      <c r="E1694" s="164">
        <v>2015</v>
      </c>
      <c r="F1694" s="164" t="s">
        <v>3955</v>
      </c>
      <c r="G1694" s="164"/>
      <c r="H1694" s="167"/>
      <c r="I1694" s="167"/>
      <c r="J1694" s="167"/>
      <c r="K1694" s="169"/>
      <c r="L1694" s="129"/>
      <c r="M1694" s="129"/>
      <c r="N1694" s="129"/>
      <c r="O1694" s="129"/>
      <c r="P1694" s="146"/>
      <c r="Q1694" s="170"/>
      <c r="R1694" s="171"/>
      <c r="S1694" s="172"/>
    </row>
    <row r="1695" spans="1:19" ht="42.75">
      <c r="A1695" s="164" t="s">
        <v>777</v>
      </c>
      <c r="B1695" s="165" t="s">
        <v>3133</v>
      </c>
      <c r="C1695" s="165" t="s">
        <v>4969</v>
      </c>
      <c r="D1695" s="164">
        <v>1469</v>
      </c>
      <c r="E1695" s="164">
        <v>1507</v>
      </c>
      <c r="F1695" s="164" t="s">
        <v>3955</v>
      </c>
      <c r="G1695" s="164"/>
      <c r="H1695" s="167"/>
      <c r="I1695" s="167"/>
      <c r="J1695" s="196"/>
      <c r="K1695" s="169"/>
      <c r="L1695" s="129"/>
      <c r="M1695" s="129"/>
      <c r="N1695" s="129"/>
      <c r="O1695" s="129"/>
      <c r="P1695" s="146"/>
      <c r="Q1695" s="170"/>
      <c r="R1695" s="171"/>
      <c r="S1695" s="172"/>
    </row>
    <row r="1696" spans="1:19" ht="42.75">
      <c r="A1696" s="164" t="s">
        <v>777</v>
      </c>
      <c r="B1696" s="165" t="s">
        <v>3133</v>
      </c>
      <c r="C1696" s="165" t="s">
        <v>1867</v>
      </c>
      <c r="D1696" s="164">
        <v>1935</v>
      </c>
      <c r="E1696" s="164">
        <v>1945</v>
      </c>
      <c r="F1696" s="164" t="s">
        <v>3404</v>
      </c>
      <c r="G1696" s="164">
        <v>2024</v>
      </c>
      <c r="H1696" s="175">
        <v>45387</v>
      </c>
      <c r="I1696" s="221">
        <v>45389</v>
      </c>
      <c r="J1696" s="203" t="s">
        <v>7275</v>
      </c>
      <c r="K1696" s="193">
        <v>45393</v>
      </c>
      <c r="L1696" s="129" t="s">
        <v>3470</v>
      </c>
      <c r="M1696" s="129" t="s">
        <v>4</v>
      </c>
      <c r="N1696" s="129"/>
      <c r="O1696" s="129" t="s">
        <v>3406</v>
      </c>
      <c r="P1696" s="146"/>
      <c r="Q1696" s="170"/>
      <c r="R1696" s="171"/>
      <c r="S1696" s="172"/>
    </row>
    <row r="1697" spans="1:19" ht="42.75">
      <c r="A1697" s="164" t="s">
        <v>777</v>
      </c>
      <c r="B1697" s="165" t="s">
        <v>3133</v>
      </c>
      <c r="C1697" s="165" t="s">
        <v>5201</v>
      </c>
      <c r="D1697" s="164">
        <v>2656</v>
      </c>
      <c r="E1697" s="164">
        <v>3024</v>
      </c>
      <c r="F1697" s="164" t="s">
        <v>3955</v>
      </c>
      <c r="G1697" s="164"/>
      <c r="H1697" s="167"/>
      <c r="I1697" s="167"/>
      <c r="J1697" s="167"/>
      <c r="K1697" s="169"/>
      <c r="L1697" s="129"/>
      <c r="M1697" s="129"/>
      <c r="N1697" s="129"/>
      <c r="O1697" s="129"/>
      <c r="P1697" s="146"/>
      <c r="Q1697" s="170"/>
      <c r="R1697" s="171"/>
      <c r="S1697" s="172"/>
    </row>
    <row r="1698" spans="1:19" ht="42.75">
      <c r="A1698" s="164" t="s">
        <v>777</v>
      </c>
      <c r="B1698" s="165" t="s">
        <v>3133</v>
      </c>
      <c r="C1698" s="165" t="s">
        <v>5202</v>
      </c>
      <c r="D1698" s="164">
        <v>2183</v>
      </c>
      <c r="E1698" s="164">
        <v>2233</v>
      </c>
      <c r="F1698" s="164" t="s">
        <v>3955</v>
      </c>
      <c r="G1698" s="164"/>
      <c r="H1698" s="167"/>
      <c r="I1698" s="167"/>
      <c r="J1698" s="167"/>
      <c r="K1698" s="169"/>
      <c r="L1698" s="129"/>
      <c r="M1698" s="129"/>
      <c r="N1698" s="129"/>
      <c r="O1698" s="129"/>
      <c r="P1698" s="146"/>
      <c r="Q1698" s="170"/>
      <c r="R1698" s="171"/>
      <c r="S1698" s="172"/>
    </row>
    <row r="1699" spans="1:19" ht="42.75">
      <c r="A1699" s="164" t="s">
        <v>777</v>
      </c>
      <c r="B1699" s="165" t="s">
        <v>3133</v>
      </c>
      <c r="C1699" s="165" t="s">
        <v>1056</v>
      </c>
      <c r="D1699" s="164">
        <v>768</v>
      </c>
      <c r="E1699" s="164">
        <v>774</v>
      </c>
      <c r="F1699" s="164" t="s">
        <v>3955</v>
      </c>
      <c r="G1699" s="164"/>
      <c r="H1699" s="167"/>
      <c r="I1699" s="167"/>
      <c r="J1699" s="167"/>
      <c r="K1699" s="169"/>
      <c r="L1699" s="129"/>
      <c r="M1699" s="129"/>
      <c r="N1699" s="129"/>
      <c r="O1699" s="129"/>
      <c r="P1699" s="146"/>
      <c r="Q1699" s="170"/>
      <c r="R1699" s="171"/>
      <c r="S1699" s="172"/>
    </row>
    <row r="1700" spans="1:19" ht="42.75">
      <c r="A1700" s="164" t="s">
        <v>777</v>
      </c>
      <c r="B1700" s="165" t="s">
        <v>3133</v>
      </c>
      <c r="C1700" s="165" t="s">
        <v>932</v>
      </c>
      <c r="D1700" s="164">
        <v>3296</v>
      </c>
      <c r="E1700" s="164">
        <v>3495</v>
      </c>
      <c r="F1700" s="164" t="s">
        <v>3955</v>
      </c>
      <c r="G1700" s="164"/>
      <c r="H1700" s="167"/>
      <c r="I1700" s="167"/>
      <c r="J1700" s="167"/>
      <c r="K1700" s="169"/>
      <c r="L1700" s="129"/>
      <c r="M1700" s="129"/>
      <c r="N1700" s="129"/>
      <c r="O1700" s="129"/>
      <c r="P1700" s="146"/>
      <c r="Q1700" s="170"/>
      <c r="R1700" s="171"/>
      <c r="S1700" s="172"/>
    </row>
    <row r="1701" spans="1:19" ht="42.75">
      <c r="A1701" s="164" t="s">
        <v>777</v>
      </c>
      <c r="B1701" s="165" t="s">
        <v>3133</v>
      </c>
      <c r="C1701" s="165" t="s">
        <v>5204</v>
      </c>
      <c r="D1701" s="164">
        <v>2150</v>
      </c>
      <c r="E1701" s="164">
        <v>2215</v>
      </c>
      <c r="F1701" s="164" t="s">
        <v>3955</v>
      </c>
      <c r="G1701" s="164"/>
      <c r="H1701" s="167"/>
      <c r="I1701" s="167"/>
      <c r="J1701" s="167"/>
      <c r="K1701" s="169"/>
      <c r="L1701" s="129"/>
      <c r="M1701" s="129"/>
      <c r="N1701" s="129"/>
      <c r="O1701" s="129"/>
      <c r="P1701" s="146"/>
      <c r="Q1701" s="170"/>
      <c r="R1701" s="171"/>
      <c r="S1701" s="172"/>
    </row>
    <row r="1702" spans="1:19" ht="42.75">
      <c r="A1702" s="164" t="s">
        <v>777</v>
      </c>
      <c r="B1702" s="165" t="s">
        <v>3133</v>
      </c>
      <c r="C1702" s="165" t="s">
        <v>5205</v>
      </c>
      <c r="D1702" s="164">
        <v>2986</v>
      </c>
      <c r="E1702" s="164">
        <v>3534</v>
      </c>
      <c r="F1702" s="164" t="s">
        <v>3404</v>
      </c>
      <c r="G1702" s="164">
        <v>2024</v>
      </c>
      <c r="H1702" s="175">
        <v>45512</v>
      </c>
      <c r="I1702" s="175">
        <v>45514</v>
      </c>
      <c r="J1702" s="168" t="s">
        <v>7276</v>
      </c>
      <c r="K1702" s="174">
        <v>45516</v>
      </c>
      <c r="L1702" s="129" t="s">
        <v>3126</v>
      </c>
      <c r="M1702" s="129" t="s">
        <v>4</v>
      </c>
      <c r="N1702" s="129" t="s">
        <v>50</v>
      </c>
      <c r="O1702" s="129" t="s">
        <v>3406</v>
      </c>
      <c r="P1702" s="146"/>
      <c r="Q1702" s="170">
        <v>45517</v>
      </c>
      <c r="R1702" s="171" t="s">
        <v>150</v>
      </c>
      <c r="S1702" s="172"/>
    </row>
    <row r="1703" spans="1:19" ht="42.75">
      <c r="A1703" s="164" t="s">
        <v>777</v>
      </c>
      <c r="B1703" s="165" t="s">
        <v>3133</v>
      </c>
      <c r="C1703" s="165" t="s">
        <v>4126</v>
      </c>
      <c r="D1703" s="164">
        <v>1498</v>
      </c>
      <c r="E1703" s="164">
        <v>1579</v>
      </c>
      <c r="F1703" s="164" t="s">
        <v>3404</v>
      </c>
      <c r="G1703" s="164">
        <v>2024</v>
      </c>
      <c r="H1703" s="175">
        <v>45610</v>
      </c>
      <c r="I1703" s="175">
        <v>45611</v>
      </c>
      <c r="J1703" s="168" t="s">
        <v>7277</v>
      </c>
      <c r="K1703" s="174">
        <v>45616</v>
      </c>
      <c r="L1703" s="129" t="s">
        <v>3129</v>
      </c>
      <c r="M1703" s="129" t="s">
        <v>4</v>
      </c>
      <c r="N1703" s="129" t="s">
        <v>50</v>
      </c>
      <c r="O1703" s="129" t="s">
        <v>3406</v>
      </c>
      <c r="P1703" s="146"/>
      <c r="Q1703" s="170">
        <v>45617</v>
      </c>
      <c r="R1703" s="171" t="s">
        <v>150</v>
      </c>
      <c r="S1703" s="172"/>
    </row>
    <row r="1704" spans="1:19" ht="42.75">
      <c r="A1704" s="164" t="s">
        <v>777</v>
      </c>
      <c r="B1704" s="165" t="s">
        <v>3133</v>
      </c>
      <c r="C1704" s="165" t="s">
        <v>5206</v>
      </c>
      <c r="D1704" s="164">
        <v>2254</v>
      </c>
      <c r="E1704" s="164">
        <v>2595</v>
      </c>
      <c r="F1704" s="164" t="s">
        <v>3955</v>
      </c>
      <c r="G1704" s="164"/>
      <c r="H1704" s="167"/>
      <c r="I1704" s="167"/>
      <c r="J1704" s="167"/>
      <c r="K1704" s="169"/>
      <c r="L1704" s="129"/>
      <c r="M1704" s="129"/>
      <c r="N1704" s="129"/>
      <c r="O1704" s="129"/>
      <c r="P1704" s="146"/>
      <c r="Q1704" s="170"/>
      <c r="R1704" s="171"/>
      <c r="S1704" s="172"/>
    </row>
    <row r="1705" spans="1:19" ht="42.75">
      <c r="A1705" s="164" t="s">
        <v>777</v>
      </c>
      <c r="B1705" s="165" t="s">
        <v>3133</v>
      </c>
      <c r="C1705" s="165" t="s">
        <v>4024</v>
      </c>
      <c r="D1705" s="164">
        <v>1180</v>
      </c>
      <c r="E1705" s="164">
        <v>1500</v>
      </c>
      <c r="F1705" s="164" t="s">
        <v>3404</v>
      </c>
      <c r="G1705" s="164">
        <v>2024</v>
      </c>
      <c r="H1705" s="175">
        <v>45615</v>
      </c>
      <c r="I1705" s="175">
        <v>45616</v>
      </c>
      <c r="J1705" s="168" t="s">
        <v>7278</v>
      </c>
      <c r="K1705" s="174">
        <v>45616</v>
      </c>
      <c r="L1705" s="129" t="s">
        <v>3129</v>
      </c>
      <c r="M1705" s="129" t="s">
        <v>4</v>
      </c>
      <c r="N1705" s="129" t="s">
        <v>57</v>
      </c>
      <c r="O1705" s="129" t="s">
        <v>3406</v>
      </c>
      <c r="P1705" s="146"/>
      <c r="Q1705" s="170">
        <v>45617</v>
      </c>
      <c r="R1705" s="171" t="s">
        <v>150</v>
      </c>
      <c r="S1705" s="172"/>
    </row>
    <row r="1706" spans="1:19" ht="42.75">
      <c r="A1706" s="164" t="s">
        <v>777</v>
      </c>
      <c r="B1706" s="165" t="s">
        <v>3133</v>
      </c>
      <c r="C1706" s="165" t="s">
        <v>1234</v>
      </c>
      <c r="D1706" s="164">
        <v>3041</v>
      </c>
      <c r="E1706" s="164">
        <v>2992</v>
      </c>
      <c r="F1706" s="164" t="s">
        <v>3955</v>
      </c>
      <c r="G1706" s="164"/>
      <c r="H1706" s="167"/>
      <c r="I1706" s="167"/>
      <c r="J1706" s="167"/>
      <c r="K1706" s="169"/>
      <c r="L1706" s="129"/>
      <c r="M1706" s="129"/>
      <c r="N1706" s="129"/>
      <c r="O1706" s="129"/>
      <c r="P1706" s="146"/>
      <c r="Q1706" s="170"/>
      <c r="R1706" s="171"/>
      <c r="S1706" s="172"/>
    </row>
    <row r="1707" spans="1:19" ht="42.75">
      <c r="A1707" s="164" t="s">
        <v>777</v>
      </c>
      <c r="B1707" s="165" t="s">
        <v>3133</v>
      </c>
      <c r="C1707" s="165" t="s">
        <v>4242</v>
      </c>
      <c r="D1707" s="164">
        <v>1289</v>
      </c>
      <c r="E1707" s="164">
        <v>1418</v>
      </c>
      <c r="F1707" s="164" t="s">
        <v>3955</v>
      </c>
      <c r="G1707" s="164"/>
      <c r="H1707" s="167"/>
      <c r="I1707" s="167"/>
      <c r="J1707" s="167"/>
      <c r="K1707" s="169"/>
      <c r="L1707" s="129"/>
      <c r="M1707" s="129"/>
      <c r="N1707" s="129"/>
      <c r="O1707" s="129"/>
      <c r="P1707" s="146"/>
      <c r="Q1707" s="170"/>
      <c r="R1707" s="171"/>
      <c r="S1707" s="172"/>
    </row>
    <row r="1708" spans="1:19" ht="42.75">
      <c r="A1708" s="164" t="s">
        <v>777</v>
      </c>
      <c r="B1708" s="165" t="s">
        <v>3133</v>
      </c>
      <c r="C1708" s="165" t="s">
        <v>4261</v>
      </c>
      <c r="D1708" s="164">
        <v>6437</v>
      </c>
      <c r="E1708" s="164">
        <v>6275</v>
      </c>
      <c r="F1708" s="164" t="s">
        <v>3955</v>
      </c>
      <c r="G1708" s="164"/>
      <c r="H1708" s="167"/>
      <c r="I1708" s="167"/>
      <c r="J1708" s="167"/>
      <c r="K1708" s="169"/>
      <c r="L1708" s="129"/>
      <c r="M1708" s="129"/>
      <c r="N1708" s="129"/>
      <c r="O1708" s="129"/>
      <c r="P1708" s="146"/>
      <c r="Q1708" s="170"/>
      <c r="R1708" s="171"/>
      <c r="S1708" s="172"/>
    </row>
    <row r="1709" spans="1:19" ht="42.75">
      <c r="A1709" s="164" t="s">
        <v>777</v>
      </c>
      <c r="B1709" s="165" t="s">
        <v>1331</v>
      </c>
      <c r="C1709" s="165" t="s">
        <v>5243</v>
      </c>
      <c r="D1709" s="164">
        <v>1781</v>
      </c>
      <c r="E1709" s="164">
        <v>2105</v>
      </c>
      <c r="F1709" s="164" t="s">
        <v>3955</v>
      </c>
      <c r="G1709" s="164"/>
      <c r="H1709" s="167"/>
      <c r="I1709" s="167"/>
      <c r="J1709" s="167"/>
      <c r="K1709" s="169"/>
      <c r="L1709" s="129"/>
      <c r="M1709" s="129"/>
      <c r="N1709" s="129"/>
      <c r="O1709" s="129"/>
      <c r="P1709" s="146"/>
      <c r="Q1709" s="170"/>
      <c r="R1709" s="171"/>
      <c r="S1709" s="172"/>
    </row>
    <row r="1710" spans="1:19" ht="42.75">
      <c r="A1710" s="164" t="s">
        <v>777</v>
      </c>
      <c r="B1710" s="165" t="s">
        <v>1331</v>
      </c>
      <c r="C1710" s="165" t="s">
        <v>4569</v>
      </c>
      <c r="D1710" s="164">
        <v>1965</v>
      </c>
      <c r="E1710" s="164">
        <v>2090</v>
      </c>
      <c r="F1710" s="164" t="s">
        <v>3955</v>
      </c>
      <c r="G1710" s="164"/>
      <c r="H1710" s="167"/>
      <c r="I1710" s="167"/>
      <c r="J1710" s="167"/>
      <c r="K1710" s="169"/>
      <c r="L1710" s="129"/>
      <c r="M1710" s="129"/>
      <c r="N1710" s="129"/>
      <c r="O1710" s="129"/>
      <c r="P1710" s="146"/>
      <c r="Q1710" s="170"/>
      <c r="R1710" s="171"/>
      <c r="S1710" s="172"/>
    </row>
    <row r="1711" spans="1:19" ht="42.75">
      <c r="A1711" s="164" t="s">
        <v>777</v>
      </c>
      <c r="B1711" s="165" t="s">
        <v>1331</v>
      </c>
      <c r="C1711" s="165" t="s">
        <v>1332</v>
      </c>
      <c r="D1711" s="164">
        <v>1691</v>
      </c>
      <c r="E1711" s="164">
        <v>1719</v>
      </c>
      <c r="F1711" s="164" t="s">
        <v>3955</v>
      </c>
      <c r="G1711" s="164"/>
      <c r="H1711" s="167"/>
      <c r="I1711" s="167"/>
      <c r="J1711" s="167"/>
      <c r="K1711" s="169"/>
      <c r="L1711" s="129"/>
      <c r="M1711" s="129"/>
      <c r="N1711" s="129"/>
      <c r="O1711" s="129"/>
      <c r="P1711" s="146"/>
      <c r="Q1711" s="170"/>
      <c r="R1711" s="171"/>
      <c r="S1711" s="172"/>
    </row>
    <row r="1712" spans="1:19" ht="42.75">
      <c r="A1712" s="164" t="s">
        <v>777</v>
      </c>
      <c r="B1712" s="165" t="s">
        <v>1331</v>
      </c>
      <c r="C1712" s="165" t="s">
        <v>5245</v>
      </c>
      <c r="D1712" s="164">
        <v>2612</v>
      </c>
      <c r="E1712" s="164">
        <v>2671</v>
      </c>
      <c r="F1712" s="164" t="s">
        <v>3955</v>
      </c>
      <c r="G1712" s="164"/>
      <c r="H1712" s="167"/>
      <c r="I1712" s="167"/>
      <c r="J1712" s="167"/>
      <c r="K1712" s="169"/>
      <c r="L1712" s="129"/>
      <c r="M1712" s="129"/>
      <c r="N1712" s="129"/>
      <c r="O1712" s="129"/>
      <c r="P1712" s="146"/>
      <c r="Q1712" s="170"/>
      <c r="R1712" s="171"/>
      <c r="S1712" s="172"/>
    </row>
    <row r="1713" spans="1:19" ht="42.75">
      <c r="A1713" s="164" t="s">
        <v>777</v>
      </c>
      <c r="B1713" s="165" t="s">
        <v>1331</v>
      </c>
      <c r="C1713" s="165" t="s">
        <v>5247</v>
      </c>
      <c r="D1713" s="164">
        <v>4003</v>
      </c>
      <c r="E1713" s="164">
        <v>3724</v>
      </c>
      <c r="F1713" s="164" t="s">
        <v>3955</v>
      </c>
      <c r="G1713" s="164"/>
      <c r="H1713" s="167"/>
      <c r="I1713" s="167"/>
      <c r="J1713" s="167"/>
      <c r="K1713" s="169"/>
      <c r="L1713" s="129"/>
      <c r="M1713" s="129"/>
      <c r="N1713" s="129"/>
      <c r="O1713" s="129"/>
      <c r="P1713" s="146"/>
      <c r="Q1713" s="170"/>
      <c r="R1713" s="171"/>
      <c r="S1713" s="172"/>
    </row>
    <row r="1714" spans="1:19" ht="42.75">
      <c r="A1714" s="164" t="s">
        <v>777</v>
      </c>
      <c r="B1714" s="165" t="s">
        <v>1331</v>
      </c>
      <c r="C1714" s="165" t="s">
        <v>5249</v>
      </c>
      <c r="D1714" s="164">
        <v>6565</v>
      </c>
      <c r="E1714" s="164">
        <v>6555</v>
      </c>
      <c r="F1714" s="164" t="s">
        <v>3955</v>
      </c>
      <c r="G1714" s="164"/>
      <c r="H1714" s="167"/>
      <c r="I1714" s="167"/>
      <c r="J1714" s="167"/>
      <c r="K1714" s="169"/>
      <c r="L1714" s="129"/>
      <c r="M1714" s="129"/>
      <c r="N1714" s="129"/>
      <c r="O1714" s="129"/>
      <c r="P1714" s="146"/>
      <c r="Q1714" s="170"/>
      <c r="R1714" s="171"/>
      <c r="S1714" s="172"/>
    </row>
    <row r="1715" spans="1:19" ht="42.75">
      <c r="A1715" s="164" t="s">
        <v>777</v>
      </c>
      <c r="B1715" s="165" t="s">
        <v>1331</v>
      </c>
      <c r="C1715" s="165" t="s">
        <v>5251</v>
      </c>
      <c r="D1715" s="164">
        <v>2489</v>
      </c>
      <c r="E1715" s="164">
        <v>2740</v>
      </c>
      <c r="F1715" s="164" t="s">
        <v>3404</v>
      </c>
      <c r="G1715" s="164">
        <v>2024</v>
      </c>
      <c r="H1715" s="175">
        <v>45617</v>
      </c>
      <c r="I1715" s="175">
        <v>45617</v>
      </c>
      <c r="J1715" s="168" t="s">
        <v>7279</v>
      </c>
      <c r="K1715" s="174">
        <v>45628</v>
      </c>
      <c r="L1715" s="129" t="s">
        <v>3129</v>
      </c>
      <c r="M1715" s="129" t="s">
        <v>4</v>
      </c>
      <c r="N1715" s="129" t="s">
        <v>50</v>
      </c>
      <c r="O1715" s="129" t="s">
        <v>3406</v>
      </c>
      <c r="P1715" s="146"/>
      <c r="Q1715" s="170">
        <v>45628</v>
      </c>
      <c r="R1715" s="171" t="s">
        <v>150</v>
      </c>
      <c r="S1715" s="172"/>
    </row>
    <row r="1716" spans="1:19" ht="42.75">
      <c r="A1716" s="164" t="s">
        <v>777</v>
      </c>
      <c r="B1716" s="165" t="s">
        <v>1331</v>
      </c>
      <c r="C1716" s="165" t="s">
        <v>4535</v>
      </c>
      <c r="D1716" s="164">
        <v>4724</v>
      </c>
      <c r="E1716" s="164">
        <v>4924</v>
      </c>
      <c r="F1716" s="164" t="s">
        <v>3955</v>
      </c>
      <c r="G1716" s="164"/>
      <c r="H1716" s="167"/>
      <c r="I1716" s="167"/>
      <c r="J1716" s="167"/>
      <c r="K1716" s="169"/>
      <c r="L1716" s="129"/>
      <c r="M1716" s="129"/>
      <c r="N1716" s="129"/>
      <c r="O1716" s="129"/>
      <c r="P1716" s="146"/>
      <c r="Q1716" s="170"/>
      <c r="R1716" s="171"/>
      <c r="S1716" s="172"/>
    </row>
    <row r="1717" spans="1:19" ht="42.75">
      <c r="A1717" s="164" t="s">
        <v>777</v>
      </c>
      <c r="B1717" s="165" t="s">
        <v>1331</v>
      </c>
      <c r="C1717" s="165" t="s">
        <v>5252</v>
      </c>
      <c r="D1717" s="164">
        <v>1585</v>
      </c>
      <c r="E1717" s="164">
        <v>1651</v>
      </c>
      <c r="F1717" s="164" t="s">
        <v>3955</v>
      </c>
      <c r="G1717" s="164"/>
      <c r="H1717" s="167"/>
      <c r="I1717" s="167"/>
      <c r="J1717" s="167"/>
      <c r="K1717" s="169"/>
      <c r="L1717" s="129"/>
      <c r="M1717" s="129"/>
      <c r="N1717" s="129"/>
      <c r="O1717" s="129"/>
      <c r="P1717" s="146"/>
      <c r="Q1717" s="170"/>
      <c r="R1717" s="171"/>
      <c r="S1717" s="172"/>
    </row>
    <row r="1718" spans="1:19" ht="42.75">
      <c r="A1718" s="164" t="s">
        <v>777</v>
      </c>
      <c r="B1718" s="165" t="s">
        <v>1331</v>
      </c>
      <c r="C1718" s="165" t="s">
        <v>5253</v>
      </c>
      <c r="D1718" s="164">
        <v>1914</v>
      </c>
      <c r="E1718" s="164">
        <v>2029</v>
      </c>
      <c r="F1718" s="164" t="s">
        <v>3955</v>
      </c>
      <c r="G1718" s="164"/>
      <c r="H1718" s="167"/>
      <c r="I1718" s="167"/>
      <c r="J1718" s="167"/>
      <c r="K1718" s="169"/>
      <c r="L1718" s="129"/>
      <c r="M1718" s="129"/>
      <c r="N1718" s="129"/>
      <c r="O1718" s="129"/>
      <c r="P1718" s="146"/>
      <c r="Q1718" s="170"/>
      <c r="R1718" s="171"/>
      <c r="S1718" s="172"/>
    </row>
    <row r="1719" spans="1:19" ht="42.75">
      <c r="A1719" s="164" t="s">
        <v>777</v>
      </c>
      <c r="B1719" s="165" t="s">
        <v>1331</v>
      </c>
      <c r="C1719" s="165" t="s">
        <v>5255</v>
      </c>
      <c r="D1719" s="164">
        <v>1083</v>
      </c>
      <c r="E1719" s="164">
        <v>1110</v>
      </c>
      <c r="F1719" s="164" t="s">
        <v>3955</v>
      </c>
      <c r="G1719" s="164"/>
      <c r="H1719" s="167"/>
      <c r="I1719" s="167"/>
      <c r="J1719" s="167"/>
      <c r="K1719" s="169"/>
      <c r="L1719" s="129"/>
      <c r="M1719" s="129"/>
      <c r="N1719" s="129"/>
      <c r="O1719" s="129"/>
      <c r="P1719" s="146"/>
      <c r="Q1719" s="170"/>
      <c r="R1719" s="171"/>
      <c r="S1719" s="172"/>
    </row>
    <row r="1720" spans="1:19" ht="42.75">
      <c r="A1720" s="164" t="s">
        <v>777</v>
      </c>
      <c r="B1720" s="165" t="s">
        <v>1331</v>
      </c>
      <c r="C1720" s="165" t="s">
        <v>4484</v>
      </c>
      <c r="D1720" s="164">
        <v>1678</v>
      </c>
      <c r="E1720" s="164">
        <v>1872</v>
      </c>
      <c r="F1720" s="164" t="s">
        <v>3955</v>
      </c>
      <c r="G1720" s="164"/>
      <c r="H1720" s="167"/>
      <c r="I1720" s="167"/>
      <c r="J1720" s="167"/>
      <c r="K1720" s="169"/>
      <c r="L1720" s="129"/>
      <c r="M1720" s="129"/>
      <c r="N1720" s="129"/>
      <c r="O1720" s="129"/>
      <c r="P1720" s="146"/>
      <c r="Q1720" s="170"/>
      <c r="R1720" s="171"/>
      <c r="S1720" s="172"/>
    </row>
    <row r="1721" spans="1:19" ht="42.75">
      <c r="A1721" s="164" t="s">
        <v>777</v>
      </c>
      <c r="B1721" s="165" t="s">
        <v>1331</v>
      </c>
      <c r="C1721" s="165" t="s">
        <v>5257</v>
      </c>
      <c r="D1721" s="164">
        <v>2298</v>
      </c>
      <c r="E1721" s="164">
        <v>2477</v>
      </c>
      <c r="F1721" s="164" t="s">
        <v>3955</v>
      </c>
      <c r="G1721" s="164"/>
      <c r="H1721" s="167"/>
      <c r="I1721" s="167"/>
      <c r="J1721" s="167"/>
      <c r="K1721" s="169"/>
      <c r="L1721" s="129"/>
      <c r="M1721" s="129"/>
      <c r="N1721" s="129"/>
      <c r="O1721" s="129"/>
      <c r="P1721" s="146"/>
      <c r="Q1721" s="170"/>
      <c r="R1721" s="171"/>
      <c r="S1721" s="172"/>
    </row>
    <row r="1722" spans="1:19" ht="42.75">
      <c r="A1722" s="164" t="s">
        <v>777</v>
      </c>
      <c r="B1722" s="165" t="s">
        <v>1331</v>
      </c>
      <c r="C1722" s="165" t="s">
        <v>5260</v>
      </c>
      <c r="D1722" s="164">
        <v>5208</v>
      </c>
      <c r="E1722" s="164">
        <v>5013</v>
      </c>
      <c r="F1722" s="164" t="s">
        <v>3404</v>
      </c>
      <c r="G1722" s="164">
        <v>2024</v>
      </c>
      <c r="H1722" s="175">
        <v>45519</v>
      </c>
      <c r="I1722" s="175">
        <v>45520</v>
      </c>
      <c r="J1722" s="168" t="s">
        <v>7280</v>
      </c>
      <c r="K1722" s="174">
        <v>45523</v>
      </c>
      <c r="L1722" s="129" t="s">
        <v>3126</v>
      </c>
      <c r="M1722" s="129" t="s">
        <v>4</v>
      </c>
      <c r="N1722" s="129" t="s">
        <v>50</v>
      </c>
      <c r="O1722" s="129" t="s">
        <v>3406</v>
      </c>
      <c r="P1722" s="146"/>
      <c r="Q1722" s="170">
        <v>45531</v>
      </c>
      <c r="R1722" s="171" t="s">
        <v>150</v>
      </c>
      <c r="S1722" s="172"/>
    </row>
    <row r="1723" spans="1:19" ht="42.75">
      <c r="A1723" s="164" t="s">
        <v>777</v>
      </c>
      <c r="B1723" s="165" t="s">
        <v>1331</v>
      </c>
      <c r="C1723" s="165" t="s">
        <v>5261</v>
      </c>
      <c r="D1723" s="164">
        <v>1971</v>
      </c>
      <c r="E1723" s="164">
        <v>2152</v>
      </c>
      <c r="F1723" s="164" t="s">
        <v>3955</v>
      </c>
      <c r="G1723" s="164"/>
      <c r="H1723" s="167"/>
      <c r="I1723" s="167"/>
      <c r="J1723" s="167"/>
      <c r="K1723" s="169"/>
      <c r="L1723" s="129"/>
      <c r="M1723" s="129"/>
      <c r="N1723" s="129"/>
      <c r="O1723" s="129"/>
      <c r="P1723" s="146"/>
      <c r="Q1723" s="170"/>
      <c r="R1723" s="171"/>
      <c r="S1723" s="172"/>
    </row>
    <row r="1724" spans="1:19" ht="42.75">
      <c r="A1724" s="164" t="s">
        <v>777</v>
      </c>
      <c r="B1724" s="165" t="s">
        <v>1331</v>
      </c>
      <c r="C1724" s="165" t="s">
        <v>5264</v>
      </c>
      <c r="D1724" s="164">
        <v>953</v>
      </c>
      <c r="E1724" s="164">
        <v>904</v>
      </c>
      <c r="F1724" s="164" t="s">
        <v>3955</v>
      </c>
      <c r="G1724" s="164"/>
      <c r="H1724" s="167"/>
      <c r="I1724" s="167"/>
      <c r="J1724" s="167"/>
      <c r="K1724" s="169"/>
      <c r="L1724" s="129"/>
      <c r="M1724" s="129"/>
      <c r="N1724" s="129"/>
      <c r="O1724" s="129"/>
      <c r="P1724" s="146"/>
      <c r="Q1724" s="170"/>
      <c r="R1724" s="171"/>
      <c r="S1724" s="172"/>
    </row>
    <row r="1725" spans="1:19" ht="42.75">
      <c r="A1725" s="164" t="s">
        <v>777</v>
      </c>
      <c r="B1725" s="165" t="s">
        <v>1331</v>
      </c>
      <c r="C1725" s="165" t="s">
        <v>5265</v>
      </c>
      <c r="D1725" s="164">
        <v>1822</v>
      </c>
      <c r="E1725" s="164">
        <v>1960</v>
      </c>
      <c r="F1725" s="164" t="s">
        <v>3955</v>
      </c>
      <c r="G1725" s="164"/>
      <c r="H1725" s="167"/>
      <c r="I1725" s="167"/>
      <c r="J1725" s="167"/>
      <c r="K1725" s="169"/>
      <c r="L1725" s="129"/>
      <c r="M1725" s="129"/>
      <c r="N1725" s="129"/>
      <c r="O1725" s="129"/>
      <c r="P1725" s="146"/>
      <c r="Q1725" s="170"/>
      <c r="R1725" s="171"/>
      <c r="S1725" s="172"/>
    </row>
    <row r="1726" spans="1:19" ht="42.75">
      <c r="A1726" s="164" t="s">
        <v>777</v>
      </c>
      <c r="B1726" s="165" t="s">
        <v>1331</v>
      </c>
      <c r="C1726" s="165" t="s">
        <v>5267</v>
      </c>
      <c r="D1726" s="164">
        <v>1445</v>
      </c>
      <c r="E1726" s="164">
        <v>1536</v>
      </c>
      <c r="F1726" s="164" t="s">
        <v>3404</v>
      </c>
      <c r="G1726" s="164">
        <v>2024</v>
      </c>
      <c r="H1726" s="175">
        <v>45618</v>
      </c>
      <c r="I1726" s="175">
        <v>45618</v>
      </c>
      <c r="J1726" s="168" t="s">
        <v>7281</v>
      </c>
      <c r="K1726" s="174">
        <v>45628</v>
      </c>
      <c r="L1726" s="129" t="s">
        <v>3129</v>
      </c>
      <c r="M1726" s="129" t="s">
        <v>4</v>
      </c>
      <c r="N1726" s="129" t="s">
        <v>50</v>
      </c>
      <c r="O1726" s="129" t="s">
        <v>3406</v>
      </c>
      <c r="P1726" s="146"/>
      <c r="Q1726" s="170">
        <v>45628</v>
      </c>
      <c r="R1726" s="171" t="s">
        <v>7058</v>
      </c>
      <c r="S1726" s="172"/>
    </row>
    <row r="1727" spans="1:19" ht="42.75">
      <c r="A1727" s="164" t="s">
        <v>777</v>
      </c>
      <c r="B1727" s="165" t="s">
        <v>1331</v>
      </c>
      <c r="C1727" s="165" t="s">
        <v>5268</v>
      </c>
      <c r="D1727" s="164">
        <v>1657</v>
      </c>
      <c r="E1727" s="164">
        <v>1653</v>
      </c>
      <c r="F1727" s="164" t="s">
        <v>3955</v>
      </c>
      <c r="G1727" s="164"/>
      <c r="H1727" s="167"/>
      <c r="I1727" s="167"/>
      <c r="J1727" s="167"/>
      <c r="K1727" s="169"/>
      <c r="L1727" s="129"/>
      <c r="M1727" s="129"/>
      <c r="N1727" s="129"/>
      <c r="O1727" s="129"/>
      <c r="P1727" s="146"/>
      <c r="Q1727" s="170"/>
      <c r="R1727" s="171"/>
      <c r="S1727" s="172"/>
    </row>
    <row r="1728" spans="1:19" ht="42.75">
      <c r="A1728" s="164" t="s">
        <v>777</v>
      </c>
      <c r="B1728" s="165" t="s">
        <v>1331</v>
      </c>
      <c r="C1728" s="165" t="s">
        <v>5270</v>
      </c>
      <c r="D1728" s="164">
        <v>1210</v>
      </c>
      <c r="E1728" s="164">
        <v>1302</v>
      </c>
      <c r="F1728" s="164" t="s">
        <v>3955</v>
      </c>
      <c r="G1728" s="164"/>
      <c r="H1728" s="167"/>
      <c r="I1728" s="167"/>
      <c r="J1728" s="167"/>
      <c r="K1728" s="169"/>
      <c r="L1728" s="129"/>
      <c r="M1728" s="129"/>
      <c r="N1728" s="129"/>
      <c r="O1728" s="129"/>
      <c r="P1728" s="146"/>
      <c r="Q1728" s="170"/>
      <c r="R1728" s="171"/>
      <c r="S1728" s="172"/>
    </row>
    <row r="1729" spans="1:19" ht="42.75">
      <c r="A1729" s="164" t="s">
        <v>777</v>
      </c>
      <c r="B1729" s="165" t="s">
        <v>1331</v>
      </c>
      <c r="C1729" s="165" t="s">
        <v>5272</v>
      </c>
      <c r="D1729" s="164">
        <v>3202</v>
      </c>
      <c r="E1729" s="164">
        <v>3563</v>
      </c>
      <c r="F1729" s="164" t="s">
        <v>3955</v>
      </c>
      <c r="G1729" s="164"/>
      <c r="H1729" s="167"/>
      <c r="I1729" s="167"/>
      <c r="J1729" s="167"/>
      <c r="K1729" s="169"/>
      <c r="L1729" s="129"/>
      <c r="M1729" s="129"/>
      <c r="N1729" s="129"/>
      <c r="O1729" s="129"/>
      <c r="P1729" s="146"/>
      <c r="Q1729" s="170"/>
      <c r="R1729" s="171"/>
      <c r="S1729" s="172"/>
    </row>
    <row r="1730" spans="1:19" ht="42.75">
      <c r="A1730" s="164" t="s">
        <v>777</v>
      </c>
      <c r="B1730" s="165" t="s">
        <v>1331</v>
      </c>
      <c r="C1730" s="165" t="s">
        <v>5273</v>
      </c>
      <c r="D1730" s="164">
        <v>1473</v>
      </c>
      <c r="E1730" s="164">
        <v>1535</v>
      </c>
      <c r="F1730" s="164" t="s">
        <v>3955</v>
      </c>
      <c r="G1730" s="164"/>
      <c r="H1730" s="167"/>
      <c r="I1730" s="167"/>
      <c r="J1730" s="167"/>
      <c r="K1730" s="169"/>
      <c r="L1730" s="129"/>
      <c r="M1730" s="129"/>
      <c r="N1730" s="129"/>
      <c r="O1730" s="129"/>
      <c r="P1730" s="146"/>
      <c r="Q1730" s="170"/>
      <c r="R1730" s="171"/>
      <c r="S1730" s="172"/>
    </row>
    <row r="1731" spans="1:19" ht="42.75">
      <c r="A1731" s="164" t="s">
        <v>777</v>
      </c>
      <c r="B1731" s="165" t="s">
        <v>1331</v>
      </c>
      <c r="C1731" s="165" t="s">
        <v>5274</v>
      </c>
      <c r="D1731" s="164">
        <v>1755</v>
      </c>
      <c r="E1731" s="164">
        <v>2041</v>
      </c>
      <c r="F1731" s="164" t="s">
        <v>3955</v>
      </c>
      <c r="G1731" s="164"/>
      <c r="H1731" s="175"/>
      <c r="I1731" s="167"/>
      <c r="J1731" s="167"/>
      <c r="K1731" s="169"/>
      <c r="L1731" s="129"/>
      <c r="M1731" s="129"/>
      <c r="N1731" s="129"/>
      <c r="O1731" s="129"/>
      <c r="P1731" s="146"/>
      <c r="Q1731" s="170"/>
      <c r="R1731" s="171"/>
      <c r="S1731" s="172"/>
    </row>
    <row r="1732" spans="1:19" ht="42.75">
      <c r="A1732" s="164" t="s">
        <v>777</v>
      </c>
      <c r="B1732" s="165" t="s">
        <v>1331</v>
      </c>
      <c r="C1732" s="165" t="s">
        <v>5275</v>
      </c>
      <c r="D1732" s="164">
        <v>1832</v>
      </c>
      <c r="E1732" s="164">
        <v>2019</v>
      </c>
      <c r="F1732" s="164" t="s">
        <v>3404</v>
      </c>
      <c r="G1732" s="164">
        <v>2024</v>
      </c>
      <c r="H1732" s="175">
        <v>45609</v>
      </c>
      <c r="I1732" s="175">
        <v>45611</v>
      </c>
      <c r="J1732" s="168" t="s">
        <v>7282</v>
      </c>
      <c r="K1732" s="174">
        <v>45616</v>
      </c>
      <c r="L1732" s="129" t="s">
        <v>3129</v>
      </c>
      <c r="M1732" s="129" t="s">
        <v>4</v>
      </c>
      <c r="N1732" s="129" t="s">
        <v>50</v>
      </c>
      <c r="O1732" s="129" t="s">
        <v>3406</v>
      </c>
      <c r="P1732" s="146"/>
      <c r="Q1732" s="170">
        <v>45617</v>
      </c>
      <c r="R1732" s="171" t="s">
        <v>7058</v>
      </c>
      <c r="S1732" s="172"/>
    </row>
    <row r="1733" spans="1:19" ht="42.75">
      <c r="A1733" s="164" t="s">
        <v>777</v>
      </c>
      <c r="B1733" s="165" t="s">
        <v>1331</v>
      </c>
      <c r="C1733" s="165" t="s">
        <v>5259</v>
      </c>
      <c r="D1733" s="164">
        <v>792</v>
      </c>
      <c r="E1733" s="164">
        <v>816</v>
      </c>
      <c r="F1733" s="164" t="s">
        <v>3955</v>
      </c>
      <c r="G1733" s="164"/>
      <c r="H1733" s="167"/>
      <c r="I1733" s="167"/>
      <c r="J1733" s="167"/>
      <c r="K1733" s="169"/>
      <c r="L1733" s="129"/>
      <c r="M1733" s="129"/>
      <c r="N1733" s="129"/>
      <c r="O1733" s="129"/>
      <c r="P1733" s="146"/>
      <c r="Q1733" s="170"/>
      <c r="R1733" s="171"/>
      <c r="S1733" s="172"/>
    </row>
    <row r="1734" spans="1:19" ht="42.75">
      <c r="A1734" s="164" t="s">
        <v>777</v>
      </c>
      <c r="B1734" s="165" t="s">
        <v>1331</v>
      </c>
      <c r="C1734" s="165" t="s">
        <v>5258</v>
      </c>
      <c r="D1734" s="164">
        <v>1613</v>
      </c>
      <c r="E1734" s="164">
        <v>1697</v>
      </c>
      <c r="F1734" s="164" t="s">
        <v>3955</v>
      </c>
      <c r="G1734" s="164"/>
      <c r="H1734" s="167"/>
      <c r="I1734" s="167"/>
      <c r="J1734" s="167"/>
      <c r="K1734" s="169"/>
      <c r="L1734" s="129"/>
      <c r="M1734" s="129"/>
      <c r="N1734" s="129"/>
      <c r="O1734" s="129"/>
      <c r="P1734" s="146"/>
      <c r="Q1734" s="170"/>
      <c r="R1734" s="171"/>
      <c r="S1734" s="172"/>
    </row>
    <row r="1735" spans="1:19" ht="42.75">
      <c r="A1735" s="164" t="s">
        <v>777</v>
      </c>
      <c r="B1735" s="165" t="s">
        <v>1331</v>
      </c>
      <c r="C1735" s="165" t="s">
        <v>5263</v>
      </c>
      <c r="D1735" s="164">
        <v>1713</v>
      </c>
      <c r="E1735" s="164">
        <v>1746</v>
      </c>
      <c r="F1735" s="164" t="s">
        <v>3955</v>
      </c>
      <c r="G1735" s="164"/>
      <c r="H1735" s="167"/>
      <c r="I1735" s="167"/>
      <c r="J1735" s="167"/>
      <c r="K1735" s="169"/>
      <c r="L1735" s="129"/>
      <c r="M1735" s="129"/>
      <c r="N1735" s="129"/>
      <c r="O1735" s="129"/>
      <c r="P1735" s="146"/>
      <c r="Q1735" s="170"/>
      <c r="R1735" s="171"/>
      <c r="S1735" s="172"/>
    </row>
    <row r="1736" spans="1:19" ht="42.75">
      <c r="A1736" s="164" t="s">
        <v>777</v>
      </c>
      <c r="B1736" s="165" t="s">
        <v>1331</v>
      </c>
      <c r="C1736" s="165" t="s">
        <v>5276</v>
      </c>
      <c r="D1736" s="164">
        <v>1047</v>
      </c>
      <c r="E1736" s="164">
        <v>1172</v>
      </c>
      <c r="F1736" s="164" t="s">
        <v>3955</v>
      </c>
      <c r="G1736" s="164"/>
      <c r="H1736" s="167"/>
      <c r="I1736" s="167"/>
      <c r="J1736" s="167"/>
      <c r="K1736" s="169"/>
      <c r="L1736" s="129"/>
      <c r="M1736" s="129"/>
      <c r="N1736" s="129"/>
      <c r="O1736" s="129"/>
      <c r="P1736" s="146"/>
      <c r="Q1736" s="170"/>
      <c r="R1736" s="171"/>
      <c r="S1736" s="172"/>
    </row>
    <row r="1737" spans="1:19" ht="42.75">
      <c r="A1737" s="164" t="s">
        <v>777</v>
      </c>
      <c r="B1737" s="165" t="s">
        <v>1331</v>
      </c>
      <c r="C1737" s="165" t="s">
        <v>5277</v>
      </c>
      <c r="D1737" s="164">
        <v>4427</v>
      </c>
      <c r="E1737" s="164">
        <v>4876</v>
      </c>
      <c r="F1737" s="164" t="s">
        <v>3955</v>
      </c>
      <c r="G1737" s="164"/>
      <c r="H1737" s="167"/>
      <c r="I1737" s="167"/>
      <c r="J1737" s="167"/>
      <c r="K1737" s="169"/>
      <c r="L1737" s="129"/>
      <c r="M1737" s="129"/>
      <c r="N1737" s="129"/>
      <c r="O1737" s="129"/>
      <c r="P1737" s="146"/>
      <c r="Q1737" s="170"/>
      <c r="R1737" s="171"/>
      <c r="S1737" s="172"/>
    </row>
    <row r="1738" spans="1:19" ht="42.75">
      <c r="A1738" s="164" t="s">
        <v>777</v>
      </c>
      <c r="B1738" s="165" t="s">
        <v>1331</v>
      </c>
      <c r="C1738" s="165" t="s">
        <v>5278</v>
      </c>
      <c r="D1738" s="164">
        <v>1792</v>
      </c>
      <c r="E1738" s="164">
        <v>2022</v>
      </c>
      <c r="F1738" s="164" t="s">
        <v>3955</v>
      </c>
      <c r="G1738" s="164"/>
      <c r="H1738" s="167"/>
      <c r="I1738" s="167"/>
      <c r="J1738" s="167"/>
      <c r="K1738" s="169"/>
      <c r="L1738" s="129"/>
      <c r="M1738" s="129"/>
      <c r="N1738" s="129"/>
      <c r="O1738" s="129"/>
      <c r="P1738" s="146"/>
      <c r="Q1738" s="170"/>
      <c r="R1738" s="171"/>
      <c r="S1738" s="172"/>
    </row>
    <row r="1739" spans="1:19" ht="42.75">
      <c r="A1739" s="164" t="s">
        <v>777</v>
      </c>
      <c r="B1739" s="165" t="s">
        <v>1331</v>
      </c>
      <c r="C1739" s="165" t="s">
        <v>5280</v>
      </c>
      <c r="D1739" s="164">
        <v>887</v>
      </c>
      <c r="E1739" s="164">
        <v>961</v>
      </c>
      <c r="F1739" s="164" t="s">
        <v>3955</v>
      </c>
      <c r="G1739" s="164">
        <v>2025</v>
      </c>
      <c r="H1739" s="167"/>
      <c r="I1739" s="167"/>
      <c r="J1739" s="167"/>
      <c r="K1739" s="169"/>
      <c r="L1739" s="129" t="s">
        <v>3424</v>
      </c>
      <c r="M1739" s="129"/>
      <c r="N1739" s="129"/>
      <c r="O1739" s="129"/>
      <c r="P1739" s="146"/>
      <c r="Q1739" s="170"/>
      <c r="R1739" s="171"/>
      <c r="S1739" s="172"/>
    </row>
    <row r="1740" spans="1:19" ht="42.75">
      <c r="A1740" s="164" t="s">
        <v>777</v>
      </c>
      <c r="B1740" s="165" t="s">
        <v>1331</v>
      </c>
      <c r="C1740" s="165" t="s">
        <v>5281</v>
      </c>
      <c r="D1740" s="164">
        <v>3536</v>
      </c>
      <c r="E1740" s="164">
        <v>3937</v>
      </c>
      <c r="F1740" s="164" t="s">
        <v>3955</v>
      </c>
      <c r="G1740" s="164"/>
      <c r="H1740" s="167"/>
      <c r="I1740" s="167"/>
      <c r="J1740" s="167"/>
      <c r="K1740" s="169"/>
      <c r="L1740" s="129"/>
      <c r="M1740" s="129"/>
      <c r="N1740" s="129"/>
      <c r="O1740" s="129"/>
      <c r="P1740" s="146"/>
      <c r="Q1740" s="170"/>
      <c r="R1740" s="171"/>
      <c r="S1740" s="172"/>
    </row>
    <row r="1741" spans="1:19" ht="42.75">
      <c r="A1741" s="164" t="s">
        <v>777</v>
      </c>
      <c r="B1741" s="165" t="s">
        <v>1331</v>
      </c>
      <c r="C1741" s="165" t="s">
        <v>5282</v>
      </c>
      <c r="D1741" s="164">
        <v>1127</v>
      </c>
      <c r="E1741" s="164">
        <v>1301</v>
      </c>
      <c r="F1741" s="164" t="s">
        <v>3955</v>
      </c>
      <c r="G1741" s="164"/>
      <c r="H1741" s="167"/>
      <c r="I1741" s="167"/>
      <c r="J1741" s="167"/>
      <c r="K1741" s="169"/>
      <c r="L1741" s="129"/>
      <c r="M1741" s="129"/>
      <c r="N1741" s="129"/>
      <c r="O1741" s="129"/>
      <c r="P1741" s="146"/>
      <c r="Q1741" s="170"/>
      <c r="R1741" s="171"/>
      <c r="S1741" s="172"/>
    </row>
    <row r="1742" spans="1:19" ht="42.75">
      <c r="A1742" s="164" t="s">
        <v>777</v>
      </c>
      <c r="B1742" s="165" t="s">
        <v>1331</v>
      </c>
      <c r="C1742" s="165" t="s">
        <v>5284</v>
      </c>
      <c r="D1742" s="164">
        <v>948</v>
      </c>
      <c r="E1742" s="164">
        <v>1156</v>
      </c>
      <c r="F1742" s="164" t="s">
        <v>3955</v>
      </c>
      <c r="G1742" s="164"/>
      <c r="H1742" s="167"/>
      <c r="I1742" s="167"/>
      <c r="J1742" s="167"/>
      <c r="K1742" s="169"/>
      <c r="L1742" s="129"/>
      <c r="M1742" s="129"/>
      <c r="N1742" s="129"/>
      <c r="O1742" s="129"/>
      <c r="P1742" s="146"/>
      <c r="Q1742" s="170"/>
      <c r="R1742" s="171"/>
      <c r="S1742" s="172"/>
    </row>
    <row r="1743" spans="1:19" ht="42.75">
      <c r="A1743" s="164" t="s">
        <v>777</v>
      </c>
      <c r="B1743" s="165" t="s">
        <v>1331</v>
      </c>
      <c r="C1743" s="165" t="s">
        <v>5292</v>
      </c>
      <c r="D1743" s="164">
        <v>1638</v>
      </c>
      <c r="E1743" s="164">
        <v>1444</v>
      </c>
      <c r="F1743" s="164" t="s">
        <v>3955</v>
      </c>
      <c r="G1743" s="164"/>
      <c r="H1743" s="167"/>
      <c r="I1743" s="167"/>
      <c r="J1743" s="167"/>
      <c r="K1743" s="169"/>
      <c r="L1743" s="129"/>
      <c r="M1743" s="129"/>
      <c r="N1743" s="129"/>
      <c r="O1743" s="129"/>
      <c r="P1743" s="146"/>
      <c r="Q1743" s="170"/>
      <c r="R1743" s="171"/>
      <c r="S1743" s="172"/>
    </row>
    <row r="1744" spans="1:19" ht="42.75">
      <c r="A1744" s="164" t="s">
        <v>777</v>
      </c>
      <c r="B1744" s="165" t="s">
        <v>1331</v>
      </c>
      <c r="C1744" s="165" t="s">
        <v>5229</v>
      </c>
      <c r="D1744" s="164">
        <v>1201</v>
      </c>
      <c r="E1744" s="164">
        <v>1405</v>
      </c>
      <c r="F1744" s="164" t="s">
        <v>3955</v>
      </c>
      <c r="G1744" s="164"/>
      <c r="H1744" s="167"/>
      <c r="I1744" s="167"/>
      <c r="J1744" s="167"/>
      <c r="K1744" s="169"/>
      <c r="L1744" s="129"/>
      <c r="M1744" s="129"/>
      <c r="N1744" s="129"/>
      <c r="O1744" s="129"/>
      <c r="P1744" s="146"/>
      <c r="Q1744" s="170"/>
      <c r="R1744" s="171"/>
      <c r="S1744" s="172"/>
    </row>
    <row r="1745" spans="1:19" ht="42.75">
      <c r="A1745" s="164" t="s">
        <v>777</v>
      </c>
      <c r="B1745" s="165" t="s">
        <v>1331</v>
      </c>
      <c r="C1745" s="165" t="s">
        <v>5286</v>
      </c>
      <c r="D1745" s="164">
        <v>2227</v>
      </c>
      <c r="E1745" s="164">
        <v>2243</v>
      </c>
      <c r="F1745" s="164" t="s">
        <v>3404</v>
      </c>
      <c r="G1745" s="164">
        <v>2024</v>
      </c>
      <c r="H1745" s="175">
        <v>45553</v>
      </c>
      <c r="I1745" s="175">
        <v>45553</v>
      </c>
      <c r="J1745" s="168" t="s">
        <v>7283</v>
      </c>
      <c r="K1745" s="174">
        <v>45554</v>
      </c>
      <c r="L1745" s="129" t="s">
        <v>3127</v>
      </c>
      <c r="M1745" s="129" t="s">
        <v>4</v>
      </c>
      <c r="N1745" s="129" t="s">
        <v>50</v>
      </c>
      <c r="O1745" s="129" t="s">
        <v>3406</v>
      </c>
      <c r="P1745" s="146"/>
      <c r="Q1745" s="170">
        <v>45555</v>
      </c>
      <c r="R1745" s="171" t="s">
        <v>7058</v>
      </c>
      <c r="S1745" s="172"/>
    </row>
    <row r="1746" spans="1:19" ht="42.75">
      <c r="A1746" s="164" t="s">
        <v>777</v>
      </c>
      <c r="B1746" s="165" t="s">
        <v>1331</v>
      </c>
      <c r="C1746" s="165" t="s">
        <v>4299</v>
      </c>
      <c r="D1746" s="164">
        <v>4989</v>
      </c>
      <c r="E1746" s="164">
        <v>5162</v>
      </c>
      <c r="F1746" s="164" t="s">
        <v>3955</v>
      </c>
      <c r="G1746" s="164"/>
      <c r="H1746" s="167"/>
      <c r="I1746" s="167"/>
      <c r="J1746" s="167"/>
      <c r="K1746" s="169"/>
      <c r="L1746" s="129"/>
      <c r="M1746" s="129"/>
      <c r="N1746" s="129"/>
      <c r="O1746" s="129"/>
      <c r="P1746" s="146"/>
      <c r="Q1746" s="170"/>
      <c r="R1746" s="171"/>
      <c r="S1746" s="172"/>
    </row>
    <row r="1747" spans="1:19" ht="42.75">
      <c r="A1747" s="164" t="s">
        <v>777</v>
      </c>
      <c r="B1747" s="165" t="s">
        <v>1331</v>
      </c>
      <c r="C1747" s="165" t="s">
        <v>5287</v>
      </c>
      <c r="D1747" s="164">
        <v>906</v>
      </c>
      <c r="E1747" s="164">
        <v>1016</v>
      </c>
      <c r="F1747" s="164" t="s">
        <v>3955</v>
      </c>
      <c r="G1747" s="164"/>
      <c r="H1747" s="167"/>
      <c r="I1747" s="167"/>
      <c r="J1747" s="167"/>
      <c r="K1747" s="169"/>
      <c r="L1747" s="129"/>
      <c r="M1747" s="129"/>
      <c r="N1747" s="129"/>
      <c r="O1747" s="129"/>
      <c r="P1747" s="146"/>
      <c r="Q1747" s="170"/>
      <c r="R1747" s="171"/>
      <c r="S1747" s="172"/>
    </row>
    <row r="1748" spans="1:19" ht="42.75">
      <c r="A1748" s="164" t="s">
        <v>777</v>
      </c>
      <c r="B1748" s="165" t="s">
        <v>1331</v>
      </c>
      <c r="C1748" s="165" t="s">
        <v>5288</v>
      </c>
      <c r="D1748" s="164">
        <v>851</v>
      </c>
      <c r="E1748" s="164">
        <v>1017</v>
      </c>
      <c r="F1748" s="164" t="s">
        <v>3955</v>
      </c>
      <c r="G1748" s="164"/>
      <c r="H1748" s="167"/>
      <c r="I1748" s="167"/>
      <c r="J1748" s="196"/>
      <c r="K1748" s="169"/>
      <c r="L1748" s="129"/>
      <c r="M1748" s="129"/>
      <c r="N1748" s="129"/>
      <c r="O1748" s="129"/>
      <c r="P1748" s="146"/>
      <c r="Q1748" s="170"/>
      <c r="R1748" s="171"/>
      <c r="S1748" s="172"/>
    </row>
    <row r="1749" spans="1:19" ht="42.75">
      <c r="A1749" s="164" t="s">
        <v>777</v>
      </c>
      <c r="B1749" s="165" t="s">
        <v>1331</v>
      </c>
      <c r="C1749" s="165" t="s">
        <v>5290</v>
      </c>
      <c r="D1749" s="164">
        <v>5581</v>
      </c>
      <c r="E1749" s="164">
        <v>5445</v>
      </c>
      <c r="F1749" s="164" t="s">
        <v>3404</v>
      </c>
      <c r="G1749" s="164">
        <v>2024</v>
      </c>
      <c r="H1749" s="175">
        <v>45433</v>
      </c>
      <c r="I1749" s="221">
        <v>45433</v>
      </c>
      <c r="J1749" s="181" t="s">
        <v>7284</v>
      </c>
      <c r="K1749" s="193">
        <v>45447</v>
      </c>
      <c r="L1749" s="129" t="s">
        <v>3689</v>
      </c>
      <c r="M1749" s="129"/>
      <c r="N1749" s="129"/>
      <c r="O1749" s="129" t="s">
        <v>3406</v>
      </c>
      <c r="P1749" s="146"/>
      <c r="Q1749" s="170">
        <v>45448</v>
      </c>
      <c r="R1749" s="171"/>
      <c r="S1749" s="172"/>
    </row>
    <row r="1750" spans="1:19" ht="42.75">
      <c r="A1750" s="164" t="s">
        <v>777</v>
      </c>
      <c r="B1750" s="165" t="s">
        <v>1331</v>
      </c>
      <c r="C1750" s="165" t="s">
        <v>4946</v>
      </c>
      <c r="D1750" s="164">
        <v>3409</v>
      </c>
      <c r="E1750" s="164">
        <v>3651</v>
      </c>
      <c r="F1750" s="164" t="s">
        <v>3955</v>
      </c>
      <c r="G1750" s="164"/>
      <c r="H1750" s="167"/>
      <c r="I1750" s="167"/>
      <c r="J1750" s="167"/>
      <c r="K1750" s="169"/>
      <c r="L1750" s="129"/>
      <c r="M1750" s="129"/>
      <c r="N1750" s="129"/>
      <c r="O1750" s="129"/>
      <c r="P1750" s="146"/>
      <c r="Q1750" s="170"/>
      <c r="R1750" s="171"/>
      <c r="S1750" s="172"/>
    </row>
    <row r="1751" spans="1:19" ht="42.75">
      <c r="A1751" s="164" t="s">
        <v>777</v>
      </c>
      <c r="B1751" s="165" t="s">
        <v>1331</v>
      </c>
      <c r="C1751" s="165" t="s">
        <v>4637</v>
      </c>
      <c r="D1751" s="164">
        <v>2454</v>
      </c>
      <c r="E1751" s="164">
        <v>2667</v>
      </c>
      <c r="F1751" s="164" t="s">
        <v>3404</v>
      </c>
      <c r="G1751" s="164">
        <v>2024</v>
      </c>
      <c r="H1751" s="175">
        <v>45553</v>
      </c>
      <c r="I1751" s="175">
        <v>45553</v>
      </c>
      <c r="J1751" s="168" t="s">
        <v>7285</v>
      </c>
      <c r="K1751" s="174">
        <v>45554</v>
      </c>
      <c r="L1751" s="129" t="s">
        <v>3127</v>
      </c>
      <c r="M1751" s="129" t="s">
        <v>4</v>
      </c>
      <c r="N1751" s="129" t="s">
        <v>50</v>
      </c>
      <c r="O1751" s="129" t="s">
        <v>3406</v>
      </c>
      <c r="P1751" s="146"/>
      <c r="Q1751" s="170">
        <v>45554</v>
      </c>
      <c r="R1751" s="171" t="s">
        <v>150</v>
      </c>
      <c r="S1751" s="172"/>
    </row>
    <row r="1752" spans="1:19" ht="42.75">
      <c r="A1752" s="164" t="s">
        <v>777</v>
      </c>
      <c r="B1752" s="165" t="s">
        <v>1331</v>
      </c>
      <c r="C1752" s="165" t="s">
        <v>5291</v>
      </c>
      <c r="D1752" s="164">
        <v>1374</v>
      </c>
      <c r="E1752" s="164">
        <v>1481</v>
      </c>
      <c r="F1752" s="164" t="s">
        <v>3955</v>
      </c>
      <c r="G1752" s="164"/>
      <c r="H1752" s="167"/>
      <c r="I1752" s="167"/>
      <c r="J1752" s="167"/>
      <c r="K1752" s="169"/>
      <c r="L1752" s="129"/>
      <c r="M1752" s="129"/>
      <c r="N1752" s="129"/>
      <c r="O1752" s="129"/>
      <c r="P1752" s="146"/>
      <c r="Q1752" s="170"/>
      <c r="R1752" s="171"/>
      <c r="S1752" s="172"/>
    </row>
    <row r="1753" spans="1:19" ht="42.75">
      <c r="A1753" s="164" t="s">
        <v>777</v>
      </c>
      <c r="B1753" s="165" t="s">
        <v>1331</v>
      </c>
      <c r="C1753" s="165" t="s">
        <v>4476</v>
      </c>
      <c r="D1753" s="164">
        <v>1470</v>
      </c>
      <c r="E1753" s="164">
        <v>1786</v>
      </c>
      <c r="F1753" s="164" t="s">
        <v>3955</v>
      </c>
      <c r="G1753" s="164"/>
      <c r="H1753" s="167"/>
      <c r="I1753" s="167"/>
      <c r="J1753" s="167"/>
      <c r="K1753" s="169"/>
      <c r="L1753" s="129"/>
      <c r="M1753" s="129"/>
      <c r="N1753" s="129"/>
      <c r="O1753" s="129"/>
      <c r="P1753" s="146"/>
      <c r="Q1753" s="170"/>
      <c r="R1753" s="171"/>
      <c r="S1753" s="172"/>
    </row>
    <row r="1754" spans="1:19" ht="42.75">
      <c r="A1754" s="164" t="s">
        <v>777</v>
      </c>
      <c r="B1754" s="165" t="s">
        <v>1331</v>
      </c>
      <c r="C1754" s="165" t="s">
        <v>2116</v>
      </c>
      <c r="D1754" s="164">
        <v>3340</v>
      </c>
      <c r="E1754" s="164">
        <v>3750</v>
      </c>
      <c r="F1754" s="164" t="s">
        <v>3404</v>
      </c>
      <c r="G1754" s="164">
        <v>2024</v>
      </c>
      <c r="H1754" s="175">
        <v>45320</v>
      </c>
      <c r="I1754" s="175">
        <v>47148</v>
      </c>
      <c r="J1754" s="168" t="s">
        <v>7286</v>
      </c>
      <c r="K1754" s="169"/>
      <c r="L1754" s="129" t="s">
        <v>3458</v>
      </c>
      <c r="M1754" s="129"/>
      <c r="N1754" s="129"/>
      <c r="O1754" s="129" t="s">
        <v>3406</v>
      </c>
      <c r="P1754" s="146"/>
      <c r="Q1754" s="170"/>
      <c r="R1754" s="171"/>
      <c r="S1754" s="172"/>
    </row>
    <row r="1755" spans="1:19" ht="42.75">
      <c r="A1755" s="164" t="s">
        <v>777</v>
      </c>
      <c r="B1755" s="165" t="s">
        <v>1331</v>
      </c>
      <c r="C1755" s="165" t="s">
        <v>1234</v>
      </c>
      <c r="D1755" s="164">
        <v>6435</v>
      </c>
      <c r="E1755" s="164">
        <v>6542</v>
      </c>
      <c r="F1755" s="164" t="s">
        <v>3404</v>
      </c>
      <c r="G1755" s="164">
        <v>2024</v>
      </c>
      <c r="H1755" s="175">
        <v>45365</v>
      </c>
      <c r="I1755" s="175">
        <v>45365</v>
      </c>
      <c r="J1755" s="168" t="s">
        <v>7287</v>
      </c>
      <c r="K1755" s="174">
        <v>45397</v>
      </c>
      <c r="L1755" s="129" t="s">
        <v>3470</v>
      </c>
      <c r="M1755" s="129"/>
      <c r="N1755" s="129"/>
      <c r="O1755" s="129" t="s">
        <v>3406</v>
      </c>
      <c r="P1755" s="146"/>
      <c r="Q1755" s="170"/>
      <c r="R1755" s="171"/>
      <c r="S1755" s="172"/>
    </row>
    <row r="1756" spans="1:19" ht="42.75">
      <c r="A1756" s="164" t="s">
        <v>777</v>
      </c>
      <c r="B1756" s="165" t="s">
        <v>1331</v>
      </c>
      <c r="C1756" s="165" t="s">
        <v>5293</v>
      </c>
      <c r="D1756" s="164">
        <v>2747</v>
      </c>
      <c r="E1756" s="164">
        <v>2769</v>
      </c>
      <c r="F1756" s="164" t="s">
        <v>3404</v>
      </c>
      <c r="G1756" s="164">
        <v>2024</v>
      </c>
      <c r="H1756" s="175">
        <v>45553</v>
      </c>
      <c r="I1756" s="175">
        <v>45553</v>
      </c>
      <c r="J1756" s="168" t="s">
        <v>7288</v>
      </c>
      <c r="K1756" s="174">
        <v>45553</v>
      </c>
      <c r="L1756" s="129" t="s">
        <v>3127</v>
      </c>
      <c r="M1756" s="129" t="s">
        <v>4</v>
      </c>
      <c r="N1756" s="129" t="s">
        <v>50</v>
      </c>
      <c r="O1756" s="129" t="s">
        <v>3406</v>
      </c>
      <c r="P1756" s="146"/>
      <c r="Q1756" s="170">
        <v>45554</v>
      </c>
      <c r="R1756" s="171" t="s">
        <v>7058</v>
      </c>
      <c r="S1756" s="172"/>
    </row>
    <row r="1757" spans="1:19" ht="42.75">
      <c r="A1757" s="164" t="s">
        <v>777</v>
      </c>
      <c r="B1757" s="165" t="s">
        <v>1331</v>
      </c>
      <c r="C1757" s="165" t="s">
        <v>3848</v>
      </c>
      <c r="D1757" s="164">
        <v>2771</v>
      </c>
      <c r="E1757" s="164">
        <v>3240</v>
      </c>
      <c r="F1757" s="164" t="s">
        <v>3955</v>
      </c>
      <c r="G1757" s="164"/>
      <c r="H1757" s="167"/>
      <c r="I1757" s="167"/>
      <c r="J1757" s="167"/>
      <c r="K1757" s="169"/>
      <c r="L1757" s="129"/>
      <c r="M1757" s="129"/>
      <c r="N1757" s="129"/>
      <c r="O1757" s="129"/>
      <c r="P1757" s="146"/>
      <c r="Q1757" s="170"/>
      <c r="R1757" s="171"/>
      <c r="S1757" s="172"/>
    </row>
    <row r="1758" spans="1:19" ht="42.75">
      <c r="A1758" s="164" t="s">
        <v>777</v>
      </c>
      <c r="B1758" s="165" t="s">
        <v>1331</v>
      </c>
      <c r="C1758" s="165" t="s">
        <v>5294</v>
      </c>
      <c r="D1758" s="164">
        <v>2053</v>
      </c>
      <c r="E1758" s="164">
        <v>2411</v>
      </c>
      <c r="F1758" s="164" t="s">
        <v>3955</v>
      </c>
      <c r="G1758" s="164"/>
      <c r="H1758" s="167"/>
      <c r="I1758" s="167"/>
      <c r="J1758" s="167"/>
      <c r="K1758" s="169"/>
      <c r="L1758" s="129"/>
      <c r="M1758" s="129"/>
      <c r="N1758" s="129"/>
      <c r="O1758" s="129"/>
      <c r="P1758" s="146"/>
      <c r="Q1758" s="170"/>
      <c r="R1758" s="171"/>
      <c r="S1758" s="172"/>
    </row>
    <row r="1759" spans="1:19" ht="42.75">
      <c r="A1759" s="164" t="s">
        <v>777</v>
      </c>
      <c r="B1759" s="165" t="s">
        <v>1331</v>
      </c>
      <c r="C1759" s="165" t="s">
        <v>5296</v>
      </c>
      <c r="D1759" s="164">
        <v>4042</v>
      </c>
      <c r="E1759" s="164">
        <v>4455</v>
      </c>
      <c r="F1759" s="164" t="s">
        <v>3955</v>
      </c>
      <c r="G1759" s="164"/>
      <c r="H1759" s="167"/>
      <c r="I1759" s="167"/>
      <c r="J1759" s="167"/>
      <c r="K1759" s="169"/>
      <c r="L1759" s="129"/>
      <c r="M1759" s="129"/>
      <c r="N1759" s="129"/>
      <c r="O1759" s="129"/>
      <c r="P1759" s="146"/>
      <c r="Q1759" s="170"/>
      <c r="R1759" s="171"/>
      <c r="S1759" s="172"/>
    </row>
    <row r="1760" spans="1:19" ht="42.75">
      <c r="A1760" s="164" t="s">
        <v>777</v>
      </c>
      <c r="B1760" s="165" t="s">
        <v>1331</v>
      </c>
      <c r="C1760" s="165" t="s">
        <v>5298</v>
      </c>
      <c r="D1760" s="164">
        <v>1093</v>
      </c>
      <c r="E1760" s="164">
        <v>1200</v>
      </c>
      <c r="F1760" s="164" t="s">
        <v>3955</v>
      </c>
      <c r="G1760" s="164"/>
      <c r="H1760" s="167"/>
      <c r="I1760" s="167"/>
      <c r="J1760" s="167"/>
      <c r="K1760" s="169"/>
      <c r="L1760" s="129"/>
      <c r="M1760" s="129"/>
      <c r="N1760" s="129"/>
      <c r="O1760" s="129"/>
      <c r="P1760" s="146"/>
      <c r="Q1760" s="170"/>
      <c r="R1760" s="171"/>
      <c r="S1760" s="172"/>
    </row>
    <row r="1761" spans="1:19" ht="42.75">
      <c r="A1761" s="164" t="s">
        <v>777</v>
      </c>
      <c r="B1761" s="165" t="s">
        <v>1331</v>
      </c>
      <c r="C1761" s="165" t="s">
        <v>5300</v>
      </c>
      <c r="D1761" s="164">
        <v>1450</v>
      </c>
      <c r="E1761" s="164">
        <v>1625</v>
      </c>
      <c r="F1761" s="164" t="s">
        <v>3955</v>
      </c>
      <c r="G1761" s="164"/>
      <c r="H1761" s="167"/>
      <c r="I1761" s="167"/>
      <c r="J1761" s="167"/>
      <c r="K1761" s="169"/>
      <c r="L1761" s="129"/>
      <c r="M1761" s="129"/>
      <c r="N1761" s="129"/>
      <c r="O1761" s="129"/>
      <c r="P1761" s="146"/>
      <c r="Q1761" s="170"/>
      <c r="R1761" s="171"/>
      <c r="S1761" s="172"/>
    </row>
    <row r="1762" spans="1:19" ht="42.75">
      <c r="A1762" s="164" t="s">
        <v>777</v>
      </c>
      <c r="B1762" s="165" t="s">
        <v>1335</v>
      </c>
      <c r="C1762" s="165" t="s">
        <v>5301</v>
      </c>
      <c r="D1762" s="164">
        <v>1276</v>
      </c>
      <c r="E1762" s="164">
        <v>1247</v>
      </c>
      <c r="F1762" s="164" t="s">
        <v>3404</v>
      </c>
      <c r="G1762" s="164">
        <v>2024</v>
      </c>
      <c r="H1762" s="175">
        <v>45454</v>
      </c>
      <c r="I1762" s="175">
        <v>45460</v>
      </c>
      <c r="J1762" s="168" t="s">
        <v>7289</v>
      </c>
      <c r="K1762" s="174">
        <v>45462</v>
      </c>
      <c r="L1762" s="129" t="s">
        <v>3689</v>
      </c>
      <c r="M1762" s="129"/>
      <c r="N1762" s="129"/>
      <c r="O1762" s="129" t="s">
        <v>3406</v>
      </c>
      <c r="P1762" s="146"/>
      <c r="Q1762" s="170">
        <v>45464</v>
      </c>
      <c r="R1762" s="171"/>
      <c r="S1762" s="172"/>
    </row>
    <row r="1763" spans="1:19" ht="42.75">
      <c r="A1763" s="164" t="s">
        <v>777</v>
      </c>
      <c r="B1763" s="165" t="s">
        <v>1335</v>
      </c>
      <c r="C1763" s="165" t="s">
        <v>5302</v>
      </c>
      <c r="D1763" s="164">
        <v>1451</v>
      </c>
      <c r="E1763" s="164">
        <v>1663</v>
      </c>
      <c r="F1763" s="164" t="s">
        <v>3955</v>
      </c>
      <c r="G1763" s="164"/>
      <c r="H1763" s="167"/>
      <c r="I1763" s="167"/>
      <c r="J1763" s="167"/>
      <c r="K1763" s="169"/>
      <c r="L1763" s="129"/>
      <c r="M1763" s="129"/>
      <c r="N1763" s="129"/>
      <c r="O1763" s="129"/>
      <c r="P1763" s="146"/>
      <c r="Q1763" s="170"/>
      <c r="R1763" s="171"/>
      <c r="S1763" s="172"/>
    </row>
    <row r="1764" spans="1:19" ht="42.75">
      <c r="A1764" s="164" t="s">
        <v>777</v>
      </c>
      <c r="B1764" s="165" t="s">
        <v>1335</v>
      </c>
      <c r="C1764" s="165" t="s">
        <v>1336</v>
      </c>
      <c r="D1764" s="164">
        <v>683</v>
      </c>
      <c r="E1764" s="164">
        <v>712</v>
      </c>
      <c r="F1764" s="164" t="s">
        <v>3955</v>
      </c>
      <c r="G1764" s="164"/>
      <c r="H1764" s="167"/>
      <c r="I1764" s="167"/>
      <c r="J1764" s="167"/>
      <c r="K1764" s="169"/>
      <c r="L1764" s="129"/>
      <c r="M1764" s="129"/>
      <c r="N1764" s="129"/>
      <c r="O1764" s="129"/>
      <c r="P1764" s="146"/>
      <c r="Q1764" s="170"/>
      <c r="R1764" s="171"/>
      <c r="S1764" s="172"/>
    </row>
    <row r="1765" spans="1:19" ht="42.75">
      <c r="A1765" s="164" t="s">
        <v>777</v>
      </c>
      <c r="B1765" s="165" t="s">
        <v>1335</v>
      </c>
      <c r="C1765" s="165" t="s">
        <v>5305</v>
      </c>
      <c r="D1765" s="164">
        <v>597</v>
      </c>
      <c r="E1765" s="164">
        <v>658</v>
      </c>
      <c r="F1765" s="164" t="s">
        <v>3955</v>
      </c>
      <c r="G1765" s="164"/>
      <c r="H1765" s="167"/>
      <c r="I1765" s="167"/>
      <c r="J1765" s="167"/>
      <c r="K1765" s="169"/>
      <c r="L1765" s="129"/>
      <c r="M1765" s="129"/>
      <c r="N1765" s="129"/>
      <c r="O1765" s="129"/>
      <c r="P1765" s="146"/>
      <c r="Q1765" s="170"/>
      <c r="R1765" s="171"/>
      <c r="S1765" s="172"/>
    </row>
    <row r="1766" spans="1:19" ht="42.75">
      <c r="A1766" s="164" t="s">
        <v>777</v>
      </c>
      <c r="B1766" s="165" t="s">
        <v>1335</v>
      </c>
      <c r="C1766" s="165" t="s">
        <v>5214</v>
      </c>
      <c r="D1766" s="164">
        <v>472</v>
      </c>
      <c r="E1766" s="164">
        <v>483</v>
      </c>
      <c r="F1766" s="164" t="s">
        <v>3955</v>
      </c>
      <c r="G1766" s="164"/>
      <c r="H1766" s="167"/>
      <c r="I1766" s="167"/>
      <c r="J1766" s="167"/>
      <c r="K1766" s="169"/>
      <c r="L1766" s="129"/>
      <c r="M1766" s="129"/>
      <c r="N1766" s="129"/>
      <c r="O1766" s="129"/>
      <c r="P1766" s="146"/>
      <c r="Q1766" s="170"/>
      <c r="R1766" s="171"/>
      <c r="S1766" s="172"/>
    </row>
    <row r="1767" spans="1:19" ht="42.75">
      <c r="A1767" s="164" t="s">
        <v>777</v>
      </c>
      <c r="B1767" s="165" t="s">
        <v>1335</v>
      </c>
      <c r="C1767" s="165" t="s">
        <v>5306</v>
      </c>
      <c r="D1767" s="164">
        <v>800</v>
      </c>
      <c r="E1767" s="164">
        <v>780</v>
      </c>
      <c r="F1767" s="164" t="s">
        <v>3955</v>
      </c>
      <c r="G1767" s="164"/>
      <c r="H1767" s="167"/>
      <c r="I1767" s="167"/>
      <c r="J1767" s="167"/>
      <c r="K1767" s="169"/>
      <c r="L1767" s="129"/>
      <c r="M1767" s="129"/>
      <c r="N1767" s="129"/>
      <c r="O1767" s="129"/>
      <c r="P1767" s="146"/>
      <c r="Q1767" s="170"/>
      <c r="R1767" s="171"/>
      <c r="S1767" s="172"/>
    </row>
    <row r="1768" spans="1:19" ht="42.75">
      <c r="A1768" s="164" t="s">
        <v>777</v>
      </c>
      <c r="B1768" s="165" t="s">
        <v>1335</v>
      </c>
      <c r="C1768" s="165" t="s">
        <v>5308</v>
      </c>
      <c r="D1768" s="164">
        <v>851</v>
      </c>
      <c r="E1768" s="164">
        <v>957</v>
      </c>
      <c r="F1768" s="164" t="s">
        <v>3955</v>
      </c>
      <c r="G1768" s="164"/>
      <c r="H1768" s="167"/>
      <c r="I1768" s="167"/>
      <c r="J1768" s="167"/>
      <c r="K1768" s="169"/>
      <c r="L1768" s="129"/>
      <c r="M1768" s="129"/>
      <c r="N1768" s="129"/>
      <c r="O1768" s="129"/>
      <c r="P1768" s="146"/>
      <c r="Q1768" s="170"/>
      <c r="R1768" s="171"/>
      <c r="S1768" s="172"/>
    </row>
    <row r="1769" spans="1:19" ht="42.75">
      <c r="A1769" s="164" t="s">
        <v>777</v>
      </c>
      <c r="B1769" s="165" t="s">
        <v>1335</v>
      </c>
      <c r="C1769" s="165" t="s">
        <v>5309</v>
      </c>
      <c r="D1769" s="164">
        <v>778</v>
      </c>
      <c r="E1769" s="164">
        <v>842</v>
      </c>
      <c r="F1769" s="164" t="s">
        <v>3404</v>
      </c>
      <c r="G1769" s="164">
        <v>2024</v>
      </c>
      <c r="H1769" s="175">
        <v>45454</v>
      </c>
      <c r="I1769" s="175">
        <v>46555</v>
      </c>
      <c r="J1769" s="168" t="s">
        <v>7290</v>
      </c>
      <c r="K1769" s="174">
        <v>45462</v>
      </c>
      <c r="L1769" s="129" t="s">
        <v>3689</v>
      </c>
      <c r="M1769" s="129"/>
      <c r="N1769" s="129"/>
      <c r="O1769" s="129" t="s">
        <v>3406</v>
      </c>
      <c r="P1769" s="146"/>
      <c r="Q1769" s="170">
        <v>45464</v>
      </c>
      <c r="R1769" s="171"/>
      <c r="S1769" s="172"/>
    </row>
    <row r="1770" spans="1:19" ht="42.75">
      <c r="A1770" s="164" t="s">
        <v>777</v>
      </c>
      <c r="B1770" s="165" t="s">
        <v>1335</v>
      </c>
      <c r="C1770" s="165" t="s">
        <v>5310</v>
      </c>
      <c r="D1770" s="164">
        <v>1480</v>
      </c>
      <c r="E1770" s="164">
        <v>1520</v>
      </c>
      <c r="F1770" s="164" t="s">
        <v>3404</v>
      </c>
      <c r="G1770" s="164">
        <v>2024</v>
      </c>
      <c r="H1770" s="175">
        <v>45454</v>
      </c>
      <c r="I1770" s="175">
        <v>45460</v>
      </c>
      <c r="J1770" s="168" t="s">
        <v>7291</v>
      </c>
      <c r="K1770" s="174">
        <v>45463</v>
      </c>
      <c r="L1770" s="129" t="s">
        <v>3689</v>
      </c>
      <c r="M1770" s="129"/>
      <c r="N1770" s="129"/>
      <c r="O1770" s="129" t="s">
        <v>3406</v>
      </c>
      <c r="P1770" s="146"/>
      <c r="Q1770" s="170">
        <v>45464</v>
      </c>
      <c r="R1770" s="171"/>
      <c r="S1770" s="172"/>
    </row>
    <row r="1771" spans="1:19" ht="42.75">
      <c r="A1771" s="164" t="s">
        <v>777</v>
      </c>
      <c r="B1771" s="165" t="s">
        <v>1335</v>
      </c>
      <c r="C1771" s="165" t="s">
        <v>5311</v>
      </c>
      <c r="D1771" s="164">
        <v>658</v>
      </c>
      <c r="E1771" s="164">
        <v>730</v>
      </c>
      <c r="F1771" s="164" t="s">
        <v>3955</v>
      </c>
      <c r="G1771" s="164"/>
      <c r="H1771" s="167"/>
      <c r="I1771" s="167"/>
      <c r="J1771" s="167"/>
      <c r="K1771" s="169"/>
      <c r="L1771" s="129"/>
      <c r="M1771" s="129"/>
      <c r="N1771" s="129"/>
      <c r="O1771" s="129"/>
      <c r="P1771" s="146"/>
      <c r="Q1771" s="170"/>
      <c r="R1771" s="171"/>
      <c r="S1771" s="172"/>
    </row>
    <row r="1772" spans="1:19" ht="42.75">
      <c r="A1772" s="164" t="s">
        <v>777</v>
      </c>
      <c r="B1772" s="165" t="s">
        <v>1335</v>
      </c>
      <c r="C1772" s="165" t="s">
        <v>5312</v>
      </c>
      <c r="D1772" s="164">
        <v>160</v>
      </c>
      <c r="E1772" s="164">
        <v>159</v>
      </c>
      <c r="F1772" s="164" t="s">
        <v>3955</v>
      </c>
      <c r="G1772" s="164"/>
      <c r="H1772" s="167"/>
      <c r="I1772" s="167"/>
      <c r="J1772" s="167"/>
      <c r="K1772" s="169"/>
      <c r="L1772" s="129"/>
      <c r="M1772" s="129"/>
      <c r="N1772" s="129"/>
      <c r="O1772" s="129"/>
      <c r="P1772" s="146"/>
      <c r="Q1772" s="170"/>
      <c r="R1772" s="171"/>
      <c r="S1772" s="172"/>
    </row>
    <row r="1773" spans="1:19" ht="42.75">
      <c r="A1773" s="164" t="s">
        <v>777</v>
      </c>
      <c r="B1773" s="165" t="s">
        <v>1335</v>
      </c>
      <c r="C1773" s="165" t="s">
        <v>5313</v>
      </c>
      <c r="D1773" s="164">
        <v>893</v>
      </c>
      <c r="E1773" s="164">
        <v>936</v>
      </c>
      <c r="F1773" s="164" t="s">
        <v>3955</v>
      </c>
      <c r="G1773" s="164"/>
      <c r="H1773" s="167"/>
      <c r="I1773" s="167"/>
      <c r="J1773" s="167"/>
      <c r="K1773" s="169"/>
      <c r="L1773" s="129"/>
      <c r="M1773" s="129"/>
      <c r="N1773" s="129"/>
      <c r="O1773" s="129"/>
      <c r="P1773" s="146"/>
      <c r="Q1773" s="170"/>
      <c r="R1773" s="171"/>
      <c r="S1773" s="172"/>
    </row>
    <row r="1774" spans="1:19" ht="42.75">
      <c r="A1774" s="164" t="s">
        <v>777</v>
      </c>
      <c r="B1774" s="165" t="s">
        <v>1335</v>
      </c>
      <c r="C1774" s="165" t="s">
        <v>5314</v>
      </c>
      <c r="D1774" s="164">
        <v>1091</v>
      </c>
      <c r="E1774" s="164">
        <v>1093</v>
      </c>
      <c r="F1774" s="164" t="s">
        <v>3404</v>
      </c>
      <c r="G1774" s="164">
        <v>2024</v>
      </c>
      <c r="H1774" s="175">
        <v>45454</v>
      </c>
      <c r="I1774" s="175">
        <v>45460</v>
      </c>
      <c r="J1774" s="168" t="s">
        <v>7292</v>
      </c>
      <c r="K1774" s="174">
        <v>45463</v>
      </c>
      <c r="L1774" s="129" t="s">
        <v>3689</v>
      </c>
      <c r="M1774" s="129"/>
      <c r="N1774" s="129"/>
      <c r="O1774" s="129" t="s">
        <v>3406</v>
      </c>
      <c r="P1774" s="146"/>
      <c r="Q1774" s="170">
        <v>45464</v>
      </c>
      <c r="R1774" s="171"/>
      <c r="S1774" s="172"/>
    </row>
    <row r="1775" spans="1:19" ht="42.75">
      <c r="A1775" s="164" t="s">
        <v>777</v>
      </c>
      <c r="B1775" s="165" t="s">
        <v>1335</v>
      </c>
      <c r="C1775" s="165" t="s">
        <v>5315</v>
      </c>
      <c r="D1775" s="164">
        <v>895</v>
      </c>
      <c r="E1775" s="164">
        <v>871</v>
      </c>
      <c r="F1775" s="164" t="s">
        <v>3955</v>
      </c>
      <c r="G1775" s="164"/>
      <c r="H1775" s="167"/>
      <c r="I1775" s="167"/>
      <c r="J1775" s="167"/>
      <c r="K1775" s="169"/>
      <c r="L1775" s="129"/>
      <c r="M1775" s="129"/>
      <c r="N1775" s="129"/>
      <c r="O1775" s="129"/>
      <c r="P1775" s="146"/>
      <c r="Q1775" s="170"/>
      <c r="R1775" s="171"/>
      <c r="S1775" s="172"/>
    </row>
    <row r="1776" spans="1:19" ht="42.75">
      <c r="A1776" s="164" t="s">
        <v>777</v>
      </c>
      <c r="B1776" s="165" t="s">
        <v>1335</v>
      </c>
      <c r="C1776" s="165" t="s">
        <v>5316</v>
      </c>
      <c r="D1776" s="164">
        <v>1433</v>
      </c>
      <c r="E1776" s="164">
        <v>1455</v>
      </c>
      <c r="F1776" s="164" t="s">
        <v>3955</v>
      </c>
      <c r="G1776" s="164"/>
      <c r="H1776" s="167"/>
      <c r="I1776" s="167"/>
      <c r="J1776" s="167"/>
      <c r="K1776" s="169"/>
      <c r="L1776" s="129"/>
      <c r="M1776" s="129"/>
      <c r="N1776" s="129"/>
      <c r="O1776" s="129"/>
      <c r="P1776" s="146"/>
      <c r="Q1776" s="170"/>
      <c r="R1776" s="171"/>
      <c r="S1776" s="172"/>
    </row>
    <row r="1777" spans="1:19" ht="42.75">
      <c r="A1777" s="164" t="s">
        <v>777</v>
      </c>
      <c r="B1777" s="165" t="s">
        <v>1335</v>
      </c>
      <c r="C1777" s="165" t="s">
        <v>5317</v>
      </c>
      <c r="D1777" s="164">
        <v>1062</v>
      </c>
      <c r="E1777" s="164">
        <v>1230</v>
      </c>
      <c r="F1777" s="164" t="s">
        <v>3404</v>
      </c>
      <c r="G1777" s="164">
        <v>2024</v>
      </c>
      <c r="H1777" s="175">
        <v>45454</v>
      </c>
      <c r="I1777" s="175">
        <v>45460</v>
      </c>
      <c r="J1777" s="168" t="s">
        <v>7293</v>
      </c>
      <c r="K1777" s="174">
        <v>45463</v>
      </c>
      <c r="L1777" s="129" t="s">
        <v>3689</v>
      </c>
      <c r="M1777" s="129"/>
      <c r="N1777" s="129"/>
      <c r="O1777" s="129" t="s">
        <v>3406</v>
      </c>
      <c r="P1777" s="146"/>
      <c r="Q1777" s="170">
        <v>45464</v>
      </c>
      <c r="R1777" s="171"/>
      <c r="S1777" s="172"/>
    </row>
    <row r="1778" spans="1:19" ht="42.75">
      <c r="A1778" s="164" t="s">
        <v>777</v>
      </c>
      <c r="B1778" s="165" t="s">
        <v>1335</v>
      </c>
      <c r="C1778" s="165" t="s">
        <v>5318</v>
      </c>
      <c r="D1778" s="164">
        <v>1071</v>
      </c>
      <c r="E1778" s="164">
        <v>1075</v>
      </c>
      <c r="F1778" s="164" t="s">
        <v>3404</v>
      </c>
      <c r="G1778" s="164">
        <v>2024</v>
      </c>
      <c r="H1778" s="175">
        <v>45454</v>
      </c>
      <c r="I1778" s="175">
        <v>45460</v>
      </c>
      <c r="J1778" s="168" t="s">
        <v>7294</v>
      </c>
      <c r="K1778" s="174">
        <v>45463</v>
      </c>
      <c r="L1778" s="129" t="s">
        <v>3689</v>
      </c>
      <c r="M1778" s="129"/>
      <c r="N1778" s="129"/>
      <c r="O1778" s="129" t="s">
        <v>3406</v>
      </c>
      <c r="P1778" s="146"/>
      <c r="Q1778" s="170">
        <v>45464</v>
      </c>
      <c r="R1778" s="171"/>
      <c r="S1778" s="172"/>
    </row>
    <row r="1779" spans="1:19" ht="42.75">
      <c r="A1779" s="164" t="s">
        <v>777</v>
      </c>
      <c r="B1779" s="165" t="s">
        <v>1335</v>
      </c>
      <c r="C1779" s="165" t="s">
        <v>3715</v>
      </c>
      <c r="D1779" s="164">
        <v>932</v>
      </c>
      <c r="E1779" s="164">
        <v>974</v>
      </c>
      <c r="F1779" s="164" t="s">
        <v>3955</v>
      </c>
      <c r="G1779" s="164"/>
      <c r="H1779" s="167"/>
      <c r="I1779" s="167"/>
      <c r="J1779" s="167"/>
      <c r="K1779" s="169"/>
      <c r="L1779" s="129"/>
      <c r="M1779" s="129"/>
      <c r="N1779" s="129"/>
      <c r="O1779" s="129"/>
      <c r="P1779" s="146"/>
      <c r="Q1779" s="170"/>
      <c r="R1779" s="171"/>
      <c r="S1779" s="172"/>
    </row>
    <row r="1780" spans="1:19" ht="42.75">
      <c r="A1780" s="164" t="s">
        <v>777</v>
      </c>
      <c r="B1780" s="165" t="s">
        <v>1335</v>
      </c>
      <c r="C1780" s="165" t="s">
        <v>3717</v>
      </c>
      <c r="D1780" s="164">
        <v>155</v>
      </c>
      <c r="E1780" s="164">
        <v>195</v>
      </c>
      <c r="F1780" s="164" t="s">
        <v>3955</v>
      </c>
      <c r="G1780" s="164"/>
      <c r="H1780" s="167"/>
      <c r="I1780" s="167"/>
      <c r="J1780" s="167"/>
      <c r="K1780" s="169"/>
      <c r="L1780" s="129"/>
      <c r="M1780" s="129"/>
      <c r="N1780" s="129"/>
      <c r="O1780" s="129"/>
      <c r="P1780" s="146"/>
      <c r="Q1780" s="170"/>
      <c r="R1780" s="171"/>
      <c r="S1780" s="172"/>
    </row>
    <row r="1781" spans="1:19" ht="42.75">
      <c r="A1781" s="164" t="s">
        <v>777</v>
      </c>
      <c r="B1781" s="165" t="s">
        <v>1335</v>
      </c>
      <c r="C1781" s="165" t="s">
        <v>4476</v>
      </c>
      <c r="D1781" s="164">
        <v>322</v>
      </c>
      <c r="E1781" s="164">
        <v>327</v>
      </c>
      <c r="F1781" s="164" t="s">
        <v>3955</v>
      </c>
      <c r="G1781" s="164"/>
      <c r="H1781" s="167"/>
      <c r="I1781" s="167"/>
      <c r="J1781" s="167"/>
      <c r="K1781" s="169"/>
      <c r="L1781" s="129"/>
      <c r="M1781" s="129"/>
      <c r="N1781" s="129"/>
      <c r="O1781" s="129"/>
      <c r="P1781" s="146"/>
      <c r="Q1781" s="170"/>
      <c r="R1781" s="171"/>
      <c r="S1781" s="172"/>
    </row>
    <row r="1782" spans="1:19" ht="42.75">
      <c r="A1782" s="164" t="s">
        <v>777</v>
      </c>
      <c r="B1782" s="165" t="s">
        <v>1335</v>
      </c>
      <c r="C1782" s="165" t="s">
        <v>5319</v>
      </c>
      <c r="D1782" s="164">
        <v>622</v>
      </c>
      <c r="E1782" s="164">
        <v>698</v>
      </c>
      <c r="F1782" s="164" t="s">
        <v>3955</v>
      </c>
      <c r="G1782" s="164"/>
      <c r="H1782" s="167"/>
      <c r="I1782" s="167"/>
      <c r="J1782" s="167"/>
      <c r="K1782" s="169"/>
      <c r="L1782" s="129"/>
      <c r="M1782" s="129"/>
      <c r="N1782" s="129"/>
      <c r="O1782" s="129"/>
      <c r="P1782" s="146"/>
      <c r="Q1782" s="170"/>
      <c r="R1782" s="171"/>
      <c r="S1782" s="172"/>
    </row>
    <row r="1783" spans="1:19" ht="42.75">
      <c r="A1783" s="164" t="s">
        <v>777</v>
      </c>
      <c r="B1783" s="165" t="s">
        <v>1335</v>
      </c>
      <c r="C1783" s="165" t="s">
        <v>3133</v>
      </c>
      <c r="D1783" s="164">
        <v>665</v>
      </c>
      <c r="E1783" s="164">
        <v>682</v>
      </c>
      <c r="F1783" s="164" t="s">
        <v>3955</v>
      </c>
      <c r="G1783" s="164"/>
      <c r="H1783" s="167"/>
      <c r="I1783" s="167"/>
      <c r="J1783" s="167"/>
      <c r="K1783" s="169"/>
      <c r="L1783" s="129"/>
      <c r="M1783" s="129"/>
      <c r="N1783" s="129"/>
      <c r="O1783" s="129"/>
      <c r="P1783" s="146"/>
      <c r="Q1783" s="170"/>
      <c r="R1783" s="171"/>
      <c r="S1783" s="172"/>
    </row>
    <row r="1784" spans="1:19" ht="42.75">
      <c r="A1784" s="164" t="s">
        <v>777</v>
      </c>
      <c r="B1784" s="165" t="s">
        <v>1335</v>
      </c>
      <c r="C1784" s="165" t="s">
        <v>5320</v>
      </c>
      <c r="D1784" s="164">
        <v>850</v>
      </c>
      <c r="E1784" s="164">
        <v>910</v>
      </c>
      <c r="F1784" s="164" t="s">
        <v>3955</v>
      </c>
      <c r="G1784" s="164"/>
      <c r="H1784" s="167"/>
      <c r="I1784" s="167"/>
      <c r="J1784" s="167"/>
      <c r="K1784" s="169"/>
      <c r="L1784" s="129"/>
      <c r="M1784" s="129"/>
      <c r="N1784" s="129"/>
      <c r="O1784" s="129"/>
      <c r="P1784" s="146"/>
      <c r="Q1784" s="170"/>
      <c r="R1784" s="171"/>
      <c r="S1784" s="172"/>
    </row>
    <row r="1785" spans="1:19" ht="42.75">
      <c r="A1785" s="164" t="s">
        <v>777</v>
      </c>
      <c r="B1785" s="165" t="s">
        <v>1335</v>
      </c>
      <c r="C1785" s="165" t="s">
        <v>5321</v>
      </c>
      <c r="D1785" s="164">
        <v>1552</v>
      </c>
      <c r="E1785" s="164">
        <v>1762</v>
      </c>
      <c r="F1785" s="164" t="s">
        <v>3955</v>
      </c>
      <c r="G1785" s="164"/>
      <c r="H1785" s="167"/>
      <c r="I1785" s="167"/>
      <c r="J1785" s="167"/>
      <c r="K1785" s="169"/>
      <c r="L1785" s="129"/>
      <c r="M1785" s="129"/>
      <c r="N1785" s="129"/>
      <c r="O1785" s="129"/>
      <c r="P1785" s="146"/>
      <c r="Q1785" s="170"/>
      <c r="R1785" s="171"/>
      <c r="S1785" s="172"/>
    </row>
    <row r="1786" spans="1:19" ht="42.75">
      <c r="A1786" s="164" t="s">
        <v>777</v>
      </c>
      <c r="B1786" s="165" t="s">
        <v>1335</v>
      </c>
      <c r="C1786" s="165" t="s">
        <v>5322</v>
      </c>
      <c r="D1786" s="164">
        <v>945</v>
      </c>
      <c r="E1786" s="164">
        <v>898</v>
      </c>
      <c r="F1786" s="164" t="s">
        <v>3955</v>
      </c>
      <c r="G1786" s="164"/>
      <c r="H1786" s="167"/>
      <c r="I1786" s="167"/>
      <c r="J1786" s="167"/>
      <c r="K1786" s="169"/>
      <c r="L1786" s="129"/>
      <c r="M1786" s="129"/>
      <c r="N1786" s="129"/>
      <c r="O1786" s="129"/>
      <c r="P1786" s="146"/>
      <c r="Q1786" s="170"/>
      <c r="R1786" s="171"/>
      <c r="S1786" s="172"/>
    </row>
    <row r="1787" spans="1:19" ht="42.75">
      <c r="A1787" s="164" t="s">
        <v>777</v>
      </c>
      <c r="B1787" s="165" t="s">
        <v>1335</v>
      </c>
      <c r="C1787" s="165" t="s">
        <v>1462</v>
      </c>
      <c r="D1787" s="164">
        <v>625</v>
      </c>
      <c r="E1787" s="164">
        <v>729</v>
      </c>
      <c r="F1787" s="164" t="s">
        <v>3955</v>
      </c>
      <c r="G1787" s="164"/>
      <c r="H1787" s="167"/>
      <c r="I1787" s="167"/>
      <c r="J1787" s="167"/>
      <c r="K1787" s="169"/>
      <c r="L1787" s="129"/>
      <c r="M1787" s="129"/>
      <c r="N1787" s="129"/>
      <c r="O1787" s="129"/>
      <c r="P1787" s="146"/>
      <c r="Q1787" s="170"/>
      <c r="R1787" s="171"/>
      <c r="S1787" s="172"/>
    </row>
    <row r="1788" spans="1:19" ht="42.75">
      <c r="A1788" s="164" t="s">
        <v>777</v>
      </c>
      <c r="B1788" s="165" t="s">
        <v>1335</v>
      </c>
      <c r="C1788" s="165" t="s">
        <v>5325</v>
      </c>
      <c r="D1788" s="164">
        <v>445</v>
      </c>
      <c r="E1788" s="164">
        <v>458</v>
      </c>
      <c r="F1788" s="164" t="s">
        <v>3955</v>
      </c>
      <c r="G1788" s="164"/>
      <c r="H1788" s="167"/>
      <c r="I1788" s="167"/>
      <c r="J1788" s="167"/>
      <c r="K1788" s="169"/>
      <c r="L1788" s="129"/>
      <c r="M1788" s="129"/>
      <c r="N1788" s="129"/>
      <c r="O1788" s="129"/>
      <c r="P1788" s="146"/>
      <c r="Q1788" s="170"/>
      <c r="R1788" s="171"/>
      <c r="S1788" s="172"/>
    </row>
    <row r="1789" spans="1:19" ht="42.75">
      <c r="A1789" s="164" t="s">
        <v>777</v>
      </c>
      <c r="B1789" s="165" t="s">
        <v>1335</v>
      </c>
      <c r="C1789" s="165" t="s">
        <v>5323</v>
      </c>
      <c r="D1789" s="164">
        <v>1053</v>
      </c>
      <c r="E1789" s="164">
        <v>1192</v>
      </c>
      <c r="F1789" s="164" t="s">
        <v>3955</v>
      </c>
      <c r="G1789" s="164"/>
      <c r="H1789" s="167"/>
      <c r="I1789" s="167"/>
      <c r="J1789" s="167"/>
      <c r="K1789" s="169"/>
      <c r="L1789" s="129"/>
      <c r="M1789" s="129"/>
      <c r="N1789" s="129"/>
      <c r="O1789" s="129"/>
      <c r="P1789" s="146"/>
      <c r="Q1789" s="170"/>
      <c r="R1789" s="171"/>
      <c r="S1789" s="172"/>
    </row>
    <row r="1790" spans="1:19" ht="42.75">
      <c r="A1790" s="164" t="s">
        <v>777</v>
      </c>
      <c r="B1790" s="165" t="s">
        <v>5326</v>
      </c>
      <c r="C1790" s="165" t="s">
        <v>5327</v>
      </c>
      <c r="D1790" s="164">
        <v>3792</v>
      </c>
      <c r="E1790" s="164">
        <v>4241</v>
      </c>
      <c r="F1790" s="164" t="s">
        <v>3955</v>
      </c>
      <c r="G1790" s="164"/>
      <c r="H1790" s="167"/>
      <c r="I1790" s="167"/>
      <c r="J1790" s="167"/>
      <c r="K1790" s="169"/>
      <c r="L1790" s="129"/>
      <c r="M1790" s="129"/>
      <c r="N1790" s="129"/>
      <c r="O1790" s="129"/>
      <c r="P1790" s="146"/>
      <c r="Q1790" s="170"/>
      <c r="R1790" s="171"/>
      <c r="S1790" s="172"/>
    </row>
    <row r="1791" spans="1:19" ht="42.75">
      <c r="A1791" s="164" t="s">
        <v>777</v>
      </c>
      <c r="B1791" s="165" t="s">
        <v>5326</v>
      </c>
      <c r="C1791" s="165" t="s">
        <v>5328</v>
      </c>
      <c r="D1791" s="164">
        <v>3405</v>
      </c>
      <c r="E1791" s="164">
        <v>3623</v>
      </c>
      <c r="F1791" s="164" t="s">
        <v>3955</v>
      </c>
      <c r="G1791" s="164"/>
      <c r="H1791" s="167"/>
      <c r="I1791" s="167"/>
      <c r="J1791" s="167"/>
      <c r="K1791" s="169"/>
      <c r="L1791" s="129"/>
      <c r="M1791" s="129"/>
      <c r="N1791" s="129"/>
      <c r="O1791" s="129"/>
      <c r="P1791" s="146"/>
      <c r="Q1791" s="170"/>
      <c r="R1791" s="171"/>
      <c r="S1791" s="172"/>
    </row>
    <row r="1792" spans="1:19" ht="42.75">
      <c r="A1792" s="164" t="s">
        <v>777</v>
      </c>
      <c r="B1792" s="165" t="s">
        <v>5326</v>
      </c>
      <c r="C1792" s="165" t="s">
        <v>1185</v>
      </c>
      <c r="D1792" s="164">
        <v>5534</v>
      </c>
      <c r="E1792" s="164">
        <v>5965</v>
      </c>
      <c r="F1792" s="164" t="s">
        <v>3955</v>
      </c>
      <c r="G1792" s="164"/>
      <c r="H1792" s="167"/>
      <c r="I1792" s="167"/>
      <c r="J1792" s="167"/>
      <c r="K1792" s="169"/>
      <c r="L1792" s="129"/>
      <c r="M1792" s="129"/>
      <c r="N1792" s="129"/>
      <c r="O1792" s="129"/>
      <c r="P1792" s="146"/>
      <c r="Q1792" s="170"/>
      <c r="R1792" s="171"/>
      <c r="S1792" s="172"/>
    </row>
    <row r="1793" spans="1:19" ht="42.75">
      <c r="A1793" s="164" t="s">
        <v>777</v>
      </c>
      <c r="B1793" s="165" t="s">
        <v>5326</v>
      </c>
      <c r="C1793" s="165" t="s">
        <v>5063</v>
      </c>
      <c r="D1793" s="164">
        <v>3528</v>
      </c>
      <c r="E1793" s="164">
        <v>3746</v>
      </c>
      <c r="F1793" s="164" t="s">
        <v>3955</v>
      </c>
      <c r="G1793" s="164"/>
      <c r="H1793" s="167"/>
      <c r="I1793" s="167"/>
      <c r="J1793" s="167"/>
      <c r="K1793" s="169"/>
      <c r="L1793" s="129"/>
      <c r="M1793" s="129"/>
      <c r="N1793" s="129"/>
      <c r="O1793" s="129"/>
      <c r="P1793" s="146"/>
      <c r="Q1793" s="170"/>
      <c r="R1793" s="171"/>
      <c r="S1793" s="172"/>
    </row>
    <row r="1794" spans="1:19" ht="42.75">
      <c r="A1794" s="164" t="s">
        <v>777</v>
      </c>
      <c r="B1794" s="165" t="s">
        <v>5326</v>
      </c>
      <c r="C1794" s="165" t="s">
        <v>4683</v>
      </c>
      <c r="D1794" s="164">
        <v>2285</v>
      </c>
      <c r="E1794" s="164">
        <v>2424</v>
      </c>
      <c r="F1794" s="164" t="s">
        <v>3955</v>
      </c>
      <c r="G1794" s="164"/>
      <c r="H1794" s="167"/>
      <c r="I1794" s="167"/>
      <c r="J1794" s="167"/>
      <c r="K1794" s="169"/>
      <c r="L1794" s="129"/>
      <c r="M1794" s="129"/>
      <c r="N1794" s="129"/>
      <c r="O1794" s="129"/>
      <c r="P1794" s="146"/>
      <c r="Q1794" s="170"/>
      <c r="R1794" s="171"/>
      <c r="S1794" s="172"/>
    </row>
    <row r="1795" spans="1:19" ht="42.75">
      <c r="A1795" s="164" t="s">
        <v>777</v>
      </c>
      <c r="B1795" s="165" t="s">
        <v>5326</v>
      </c>
      <c r="C1795" s="165" t="s">
        <v>5331</v>
      </c>
      <c r="D1795" s="164">
        <v>757</v>
      </c>
      <c r="E1795" s="164">
        <v>860</v>
      </c>
      <c r="F1795" s="164" t="s">
        <v>3955</v>
      </c>
      <c r="G1795" s="164"/>
      <c r="H1795" s="167"/>
      <c r="I1795" s="167"/>
      <c r="J1795" s="167"/>
      <c r="K1795" s="169"/>
      <c r="L1795" s="129"/>
      <c r="M1795" s="129"/>
      <c r="N1795" s="129"/>
      <c r="O1795" s="129"/>
      <c r="P1795" s="146"/>
      <c r="Q1795" s="170"/>
      <c r="R1795" s="171"/>
      <c r="S1795" s="172"/>
    </row>
    <row r="1796" spans="1:19" ht="42.75">
      <c r="A1796" s="164" t="s">
        <v>777</v>
      </c>
      <c r="B1796" s="165" t="s">
        <v>5326</v>
      </c>
      <c r="C1796" s="165" t="s">
        <v>5332</v>
      </c>
      <c r="D1796" s="164">
        <v>2884</v>
      </c>
      <c r="E1796" s="164">
        <v>3211</v>
      </c>
      <c r="F1796" s="164" t="s">
        <v>3955</v>
      </c>
      <c r="G1796" s="164"/>
      <c r="H1796" s="167"/>
      <c r="I1796" s="167"/>
      <c r="J1796" s="167"/>
      <c r="K1796" s="169"/>
      <c r="L1796" s="129"/>
      <c r="M1796" s="129"/>
      <c r="N1796" s="129"/>
      <c r="O1796" s="129"/>
      <c r="P1796" s="146"/>
      <c r="Q1796" s="170"/>
      <c r="R1796" s="171"/>
      <c r="S1796" s="172"/>
    </row>
    <row r="1797" spans="1:19" ht="42.75">
      <c r="A1797" s="164" t="s">
        <v>777</v>
      </c>
      <c r="B1797" s="165" t="s">
        <v>5326</v>
      </c>
      <c r="C1797" s="165" t="s">
        <v>5333</v>
      </c>
      <c r="D1797" s="164">
        <v>1271</v>
      </c>
      <c r="E1797" s="164">
        <v>1375</v>
      </c>
      <c r="F1797" s="164" t="s">
        <v>3955</v>
      </c>
      <c r="G1797" s="164"/>
      <c r="H1797" s="167"/>
      <c r="I1797" s="167"/>
      <c r="J1797" s="167"/>
      <c r="K1797" s="169"/>
      <c r="L1797" s="129"/>
      <c r="M1797" s="129"/>
      <c r="N1797" s="129"/>
      <c r="O1797" s="129"/>
      <c r="P1797" s="146"/>
      <c r="Q1797" s="170"/>
      <c r="R1797" s="171"/>
      <c r="S1797" s="172"/>
    </row>
    <row r="1798" spans="1:19" ht="42.75">
      <c r="A1798" s="164" t="s">
        <v>777</v>
      </c>
      <c r="B1798" s="165" t="s">
        <v>5326</v>
      </c>
      <c r="C1798" s="165" t="s">
        <v>5334</v>
      </c>
      <c r="D1798" s="164">
        <v>1357</v>
      </c>
      <c r="E1798" s="164">
        <v>1595</v>
      </c>
      <c r="F1798" s="164" t="s">
        <v>3955</v>
      </c>
      <c r="G1798" s="164"/>
      <c r="H1798" s="167"/>
      <c r="I1798" s="167"/>
      <c r="J1798" s="167"/>
      <c r="K1798" s="169"/>
      <c r="L1798" s="129"/>
      <c r="M1798" s="129"/>
      <c r="N1798" s="129"/>
      <c r="O1798" s="129"/>
      <c r="P1798" s="146"/>
      <c r="Q1798" s="170"/>
      <c r="R1798" s="171"/>
      <c r="S1798" s="172"/>
    </row>
    <row r="1799" spans="1:19" ht="42.75">
      <c r="A1799" s="164" t="s">
        <v>777</v>
      </c>
      <c r="B1799" s="165" t="s">
        <v>5326</v>
      </c>
      <c r="C1799" s="165" t="s">
        <v>1197</v>
      </c>
      <c r="D1799" s="164">
        <v>1317</v>
      </c>
      <c r="E1799" s="164">
        <v>1329</v>
      </c>
      <c r="F1799" s="164" t="s">
        <v>3955</v>
      </c>
      <c r="G1799" s="164"/>
      <c r="H1799" s="167"/>
      <c r="I1799" s="167"/>
      <c r="J1799" s="167"/>
      <c r="K1799" s="169"/>
      <c r="L1799" s="129"/>
      <c r="M1799" s="129"/>
      <c r="N1799" s="129"/>
      <c r="O1799" s="129"/>
      <c r="P1799" s="146"/>
      <c r="Q1799" s="170"/>
      <c r="R1799" s="171"/>
      <c r="S1799" s="172"/>
    </row>
    <row r="1800" spans="1:19" ht="42.75">
      <c r="A1800" s="164" t="s">
        <v>777</v>
      </c>
      <c r="B1800" s="165" t="s">
        <v>5326</v>
      </c>
      <c r="C1800" s="165" t="s">
        <v>3878</v>
      </c>
      <c r="D1800" s="164">
        <v>1544</v>
      </c>
      <c r="E1800" s="164">
        <v>1562</v>
      </c>
      <c r="F1800" s="164" t="s">
        <v>3955</v>
      </c>
      <c r="G1800" s="164"/>
      <c r="H1800" s="167"/>
      <c r="I1800" s="167"/>
      <c r="J1800" s="167"/>
      <c r="K1800" s="169"/>
      <c r="L1800" s="129"/>
      <c r="M1800" s="129"/>
      <c r="N1800" s="129"/>
      <c r="O1800" s="129"/>
      <c r="P1800" s="146"/>
      <c r="Q1800" s="170"/>
      <c r="R1800" s="171"/>
      <c r="S1800" s="172"/>
    </row>
    <row r="1801" spans="1:19" ht="42.75">
      <c r="A1801" s="164" t="s">
        <v>777</v>
      </c>
      <c r="B1801" s="165" t="s">
        <v>5326</v>
      </c>
      <c r="C1801" s="165" t="s">
        <v>1180</v>
      </c>
      <c r="D1801" s="164">
        <v>5944</v>
      </c>
      <c r="E1801" s="164">
        <v>6130</v>
      </c>
      <c r="F1801" s="164" t="s">
        <v>3955</v>
      </c>
      <c r="G1801" s="164"/>
      <c r="H1801" s="167"/>
      <c r="I1801" s="167"/>
      <c r="J1801" s="167"/>
      <c r="K1801" s="169"/>
      <c r="L1801" s="129"/>
      <c r="M1801" s="129"/>
      <c r="N1801" s="129"/>
      <c r="O1801" s="129"/>
      <c r="P1801" s="146"/>
      <c r="Q1801" s="170"/>
      <c r="R1801" s="171"/>
      <c r="S1801" s="172"/>
    </row>
    <row r="1802" spans="1:19" ht="42.75">
      <c r="A1802" s="164" t="s">
        <v>777</v>
      </c>
      <c r="B1802" s="165" t="s">
        <v>5326</v>
      </c>
      <c r="C1802" s="165" t="s">
        <v>1155</v>
      </c>
      <c r="D1802" s="164">
        <v>1340</v>
      </c>
      <c r="E1802" s="164">
        <v>1366</v>
      </c>
      <c r="F1802" s="164" t="s">
        <v>3955</v>
      </c>
      <c r="G1802" s="164"/>
      <c r="H1802" s="167"/>
      <c r="I1802" s="167"/>
      <c r="J1802" s="167"/>
      <c r="K1802" s="169"/>
      <c r="L1802" s="129"/>
      <c r="M1802" s="129"/>
      <c r="N1802" s="129"/>
      <c r="O1802" s="129"/>
      <c r="P1802" s="146"/>
      <c r="Q1802" s="170"/>
      <c r="R1802" s="171"/>
      <c r="S1802" s="172"/>
    </row>
    <row r="1803" spans="1:19" ht="42.75">
      <c r="A1803" s="164" t="s">
        <v>777</v>
      </c>
      <c r="B1803" s="165" t="s">
        <v>5326</v>
      </c>
      <c r="C1803" s="165" t="s">
        <v>1899</v>
      </c>
      <c r="D1803" s="164">
        <v>1732</v>
      </c>
      <c r="E1803" s="164">
        <v>1849</v>
      </c>
      <c r="F1803" s="164" t="s">
        <v>3955</v>
      </c>
      <c r="G1803" s="164"/>
      <c r="H1803" s="167"/>
      <c r="I1803" s="167"/>
      <c r="J1803" s="167"/>
      <c r="K1803" s="169"/>
      <c r="L1803" s="129"/>
      <c r="M1803" s="129"/>
      <c r="N1803" s="129"/>
      <c r="O1803" s="129"/>
      <c r="P1803" s="146"/>
      <c r="Q1803" s="170"/>
      <c r="R1803" s="171"/>
      <c r="S1803" s="172"/>
    </row>
    <row r="1804" spans="1:19" ht="42.75">
      <c r="A1804" s="164" t="s">
        <v>777</v>
      </c>
      <c r="B1804" s="165" t="s">
        <v>5326</v>
      </c>
      <c r="C1804" s="165" t="s">
        <v>5335</v>
      </c>
      <c r="D1804" s="164">
        <v>1759</v>
      </c>
      <c r="E1804" s="164">
        <v>1999</v>
      </c>
      <c r="F1804" s="164" t="s">
        <v>3955</v>
      </c>
      <c r="G1804" s="164"/>
      <c r="H1804" s="167"/>
      <c r="I1804" s="167"/>
      <c r="J1804" s="167"/>
      <c r="K1804" s="169"/>
      <c r="L1804" s="129"/>
      <c r="M1804" s="129"/>
      <c r="N1804" s="129"/>
      <c r="O1804" s="129"/>
      <c r="P1804" s="146"/>
      <c r="Q1804" s="170"/>
      <c r="R1804" s="171"/>
      <c r="S1804" s="172"/>
    </row>
    <row r="1805" spans="1:19" ht="42.75">
      <c r="A1805" s="164" t="s">
        <v>777</v>
      </c>
      <c r="B1805" s="165" t="s">
        <v>5326</v>
      </c>
      <c r="C1805" s="165" t="s">
        <v>5336</v>
      </c>
      <c r="D1805" s="164">
        <v>3257</v>
      </c>
      <c r="E1805" s="164">
        <v>3784</v>
      </c>
      <c r="F1805" s="164" t="s">
        <v>3955</v>
      </c>
      <c r="G1805" s="164"/>
      <c r="H1805" s="167"/>
      <c r="I1805" s="167"/>
      <c r="J1805" s="167"/>
      <c r="K1805" s="169"/>
      <c r="L1805" s="129"/>
      <c r="M1805" s="129"/>
      <c r="N1805" s="129"/>
      <c r="O1805" s="129"/>
      <c r="P1805" s="146"/>
      <c r="Q1805" s="170"/>
      <c r="R1805" s="171"/>
      <c r="S1805" s="172"/>
    </row>
    <row r="1806" spans="1:19" ht="42.75">
      <c r="A1806" s="164" t="s">
        <v>777</v>
      </c>
      <c r="B1806" s="165" t="s">
        <v>5326</v>
      </c>
      <c r="C1806" s="165" t="s">
        <v>5338</v>
      </c>
      <c r="D1806" s="164">
        <v>3228</v>
      </c>
      <c r="E1806" s="164">
        <v>3608</v>
      </c>
      <c r="F1806" s="164" t="s">
        <v>3955</v>
      </c>
      <c r="G1806" s="164"/>
      <c r="H1806" s="167"/>
      <c r="I1806" s="167"/>
      <c r="J1806" s="167"/>
      <c r="K1806" s="169"/>
      <c r="L1806" s="129"/>
      <c r="M1806" s="129"/>
      <c r="N1806" s="129"/>
      <c r="O1806" s="129"/>
      <c r="P1806" s="146"/>
      <c r="Q1806" s="170"/>
      <c r="R1806" s="171"/>
      <c r="S1806" s="172"/>
    </row>
    <row r="1807" spans="1:19" ht="42.75">
      <c r="A1807" s="164" t="s">
        <v>777</v>
      </c>
      <c r="B1807" s="165" t="s">
        <v>5326</v>
      </c>
      <c r="C1807" s="165" t="s">
        <v>5339</v>
      </c>
      <c r="D1807" s="164">
        <v>3914</v>
      </c>
      <c r="E1807" s="164">
        <v>3884</v>
      </c>
      <c r="F1807" s="164" t="s">
        <v>3955</v>
      </c>
      <c r="G1807" s="164"/>
      <c r="H1807" s="167"/>
      <c r="I1807" s="167"/>
      <c r="J1807" s="167"/>
      <c r="K1807" s="169"/>
      <c r="L1807" s="129"/>
      <c r="M1807" s="129"/>
      <c r="N1807" s="129"/>
      <c r="O1807" s="129"/>
      <c r="P1807" s="146"/>
      <c r="Q1807" s="170"/>
      <c r="R1807" s="171"/>
      <c r="S1807" s="172"/>
    </row>
    <row r="1808" spans="1:19" ht="42.75">
      <c r="A1808" s="164" t="s">
        <v>777</v>
      </c>
      <c r="B1808" s="165" t="s">
        <v>5326</v>
      </c>
      <c r="C1808" s="165" t="s">
        <v>5340</v>
      </c>
      <c r="D1808" s="164">
        <v>539</v>
      </c>
      <c r="E1808" s="164">
        <v>539</v>
      </c>
      <c r="F1808" s="164" t="s">
        <v>3955</v>
      </c>
      <c r="G1808" s="164"/>
      <c r="H1808" s="167"/>
      <c r="I1808" s="167"/>
      <c r="J1808" s="167"/>
      <c r="K1808" s="169"/>
      <c r="L1808" s="129"/>
      <c r="M1808" s="129"/>
      <c r="N1808" s="129"/>
      <c r="O1808" s="129"/>
      <c r="P1808" s="146"/>
      <c r="Q1808" s="170"/>
      <c r="R1808" s="171"/>
      <c r="S1808" s="172"/>
    </row>
    <row r="1809" spans="1:19" ht="42.75">
      <c r="A1809" s="164" t="s">
        <v>778</v>
      </c>
      <c r="B1809" s="165" t="s">
        <v>2172</v>
      </c>
      <c r="C1809" s="165" t="s">
        <v>5341</v>
      </c>
      <c r="D1809" s="164">
        <v>3230</v>
      </c>
      <c r="E1809" s="164">
        <v>2556</v>
      </c>
      <c r="F1809" s="164" t="s">
        <v>3955</v>
      </c>
      <c r="G1809" s="164"/>
      <c r="H1809" s="167"/>
      <c r="I1809" s="167"/>
      <c r="J1809" s="167"/>
      <c r="K1809" s="169"/>
      <c r="L1809" s="129"/>
      <c r="M1809" s="129"/>
      <c r="N1809" s="129"/>
      <c r="O1809" s="129"/>
      <c r="P1809" s="146"/>
      <c r="Q1809" s="170"/>
      <c r="R1809" s="171"/>
      <c r="S1809" s="172"/>
    </row>
    <row r="1810" spans="1:19" ht="42.75">
      <c r="A1810" s="164" t="s">
        <v>778</v>
      </c>
      <c r="B1810" s="165" t="s">
        <v>2172</v>
      </c>
      <c r="C1810" s="165" t="s">
        <v>5343</v>
      </c>
      <c r="D1810" s="164">
        <v>20911</v>
      </c>
      <c r="E1810" s="164">
        <v>26063</v>
      </c>
      <c r="F1810" s="164" t="s">
        <v>3955</v>
      </c>
      <c r="G1810" s="164"/>
      <c r="H1810" s="167"/>
      <c r="I1810" s="167"/>
      <c r="J1810" s="167"/>
      <c r="K1810" s="169"/>
      <c r="L1810" s="129"/>
      <c r="M1810" s="129"/>
      <c r="N1810" s="129"/>
      <c r="O1810" s="129"/>
      <c r="P1810" s="146"/>
      <c r="Q1810" s="170"/>
      <c r="R1810" s="171"/>
      <c r="S1810" s="172"/>
    </row>
    <row r="1811" spans="1:19" ht="42.75">
      <c r="A1811" s="164" t="s">
        <v>778</v>
      </c>
      <c r="B1811" s="165" t="s">
        <v>2172</v>
      </c>
      <c r="C1811" s="165" t="s">
        <v>5345</v>
      </c>
      <c r="D1811" s="164">
        <v>40087</v>
      </c>
      <c r="E1811" s="164">
        <v>42274</v>
      </c>
      <c r="F1811" s="164" t="s">
        <v>3955</v>
      </c>
      <c r="G1811" s="164"/>
      <c r="H1811" s="167"/>
      <c r="I1811" s="167"/>
      <c r="J1811" s="167"/>
      <c r="K1811" s="169"/>
      <c r="L1811" s="129"/>
      <c r="M1811" s="129"/>
      <c r="N1811" s="129"/>
      <c r="O1811" s="129"/>
      <c r="P1811" s="146"/>
      <c r="Q1811" s="170"/>
      <c r="R1811" s="171"/>
      <c r="S1811" s="172"/>
    </row>
    <row r="1812" spans="1:19" ht="42.75">
      <c r="A1812" s="164" t="s">
        <v>778</v>
      </c>
      <c r="B1812" s="165" t="s">
        <v>2172</v>
      </c>
      <c r="C1812" s="165" t="s">
        <v>5346</v>
      </c>
      <c r="D1812" s="164">
        <v>8870</v>
      </c>
      <c r="E1812" s="164">
        <v>12602</v>
      </c>
      <c r="F1812" s="164" t="s">
        <v>3955</v>
      </c>
      <c r="G1812" s="164"/>
      <c r="H1812" s="167"/>
      <c r="I1812" s="167"/>
      <c r="J1812" s="167"/>
      <c r="K1812" s="169"/>
      <c r="L1812" s="129"/>
      <c r="M1812" s="129"/>
      <c r="N1812" s="129"/>
      <c r="O1812" s="129"/>
      <c r="P1812" s="146"/>
      <c r="Q1812" s="170"/>
      <c r="R1812" s="171"/>
      <c r="S1812" s="172"/>
    </row>
    <row r="1813" spans="1:19" ht="42.75">
      <c r="A1813" s="164" t="s">
        <v>778</v>
      </c>
      <c r="B1813" s="165" t="s">
        <v>2172</v>
      </c>
      <c r="C1813" s="165" t="s">
        <v>5347</v>
      </c>
      <c r="D1813" s="164">
        <v>3981</v>
      </c>
      <c r="E1813" s="164">
        <v>5149</v>
      </c>
      <c r="F1813" s="164" t="s">
        <v>3955</v>
      </c>
      <c r="G1813" s="164"/>
      <c r="H1813" s="167"/>
      <c r="I1813" s="167"/>
      <c r="J1813" s="167"/>
      <c r="K1813" s="169"/>
      <c r="L1813" s="129"/>
      <c r="M1813" s="129"/>
      <c r="N1813" s="129"/>
      <c r="O1813" s="129"/>
      <c r="P1813" s="146"/>
      <c r="Q1813" s="170"/>
      <c r="R1813" s="171"/>
      <c r="S1813" s="172"/>
    </row>
    <row r="1814" spans="1:19" ht="42.75">
      <c r="A1814" s="164" t="s">
        <v>778</v>
      </c>
      <c r="B1814" s="165" t="s">
        <v>2172</v>
      </c>
      <c r="C1814" s="165" t="s">
        <v>5348</v>
      </c>
      <c r="D1814" s="164">
        <v>10363</v>
      </c>
      <c r="E1814" s="164">
        <v>15046</v>
      </c>
      <c r="F1814" s="164" t="s">
        <v>3404</v>
      </c>
      <c r="G1814" s="164">
        <v>2024</v>
      </c>
      <c r="H1814" s="175">
        <v>45546</v>
      </c>
      <c r="I1814" s="175">
        <v>45549</v>
      </c>
      <c r="J1814" s="168" t="s">
        <v>7295</v>
      </c>
      <c r="K1814" s="174">
        <v>45552</v>
      </c>
      <c r="L1814" s="129" t="s">
        <v>3127</v>
      </c>
      <c r="M1814" s="129" t="s">
        <v>4</v>
      </c>
      <c r="N1814" s="129" t="s">
        <v>50</v>
      </c>
      <c r="O1814" s="129" t="s">
        <v>3406</v>
      </c>
      <c r="P1814" s="146"/>
      <c r="Q1814" s="170">
        <v>45553</v>
      </c>
      <c r="R1814" s="171" t="s">
        <v>150</v>
      </c>
      <c r="S1814" s="172"/>
    </row>
    <row r="1815" spans="1:19" ht="42.75">
      <c r="A1815" s="164" t="s">
        <v>778</v>
      </c>
      <c r="B1815" s="165" t="s">
        <v>2172</v>
      </c>
      <c r="C1815" s="165" t="s">
        <v>1716</v>
      </c>
      <c r="D1815" s="164">
        <v>27843</v>
      </c>
      <c r="E1815" s="164">
        <v>28296</v>
      </c>
      <c r="F1815" s="164" t="s">
        <v>3955</v>
      </c>
      <c r="G1815" s="164"/>
      <c r="H1815" s="167"/>
      <c r="I1815" s="167"/>
      <c r="J1815" s="167"/>
      <c r="K1815" s="169"/>
      <c r="L1815" s="129"/>
      <c r="M1815" s="129"/>
      <c r="N1815" s="129"/>
      <c r="O1815" s="129"/>
      <c r="P1815" s="146"/>
      <c r="Q1815" s="170"/>
      <c r="R1815" s="171"/>
      <c r="S1815" s="172"/>
    </row>
    <row r="1816" spans="1:19" ht="42.75">
      <c r="A1816" s="164" t="s">
        <v>778</v>
      </c>
      <c r="B1816" s="165" t="s">
        <v>2172</v>
      </c>
      <c r="C1816" s="165" t="s">
        <v>5350</v>
      </c>
      <c r="D1816" s="164">
        <v>23177</v>
      </c>
      <c r="E1816" s="164">
        <v>24821</v>
      </c>
      <c r="F1816" s="164" t="s">
        <v>3955</v>
      </c>
      <c r="G1816" s="164"/>
      <c r="H1816" s="167"/>
      <c r="I1816" s="167"/>
      <c r="J1816" s="167"/>
      <c r="K1816" s="169"/>
      <c r="L1816" s="129"/>
      <c r="M1816" s="129"/>
      <c r="N1816" s="129"/>
      <c r="O1816" s="129"/>
      <c r="P1816" s="146"/>
      <c r="Q1816" s="170"/>
      <c r="R1816" s="171"/>
      <c r="S1816" s="172"/>
    </row>
    <row r="1817" spans="1:19" ht="42.75">
      <c r="A1817" s="164" t="s">
        <v>778</v>
      </c>
      <c r="B1817" s="165" t="s">
        <v>2172</v>
      </c>
      <c r="C1817" s="165" t="s">
        <v>5351</v>
      </c>
      <c r="D1817" s="164">
        <v>9896</v>
      </c>
      <c r="E1817" s="164">
        <v>10054</v>
      </c>
      <c r="F1817" s="164" t="s">
        <v>3955</v>
      </c>
      <c r="G1817" s="164"/>
      <c r="H1817" s="167"/>
      <c r="I1817" s="167"/>
      <c r="J1817" s="167"/>
      <c r="K1817" s="169"/>
      <c r="L1817" s="129"/>
      <c r="M1817" s="129"/>
      <c r="N1817" s="129"/>
      <c r="O1817" s="129"/>
      <c r="P1817" s="146"/>
      <c r="Q1817" s="170"/>
      <c r="R1817" s="171"/>
      <c r="S1817" s="172"/>
    </row>
    <row r="1818" spans="1:19" ht="42.75">
      <c r="A1818" s="164" t="s">
        <v>778</v>
      </c>
      <c r="B1818" s="165" t="s">
        <v>2172</v>
      </c>
      <c r="C1818" s="165" t="s">
        <v>5352</v>
      </c>
      <c r="D1818" s="164">
        <v>4797</v>
      </c>
      <c r="E1818" s="164">
        <v>4879</v>
      </c>
      <c r="F1818" s="164" t="s">
        <v>3955</v>
      </c>
      <c r="G1818" s="164"/>
      <c r="H1818" s="167"/>
      <c r="I1818" s="167"/>
      <c r="J1818" s="167"/>
      <c r="K1818" s="169"/>
      <c r="L1818" s="129"/>
      <c r="M1818" s="129"/>
      <c r="N1818" s="129"/>
      <c r="O1818" s="129"/>
      <c r="P1818" s="146"/>
      <c r="Q1818" s="170"/>
      <c r="R1818" s="171"/>
      <c r="S1818" s="172"/>
    </row>
    <row r="1819" spans="1:19" ht="42.75">
      <c r="A1819" s="164" t="s">
        <v>778</v>
      </c>
      <c r="B1819" s="165" t="s">
        <v>2172</v>
      </c>
      <c r="C1819" s="165" t="s">
        <v>5353</v>
      </c>
      <c r="D1819" s="164">
        <v>4741</v>
      </c>
      <c r="E1819" s="164">
        <v>3639</v>
      </c>
      <c r="F1819" s="164" t="s">
        <v>3955</v>
      </c>
      <c r="G1819" s="164"/>
      <c r="H1819" s="167"/>
      <c r="I1819" s="167"/>
      <c r="J1819" s="167"/>
      <c r="K1819" s="169"/>
      <c r="L1819" s="129"/>
      <c r="M1819" s="129"/>
      <c r="N1819" s="129"/>
      <c r="O1819" s="129"/>
      <c r="P1819" s="146"/>
      <c r="Q1819" s="170"/>
      <c r="R1819" s="171"/>
      <c r="S1819" s="172"/>
    </row>
    <row r="1820" spans="1:19" ht="42.75">
      <c r="A1820" s="164" t="s">
        <v>778</v>
      </c>
      <c r="B1820" s="165" t="s">
        <v>2172</v>
      </c>
      <c r="C1820" s="165" t="s">
        <v>5355</v>
      </c>
      <c r="D1820" s="164">
        <v>33174</v>
      </c>
      <c r="E1820" s="164">
        <v>29841</v>
      </c>
      <c r="F1820" s="164" t="s">
        <v>3404</v>
      </c>
      <c r="G1820" s="164">
        <v>2024</v>
      </c>
      <c r="H1820" s="175">
        <v>45575</v>
      </c>
      <c r="I1820" s="175">
        <v>45577</v>
      </c>
      <c r="J1820" s="168" t="s">
        <v>7296</v>
      </c>
      <c r="K1820" s="174">
        <v>45581</v>
      </c>
      <c r="L1820" s="129" t="s">
        <v>3128</v>
      </c>
      <c r="M1820" s="129" t="s">
        <v>4</v>
      </c>
      <c r="N1820" s="129" t="s">
        <v>50</v>
      </c>
      <c r="O1820" s="129" t="s">
        <v>3406</v>
      </c>
      <c r="P1820" s="146"/>
      <c r="Q1820" s="170">
        <v>45582</v>
      </c>
      <c r="R1820" s="171" t="s">
        <v>150</v>
      </c>
      <c r="S1820" s="172"/>
    </row>
    <row r="1821" spans="1:19" ht="42.75">
      <c r="A1821" s="164" t="s">
        <v>778</v>
      </c>
      <c r="B1821" s="165" t="s">
        <v>2172</v>
      </c>
      <c r="C1821" s="165" t="s">
        <v>5356</v>
      </c>
      <c r="D1821" s="164">
        <v>5239</v>
      </c>
      <c r="E1821" s="164">
        <v>12229</v>
      </c>
      <c r="F1821" s="164" t="s">
        <v>3404</v>
      </c>
      <c r="G1821" s="164">
        <v>2024</v>
      </c>
      <c r="H1821" s="175">
        <v>45546</v>
      </c>
      <c r="I1821" s="175">
        <v>45549</v>
      </c>
      <c r="J1821" s="168" t="s">
        <v>7297</v>
      </c>
      <c r="K1821" s="174">
        <v>45552</v>
      </c>
      <c r="L1821" s="129" t="s">
        <v>3127</v>
      </c>
      <c r="M1821" s="129" t="s">
        <v>4</v>
      </c>
      <c r="N1821" s="129" t="s">
        <v>50</v>
      </c>
      <c r="O1821" s="129" t="s">
        <v>3406</v>
      </c>
      <c r="P1821" s="146"/>
      <c r="Q1821" s="170">
        <v>45553</v>
      </c>
      <c r="R1821" s="171" t="s">
        <v>150</v>
      </c>
      <c r="S1821" s="172"/>
    </row>
    <row r="1822" spans="1:19" ht="42.75">
      <c r="A1822" s="164" t="s">
        <v>778</v>
      </c>
      <c r="B1822" s="165" t="s">
        <v>2172</v>
      </c>
      <c r="C1822" s="165" t="s">
        <v>1917</v>
      </c>
      <c r="D1822" s="164">
        <v>3186</v>
      </c>
      <c r="E1822" s="164">
        <v>5265</v>
      </c>
      <c r="F1822" s="164" t="s">
        <v>3404</v>
      </c>
      <c r="G1822" s="164">
        <v>2024</v>
      </c>
      <c r="H1822" s="175">
        <v>45506</v>
      </c>
      <c r="I1822" s="175">
        <v>45521</v>
      </c>
      <c r="J1822" s="168" t="s">
        <v>7298</v>
      </c>
      <c r="K1822" s="174">
        <v>45523</v>
      </c>
      <c r="L1822" s="129" t="s">
        <v>3126</v>
      </c>
      <c r="M1822" s="129" t="s">
        <v>4</v>
      </c>
      <c r="N1822" s="129" t="s">
        <v>50</v>
      </c>
      <c r="O1822" s="129" t="s">
        <v>3406</v>
      </c>
      <c r="P1822" s="146"/>
      <c r="Q1822" s="170"/>
      <c r="R1822" s="171"/>
      <c r="S1822" s="172"/>
    </row>
    <row r="1823" spans="1:19" ht="42.75">
      <c r="A1823" s="164" t="s">
        <v>778</v>
      </c>
      <c r="B1823" s="165" t="s">
        <v>2172</v>
      </c>
      <c r="C1823" s="165" t="s">
        <v>2173</v>
      </c>
      <c r="D1823" s="164">
        <v>20419</v>
      </c>
      <c r="E1823" s="164">
        <v>24653</v>
      </c>
      <c r="F1823" s="164" t="s">
        <v>3404</v>
      </c>
      <c r="G1823" s="164">
        <v>2024</v>
      </c>
      <c r="H1823" s="175">
        <v>45546</v>
      </c>
      <c r="I1823" s="175">
        <v>45549</v>
      </c>
      <c r="J1823" s="168" t="s">
        <v>7299</v>
      </c>
      <c r="K1823" s="174">
        <v>45552</v>
      </c>
      <c r="L1823" s="129" t="s">
        <v>3127</v>
      </c>
      <c r="M1823" s="129" t="s">
        <v>4</v>
      </c>
      <c r="N1823" s="129" t="s">
        <v>50</v>
      </c>
      <c r="O1823" s="129" t="s">
        <v>3406</v>
      </c>
      <c r="P1823" s="146"/>
      <c r="Q1823" s="170">
        <v>45553</v>
      </c>
      <c r="R1823" s="171" t="s">
        <v>150</v>
      </c>
      <c r="S1823" s="172"/>
    </row>
    <row r="1824" spans="1:19" ht="42.75">
      <c r="A1824" s="164" t="s">
        <v>778</v>
      </c>
      <c r="B1824" s="165" t="s">
        <v>2172</v>
      </c>
      <c r="C1824" s="165" t="s">
        <v>5358</v>
      </c>
      <c r="D1824" s="164">
        <v>20598</v>
      </c>
      <c r="E1824" s="164">
        <v>23928</v>
      </c>
      <c r="F1824" s="164" t="s">
        <v>3404</v>
      </c>
      <c r="G1824" s="164">
        <v>2024</v>
      </c>
      <c r="H1824" s="175">
        <v>45506</v>
      </c>
      <c r="I1824" s="175">
        <v>45521</v>
      </c>
      <c r="J1824" s="168" t="s">
        <v>7300</v>
      </c>
      <c r="K1824" s="174">
        <v>45523</v>
      </c>
      <c r="L1824" s="129" t="s">
        <v>3126</v>
      </c>
      <c r="M1824" s="129" t="s">
        <v>4</v>
      </c>
      <c r="N1824" s="129" t="s">
        <v>50</v>
      </c>
      <c r="O1824" s="129" t="s">
        <v>3406</v>
      </c>
      <c r="P1824" s="146"/>
      <c r="Q1824" s="170">
        <v>45525</v>
      </c>
      <c r="R1824" s="171"/>
      <c r="S1824" s="172"/>
    </row>
    <row r="1825" spans="1:19" ht="42.75">
      <c r="A1825" s="164" t="s">
        <v>778</v>
      </c>
      <c r="B1825" s="165" t="s">
        <v>2172</v>
      </c>
      <c r="C1825" s="165" t="s">
        <v>5360</v>
      </c>
      <c r="D1825" s="164">
        <v>18067</v>
      </c>
      <c r="E1825" s="164">
        <v>20675</v>
      </c>
      <c r="F1825" s="164" t="s">
        <v>3955</v>
      </c>
      <c r="G1825" s="164"/>
      <c r="H1825" s="167"/>
      <c r="I1825" s="167"/>
      <c r="J1825" s="167"/>
      <c r="K1825" s="169"/>
      <c r="L1825" s="129"/>
      <c r="M1825" s="129"/>
      <c r="N1825" s="129"/>
      <c r="O1825" s="129"/>
      <c r="P1825" s="146"/>
      <c r="Q1825" s="170"/>
      <c r="R1825" s="171"/>
      <c r="S1825" s="172"/>
    </row>
    <row r="1826" spans="1:19" ht="42.75">
      <c r="A1826" s="164" t="s">
        <v>778</v>
      </c>
      <c r="B1826" s="165" t="s">
        <v>2172</v>
      </c>
      <c r="C1826" s="165" t="s">
        <v>5361</v>
      </c>
      <c r="D1826" s="164">
        <v>12198</v>
      </c>
      <c r="E1826" s="164">
        <v>13025</v>
      </c>
      <c r="F1826" s="164" t="s">
        <v>3955</v>
      </c>
      <c r="G1826" s="164"/>
      <c r="H1826" s="167"/>
      <c r="I1826" s="167"/>
      <c r="J1826" s="167"/>
      <c r="K1826" s="169"/>
      <c r="L1826" s="129"/>
      <c r="M1826" s="129"/>
      <c r="N1826" s="129"/>
      <c r="O1826" s="129"/>
      <c r="P1826" s="146"/>
      <c r="Q1826" s="170"/>
      <c r="R1826" s="171"/>
      <c r="S1826" s="172"/>
    </row>
    <row r="1827" spans="1:19" ht="42.75">
      <c r="A1827" s="164" t="s">
        <v>778</v>
      </c>
      <c r="B1827" s="165" t="s">
        <v>2172</v>
      </c>
      <c r="C1827" s="165" t="s">
        <v>5359</v>
      </c>
      <c r="D1827" s="164">
        <v>23891</v>
      </c>
      <c r="E1827" s="164">
        <v>25385</v>
      </c>
      <c r="F1827" s="164" t="s">
        <v>3955</v>
      </c>
      <c r="G1827" s="164"/>
      <c r="H1827" s="167"/>
      <c r="I1827" s="167"/>
      <c r="J1827" s="167"/>
      <c r="K1827" s="169"/>
      <c r="L1827" s="129"/>
      <c r="M1827" s="129"/>
      <c r="N1827" s="129"/>
      <c r="O1827" s="129"/>
      <c r="P1827" s="146"/>
      <c r="Q1827" s="170"/>
      <c r="R1827" s="171"/>
      <c r="S1827" s="172"/>
    </row>
    <row r="1828" spans="1:19" ht="42.75">
      <c r="A1828" s="164" t="s">
        <v>778</v>
      </c>
      <c r="B1828" s="165" t="s">
        <v>2172</v>
      </c>
      <c r="C1828" s="165" t="s">
        <v>4475</v>
      </c>
      <c r="D1828" s="164">
        <v>5443</v>
      </c>
      <c r="E1828" s="164">
        <v>5298</v>
      </c>
      <c r="F1828" s="164" t="s">
        <v>3955</v>
      </c>
      <c r="G1828" s="164"/>
      <c r="H1828" s="167"/>
      <c r="I1828" s="167"/>
      <c r="J1828" s="167"/>
      <c r="K1828" s="169"/>
      <c r="L1828" s="129"/>
      <c r="M1828" s="129"/>
      <c r="N1828" s="129"/>
      <c r="O1828" s="129"/>
      <c r="P1828" s="146"/>
      <c r="Q1828" s="170"/>
      <c r="R1828" s="171"/>
      <c r="S1828" s="172"/>
    </row>
    <row r="1829" spans="1:19" ht="42.75">
      <c r="A1829" s="164" t="s">
        <v>778</v>
      </c>
      <c r="B1829" s="165" t="s">
        <v>2172</v>
      </c>
      <c r="C1829" s="165" t="s">
        <v>858</v>
      </c>
      <c r="D1829" s="164">
        <v>5579</v>
      </c>
      <c r="E1829" s="164">
        <v>7187</v>
      </c>
      <c r="F1829" s="164" t="s">
        <v>3955</v>
      </c>
      <c r="G1829" s="164"/>
      <c r="H1829" s="167"/>
      <c r="I1829" s="167"/>
      <c r="J1829" s="167"/>
      <c r="K1829" s="169"/>
      <c r="L1829" s="129"/>
      <c r="M1829" s="129"/>
      <c r="N1829" s="129"/>
      <c r="O1829" s="129"/>
      <c r="P1829" s="146"/>
      <c r="Q1829" s="170"/>
      <c r="R1829" s="171"/>
      <c r="S1829" s="172"/>
    </row>
    <row r="1830" spans="1:19" ht="42.75">
      <c r="A1830" s="164" t="s">
        <v>778</v>
      </c>
      <c r="B1830" s="165" t="s">
        <v>2172</v>
      </c>
      <c r="C1830" s="165" t="s">
        <v>1439</v>
      </c>
      <c r="D1830" s="164">
        <v>3424</v>
      </c>
      <c r="E1830" s="164">
        <v>4811</v>
      </c>
      <c r="F1830" s="164" t="s">
        <v>3404</v>
      </c>
      <c r="G1830" s="164">
        <v>2024</v>
      </c>
      <c r="H1830" s="175">
        <v>45575</v>
      </c>
      <c r="I1830" s="175">
        <v>45577</v>
      </c>
      <c r="J1830" s="168" t="s">
        <v>7301</v>
      </c>
      <c r="K1830" s="174">
        <v>45581</v>
      </c>
      <c r="L1830" s="129" t="s">
        <v>3128</v>
      </c>
      <c r="M1830" s="129" t="s">
        <v>4</v>
      </c>
      <c r="N1830" s="129" t="s">
        <v>50</v>
      </c>
      <c r="O1830" s="129" t="s">
        <v>3406</v>
      </c>
      <c r="P1830" s="146"/>
      <c r="Q1830" s="170">
        <v>45582</v>
      </c>
      <c r="R1830" s="171" t="s">
        <v>150</v>
      </c>
      <c r="S1830" s="172"/>
    </row>
    <row r="1831" spans="1:19" ht="42.75">
      <c r="A1831" s="164" t="s">
        <v>778</v>
      </c>
      <c r="B1831" s="165" t="s">
        <v>2172</v>
      </c>
      <c r="C1831" s="165" t="s">
        <v>5180</v>
      </c>
      <c r="D1831" s="164">
        <v>8402</v>
      </c>
      <c r="E1831" s="164">
        <v>9164</v>
      </c>
      <c r="F1831" s="164" t="s">
        <v>3404</v>
      </c>
      <c r="G1831" s="164">
        <v>2024</v>
      </c>
      <c r="H1831" s="175">
        <v>45575</v>
      </c>
      <c r="I1831" s="175">
        <v>45577</v>
      </c>
      <c r="J1831" s="168" t="s">
        <v>7302</v>
      </c>
      <c r="K1831" s="174">
        <v>45581</v>
      </c>
      <c r="L1831" s="129" t="s">
        <v>3128</v>
      </c>
      <c r="M1831" s="129" t="s">
        <v>1078</v>
      </c>
      <c r="N1831" s="129" t="s">
        <v>50</v>
      </c>
      <c r="O1831" s="129" t="s">
        <v>3406</v>
      </c>
      <c r="P1831" s="146"/>
      <c r="Q1831" s="170">
        <v>45582</v>
      </c>
      <c r="R1831" s="171" t="s">
        <v>150</v>
      </c>
      <c r="S1831" s="172"/>
    </row>
    <row r="1832" spans="1:19" ht="42.75">
      <c r="A1832" s="164" t="s">
        <v>778</v>
      </c>
      <c r="B1832" s="165" t="s">
        <v>2172</v>
      </c>
      <c r="C1832" s="165" t="s">
        <v>5364</v>
      </c>
      <c r="D1832" s="164">
        <v>5036</v>
      </c>
      <c r="E1832" s="164">
        <v>6208</v>
      </c>
      <c r="F1832" s="164" t="s">
        <v>3955</v>
      </c>
      <c r="G1832" s="164"/>
      <c r="H1832" s="167"/>
      <c r="I1832" s="167"/>
      <c r="J1832" s="167"/>
      <c r="K1832" s="169"/>
      <c r="L1832" s="129"/>
      <c r="M1832" s="129"/>
      <c r="N1832" s="129"/>
      <c r="O1832" s="129"/>
      <c r="P1832" s="146"/>
      <c r="Q1832" s="170"/>
      <c r="R1832" s="171"/>
      <c r="S1832" s="172"/>
    </row>
    <row r="1833" spans="1:19" ht="42.75">
      <c r="A1833" s="164" t="s">
        <v>778</v>
      </c>
      <c r="B1833" s="165" t="s">
        <v>2172</v>
      </c>
      <c r="C1833" s="165" t="s">
        <v>3977</v>
      </c>
      <c r="D1833" s="164">
        <v>4222</v>
      </c>
      <c r="E1833" s="164">
        <v>4060</v>
      </c>
      <c r="F1833" s="164" t="s">
        <v>3404</v>
      </c>
      <c r="G1833" s="164">
        <v>2024</v>
      </c>
      <c r="H1833" s="175">
        <v>45546</v>
      </c>
      <c r="I1833" s="175">
        <v>45549</v>
      </c>
      <c r="J1833" s="168" t="s">
        <v>7303</v>
      </c>
      <c r="K1833" s="174">
        <v>45552</v>
      </c>
      <c r="L1833" s="129" t="s">
        <v>3127</v>
      </c>
      <c r="M1833" s="129" t="s">
        <v>4</v>
      </c>
      <c r="N1833" s="129" t="s">
        <v>50</v>
      </c>
      <c r="O1833" s="129" t="s">
        <v>3406</v>
      </c>
      <c r="P1833" s="146"/>
      <c r="Q1833" s="170">
        <v>45553</v>
      </c>
      <c r="R1833" s="171" t="s">
        <v>150</v>
      </c>
      <c r="S1833" s="172"/>
    </row>
    <row r="1834" spans="1:19" ht="42.75">
      <c r="A1834" s="164" t="s">
        <v>778</v>
      </c>
      <c r="B1834" s="165" t="s">
        <v>2172</v>
      </c>
      <c r="C1834" s="165" t="s">
        <v>3133</v>
      </c>
      <c r="D1834" s="164">
        <v>17693</v>
      </c>
      <c r="E1834" s="164">
        <v>18672</v>
      </c>
      <c r="F1834" s="164" t="s">
        <v>3955</v>
      </c>
      <c r="G1834" s="164"/>
      <c r="H1834" s="167"/>
      <c r="I1834" s="167"/>
      <c r="J1834" s="167"/>
      <c r="K1834" s="169"/>
      <c r="L1834" s="129"/>
      <c r="M1834" s="129"/>
      <c r="N1834" s="129"/>
      <c r="O1834" s="129"/>
      <c r="P1834" s="146"/>
      <c r="Q1834" s="170"/>
      <c r="R1834" s="171"/>
      <c r="S1834" s="172"/>
    </row>
    <row r="1835" spans="1:19" ht="42.75">
      <c r="A1835" s="164" t="s">
        <v>778</v>
      </c>
      <c r="B1835" s="165" t="s">
        <v>2172</v>
      </c>
      <c r="C1835" s="165" t="s">
        <v>4132</v>
      </c>
      <c r="D1835" s="164">
        <v>4902</v>
      </c>
      <c r="E1835" s="164">
        <v>5835</v>
      </c>
      <c r="F1835" s="164" t="s">
        <v>3955</v>
      </c>
      <c r="G1835" s="164"/>
      <c r="H1835" s="167"/>
      <c r="I1835" s="167"/>
      <c r="J1835" s="167"/>
      <c r="K1835" s="169"/>
      <c r="L1835" s="129"/>
      <c r="M1835" s="129"/>
      <c r="N1835" s="129"/>
      <c r="O1835" s="129"/>
      <c r="P1835" s="146"/>
      <c r="Q1835" s="170"/>
      <c r="R1835" s="171"/>
      <c r="S1835" s="172"/>
    </row>
    <row r="1836" spans="1:19" ht="42.75">
      <c r="A1836" s="164" t="s">
        <v>778</v>
      </c>
      <c r="B1836" s="165" t="s">
        <v>2172</v>
      </c>
      <c r="C1836" s="165" t="s">
        <v>5366</v>
      </c>
      <c r="D1836" s="164">
        <v>12698</v>
      </c>
      <c r="E1836" s="164">
        <v>14280</v>
      </c>
      <c r="F1836" s="164" t="s">
        <v>3404</v>
      </c>
      <c r="G1836" s="164">
        <v>2024</v>
      </c>
      <c r="H1836" s="175">
        <v>45505</v>
      </c>
      <c r="I1836" s="175">
        <v>45521</v>
      </c>
      <c r="J1836" s="168" t="s">
        <v>7304</v>
      </c>
      <c r="K1836" s="174">
        <v>45523</v>
      </c>
      <c r="L1836" s="129" t="s">
        <v>3126</v>
      </c>
      <c r="M1836" s="129" t="s">
        <v>4</v>
      </c>
      <c r="N1836" s="129" t="s">
        <v>57</v>
      </c>
      <c r="O1836" s="129" t="s">
        <v>3406</v>
      </c>
      <c r="P1836" s="146"/>
      <c r="Q1836" s="170">
        <v>45525</v>
      </c>
      <c r="R1836" s="171"/>
      <c r="S1836" s="172"/>
    </row>
    <row r="1837" spans="1:19" ht="42.75">
      <c r="A1837" s="164" t="s">
        <v>778</v>
      </c>
      <c r="B1837" s="165" t="s">
        <v>2172</v>
      </c>
      <c r="C1837" s="165" t="s">
        <v>5367</v>
      </c>
      <c r="D1837" s="164">
        <v>10965</v>
      </c>
      <c r="E1837" s="164">
        <v>13912</v>
      </c>
      <c r="F1837" s="164" t="s">
        <v>3955</v>
      </c>
      <c r="G1837" s="164"/>
      <c r="H1837" s="167"/>
      <c r="I1837" s="167"/>
      <c r="J1837" s="167"/>
      <c r="K1837" s="169"/>
      <c r="L1837" s="129"/>
      <c r="M1837" s="129"/>
      <c r="N1837" s="129"/>
      <c r="O1837" s="129"/>
      <c r="P1837" s="146"/>
      <c r="Q1837" s="170"/>
      <c r="R1837" s="171"/>
      <c r="S1837" s="172"/>
    </row>
    <row r="1838" spans="1:19" ht="42.75">
      <c r="A1838" s="164" t="s">
        <v>778</v>
      </c>
      <c r="B1838" s="165" t="s">
        <v>2172</v>
      </c>
      <c r="C1838" s="165" t="s">
        <v>5368</v>
      </c>
      <c r="D1838" s="164">
        <v>10914</v>
      </c>
      <c r="E1838" s="164">
        <v>13656</v>
      </c>
      <c r="F1838" s="164" t="s">
        <v>3955</v>
      </c>
      <c r="G1838" s="164"/>
      <c r="H1838" s="167"/>
      <c r="I1838" s="167"/>
      <c r="J1838" s="167"/>
      <c r="K1838" s="169"/>
      <c r="L1838" s="129"/>
      <c r="M1838" s="129"/>
      <c r="N1838" s="129"/>
      <c r="O1838" s="129"/>
      <c r="P1838" s="146"/>
      <c r="Q1838" s="170"/>
      <c r="R1838" s="171"/>
      <c r="S1838" s="172"/>
    </row>
    <row r="1839" spans="1:19" ht="42.75">
      <c r="A1839" s="164" t="s">
        <v>778</v>
      </c>
      <c r="B1839" s="165" t="s">
        <v>2172</v>
      </c>
      <c r="C1839" s="165" t="s">
        <v>5369</v>
      </c>
      <c r="D1839" s="164">
        <v>1651</v>
      </c>
      <c r="E1839" s="164">
        <v>1175</v>
      </c>
      <c r="F1839" s="164" t="s">
        <v>3955</v>
      </c>
      <c r="G1839" s="164"/>
      <c r="H1839" s="167"/>
      <c r="I1839" s="167"/>
      <c r="J1839" s="167"/>
      <c r="K1839" s="169"/>
      <c r="L1839" s="129"/>
      <c r="M1839" s="129"/>
      <c r="N1839" s="129"/>
      <c r="O1839" s="129"/>
      <c r="P1839" s="146"/>
      <c r="Q1839" s="170"/>
      <c r="R1839" s="171"/>
      <c r="S1839" s="172"/>
    </row>
    <row r="1840" spans="1:19" ht="42.75">
      <c r="A1840" s="164" t="s">
        <v>778</v>
      </c>
      <c r="B1840" s="165" t="s">
        <v>2172</v>
      </c>
      <c r="C1840" s="165" t="s">
        <v>5342</v>
      </c>
      <c r="D1840" s="164">
        <v>14379</v>
      </c>
      <c r="E1840" s="164">
        <v>16953</v>
      </c>
      <c r="F1840" s="164" t="s">
        <v>3955</v>
      </c>
      <c r="G1840" s="164"/>
      <c r="H1840" s="167"/>
      <c r="I1840" s="167"/>
      <c r="J1840" s="167"/>
      <c r="K1840" s="169"/>
      <c r="L1840" s="129"/>
      <c r="M1840" s="129"/>
      <c r="N1840" s="129"/>
      <c r="O1840" s="129"/>
      <c r="P1840" s="146"/>
      <c r="Q1840" s="170"/>
      <c r="R1840" s="171"/>
      <c r="S1840" s="172"/>
    </row>
    <row r="1841" spans="1:19" ht="42.75">
      <c r="A1841" s="164" t="s">
        <v>778</v>
      </c>
      <c r="B1841" s="165" t="s">
        <v>2172</v>
      </c>
      <c r="C1841" s="165" t="s">
        <v>5357</v>
      </c>
      <c r="D1841" s="164">
        <v>11658</v>
      </c>
      <c r="E1841" s="164">
        <v>11337</v>
      </c>
      <c r="F1841" s="164" t="s">
        <v>3404</v>
      </c>
      <c r="G1841" s="164">
        <v>2024</v>
      </c>
      <c r="H1841" s="175">
        <v>45505</v>
      </c>
      <c r="I1841" s="175">
        <v>45521</v>
      </c>
      <c r="J1841" s="168" t="s">
        <v>7305</v>
      </c>
      <c r="K1841" s="174">
        <v>45523</v>
      </c>
      <c r="L1841" s="129" t="s">
        <v>3126</v>
      </c>
      <c r="M1841" s="129" t="s">
        <v>4</v>
      </c>
      <c r="N1841" s="129" t="s">
        <v>50</v>
      </c>
      <c r="O1841" s="129" t="s">
        <v>3406</v>
      </c>
      <c r="P1841" s="146"/>
      <c r="Q1841" s="170">
        <v>45525</v>
      </c>
      <c r="R1841" s="171"/>
      <c r="S1841" s="172"/>
    </row>
    <row r="1842" spans="1:19" ht="42.75">
      <c r="A1842" s="164" t="s">
        <v>778</v>
      </c>
      <c r="B1842" s="165" t="s">
        <v>1343</v>
      </c>
      <c r="C1842" s="165" t="s">
        <v>5371</v>
      </c>
      <c r="D1842" s="164">
        <v>10104</v>
      </c>
      <c r="E1842" s="164">
        <v>10867</v>
      </c>
      <c r="F1842" s="164" t="s">
        <v>3955</v>
      </c>
      <c r="G1842" s="164"/>
      <c r="H1842" s="167"/>
      <c r="I1842" s="167"/>
      <c r="J1842" s="167"/>
      <c r="K1842" s="169"/>
      <c r="L1842" s="129"/>
      <c r="M1842" s="129"/>
      <c r="N1842" s="129"/>
      <c r="O1842" s="129"/>
      <c r="P1842" s="146"/>
      <c r="Q1842" s="170"/>
      <c r="R1842" s="171"/>
      <c r="S1842" s="172"/>
    </row>
    <row r="1843" spans="1:19" ht="42.75">
      <c r="A1843" s="164" t="s">
        <v>778</v>
      </c>
      <c r="B1843" s="165" t="s">
        <v>1343</v>
      </c>
      <c r="C1843" s="165" t="s">
        <v>5373</v>
      </c>
      <c r="D1843" s="164">
        <v>3883</v>
      </c>
      <c r="E1843" s="164">
        <v>3998</v>
      </c>
      <c r="F1843" s="164" t="s">
        <v>3955</v>
      </c>
      <c r="G1843" s="164"/>
      <c r="H1843" s="167"/>
      <c r="I1843" s="167"/>
      <c r="J1843" s="167"/>
      <c r="K1843" s="169"/>
      <c r="L1843" s="129"/>
      <c r="M1843" s="129"/>
      <c r="N1843" s="129"/>
      <c r="O1843" s="129"/>
      <c r="P1843" s="146"/>
      <c r="Q1843" s="170"/>
      <c r="R1843" s="171"/>
      <c r="S1843" s="172"/>
    </row>
    <row r="1844" spans="1:19" ht="42.75">
      <c r="A1844" s="164" t="s">
        <v>778</v>
      </c>
      <c r="B1844" s="165" t="s">
        <v>1343</v>
      </c>
      <c r="C1844" s="165" t="s">
        <v>5375</v>
      </c>
      <c r="D1844" s="164">
        <v>7329</v>
      </c>
      <c r="E1844" s="164">
        <v>7856</v>
      </c>
      <c r="F1844" s="164" t="s">
        <v>3955</v>
      </c>
      <c r="G1844" s="164"/>
      <c r="H1844" s="167"/>
      <c r="I1844" s="167"/>
      <c r="J1844" s="167"/>
      <c r="K1844" s="169"/>
      <c r="L1844" s="129"/>
      <c r="M1844" s="129"/>
      <c r="N1844" s="129"/>
      <c r="O1844" s="129"/>
      <c r="P1844" s="146"/>
      <c r="Q1844" s="170"/>
      <c r="R1844" s="171"/>
      <c r="S1844" s="172"/>
    </row>
    <row r="1845" spans="1:19" ht="42.75">
      <c r="A1845" s="164" t="s">
        <v>778</v>
      </c>
      <c r="B1845" s="165" t="s">
        <v>1343</v>
      </c>
      <c r="C1845" s="165" t="s">
        <v>2119</v>
      </c>
      <c r="D1845" s="164">
        <v>7121</v>
      </c>
      <c r="E1845" s="164">
        <v>7394</v>
      </c>
      <c r="F1845" s="164" t="s">
        <v>3404</v>
      </c>
      <c r="G1845" s="164">
        <v>2024</v>
      </c>
      <c r="H1845" s="175">
        <v>45604</v>
      </c>
      <c r="I1845" s="175">
        <v>45613</v>
      </c>
      <c r="J1845" s="168" t="s">
        <v>7306</v>
      </c>
      <c r="K1845" s="174">
        <v>45616</v>
      </c>
      <c r="L1845" s="129" t="s">
        <v>3129</v>
      </c>
      <c r="M1845" s="129" t="s">
        <v>6701</v>
      </c>
      <c r="N1845" s="129" t="s">
        <v>3528</v>
      </c>
      <c r="O1845" s="129" t="s">
        <v>3406</v>
      </c>
      <c r="P1845" s="146"/>
      <c r="Q1845" s="170">
        <v>45618</v>
      </c>
      <c r="R1845" s="171" t="s">
        <v>150</v>
      </c>
      <c r="S1845" s="172"/>
    </row>
    <row r="1846" spans="1:19" ht="42.75">
      <c r="A1846" s="164" t="s">
        <v>778</v>
      </c>
      <c r="B1846" s="165" t="s">
        <v>1343</v>
      </c>
      <c r="C1846" s="165" t="s">
        <v>5377</v>
      </c>
      <c r="D1846" s="164">
        <v>7090</v>
      </c>
      <c r="E1846" s="164">
        <v>8307</v>
      </c>
      <c r="F1846" s="164" t="s">
        <v>3955</v>
      </c>
      <c r="G1846" s="164"/>
      <c r="H1846" s="167"/>
      <c r="I1846" s="167"/>
      <c r="J1846" s="167"/>
      <c r="K1846" s="169"/>
      <c r="L1846" s="129"/>
      <c r="M1846" s="129"/>
      <c r="N1846" s="129"/>
      <c r="O1846" s="129"/>
      <c r="P1846" s="146"/>
      <c r="Q1846" s="170"/>
      <c r="R1846" s="171"/>
      <c r="S1846" s="172"/>
    </row>
    <row r="1847" spans="1:19" ht="42.75">
      <c r="A1847" s="164" t="s">
        <v>778</v>
      </c>
      <c r="B1847" s="165" t="s">
        <v>1343</v>
      </c>
      <c r="C1847" s="165" t="s">
        <v>5379</v>
      </c>
      <c r="D1847" s="164">
        <v>2701</v>
      </c>
      <c r="E1847" s="164">
        <v>3925</v>
      </c>
      <c r="F1847" s="164" t="s">
        <v>3955</v>
      </c>
      <c r="G1847" s="164"/>
      <c r="H1847" s="167"/>
      <c r="I1847" s="167"/>
      <c r="J1847" s="167"/>
      <c r="K1847" s="169"/>
      <c r="L1847" s="129"/>
      <c r="M1847" s="129"/>
      <c r="N1847" s="129"/>
      <c r="O1847" s="129"/>
      <c r="P1847" s="146"/>
      <c r="Q1847" s="170"/>
      <c r="R1847" s="171"/>
      <c r="S1847" s="172"/>
    </row>
    <row r="1848" spans="1:19" ht="42.75">
      <c r="A1848" s="164" t="s">
        <v>778</v>
      </c>
      <c r="B1848" s="165" t="s">
        <v>1343</v>
      </c>
      <c r="C1848" s="165" t="s">
        <v>4476</v>
      </c>
      <c r="D1848" s="164">
        <v>11891</v>
      </c>
      <c r="E1848" s="164">
        <v>13408</v>
      </c>
      <c r="F1848" s="164" t="s">
        <v>3404</v>
      </c>
      <c r="G1848" s="164">
        <v>2024</v>
      </c>
      <c r="H1848" s="175">
        <v>45484</v>
      </c>
      <c r="I1848" s="175">
        <v>45490</v>
      </c>
      <c r="J1848" s="168" t="s">
        <v>7307</v>
      </c>
      <c r="K1848" s="174">
        <v>45491</v>
      </c>
      <c r="L1848" s="129" t="s">
        <v>3125</v>
      </c>
      <c r="M1848" s="129" t="s">
        <v>4</v>
      </c>
      <c r="N1848" s="129" t="s">
        <v>50</v>
      </c>
      <c r="O1848" s="129" t="s">
        <v>3406</v>
      </c>
      <c r="P1848" s="146"/>
      <c r="Q1848" s="170">
        <v>45492</v>
      </c>
      <c r="R1848" s="171"/>
      <c r="S1848" s="172"/>
    </row>
    <row r="1849" spans="1:19" ht="42.75">
      <c r="A1849" s="164" t="s">
        <v>778</v>
      </c>
      <c r="B1849" s="165" t="s">
        <v>1343</v>
      </c>
      <c r="C1849" s="165" t="s">
        <v>3913</v>
      </c>
      <c r="D1849" s="164">
        <v>8932</v>
      </c>
      <c r="E1849" s="164">
        <v>8861</v>
      </c>
      <c r="F1849" s="164" t="s">
        <v>3955</v>
      </c>
      <c r="G1849" s="164"/>
      <c r="H1849" s="167"/>
      <c r="I1849" s="167"/>
      <c r="J1849" s="167"/>
      <c r="K1849" s="169"/>
      <c r="L1849" s="129"/>
      <c r="M1849" s="129"/>
      <c r="N1849" s="129"/>
      <c r="O1849" s="129"/>
      <c r="P1849" s="146"/>
      <c r="Q1849" s="170"/>
      <c r="R1849" s="171"/>
      <c r="S1849" s="172"/>
    </row>
    <row r="1850" spans="1:19" ht="42.75">
      <c r="A1850" s="164" t="s">
        <v>778</v>
      </c>
      <c r="B1850" s="165" t="s">
        <v>1343</v>
      </c>
      <c r="C1850" s="165" t="s">
        <v>1166</v>
      </c>
      <c r="D1850" s="164">
        <v>22580</v>
      </c>
      <c r="E1850" s="164">
        <v>23686</v>
      </c>
      <c r="F1850" s="164" t="s">
        <v>3955</v>
      </c>
      <c r="G1850" s="164"/>
      <c r="H1850" s="167"/>
      <c r="I1850" s="167"/>
      <c r="J1850" s="167"/>
      <c r="K1850" s="169"/>
      <c r="L1850" s="129"/>
      <c r="M1850" s="129"/>
      <c r="N1850" s="129"/>
      <c r="O1850" s="129"/>
      <c r="P1850" s="146"/>
      <c r="Q1850" s="170"/>
      <c r="R1850" s="171"/>
      <c r="S1850" s="172"/>
    </row>
    <row r="1851" spans="1:19" ht="42.75">
      <c r="A1851" s="164" t="s">
        <v>778</v>
      </c>
      <c r="B1851" s="165" t="s">
        <v>1343</v>
      </c>
      <c r="C1851" s="165" t="s">
        <v>5382</v>
      </c>
      <c r="D1851" s="164">
        <v>7246</v>
      </c>
      <c r="E1851" s="164">
        <v>7775</v>
      </c>
      <c r="F1851" s="164" t="s">
        <v>3404</v>
      </c>
      <c r="G1851" s="164">
        <v>2024</v>
      </c>
      <c r="H1851" s="175">
        <v>45604</v>
      </c>
      <c r="I1851" s="175">
        <v>45613</v>
      </c>
      <c r="J1851" s="250" t="s">
        <v>7308</v>
      </c>
      <c r="K1851" s="174">
        <v>45616</v>
      </c>
      <c r="L1851" s="129" t="s">
        <v>3129</v>
      </c>
      <c r="M1851" s="129" t="s">
        <v>6701</v>
      </c>
      <c r="N1851" s="129" t="s">
        <v>3528</v>
      </c>
      <c r="O1851" s="129" t="s">
        <v>3406</v>
      </c>
      <c r="P1851" s="146"/>
      <c r="Q1851" s="170">
        <v>45617</v>
      </c>
      <c r="R1851" s="171" t="s">
        <v>150</v>
      </c>
      <c r="S1851" s="172"/>
    </row>
    <row r="1852" spans="1:19" ht="42.75">
      <c r="A1852" s="164" t="s">
        <v>778</v>
      </c>
      <c r="B1852" s="165" t="s">
        <v>1343</v>
      </c>
      <c r="C1852" s="165" t="s">
        <v>1344</v>
      </c>
      <c r="D1852" s="164">
        <v>9269</v>
      </c>
      <c r="E1852" s="164">
        <v>11693</v>
      </c>
      <c r="F1852" s="164" t="s">
        <v>3404</v>
      </c>
      <c r="G1852" s="164">
        <v>2024</v>
      </c>
      <c r="H1852" s="175">
        <v>45604</v>
      </c>
      <c r="I1852" s="175">
        <v>45613</v>
      </c>
      <c r="J1852" s="168" t="s">
        <v>7309</v>
      </c>
      <c r="K1852" s="174">
        <v>45616</v>
      </c>
      <c r="L1852" s="129" t="s">
        <v>3129</v>
      </c>
      <c r="M1852" s="129" t="s">
        <v>6701</v>
      </c>
      <c r="N1852" s="129" t="s">
        <v>3528</v>
      </c>
      <c r="O1852" s="129" t="s">
        <v>3406</v>
      </c>
      <c r="P1852" s="146"/>
      <c r="Q1852" s="170">
        <v>45618</v>
      </c>
      <c r="R1852" s="171" t="s">
        <v>150</v>
      </c>
      <c r="S1852" s="172"/>
    </row>
    <row r="1853" spans="1:19" ht="42.75">
      <c r="A1853" s="164" t="s">
        <v>778</v>
      </c>
      <c r="B1853" s="165" t="s">
        <v>1343</v>
      </c>
      <c r="C1853" s="165" t="s">
        <v>5383</v>
      </c>
      <c r="D1853" s="164">
        <v>9819</v>
      </c>
      <c r="E1853" s="164">
        <v>9390</v>
      </c>
      <c r="F1853" s="164" t="s">
        <v>3404</v>
      </c>
      <c r="G1853" s="164">
        <v>2024</v>
      </c>
      <c r="H1853" s="175">
        <v>45580</v>
      </c>
      <c r="I1853" s="175">
        <v>45582</v>
      </c>
      <c r="J1853" s="168" t="s">
        <v>7310</v>
      </c>
      <c r="K1853" s="174">
        <v>45584</v>
      </c>
      <c r="L1853" s="129" t="s">
        <v>3128</v>
      </c>
      <c r="M1853" s="129" t="s">
        <v>6701</v>
      </c>
      <c r="N1853" s="129" t="s">
        <v>3528</v>
      </c>
      <c r="O1853" s="129" t="s">
        <v>3406</v>
      </c>
      <c r="P1853" s="146"/>
      <c r="Q1853" s="170">
        <v>45586</v>
      </c>
      <c r="R1853" s="171" t="s">
        <v>150</v>
      </c>
      <c r="S1853" s="172"/>
    </row>
    <row r="1854" spans="1:19" ht="42.75">
      <c r="A1854" s="164" t="s">
        <v>778</v>
      </c>
      <c r="B1854" s="165" t="s">
        <v>1349</v>
      </c>
      <c r="C1854" s="165" t="s">
        <v>5384</v>
      </c>
      <c r="D1854" s="164">
        <v>4133</v>
      </c>
      <c r="E1854" s="164">
        <v>4429</v>
      </c>
      <c r="F1854" s="164" t="s">
        <v>3955</v>
      </c>
      <c r="G1854" s="164"/>
      <c r="H1854" s="167"/>
      <c r="I1854" s="167"/>
      <c r="J1854" s="167"/>
      <c r="K1854" s="169"/>
      <c r="L1854" s="129"/>
      <c r="M1854" s="129"/>
      <c r="N1854" s="129"/>
      <c r="O1854" s="129"/>
      <c r="P1854" s="146"/>
      <c r="Q1854" s="170"/>
      <c r="R1854" s="171"/>
      <c r="S1854" s="172"/>
    </row>
    <row r="1855" spans="1:19" ht="42.75">
      <c r="A1855" s="164" t="s">
        <v>778</v>
      </c>
      <c r="B1855" s="165" t="s">
        <v>1349</v>
      </c>
      <c r="C1855" s="165" t="s">
        <v>5385</v>
      </c>
      <c r="D1855" s="164">
        <v>2582</v>
      </c>
      <c r="E1855" s="164">
        <v>2849</v>
      </c>
      <c r="F1855" s="164" t="s">
        <v>3955</v>
      </c>
      <c r="G1855" s="164"/>
      <c r="H1855" s="167"/>
      <c r="I1855" s="167"/>
      <c r="J1855" s="167"/>
      <c r="K1855" s="169"/>
      <c r="L1855" s="129"/>
      <c r="M1855" s="129"/>
      <c r="N1855" s="129"/>
      <c r="O1855" s="129"/>
      <c r="P1855" s="146"/>
      <c r="Q1855" s="170"/>
      <c r="R1855" s="171"/>
      <c r="S1855" s="172"/>
    </row>
    <row r="1856" spans="1:19" ht="42.75">
      <c r="A1856" s="164" t="s">
        <v>778</v>
      </c>
      <c r="B1856" s="165" t="s">
        <v>1349</v>
      </c>
      <c r="C1856" s="165" t="s">
        <v>5387</v>
      </c>
      <c r="D1856" s="164">
        <v>2493</v>
      </c>
      <c r="E1856" s="164">
        <v>2882</v>
      </c>
      <c r="F1856" s="164" t="s">
        <v>3955</v>
      </c>
      <c r="G1856" s="164"/>
      <c r="H1856" s="167"/>
      <c r="I1856" s="167"/>
      <c r="J1856" s="167"/>
      <c r="K1856" s="169"/>
      <c r="L1856" s="129"/>
      <c r="M1856" s="129"/>
      <c r="N1856" s="129"/>
      <c r="O1856" s="129"/>
      <c r="P1856" s="146"/>
      <c r="Q1856" s="170"/>
      <c r="R1856" s="171"/>
      <c r="S1856" s="172"/>
    </row>
    <row r="1857" spans="1:19" ht="42.75">
      <c r="A1857" s="164" t="s">
        <v>778</v>
      </c>
      <c r="B1857" s="165" t="s">
        <v>1349</v>
      </c>
      <c r="C1857" s="165" t="s">
        <v>5388</v>
      </c>
      <c r="D1857" s="164">
        <v>4322</v>
      </c>
      <c r="E1857" s="164">
        <v>5023</v>
      </c>
      <c r="F1857" s="164" t="s">
        <v>3404</v>
      </c>
      <c r="G1857" s="164">
        <v>2024</v>
      </c>
      <c r="H1857" s="175">
        <v>45539</v>
      </c>
      <c r="I1857" s="175">
        <v>45540</v>
      </c>
      <c r="J1857" s="168" t="s">
        <v>7311</v>
      </c>
      <c r="K1857" s="174">
        <v>45544</v>
      </c>
      <c r="L1857" s="129" t="s">
        <v>3127</v>
      </c>
      <c r="M1857" s="129" t="s">
        <v>4</v>
      </c>
      <c r="N1857" s="129" t="s">
        <v>50</v>
      </c>
      <c r="O1857" s="129" t="s">
        <v>3406</v>
      </c>
      <c r="P1857" s="146"/>
      <c r="Q1857" s="170">
        <v>45545</v>
      </c>
      <c r="R1857" s="171" t="s">
        <v>150</v>
      </c>
      <c r="S1857" s="172"/>
    </row>
    <row r="1858" spans="1:19" ht="42.75">
      <c r="A1858" s="164" t="s">
        <v>778</v>
      </c>
      <c r="B1858" s="165" t="s">
        <v>1349</v>
      </c>
      <c r="C1858" s="165" t="s">
        <v>5389</v>
      </c>
      <c r="D1858" s="164">
        <v>5029</v>
      </c>
      <c r="E1858" s="164">
        <v>5588</v>
      </c>
      <c r="F1858" s="164" t="s">
        <v>3955</v>
      </c>
      <c r="G1858" s="164"/>
      <c r="H1858" s="167"/>
      <c r="I1858" s="167"/>
      <c r="J1858" s="167"/>
      <c r="K1858" s="169"/>
      <c r="L1858" s="129"/>
      <c r="M1858" s="129"/>
      <c r="N1858" s="129"/>
      <c r="O1858" s="129"/>
      <c r="P1858" s="146"/>
      <c r="Q1858" s="170"/>
      <c r="R1858" s="171"/>
      <c r="S1858" s="172"/>
    </row>
    <row r="1859" spans="1:19" ht="42.75">
      <c r="A1859" s="164" t="s">
        <v>778</v>
      </c>
      <c r="B1859" s="165" t="s">
        <v>1349</v>
      </c>
      <c r="C1859" s="165" t="s">
        <v>5390</v>
      </c>
      <c r="D1859" s="164">
        <v>6323</v>
      </c>
      <c r="E1859" s="164">
        <v>7121</v>
      </c>
      <c r="F1859" s="164" t="s">
        <v>3955</v>
      </c>
      <c r="G1859" s="164"/>
      <c r="H1859" s="167"/>
      <c r="I1859" s="167"/>
      <c r="J1859" s="167"/>
      <c r="K1859" s="169"/>
      <c r="L1859" s="129"/>
      <c r="M1859" s="129"/>
      <c r="N1859" s="129"/>
      <c r="O1859" s="129"/>
      <c r="P1859" s="146"/>
      <c r="Q1859" s="170"/>
      <c r="R1859" s="171"/>
      <c r="S1859" s="172"/>
    </row>
    <row r="1860" spans="1:19" ht="42.75">
      <c r="A1860" s="164" t="s">
        <v>778</v>
      </c>
      <c r="B1860" s="165" t="s">
        <v>1349</v>
      </c>
      <c r="C1860" s="165" t="s">
        <v>5392</v>
      </c>
      <c r="D1860" s="164">
        <v>4118</v>
      </c>
      <c r="E1860" s="164">
        <v>4170</v>
      </c>
      <c r="F1860" s="164" t="s">
        <v>3955</v>
      </c>
      <c r="G1860" s="164"/>
      <c r="H1860" s="167"/>
      <c r="I1860" s="167"/>
      <c r="J1860" s="167"/>
      <c r="K1860" s="169"/>
      <c r="L1860" s="129"/>
      <c r="M1860" s="129"/>
      <c r="N1860" s="129"/>
      <c r="O1860" s="129"/>
      <c r="P1860" s="146"/>
      <c r="Q1860" s="170"/>
      <c r="R1860" s="171"/>
      <c r="S1860" s="172"/>
    </row>
    <row r="1861" spans="1:19" ht="42.75">
      <c r="A1861" s="164" t="s">
        <v>778</v>
      </c>
      <c r="B1861" s="165" t="s">
        <v>1349</v>
      </c>
      <c r="C1861" s="165" t="s">
        <v>5396</v>
      </c>
      <c r="D1861" s="164">
        <v>1059</v>
      </c>
      <c r="E1861" s="164">
        <v>964</v>
      </c>
      <c r="F1861" s="164" t="s">
        <v>3955</v>
      </c>
      <c r="G1861" s="164"/>
      <c r="H1861" s="167"/>
      <c r="I1861" s="167"/>
      <c r="J1861" s="167"/>
      <c r="K1861" s="169"/>
      <c r="L1861" s="129"/>
      <c r="M1861" s="129"/>
      <c r="N1861" s="129"/>
      <c r="O1861" s="129"/>
      <c r="P1861" s="146"/>
      <c r="Q1861" s="170"/>
      <c r="R1861" s="171"/>
      <c r="S1861" s="172"/>
    </row>
    <row r="1862" spans="1:19" ht="42.75">
      <c r="A1862" s="164" t="s">
        <v>778</v>
      </c>
      <c r="B1862" s="165" t="s">
        <v>1349</v>
      </c>
      <c r="C1862" s="165" t="s">
        <v>5397</v>
      </c>
      <c r="D1862" s="164">
        <v>5124</v>
      </c>
      <c r="E1862" s="164">
        <v>5197</v>
      </c>
      <c r="F1862" s="164" t="s">
        <v>3955</v>
      </c>
      <c r="G1862" s="164"/>
      <c r="H1862" s="167"/>
      <c r="I1862" s="167"/>
      <c r="J1862" s="167"/>
      <c r="K1862" s="169"/>
      <c r="L1862" s="129"/>
      <c r="M1862" s="129"/>
      <c r="N1862" s="129"/>
      <c r="O1862" s="129"/>
      <c r="P1862" s="146"/>
      <c r="Q1862" s="170"/>
      <c r="R1862" s="171"/>
      <c r="S1862" s="172"/>
    </row>
    <row r="1863" spans="1:19" ht="42.75">
      <c r="A1863" s="164" t="s">
        <v>778</v>
      </c>
      <c r="B1863" s="165" t="s">
        <v>1349</v>
      </c>
      <c r="C1863" s="165" t="s">
        <v>5398</v>
      </c>
      <c r="D1863" s="164">
        <v>3698</v>
      </c>
      <c r="E1863" s="164">
        <v>3736</v>
      </c>
      <c r="F1863" s="164" t="s">
        <v>3955</v>
      </c>
      <c r="G1863" s="164"/>
      <c r="H1863" s="167"/>
      <c r="I1863" s="167"/>
      <c r="J1863" s="167"/>
      <c r="K1863" s="169"/>
      <c r="L1863" s="129"/>
      <c r="M1863" s="129"/>
      <c r="N1863" s="129"/>
      <c r="O1863" s="129"/>
      <c r="P1863" s="146"/>
      <c r="Q1863" s="170"/>
      <c r="R1863" s="171"/>
      <c r="S1863" s="172"/>
    </row>
    <row r="1864" spans="1:19" ht="42.75">
      <c r="A1864" s="164" t="s">
        <v>778</v>
      </c>
      <c r="B1864" s="165" t="s">
        <v>1349</v>
      </c>
      <c r="C1864" s="165" t="s">
        <v>5399</v>
      </c>
      <c r="D1864" s="164">
        <v>10133</v>
      </c>
      <c r="E1864" s="164">
        <v>10996</v>
      </c>
      <c r="F1864" s="164" t="s">
        <v>3404</v>
      </c>
      <c r="G1864" s="164">
        <v>2024</v>
      </c>
      <c r="H1864" s="175">
        <v>45447</v>
      </c>
      <c r="I1864" s="175">
        <v>45459</v>
      </c>
      <c r="J1864" s="168" t="s">
        <v>7312</v>
      </c>
      <c r="K1864" s="174">
        <v>45463</v>
      </c>
      <c r="L1864" s="129" t="s">
        <v>4334</v>
      </c>
      <c r="M1864" s="129"/>
      <c r="N1864" s="129"/>
      <c r="O1864" s="129" t="s">
        <v>3406</v>
      </c>
      <c r="P1864" s="146"/>
      <c r="Q1864" s="130">
        <v>45463</v>
      </c>
      <c r="R1864" s="171"/>
      <c r="S1864" s="172"/>
    </row>
    <row r="1865" spans="1:19" ht="42.75">
      <c r="A1865" s="164" t="s">
        <v>778</v>
      </c>
      <c r="B1865" s="165" t="s">
        <v>1349</v>
      </c>
      <c r="C1865" s="165" t="s">
        <v>3474</v>
      </c>
      <c r="D1865" s="164">
        <v>3735</v>
      </c>
      <c r="E1865" s="164">
        <v>3955</v>
      </c>
      <c r="F1865" s="164" t="s">
        <v>3955</v>
      </c>
      <c r="G1865" s="164"/>
      <c r="H1865" s="167"/>
      <c r="I1865" s="167"/>
      <c r="J1865" s="167"/>
      <c r="K1865" s="169"/>
      <c r="L1865" s="129"/>
      <c r="M1865" s="129"/>
      <c r="N1865" s="129"/>
      <c r="O1865" s="129"/>
      <c r="P1865" s="146"/>
      <c r="Q1865" s="170"/>
      <c r="R1865" s="171"/>
      <c r="S1865" s="172"/>
    </row>
    <row r="1866" spans="1:19" ht="42.75">
      <c r="A1866" s="164" t="s">
        <v>778</v>
      </c>
      <c r="B1866" s="165" t="s">
        <v>1349</v>
      </c>
      <c r="C1866" s="165" t="s">
        <v>5401</v>
      </c>
      <c r="D1866" s="164">
        <v>3214</v>
      </c>
      <c r="E1866" s="164">
        <v>3411</v>
      </c>
      <c r="F1866" s="164" t="s">
        <v>3404</v>
      </c>
      <c r="G1866" s="164">
        <v>2024</v>
      </c>
      <c r="H1866" s="175">
        <v>45485</v>
      </c>
      <c r="I1866" s="175">
        <v>45490</v>
      </c>
      <c r="J1866" s="168" t="s">
        <v>7313</v>
      </c>
      <c r="K1866" s="174">
        <v>45491</v>
      </c>
      <c r="L1866" s="129" t="s">
        <v>3125</v>
      </c>
      <c r="M1866" s="129" t="s">
        <v>4</v>
      </c>
      <c r="N1866" s="129" t="s">
        <v>50</v>
      </c>
      <c r="O1866" s="129" t="s">
        <v>3406</v>
      </c>
      <c r="P1866" s="146"/>
      <c r="Q1866" s="170">
        <v>45492</v>
      </c>
      <c r="R1866" s="171"/>
      <c r="S1866" s="172"/>
    </row>
    <row r="1867" spans="1:19" ht="42.75">
      <c r="A1867" s="164" t="s">
        <v>778</v>
      </c>
      <c r="B1867" s="165" t="s">
        <v>1349</v>
      </c>
      <c r="C1867" s="165" t="s">
        <v>5402</v>
      </c>
      <c r="D1867" s="164">
        <v>1913</v>
      </c>
      <c r="E1867" s="164">
        <v>2026</v>
      </c>
      <c r="F1867" s="164" t="s">
        <v>3955</v>
      </c>
      <c r="G1867" s="164"/>
      <c r="H1867" s="167"/>
      <c r="I1867" s="167"/>
      <c r="J1867" s="167"/>
      <c r="K1867" s="169"/>
      <c r="L1867" s="129"/>
      <c r="M1867" s="129"/>
      <c r="N1867" s="129"/>
      <c r="O1867" s="129"/>
      <c r="P1867" s="146"/>
      <c r="Q1867" s="170"/>
      <c r="R1867" s="171"/>
      <c r="S1867" s="172"/>
    </row>
    <row r="1868" spans="1:19" ht="42.75">
      <c r="A1868" s="164" t="s">
        <v>778</v>
      </c>
      <c r="B1868" s="165" t="s">
        <v>1349</v>
      </c>
      <c r="C1868" s="165" t="s">
        <v>5404</v>
      </c>
      <c r="D1868" s="164">
        <v>5330</v>
      </c>
      <c r="E1868" s="164">
        <v>5362</v>
      </c>
      <c r="F1868" s="164" t="s">
        <v>3955</v>
      </c>
      <c r="G1868" s="164"/>
      <c r="H1868" s="167"/>
      <c r="I1868" s="167"/>
      <c r="J1868" s="167"/>
      <c r="K1868" s="169"/>
      <c r="L1868" s="129"/>
      <c r="M1868" s="129"/>
      <c r="N1868" s="129"/>
      <c r="O1868" s="129"/>
      <c r="P1868" s="146"/>
      <c r="Q1868" s="170"/>
      <c r="R1868" s="171"/>
      <c r="S1868" s="172"/>
    </row>
    <row r="1869" spans="1:19" ht="42.75">
      <c r="A1869" s="164" t="s">
        <v>778</v>
      </c>
      <c r="B1869" s="165" t="s">
        <v>1349</v>
      </c>
      <c r="C1869" s="165" t="s">
        <v>1056</v>
      </c>
      <c r="D1869" s="164">
        <v>3167</v>
      </c>
      <c r="E1869" s="164">
        <v>2197</v>
      </c>
      <c r="F1869" s="164" t="s">
        <v>3955</v>
      </c>
      <c r="G1869" s="164"/>
      <c r="H1869" s="167"/>
      <c r="I1869" s="167"/>
      <c r="J1869" s="167"/>
      <c r="K1869" s="169"/>
      <c r="L1869" s="129"/>
      <c r="M1869" s="129"/>
      <c r="N1869" s="129"/>
      <c r="O1869" s="129"/>
      <c r="P1869" s="146"/>
      <c r="Q1869" s="170"/>
      <c r="R1869" s="171"/>
      <c r="S1869" s="172"/>
    </row>
    <row r="1870" spans="1:19" ht="42.75">
      <c r="A1870" s="164" t="s">
        <v>778</v>
      </c>
      <c r="B1870" s="165" t="s">
        <v>1349</v>
      </c>
      <c r="C1870" s="165" t="s">
        <v>5406</v>
      </c>
      <c r="D1870" s="164">
        <v>3593</v>
      </c>
      <c r="E1870" s="164">
        <v>3627</v>
      </c>
      <c r="F1870" s="164" t="s">
        <v>3955</v>
      </c>
      <c r="G1870" s="164"/>
      <c r="H1870" s="167"/>
      <c r="I1870" s="167"/>
      <c r="J1870" s="167"/>
      <c r="K1870" s="169"/>
      <c r="L1870" s="129"/>
      <c r="M1870" s="129"/>
      <c r="N1870" s="129"/>
      <c r="O1870" s="129"/>
      <c r="P1870" s="146"/>
      <c r="Q1870" s="170"/>
      <c r="R1870" s="171"/>
      <c r="S1870" s="172"/>
    </row>
    <row r="1871" spans="1:19" ht="42.75">
      <c r="A1871" s="164" t="s">
        <v>778</v>
      </c>
      <c r="B1871" s="165" t="s">
        <v>1349</v>
      </c>
      <c r="C1871" s="165" t="s">
        <v>5407</v>
      </c>
      <c r="D1871" s="164">
        <v>1772</v>
      </c>
      <c r="E1871" s="164">
        <v>2011</v>
      </c>
      <c r="F1871" s="164" t="s">
        <v>3955</v>
      </c>
      <c r="G1871" s="164"/>
      <c r="H1871" s="167"/>
      <c r="I1871" s="167"/>
      <c r="J1871" s="167"/>
      <c r="K1871" s="169"/>
      <c r="L1871" s="129"/>
      <c r="M1871" s="129"/>
      <c r="N1871" s="129"/>
      <c r="O1871" s="129"/>
      <c r="P1871" s="146"/>
      <c r="Q1871" s="170"/>
      <c r="R1871" s="171"/>
      <c r="S1871" s="172"/>
    </row>
    <row r="1872" spans="1:19" ht="42.75">
      <c r="A1872" s="164" t="s">
        <v>778</v>
      </c>
      <c r="B1872" s="165" t="s">
        <v>1349</v>
      </c>
      <c r="C1872" s="165" t="s">
        <v>914</v>
      </c>
      <c r="D1872" s="164">
        <v>3361</v>
      </c>
      <c r="E1872" s="164">
        <v>3351</v>
      </c>
      <c r="F1872" s="164" t="s">
        <v>3955</v>
      </c>
      <c r="G1872" s="164"/>
      <c r="H1872" s="167"/>
      <c r="I1872" s="167"/>
      <c r="J1872" s="167"/>
      <c r="K1872" s="169"/>
      <c r="L1872" s="129"/>
      <c r="M1872" s="129"/>
      <c r="N1872" s="129"/>
      <c r="O1872" s="129"/>
      <c r="P1872" s="146"/>
      <c r="Q1872" s="170"/>
      <c r="R1872" s="171"/>
      <c r="S1872" s="172"/>
    </row>
    <row r="1873" spans="1:19" ht="42.75">
      <c r="A1873" s="164" t="s">
        <v>778</v>
      </c>
      <c r="B1873" s="165" t="s">
        <v>1349</v>
      </c>
      <c r="C1873" s="165" t="s">
        <v>5409</v>
      </c>
      <c r="D1873" s="164">
        <v>5004</v>
      </c>
      <c r="E1873" s="164">
        <v>5388</v>
      </c>
      <c r="F1873" s="164" t="s">
        <v>3955</v>
      </c>
      <c r="G1873" s="164"/>
      <c r="H1873" s="167"/>
      <c r="I1873" s="167"/>
      <c r="J1873" s="167"/>
      <c r="K1873" s="169"/>
      <c r="L1873" s="129"/>
      <c r="M1873" s="129"/>
      <c r="N1873" s="129"/>
      <c r="O1873" s="129"/>
      <c r="P1873" s="146"/>
      <c r="Q1873" s="170"/>
      <c r="R1873" s="171"/>
      <c r="S1873" s="172"/>
    </row>
    <row r="1874" spans="1:19" ht="42.75">
      <c r="A1874" s="164" t="s">
        <v>778</v>
      </c>
      <c r="B1874" s="165" t="s">
        <v>1349</v>
      </c>
      <c r="C1874" s="165" t="s">
        <v>5411</v>
      </c>
      <c r="D1874" s="164">
        <v>9065</v>
      </c>
      <c r="E1874" s="164">
        <v>10476</v>
      </c>
      <c r="F1874" s="164" t="s">
        <v>3404</v>
      </c>
      <c r="G1874" s="164">
        <v>2024</v>
      </c>
      <c r="H1874" s="175">
        <v>45447</v>
      </c>
      <c r="I1874" s="175">
        <v>45459</v>
      </c>
      <c r="J1874" s="168" t="s">
        <v>7314</v>
      </c>
      <c r="K1874" s="174">
        <v>45463</v>
      </c>
      <c r="L1874" s="129" t="s">
        <v>4334</v>
      </c>
      <c r="M1874" s="129"/>
      <c r="N1874" s="129"/>
      <c r="O1874" s="129" t="s">
        <v>3406</v>
      </c>
      <c r="P1874" s="146"/>
      <c r="Q1874" s="170">
        <v>45463</v>
      </c>
      <c r="R1874" s="171"/>
      <c r="S1874" s="172"/>
    </row>
    <row r="1875" spans="1:19" ht="42.75">
      <c r="A1875" s="164" t="s">
        <v>778</v>
      </c>
      <c r="B1875" s="165" t="s">
        <v>1349</v>
      </c>
      <c r="C1875" s="165" t="s">
        <v>4294</v>
      </c>
      <c r="D1875" s="164">
        <v>6382</v>
      </c>
      <c r="E1875" s="164">
        <v>6611</v>
      </c>
      <c r="F1875" s="164" t="s">
        <v>3955</v>
      </c>
      <c r="G1875" s="164"/>
      <c r="H1875" s="167"/>
      <c r="I1875" s="167"/>
      <c r="J1875" s="167"/>
      <c r="K1875" s="169"/>
      <c r="L1875" s="129"/>
      <c r="M1875" s="129"/>
      <c r="N1875" s="129"/>
      <c r="O1875" s="129"/>
      <c r="P1875" s="146"/>
      <c r="Q1875" s="170"/>
      <c r="R1875" s="171"/>
      <c r="S1875" s="172"/>
    </row>
    <row r="1876" spans="1:19" ht="42.75">
      <c r="A1876" s="164" t="s">
        <v>778</v>
      </c>
      <c r="B1876" s="165" t="s">
        <v>1349</v>
      </c>
      <c r="C1876" s="165" t="s">
        <v>1439</v>
      </c>
      <c r="D1876" s="164">
        <v>8227</v>
      </c>
      <c r="E1876" s="164">
        <v>8832</v>
      </c>
      <c r="F1876" s="164" t="s">
        <v>3955</v>
      </c>
      <c r="G1876" s="164"/>
      <c r="H1876" s="167"/>
      <c r="I1876" s="167"/>
      <c r="J1876" s="167"/>
      <c r="K1876" s="169"/>
      <c r="L1876" s="129"/>
      <c r="M1876" s="129"/>
      <c r="N1876" s="129"/>
      <c r="O1876" s="129"/>
      <c r="P1876" s="146"/>
      <c r="Q1876" s="170"/>
      <c r="R1876" s="171"/>
      <c r="S1876" s="172"/>
    </row>
    <row r="1877" spans="1:19" ht="42.75">
      <c r="A1877" s="164" t="s">
        <v>778</v>
      </c>
      <c r="B1877" s="165" t="s">
        <v>1349</v>
      </c>
      <c r="C1877" s="165" t="s">
        <v>5414</v>
      </c>
      <c r="D1877" s="164">
        <v>5389</v>
      </c>
      <c r="E1877" s="164">
        <v>6389</v>
      </c>
      <c r="F1877" s="164" t="s">
        <v>3955</v>
      </c>
      <c r="G1877" s="164"/>
      <c r="H1877" s="167"/>
      <c r="I1877" s="167"/>
      <c r="J1877" s="167"/>
      <c r="K1877" s="169"/>
      <c r="L1877" s="129"/>
      <c r="M1877" s="129"/>
      <c r="N1877" s="129"/>
      <c r="O1877" s="129"/>
      <c r="P1877" s="146"/>
      <c r="Q1877" s="170"/>
      <c r="R1877" s="171"/>
      <c r="S1877" s="172"/>
    </row>
    <row r="1878" spans="1:19" ht="42.75">
      <c r="A1878" s="164" t="s">
        <v>778</v>
      </c>
      <c r="B1878" s="165" t="s">
        <v>1349</v>
      </c>
      <c r="C1878" s="165" t="s">
        <v>4313</v>
      </c>
      <c r="D1878" s="164">
        <v>3763</v>
      </c>
      <c r="E1878" s="164">
        <v>4344</v>
      </c>
      <c r="F1878" s="164" t="s">
        <v>3955</v>
      </c>
      <c r="G1878" s="164"/>
      <c r="H1878" s="167"/>
      <c r="I1878" s="167"/>
      <c r="J1878" s="167"/>
      <c r="K1878" s="169"/>
      <c r="L1878" s="129"/>
      <c r="M1878" s="129"/>
      <c r="N1878" s="129"/>
      <c r="O1878" s="129"/>
      <c r="P1878" s="146"/>
      <c r="Q1878" s="170"/>
      <c r="R1878" s="171"/>
      <c r="S1878" s="172"/>
    </row>
    <row r="1879" spans="1:19" ht="42.75">
      <c r="A1879" s="164" t="s">
        <v>778</v>
      </c>
      <c r="B1879" s="165" t="s">
        <v>1349</v>
      </c>
      <c r="C1879" s="165" t="s">
        <v>5400</v>
      </c>
      <c r="D1879" s="164">
        <v>3554</v>
      </c>
      <c r="E1879" s="164">
        <v>3820</v>
      </c>
      <c r="F1879" s="164" t="s">
        <v>3955</v>
      </c>
      <c r="G1879" s="164"/>
      <c r="H1879" s="167"/>
      <c r="I1879" s="167"/>
      <c r="J1879" s="167"/>
      <c r="K1879" s="169"/>
      <c r="L1879" s="129"/>
      <c r="M1879" s="129"/>
      <c r="N1879" s="129"/>
      <c r="O1879" s="129"/>
      <c r="P1879" s="146"/>
      <c r="Q1879" s="170"/>
      <c r="R1879" s="171"/>
      <c r="S1879" s="172"/>
    </row>
    <row r="1880" spans="1:19" ht="42.75">
      <c r="A1880" s="164" t="s">
        <v>778</v>
      </c>
      <c r="B1880" s="165" t="s">
        <v>1349</v>
      </c>
      <c r="C1880" s="165" t="s">
        <v>5415</v>
      </c>
      <c r="D1880" s="164">
        <v>2725</v>
      </c>
      <c r="E1880" s="164">
        <v>3171</v>
      </c>
      <c r="F1880" s="164" t="s">
        <v>3955</v>
      </c>
      <c r="G1880" s="164"/>
      <c r="H1880" s="167"/>
      <c r="I1880" s="167"/>
      <c r="J1880" s="167"/>
      <c r="K1880" s="169"/>
      <c r="L1880" s="129"/>
      <c r="M1880" s="129"/>
      <c r="N1880" s="129"/>
      <c r="O1880" s="129"/>
      <c r="P1880" s="146"/>
      <c r="Q1880" s="170"/>
      <c r="R1880" s="171"/>
      <c r="S1880" s="172"/>
    </row>
    <row r="1881" spans="1:19" ht="42.75">
      <c r="A1881" s="164" t="s">
        <v>778</v>
      </c>
      <c r="B1881" s="165" t="s">
        <v>1349</v>
      </c>
      <c r="C1881" s="165" t="s">
        <v>3423</v>
      </c>
      <c r="D1881" s="164">
        <v>3291</v>
      </c>
      <c r="E1881" s="164">
        <v>3445</v>
      </c>
      <c r="F1881" s="164" t="s">
        <v>3955</v>
      </c>
      <c r="G1881" s="164"/>
      <c r="H1881" s="167"/>
      <c r="I1881" s="167"/>
      <c r="J1881" s="167"/>
      <c r="K1881" s="169"/>
      <c r="L1881" s="129"/>
      <c r="M1881" s="129"/>
      <c r="N1881" s="129"/>
      <c r="O1881" s="129"/>
      <c r="P1881" s="146"/>
      <c r="Q1881" s="170"/>
      <c r="R1881" s="171"/>
      <c r="S1881" s="172"/>
    </row>
    <row r="1882" spans="1:19" ht="42.75">
      <c r="A1882" s="164" t="s">
        <v>778</v>
      </c>
      <c r="B1882" s="165" t="s">
        <v>1349</v>
      </c>
      <c r="C1882" s="165" t="s">
        <v>5416</v>
      </c>
      <c r="D1882" s="164">
        <v>5570</v>
      </c>
      <c r="E1882" s="164">
        <v>7749</v>
      </c>
      <c r="F1882" s="164" t="s">
        <v>3955</v>
      </c>
      <c r="G1882" s="164"/>
      <c r="H1882" s="167"/>
      <c r="I1882" s="167"/>
      <c r="J1882" s="167"/>
      <c r="K1882" s="169"/>
      <c r="L1882" s="129"/>
      <c r="M1882" s="129"/>
      <c r="N1882" s="129"/>
      <c r="O1882" s="129"/>
      <c r="P1882" s="146"/>
      <c r="Q1882" s="170"/>
      <c r="R1882" s="171"/>
      <c r="S1882" s="172"/>
    </row>
    <row r="1883" spans="1:19" ht="42.75">
      <c r="A1883" s="164" t="s">
        <v>778</v>
      </c>
      <c r="B1883" s="165" t="s">
        <v>1349</v>
      </c>
      <c r="C1883" s="165" t="s">
        <v>5394</v>
      </c>
      <c r="D1883" s="164">
        <v>5423</v>
      </c>
      <c r="E1883" s="164">
        <v>5755</v>
      </c>
      <c r="F1883" s="164" t="s">
        <v>3955</v>
      </c>
      <c r="G1883" s="164"/>
      <c r="H1883" s="167"/>
      <c r="I1883" s="167"/>
      <c r="J1883" s="167"/>
      <c r="K1883" s="169"/>
      <c r="L1883" s="129"/>
      <c r="M1883" s="129"/>
      <c r="N1883" s="129"/>
      <c r="O1883" s="129"/>
      <c r="P1883" s="146"/>
      <c r="Q1883" s="170"/>
      <c r="R1883" s="171"/>
      <c r="S1883" s="172"/>
    </row>
    <row r="1884" spans="1:19" ht="42.75">
      <c r="A1884" s="164" t="s">
        <v>778</v>
      </c>
      <c r="B1884" s="165" t="s">
        <v>1353</v>
      </c>
      <c r="C1884" s="165" t="s">
        <v>5418</v>
      </c>
      <c r="D1884" s="164">
        <v>239</v>
      </c>
      <c r="E1884" s="164">
        <v>554</v>
      </c>
      <c r="F1884" s="164" t="s">
        <v>3404</v>
      </c>
      <c r="G1884" s="164">
        <v>2024</v>
      </c>
      <c r="H1884" s="175">
        <v>45608</v>
      </c>
      <c r="I1884" s="175">
        <v>45614</v>
      </c>
      <c r="J1884" s="250" t="s">
        <v>7315</v>
      </c>
      <c r="K1884" s="174">
        <v>45616</v>
      </c>
      <c r="L1884" s="129" t="s">
        <v>3129</v>
      </c>
      <c r="M1884" s="129" t="s">
        <v>4</v>
      </c>
      <c r="N1884" s="129" t="s">
        <v>50</v>
      </c>
      <c r="O1884" s="129" t="s">
        <v>3406</v>
      </c>
      <c r="P1884" s="146"/>
      <c r="Q1884" s="170">
        <v>45617</v>
      </c>
      <c r="R1884" s="171" t="s">
        <v>150</v>
      </c>
      <c r="S1884" s="172"/>
    </row>
    <row r="1885" spans="1:19" ht="42.75">
      <c r="A1885" s="164" t="s">
        <v>778</v>
      </c>
      <c r="B1885" s="165" t="s">
        <v>1353</v>
      </c>
      <c r="C1885" s="165" t="s">
        <v>5419</v>
      </c>
      <c r="D1885" s="164">
        <v>4466</v>
      </c>
      <c r="E1885" s="164">
        <v>6126</v>
      </c>
      <c r="F1885" s="164" t="s">
        <v>3404</v>
      </c>
      <c r="G1885" s="164">
        <v>2024</v>
      </c>
      <c r="H1885" s="175">
        <v>45541</v>
      </c>
      <c r="I1885" s="175">
        <v>45543</v>
      </c>
      <c r="J1885" s="168" t="s">
        <v>7316</v>
      </c>
      <c r="K1885" s="174">
        <v>45552</v>
      </c>
      <c r="L1885" s="129" t="s">
        <v>3127</v>
      </c>
      <c r="M1885" s="129" t="s">
        <v>4</v>
      </c>
      <c r="N1885" s="129" t="s">
        <v>50</v>
      </c>
      <c r="O1885" s="129" t="s">
        <v>3406</v>
      </c>
      <c r="P1885" s="146"/>
      <c r="Q1885" s="170">
        <v>45552</v>
      </c>
      <c r="R1885" s="171" t="s">
        <v>150</v>
      </c>
      <c r="S1885" s="172"/>
    </row>
    <row r="1886" spans="1:19" ht="42.75">
      <c r="A1886" s="164" t="s">
        <v>778</v>
      </c>
      <c r="B1886" s="165" t="s">
        <v>1353</v>
      </c>
      <c r="C1886" s="165" t="s">
        <v>5420</v>
      </c>
      <c r="D1886" s="164">
        <v>615</v>
      </c>
      <c r="E1886" s="164">
        <v>509</v>
      </c>
      <c r="F1886" s="164" t="s">
        <v>3955</v>
      </c>
      <c r="G1886" s="164"/>
      <c r="H1886" s="167"/>
      <c r="I1886" s="167"/>
      <c r="J1886" s="167"/>
      <c r="K1886" s="169"/>
      <c r="L1886" s="129"/>
      <c r="M1886" s="129"/>
      <c r="N1886" s="129"/>
      <c r="O1886" s="129"/>
      <c r="P1886" s="146"/>
      <c r="Q1886" s="170"/>
      <c r="R1886" s="171"/>
      <c r="S1886" s="172"/>
    </row>
    <row r="1887" spans="1:19" ht="42.75">
      <c r="A1887" s="164" t="s">
        <v>778</v>
      </c>
      <c r="B1887" s="165" t="s">
        <v>1353</v>
      </c>
      <c r="C1887" s="165" t="s">
        <v>5422</v>
      </c>
      <c r="D1887" s="164">
        <v>3486</v>
      </c>
      <c r="E1887" s="164">
        <v>3510</v>
      </c>
      <c r="F1887" s="164" t="s">
        <v>3404</v>
      </c>
      <c r="G1887" s="164">
        <v>2024</v>
      </c>
      <c r="H1887" s="175">
        <v>45541</v>
      </c>
      <c r="I1887" s="175">
        <v>45543</v>
      </c>
      <c r="J1887" s="168" t="s">
        <v>7317</v>
      </c>
      <c r="K1887" s="174">
        <v>45552</v>
      </c>
      <c r="L1887" s="129" t="s">
        <v>3127</v>
      </c>
      <c r="M1887" s="129" t="s">
        <v>4</v>
      </c>
      <c r="N1887" s="129" t="s">
        <v>50</v>
      </c>
      <c r="O1887" s="129" t="s">
        <v>3406</v>
      </c>
      <c r="P1887" s="146"/>
      <c r="Q1887" s="170">
        <v>45552</v>
      </c>
      <c r="R1887" s="171" t="s">
        <v>150</v>
      </c>
      <c r="S1887" s="172"/>
    </row>
    <row r="1888" spans="1:19" ht="42.75">
      <c r="A1888" s="164" t="s">
        <v>778</v>
      </c>
      <c r="B1888" s="165" t="s">
        <v>1353</v>
      </c>
      <c r="C1888" s="165" t="s">
        <v>5423</v>
      </c>
      <c r="D1888" s="164">
        <v>12048</v>
      </c>
      <c r="E1888" s="164">
        <v>12701</v>
      </c>
      <c r="F1888" s="164" t="s">
        <v>3955</v>
      </c>
      <c r="G1888" s="164"/>
      <c r="H1888" s="167"/>
      <c r="I1888" s="167"/>
      <c r="J1888" s="167"/>
      <c r="K1888" s="169"/>
      <c r="L1888" s="129"/>
      <c r="M1888" s="129"/>
      <c r="N1888" s="129"/>
      <c r="O1888" s="129"/>
      <c r="P1888" s="146"/>
      <c r="Q1888" s="170"/>
      <c r="R1888" s="171"/>
      <c r="S1888" s="172"/>
    </row>
    <row r="1889" spans="1:19" ht="42.75">
      <c r="A1889" s="164" t="s">
        <v>778</v>
      </c>
      <c r="B1889" s="165" t="s">
        <v>1353</v>
      </c>
      <c r="C1889" s="165" t="s">
        <v>1185</v>
      </c>
      <c r="D1889" s="164">
        <v>160</v>
      </c>
      <c r="E1889" s="164">
        <v>223</v>
      </c>
      <c r="F1889" s="164" t="s">
        <v>3404</v>
      </c>
      <c r="G1889" s="164">
        <v>2024</v>
      </c>
      <c r="H1889" s="175">
        <v>45608</v>
      </c>
      <c r="I1889" s="175">
        <v>45614</v>
      </c>
      <c r="J1889" s="168" t="s">
        <v>7318</v>
      </c>
      <c r="K1889" s="174">
        <v>45616</v>
      </c>
      <c r="L1889" s="129" t="s">
        <v>3129</v>
      </c>
      <c r="M1889" s="129" t="s">
        <v>4</v>
      </c>
      <c r="N1889" s="129" t="s">
        <v>50</v>
      </c>
      <c r="O1889" s="129" t="s">
        <v>3406</v>
      </c>
      <c r="P1889" s="146"/>
      <c r="Q1889" s="170">
        <v>45617</v>
      </c>
      <c r="R1889" s="171" t="s">
        <v>150</v>
      </c>
      <c r="S1889" s="172"/>
    </row>
    <row r="1890" spans="1:19" ht="42.75">
      <c r="A1890" s="164" t="s">
        <v>778</v>
      </c>
      <c r="B1890" s="165" t="s">
        <v>1353</v>
      </c>
      <c r="C1890" s="165" t="s">
        <v>5197</v>
      </c>
      <c r="D1890" s="164">
        <v>544</v>
      </c>
      <c r="E1890" s="164">
        <v>724</v>
      </c>
      <c r="F1890" s="164" t="s">
        <v>3404</v>
      </c>
      <c r="G1890" s="164">
        <v>2024</v>
      </c>
      <c r="H1890" s="175">
        <v>45541</v>
      </c>
      <c r="I1890" s="175">
        <v>45543</v>
      </c>
      <c r="J1890" s="168" t="s">
        <v>7319</v>
      </c>
      <c r="K1890" s="174">
        <v>45552</v>
      </c>
      <c r="L1890" s="129" t="s">
        <v>3127</v>
      </c>
      <c r="M1890" s="129" t="s">
        <v>4</v>
      </c>
      <c r="N1890" s="129" t="s">
        <v>50</v>
      </c>
      <c r="O1890" s="129" t="s">
        <v>3406</v>
      </c>
      <c r="P1890" s="146"/>
      <c r="Q1890" s="170">
        <v>45553</v>
      </c>
      <c r="R1890" s="171" t="s">
        <v>150</v>
      </c>
      <c r="S1890" s="172"/>
    </row>
    <row r="1891" spans="1:19" ht="42.75">
      <c r="A1891" s="164" t="s">
        <v>778</v>
      </c>
      <c r="B1891" s="165" t="s">
        <v>1353</v>
      </c>
      <c r="C1891" s="165" t="s">
        <v>5430</v>
      </c>
      <c r="D1891" s="164">
        <v>210</v>
      </c>
      <c r="E1891" s="164">
        <v>358</v>
      </c>
      <c r="F1891" s="164" t="s">
        <v>3404</v>
      </c>
      <c r="G1891" s="164">
        <v>2024</v>
      </c>
      <c r="H1891" s="175">
        <v>45541</v>
      </c>
      <c r="I1891" s="175">
        <v>45543</v>
      </c>
      <c r="J1891" s="168" t="s">
        <v>7320</v>
      </c>
      <c r="K1891" s="174">
        <v>45552</v>
      </c>
      <c r="L1891" s="129" t="s">
        <v>3127</v>
      </c>
      <c r="M1891" s="129" t="s">
        <v>1078</v>
      </c>
      <c r="N1891" s="129" t="s">
        <v>50</v>
      </c>
      <c r="O1891" s="129" t="s">
        <v>3406</v>
      </c>
      <c r="P1891" s="146"/>
      <c r="Q1891" s="170">
        <v>45553</v>
      </c>
      <c r="R1891" s="171" t="s">
        <v>150</v>
      </c>
      <c r="S1891" s="172"/>
    </row>
    <row r="1892" spans="1:19" ht="42.75">
      <c r="A1892" s="164" t="s">
        <v>778</v>
      </c>
      <c r="B1892" s="165" t="s">
        <v>1353</v>
      </c>
      <c r="C1892" s="165" t="s">
        <v>5436</v>
      </c>
      <c r="D1892" s="164">
        <v>780</v>
      </c>
      <c r="E1892" s="164">
        <v>1001</v>
      </c>
      <c r="F1892" s="164" t="s">
        <v>3404</v>
      </c>
      <c r="G1892" s="164">
        <v>2024</v>
      </c>
      <c r="H1892" s="175">
        <v>45608</v>
      </c>
      <c r="I1892" s="175">
        <v>45614</v>
      </c>
      <c r="J1892" s="168" t="s">
        <v>7321</v>
      </c>
      <c r="K1892" s="174">
        <v>45616</v>
      </c>
      <c r="L1892" s="129" t="s">
        <v>3129</v>
      </c>
      <c r="M1892" s="129" t="s">
        <v>4</v>
      </c>
      <c r="N1892" s="129" t="s">
        <v>50</v>
      </c>
      <c r="O1892" s="129" t="s">
        <v>3406</v>
      </c>
      <c r="P1892" s="146"/>
      <c r="Q1892" s="170">
        <v>45617</v>
      </c>
      <c r="R1892" s="171" t="s">
        <v>150</v>
      </c>
      <c r="S1892" s="172"/>
    </row>
    <row r="1893" spans="1:19" ht="42.75">
      <c r="A1893" s="164" t="s">
        <v>778</v>
      </c>
      <c r="B1893" s="165" t="s">
        <v>1353</v>
      </c>
      <c r="C1893" s="165" t="s">
        <v>5437</v>
      </c>
      <c r="D1893" s="164">
        <v>2156</v>
      </c>
      <c r="E1893" s="164">
        <v>2461</v>
      </c>
      <c r="F1893" s="164" t="s">
        <v>3404</v>
      </c>
      <c r="G1893" s="164">
        <v>2024</v>
      </c>
      <c r="H1893" s="175">
        <v>45541</v>
      </c>
      <c r="I1893" s="175">
        <v>45543</v>
      </c>
      <c r="J1893" s="168" t="s">
        <v>7322</v>
      </c>
      <c r="K1893" s="174">
        <v>45552</v>
      </c>
      <c r="L1893" s="129" t="s">
        <v>3127</v>
      </c>
      <c r="M1893" s="129" t="s">
        <v>4</v>
      </c>
      <c r="N1893" s="129" t="s">
        <v>50</v>
      </c>
      <c r="O1893" s="129" t="s">
        <v>3406</v>
      </c>
      <c r="P1893" s="146"/>
      <c r="Q1893" s="170">
        <v>45553</v>
      </c>
      <c r="R1893" s="171" t="s">
        <v>150</v>
      </c>
      <c r="S1893" s="172"/>
    </row>
    <row r="1894" spans="1:19" ht="42.75">
      <c r="A1894" s="164" t="s">
        <v>778</v>
      </c>
      <c r="B1894" s="165" t="s">
        <v>1353</v>
      </c>
      <c r="C1894" s="165" t="s">
        <v>5438</v>
      </c>
      <c r="D1894" s="164">
        <v>1203</v>
      </c>
      <c r="E1894" s="164">
        <v>1438</v>
      </c>
      <c r="F1894" s="164" t="s">
        <v>3404</v>
      </c>
      <c r="G1894" s="164">
        <v>2024</v>
      </c>
      <c r="H1894" s="175">
        <v>45482</v>
      </c>
      <c r="I1894" s="175">
        <v>45490</v>
      </c>
      <c r="J1894" s="168" t="s">
        <v>7323</v>
      </c>
      <c r="K1894" s="174">
        <v>45491</v>
      </c>
      <c r="L1894" s="129" t="s">
        <v>3125</v>
      </c>
      <c r="M1894" s="129" t="s">
        <v>4</v>
      </c>
      <c r="N1894" s="129" t="s">
        <v>50</v>
      </c>
      <c r="O1894" s="129" t="s">
        <v>3406</v>
      </c>
      <c r="P1894" s="146"/>
      <c r="Q1894" s="170">
        <v>45493</v>
      </c>
      <c r="R1894" s="171"/>
      <c r="S1894" s="172"/>
    </row>
    <row r="1895" spans="1:19" ht="42.75">
      <c r="A1895" s="164" t="s">
        <v>778</v>
      </c>
      <c r="B1895" s="165" t="s">
        <v>1353</v>
      </c>
      <c r="C1895" s="165" t="s">
        <v>5439</v>
      </c>
      <c r="D1895" s="164">
        <v>191</v>
      </c>
      <c r="E1895" s="164">
        <v>75</v>
      </c>
      <c r="F1895" s="164" t="s">
        <v>3955</v>
      </c>
      <c r="G1895" s="164"/>
      <c r="H1895" s="167"/>
      <c r="I1895" s="167"/>
      <c r="J1895" s="167"/>
      <c r="K1895" s="169"/>
      <c r="L1895" s="129"/>
      <c r="M1895" s="129"/>
      <c r="N1895" s="129"/>
      <c r="O1895" s="129"/>
      <c r="P1895" s="146"/>
      <c r="Q1895" s="170"/>
      <c r="R1895" s="171"/>
      <c r="S1895" s="172"/>
    </row>
    <row r="1896" spans="1:19" ht="42.75">
      <c r="A1896" s="164" t="s">
        <v>778</v>
      </c>
      <c r="B1896" s="165" t="s">
        <v>1353</v>
      </c>
      <c r="C1896" s="165" t="s">
        <v>5441</v>
      </c>
      <c r="D1896" s="164">
        <v>656</v>
      </c>
      <c r="E1896" s="164">
        <v>967</v>
      </c>
      <c r="F1896" s="164" t="s">
        <v>3955</v>
      </c>
      <c r="G1896" s="164"/>
      <c r="H1896" s="167"/>
      <c r="I1896" s="167"/>
      <c r="J1896" s="167"/>
      <c r="K1896" s="169"/>
      <c r="L1896" s="129"/>
      <c r="M1896" s="129"/>
      <c r="N1896" s="129"/>
      <c r="O1896" s="129"/>
      <c r="P1896" s="146"/>
      <c r="Q1896" s="170"/>
      <c r="R1896" s="171"/>
      <c r="S1896" s="172"/>
    </row>
    <row r="1897" spans="1:19" ht="42.75">
      <c r="A1897" s="164" t="s">
        <v>778</v>
      </c>
      <c r="B1897" s="165" t="s">
        <v>1353</v>
      </c>
      <c r="C1897" s="165" t="s">
        <v>5443</v>
      </c>
      <c r="D1897" s="164">
        <v>350</v>
      </c>
      <c r="E1897" s="164">
        <v>804</v>
      </c>
      <c r="F1897" s="164" t="s">
        <v>3404</v>
      </c>
      <c r="G1897" s="164">
        <v>2024</v>
      </c>
      <c r="H1897" s="175">
        <v>45545</v>
      </c>
      <c r="I1897" s="175">
        <v>45549</v>
      </c>
      <c r="J1897" s="168" t="s">
        <v>7324</v>
      </c>
      <c r="K1897" s="174">
        <v>45552</v>
      </c>
      <c r="L1897" s="129" t="s">
        <v>3127</v>
      </c>
      <c r="M1897" s="129" t="s">
        <v>4</v>
      </c>
      <c r="N1897" s="129" t="s">
        <v>50</v>
      </c>
      <c r="O1897" s="129" t="s">
        <v>3406</v>
      </c>
      <c r="P1897" s="146"/>
      <c r="Q1897" s="170">
        <v>45553</v>
      </c>
      <c r="R1897" s="171" t="s">
        <v>150</v>
      </c>
      <c r="S1897" s="172"/>
    </row>
    <row r="1898" spans="1:19" ht="42.75">
      <c r="A1898" s="164" t="s">
        <v>778</v>
      </c>
      <c r="B1898" s="165" t="s">
        <v>1353</v>
      </c>
      <c r="C1898" s="165" t="s">
        <v>914</v>
      </c>
      <c r="D1898" s="164">
        <v>747</v>
      </c>
      <c r="E1898" s="164">
        <v>1231</v>
      </c>
      <c r="F1898" s="164" t="s">
        <v>3955</v>
      </c>
      <c r="G1898" s="164"/>
      <c r="H1898" s="167"/>
      <c r="I1898" s="167"/>
      <c r="J1898" s="167"/>
      <c r="K1898" s="169"/>
      <c r="L1898" s="129"/>
      <c r="M1898" s="129"/>
      <c r="N1898" s="129"/>
      <c r="O1898" s="129"/>
      <c r="P1898" s="146"/>
      <c r="Q1898" s="170"/>
      <c r="R1898" s="171"/>
      <c r="S1898" s="172"/>
    </row>
    <row r="1899" spans="1:19" ht="42.75">
      <c r="A1899" s="164" t="s">
        <v>778</v>
      </c>
      <c r="B1899" s="165" t="s">
        <v>1353</v>
      </c>
      <c r="C1899" s="165" t="s">
        <v>1180</v>
      </c>
      <c r="D1899" s="164">
        <v>5703</v>
      </c>
      <c r="E1899" s="164">
        <v>6865</v>
      </c>
      <c r="F1899" s="164" t="s">
        <v>3404</v>
      </c>
      <c r="G1899" s="164">
        <v>2024</v>
      </c>
      <c r="H1899" s="175">
        <v>45546</v>
      </c>
      <c r="I1899" s="175">
        <v>45549</v>
      </c>
      <c r="J1899" s="168" t="s">
        <v>7325</v>
      </c>
      <c r="K1899" s="174">
        <v>45552</v>
      </c>
      <c r="L1899" s="129" t="s">
        <v>3127</v>
      </c>
      <c r="M1899" s="129" t="s">
        <v>4</v>
      </c>
      <c r="N1899" s="129" t="s">
        <v>50</v>
      </c>
      <c r="O1899" s="129" t="s">
        <v>3406</v>
      </c>
      <c r="P1899" s="146"/>
      <c r="Q1899" s="170">
        <v>45553</v>
      </c>
      <c r="R1899" s="171" t="s">
        <v>150</v>
      </c>
      <c r="S1899" s="172"/>
    </row>
    <row r="1900" spans="1:19" ht="42.75">
      <c r="A1900" s="164" t="s">
        <v>778</v>
      </c>
      <c r="B1900" s="165" t="s">
        <v>1353</v>
      </c>
      <c r="C1900" s="165" t="s">
        <v>1166</v>
      </c>
      <c r="D1900" s="164">
        <v>2643</v>
      </c>
      <c r="E1900" s="164">
        <v>2905</v>
      </c>
      <c r="F1900" s="164" t="s">
        <v>3955</v>
      </c>
      <c r="G1900" s="164"/>
      <c r="H1900" s="167"/>
      <c r="I1900" s="167"/>
      <c r="J1900" s="196"/>
      <c r="K1900" s="169"/>
      <c r="L1900" s="129"/>
      <c r="M1900" s="129"/>
      <c r="N1900" s="129"/>
      <c r="O1900" s="129"/>
      <c r="P1900" s="146"/>
      <c r="Q1900" s="170"/>
      <c r="R1900" s="171"/>
      <c r="S1900" s="172"/>
    </row>
    <row r="1901" spans="1:19" ht="42.75">
      <c r="A1901" s="164" t="s">
        <v>778</v>
      </c>
      <c r="B1901" s="165" t="s">
        <v>1353</v>
      </c>
      <c r="C1901" s="165" t="s">
        <v>3975</v>
      </c>
      <c r="D1901" s="164">
        <v>1061</v>
      </c>
      <c r="E1901" s="164">
        <v>1514</v>
      </c>
      <c r="F1901" s="164" t="s">
        <v>3955</v>
      </c>
      <c r="G1901" s="164"/>
      <c r="H1901" s="167"/>
      <c r="I1901" s="236"/>
      <c r="J1901" s="169"/>
      <c r="K1901" s="237"/>
      <c r="L1901" s="129"/>
      <c r="M1901" s="129"/>
      <c r="N1901" s="129"/>
      <c r="O1901" s="129"/>
      <c r="P1901" s="146"/>
      <c r="Q1901" s="170"/>
      <c r="R1901" s="171"/>
      <c r="S1901" s="172"/>
    </row>
    <row r="1902" spans="1:19" ht="42.75">
      <c r="A1902" s="164" t="s">
        <v>778</v>
      </c>
      <c r="B1902" s="165" t="s">
        <v>1353</v>
      </c>
      <c r="C1902" s="165" t="s">
        <v>4027</v>
      </c>
      <c r="D1902" s="164">
        <v>1112</v>
      </c>
      <c r="E1902" s="164">
        <v>1400</v>
      </c>
      <c r="F1902" s="164" t="s">
        <v>3955</v>
      </c>
      <c r="G1902" s="164"/>
      <c r="H1902" s="167"/>
      <c r="I1902" s="167"/>
      <c r="J1902" s="167"/>
      <c r="K1902" s="169"/>
      <c r="L1902" s="129"/>
      <c r="M1902" s="129"/>
      <c r="N1902" s="129"/>
      <c r="O1902" s="129"/>
      <c r="P1902" s="146"/>
      <c r="Q1902" s="170"/>
      <c r="R1902" s="171"/>
      <c r="S1902" s="172"/>
    </row>
    <row r="1903" spans="1:19" ht="42.75">
      <c r="A1903" s="164" t="s">
        <v>778</v>
      </c>
      <c r="B1903" s="165" t="s">
        <v>1353</v>
      </c>
      <c r="C1903" s="165" t="s">
        <v>1354</v>
      </c>
      <c r="D1903" s="164">
        <v>135</v>
      </c>
      <c r="E1903" s="164">
        <v>168</v>
      </c>
      <c r="F1903" s="164" t="s">
        <v>3404</v>
      </c>
      <c r="G1903" s="164">
        <v>2024</v>
      </c>
      <c r="H1903" s="175">
        <v>45608</v>
      </c>
      <c r="I1903" s="175">
        <v>45614</v>
      </c>
      <c r="J1903" s="168" t="s">
        <v>7326</v>
      </c>
      <c r="K1903" s="174">
        <v>45616</v>
      </c>
      <c r="L1903" s="129" t="s">
        <v>3129</v>
      </c>
      <c r="M1903" s="129" t="s">
        <v>4</v>
      </c>
      <c r="N1903" s="129" t="s">
        <v>50</v>
      </c>
      <c r="O1903" s="129" t="s">
        <v>3406</v>
      </c>
      <c r="P1903" s="146"/>
      <c r="Q1903" s="170">
        <v>45617</v>
      </c>
      <c r="R1903" s="171" t="s">
        <v>150</v>
      </c>
      <c r="S1903" s="172"/>
    </row>
    <row r="1904" spans="1:19" ht="42.75">
      <c r="A1904" s="164" t="s">
        <v>778</v>
      </c>
      <c r="B1904" s="165" t="s">
        <v>1353</v>
      </c>
      <c r="C1904" s="165" t="s">
        <v>5448</v>
      </c>
      <c r="D1904" s="164">
        <v>955</v>
      </c>
      <c r="E1904" s="164">
        <v>2532</v>
      </c>
      <c r="F1904" s="164" t="s">
        <v>3404</v>
      </c>
      <c r="G1904" s="164">
        <v>2024</v>
      </c>
      <c r="H1904" s="175">
        <v>45608</v>
      </c>
      <c r="I1904" s="175">
        <v>45614</v>
      </c>
      <c r="J1904" s="168" t="s">
        <v>7327</v>
      </c>
      <c r="K1904" s="174">
        <v>45616</v>
      </c>
      <c r="L1904" s="129" t="s">
        <v>3129</v>
      </c>
      <c r="M1904" s="129" t="s">
        <v>4</v>
      </c>
      <c r="N1904" s="129" t="s">
        <v>50</v>
      </c>
      <c r="O1904" s="129" t="s">
        <v>3406</v>
      </c>
      <c r="P1904" s="146"/>
      <c r="Q1904" s="170">
        <v>45618</v>
      </c>
      <c r="R1904" s="171" t="s">
        <v>150</v>
      </c>
      <c r="S1904" s="172"/>
    </row>
    <row r="1905" spans="1:19" ht="42.75">
      <c r="A1905" s="164" t="s">
        <v>778</v>
      </c>
      <c r="B1905" s="165" t="s">
        <v>1357</v>
      </c>
      <c r="C1905" s="165" t="s">
        <v>4142</v>
      </c>
      <c r="D1905" s="164">
        <v>11179</v>
      </c>
      <c r="E1905" s="164">
        <v>12159</v>
      </c>
      <c r="F1905" s="164" t="s">
        <v>3955</v>
      </c>
      <c r="G1905" s="164"/>
      <c r="H1905" s="167"/>
      <c r="I1905" s="167"/>
      <c r="J1905" s="167"/>
      <c r="K1905" s="169"/>
      <c r="L1905" s="129"/>
      <c r="M1905" s="129"/>
      <c r="N1905" s="129"/>
      <c r="O1905" s="129"/>
      <c r="P1905" s="146"/>
      <c r="Q1905" s="170"/>
      <c r="R1905" s="171"/>
      <c r="S1905" s="172"/>
    </row>
    <row r="1906" spans="1:19" ht="42.75">
      <c r="A1906" s="164" t="s">
        <v>778</v>
      </c>
      <c r="B1906" s="165" t="s">
        <v>1357</v>
      </c>
      <c r="C1906" s="165" t="s">
        <v>3991</v>
      </c>
      <c r="D1906" s="164">
        <v>3084</v>
      </c>
      <c r="E1906" s="164">
        <v>3151</v>
      </c>
      <c r="F1906" s="164" t="s">
        <v>3404</v>
      </c>
      <c r="G1906" s="164">
        <v>2024</v>
      </c>
      <c r="H1906" s="175">
        <v>45610</v>
      </c>
      <c r="I1906" s="175">
        <v>45610</v>
      </c>
      <c r="J1906" s="177" t="s">
        <v>7328</v>
      </c>
      <c r="K1906" s="174">
        <v>45616</v>
      </c>
      <c r="L1906" s="129" t="s">
        <v>3129</v>
      </c>
      <c r="M1906" s="129" t="s">
        <v>4</v>
      </c>
      <c r="N1906" s="129" t="s">
        <v>57</v>
      </c>
      <c r="O1906" s="129" t="s">
        <v>3406</v>
      </c>
      <c r="P1906" s="146"/>
      <c r="Q1906" s="170">
        <v>45618</v>
      </c>
      <c r="R1906" s="171" t="s">
        <v>150</v>
      </c>
      <c r="S1906" s="172"/>
    </row>
    <row r="1907" spans="1:19" ht="42.75">
      <c r="A1907" s="164" t="s">
        <v>778</v>
      </c>
      <c r="B1907" s="165" t="s">
        <v>1357</v>
      </c>
      <c r="C1907" s="165" t="s">
        <v>3956</v>
      </c>
      <c r="D1907" s="164">
        <v>1895</v>
      </c>
      <c r="E1907" s="164">
        <v>2148</v>
      </c>
      <c r="F1907" s="164" t="s">
        <v>3955</v>
      </c>
      <c r="G1907" s="164"/>
      <c r="H1907" s="167"/>
      <c r="I1907" s="167"/>
      <c r="J1907" s="167"/>
      <c r="K1907" s="169"/>
      <c r="L1907" s="129"/>
      <c r="M1907" s="129"/>
      <c r="N1907" s="129"/>
      <c r="O1907" s="129"/>
      <c r="P1907" s="146"/>
      <c r="Q1907" s="170"/>
      <c r="R1907" s="171"/>
      <c r="S1907" s="172"/>
    </row>
    <row r="1908" spans="1:19" ht="42.75">
      <c r="A1908" s="164" t="s">
        <v>778</v>
      </c>
      <c r="B1908" s="165" t="s">
        <v>1357</v>
      </c>
      <c r="C1908" s="165" t="s">
        <v>5452</v>
      </c>
      <c r="D1908" s="164">
        <v>2163</v>
      </c>
      <c r="E1908" s="164">
        <v>2743</v>
      </c>
      <c r="F1908" s="164" t="s">
        <v>3955</v>
      </c>
      <c r="G1908" s="164"/>
      <c r="H1908" s="167"/>
      <c r="I1908" s="167"/>
      <c r="J1908" s="167"/>
      <c r="K1908" s="169"/>
      <c r="L1908" s="129"/>
      <c r="M1908" s="129"/>
      <c r="N1908" s="129"/>
      <c r="O1908" s="129"/>
      <c r="P1908" s="146"/>
      <c r="Q1908" s="170"/>
      <c r="R1908" s="171"/>
      <c r="S1908" s="172"/>
    </row>
    <row r="1909" spans="1:19" ht="42.75">
      <c r="A1909" s="164" t="s">
        <v>778</v>
      </c>
      <c r="B1909" s="165" t="s">
        <v>1357</v>
      </c>
      <c r="C1909" s="165" t="s">
        <v>5454</v>
      </c>
      <c r="D1909" s="164">
        <v>1797</v>
      </c>
      <c r="E1909" s="164">
        <v>1609</v>
      </c>
      <c r="F1909" s="164" t="s">
        <v>3955</v>
      </c>
      <c r="G1909" s="164"/>
      <c r="H1909" s="167"/>
      <c r="I1909" s="167"/>
      <c r="J1909" s="167"/>
      <c r="K1909" s="169"/>
      <c r="L1909" s="129"/>
      <c r="M1909" s="129"/>
      <c r="N1909" s="129"/>
      <c r="O1909" s="129"/>
      <c r="P1909" s="146"/>
      <c r="Q1909" s="170"/>
      <c r="R1909" s="171"/>
      <c r="S1909" s="172"/>
    </row>
    <row r="1910" spans="1:19" ht="42.75">
      <c r="A1910" s="164" t="s">
        <v>778</v>
      </c>
      <c r="B1910" s="165" t="s">
        <v>1357</v>
      </c>
      <c r="C1910" s="165" t="s">
        <v>5455</v>
      </c>
      <c r="D1910" s="164">
        <v>1975</v>
      </c>
      <c r="E1910" s="164">
        <v>2113</v>
      </c>
      <c r="F1910" s="164" t="s">
        <v>3955</v>
      </c>
      <c r="G1910" s="164"/>
      <c r="H1910" s="167"/>
      <c r="I1910" s="167"/>
      <c r="J1910" s="167"/>
      <c r="K1910" s="169"/>
      <c r="L1910" s="129"/>
      <c r="M1910" s="129"/>
      <c r="N1910" s="129"/>
      <c r="O1910" s="129"/>
      <c r="P1910" s="146"/>
      <c r="Q1910" s="170"/>
      <c r="R1910" s="171"/>
      <c r="S1910" s="172"/>
    </row>
    <row r="1911" spans="1:19" ht="42.75">
      <c r="A1911" s="164" t="s">
        <v>778</v>
      </c>
      <c r="B1911" s="165" t="s">
        <v>1357</v>
      </c>
      <c r="C1911" s="165" t="s">
        <v>5456</v>
      </c>
      <c r="D1911" s="164">
        <v>2086</v>
      </c>
      <c r="E1911" s="164">
        <v>2480</v>
      </c>
      <c r="F1911" s="164" t="s">
        <v>3955</v>
      </c>
      <c r="G1911" s="164"/>
      <c r="H1911" s="167"/>
      <c r="I1911" s="167"/>
      <c r="J1911" s="167"/>
      <c r="K1911" s="169"/>
      <c r="L1911" s="129"/>
      <c r="M1911" s="129"/>
      <c r="N1911" s="129"/>
      <c r="O1911" s="129"/>
      <c r="P1911" s="146"/>
      <c r="Q1911" s="170"/>
      <c r="R1911" s="171"/>
      <c r="S1911" s="172"/>
    </row>
    <row r="1912" spans="1:19" ht="42.75">
      <c r="A1912" s="164" t="s">
        <v>778</v>
      </c>
      <c r="B1912" s="165" t="s">
        <v>1357</v>
      </c>
      <c r="C1912" s="165" t="s">
        <v>5457</v>
      </c>
      <c r="D1912" s="164">
        <v>4532</v>
      </c>
      <c r="E1912" s="164">
        <v>4790</v>
      </c>
      <c r="F1912" s="164" t="s">
        <v>3955</v>
      </c>
      <c r="G1912" s="164"/>
      <c r="H1912" s="167"/>
      <c r="I1912" s="167"/>
      <c r="J1912" s="167"/>
      <c r="K1912" s="169"/>
      <c r="L1912" s="129"/>
      <c r="M1912" s="129"/>
      <c r="N1912" s="129"/>
      <c r="O1912" s="129"/>
      <c r="P1912" s="146"/>
      <c r="Q1912" s="170"/>
      <c r="R1912" s="171"/>
      <c r="S1912" s="172"/>
    </row>
    <row r="1913" spans="1:19" ht="42.75">
      <c r="A1913" s="164" t="s">
        <v>778</v>
      </c>
      <c r="B1913" s="165" t="s">
        <v>1357</v>
      </c>
      <c r="C1913" s="165" t="s">
        <v>5458</v>
      </c>
      <c r="D1913" s="164">
        <v>4408</v>
      </c>
      <c r="E1913" s="164">
        <v>4910</v>
      </c>
      <c r="F1913" s="164" t="s">
        <v>3404</v>
      </c>
      <c r="G1913" s="164">
        <v>2024</v>
      </c>
      <c r="H1913" s="175">
        <v>45390</v>
      </c>
      <c r="I1913" s="175">
        <v>45397</v>
      </c>
      <c r="J1913" s="168" t="s">
        <v>7329</v>
      </c>
      <c r="K1913" s="174">
        <v>45399</v>
      </c>
      <c r="L1913" s="129" t="s">
        <v>3470</v>
      </c>
      <c r="M1913" s="129"/>
      <c r="N1913" s="129"/>
      <c r="O1913" s="129" t="s">
        <v>3406</v>
      </c>
      <c r="P1913" s="146"/>
      <c r="Q1913" s="170"/>
      <c r="R1913" s="171"/>
      <c r="S1913" s="172"/>
    </row>
    <row r="1914" spans="1:19" ht="42.75">
      <c r="A1914" s="164" t="s">
        <v>778</v>
      </c>
      <c r="B1914" s="165" t="s">
        <v>1357</v>
      </c>
      <c r="C1914" s="165" t="s">
        <v>5459</v>
      </c>
      <c r="D1914" s="164">
        <v>3326</v>
      </c>
      <c r="E1914" s="164">
        <v>3352</v>
      </c>
      <c r="F1914" s="164" t="s">
        <v>3404</v>
      </c>
      <c r="G1914" s="164">
        <v>2024</v>
      </c>
      <c r="H1914" s="175">
        <v>45610</v>
      </c>
      <c r="I1914" s="175">
        <v>45610</v>
      </c>
      <c r="J1914" s="168" t="s">
        <v>7330</v>
      </c>
      <c r="K1914" s="174">
        <v>45616</v>
      </c>
      <c r="L1914" s="129" t="s">
        <v>3129</v>
      </c>
      <c r="M1914" s="129" t="s">
        <v>4</v>
      </c>
      <c r="N1914" s="129" t="s">
        <v>57</v>
      </c>
      <c r="O1914" s="129" t="s">
        <v>3406</v>
      </c>
      <c r="P1914" s="146"/>
      <c r="Q1914" s="170">
        <v>45618</v>
      </c>
      <c r="R1914" s="171" t="s">
        <v>150</v>
      </c>
      <c r="S1914" s="172"/>
    </row>
    <row r="1915" spans="1:19" ht="42.75">
      <c r="A1915" s="164" t="s">
        <v>778</v>
      </c>
      <c r="B1915" s="165" t="s">
        <v>1357</v>
      </c>
      <c r="C1915" s="165" t="s">
        <v>4613</v>
      </c>
      <c r="D1915" s="164">
        <v>2474</v>
      </c>
      <c r="E1915" s="164">
        <v>2809</v>
      </c>
      <c r="F1915" s="164" t="s">
        <v>3955</v>
      </c>
      <c r="G1915" s="164"/>
      <c r="H1915" s="167"/>
      <c r="I1915" s="167"/>
      <c r="J1915" s="167"/>
      <c r="K1915" s="169"/>
      <c r="L1915" s="129"/>
      <c r="M1915" s="129"/>
      <c r="N1915" s="129"/>
      <c r="O1915" s="129"/>
      <c r="P1915" s="146"/>
      <c r="Q1915" s="170"/>
      <c r="R1915" s="171"/>
      <c r="S1915" s="172"/>
    </row>
    <row r="1916" spans="1:19" ht="42.75">
      <c r="A1916" s="164" t="s">
        <v>778</v>
      </c>
      <c r="B1916" s="165" t="s">
        <v>1357</v>
      </c>
      <c r="C1916" s="165" t="s">
        <v>5461</v>
      </c>
      <c r="D1916" s="164">
        <v>2166</v>
      </c>
      <c r="E1916" s="164">
        <v>2414</v>
      </c>
      <c r="F1916" s="164" t="s">
        <v>3955</v>
      </c>
      <c r="G1916" s="164"/>
      <c r="H1916" s="167"/>
      <c r="I1916" s="167"/>
      <c r="J1916" s="167"/>
      <c r="K1916" s="169"/>
      <c r="L1916" s="129"/>
      <c r="M1916" s="129"/>
      <c r="N1916" s="129"/>
      <c r="O1916" s="129"/>
      <c r="P1916" s="146"/>
      <c r="Q1916" s="170"/>
      <c r="R1916" s="171"/>
      <c r="S1916" s="172"/>
    </row>
    <row r="1917" spans="1:19" ht="42.75">
      <c r="A1917" s="164" t="s">
        <v>778</v>
      </c>
      <c r="B1917" s="165" t="s">
        <v>1357</v>
      </c>
      <c r="C1917" s="165" t="s">
        <v>1928</v>
      </c>
      <c r="D1917" s="164">
        <v>4891</v>
      </c>
      <c r="E1917" s="164">
        <v>4837</v>
      </c>
      <c r="F1917" s="164" t="s">
        <v>3404</v>
      </c>
      <c r="G1917" s="164">
        <v>2024</v>
      </c>
      <c r="H1917" s="175">
        <v>45610</v>
      </c>
      <c r="I1917" s="175">
        <v>45610</v>
      </c>
      <c r="J1917" s="168" t="s">
        <v>7331</v>
      </c>
      <c r="K1917" s="174">
        <v>45616</v>
      </c>
      <c r="L1917" s="129" t="s">
        <v>3129</v>
      </c>
      <c r="M1917" s="129" t="s">
        <v>4</v>
      </c>
      <c r="N1917" s="129" t="s">
        <v>50</v>
      </c>
      <c r="O1917" s="129" t="s">
        <v>3406</v>
      </c>
      <c r="P1917" s="146"/>
      <c r="Q1917" s="170">
        <v>45618</v>
      </c>
      <c r="R1917" s="171" t="s">
        <v>150</v>
      </c>
      <c r="S1917" s="172"/>
    </row>
    <row r="1918" spans="1:19" ht="42.75">
      <c r="A1918" s="164" t="s">
        <v>778</v>
      </c>
      <c r="B1918" s="165" t="s">
        <v>1357</v>
      </c>
      <c r="C1918" s="165" t="s">
        <v>5462</v>
      </c>
      <c r="D1918" s="164">
        <v>5136</v>
      </c>
      <c r="E1918" s="164">
        <v>5462</v>
      </c>
      <c r="F1918" s="164" t="s">
        <v>3955</v>
      </c>
      <c r="G1918" s="164"/>
      <c r="H1918" s="167"/>
      <c r="I1918" s="167"/>
      <c r="J1918" s="167"/>
      <c r="K1918" s="169"/>
      <c r="L1918" s="129"/>
      <c r="M1918" s="129"/>
      <c r="N1918" s="129"/>
      <c r="O1918" s="129"/>
      <c r="P1918" s="146"/>
      <c r="Q1918" s="170"/>
      <c r="R1918" s="171"/>
      <c r="S1918" s="172"/>
    </row>
    <row r="1919" spans="1:19" ht="42.75">
      <c r="A1919" s="164" t="s">
        <v>778</v>
      </c>
      <c r="B1919" s="165" t="s">
        <v>1357</v>
      </c>
      <c r="C1919" s="165" t="s">
        <v>5103</v>
      </c>
      <c r="D1919" s="164">
        <v>3322</v>
      </c>
      <c r="E1919" s="164">
        <v>4037</v>
      </c>
      <c r="F1919" s="164" t="s">
        <v>3955</v>
      </c>
      <c r="G1919" s="164"/>
      <c r="H1919" s="167"/>
      <c r="I1919" s="167"/>
      <c r="J1919" s="167"/>
      <c r="K1919" s="169"/>
      <c r="L1919" s="129"/>
      <c r="M1919" s="129"/>
      <c r="N1919" s="129"/>
      <c r="O1919" s="129"/>
      <c r="P1919" s="146"/>
      <c r="Q1919" s="170"/>
      <c r="R1919" s="171"/>
      <c r="S1919" s="172"/>
    </row>
    <row r="1920" spans="1:19" ht="42.75">
      <c r="A1920" s="164" t="s">
        <v>778</v>
      </c>
      <c r="B1920" s="165" t="s">
        <v>1357</v>
      </c>
      <c r="C1920" s="165" t="s">
        <v>5463</v>
      </c>
      <c r="D1920" s="164">
        <v>4836</v>
      </c>
      <c r="E1920" s="164">
        <v>5395</v>
      </c>
      <c r="F1920" s="164" t="s">
        <v>3955</v>
      </c>
      <c r="G1920" s="164"/>
      <c r="H1920" s="167"/>
      <c r="I1920" s="167"/>
      <c r="J1920" s="167"/>
      <c r="K1920" s="169"/>
      <c r="L1920" s="129"/>
      <c r="M1920" s="129"/>
      <c r="N1920" s="129"/>
      <c r="O1920" s="129"/>
      <c r="P1920" s="146"/>
      <c r="Q1920" s="170"/>
      <c r="R1920" s="171"/>
      <c r="S1920" s="172"/>
    </row>
    <row r="1921" spans="1:19" ht="42.75">
      <c r="A1921" s="164" t="s">
        <v>778</v>
      </c>
      <c r="B1921" s="165" t="s">
        <v>1357</v>
      </c>
      <c r="C1921" s="165" t="s">
        <v>5379</v>
      </c>
      <c r="D1921" s="164">
        <v>1553</v>
      </c>
      <c r="E1921" s="164">
        <v>1631</v>
      </c>
      <c r="F1921" s="164" t="s">
        <v>3955</v>
      </c>
      <c r="G1921" s="164"/>
      <c r="H1921" s="167"/>
      <c r="I1921" s="167"/>
      <c r="J1921" s="167"/>
      <c r="K1921" s="169"/>
      <c r="L1921" s="129"/>
      <c r="M1921" s="129"/>
      <c r="N1921" s="129"/>
      <c r="O1921" s="129"/>
      <c r="P1921" s="146"/>
      <c r="Q1921" s="170"/>
      <c r="R1921" s="171"/>
      <c r="S1921" s="172"/>
    </row>
    <row r="1922" spans="1:19" ht="42.75">
      <c r="A1922" s="164" t="s">
        <v>778</v>
      </c>
      <c r="B1922" s="165" t="s">
        <v>1357</v>
      </c>
      <c r="C1922" s="165" t="s">
        <v>5465</v>
      </c>
      <c r="D1922" s="164">
        <v>1587</v>
      </c>
      <c r="E1922" s="164">
        <v>1679</v>
      </c>
      <c r="F1922" s="164" t="s">
        <v>3955</v>
      </c>
      <c r="G1922" s="164"/>
      <c r="H1922" s="167"/>
      <c r="I1922" s="167"/>
      <c r="J1922" s="167"/>
      <c r="K1922" s="169"/>
      <c r="L1922" s="129"/>
      <c r="M1922" s="129"/>
      <c r="N1922" s="129"/>
      <c r="O1922" s="129"/>
      <c r="P1922" s="146"/>
      <c r="Q1922" s="170"/>
      <c r="R1922" s="171"/>
      <c r="S1922" s="172"/>
    </row>
    <row r="1923" spans="1:19" ht="42.75">
      <c r="A1923" s="164" t="s">
        <v>778</v>
      </c>
      <c r="B1923" s="165" t="s">
        <v>1357</v>
      </c>
      <c r="C1923" s="165" t="s">
        <v>2105</v>
      </c>
      <c r="D1923" s="164">
        <v>3295</v>
      </c>
      <c r="E1923" s="164">
        <v>3815</v>
      </c>
      <c r="F1923" s="164" t="s">
        <v>3955</v>
      </c>
      <c r="G1923" s="164"/>
      <c r="H1923" s="167"/>
      <c r="I1923" s="167"/>
      <c r="J1923" s="167"/>
      <c r="K1923" s="169"/>
      <c r="L1923" s="129"/>
      <c r="M1923" s="129"/>
      <c r="N1923" s="129"/>
      <c r="O1923" s="129"/>
      <c r="P1923" s="146"/>
      <c r="Q1923" s="170"/>
      <c r="R1923" s="171"/>
      <c r="S1923" s="172"/>
    </row>
    <row r="1924" spans="1:19" ht="42.75">
      <c r="A1924" s="164" t="s">
        <v>778</v>
      </c>
      <c r="B1924" s="165" t="s">
        <v>1357</v>
      </c>
      <c r="C1924" s="165" t="s">
        <v>5450</v>
      </c>
      <c r="D1924" s="164">
        <v>5374</v>
      </c>
      <c r="E1924" s="164">
        <v>5318</v>
      </c>
      <c r="F1924" s="164" t="s">
        <v>3955</v>
      </c>
      <c r="G1924" s="164"/>
      <c r="H1924" s="167"/>
      <c r="I1924" s="167"/>
      <c r="J1924" s="167"/>
      <c r="K1924" s="169"/>
      <c r="L1924" s="129"/>
      <c r="M1924" s="129"/>
      <c r="N1924" s="129"/>
      <c r="O1924" s="129"/>
      <c r="P1924" s="146"/>
      <c r="Q1924" s="170"/>
      <c r="R1924" s="171"/>
      <c r="S1924" s="172"/>
    </row>
    <row r="1925" spans="1:19" ht="42.75">
      <c r="A1925" s="164" t="s">
        <v>778</v>
      </c>
      <c r="B1925" s="165" t="s">
        <v>1357</v>
      </c>
      <c r="C1925" s="165" t="s">
        <v>5466</v>
      </c>
      <c r="D1925" s="164">
        <v>5383</v>
      </c>
      <c r="E1925" s="164">
        <v>5591</v>
      </c>
      <c r="F1925" s="164" t="s">
        <v>3955</v>
      </c>
      <c r="G1925" s="164"/>
      <c r="H1925" s="167"/>
      <c r="I1925" s="167"/>
      <c r="J1925" s="167"/>
      <c r="K1925" s="169"/>
      <c r="L1925" s="129"/>
      <c r="M1925" s="129"/>
      <c r="N1925" s="129"/>
      <c r="O1925" s="129"/>
      <c r="P1925" s="146"/>
      <c r="Q1925" s="170"/>
      <c r="R1925" s="171"/>
      <c r="S1925" s="172"/>
    </row>
    <row r="1926" spans="1:19" ht="42.75">
      <c r="A1926" s="164" t="s">
        <v>778</v>
      </c>
      <c r="B1926" s="165" t="s">
        <v>1357</v>
      </c>
      <c r="C1926" s="165" t="s">
        <v>5467</v>
      </c>
      <c r="D1926" s="164">
        <v>1753</v>
      </c>
      <c r="E1926" s="164">
        <v>1872</v>
      </c>
      <c r="F1926" s="164" t="s">
        <v>3404</v>
      </c>
      <c r="G1926" s="164">
        <v>2024</v>
      </c>
      <c r="H1926" s="175">
        <v>45610</v>
      </c>
      <c r="I1926" s="175">
        <v>45610</v>
      </c>
      <c r="J1926" s="168" t="s">
        <v>7332</v>
      </c>
      <c r="K1926" s="174">
        <v>45616</v>
      </c>
      <c r="L1926" s="129" t="s">
        <v>3129</v>
      </c>
      <c r="M1926" s="129" t="s">
        <v>4</v>
      </c>
      <c r="N1926" s="129" t="s">
        <v>57</v>
      </c>
      <c r="O1926" s="129" t="s">
        <v>3406</v>
      </c>
      <c r="P1926" s="146"/>
      <c r="Q1926" s="170">
        <v>45617</v>
      </c>
      <c r="R1926" s="171" t="s">
        <v>150</v>
      </c>
      <c r="S1926" s="172"/>
    </row>
    <row r="1927" spans="1:19" ht="42.75">
      <c r="A1927" s="164" t="s">
        <v>778</v>
      </c>
      <c r="B1927" s="165" t="s">
        <v>1357</v>
      </c>
      <c r="C1927" s="165" t="s">
        <v>3952</v>
      </c>
      <c r="D1927" s="164">
        <v>2009</v>
      </c>
      <c r="E1927" s="164">
        <v>2134</v>
      </c>
      <c r="F1927" s="164" t="s">
        <v>3955</v>
      </c>
      <c r="G1927" s="164"/>
      <c r="H1927" s="167"/>
      <c r="I1927" s="167"/>
      <c r="J1927" s="167"/>
      <c r="K1927" s="169"/>
      <c r="L1927" s="129"/>
      <c r="M1927" s="129"/>
      <c r="N1927" s="129"/>
      <c r="O1927" s="129"/>
      <c r="P1927" s="146"/>
      <c r="Q1927" s="170"/>
      <c r="R1927" s="171"/>
      <c r="S1927" s="172"/>
    </row>
    <row r="1928" spans="1:19" ht="42.75">
      <c r="A1928" s="164" t="s">
        <v>778</v>
      </c>
      <c r="B1928" s="165" t="s">
        <v>1357</v>
      </c>
      <c r="C1928" s="165" t="s">
        <v>5468</v>
      </c>
      <c r="D1928" s="164">
        <v>3471</v>
      </c>
      <c r="E1928" s="164">
        <v>3864</v>
      </c>
      <c r="F1928" s="164" t="s">
        <v>3955</v>
      </c>
      <c r="G1928" s="164"/>
      <c r="H1928" s="167"/>
      <c r="I1928" s="167"/>
      <c r="J1928" s="167"/>
      <c r="K1928" s="169"/>
      <c r="L1928" s="129"/>
      <c r="M1928" s="129"/>
      <c r="N1928" s="129"/>
      <c r="O1928" s="129"/>
      <c r="P1928" s="146"/>
      <c r="Q1928" s="170"/>
      <c r="R1928" s="171"/>
      <c r="S1928" s="172"/>
    </row>
    <row r="1929" spans="1:19" ht="42.75">
      <c r="A1929" s="164" t="s">
        <v>778</v>
      </c>
      <c r="B1929" s="165" t="s">
        <v>1357</v>
      </c>
      <c r="C1929" s="165" t="s">
        <v>4475</v>
      </c>
      <c r="D1929" s="164">
        <v>5579</v>
      </c>
      <c r="E1929" s="164">
        <v>5019</v>
      </c>
      <c r="F1929" s="164" t="s">
        <v>3955</v>
      </c>
      <c r="G1929" s="164"/>
      <c r="H1929" s="167"/>
      <c r="I1929" s="167"/>
      <c r="J1929" s="167"/>
      <c r="K1929" s="169"/>
      <c r="L1929" s="129"/>
      <c r="M1929" s="129"/>
      <c r="N1929" s="129"/>
      <c r="O1929" s="129"/>
      <c r="P1929" s="146"/>
      <c r="Q1929" s="170"/>
      <c r="R1929" s="171"/>
      <c r="S1929" s="172"/>
    </row>
    <row r="1930" spans="1:19" ht="42.75">
      <c r="A1930" s="164" t="s">
        <v>778</v>
      </c>
      <c r="B1930" s="165" t="s">
        <v>1357</v>
      </c>
      <c r="C1930" s="165" t="s">
        <v>5469</v>
      </c>
      <c r="D1930" s="164">
        <v>5068</v>
      </c>
      <c r="E1930" s="164">
        <v>5293</v>
      </c>
      <c r="F1930" s="164" t="s">
        <v>3404</v>
      </c>
      <c r="G1930" s="164">
        <v>2024</v>
      </c>
      <c r="H1930" s="175">
        <v>45610</v>
      </c>
      <c r="I1930" s="175">
        <v>45610</v>
      </c>
      <c r="J1930" s="168" t="s">
        <v>7333</v>
      </c>
      <c r="K1930" s="174">
        <v>45616</v>
      </c>
      <c r="L1930" s="129" t="s">
        <v>3129</v>
      </c>
      <c r="M1930" s="129" t="s">
        <v>4</v>
      </c>
      <c r="N1930" s="129" t="s">
        <v>50</v>
      </c>
      <c r="O1930" s="129" t="s">
        <v>3406</v>
      </c>
      <c r="P1930" s="146"/>
      <c r="Q1930" s="170">
        <v>45617</v>
      </c>
      <c r="R1930" s="171" t="s">
        <v>150</v>
      </c>
      <c r="S1930" s="172"/>
    </row>
    <row r="1931" spans="1:19" ht="42.75">
      <c r="A1931" s="164" t="s">
        <v>778</v>
      </c>
      <c r="B1931" s="165" t="s">
        <v>1357</v>
      </c>
      <c r="C1931" s="165" t="s">
        <v>4261</v>
      </c>
      <c r="D1931" s="164">
        <v>1157</v>
      </c>
      <c r="E1931" s="164">
        <v>1338</v>
      </c>
      <c r="F1931" s="164" t="s">
        <v>3955</v>
      </c>
      <c r="G1931" s="164"/>
      <c r="H1931" s="167"/>
      <c r="I1931" s="167"/>
      <c r="J1931" s="167"/>
      <c r="K1931" s="169"/>
      <c r="L1931" s="129"/>
      <c r="M1931" s="129"/>
      <c r="N1931" s="129"/>
      <c r="O1931" s="129"/>
      <c r="P1931" s="146"/>
      <c r="Q1931" s="170"/>
      <c r="R1931" s="171"/>
      <c r="S1931" s="172"/>
    </row>
    <row r="1932" spans="1:19" ht="42.75">
      <c r="A1932" s="164" t="s">
        <v>778</v>
      </c>
      <c r="B1932" s="165" t="s">
        <v>1357</v>
      </c>
      <c r="C1932" s="165" t="s">
        <v>5470</v>
      </c>
      <c r="D1932" s="164">
        <v>2510</v>
      </c>
      <c r="E1932" s="164">
        <v>2570</v>
      </c>
      <c r="F1932" s="164" t="s">
        <v>3955</v>
      </c>
      <c r="G1932" s="164"/>
      <c r="H1932" s="167"/>
      <c r="I1932" s="167"/>
      <c r="J1932" s="167"/>
      <c r="K1932" s="169"/>
      <c r="L1932" s="129"/>
      <c r="M1932" s="129"/>
      <c r="N1932" s="129"/>
      <c r="O1932" s="129"/>
      <c r="P1932" s="146"/>
      <c r="Q1932" s="170"/>
      <c r="R1932" s="171"/>
      <c r="S1932" s="172"/>
    </row>
    <row r="1933" spans="1:19" ht="42.75">
      <c r="A1933" s="164" t="s">
        <v>778</v>
      </c>
      <c r="B1933" s="165" t="s">
        <v>1357</v>
      </c>
      <c r="C1933" s="165" t="s">
        <v>5471</v>
      </c>
      <c r="D1933" s="164">
        <v>3107</v>
      </c>
      <c r="E1933" s="164">
        <v>3713</v>
      </c>
      <c r="F1933" s="164" t="s">
        <v>3955</v>
      </c>
      <c r="G1933" s="164"/>
      <c r="H1933" s="167"/>
      <c r="I1933" s="167"/>
      <c r="J1933" s="167"/>
      <c r="K1933" s="169"/>
      <c r="L1933" s="129"/>
      <c r="M1933" s="129"/>
      <c r="N1933" s="129"/>
      <c r="O1933" s="129"/>
      <c r="P1933" s="146"/>
      <c r="Q1933" s="170"/>
      <c r="R1933" s="171"/>
      <c r="S1933" s="172"/>
    </row>
    <row r="1934" spans="1:19" ht="42.75">
      <c r="A1934" s="164" t="s">
        <v>778</v>
      </c>
      <c r="B1934" s="165" t="s">
        <v>1357</v>
      </c>
      <c r="C1934" s="165" t="s">
        <v>3659</v>
      </c>
      <c r="D1934" s="164">
        <v>2848</v>
      </c>
      <c r="E1934" s="164">
        <v>3266</v>
      </c>
      <c r="F1934" s="164" t="s">
        <v>3955</v>
      </c>
      <c r="G1934" s="164"/>
      <c r="H1934" s="167"/>
      <c r="I1934" s="167"/>
      <c r="J1934" s="167"/>
      <c r="K1934" s="169"/>
      <c r="L1934" s="129"/>
      <c r="M1934" s="129"/>
      <c r="N1934" s="129"/>
      <c r="O1934" s="129"/>
      <c r="P1934" s="146"/>
      <c r="Q1934" s="170"/>
      <c r="R1934" s="171"/>
      <c r="S1934" s="172"/>
    </row>
    <row r="1935" spans="1:19" ht="42.75">
      <c r="A1935" s="164" t="s">
        <v>778</v>
      </c>
      <c r="B1935" s="165" t="s">
        <v>1357</v>
      </c>
      <c r="C1935" s="165" t="s">
        <v>5473</v>
      </c>
      <c r="D1935" s="164">
        <v>2565</v>
      </c>
      <c r="E1935" s="164">
        <v>2824</v>
      </c>
      <c r="F1935" s="164" t="s">
        <v>3955</v>
      </c>
      <c r="G1935" s="164"/>
      <c r="H1935" s="167"/>
      <c r="I1935" s="167"/>
      <c r="J1935" s="167"/>
      <c r="K1935" s="169"/>
      <c r="L1935" s="129"/>
      <c r="M1935" s="129"/>
      <c r="N1935" s="129"/>
      <c r="O1935" s="129"/>
      <c r="P1935" s="146"/>
      <c r="Q1935" s="170"/>
      <c r="R1935" s="171"/>
      <c r="S1935" s="172"/>
    </row>
    <row r="1936" spans="1:19" ht="42.75">
      <c r="A1936" s="164" t="s">
        <v>778</v>
      </c>
      <c r="B1936" s="165" t="s">
        <v>1357</v>
      </c>
      <c r="C1936" s="165" t="s">
        <v>5475</v>
      </c>
      <c r="D1936" s="164">
        <v>2309</v>
      </c>
      <c r="E1936" s="164">
        <v>2461</v>
      </c>
      <c r="F1936" s="164" t="s">
        <v>3955</v>
      </c>
      <c r="G1936" s="164"/>
      <c r="H1936" s="167"/>
      <c r="I1936" s="167"/>
      <c r="J1936" s="167"/>
      <c r="K1936" s="169"/>
      <c r="L1936" s="129"/>
      <c r="M1936" s="129"/>
      <c r="N1936" s="129"/>
      <c r="O1936" s="129"/>
      <c r="P1936" s="146"/>
      <c r="Q1936" s="170"/>
      <c r="R1936" s="171"/>
      <c r="S1936" s="172"/>
    </row>
    <row r="1937" spans="1:19" ht="42.75">
      <c r="A1937" s="164" t="s">
        <v>778</v>
      </c>
      <c r="B1937" s="165" t="s">
        <v>1357</v>
      </c>
      <c r="C1937" s="165" t="s">
        <v>5476</v>
      </c>
      <c r="D1937" s="164">
        <v>2748</v>
      </c>
      <c r="E1937" s="164">
        <v>2700</v>
      </c>
      <c r="F1937" s="164" t="s">
        <v>3955</v>
      </c>
      <c r="G1937" s="164"/>
      <c r="H1937" s="167"/>
      <c r="I1937" s="167"/>
      <c r="J1937" s="167"/>
      <c r="K1937" s="169"/>
      <c r="L1937" s="129"/>
      <c r="M1937" s="129"/>
      <c r="N1937" s="129"/>
      <c r="O1937" s="129"/>
      <c r="P1937" s="146"/>
      <c r="Q1937" s="170"/>
      <c r="R1937" s="171"/>
      <c r="S1937" s="172"/>
    </row>
    <row r="1938" spans="1:19" ht="42.75">
      <c r="A1938" s="164" t="s">
        <v>778</v>
      </c>
      <c r="B1938" s="165" t="s">
        <v>1373</v>
      </c>
      <c r="C1938" s="165" t="s">
        <v>5502</v>
      </c>
      <c r="D1938" s="164">
        <v>2954</v>
      </c>
      <c r="E1938" s="164">
        <v>3252</v>
      </c>
      <c r="F1938" s="164" t="s">
        <v>3955</v>
      </c>
      <c r="G1938" s="164"/>
      <c r="H1938" s="167"/>
      <c r="I1938" s="167"/>
      <c r="J1938" s="167"/>
      <c r="K1938" s="169"/>
      <c r="L1938" s="129"/>
      <c r="M1938" s="129"/>
      <c r="N1938" s="129"/>
      <c r="O1938" s="129"/>
      <c r="P1938" s="146"/>
      <c r="Q1938" s="170"/>
      <c r="R1938" s="171"/>
      <c r="S1938" s="172"/>
    </row>
    <row r="1939" spans="1:19" ht="42.75">
      <c r="A1939" s="164" t="s">
        <v>778</v>
      </c>
      <c r="B1939" s="165" t="s">
        <v>1373</v>
      </c>
      <c r="C1939" s="165" t="s">
        <v>1343</v>
      </c>
      <c r="D1939" s="164">
        <v>9068</v>
      </c>
      <c r="E1939" s="164">
        <v>9298</v>
      </c>
      <c r="F1939" s="164" t="s">
        <v>3404</v>
      </c>
      <c r="G1939" s="164">
        <v>2024</v>
      </c>
      <c r="H1939" s="175">
        <v>45428</v>
      </c>
      <c r="I1939" s="175">
        <v>45428</v>
      </c>
      <c r="J1939" s="168" t="s">
        <v>7334</v>
      </c>
      <c r="K1939" s="174">
        <v>45429</v>
      </c>
      <c r="L1939" s="129" t="s">
        <v>3532</v>
      </c>
      <c r="M1939" s="129"/>
      <c r="N1939" s="129"/>
      <c r="O1939" s="129" t="s">
        <v>3406</v>
      </c>
      <c r="P1939" s="146"/>
      <c r="Q1939" s="170">
        <v>45429</v>
      </c>
      <c r="R1939" s="171"/>
      <c r="S1939" s="172"/>
    </row>
    <row r="1940" spans="1:19" ht="42.75">
      <c r="A1940" s="164" t="s">
        <v>778</v>
      </c>
      <c r="B1940" s="165" t="s">
        <v>1373</v>
      </c>
      <c r="C1940" s="165" t="s">
        <v>5504</v>
      </c>
      <c r="D1940" s="164">
        <v>2840</v>
      </c>
      <c r="E1940" s="164">
        <v>2504</v>
      </c>
      <c r="F1940" s="164" t="s">
        <v>3955</v>
      </c>
      <c r="G1940" s="164"/>
      <c r="H1940" s="167"/>
      <c r="I1940" s="167"/>
      <c r="J1940" s="167"/>
      <c r="K1940" s="169"/>
      <c r="L1940" s="129"/>
      <c r="M1940" s="129"/>
      <c r="N1940" s="129"/>
      <c r="O1940" s="129"/>
      <c r="P1940" s="146"/>
      <c r="Q1940" s="170"/>
      <c r="R1940" s="171"/>
      <c r="S1940" s="172"/>
    </row>
    <row r="1941" spans="1:19" ht="42.75">
      <c r="A1941" s="164" t="s">
        <v>778</v>
      </c>
      <c r="B1941" s="165" t="s">
        <v>1373</v>
      </c>
      <c r="C1941" s="165" t="s">
        <v>5506</v>
      </c>
      <c r="D1941" s="164">
        <v>1655</v>
      </c>
      <c r="E1941" s="164">
        <v>1877</v>
      </c>
      <c r="F1941" s="164" t="s">
        <v>3404</v>
      </c>
      <c r="G1941" s="164">
        <v>2024</v>
      </c>
      <c r="H1941" s="175">
        <v>45428</v>
      </c>
      <c r="I1941" s="175">
        <v>45428</v>
      </c>
      <c r="J1941" s="168" t="s">
        <v>7335</v>
      </c>
      <c r="K1941" s="174">
        <v>45429</v>
      </c>
      <c r="L1941" s="129" t="s">
        <v>3532</v>
      </c>
      <c r="M1941" s="129"/>
      <c r="N1941" s="129"/>
      <c r="O1941" s="129" t="s">
        <v>3406</v>
      </c>
      <c r="P1941" s="146"/>
      <c r="Q1941" s="170">
        <v>45429</v>
      </c>
      <c r="R1941" s="171"/>
      <c r="S1941" s="172"/>
    </row>
    <row r="1942" spans="1:19" ht="42.75">
      <c r="A1942" s="164" t="s">
        <v>778</v>
      </c>
      <c r="B1942" s="165" t="s">
        <v>1373</v>
      </c>
      <c r="C1942" s="165" t="s">
        <v>5507</v>
      </c>
      <c r="D1942" s="164">
        <v>3812</v>
      </c>
      <c r="E1942" s="164">
        <v>3663</v>
      </c>
      <c r="F1942" s="164" t="s">
        <v>3404</v>
      </c>
      <c r="G1942" s="164">
        <v>2024</v>
      </c>
      <c r="H1942" s="175">
        <v>45428</v>
      </c>
      <c r="I1942" s="175">
        <v>45428</v>
      </c>
      <c r="J1942" s="250" t="s">
        <v>7336</v>
      </c>
      <c r="K1942" s="174">
        <v>45429</v>
      </c>
      <c r="L1942" s="129" t="s">
        <v>3532</v>
      </c>
      <c r="M1942" s="129"/>
      <c r="N1942" s="129"/>
      <c r="O1942" s="129" t="s">
        <v>3406</v>
      </c>
      <c r="P1942" s="146"/>
      <c r="Q1942" s="170">
        <v>45429</v>
      </c>
      <c r="R1942" s="171"/>
      <c r="S1942" s="172"/>
    </row>
    <row r="1943" spans="1:19" ht="42.75">
      <c r="A1943" s="164" t="s">
        <v>778</v>
      </c>
      <c r="B1943" s="165" t="s">
        <v>1373</v>
      </c>
      <c r="C1943" s="165" t="s">
        <v>5508</v>
      </c>
      <c r="D1943" s="164">
        <v>1904</v>
      </c>
      <c r="E1943" s="164">
        <v>2196</v>
      </c>
      <c r="F1943" s="164" t="s">
        <v>3955</v>
      </c>
      <c r="G1943" s="164"/>
      <c r="H1943" s="167"/>
      <c r="I1943" s="167"/>
      <c r="J1943" s="167"/>
      <c r="K1943" s="169"/>
      <c r="L1943" s="129"/>
      <c r="M1943" s="129"/>
      <c r="N1943" s="129"/>
      <c r="O1943" s="129"/>
      <c r="P1943" s="146"/>
      <c r="Q1943" s="170"/>
      <c r="R1943" s="171"/>
      <c r="S1943" s="172"/>
    </row>
    <row r="1944" spans="1:19" ht="42.75">
      <c r="A1944" s="164" t="s">
        <v>778</v>
      </c>
      <c r="B1944" s="165" t="s">
        <v>1373</v>
      </c>
      <c r="C1944" s="165" t="s">
        <v>970</v>
      </c>
      <c r="D1944" s="164">
        <v>6719</v>
      </c>
      <c r="E1944" s="164">
        <v>6828</v>
      </c>
      <c r="F1944" s="164" t="s">
        <v>3955</v>
      </c>
      <c r="G1944" s="164"/>
      <c r="H1944" s="167"/>
      <c r="I1944" s="167"/>
      <c r="J1944" s="167"/>
      <c r="K1944" s="169"/>
      <c r="L1944" s="129"/>
      <c r="M1944" s="129"/>
      <c r="N1944" s="129"/>
      <c r="O1944" s="129"/>
      <c r="P1944" s="146"/>
      <c r="Q1944" s="170"/>
      <c r="R1944" s="171"/>
      <c r="S1944" s="172"/>
    </row>
    <row r="1945" spans="1:19" ht="42.75">
      <c r="A1945" s="164" t="s">
        <v>778</v>
      </c>
      <c r="B1945" s="165" t="s">
        <v>1373</v>
      </c>
      <c r="C1945" s="165" t="s">
        <v>1374</v>
      </c>
      <c r="D1945" s="164">
        <v>2307</v>
      </c>
      <c r="E1945" s="164">
        <v>2654</v>
      </c>
      <c r="F1945" s="164" t="s">
        <v>3955</v>
      </c>
      <c r="G1945" s="164"/>
      <c r="H1945" s="167"/>
      <c r="I1945" s="167"/>
      <c r="J1945" s="167"/>
      <c r="K1945" s="169"/>
      <c r="L1945" s="129"/>
      <c r="M1945" s="129"/>
      <c r="N1945" s="129"/>
      <c r="O1945" s="129"/>
      <c r="P1945" s="146"/>
      <c r="Q1945" s="170"/>
      <c r="R1945" s="171"/>
      <c r="S1945" s="172"/>
    </row>
    <row r="1946" spans="1:19" ht="42.75">
      <c r="A1946" s="164" t="s">
        <v>778</v>
      </c>
      <c r="B1946" s="165" t="s">
        <v>1373</v>
      </c>
      <c r="C1946" s="165" t="s">
        <v>4859</v>
      </c>
      <c r="D1946" s="164">
        <v>2997</v>
      </c>
      <c r="E1946" s="164">
        <v>3609</v>
      </c>
      <c r="F1946" s="164" t="s">
        <v>3404</v>
      </c>
      <c r="G1946" s="164">
        <v>2024</v>
      </c>
      <c r="H1946" s="175">
        <v>45485</v>
      </c>
      <c r="I1946" s="175">
        <v>45490</v>
      </c>
      <c r="J1946" s="168" t="s">
        <v>7337</v>
      </c>
      <c r="K1946" s="174">
        <v>45491</v>
      </c>
      <c r="L1946" s="129" t="s">
        <v>3125</v>
      </c>
      <c r="M1946" s="129" t="s">
        <v>4</v>
      </c>
      <c r="N1946" s="129" t="s">
        <v>50</v>
      </c>
      <c r="O1946" s="129" t="s">
        <v>3406</v>
      </c>
      <c r="P1946" s="146"/>
      <c r="Q1946" s="130">
        <v>45491</v>
      </c>
      <c r="R1946" s="171"/>
      <c r="S1946" s="172"/>
    </row>
    <row r="1947" spans="1:19" ht="42.75">
      <c r="A1947" s="164" t="s">
        <v>778</v>
      </c>
      <c r="B1947" s="165" t="s">
        <v>1373</v>
      </c>
      <c r="C1947" s="165" t="s">
        <v>5511</v>
      </c>
      <c r="D1947" s="164">
        <v>3052</v>
      </c>
      <c r="E1947" s="164">
        <v>3268</v>
      </c>
      <c r="F1947" s="164" t="s">
        <v>3404</v>
      </c>
      <c r="G1947" s="164">
        <v>2024</v>
      </c>
      <c r="H1947" s="175">
        <v>45485</v>
      </c>
      <c r="I1947" s="175">
        <v>45490</v>
      </c>
      <c r="J1947" s="168" t="s">
        <v>7338</v>
      </c>
      <c r="K1947" s="174">
        <v>45491</v>
      </c>
      <c r="L1947" s="129" t="s">
        <v>3125</v>
      </c>
      <c r="M1947" s="129" t="s">
        <v>4</v>
      </c>
      <c r="N1947" s="129" t="s">
        <v>50</v>
      </c>
      <c r="O1947" s="129" t="s">
        <v>3406</v>
      </c>
      <c r="P1947" s="146"/>
      <c r="Q1947" s="170">
        <v>45492</v>
      </c>
      <c r="R1947" s="171"/>
      <c r="S1947" s="172"/>
    </row>
    <row r="1948" spans="1:19" ht="42.75">
      <c r="A1948" s="164" t="s">
        <v>778</v>
      </c>
      <c r="B1948" s="165" t="s">
        <v>1373</v>
      </c>
      <c r="C1948" s="165" t="s">
        <v>5481</v>
      </c>
      <c r="D1948" s="164">
        <v>3089</v>
      </c>
      <c r="E1948" s="164">
        <v>3152</v>
      </c>
      <c r="F1948" s="164" t="s">
        <v>3404</v>
      </c>
      <c r="G1948" s="164">
        <v>2024</v>
      </c>
      <c r="H1948" s="175">
        <v>45457</v>
      </c>
      <c r="I1948" s="175">
        <v>45459</v>
      </c>
      <c r="J1948" s="168" t="s">
        <v>7339</v>
      </c>
      <c r="K1948" s="174">
        <v>45463</v>
      </c>
      <c r="L1948" s="129" t="s">
        <v>3689</v>
      </c>
      <c r="M1948" s="129"/>
      <c r="N1948" s="129"/>
      <c r="O1948" s="129" t="s">
        <v>3406</v>
      </c>
      <c r="P1948" s="146"/>
      <c r="Q1948" s="130">
        <v>45463</v>
      </c>
      <c r="R1948" s="171"/>
      <c r="S1948" s="172"/>
    </row>
    <row r="1949" spans="1:19" ht="42.75">
      <c r="A1949" s="164" t="s">
        <v>778</v>
      </c>
      <c r="B1949" s="165" t="s">
        <v>1373</v>
      </c>
      <c r="C1949" s="165" t="s">
        <v>5512</v>
      </c>
      <c r="D1949" s="164">
        <v>4377</v>
      </c>
      <c r="E1949" s="164">
        <v>5414</v>
      </c>
      <c r="F1949" s="164" t="s">
        <v>3955</v>
      </c>
      <c r="G1949" s="164"/>
      <c r="H1949" s="167"/>
      <c r="I1949" s="167"/>
      <c r="J1949" s="167"/>
      <c r="K1949" s="169"/>
      <c r="L1949" s="129"/>
      <c r="M1949" s="129"/>
      <c r="N1949" s="129"/>
      <c r="O1949" s="129"/>
      <c r="P1949" s="146"/>
      <c r="Q1949" s="170"/>
      <c r="R1949" s="171"/>
      <c r="S1949" s="172"/>
    </row>
    <row r="1950" spans="1:19" ht="42.75">
      <c r="A1950" s="164" t="s">
        <v>778</v>
      </c>
      <c r="B1950" s="165" t="s">
        <v>1373</v>
      </c>
      <c r="C1950" s="165" t="s">
        <v>5514</v>
      </c>
      <c r="D1950" s="164">
        <v>3656</v>
      </c>
      <c r="E1950" s="164">
        <v>4559</v>
      </c>
      <c r="F1950" s="164" t="s">
        <v>3955</v>
      </c>
      <c r="G1950" s="164"/>
      <c r="H1950" s="167"/>
      <c r="I1950" s="167"/>
      <c r="J1950" s="167"/>
      <c r="K1950" s="169"/>
      <c r="L1950" s="129"/>
      <c r="M1950" s="129"/>
      <c r="N1950" s="129"/>
      <c r="O1950" s="129"/>
      <c r="P1950" s="146"/>
      <c r="Q1950" s="170"/>
      <c r="R1950" s="171"/>
      <c r="S1950" s="172"/>
    </row>
    <row r="1951" spans="1:19" ht="42.75">
      <c r="A1951" s="164" t="s">
        <v>778</v>
      </c>
      <c r="B1951" s="165" t="s">
        <v>1373</v>
      </c>
      <c r="C1951" s="165" t="s">
        <v>1931</v>
      </c>
      <c r="D1951" s="164">
        <v>3171</v>
      </c>
      <c r="E1951" s="164">
        <v>3195</v>
      </c>
      <c r="F1951" s="164" t="s">
        <v>3404</v>
      </c>
      <c r="G1951" s="164">
        <v>2024</v>
      </c>
      <c r="H1951" s="175">
        <v>45457</v>
      </c>
      <c r="I1951" s="175">
        <v>45459</v>
      </c>
      <c r="J1951" s="168" t="s">
        <v>7340</v>
      </c>
      <c r="K1951" s="174">
        <v>45463</v>
      </c>
      <c r="L1951" s="129" t="s">
        <v>3689</v>
      </c>
      <c r="M1951" s="129"/>
      <c r="N1951" s="129"/>
      <c r="O1951" s="129" t="s">
        <v>3406</v>
      </c>
      <c r="P1951" s="146"/>
      <c r="Q1951" s="130">
        <v>45463</v>
      </c>
      <c r="R1951" s="171"/>
      <c r="S1951" s="172"/>
    </row>
    <row r="1952" spans="1:19" ht="42.75">
      <c r="A1952" s="164" t="s">
        <v>778</v>
      </c>
      <c r="B1952" s="165" t="s">
        <v>1373</v>
      </c>
      <c r="C1952" s="165" t="s">
        <v>4261</v>
      </c>
      <c r="D1952" s="164">
        <v>2090</v>
      </c>
      <c r="E1952" s="164">
        <v>2097</v>
      </c>
      <c r="F1952" s="164" t="s">
        <v>3404</v>
      </c>
      <c r="G1952" s="164">
        <v>2024</v>
      </c>
      <c r="H1952" s="175">
        <v>45604</v>
      </c>
      <c r="I1952" s="175">
        <v>45611</v>
      </c>
      <c r="J1952" s="168" t="s">
        <v>7341</v>
      </c>
      <c r="K1952" s="174">
        <v>45616</v>
      </c>
      <c r="L1952" s="129" t="s">
        <v>3129</v>
      </c>
      <c r="M1952" s="129" t="s">
        <v>1078</v>
      </c>
      <c r="N1952" s="129" t="s">
        <v>50</v>
      </c>
      <c r="O1952" s="129" t="s">
        <v>3406</v>
      </c>
      <c r="P1952" s="146"/>
      <c r="Q1952" s="170">
        <v>45618</v>
      </c>
      <c r="R1952" s="171" t="s">
        <v>150</v>
      </c>
      <c r="S1952" s="172"/>
    </row>
    <row r="1953" spans="1:19" ht="42.75">
      <c r="A1953" s="164" t="s">
        <v>778</v>
      </c>
      <c r="B1953" s="165" t="s">
        <v>1373</v>
      </c>
      <c r="C1953" s="165" t="s">
        <v>1245</v>
      </c>
      <c r="D1953" s="164">
        <v>969</v>
      </c>
      <c r="E1953" s="164">
        <v>996</v>
      </c>
      <c r="F1953" s="164" t="s">
        <v>3955</v>
      </c>
      <c r="G1953" s="164"/>
      <c r="H1953" s="167"/>
      <c r="I1953" s="167"/>
      <c r="J1953" s="167"/>
      <c r="K1953" s="169"/>
      <c r="L1953" s="129"/>
      <c r="M1953" s="129"/>
      <c r="N1953" s="129"/>
      <c r="O1953" s="129"/>
      <c r="P1953" s="146"/>
      <c r="Q1953" s="170"/>
      <c r="R1953" s="171"/>
      <c r="S1953" s="172"/>
    </row>
    <row r="1954" spans="1:19" ht="42.75">
      <c r="A1954" s="164" t="s">
        <v>778</v>
      </c>
      <c r="B1954" s="165" t="s">
        <v>1373</v>
      </c>
      <c r="C1954" s="165" t="s">
        <v>5519</v>
      </c>
      <c r="D1954" s="164">
        <v>4020</v>
      </c>
      <c r="E1954" s="164">
        <v>4413</v>
      </c>
      <c r="F1954" s="164" t="s">
        <v>3955</v>
      </c>
      <c r="G1954" s="164"/>
      <c r="H1954" s="167"/>
      <c r="I1954" s="167"/>
      <c r="J1954" s="167"/>
      <c r="K1954" s="169"/>
      <c r="L1954" s="129"/>
      <c r="M1954" s="129"/>
      <c r="N1954" s="129"/>
      <c r="O1954" s="129"/>
      <c r="P1954" s="146"/>
      <c r="Q1954" s="170"/>
      <c r="R1954" s="171"/>
      <c r="S1954" s="172"/>
    </row>
    <row r="1955" spans="1:19" ht="42.75">
      <c r="A1955" s="164" t="s">
        <v>778</v>
      </c>
      <c r="B1955" s="165" t="s">
        <v>1373</v>
      </c>
      <c r="C1955" s="165" t="s">
        <v>1377</v>
      </c>
      <c r="D1955" s="164">
        <v>1828</v>
      </c>
      <c r="E1955" s="164">
        <v>3347</v>
      </c>
      <c r="F1955" s="164" t="s">
        <v>3955</v>
      </c>
      <c r="G1955" s="164"/>
      <c r="H1955" s="167"/>
      <c r="I1955" s="167"/>
      <c r="J1955" s="167"/>
      <c r="K1955" s="169"/>
      <c r="L1955" s="129"/>
      <c r="M1955" s="129"/>
      <c r="N1955" s="129"/>
      <c r="O1955" s="129"/>
      <c r="P1955" s="146"/>
      <c r="Q1955" s="170"/>
      <c r="R1955" s="171"/>
      <c r="S1955" s="172"/>
    </row>
    <row r="1956" spans="1:19" ht="42.75">
      <c r="A1956" s="164" t="s">
        <v>778</v>
      </c>
      <c r="B1956" s="165" t="s">
        <v>1373</v>
      </c>
      <c r="C1956" s="165" t="s">
        <v>5522</v>
      </c>
      <c r="D1956" s="164">
        <v>6833</v>
      </c>
      <c r="E1956" s="164">
        <v>6907</v>
      </c>
      <c r="F1956" s="164" t="s">
        <v>3404</v>
      </c>
      <c r="G1956" s="164">
        <v>2024</v>
      </c>
      <c r="H1956" s="175">
        <v>45569</v>
      </c>
      <c r="I1956" s="175">
        <v>45577</v>
      </c>
      <c r="J1956" s="168" t="s">
        <v>7342</v>
      </c>
      <c r="K1956" s="174">
        <v>45581</v>
      </c>
      <c r="L1956" s="129" t="s">
        <v>3128</v>
      </c>
      <c r="M1956" s="129" t="s">
        <v>1078</v>
      </c>
      <c r="N1956" s="129" t="s">
        <v>50</v>
      </c>
      <c r="O1956" s="129" t="s">
        <v>3406</v>
      </c>
      <c r="P1956" s="146"/>
      <c r="Q1956" s="170">
        <v>45582</v>
      </c>
      <c r="R1956" s="171" t="s">
        <v>150</v>
      </c>
      <c r="S1956" s="172"/>
    </row>
    <row r="1957" spans="1:19" ht="42.75">
      <c r="A1957" s="164" t="s">
        <v>778</v>
      </c>
      <c r="B1957" s="165" t="s">
        <v>1373</v>
      </c>
      <c r="C1957" s="165" t="s">
        <v>5523</v>
      </c>
      <c r="D1957" s="164">
        <v>6025</v>
      </c>
      <c r="E1957" s="164">
        <v>6655</v>
      </c>
      <c r="F1957" s="164" t="s">
        <v>3404</v>
      </c>
      <c r="G1957" s="164">
        <v>2024</v>
      </c>
      <c r="H1957" s="175">
        <v>45457</v>
      </c>
      <c r="I1957" s="175">
        <v>45459</v>
      </c>
      <c r="J1957" s="251" t="s">
        <v>7343</v>
      </c>
      <c r="K1957" s="174">
        <v>45463</v>
      </c>
      <c r="L1957" s="129" t="s">
        <v>3689</v>
      </c>
      <c r="M1957" s="129"/>
      <c r="N1957" s="129"/>
      <c r="O1957" s="129" t="s">
        <v>3406</v>
      </c>
      <c r="P1957" s="146"/>
      <c r="Q1957" s="130">
        <v>45463</v>
      </c>
      <c r="R1957" s="171"/>
      <c r="S1957" s="172"/>
    </row>
    <row r="1958" spans="1:19" ht="42.75">
      <c r="A1958" s="164" t="s">
        <v>778</v>
      </c>
      <c r="B1958" s="165" t="s">
        <v>1373</v>
      </c>
      <c r="C1958" s="165" t="s">
        <v>5524</v>
      </c>
      <c r="D1958" s="164">
        <v>3293</v>
      </c>
      <c r="E1958" s="164">
        <v>3578</v>
      </c>
      <c r="F1958" s="164" t="s">
        <v>3955</v>
      </c>
      <c r="G1958" s="164"/>
      <c r="H1958" s="167"/>
      <c r="I1958" s="167"/>
      <c r="J1958" s="167"/>
      <c r="K1958" s="169"/>
      <c r="L1958" s="129"/>
      <c r="M1958" s="129"/>
      <c r="N1958" s="129"/>
      <c r="O1958" s="129"/>
      <c r="P1958" s="146"/>
      <c r="Q1958" s="170"/>
      <c r="R1958" s="171"/>
      <c r="S1958" s="172"/>
    </row>
    <row r="1959" spans="1:19" ht="42.75">
      <c r="A1959" s="164" t="s">
        <v>778</v>
      </c>
      <c r="B1959" s="165" t="s">
        <v>1373</v>
      </c>
      <c r="C1959" s="165" t="s">
        <v>1056</v>
      </c>
      <c r="D1959" s="164">
        <v>3337</v>
      </c>
      <c r="E1959" s="164">
        <v>3535</v>
      </c>
      <c r="F1959" s="164" t="s">
        <v>3955</v>
      </c>
      <c r="G1959" s="164"/>
      <c r="H1959" s="167"/>
      <c r="I1959" s="167"/>
      <c r="J1959" s="167"/>
      <c r="K1959" s="169"/>
      <c r="L1959" s="129"/>
      <c r="M1959" s="129"/>
      <c r="N1959" s="129"/>
      <c r="O1959" s="129"/>
      <c r="P1959" s="146"/>
      <c r="Q1959" s="170"/>
      <c r="R1959" s="171"/>
      <c r="S1959" s="172"/>
    </row>
    <row r="1960" spans="1:19" ht="42.75">
      <c r="A1960" s="164" t="s">
        <v>778</v>
      </c>
      <c r="B1960" s="165" t="s">
        <v>1373</v>
      </c>
      <c r="C1960" s="165" t="s">
        <v>914</v>
      </c>
      <c r="D1960" s="164">
        <v>3126</v>
      </c>
      <c r="E1960" s="164">
        <v>3575</v>
      </c>
      <c r="F1960" s="164" t="s">
        <v>3404</v>
      </c>
      <c r="G1960" s="164">
        <v>2024</v>
      </c>
      <c r="H1960" s="175">
        <v>45603</v>
      </c>
      <c r="I1960" s="175">
        <v>45611</v>
      </c>
      <c r="J1960" s="168" t="s">
        <v>7344</v>
      </c>
      <c r="K1960" s="174">
        <v>45616</v>
      </c>
      <c r="L1960" s="129" t="s">
        <v>3129</v>
      </c>
      <c r="M1960" s="129" t="s">
        <v>1078</v>
      </c>
      <c r="N1960" s="129" t="s">
        <v>50</v>
      </c>
      <c r="O1960" s="129" t="s">
        <v>3406</v>
      </c>
      <c r="P1960" s="146"/>
      <c r="Q1960" s="170">
        <v>45618</v>
      </c>
      <c r="R1960" s="171" t="s">
        <v>150</v>
      </c>
      <c r="S1960" s="172"/>
    </row>
    <row r="1961" spans="1:19" ht="42.75">
      <c r="A1961" s="164" t="s">
        <v>778</v>
      </c>
      <c r="B1961" s="165" t="s">
        <v>1373</v>
      </c>
      <c r="C1961" s="165" t="s">
        <v>1180</v>
      </c>
      <c r="D1961" s="164">
        <v>2424</v>
      </c>
      <c r="E1961" s="164">
        <v>2504</v>
      </c>
      <c r="F1961" s="164" t="s">
        <v>3404</v>
      </c>
      <c r="G1961" s="164">
        <v>2024</v>
      </c>
      <c r="H1961" s="175">
        <v>45457</v>
      </c>
      <c r="I1961" s="175">
        <v>45459</v>
      </c>
      <c r="J1961" s="168" t="s">
        <v>7345</v>
      </c>
      <c r="K1961" s="174">
        <v>45463</v>
      </c>
      <c r="L1961" s="129" t="s">
        <v>3689</v>
      </c>
      <c r="M1961" s="129"/>
      <c r="N1961" s="129"/>
      <c r="O1961" s="129"/>
      <c r="P1961" s="146"/>
      <c r="Q1961" s="130">
        <v>45463</v>
      </c>
      <c r="R1961" s="171"/>
      <c r="S1961" s="172"/>
    </row>
    <row r="1962" spans="1:19" ht="42.75">
      <c r="A1962" s="164" t="s">
        <v>778</v>
      </c>
      <c r="B1962" s="165" t="s">
        <v>1373</v>
      </c>
      <c r="C1962" s="165" t="s">
        <v>858</v>
      </c>
      <c r="D1962" s="164">
        <v>7656</v>
      </c>
      <c r="E1962" s="164">
        <v>8812</v>
      </c>
      <c r="F1962" s="164" t="s">
        <v>3955</v>
      </c>
      <c r="G1962" s="164"/>
      <c r="H1962" s="167"/>
      <c r="I1962" s="167"/>
      <c r="J1962" s="167"/>
      <c r="K1962" s="169"/>
      <c r="L1962" s="129"/>
      <c r="M1962" s="129"/>
      <c r="N1962" s="129"/>
      <c r="O1962" s="129"/>
      <c r="P1962" s="146"/>
      <c r="Q1962" s="170"/>
      <c r="R1962" s="171"/>
      <c r="S1962" s="172"/>
    </row>
    <row r="1963" spans="1:19" ht="42.75">
      <c r="A1963" s="164" t="s">
        <v>778</v>
      </c>
      <c r="B1963" s="165" t="s">
        <v>1373</v>
      </c>
      <c r="C1963" s="165" t="s">
        <v>1439</v>
      </c>
      <c r="D1963" s="164">
        <v>6053</v>
      </c>
      <c r="E1963" s="164">
        <v>5885</v>
      </c>
      <c r="F1963" s="164" t="s">
        <v>3404</v>
      </c>
      <c r="G1963" s="164">
        <v>2024</v>
      </c>
      <c r="H1963" s="175">
        <v>45603</v>
      </c>
      <c r="I1963" s="175">
        <v>45611</v>
      </c>
      <c r="J1963" s="168" t="s">
        <v>7346</v>
      </c>
      <c r="K1963" s="174">
        <v>45616</v>
      </c>
      <c r="L1963" s="129" t="s">
        <v>3129</v>
      </c>
      <c r="M1963" s="129" t="s">
        <v>1078</v>
      </c>
      <c r="N1963" s="129" t="s">
        <v>50</v>
      </c>
      <c r="O1963" s="129" t="s">
        <v>3406</v>
      </c>
      <c r="P1963" s="146"/>
      <c r="Q1963" s="170">
        <v>45618</v>
      </c>
      <c r="R1963" s="171" t="s">
        <v>150</v>
      </c>
      <c r="S1963" s="172"/>
    </row>
    <row r="1964" spans="1:19" ht="42.75">
      <c r="A1964" s="164" t="s">
        <v>778</v>
      </c>
      <c r="B1964" s="165" t="s">
        <v>1373</v>
      </c>
      <c r="C1964" s="165" t="s">
        <v>1253</v>
      </c>
      <c r="D1964" s="164">
        <v>4186</v>
      </c>
      <c r="E1964" s="164">
        <v>4118</v>
      </c>
      <c r="F1964" s="164" t="s">
        <v>3955</v>
      </c>
      <c r="G1964" s="164"/>
      <c r="H1964" s="167"/>
      <c r="I1964" s="167"/>
      <c r="J1964" s="167"/>
      <c r="K1964" s="169"/>
      <c r="L1964" s="129"/>
      <c r="M1964" s="129"/>
      <c r="N1964" s="129"/>
      <c r="O1964" s="129"/>
      <c r="P1964" s="146"/>
      <c r="Q1964" s="170"/>
      <c r="R1964" s="171"/>
      <c r="S1964" s="172"/>
    </row>
    <row r="1965" spans="1:19" ht="42.75">
      <c r="A1965" s="164" t="s">
        <v>778</v>
      </c>
      <c r="B1965" s="165" t="s">
        <v>1373</v>
      </c>
      <c r="C1965" s="165" t="s">
        <v>3724</v>
      </c>
      <c r="D1965" s="164">
        <v>2089</v>
      </c>
      <c r="E1965" s="164">
        <v>2241</v>
      </c>
      <c r="F1965" s="164" t="s">
        <v>3955</v>
      </c>
      <c r="G1965" s="164"/>
      <c r="H1965" s="167"/>
      <c r="I1965" s="167"/>
      <c r="J1965" s="167"/>
      <c r="K1965" s="169"/>
      <c r="L1965" s="129"/>
      <c r="M1965" s="129"/>
      <c r="N1965" s="129"/>
      <c r="O1965" s="129"/>
      <c r="P1965" s="146"/>
      <c r="Q1965" s="170"/>
      <c r="R1965" s="171"/>
      <c r="S1965" s="172"/>
    </row>
    <row r="1966" spans="1:19" ht="42.75">
      <c r="A1966" s="164" t="s">
        <v>778</v>
      </c>
      <c r="B1966" s="165" t="s">
        <v>1373</v>
      </c>
      <c r="C1966" s="165" t="s">
        <v>3974</v>
      </c>
      <c r="D1966" s="164">
        <v>2127</v>
      </c>
      <c r="E1966" s="164">
        <v>2257</v>
      </c>
      <c r="F1966" s="164" t="s">
        <v>3955</v>
      </c>
      <c r="G1966" s="164"/>
      <c r="H1966" s="167"/>
      <c r="I1966" s="167"/>
      <c r="J1966" s="167"/>
      <c r="K1966" s="169"/>
      <c r="L1966" s="129"/>
      <c r="M1966" s="129"/>
      <c r="N1966" s="129"/>
      <c r="O1966" s="129"/>
      <c r="P1966" s="146"/>
      <c r="Q1966" s="170"/>
      <c r="R1966" s="171"/>
      <c r="S1966" s="172"/>
    </row>
    <row r="1967" spans="1:19" ht="42.75">
      <c r="A1967" s="164" t="s">
        <v>778</v>
      </c>
      <c r="B1967" s="165" t="s">
        <v>1373</v>
      </c>
      <c r="C1967" s="165" t="s">
        <v>1424</v>
      </c>
      <c r="D1967" s="164">
        <v>3403</v>
      </c>
      <c r="E1967" s="164">
        <v>3920</v>
      </c>
      <c r="F1967" s="164" t="s">
        <v>3955</v>
      </c>
      <c r="G1967" s="164"/>
      <c r="H1967" s="167"/>
      <c r="I1967" s="167"/>
      <c r="J1967" s="167"/>
      <c r="K1967" s="169"/>
      <c r="L1967" s="129"/>
      <c r="M1967" s="129"/>
      <c r="N1967" s="129"/>
      <c r="O1967" s="129"/>
      <c r="P1967" s="146"/>
      <c r="Q1967" s="170"/>
      <c r="R1967" s="171"/>
      <c r="S1967" s="172"/>
    </row>
    <row r="1968" spans="1:19" ht="42.75">
      <c r="A1968" s="164" t="s">
        <v>778</v>
      </c>
      <c r="B1968" s="165" t="s">
        <v>1373</v>
      </c>
      <c r="C1968" s="165" t="s">
        <v>5528</v>
      </c>
      <c r="D1968" s="164">
        <v>4825</v>
      </c>
      <c r="E1968" s="164">
        <v>5615</v>
      </c>
      <c r="F1968" s="164" t="s">
        <v>3404</v>
      </c>
      <c r="G1968" s="164">
        <v>2024</v>
      </c>
      <c r="H1968" s="175">
        <v>45603</v>
      </c>
      <c r="I1968" s="175">
        <v>45611</v>
      </c>
      <c r="J1968" s="168" t="s">
        <v>7347</v>
      </c>
      <c r="K1968" s="174">
        <v>45616</v>
      </c>
      <c r="L1968" s="129" t="s">
        <v>3129</v>
      </c>
      <c r="M1968" s="129" t="s">
        <v>1078</v>
      </c>
      <c r="N1968" s="129" t="s">
        <v>50</v>
      </c>
      <c r="O1968" s="129" t="s">
        <v>3406</v>
      </c>
      <c r="P1968" s="146"/>
      <c r="Q1968" s="170">
        <v>45618</v>
      </c>
      <c r="R1968" s="171" t="s">
        <v>150</v>
      </c>
      <c r="S1968" s="172"/>
    </row>
    <row r="1969" spans="1:19" ht="42.75">
      <c r="A1969" s="164" t="s">
        <v>778</v>
      </c>
      <c r="B1969" s="165" t="s">
        <v>1373</v>
      </c>
      <c r="C1969" s="165" t="s">
        <v>5529</v>
      </c>
      <c r="D1969" s="164">
        <v>7722</v>
      </c>
      <c r="E1969" s="164">
        <v>7891</v>
      </c>
      <c r="F1969" s="164" t="s">
        <v>3404</v>
      </c>
      <c r="G1969" s="164">
        <v>2024</v>
      </c>
      <c r="H1969" s="175">
        <v>45603</v>
      </c>
      <c r="I1969" s="175">
        <v>45611</v>
      </c>
      <c r="J1969" s="168" t="s">
        <v>7348</v>
      </c>
      <c r="K1969" s="174">
        <v>45616</v>
      </c>
      <c r="L1969" s="129" t="s">
        <v>3129</v>
      </c>
      <c r="M1969" s="129" t="s">
        <v>4</v>
      </c>
      <c r="N1969" s="129" t="s">
        <v>57</v>
      </c>
      <c r="O1969" s="129" t="s">
        <v>3406</v>
      </c>
      <c r="P1969" s="146"/>
      <c r="Q1969" s="170">
        <v>45618</v>
      </c>
      <c r="R1969" s="171" t="s">
        <v>150</v>
      </c>
      <c r="S1969" s="172"/>
    </row>
    <row r="1970" spans="1:19" ht="42.75">
      <c r="A1970" s="164" t="s">
        <v>778</v>
      </c>
      <c r="B1970" s="165" t="s">
        <v>1373</v>
      </c>
      <c r="C1970" s="165" t="s">
        <v>5517</v>
      </c>
      <c r="D1970" s="164">
        <v>1556</v>
      </c>
      <c r="E1970" s="164">
        <v>1727</v>
      </c>
      <c r="F1970" s="164" t="s">
        <v>3955</v>
      </c>
      <c r="G1970" s="164"/>
      <c r="H1970" s="167"/>
      <c r="I1970" s="167"/>
      <c r="J1970" s="167"/>
      <c r="K1970" s="169"/>
      <c r="L1970" s="129"/>
      <c r="M1970" s="129"/>
      <c r="N1970" s="129"/>
      <c r="O1970" s="129"/>
      <c r="P1970" s="146"/>
      <c r="Q1970" s="170"/>
      <c r="R1970" s="171"/>
      <c r="S1970" s="172"/>
    </row>
    <row r="1971" spans="1:19" ht="42.75">
      <c r="A1971" s="164" t="s">
        <v>778</v>
      </c>
      <c r="B1971" s="165" t="s">
        <v>1381</v>
      </c>
      <c r="C1971" s="165" t="s">
        <v>4143</v>
      </c>
      <c r="D1971" s="164">
        <v>6675</v>
      </c>
      <c r="E1971" s="164">
        <v>6777</v>
      </c>
      <c r="F1971" s="164" t="s">
        <v>3955</v>
      </c>
      <c r="G1971" s="164"/>
      <c r="H1971" s="167"/>
      <c r="I1971" s="167"/>
      <c r="J1971" s="167"/>
      <c r="K1971" s="169"/>
      <c r="L1971" s="129"/>
      <c r="M1971" s="129"/>
      <c r="N1971" s="129"/>
      <c r="O1971" s="129"/>
      <c r="P1971" s="146"/>
      <c r="Q1971" s="170"/>
      <c r="R1971" s="171"/>
      <c r="S1971" s="172"/>
    </row>
    <row r="1972" spans="1:19" ht="42.75">
      <c r="A1972" s="164" t="s">
        <v>778</v>
      </c>
      <c r="B1972" s="165" t="s">
        <v>1381</v>
      </c>
      <c r="C1972" s="165" t="s">
        <v>7349</v>
      </c>
      <c r="D1972" s="164">
        <v>2103</v>
      </c>
      <c r="E1972" s="164">
        <v>2297</v>
      </c>
      <c r="F1972" s="164" t="s">
        <v>3955</v>
      </c>
      <c r="G1972" s="164"/>
      <c r="H1972" s="167"/>
      <c r="I1972" s="167"/>
      <c r="J1972" s="167"/>
      <c r="K1972" s="169"/>
      <c r="L1972" s="129"/>
      <c r="M1972" s="129"/>
      <c r="N1972" s="129"/>
      <c r="O1972" s="129"/>
      <c r="P1972" s="146"/>
      <c r="Q1972" s="170"/>
      <c r="R1972" s="171"/>
      <c r="S1972" s="172"/>
    </row>
    <row r="1973" spans="1:19" ht="42.75">
      <c r="A1973" s="164" t="s">
        <v>778</v>
      </c>
      <c r="B1973" s="165" t="s">
        <v>1381</v>
      </c>
      <c r="C1973" s="165" t="s">
        <v>5535</v>
      </c>
      <c r="D1973" s="164">
        <v>3377</v>
      </c>
      <c r="E1973" s="164">
        <v>3588</v>
      </c>
      <c r="F1973" s="164" t="s">
        <v>3955</v>
      </c>
      <c r="G1973" s="164"/>
      <c r="H1973" s="167"/>
      <c r="I1973" s="167"/>
      <c r="J1973" s="167"/>
      <c r="K1973" s="169"/>
      <c r="L1973" s="129"/>
      <c r="M1973" s="129"/>
      <c r="N1973" s="129"/>
      <c r="O1973" s="129"/>
      <c r="P1973" s="146"/>
      <c r="Q1973" s="170"/>
      <c r="R1973" s="171"/>
      <c r="S1973" s="172"/>
    </row>
    <row r="1974" spans="1:19" ht="42.75">
      <c r="A1974" s="164" t="s">
        <v>778</v>
      </c>
      <c r="B1974" s="165" t="s">
        <v>1381</v>
      </c>
      <c r="C1974" s="165" t="s">
        <v>3699</v>
      </c>
      <c r="D1974" s="164">
        <v>3319</v>
      </c>
      <c r="E1974" s="164">
        <v>3568</v>
      </c>
      <c r="F1974" s="164" t="s">
        <v>3955</v>
      </c>
      <c r="G1974" s="164"/>
      <c r="H1974" s="167"/>
      <c r="I1974" s="167"/>
      <c r="J1974" s="167"/>
      <c r="K1974" s="169"/>
      <c r="L1974" s="129"/>
      <c r="M1974" s="129"/>
      <c r="N1974" s="129"/>
      <c r="O1974" s="129"/>
      <c r="P1974" s="146"/>
      <c r="Q1974" s="170"/>
      <c r="R1974" s="171"/>
      <c r="S1974" s="172"/>
    </row>
    <row r="1975" spans="1:19" ht="42.75">
      <c r="A1975" s="164" t="s">
        <v>778</v>
      </c>
      <c r="B1975" s="165" t="s">
        <v>1381</v>
      </c>
      <c r="C1975" s="165" t="s">
        <v>5536</v>
      </c>
      <c r="D1975" s="164">
        <v>3378</v>
      </c>
      <c r="E1975" s="164">
        <v>3974</v>
      </c>
      <c r="F1975" s="164" t="s">
        <v>3955</v>
      </c>
      <c r="G1975" s="164"/>
      <c r="H1975" s="167"/>
      <c r="I1975" s="167"/>
      <c r="J1975" s="167"/>
      <c r="K1975" s="169"/>
      <c r="L1975" s="129"/>
      <c r="M1975" s="129"/>
      <c r="N1975" s="129"/>
      <c r="O1975" s="129"/>
      <c r="P1975" s="146"/>
      <c r="Q1975" s="170"/>
      <c r="R1975" s="171"/>
      <c r="S1975" s="172"/>
    </row>
    <row r="1976" spans="1:19" ht="42.75">
      <c r="A1976" s="164" t="s">
        <v>778</v>
      </c>
      <c r="B1976" s="165" t="s">
        <v>1381</v>
      </c>
      <c r="C1976" s="165" t="s">
        <v>5537</v>
      </c>
      <c r="D1976" s="164">
        <v>6151</v>
      </c>
      <c r="E1976" s="164">
        <v>8005</v>
      </c>
      <c r="F1976" s="164" t="s">
        <v>3955</v>
      </c>
      <c r="G1976" s="164"/>
      <c r="H1976" s="167"/>
      <c r="I1976" s="167"/>
      <c r="J1976" s="167"/>
      <c r="K1976" s="169"/>
      <c r="L1976" s="129"/>
      <c r="M1976" s="129"/>
      <c r="N1976" s="129"/>
      <c r="O1976" s="129"/>
      <c r="P1976" s="146"/>
      <c r="Q1976" s="170"/>
      <c r="R1976" s="171"/>
      <c r="S1976" s="172"/>
    </row>
    <row r="1977" spans="1:19" ht="42.75">
      <c r="A1977" s="164" t="s">
        <v>778</v>
      </c>
      <c r="B1977" s="165" t="s">
        <v>1381</v>
      </c>
      <c r="C1977" s="165" t="s">
        <v>5530</v>
      </c>
      <c r="D1977" s="164">
        <v>269</v>
      </c>
      <c r="E1977" s="164">
        <v>296</v>
      </c>
      <c r="F1977" s="164" t="s">
        <v>3955</v>
      </c>
      <c r="G1977" s="164"/>
      <c r="H1977" s="167"/>
      <c r="I1977" s="167"/>
      <c r="J1977" s="167"/>
      <c r="K1977" s="169"/>
      <c r="L1977" s="129"/>
      <c r="M1977" s="129"/>
      <c r="N1977" s="129"/>
      <c r="O1977" s="129"/>
      <c r="P1977" s="146"/>
      <c r="Q1977" s="170"/>
      <c r="R1977" s="171"/>
      <c r="S1977" s="172"/>
    </row>
    <row r="1978" spans="1:19" ht="42.75">
      <c r="A1978" s="164" t="s">
        <v>778</v>
      </c>
      <c r="B1978" s="165" t="s">
        <v>1381</v>
      </c>
      <c r="C1978" s="165" t="s">
        <v>5539</v>
      </c>
      <c r="D1978" s="164">
        <v>9359</v>
      </c>
      <c r="E1978" s="164">
        <v>10105</v>
      </c>
      <c r="F1978" s="164" t="s">
        <v>3955</v>
      </c>
      <c r="G1978" s="164"/>
      <c r="H1978" s="167"/>
      <c r="I1978" s="167"/>
      <c r="J1978" s="167"/>
      <c r="K1978" s="169"/>
      <c r="L1978" s="129"/>
      <c r="M1978" s="129"/>
      <c r="N1978" s="129"/>
      <c r="O1978" s="129"/>
      <c r="P1978" s="146"/>
      <c r="Q1978" s="170"/>
      <c r="R1978" s="171"/>
      <c r="S1978" s="172"/>
    </row>
    <row r="1979" spans="1:19" ht="42.75">
      <c r="A1979" s="164" t="s">
        <v>778</v>
      </c>
      <c r="B1979" s="165" t="s">
        <v>1381</v>
      </c>
      <c r="C1979" s="165" t="s">
        <v>1299</v>
      </c>
      <c r="D1979" s="164">
        <v>3943</v>
      </c>
      <c r="E1979" s="164">
        <v>4241</v>
      </c>
      <c r="F1979" s="164" t="s">
        <v>3955</v>
      </c>
      <c r="G1979" s="164"/>
      <c r="H1979" s="167"/>
      <c r="I1979" s="167"/>
      <c r="J1979" s="167"/>
      <c r="K1979" s="169"/>
      <c r="L1979" s="129"/>
      <c r="M1979" s="129"/>
      <c r="N1979" s="129"/>
      <c r="O1979" s="129"/>
      <c r="P1979" s="146"/>
      <c r="Q1979" s="170"/>
      <c r="R1979" s="171"/>
      <c r="S1979" s="172"/>
    </row>
    <row r="1980" spans="1:19" ht="42.75">
      <c r="A1980" s="164" t="s">
        <v>778</v>
      </c>
      <c r="B1980" s="165" t="s">
        <v>1381</v>
      </c>
      <c r="C1980" s="165" t="s">
        <v>4126</v>
      </c>
      <c r="D1980" s="164">
        <v>5792</v>
      </c>
      <c r="E1980" s="164">
        <v>6863</v>
      </c>
      <c r="F1980" s="164" t="s">
        <v>3955</v>
      </c>
      <c r="G1980" s="164"/>
      <c r="H1980" s="167"/>
      <c r="I1980" s="167"/>
      <c r="J1980" s="167"/>
      <c r="K1980" s="169"/>
      <c r="L1980" s="129"/>
      <c r="M1980" s="129"/>
      <c r="N1980" s="129"/>
      <c r="O1980" s="129"/>
      <c r="P1980" s="146"/>
      <c r="Q1980" s="170"/>
      <c r="R1980" s="171"/>
      <c r="S1980" s="172"/>
    </row>
    <row r="1981" spans="1:19" ht="42.75">
      <c r="A1981" s="164" t="s">
        <v>778</v>
      </c>
      <c r="B1981" s="165" t="s">
        <v>1381</v>
      </c>
      <c r="C1981" s="165" t="s">
        <v>914</v>
      </c>
      <c r="D1981" s="164">
        <v>4436</v>
      </c>
      <c r="E1981" s="164">
        <v>4886</v>
      </c>
      <c r="F1981" s="164" t="s">
        <v>3404</v>
      </c>
      <c r="G1981" s="164">
        <v>2024</v>
      </c>
      <c r="H1981" s="175">
        <v>45581</v>
      </c>
      <c r="I1981" s="175">
        <v>45582</v>
      </c>
      <c r="J1981" s="168" t="s">
        <v>7350</v>
      </c>
      <c r="K1981" s="174">
        <v>45584</v>
      </c>
      <c r="L1981" s="129" t="s">
        <v>3128</v>
      </c>
      <c r="M1981" s="129" t="s">
        <v>1078</v>
      </c>
      <c r="N1981" s="129" t="s">
        <v>50</v>
      </c>
      <c r="O1981" s="129" t="s">
        <v>3406</v>
      </c>
      <c r="P1981" s="146"/>
      <c r="Q1981" s="170">
        <v>45586</v>
      </c>
      <c r="R1981" s="171" t="s">
        <v>150</v>
      </c>
      <c r="S1981" s="172"/>
    </row>
    <row r="1982" spans="1:19" ht="42.75">
      <c r="A1982" s="164" t="s">
        <v>778</v>
      </c>
      <c r="B1982" s="165" t="s">
        <v>1381</v>
      </c>
      <c r="C1982" s="165" t="s">
        <v>1180</v>
      </c>
      <c r="D1982" s="164">
        <v>1346</v>
      </c>
      <c r="E1982" s="164">
        <v>1463</v>
      </c>
      <c r="F1982" s="164" t="s">
        <v>3955</v>
      </c>
      <c r="G1982" s="164"/>
      <c r="H1982" s="167"/>
      <c r="I1982" s="167"/>
      <c r="J1982" s="167"/>
      <c r="K1982" s="169"/>
      <c r="L1982" s="129"/>
      <c r="M1982" s="129"/>
      <c r="N1982" s="129"/>
      <c r="O1982" s="129"/>
      <c r="P1982" s="146"/>
      <c r="Q1982" s="170"/>
      <c r="R1982" s="171"/>
      <c r="S1982" s="172"/>
    </row>
    <row r="1983" spans="1:19" ht="42.75">
      <c r="A1983" s="164" t="s">
        <v>778</v>
      </c>
      <c r="B1983" s="165" t="s">
        <v>1381</v>
      </c>
      <c r="C1983" s="165" t="s">
        <v>858</v>
      </c>
      <c r="D1983" s="164">
        <v>2076</v>
      </c>
      <c r="E1983" s="164">
        <v>2256</v>
      </c>
      <c r="F1983" s="164" t="s">
        <v>3955</v>
      </c>
      <c r="G1983" s="164"/>
      <c r="H1983" s="167"/>
      <c r="I1983" s="167"/>
      <c r="J1983" s="167"/>
      <c r="K1983" s="169"/>
      <c r="L1983" s="129"/>
      <c r="M1983" s="129"/>
      <c r="N1983" s="129"/>
      <c r="O1983" s="129"/>
      <c r="P1983" s="146"/>
      <c r="Q1983" s="170"/>
      <c r="R1983" s="171"/>
      <c r="S1983" s="172"/>
    </row>
    <row r="1984" spans="1:19" ht="42.75">
      <c r="A1984" s="164" t="s">
        <v>778</v>
      </c>
      <c r="B1984" s="165" t="s">
        <v>1381</v>
      </c>
      <c r="C1984" s="165" t="s">
        <v>5545</v>
      </c>
      <c r="D1984" s="164">
        <v>2537</v>
      </c>
      <c r="E1984" s="164">
        <v>2657</v>
      </c>
      <c r="F1984" s="164" t="s">
        <v>3955</v>
      </c>
      <c r="G1984" s="164"/>
      <c r="H1984" s="167"/>
      <c r="I1984" s="167"/>
      <c r="J1984" s="167"/>
      <c r="K1984" s="169"/>
      <c r="L1984" s="129"/>
      <c r="M1984" s="129"/>
      <c r="N1984" s="129"/>
      <c r="O1984" s="129"/>
      <c r="P1984" s="146"/>
      <c r="Q1984" s="170"/>
      <c r="R1984" s="171"/>
      <c r="S1984" s="172"/>
    </row>
    <row r="1985" spans="1:19" ht="42.75">
      <c r="A1985" s="164" t="s">
        <v>778</v>
      </c>
      <c r="B1985" s="165" t="s">
        <v>1381</v>
      </c>
      <c r="C1985" s="165" t="s">
        <v>5547</v>
      </c>
      <c r="D1985" s="164">
        <v>6060</v>
      </c>
      <c r="E1985" s="164">
        <v>6640</v>
      </c>
      <c r="F1985" s="164" t="s">
        <v>3955</v>
      </c>
      <c r="G1985" s="164"/>
      <c r="H1985" s="167"/>
      <c r="I1985" s="167"/>
      <c r="J1985" s="167"/>
      <c r="K1985" s="169"/>
      <c r="L1985" s="129"/>
      <c r="M1985" s="129"/>
      <c r="N1985" s="129"/>
      <c r="O1985" s="129"/>
      <c r="P1985" s="146"/>
      <c r="Q1985" s="170"/>
      <c r="R1985" s="171"/>
      <c r="S1985" s="172"/>
    </row>
    <row r="1986" spans="1:19" ht="42.75">
      <c r="A1986" s="164" t="s">
        <v>778</v>
      </c>
      <c r="B1986" s="165" t="s">
        <v>1381</v>
      </c>
      <c r="C1986" s="165" t="s">
        <v>5548</v>
      </c>
      <c r="D1986" s="164">
        <v>3500</v>
      </c>
      <c r="E1986" s="164">
        <v>4240</v>
      </c>
      <c r="F1986" s="164" t="s">
        <v>3955</v>
      </c>
      <c r="G1986" s="164"/>
      <c r="H1986" s="167"/>
      <c r="I1986" s="167"/>
      <c r="J1986" s="167"/>
      <c r="K1986" s="169"/>
      <c r="L1986" s="129"/>
      <c r="M1986" s="129"/>
      <c r="N1986" s="129"/>
      <c r="O1986" s="129"/>
      <c r="P1986" s="146"/>
      <c r="Q1986" s="170"/>
      <c r="R1986" s="171"/>
      <c r="S1986" s="172"/>
    </row>
    <row r="1987" spans="1:19" ht="42.75">
      <c r="A1987" s="164" t="s">
        <v>778</v>
      </c>
      <c r="B1987" s="165" t="s">
        <v>1381</v>
      </c>
      <c r="C1987" s="165" t="s">
        <v>1151</v>
      </c>
      <c r="D1987" s="164">
        <v>4710</v>
      </c>
      <c r="E1987" s="164">
        <v>5108</v>
      </c>
      <c r="F1987" s="164" t="s">
        <v>3955</v>
      </c>
      <c r="G1987" s="164"/>
      <c r="H1987" s="167"/>
      <c r="I1987" s="167"/>
      <c r="J1987" s="167"/>
      <c r="K1987" s="169"/>
      <c r="L1987" s="129"/>
      <c r="M1987" s="129"/>
      <c r="N1987" s="129"/>
      <c r="O1987" s="129"/>
      <c r="P1987" s="146"/>
      <c r="Q1987" s="170"/>
      <c r="R1987" s="171"/>
      <c r="S1987" s="172"/>
    </row>
    <row r="1988" spans="1:19" ht="42.75">
      <c r="A1988" s="164" t="s">
        <v>778</v>
      </c>
      <c r="B1988" s="165" t="s">
        <v>1381</v>
      </c>
      <c r="C1988" s="165" t="s">
        <v>5551</v>
      </c>
      <c r="D1988" s="164">
        <v>1632</v>
      </c>
      <c r="E1988" s="164">
        <v>1822</v>
      </c>
      <c r="F1988" s="164" t="s">
        <v>3955</v>
      </c>
      <c r="G1988" s="164"/>
      <c r="H1988" s="167"/>
      <c r="I1988" s="167"/>
      <c r="J1988" s="167"/>
      <c r="K1988" s="169"/>
      <c r="L1988" s="129"/>
      <c r="M1988" s="129"/>
      <c r="N1988" s="129"/>
      <c r="O1988" s="129"/>
      <c r="P1988" s="146"/>
      <c r="Q1988" s="170"/>
      <c r="R1988" s="171"/>
      <c r="S1988" s="172"/>
    </row>
    <row r="1989" spans="1:19" ht="42.75">
      <c r="A1989" s="164" t="s">
        <v>778</v>
      </c>
      <c r="B1989" s="165" t="s">
        <v>1381</v>
      </c>
      <c r="C1989" s="165" t="s">
        <v>5552</v>
      </c>
      <c r="D1989" s="164">
        <v>2611</v>
      </c>
      <c r="E1989" s="164">
        <v>3275</v>
      </c>
      <c r="F1989" s="164" t="s">
        <v>3955</v>
      </c>
      <c r="G1989" s="164"/>
      <c r="H1989" s="167"/>
      <c r="I1989" s="167"/>
      <c r="J1989" s="167"/>
      <c r="K1989" s="169"/>
      <c r="L1989" s="129"/>
      <c r="M1989" s="129"/>
      <c r="N1989" s="129"/>
      <c r="O1989" s="129"/>
      <c r="P1989" s="146"/>
      <c r="Q1989" s="170"/>
      <c r="R1989" s="171"/>
      <c r="S1989" s="172"/>
    </row>
    <row r="1990" spans="1:19" ht="42.75">
      <c r="A1990" s="164" t="s">
        <v>778</v>
      </c>
      <c r="B1990" s="165" t="s">
        <v>1381</v>
      </c>
      <c r="C1990" s="165" t="s">
        <v>3723</v>
      </c>
      <c r="D1990" s="164">
        <v>2966</v>
      </c>
      <c r="E1990" s="164">
        <v>3209</v>
      </c>
      <c r="F1990" s="164" t="s">
        <v>3955</v>
      </c>
      <c r="G1990" s="164"/>
      <c r="H1990" s="167"/>
      <c r="I1990" s="167"/>
      <c r="J1990" s="167"/>
      <c r="K1990" s="169"/>
      <c r="L1990" s="129"/>
      <c r="M1990" s="129"/>
      <c r="N1990" s="129"/>
      <c r="O1990" s="129"/>
      <c r="P1990" s="146"/>
      <c r="Q1990" s="170"/>
      <c r="R1990" s="171"/>
      <c r="S1990" s="172"/>
    </row>
    <row r="1991" spans="1:19" ht="42.75">
      <c r="A1991" s="164" t="s">
        <v>778</v>
      </c>
      <c r="B1991" s="165" t="s">
        <v>1381</v>
      </c>
      <c r="C1991" s="165" t="s">
        <v>1253</v>
      </c>
      <c r="D1991" s="164">
        <v>5314</v>
      </c>
      <c r="E1991" s="164">
        <v>5447</v>
      </c>
      <c r="F1991" s="164" t="s">
        <v>3955</v>
      </c>
      <c r="G1991" s="164"/>
      <c r="H1991" s="167"/>
      <c r="I1991" s="167"/>
      <c r="J1991" s="167"/>
      <c r="K1991" s="169"/>
      <c r="L1991" s="129"/>
      <c r="M1991" s="129"/>
      <c r="N1991" s="129"/>
      <c r="O1991" s="129"/>
      <c r="P1991" s="146"/>
      <c r="Q1991" s="170"/>
      <c r="R1991" s="171"/>
      <c r="S1991" s="172"/>
    </row>
    <row r="1992" spans="1:19" ht="42.75">
      <c r="A1992" s="164" t="s">
        <v>778</v>
      </c>
      <c r="B1992" s="165" t="s">
        <v>1381</v>
      </c>
      <c r="C1992" s="165" t="s">
        <v>1155</v>
      </c>
      <c r="D1992" s="164">
        <v>3943</v>
      </c>
      <c r="E1992" s="164">
        <v>4251</v>
      </c>
      <c r="F1992" s="164" t="s">
        <v>3955</v>
      </c>
      <c r="G1992" s="164"/>
      <c r="H1992" s="167"/>
      <c r="I1992" s="167"/>
      <c r="J1992" s="167"/>
      <c r="K1992" s="169"/>
      <c r="L1992" s="129"/>
      <c r="M1992" s="129"/>
      <c r="N1992" s="129"/>
      <c r="O1992" s="129"/>
      <c r="P1992" s="146"/>
      <c r="Q1992" s="170"/>
      <c r="R1992" s="171"/>
      <c r="S1992" s="172"/>
    </row>
    <row r="1993" spans="1:19" ht="42.75">
      <c r="A1993" s="164" t="s">
        <v>778</v>
      </c>
      <c r="B1993" s="165" t="s">
        <v>1381</v>
      </c>
      <c r="C1993" s="165" t="s">
        <v>3974</v>
      </c>
      <c r="D1993" s="164">
        <v>3251</v>
      </c>
      <c r="E1993" s="164">
        <v>3474</v>
      </c>
      <c r="F1993" s="164" t="s">
        <v>3955</v>
      </c>
      <c r="G1993" s="164"/>
      <c r="H1993" s="167"/>
      <c r="I1993" s="167"/>
      <c r="J1993" s="167"/>
      <c r="K1993" s="169"/>
      <c r="L1993" s="129"/>
      <c r="M1993" s="129"/>
      <c r="N1993" s="129"/>
      <c r="O1993" s="129"/>
      <c r="P1993" s="146"/>
      <c r="Q1993" s="170"/>
      <c r="R1993" s="171"/>
      <c r="S1993" s="172"/>
    </row>
    <row r="1994" spans="1:19" ht="42.75">
      <c r="A1994" s="164" t="s">
        <v>778</v>
      </c>
      <c r="B1994" s="165" t="s">
        <v>1381</v>
      </c>
      <c r="C1994" s="165" t="s">
        <v>1166</v>
      </c>
      <c r="D1994" s="164">
        <v>5972</v>
      </c>
      <c r="E1994" s="164">
        <v>6098</v>
      </c>
      <c r="F1994" s="164" t="s">
        <v>3955</v>
      </c>
      <c r="G1994" s="164"/>
      <c r="H1994" s="167"/>
      <c r="I1994" s="167"/>
      <c r="J1994" s="167"/>
      <c r="K1994" s="169"/>
      <c r="L1994" s="129"/>
      <c r="M1994" s="129"/>
      <c r="N1994" s="129"/>
      <c r="O1994" s="129"/>
      <c r="P1994" s="146"/>
      <c r="Q1994" s="170"/>
      <c r="R1994" s="171"/>
      <c r="S1994" s="172"/>
    </row>
    <row r="1995" spans="1:19" ht="42.75">
      <c r="A1995" s="164" t="s">
        <v>778</v>
      </c>
      <c r="B1995" s="165" t="s">
        <v>1381</v>
      </c>
      <c r="C1995" s="165" t="s">
        <v>918</v>
      </c>
      <c r="D1995" s="164">
        <v>2509</v>
      </c>
      <c r="E1995" s="164">
        <v>2738</v>
      </c>
      <c r="F1995" s="164" t="s">
        <v>3955</v>
      </c>
      <c r="G1995" s="164"/>
      <c r="H1995" s="167"/>
      <c r="I1995" s="167"/>
      <c r="J1995" s="167"/>
      <c r="K1995" s="169"/>
      <c r="L1995" s="129"/>
      <c r="M1995" s="129"/>
      <c r="N1995" s="129"/>
      <c r="O1995" s="129"/>
      <c r="P1995" s="146"/>
      <c r="Q1995" s="170"/>
      <c r="R1995" s="171"/>
      <c r="S1995" s="172"/>
    </row>
    <row r="1996" spans="1:19" ht="42.75">
      <c r="A1996" s="164" t="s">
        <v>778</v>
      </c>
      <c r="B1996" s="165" t="s">
        <v>1381</v>
      </c>
      <c r="C1996" s="165" t="s">
        <v>5555</v>
      </c>
      <c r="D1996" s="164">
        <v>1888</v>
      </c>
      <c r="E1996" s="164">
        <v>1741</v>
      </c>
      <c r="F1996" s="164" t="s">
        <v>3955</v>
      </c>
      <c r="G1996" s="164"/>
      <c r="H1996" s="167"/>
      <c r="I1996" s="167"/>
      <c r="J1996" s="167"/>
      <c r="K1996" s="169"/>
      <c r="L1996" s="129"/>
      <c r="M1996" s="129"/>
      <c r="N1996" s="129"/>
      <c r="O1996" s="129"/>
      <c r="P1996" s="146"/>
      <c r="Q1996" s="170"/>
      <c r="R1996" s="171"/>
      <c r="S1996" s="172"/>
    </row>
    <row r="1997" spans="1:19" ht="42.75">
      <c r="A1997" s="164" t="s">
        <v>778</v>
      </c>
      <c r="B1997" s="165" t="s">
        <v>1381</v>
      </c>
      <c r="C1997" s="165" t="s">
        <v>4027</v>
      </c>
      <c r="D1997" s="164">
        <v>3438</v>
      </c>
      <c r="E1997" s="164">
        <v>3920</v>
      </c>
      <c r="F1997" s="164" t="s">
        <v>3955</v>
      </c>
      <c r="G1997" s="164"/>
      <c r="H1997" s="167"/>
      <c r="I1997" s="167"/>
      <c r="J1997" s="167"/>
      <c r="K1997" s="169"/>
      <c r="L1997" s="129"/>
      <c r="M1997" s="129"/>
      <c r="N1997" s="129"/>
      <c r="O1997" s="129"/>
      <c r="P1997" s="146"/>
      <c r="Q1997" s="170"/>
      <c r="R1997" s="171"/>
      <c r="S1997" s="172"/>
    </row>
    <row r="1998" spans="1:19" ht="42.75">
      <c r="A1998" s="164" t="s">
        <v>778</v>
      </c>
      <c r="B1998" s="165" t="s">
        <v>1381</v>
      </c>
      <c r="C1998" s="165" t="s">
        <v>5558</v>
      </c>
      <c r="D1998" s="164">
        <v>5961</v>
      </c>
      <c r="E1998" s="164">
        <v>6014</v>
      </c>
      <c r="F1998" s="164" t="s">
        <v>3955</v>
      </c>
      <c r="G1998" s="164"/>
      <c r="H1998" s="167"/>
      <c r="I1998" s="167"/>
      <c r="J1998" s="167"/>
      <c r="K1998" s="169"/>
      <c r="L1998" s="129"/>
      <c r="M1998" s="129"/>
      <c r="N1998" s="129"/>
      <c r="O1998" s="129"/>
      <c r="P1998" s="146"/>
      <c r="Q1998" s="170"/>
      <c r="R1998" s="171"/>
      <c r="S1998" s="172"/>
    </row>
    <row r="1999" spans="1:19" ht="42.75">
      <c r="A1999" s="164" t="s">
        <v>778</v>
      </c>
      <c r="B1999" s="165" t="s">
        <v>1381</v>
      </c>
      <c r="C1999" s="165" t="s">
        <v>3977</v>
      </c>
      <c r="D1999" s="164">
        <v>3605</v>
      </c>
      <c r="E1999" s="164">
        <v>3767</v>
      </c>
      <c r="F1999" s="164" t="s">
        <v>3955</v>
      </c>
      <c r="G1999" s="164"/>
      <c r="H1999" s="167"/>
      <c r="I1999" s="167"/>
      <c r="J1999" s="167"/>
      <c r="K1999" s="169"/>
      <c r="L1999" s="129"/>
      <c r="M1999" s="129"/>
      <c r="N1999" s="129"/>
      <c r="O1999" s="129"/>
      <c r="P1999" s="146"/>
      <c r="Q1999" s="170"/>
      <c r="R1999" s="171"/>
      <c r="S1999" s="172"/>
    </row>
    <row r="2000" spans="1:19" ht="42.75">
      <c r="A2000" s="164" t="s">
        <v>778</v>
      </c>
      <c r="B2000" s="165" t="s">
        <v>1381</v>
      </c>
      <c r="C2000" s="165" t="s">
        <v>4130</v>
      </c>
      <c r="D2000" s="164">
        <v>2099</v>
      </c>
      <c r="E2000" s="164">
        <v>2175</v>
      </c>
      <c r="F2000" s="164" t="s">
        <v>3955</v>
      </c>
      <c r="G2000" s="164"/>
      <c r="H2000" s="167"/>
      <c r="I2000" s="167"/>
      <c r="J2000" s="167"/>
      <c r="K2000" s="169"/>
      <c r="L2000" s="129"/>
      <c r="M2000" s="129"/>
      <c r="N2000" s="129"/>
      <c r="O2000" s="129"/>
      <c r="P2000" s="146"/>
      <c r="Q2000" s="170"/>
      <c r="R2000" s="171"/>
      <c r="S2000" s="172"/>
    </row>
    <row r="2001" spans="1:19" ht="42.75">
      <c r="A2001" s="164" t="s">
        <v>778</v>
      </c>
      <c r="B2001" s="165" t="s">
        <v>1381</v>
      </c>
      <c r="C2001" s="165" t="s">
        <v>5532</v>
      </c>
      <c r="D2001" s="164">
        <v>3210</v>
      </c>
      <c r="E2001" s="164">
        <v>3998</v>
      </c>
      <c r="F2001" s="164" t="s">
        <v>3955</v>
      </c>
      <c r="G2001" s="164"/>
      <c r="H2001" s="167"/>
      <c r="I2001" s="167"/>
      <c r="J2001" s="167"/>
      <c r="K2001" s="169"/>
      <c r="L2001" s="129"/>
      <c r="M2001" s="129"/>
      <c r="N2001" s="129"/>
      <c r="O2001" s="129"/>
      <c r="P2001" s="146"/>
      <c r="Q2001" s="170"/>
      <c r="R2001" s="171"/>
      <c r="S2001" s="172"/>
    </row>
    <row r="2002" spans="1:19" ht="42.75">
      <c r="A2002" s="164" t="s">
        <v>778</v>
      </c>
      <c r="B2002" s="165" t="s">
        <v>1383</v>
      </c>
      <c r="C2002" s="165" t="s">
        <v>5562</v>
      </c>
      <c r="D2002" s="164">
        <v>2165</v>
      </c>
      <c r="E2002" s="164">
        <v>2492</v>
      </c>
      <c r="F2002" s="164" t="s">
        <v>3955</v>
      </c>
      <c r="G2002" s="164"/>
      <c r="H2002" s="167"/>
      <c r="I2002" s="167"/>
      <c r="J2002" s="167"/>
      <c r="K2002" s="169"/>
      <c r="L2002" s="129"/>
      <c r="M2002" s="129"/>
      <c r="N2002" s="129"/>
      <c r="O2002" s="129"/>
      <c r="P2002" s="146"/>
      <c r="Q2002" s="170"/>
      <c r="R2002" s="171"/>
      <c r="S2002" s="172"/>
    </row>
    <row r="2003" spans="1:19" ht="42.75">
      <c r="A2003" s="164" t="s">
        <v>778</v>
      </c>
      <c r="B2003" s="165" t="s">
        <v>1383</v>
      </c>
      <c r="C2003" s="165" t="s">
        <v>5564</v>
      </c>
      <c r="D2003" s="164">
        <v>758</v>
      </c>
      <c r="E2003" s="164">
        <v>800</v>
      </c>
      <c r="F2003" s="164" t="s">
        <v>3955</v>
      </c>
      <c r="G2003" s="164"/>
      <c r="H2003" s="167"/>
      <c r="I2003" s="167"/>
      <c r="J2003" s="167"/>
      <c r="K2003" s="169"/>
      <c r="L2003" s="129"/>
      <c r="M2003" s="129"/>
      <c r="N2003" s="129"/>
      <c r="O2003" s="129"/>
      <c r="P2003" s="146"/>
      <c r="Q2003" s="170"/>
      <c r="R2003" s="171"/>
      <c r="S2003" s="172"/>
    </row>
    <row r="2004" spans="1:19" ht="42.75">
      <c r="A2004" s="164" t="s">
        <v>778</v>
      </c>
      <c r="B2004" s="165" t="s">
        <v>1383</v>
      </c>
      <c r="C2004" s="165" t="s">
        <v>5563</v>
      </c>
      <c r="D2004" s="164">
        <v>839</v>
      </c>
      <c r="E2004" s="164">
        <v>1374</v>
      </c>
      <c r="F2004" s="164" t="s">
        <v>3955</v>
      </c>
      <c r="G2004" s="164"/>
      <c r="H2004" s="167"/>
      <c r="I2004" s="167"/>
      <c r="J2004" s="167"/>
      <c r="K2004" s="169"/>
      <c r="L2004" s="129"/>
      <c r="M2004" s="129"/>
      <c r="N2004" s="129"/>
      <c r="O2004" s="129"/>
      <c r="P2004" s="146"/>
      <c r="Q2004" s="170"/>
      <c r="R2004" s="171"/>
      <c r="S2004" s="172"/>
    </row>
    <row r="2005" spans="1:19" ht="42.75">
      <c r="A2005" s="164" t="s">
        <v>778</v>
      </c>
      <c r="B2005" s="165" t="s">
        <v>1383</v>
      </c>
      <c r="C2005" s="165" t="s">
        <v>5565</v>
      </c>
      <c r="D2005" s="164">
        <v>4548</v>
      </c>
      <c r="E2005" s="164">
        <v>4425</v>
      </c>
      <c r="F2005" s="164" t="s">
        <v>3955</v>
      </c>
      <c r="G2005" s="164"/>
      <c r="H2005" s="167"/>
      <c r="I2005" s="167"/>
      <c r="J2005" s="167"/>
      <c r="K2005" s="169"/>
      <c r="L2005" s="129"/>
      <c r="M2005" s="129"/>
      <c r="N2005" s="129"/>
      <c r="O2005" s="129"/>
      <c r="P2005" s="146"/>
      <c r="Q2005" s="170"/>
      <c r="R2005" s="171"/>
      <c r="S2005" s="172"/>
    </row>
    <row r="2006" spans="1:19" ht="42.75">
      <c r="A2006" s="164" t="s">
        <v>778</v>
      </c>
      <c r="B2006" s="165" t="s">
        <v>1383</v>
      </c>
      <c r="C2006" s="165" t="s">
        <v>5566</v>
      </c>
      <c r="D2006" s="164">
        <v>2784</v>
      </c>
      <c r="E2006" s="164">
        <v>2975</v>
      </c>
      <c r="F2006" s="164" t="s">
        <v>3404</v>
      </c>
      <c r="G2006" s="164">
        <v>2024</v>
      </c>
      <c r="H2006" s="175">
        <v>45485</v>
      </c>
      <c r="I2006" s="175">
        <v>45490</v>
      </c>
      <c r="J2006" s="168" t="s">
        <v>7351</v>
      </c>
      <c r="K2006" s="174">
        <v>45491</v>
      </c>
      <c r="L2006" s="129" t="s">
        <v>3125</v>
      </c>
      <c r="M2006" s="129" t="s">
        <v>4</v>
      </c>
      <c r="N2006" s="129" t="s">
        <v>50</v>
      </c>
      <c r="O2006" s="129" t="s">
        <v>3406</v>
      </c>
      <c r="P2006" s="146"/>
      <c r="Q2006" s="170">
        <v>45492</v>
      </c>
      <c r="R2006" s="171"/>
      <c r="S2006" s="172"/>
    </row>
    <row r="2007" spans="1:19" ht="42.75">
      <c r="A2007" s="164" t="s">
        <v>778</v>
      </c>
      <c r="B2007" s="165" t="s">
        <v>1383</v>
      </c>
      <c r="C2007" s="165" t="s">
        <v>1185</v>
      </c>
      <c r="D2007" s="164">
        <v>7493</v>
      </c>
      <c r="E2007" s="164">
        <v>8473</v>
      </c>
      <c r="F2007" s="164" t="s">
        <v>3955</v>
      </c>
      <c r="G2007" s="164"/>
      <c r="H2007" s="167"/>
      <c r="I2007" s="167"/>
      <c r="J2007" s="167"/>
      <c r="K2007" s="169"/>
      <c r="L2007" s="129"/>
      <c r="M2007" s="129"/>
      <c r="N2007" s="129"/>
      <c r="O2007" s="129"/>
      <c r="P2007" s="146"/>
      <c r="Q2007" s="170"/>
      <c r="R2007" s="171"/>
      <c r="S2007" s="172"/>
    </row>
    <row r="2008" spans="1:19" ht="42.75">
      <c r="A2008" s="164" t="s">
        <v>778</v>
      </c>
      <c r="B2008" s="165" t="s">
        <v>1383</v>
      </c>
      <c r="C2008" s="165" t="s">
        <v>5481</v>
      </c>
      <c r="D2008" s="164">
        <v>1936</v>
      </c>
      <c r="E2008" s="164">
        <v>2312</v>
      </c>
      <c r="F2008" s="164" t="s">
        <v>3955</v>
      </c>
      <c r="G2008" s="164"/>
      <c r="H2008" s="167"/>
      <c r="I2008" s="167"/>
      <c r="J2008" s="167"/>
      <c r="K2008" s="169"/>
      <c r="L2008" s="129"/>
      <c r="M2008" s="129"/>
      <c r="N2008" s="129"/>
      <c r="O2008" s="129"/>
      <c r="P2008" s="146"/>
      <c r="Q2008" s="170"/>
      <c r="R2008" s="171"/>
      <c r="S2008" s="172"/>
    </row>
    <row r="2009" spans="1:19" ht="42.75">
      <c r="A2009" s="164" t="s">
        <v>778</v>
      </c>
      <c r="B2009" s="165" t="s">
        <v>1383</v>
      </c>
      <c r="C2009" s="165" t="s">
        <v>5567</v>
      </c>
      <c r="D2009" s="164">
        <v>1564</v>
      </c>
      <c r="E2009" s="164">
        <v>1636</v>
      </c>
      <c r="F2009" s="164" t="s">
        <v>3955</v>
      </c>
      <c r="G2009" s="164"/>
      <c r="H2009" s="175"/>
      <c r="I2009" s="175"/>
      <c r="J2009" s="233"/>
      <c r="K2009" s="174"/>
      <c r="L2009" s="129"/>
      <c r="M2009" s="129"/>
      <c r="N2009" s="129"/>
      <c r="O2009" s="129" t="s">
        <v>3406</v>
      </c>
      <c r="P2009" s="146"/>
      <c r="Q2009" s="130">
        <v>45463</v>
      </c>
      <c r="R2009" s="171"/>
      <c r="S2009" s="172"/>
    </row>
    <row r="2010" spans="1:19" ht="42.75">
      <c r="A2010" s="164" t="s">
        <v>778</v>
      </c>
      <c r="B2010" s="165" t="s">
        <v>1383</v>
      </c>
      <c r="C2010" s="165" t="s">
        <v>5568</v>
      </c>
      <c r="D2010" s="164">
        <v>4629</v>
      </c>
      <c r="E2010" s="164">
        <v>5703</v>
      </c>
      <c r="F2010" s="164" t="s">
        <v>3955</v>
      </c>
      <c r="G2010" s="164"/>
      <c r="H2010" s="167"/>
      <c r="I2010" s="167"/>
      <c r="J2010" s="167"/>
      <c r="K2010" s="169"/>
      <c r="L2010" s="129"/>
      <c r="M2010" s="129"/>
      <c r="N2010" s="129"/>
      <c r="O2010" s="129"/>
      <c r="P2010" s="146"/>
      <c r="Q2010" s="170"/>
      <c r="R2010" s="171"/>
      <c r="S2010" s="172"/>
    </row>
    <row r="2011" spans="1:19" ht="42.75">
      <c r="A2011" s="164" t="s">
        <v>778</v>
      </c>
      <c r="B2011" s="165" t="s">
        <v>1383</v>
      </c>
      <c r="C2011" s="165" t="s">
        <v>4613</v>
      </c>
      <c r="D2011" s="164">
        <v>6344</v>
      </c>
      <c r="E2011" s="164">
        <v>7084</v>
      </c>
      <c r="F2011" s="164" t="s">
        <v>3955</v>
      </c>
      <c r="G2011" s="164"/>
      <c r="H2011" s="167"/>
      <c r="I2011" s="167"/>
      <c r="J2011" s="167"/>
      <c r="K2011" s="169"/>
      <c r="L2011" s="129"/>
      <c r="M2011" s="129"/>
      <c r="N2011" s="129"/>
      <c r="O2011" s="129"/>
      <c r="P2011" s="146"/>
      <c r="Q2011" s="170"/>
      <c r="R2011" s="171"/>
      <c r="S2011" s="172"/>
    </row>
    <row r="2012" spans="1:19" ht="42.75">
      <c r="A2012" s="164" t="s">
        <v>778</v>
      </c>
      <c r="B2012" s="165" t="s">
        <v>1383</v>
      </c>
      <c r="C2012" s="165" t="s">
        <v>5570</v>
      </c>
      <c r="D2012" s="164">
        <v>4333</v>
      </c>
      <c r="E2012" s="164">
        <v>4440</v>
      </c>
      <c r="F2012" s="164" t="s">
        <v>3955</v>
      </c>
      <c r="G2012" s="164"/>
      <c r="H2012" s="167"/>
      <c r="I2012" s="167"/>
      <c r="J2012" s="167"/>
      <c r="K2012" s="169"/>
      <c r="L2012" s="129"/>
      <c r="M2012" s="129"/>
      <c r="N2012" s="129"/>
      <c r="O2012" s="129"/>
      <c r="P2012" s="146"/>
      <c r="Q2012" s="170"/>
      <c r="R2012" s="171"/>
      <c r="S2012" s="172"/>
    </row>
    <row r="2013" spans="1:19" ht="42.75">
      <c r="A2013" s="164" t="s">
        <v>778</v>
      </c>
      <c r="B2013" s="165" t="s">
        <v>1383</v>
      </c>
      <c r="C2013" s="165" t="s">
        <v>5572</v>
      </c>
      <c r="D2013" s="164">
        <v>4222</v>
      </c>
      <c r="E2013" s="164">
        <v>4481</v>
      </c>
      <c r="F2013" s="164" t="s">
        <v>3955</v>
      </c>
      <c r="G2013" s="164"/>
      <c r="H2013" s="167"/>
      <c r="I2013" s="167"/>
      <c r="J2013" s="167"/>
      <c r="K2013" s="169"/>
      <c r="L2013" s="129"/>
      <c r="M2013" s="129"/>
      <c r="N2013" s="129"/>
      <c r="O2013" s="129"/>
      <c r="P2013" s="146"/>
      <c r="Q2013" s="170"/>
      <c r="R2013" s="171"/>
      <c r="S2013" s="172"/>
    </row>
    <row r="2014" spans="1:19" ht="42.75">
      <c r="A2014" s="164" t="s">
        <v>778</v>
      </c>
      <c r="B2014" s="165" t="s">
        <v>1383</v>
      </c>
      <c r="C2014" s="165" t="s">
        <v>4126</v>
      </c>
      <c r="D2014" s="164">
        <v>2798</v>
      </c>
      <c r="E2014" s="164">
        <v>2796</v>
      </c>
      <c r="F2014" s="164" t="s">
        <v>3955</v>
      </c>
      <c r="G2014" s="164"/>
      <c r="H2014" s="167"/>
      <c r="I2014" s="167"/>
      <c r="J2014" s="167"/>
      <c r="K2014" s="169"/>
      <c r="L2014" s="129"/>
      <c r="M2014" s="129"/>
      <c r="N2014" s="129"/>
      <c r="O2014" s="129"/>
      <c r="P2014" s="146"/>
      <c r="Q2014" s="170"/>
      <c r="R2014" s="171"/>
      <c r="S2014" s="172"/>
    </row>
    <row r="2015" spans="1:19" ht="42.75">
      <c r="A2015" s="164" t="s">
        <v>778</v>
      </c>
      <c r="B2015" s="165" t="s">
        <v>1383</v>
      </c>
      <c r="C2015" s="165" t="s">
        <v>914</v>
      </c>
      <c r="D2015" s="164">
        <v>3230</v>
      </c>
      <c r="E2015" s="164">
        <v>3127</v>
      </c>
      <c r="F2015" s="164" t="s">
        <v>3955</v>
      </c>
      <c r="G2015" s="164"/>
      <c r="H2015" s="167"/>
      <c r="I2015" s="167"/>
      <c r="J2015" s="167"/>
      <c r="K2015" s="169"/>
      <c r="L2015" s="129"/>
      <c r="M2015" s="129"/>
      <c r="N2015" s="129"/>
      <c r="O2015" s="129"/>
      <c r="P2015" s="146"/>
      <c r="Q2015" s="170"/>
      <c r="R2015" s="171"/>
      <c r="S2015" s="172"/>
    </row>
    <row r="2016" spans="1:19" ht="42.75">
      <c r="A2016" s="164" t="s">
        <v>778</v>
      </c>
      <c r="B2016" s="165" t="s">
        <v>1383</v>
      </c>
      <c r="C2016" s="165" t="s">
        <v>4024</v>
      </c>
      <c r="D2016" s="164">
        <v>4929</v>
      </c>
      <c r="E2016" s="164">
        <v>5643</v>
      </c>
      <c r="F2016" s="164" t="s">
        <v>3955</v>
      </c>
      <c r="G2016" s="164"/>
      <c r="H2016" s="167"/>
      <c r="I2016" s="167"/>
      <c r="J2016" s="167"/>
      <c r="K2016" s="169"/>
      <c r="L2016" s="129"/>
      <c r="M2016" s="129"/>
      <c r="N2016" s="129"/>
      <c r="O2016" s="129"/>
      <c r="P2016" s="146"/>
      <c r="Q2016" s="170"/>
      <c r="R2016" s="171"/>
      <c r="S2016" s="172"/>
    </row>
    <row r="2017" spans="1:19" ht="42.75">
      <c r="A2017" s="164" t="s">
        <v>778</v>
      </c>
      <c r="B2017" s="165" t="s">
        <v>1383</v>
      </c>
      <c r="C2017" s="165" t="s">
        <v>1180</v>
      </c>
      <c r="D2017" s="164">
        <v>3289</v>
      </c>
      <c r="E2017" s="164">
        <v>4197</v>
      </c>
      <c r="F2017" s="164" t="s">
        <v>3955</v>
      </c>
      <c r="G2017" s="164"/>
      <c r="H2017" s="167"/>
      <c r="I2017" s="167"/>
      <c r="J2017" s="167"/>
      <c r="K2017" s="169"/>
      <c r="L2017" s="129"/>
      <c r="M2017" s="129"/>
      <c r="N2017" s="129"/>
      <c r="O2017" s="129"/>
      <c r="P2017" s="146"/>
      <c r="Q2017" s="170"/>
      <c r="R2017" s="171"/>
      <c r="S2017" s="172"/>
    </row>
    <row r="2018" spans="1:19" ht="42.75">
      <c r="A2018" s="164" t="s">
        <v>778</v>
      </c>
      <c r="B2018" s="165" t="s">
        <v>1383</v>
      </c>
      <c r="C2018" s="165" t="s">
        <v>5574</v>
      </c>
      <c r="D2018" s="164">
        <v>1342</v>
      </c>
      <c r="E2018" s="164">
        <v>1138</v>
      </c>
      <c r="F2018" s="164" t="s">
        <v>3955</v>
      </c>
      <c r="G2018" s="164"/>
      <c r="H2018" s="167"/>
      <c r="I2018" s="167"/>
      <c r="J2018" s="167"/>
      <c r="K2018" s="169"/>
      <c r="L2018" s="129"/>
      <c r="M2018" s="129"/>
      <c r="N2018" s="129"/>
      <c r="O2018" s="129"/>
      <c r="P2018" s="146"/>
      <c r="Q2018" s="170"/>
      <c r="R2018" s="171"/>
      <c r="S2018" s="172"/>
    </row>
    <row r="2019" spans="1:19" ht="42.75">
      <c r="A2019" s="164" t="s">
        <v>778</v>
      </c>
      <c r="B2019" s="165" t="s">
        <v>1383</v>
      </c>
      <c r="C2019" s="165" t="s">
        <v>5575</v>
      </c>
      <c r="D2019" s="164">
        <v>2176</v>
      </c>
      <c r="E2019" s="164">
        <v>2334</v>
      </c>
      <c r="F2019" s="164" t="s">
        <v>3955</v>
      </c>
      <c r="G2019" s="164"/>
      <c r="H2019" s="167"/>
      <c r="I2019" s="167"/>
      <c r="J2019" s="167"/>
      <c r="K2019" s="169"/>
      <c r="L2019" s="129"/>
      <c r="M2019" s="129"/>
      <c r="N2019" s="129"/>
      <c r="O2019" s="129"/>
      <c r="P2019" s="146"/>
      <c r="Q2019" s="170"/>
      <c r="R2019" s="171"/>
      <c r="S2019" s="172"/>
    </row>
    <row r="2020" spans="1:19" ht="42.75">
      <c r="A2020" s="164" t="s">
        <v>778</v>
      </c>
      <c r="B2020" s="165" t="s">
        <v>1383</v>
      </c>
      <c r="C2020" s="165" t="s">
        <v>3913</v>
      </c>
      <c r="D2020" s="164">
        <v>2423</v>
      </c>
      <c r="E2020" s="164">
        <v>2586</v>
      </c>
      <c r="F2020" s="164" t="s">
        <v>3404</v>
      </c>
      <c r="G2020" s="164">
        <v>2024</v>
      </c>
      <c r="H2020" s="175">
        <v>45485</v>
      </c>
      <c r="I2020" s="175">
        <v>45490</v>
      </c>
      <c r="J2020" s="168" t="s">
        <v>7352</v>
      </c>
      <c r="K2020" s="174">
        <v>45491</v>
      </c>
      <c r="L2020" s="129" t="s">
        <v>3125</v>
      </c>
      <c r="M2020" s="129" t="s">
        <v>4</v>
      </c>
      <c r="N2020" s="129" t="s">
        <v>50</v>
      </c>
      <c r="O2020" s="129" t="s">
        <v>3406</v>
      </c>
      <c r="P2020" s="146"/>
      <c r="Q2020" s="130">
        <v>45491</v>
      </c>
      <c r="R2020" s="171"/>
      <c r="S2020" s="172"/>
    </row>
    <row r="2021" spans="1:19" ht="42.75">
      <c r="A2021" s="164" t="s">
        <v>778</v>
      </c>
      <c r="B2021" s="165" t="s">
        <v>1383</v>
      </c>
      <c r="C2021" s="165" t="s">
        <v>5548</v>
      </c>
      <c r="D2021" s="164">
        <v>1259</v>
      </c>
      <c r="E2021" s="164">
        <v>1369</v>
      </c>
      <c r="F2021" s="164" t="s">
        <v>3955</v>
      </c>
      <c r="G2021" s="164"/>
      <c r="H2021" s="167"/>
      <c r="I2021" s="167"/>
      <c r="J2021" s="167"/>
      <c r="K2021" s="169"/>
      <c r="L2021" s="129"/>
      <c r="M2021" s="129"/>
      <c r="N2021" s="129"/>
      <c r="O2021" s="129"/>
      <c r="P2021" s="146"/>
      <c r="Q2021" s="170"/>
      <c r="R2021" s="171"/>
      <c r="S2021" s="172"/>
    </row>
    <row r="2022" spans="1:19" ht="42.75">
      <c r="A2022" s="164" t="s">
        <v>778</v>
      </c>
      <c r="B2022" s="165" t="s">
        <v>1383</v>
      </c>
      <c r="C2022" s="165" t="s">
        <v>1151</v>
      </c>
      <c r="D2022" s="164">
        <v>3540</v>
      </c>
      <c r="E2022" s="164">
        <v>2940</v>
      </c>
      <c r="F2022" s="164" t="s">
        <v>3404</v>
      </c>
      <c r="G2022" s="164">
        <v>2024</v>
      </c>
      <c r="H2022" s="175">
        <v>45393</v>
      </c>
      <c r="I2022" s="175">
        <v>45397</v>
      </c>
      <c r="J2022" s="250" t="s">
        <v>7353</v>
      </c>
      <c r="K2022" s="174">
        <v>45399</v>
      </c>
      <c r="L2022" s="129" t="s">
        <v>3470</v>
      </c>
      <c r="M2022" s="129"/>
      <c r="N2022" s="129"/>
      <c r="O2022" s="129" t="s">
        <v>3406</v>
      </c>
      <c r="P2022" s="146"/>
      <c r="Q2022" s="170"/>
      <c r="R2022" s="171"/>
      <c r="S2022" s="172"/>
    </row>
    <row r="2023" spans="1:19" ht="42.75">
      <c r="A2023" s="164" t="s">
        <v>778</v>
      </c>
      <c r="B2023" s="165" t="s">
        <v>1383</v>
      </c>
      <c r="C2023" s="165" t="s">
        <v>5576</v>
      </c>
      <c r="D2023" s="164">
        <v>2958</v>
      </c>
      <c r="E2023" s="164">
        <v>3242</v>
      </c>
      <c r="F2023" s="164" t="s">
        <v>3404</v>
      </c>
      <c r="G2023" s="164">
        <v>2024</v>
      </c>
      <c r="H2023" s="175">
        <v>45394</v>
      </c>
      <c r="I2023" s="175">
        <v>45397</v>
      </c>
      <c r="J2023" s="168" t="s">
        <v>7354</v>
      </c>
      <c r="K2023" s="174">
        <v>45399</v>
      </c>
      <c r="L2023" s="129" t="s">
        <v>3470</v>
      </c>
      <c r="M2023" s="129"/>
      <c r="N2023" s="129"/>
      <c r="O2023" s="129" t="s">
        <v>3406</v>
      </c>
      <c r="P2023" s="146"/>
      <c r="Q2023" s="170"/>
      <c r="R2023" s="171"/>
      <c r="S2023" s="172"/>
    </row>
    <row r="2024" spans="1:19" ht="42.75">
      <c r="A2024" s="164" t="s">
        <v>778</v>
      </c>
      <c r="B2024" s="165" t="s">
        <v>1383</v>
      </c>
      <c r="C2024" s="165" t="s">
        <v>5552</v>
      </c>
      <c r="D2024" s="164">
        <v>2000</v>
      </c>
      <c r="E2024" s="164">
        <v>1860</v>
      </c>
      <c r="F2024" s="164" t="s">
        <v>3404</v>
      </c>
      <c r="G2024" s="164">
        <v>2024</v>
      </c>
      <c r="H2024" s="175">
        <v>45387</v>
      </c>
      <c r="I2024" s="175">
        <v>45397</v>
      </c>
      <c r="J2024" s="168" t="s">
        <v>7355</v>
      </c>
      <c r="K2024" s="174">
        <v>45399</v>
      </c>
      <c r="L2024" s="129" t="s">
        <v>3470</v>
      </c>
      <c r="M2024" s="129"/>
      <c r="N2024" s="129"/>
      <c r="O2024" s="129" t="s">
        <v>3406</v>
      </c>
      <c r="P2024" s="146"/>
      <c r="Q2024" s="170"/>
      <c r="R2024" s="171"/>
      <c r="S2024" s="172"/>
    </row>
    <row r="2025" spans="1:19" ht="42.75">
      <c r="A2025" s="164" t="s">
        <v>778</v>
      </c>
      <c r="B2025" s="165" t="s">
        <v>1383</v>
      </c>
      <c r="C2025" s="165" t="s">
        <v>5577</v>
      </c>
      <c r="D2025" s="164">
        <v>1631</v>
      </c>
      <c r="E2025" s="164">
        <v>1575</v>
      </c>
      <c r="F2025" s="164" t="s">
        <v>3955</v>
      </c>
      <c r="G2025" s="164"/>
      <c r="H2025" s="167"/>
      <c r="I2025" s="167"/>
      <c r="J2025" s="167"/>
      <c r="K2025" s="169"/>
      <c r="L2025" s="129"/>
      <c r="M2025" s="129"/>
      <c r="N2025" s="129"/>
      <c r="O2025" s="129"/>
      <c r="P2025" s="146"/>
      <c r="Q2025" s="170"/>
      <c r="R2025" s="171"/>
      <c r="S2025" s="172"/>
    </row>
    <row r="2026" spans="1:19" ht="42.75">
      <c r="A2026" s="164" t="s">
        <v>778</v>
      </c>
      <c r="B2026" s="165" t="s">
        <v>1383</v>
      </c>
      <c r="C2026" s="165" t="s">
        <v>5578</v>
      </c>
      <c r="D2026" s="164">
        <v>5130</v>
      </c>
      <c r="E2026" s="164">
        <v>4340</v>
      </c>
      <c r="F2026" s="164" t="s">
        <v>3955</v>
      </c>
      <c r="G2026" s="164"/>
      <c r="H2026" s="167"/>
      <c r="I2026" s="167"/>
      <c r="J2026" s="167"/>
      <c r="K2026" s="169"/>
      <c r="L2026" s="129"/>
      <c r="M2026" s="129"/>
      <c r="N2026" s="129"/>
      <c r="O2026" s="129"/>
      <c r="P2026" s="146"/>
      <c r="Q2026" s="170"/>
      <c r="R2026" s="171"/>
      <c r="S2026" s="172"/>
    </row>
    <row r="2027" spans="1:19" ht="42.75">
      <c r="A2027" s="164" t="s">
        <v>778</v>
      </c>
      <c r="B2027" s="165" t="s">
        <v>1383</v>
      </c>
      <c r="C2027" s="165" t="s">
        <v>5579</v>
      </c>
      <c r="D2027" s="164">
        <v>3335</v>
      </c>
      <c r="E2027" s="164">
        <v>4002</v>
      </c>
      <c r="F2027" s="164" t="s">
        <v>3955</v>
      </c>
      <c r="G2027" s="164"/>
      <c r="H2027" s="167"/>
      <c r="I2027" s="167"/>
      <c r="J2027" s="167"/>
      <c r="K2027" s="169"/>
      <c r="L2027" s="129"/>
      <c r="M2027" s="129"/>
      <c r="N2027" s="129"/>
      <c r="O2027" s="129"/>
      <c r="P2027" s="146"/>
      <c r="Q2027" s="170"/>
      <c r="R2027" s="171"/>
      <c r="S2027" s="172"/>
    </row>
    <row r="2028" spans="1:19" ht="42.75">
      <c r="A2028" s="164" t="s">
        <v>778</v>
      </c>
      <c r="B2028" s="165" t="s">
        <v>1383</v>
      </c>
      <c r="C2028" s="165" t="s">
        <v>5580</v>
      </c>
      <c r="D2028" s="164">
        <v>1565</v>
      </c>
      <c r="E2028" s="164">
        <v>1811</v>
      </c>
      <c r="F2028" s="164" t="s">
        <v>3955</v>
      </c>
      <c r="G2028" s="164"/>
      <c r="H2028" s="167"/>
      <c r="I2028" s="167"/>
      <c r="J2028" s="167"/>
      <c r="K2028" s="169"/>
      <c r="L2028" s="129"/>
      <c r="M2028" s="129"/>
      <c r="N2028" s="129"/>
      <c r="O2028" s="129"/>
      <c r="P2028" s="146"/>
      <c r="Q2028" s="170"/>
      <c r="R2028" s="171"/>
      <c r="S2028" s="172"/>
    </row>
    <row r="2029" spans="1:19" ht="42.75">
      <c r="A2029" s="164" t="s">
        <v>778</v>
      </c>
      <c r="B2029" s="165" t="s">
        <v>1383</v>
      </c>
      <c r="C2029" s="165" t="s">
        <v>5581</v>
      </c>
      <c r="D2029" s="164">
        <v>3154</v>
      </c>
      <c r="E2029" s="164">
        <v>3405</v>
      </c>
      <c r="F2029" s="164" t="s">
        <v>3955</v>
      </c>
      <c r="G2029" s="164"/>
      <c r="H2029" s="167"/>
      <c r="I2029" s="167"/>
      <c r="J2029" s="167"/>
      <c r="K2029" s="169"/>
      <c r="L2029" s="129"/>
      <c r="M2029" s="129"/>
      <c r="N2029" s="129"/>
      <c r="O2029" s="129"/>
      <c r="P2029" s="146"/>
      <c r="Q2029" s="170"/>
      <c r="R2029" s="171"/>
      <c r="S2029" s="172"/>
    </row>
    <row r="2030" spans="1:19" ht="42.75">
      <c r="A2030" s="164" t="s">
        <v>778</v>
      </c>
      <c r="B2030" s="165" t="s">
        <v>1383</v>
      </c>
      <c r="C2030" s="165" t="s">
        <v>5561</v>
      </c>
      <c r="D2030" s="164">
        <v>12061</v>
      </c>
      <c r="E2030" s="164">
        <v>12955</v>
      </c>
      <c r="F2030" s="164" t="s">
        <v>3404</v>
      </c>
      <c r="G2030" s="164">
        <v>2024</v>
      </c>
      <c r="H2030" s="175">
        <v>45540</v>
      </c>
      <c r="I2030" s="175">
        <v>45550</v>
      </c>
      <c r="J2030" s="168" t="s">
        <v>7356</v>
      </c>
      <c r="K2030" s="174">
        <v>45552</v>
      </c>
      <c r="L2030" s="129" t="s">
        <v>3127</v>
      </c>
      <c r="M2030" s="129" t="s">
        <v>4</v>
      </c>
      <c r="N2030" s="129" t="s">
        <v>50</v>
      </c>
      <c r="O2030" s="129" t="s">
        <v>3406</v>
      </c>
      <c r="P2030" s="146"/>
      <c r="Q2030" s="170">
        <v>45553</v>
      </c>
      <c r="R2030" s="171" t="s">
        <v>7058</v>
      </c>
      <c r="S2030" s="172"/>
    </row>
    <row r="2031" spans="1:19" ht="42.75">
      <c r="A2031" s="164" t="s">
        <v>778</v>
      </c>
      <c r="B2031" s="165" t="s">
        <v>1383</v>
      </c>
      <c r="C2031" s="165" t="s">
        <v>1166</v>
      </c>
      <c r="D2031" s="164">
        <v>1751</v>
      </c>
      <c r="E2031" s="164">
        <v>1391</v>
      </c>
      <c r="F2031" s="164" t="s">
        <v>3404</v>
      </c>
      <c r="G2031" s="164">
        <v>2024</v>
      </c>
      <c r="H2031" s="175">
        <v>45386</v>
      </c>
      <c r="I2031" s="175">
        <v>45397</v>
      </c>
      <c r="J2031" s="168" t="s">
        <v>7357</v>
      </c>
      <c r="K2031" s="174">
        <v>45399</v>
      </c>
      <c r="L2031" s="129" t="s">
        <v>3470</v>
      </c>
      <c r="M2031" s="129"/>
      <c r="N2031" s="129"/>
      <c r="O2031" s="129" t="s">
        <v>3406</v>
      </c>
      <c r="P2031" s="146"/>
      <c r="Q2031" s="170"/>
      <c r="R2031" s="171"/>
      <c r="S2031" s="172"/>
    </row>
    <row r="2032" spans="1:19" ht="42.75">
      <c r="A2032" s="164" t="s">
        <v>778</v>
      </c>
      <c r="B2032" s="165" t="s">
        <v>1383</v>
      </c>
      <c r="C2032" s="165" t="s">
        <v>3975</v>
      </c>
      <c r="D2032" s="164">
        <v>1902</v>
      </c>
      <c r="E2032" s="164">
        <v>2120</v>
      </c>
      <c r="F2032" s="164" t="s">
        <v>3404</v>
      </c>
      <c r="G2032" s="164">
        <v>2024</v>
      </c>
      <c r="H2032" s="175">
        <v>45573</v>
      </c>
      <c r="I2032" s="175">
        <v>111325</v>
      </c>
      <c r="J2032" s="168" t="s">
        <v>7358</v>
      </c>
      <c r="K2032" s="174">
        <v>45584</v>
      </c>
      <c r="L2032" s="129" t="s">
        <v>3128</v>
      </c>
      <c r="M2032" s="129" t="s">
        <v>1078</v>
      </c>
      <c r="N2032" s="129" t="s">
        <v>50</v>
      </c>
      <c r="O2032" s="129" t="s">
        <v>3406</v>
      </c>
      <c r="P2032" s="146"/>
      <c r="Q2032" s="170">
        <v>45586</v>
      </c>
      <c r="R2032" s="171" t="s">
        <v>150</v>
      </c>
      <c r="S2032" s="172"/>
    </row>
    <row r="2033" spans="1:19" ht="42.75">
      <c r="A2033" s="164" t="s">
        <v>778</v>
      </c>
      <c r="B2033" s="165" t="s">
        <v>1383</v>
      </c>
      <c r="C2033" s="165" t="s">
        <v>5319</v>
      </c>
      <c r="D2033" s="164">
        <v>4928</v>
      </c>
      <c r="E2033" s="164">
        <v>5648</v>
      </c>
      <c r="F2033" s="164" t="s">
        <v>3404</v>
      </c>
      <c r="G2033" s="164">
        <v>2024</v>
      </c>
      <c r="H2033" s="175">
        <v>45573</v>
      </c>
      <c r="I2033" s="175">
        <v>111325</v>
      </c>
      <c r="J2033" s="168" t="s">
        <v>7359</v>
      </c>
      <c r="K2033" s="174">
        <v>45584</v>
      </c>
      <c r="L2033" s="129" t="s">
        <v>3128</v>
      </c>
      <c r="M2033" s="129" t="s">
        <v>6701</v>
      </c>
      <c r="N2033" s="129" t="s">
        <v>3528</v>
      </c>
      <c r="O2033" s="129" t="s">
        <v>3406</v>
      </c>
      <c r="P2033" s="146"/>
      <c r="Q2033" s="170">
        <v>45586</v>
      </c>
      <c r="R2033" s="171" t="s">
        <v>150</v>
      </c>
      <c r="S2033" s="172"/>
    </row>
    <row r="2034" spans="1:19" ht="42.75">
      <c r="A2034" s="164" t="s">
        <v>778</v>
      </c>
      <c r="B2034" s="165" t="s">
        <v>1383</v>
      </c>
      <c r="C2034" s="165" t="s">
        <v>1899</v>
      </c>
      <c r="D2034" s="164">
        <v>16416</v>
      </c>
      <c r="E2034" s="164">
        <v>17700</v>
      </c>
      <c r="F2034" s="164" t="s">
        <v>3955</v>
      </c>
      <c r="G2034" s="164"/>
      <c r="H2034" s="167"/>
      <c r="I2034" s="167"/>
      <c r="J2034" s="167"/>
      <c r="K2034" s="169"/>
      <c r="L2034" s="129"/>
      <c r="M2034" s="129"/>
      <c r="N2034" s="129"/>
      <c r="O2034" s="129"/>
      <c r="P2034" s="146"/>
      <c r="Q2034" s="170"/>
      <c r="R2034" s="171"/>
      <c r="S2034" s="172"/>
    </row>
    <row r="2035" spans="1:19" ht="42.75">
      <c r="A2035" s="164" t="s">
        <v>778</v>
      </c>
      <c r="B2035" s="165" t="s">
        <v>1383</v>
      </c>
      <c r="C2035" s="165" t="s">
        <v>5583</v>
      </c>
      <c r="D2035" s="164">
        <v>2168</v>
      </c>
      <c r="E2035" s="164">
        <v>2535</v>
      </c>
      <c r="F2035" s="164" t="s">
        <v>3955</v>
      </c>
      <c r="G2035" s="164"/>
      <c r="H2035" s="167"/>
      <c r="I2035" s="167"/>
      <c r="J2035" s="167"/>
      <c r="K2035" s="169"/>
      <c r="L2035" s="129"/>
      <c r="M2035" s="129"/>
      <c r="N2035" s="129"/>
      <c r="O2035" s="129"/>
      <c r="P2035" s="146"/>
      <c r="Q2035" s="170"/>
      <c r="R2035" s="171"/>
      <c r="S2035" s="172"/>
    </row>
    <row r="2036" spans="1:19" ht="42.75">
      <c r="A2036" s="164" t="s">
        <v>778</v>
      </c>
      <c r="B2036" s="165" t="s">
        <v>1383</v>
      </c>
      <c r="C2036" s="165" t="s">
        <v>4950</v>
      </c>
      <c r="D2036" s="164">
        <v>1564</v>
      </c>
      <c r="E2036" s="164">
        <v>1698</v>
      </c>
      <c r="F2036" s="164" t="s">
        <v>3955</v>
      </c>
      <c r="G2036" s="164"/>
      <c r="H2036" s="167"/>
      <c r="I2036" s="167"/>
      <c r="J2036" s="167"/>
      <c r="K2036" s="169"/>
      <c r="L2036" s="129"/>
      <c r="M2036" s="129"/>
      <c r="N2036" s="129"/>
      <c r="O2036" s="129"/>
      <c r="P2036" s="146"/>
      <c r="Q2036" s="170"/>
      <c r="R2036" s="171"/>
      <c r="S2036" s="172"/>
    </row>
    <row r="2037" spans="1:19" ht="42.75">
      <c r="A2037" s="164" t="s">
        <v>778</v>
      </c>
      <c r="B2037" s="165" t="s">
        <v>1383</v>
      </c>
      <c r="C2037" s="165" t="s">
        <v>1424</v>
      </c>
      <c r="D2037" s="164">
        <v>5724</v>
      </c>
      <c r="E2037" s="164">
        <v>6006</v>
      </c>
      <c r="F2037" s="164" t="s">
        <v>3404</v>
      </c>
      <c r="G2037" s="164">
        <v>2024</v>
      </c>
      <c r="H2037" s="175">
        <v>45573</v>
      </c>
      <c r="I2037" s="175">
        <v>111325</v>
      </c>
      <c r="J2037" s="168" t="s">
        <v>7360</v>
      </c>
      <c r="K2037" s="174">
        <v>45584</v>
      </c>
      <c r="L2037" s="129" t="s">
        <v>3128</v>
      </c>
      <c r="M2037" s="129" t="s">
        <v>6701</v>
      </c>
      <c r="N2037" s="129" t="s">
        <v>3528</v>
      </c>
      <c r="O2037" s="129" t="s">
        <v>3406</v>
      </c>
      <c r="P2037" s="146"/>
      <c r="Q2037" s="170">
        <v>45586</v>
      </c>
      <c r="R2037" s="171" t="s">
        <v>150</v>
      </c>
      <c r="S2037" s="172"/>
    </row>
    <row r="2038" spans="1:19" ht="42.75">
      <c r="A2038" s="164" t="s">
        <v>778</v>
      </c>
      <c r="B2038" s="165" t="s">
        <v>1383</v>
      </c>
      <c r="C2038" s="165" t="s">
        <v>4242</v>
      </c>
      <c r="D2038" s="164">
        <v>3516</v>
      </c>
      <c r="E2038" s="164">
        <v>2956</v>
      </c>
      <c r="F2038" s="164" t="s">
        <v>3955</v>
      </c>
      <c r="G2038" s="164"/>
      <c r="H2038" s="167"/>
      <c r="I2038" s="167"/>
      <c r="J2038" s="167"/>
      <c r="K2038" s="169"/>
      <c r="L2038" s="129"/>
      <c r="M2038" s="129"/>
      <c r="N2038" s="129"/>
      <c r="O2038" s="129"/>
      <c r="P2038" s="146"/>
      <c r="Q2038" s="170"/>
      <c r="R2038" s="171"/>
      <c r="S2038" s="172"/>
    </row>
    <row r="2039" spans="1:19" ht="42.75">
      <c r="A2039" s="164" t="s">
        <v>778</v>
      </c>
      <c r="B2039" s="165" t="s">
        <v>1383</v>
      </c>
      <c r="C2039" s="165" t="s">
        <v>5584</v>
      </c>
      <c r="D2039" s="164">
        <v>2856</v>
      </c>
      <c r="E2039" s="164">
        <v>3606</v>
      </c>
      <c r="F2039" s="164" t="s">
        <v>3955</v>
      </c>
      <c r="G2039" s="164"/>
      <c r="H2039" s="167"/>
      <c r="I2039" s="167"/>
      <c r="J2039" s="167"/>
      <c r="K2039" s="169"/>
      <c r="L2039" s="129"/>
      <c r="M2039" s="129"/>
      <c r="N2039" s="129"/>
      <c r="O2039" s="129"/>
      <c r="P2039" s="146"/>
      <c r="Q2039" s="170"/>
      <c r="R2039" s="171"/>
      <c r="S2039" s="172"/>
    </row>
    <row r="2040" spans="1:19" ht="42.75">
      <c r="A2040" s="164" t="s">
        <v>778</v>
      </c>
      <c r="B2040" s="165" t="s">
        <v>1383</v>
      </c>
      <c r="C2040" s="165" t="s">
        <v>5585</v>
      </c>
      <c r="D2040" s="164">
        <v>3373</v>
      </c>
      <c r="E2040" s="164">
        <v>4255</v>
      </c>
      <c r="F2040" s="164" t="s">
        <v>3955</v>
      </c>
      <c r="G2040" s="164"/>
      <c r="H2040" s="167"/>
      <c r="I2040" s="167"/>
      <c r="J2040" s="167"/>
      <c r="K2040" s="169"/>
      <c r="L2040" s="129"/>
      <c r="M2040" s="129"/>
      <c r="N2040" s="129"/>
      <c r="O2040" s="129"/>
      <c r="P2040" s="146"/>
      <c r="Q2040" s="170"/>
      <c r="R2040" s="171"/>
      <c r="S2040" s="172"/>
    </row>
    <row r="2041" spans="1:19" ht="42.75">
      <c r="A2041" s="164" t="s">
        <v>778</v>
      </c>
      <c r="B2041" s="165" t="s">
        <v>1383</v>
      </c>
      <c r="C2041" s="165" t="s">
        <v>1170</v>
      </c>
      <c r="D2041" s="164">
        <v>3940</v>
      </c>
      <c r="E2041" s="164">
        <v>4575</v>
      </c>
      <c r="F2041" s="164" t="s">
        <v>3955</v>
      </c>
      <c r="G2041" s="164"/>
      <c r="H2041" s="167"/>
      <c r="I2041" s="167"/>
      <c r="J2041" s="167"/>
      <c r="K2041" s="169"/>
      <c r="L2041" s="129"/>
      <c r="M2041" s="129"/>
      <c r="N2041" s="129"/>
      <c r="O2041" s="129"/>
      <c r="P2041" s="146"/>
      <c r="Q2041" s="170"/>
      <c r="R2041" s="171"/>
      <c r="S2041" s="172"/>
    </row>
    <row r="2042" spans="1:19" ht="42.75">
      <c r="A2042" s="164" t="s">
        <v>778</v>
      </c>
      <c r="B2042" s="165" t="s">
        <v>1383</v>
      </c>
      <c r="C2042" s="165" t="s">
        <v>3133</v>
      </c>
      <c r="D2042" s="164">
        <v>3688</v>
      </c>
      <c r="E2042" s="164">
        <v>4525</v>
      </c>
      <c r="F2042" s="164" t="s">
        <v>3404</v>
      </c>
      <c r="G2042" s="164">
        <v>2024</v>
      </c>
      <c r="H2042" s="175">
        <v>45426</v>
      </c>
      <c r="I2042" s="175">
        <v>45428</v>
      </c>
      <c r="J2042" s="168" t="s">
        <v>7361</v>
      </c>
      <c r="K2042" s="174">
        <v>45429</v>
      </c>
      <c r="L2042" s="129" t="s">
        <v>7362</v>
      </c>
      <c r="M2042" s="129"/>
      <c r="N2042" s="129"/>
      <c r="O2042" s="129" t="s">
        <v>3406</v>
      </c>
      <c r="P2042" s="146"/>
      <c r="Q2042" s="170">
        <v>45429</v>
      </c>
      <c r="R2042" s="171"/>
      <c r="S2042" s="172"/>
    </row>
    <row r="2043" spans="1:19" ht="42.75">
      <c r="A2043" s="164" t="s">
        <v>778</v>
      </c>
      <c r="B2043" s="165" t="s">
        <v>1383</v>
      </c>
      <c r="C2043" s="165" t="s">
        <v>3727</v>
      </c>
      <c r="D2043" s="164">
        <v>3110</v>
      </c>
      <c r="E2043" s="164">
        <v>3852</v>
      </c>
      <c r="F2043" s="164" t="s">
        <v>3955</v>
      </c>
      <c r="G2043" s="164"/>
      <c r="H2043" s="167"/>
      <c r="I2043" s="167"/>
      <c r="J2043" s="167"/>
      <c r="K2043" s="169"/>
      <c r="L2043" s="129"/>
      <c r="M2043" s="129"/>
      <c r="N2043" s="129"/>
      <c r="O2043" s="129"/>
      <c r="P2043" s="146"/>
      <c r="Q2043" s="170"/>
      <c r="R2043" s="171"/>
      <c r="S2043" s="172"/>
    </row>
    <row r="2044" spans="1:19" ht="42.75">
      <c r="A2044" s="164" t="s">
        <v>778</v>
      </c>
      <c r="B2044" s="165" t="s">
        <v>1383</v>
      </c>
      <c r="C2044" s="165" t="s">
        <v>5587</v>
      </c>
      <c r="D2044" s="164">
        <v>6365</v>
      </c>
      <c r="E2044" s="164">
        <v>5983</v>
      </c>
      <c r="F2044" s="164" t="s">
        <v>3955</v>
      </c>
      <c r="G2044" s="164"/>
      <c r="H2044" s="167"/>
      <c r="I2044" s="167"/>
      <c r="J2044" s="167"/>
      <c r="K2044" s="169"/>
      <c r="L2044" s="129"/>
      <c r="M2044" s="129"/>
      <c r="N2044" s="129"/>
      <c r="O2044" s="129"/>
      <c r="P2044" s="146"/>
      <c r="Q2044" s="170"/>
      <c r="R2044" s="171"/>
      <c r="S2044" s="172"/>
    </row>
    <row r="2045" spans="1:19" ht="42.75">
      <c r="A2045" s="164" t="s">
        <v>778</v>
      </c>
      <c r="B2045" s="165" t="s">
        <v>1383</v>
      </c>
      <c r="C2045" s="165" t="s">
        <v>3977</v>
      </c>
      <c r="D2045" s="164">
        <v>1102</v>
      </c>
      <c r="E2045" s="164">
        <v>1137</v>
      </c>
      <c r="F2045" s="164" t="s">
        <v>3955</v>
      </c>
      <c r="G2045" s="164"/>
      <c r="H2045" s="167"/>
      <c r="I2045" s="167"/>
      <c r="J2045" s="167"/>
      <c r="K2045" s="169"/>
      <c r="L2045" s="129"/>
      <c r="M2045" s="129"/>
      <c r="N2045" s="129"/>
      <c r="O2045" s="129"/>
      <c r="P2045" s="146"/>
      <c r="Q2045" s="170"/>
      <c r="R2045" s="171"/>
      <c r="S2045" s="172"/>
    </row>
    <row r="2046" spans="1:19" ht="42.75">
      <c r="A2046" s="164" t="s">
        <v>778</v>
      </c>
      <c r="B2046" s="165" t="s">
        <v>1387</v>
      </c>
      <c r="C2046" s="165" t="s">
        <v>5590</v>
      </c>
      <c r="D2046" s="164">
        <v>9704</v>
      </c>
      <c r="E2046" s="164">
        <v>11411</v>
      </c>
      <c r="F2046" s="164" t="s">
        <v>3955</v>
      </c>
      <c r="G2046" s="164"/>
      <c r="H2046" s="167"/>
      <c r="I2046" s="167"/>
      <c r="J2046" s="167"/>
      <c r="K2046" s="169"/>
      <c r="L2046" s="129"/>
      <c r="M2046" s="129"/>
      <c r="N2046" s="129"/>
      <c r="O2046" s="129"/>
      <c r="P2046" s="146"/>
      <c r="Q2046" s="170"/>
      <c r="R2046" s="171"/>
      <c r="S2046" s="172"/>
    </row>
    <row r="2047" spans="1:19" ht="42.75">
      <c r="A2047" s="164" t="s">
        <v>778</v>
      </c>
      <c r="B2047" s="165" t="s">
        <v>1387</v>
      </c>
      <c r="C2047" s="165" t="s">
        <v>5210</v>
      </c>
      <c r="D2047" s="164">
        <v>3901</v>
      </c>
      <c r="E2047" s="164">
        <v>4786</v>
      </c>
      <c r="F2047" s="164" t="s">
        <v>3955</v>
      </c>
      <c r="G2047" s="164"/>
      <c r="H2047" s="167"/>
      <c r="I2047" s="167"/>
      <c r="J2047" s="167"/>
      <c r="K2047" s="169"/>
      <c r="L2047" s="129"/>
      <c r="M2047" s="129"/>
      <c r="N2047" s="129"/>
      <c r="O2047" s="129"/>
      <c r="P2047" s="146"/>
      <c r="Q2047" s="170"/>
      <c r="R2047" s="171"/>
      <c r="S2047" s="172"/>
    </row>
    <row r="2048" spans="1:19" ht="42.75">
      <c r="A2048" s="164" t="s">
        <v>778</v>
      </c>
      <c r="B2048" s="165" t="s">
        <v>1387</v>
      </c>
      <c r="C2048" s="165" t="s">
        <v>5592</v>
      </c>
      <c r="D2048" s="164">
        <v>3151</v>
      </c>
      <c r="E2048" s="164">
        <v>3885</v>
      </c>
      <c r="F2048" s="164" t="s">
        <v>3955</v>
      </c>
      <c r="G2048" s="164"/>
      <c r="H2048" s="167"/>
      <c r="I2048" s="167"/>
      <c r="J2048" s="167"/>
      <c r="K2048" s="169"/>
      <c r="L2048" s="129"/>
      <c r="M2048" s="129"/>
      <c r="N2048" s="129"/>
      <c r="O2048" s="129"/>
      <c r="P2048" s="146"/>
      <c r="Q2048" s="170"/>
      <c r="R2048" s="171"/>
      <c r="S2048" s="172"/>
    </row>
    <row r="2049" spans="1:19" ht="42.75">
      <c r="A2049" s="164" t="s">
        <v>778</v>
      </c>
      <c r="B2049" s="165" t="s">
        <v>1387</v>
      </c>
      <c r="C2049" s="165" t="s">
        <v>5594</v>
      </c>
      <c r="D2049" s="164">
        <v>1927</v>
      </c>
      <c r="E2049" s="164">
        <v>2997</v>
      </c>
      <c r="F2049" s="164" t="s">
        <v>3955</v>
      </c>
      <c r="G2049" s="164"/>
      <c r="H2049" s="167"/>
      <c r="I2049" s="167"/>
      <c r="J2049" s="167"/>
      <c r="K2049" s="169"/>
      <c r="L2049" s="129"/>
      <c r="M2049" s="129"/>
      <c r="N2049" s="129"/>
      <c r="O2049" s="129"/>
      <c r="P2049" s="146"/>
      <c r="Q2049" s="170"/>
      <c r="R2049" s="171"/>
      <c r="S2049" s="172"/>
    </row>
    <row r="2050" spans="1:19" ht="42.75">
      <c r="A2050" s="164" t="s">
        <v>778</v>
      </c>
      <c r="B2050" s="165" t="s">
        <v>1387</v>
      </c>
      <c r="C2050" s="165" t="s">
        <v>4051</v>
      </c>
      <c r="D2050" s="164">
        <v>1812</v>
      </c>
      <c r="E2050" s="164">
        <v>2017</v>
      </c>
      <c r="F2050" s="164" t="s">
        <v>3955</v>
      </c>
      <c r="G2050" s="164"/>
      <c r="H2050" s="167"/>
      <c r="I2050" s="167"/>
      <c r="J2050" s="167"/>
      <c r="K2050" s="169"/>
      <c r="L2050" s="129"/>
      <c r="M2050" s="129"/>
      <c r="N2050" s="129"/>
      <c r="O2050" s="129"/>
      <c r="P2050" s="146"/>
      <c r="Q2050" s="170"/>
      <c r="R2050" s="171"/>
      <c r="S2050" s="172"/>
    </row>
    <row r="2051" spans="1:19" ht="42.75">
      <c r="A2051" s="164" t="s">
        <v>778</v>
      </c>
      <c r="B2051" s="165" t="s">
        <v>1387</v>
      </c>
      <c r="C2051" s="165" t="s">
        <v>5595</v>
      </c>
      <c r="D2051" s="164">
        <v>11387</v>
      </c>
      <c r="E2051" s="164">
        <v>13063</v>
      </c>
      <c r="F2051" s="164" t="s">
        <v>3955</v>
      </c>
      <c r="G2051" s="164"/>
      <c r="H2051" s="167"/>
      <c r="I2051" s="167"/>
      <c r="J2051" s="167"/>
      <c r="K2051" s="169"/>
      <c r="L2051" s="129"/>
      <c r="M2051" s="129"/>
      <c r="N2051" s="129"/>
      <c r="O2051" s="129"/>
      <c r="P2051" s="146"/>
      <c r="Q2051" s="170"/>
      <c r="R2051" s="171"/>
      <c r="S2051" s="172"/>
    </row>
    <row r="2052" spans="1:19" ht="42.75">
      <c r="A2052" s="164" t="s">
        <v>778</v>
      </c>
      <c r="B2052" s="165" t="s">
        <v>1387</v>
      </c>
      <c r="C2052" s="165" t="s">
        <v>1494</v>
      </c>
      <c r="D2052" s="164">
        <v>37789</v>
      </c>
      <c r="E2052" s="164">
        <v>41695</v>
      </c>
      <c r="F2052" s="164" t="s">
        <v>3955</v>
      </c>
      <c r="G2052" s="164"/>
      <c r="H2052" s="167"/>
      <c r="I2052" s="167"/>
      <c r="J2052" s="167"/>
      <c r="K2052" s="169"/>
      <c r="L2052" s="129"/>
      <c r="M2052" s="129"/>
      <c r="N2052" s="129"/>
      <c r="O2052" s="129"/>
      <c r="P2052" s="146"/>
      <c r="Q2052" s="170"/>
      <c r="R2052" s="171"/>
      <c r="S2052" s="172"/>
    </row>
    <row r="2053" spans="1:19" ht="42.75">
      <c r="A2053" s="164" t="s">
        <v>778</v>
      </c>
      <c r="B2053" s="165" t="s">
        <v>1387</v>
      </c>
      <c r="C2053" s="165" t="s">
        <v>5596</v>
      </c>
      <c r="D2053" s="164">
        <v>54541</v>
      </c>
      <c r="E2053" s="164">
        <v>62378</v>
      </c>
      <c r="F2053" s="164" t="s">
        <v>3955</v>
      </c>
      <c r="G2053" s="164"/>
      <c r="H2053" s="167"/>
      <c r="I2053" s="167"/>
      <c r="J2053" s="167"/>
      <c r="K2053" s="169"/>
      <c r="L2053" s="129"/>
      <c r="M2053" s="129"/>
      <c r="N2053" s="129"/>
      <c r="O2053" s="129"/>
      <c r="P2053" s="146"/>
      <c r="Q2053" s="170"/>
      <c r="R2053" s="171"/>
      <c r="S2053" s="172"/>
    </row>
    <row r="2054" spans="1:19" ht="42.75">
      <c r="A2054" s="164" t="s">
        <v>778</v>
      </c>
      <c r="B2054" s="165" t="s">
        <v>1387</v>
      </c>
      <c r="C2054" s="165" t="s">
        <v>5197</v>
      </c>
      <c r="D2054" s="164">
        <v>2841</v>
      </c>
      <c r="E2054" s="164">
        <v>4305</v>
      </c>
      <c r="F2054" s="164" t="s">
        <v>3955</v>
      </c>
      <c r="G2054" s="164"/>
      <c r="H2054" s="167"/>
      <c r="I2054" s="167"/>
      <c r="J2054" s="167"/>
      <c r="K2054" s="169"/>
      <c r="L2054" s="129"/>
      <c r="M2054" s="129"/>
      <c r="N2054" s="129"/>
      <c r="O2054" s="129"/>
      <c r="P2054" s="146"/>
      <c r="Q2054" s="170"/>
      <c r="R2054" s="171"/>
      <c r="S2054" s="172"/>
    </row>
    <row r="2055" spans="1:19" ht="42.75">
      <c r="A2055" s="164" t="s">
        <v>778</v>
      </c>
      <c r="B2055" s="165" t="s">
        <v>1387</v>
      </c>
      <c r="C2055" s="165" t="s">
        <v>5588</v>
      </c>
      <c r="D2055" s="164">
        <v>12268</v>
      </c>
      <c r="E2055" s="164">
        <v>13899</v>
      </c>
      <c r="F2055" s="164" t="s">
        <v>3955</v>
      </c>
      <c r="G2055" s="164"/>
      <c r="H2055" s="167"/>
      <c r="I2055" s="167"/>
      <c r="J2055" s="167"/>
      <c r="K2055" s="169"/>
      <c r="L2055" s="129"/>
      <c r="M2055" s="129"/>
      <c r="N2055" s="129"/>
      <c r="O2055" s="129"/>
      <c r="P2055" s="146"/>
      <c r="Q2055" s="170"/>
      <c r="R2055" s="171"/>
      <c r="S2055" s="172"/>
    </row>
    <row r="2056" spans="1:19" ht="42.75">
      <c r="A2056" s="164" t="s">
        <v>778</v>
      </c>
      <c r="B2056" s="165" t="s">
        <v>1387</v>
      </c>
      <c r="C2056" s="165" t="s">
        <v>5597</v>
      </c>
      <c r="D2056" s="164">
        <v>6786</v>
      </c>
      <c r="E2056" s="164">
        <v>8387</v>
      </c>
      <c r="F2056" s="164" t="s">
        <v>3955</v>
      </c>
      <c r="G2056" s="164"/>
      <c r="H2056" s="167"/>
      <c r="I2056" s="167"/>
      <c r="J2056" s="167"/>
      <c r="K2056" s="169"/>
      <c r="L2056" s="129"/>
      <c r="M2056" s="129"/>
      <c r="N2056" s="129"/>
      <c r="O2056" s="129"/>
      <c r="P2056" s="146"/>
      <c r="Q2056" s="170"/>
      <c r="R2056" s="171"/>
      <c r="S2056" s="172"/>
    </row>
    <row r="2057" spans="1:19" ht="42.75">
      <c r="A2057" s="164" t="s">
        <v>778</v>
      </c>
      <c r="B2057" s="165" t="s">
        <v>1387</v>
      </c>
      <c r="C2057" s="165" t="s">
        <v>3753</v>
      </c>
      <c r="D2057" s="164">
        <v>19056</v>
      </c>
      <c r="E2057" s="164">
        <v>24042</v>
      </c>
      <c r="F2057" s="164" t="s">
        <v>3955</v>
      </c>
      <c r="G2057" s="164"/>
      <c r="H2057" s="167"/>
      <c r="I2057" s="167"/>
      <c r="J2057" s="167"/>
      <c r="K2057" s="169"/>
      <c r="L2057" s="129"/>
      <c r="M2057" s="129"/>
      <c r="N2057" s="129"/>
      <c r="O2057" s="129"/>
      <c r="P2057" s="146"/>
      <c r="Q2057" s="170"/>
      <c r="R2057" s="171"/>
      <c r="S2057" s="172"/>
    </row>
    <row r="2058" spans="1:19" ht="42.75">
      <c r="A2058" s="164" t="s">
        <v>778</v>
      </c>
      <c r="B2058" s="165" t="s">
        <v>1387</v>
      </c>
      <c r="C2058" s="165" t="s">
        <v>5598</v>
      </c>
      <c r="D2058" s="164">
        <v>3768</v>
      </c>
      <c r="E2058" s="164">
        <v>4202</v>
      </c>
      <c r="F2058" s="164" t="s">
        <v>3955</v>
      </c>
      <c r="G2058" s="164"/>
      <c r="H2058" s="167"/>
      <c r="I2058" s="167"/>
      <c r="J2058" s="167"/>
      <c r="K2058" s="169"/>
      <c r="L2058" s="129"/>
      <c r="M2058" s="129"/>
      <c r="N2058" s="129"/>
      <c r="O2058" s="129"/>
      <c r="P2058" s="146"/>
      <c r="Q2058" s="170"/>
      <c r="R2058" s="171"/>
      <c r="S2058" s="172"/>
    </row>
    <row r="2059" spans="1:19" ht="42.75">
      <c r="A2059" s="164" t="s">
        <v>778</v>
      </c>
      <c r="B2059" s="165" t="s">
        <v>1387</v>
      </c>
      <c r="C2059" s="165" t="s">
        <v>5599</v>
      </c>
      <c r="D2059" s="164">
        <v>2250</v>
      </c>
      <c r="E2059" s="164">
        <v>2284</v>
      </c>
      <c r="F2059" s="164" t="s">
        <v>3955</v>
      </c>
      <c r="G2059" s="164"/>
      <c r="H2059" s="167"/>
      <c r="I2059" s="167"/>
      <c r="J2059" s="167"/>
      <c r="K2059" s="169"/>
      <c r="L2059" s="129"/>
      <c r="M2059" s="129"/>
      <c r="N2059" s="129"/>
      <c r="O2059" s="129"/>
      <c r="P2059" s="146"/>
      <c r="Q2059" s="170"/>
      <c r="R2059" s="171"/>
      <c r="S2059" s="172"/>
    </row>
    <row r="2060" spans="1:19" ht="42.75">
      <c r="A2060" s="164" t="s">
        <v>778</v>
      </c>
      <c r="B2060" s="165" t="s">
        <v>1387</v>
      </c>
      <c r="C2060" s="165" t="s">
        <v>5600</v>
      </c>
      <c r="D2060" s="164">
        <v>940</v>
      </c>
      <c r="E2060" s="164">
        <v>954</v>
      </c>
      <c r="F2060" s="164" t="s">
        <v>3955</v>
      </c>
      <c r="G2060" s="164"/>
      <c r="H2060" s="167"/>
      <c r="I2060" s="167"/>
      <c r="J2060" s="167"/>
      <c r="K2060" s="169"/>
      <c r="L2060" s="129"/>
      <c r="M2060" s="129"/>
      <c r="N2060" s="129"/>
      <c r="O2060" s="129"/>
      <c r="P2060" s="146"/>
      <c r="Q2060" s="170"/>
      <c r="R2060" s="171"/>
      <c r="S2060" s="172"/>
    </row>
    <row r="2061" spans="1:19" ht="42.75">
      <c r="A2061" s="164" t="s">
        <v>778</v>
      </c>
      <c r="B2061" s="165" t="s">
        <v>1387</v>
      </c>
      <c r="C2061" s="165" t="s">
        <v>4738</v>
      </c>
      <c r="D2061" s="164">
        <v>2924</v>
      </c>
      <c r="E2061" s="164">
        <v>4957</v>
      </c>
      <c r="F2061" s="164" t="s">
        <v>3955</v>
      </c>
      <c r="G2061" s="164"/>
      <c r="H2061" s="167"/>
      <c r="I2061" s="167"/>
      <c r="J2061" s="167"/>
      <c r="K2061" s="169"/>
      <c r="L2061" s="129"/>
      <c r="M2061" s="129"/>
      <c r="N2061" s="129"/>
      <c r="O2061" s="129"/>
      <c r="P2061" s="146"/>
      <c r="Q2061" s="170"/>
      <c r="R2061" s="171"/>
      <c r="S2061" s="172"/>
    </row>
    <row r="2062" spans="1:19" ht="42.75">
      <c r="A2062" s="164" t="s">
        <v>778</v>
      </c>
      <c r="B2062" s="165" t="s">
        <v>1387</v>
      </c>
      <c r="C2062" s="165" t="s">
        <v>5601</v>
      </c>
      <c r="D2062" s="164">
        <v>3056</v>
      </c>
      <c r="E2062" s="164">
        <v>3692</v>
      </c>
      <c r="F2062" s="164" t="s">
        <v>3955</v>
      </c>
      <c r="G2062" s="164"/>
      <c r="H2062" s="167"/>
      <c r="I2062" s="167"/>
      <c r="J2062" s="167"/>
      <c r="K2062" s="169"/>
      <c r="L2062" s="129"/>
      <c r="M2062" s="129"/>
      <c r="N2062" s="129"/>
      <c r="O2062" s="129"/>
      <c r="P2062" s="146"/>
      <c r="Q2062" s="170"/>
      <c r="R2062" s="171"/>
      <c r="S2062" s="172"/>
    </row>
    <row r="2063" spans="1:19" ht="42.75">
      <c r="A2063" s="164" t="s">
        <v>778</v>
      </c>
      <c r="B2063" s="165" t="s">
        <v>1387</v>
      </c>
      <c r="C2063" s="165" t="s">
        <v>5602</v>
      </c>
      <c r="D2063" s="164">
        <v>1588</v>
      </c>
      <c r="E2063" s="164">
        <v>1830</v>
      </c>
      <c r="F2063" s="164" t="s">
        <v>3955</v>
      </c>
      <c r="G2063" s="164"/>
      <c r="H2063" s="167"/>
      <c r="I2063" s="167"/>
      <c r="J2063" s="167"/>
      <c r="K2063" s="169"/>
      <c r="L2063" s="129"/>
      <c r="M2063" s="129"/>
      <c r="N2063" s="129"/>
      <c r="O2063" s="129"/>
      <c r="P2063" s="146"/>
      <c r="Q2063" s="170"/>
      <c r="R2063" s="171"/>
      <c r="S2063" s="172"/>
    </row>
    <row r="2064" spans="1:19" ht="42.75">
      <c r="A2064" s="164" t="s">
        <v>778</v>
      </c>
      <c r="B2064" s="165" t="s">
        <v>1387</v>
      </c>
      <c r="C2064" s="165" t="s">
        <v>1056</v>
      </c>
      <c r="D2064" s="164">
        <v>2782</v>
      </c>
      <c r="E2064" s="164">
        <v>2759</v>
      </c>
      <c r="F2064" s="164" t="s">
        <v>3955</v>
      </c>
      <c r="G2064" s="164"/>
      <c r="H2064" s="167"/>
      <c r="I2064" s="167"/>
      <c r="J2064" s="167"/>
      <c r="K2064" s="169"/>
      <c r="L2064" s="129"/>
      <c r="M2064" s="129"/>
      <c r="N2064" s="129"/>
      <c r="O2064" s="129"/>
      <c r="P2064" s="146"/>
      <c r="Q2064" s="170"/>
      <c r="R2064" s="171"/>
      <c r="S2064" s="172"/>
    </row>
    <row r="2065" spans="1:19" ht="42.75">
      <c r="A2065" s="164" t="s">
        <v>778</v>
      </c>
      <c r="B2065" s="165" t="s">
        <v>1387</v>
      </c>
      <c r="C2065" s="165" t="s">
        <v>4024</v>
      </c>
      <c r="D2065" s="164">
        <v>12354</v>
      </c>
      <c r="E2065" s="164">
        <v>14661</v>
      </c>
      <c r="F2065" s="164" t="s">
        <v>3955</v>
      </c>
      <c r="G2065" s="164"/>
      <c r="H2065" s="167"/>
      <c r="I2065" s="167"/>
      <c r="J2065" s="167"/>
      <c r="K2065" s="169"/>
      <c r="L2065" s="129"/>
      <c r="M2065" s="129"/>
      <c r="N2065" s="129"/>
      <c r="O2065" s="129"/>
      <c r="P2065" s="146"/>
      <c r="Q2065" s="170"/>
      <c r="R2065" s="171"/>
      <c r="S2065" s="172"/>
    </row>
    <row r="2066" spans="1:19" ht="42.75">
      <c r="A2066" s="164" t="s">
        <v>778</v>
      </c>
      <c r="B2066" s="165" t="s">
        <v>1387</v>
      </c>
      <c r="C2066" s="165" t="s">
        <v>987</v>
      </c>
      <c r="D2066" s="164">
        <v>4977</v>
      </c>
      <c r="E2066" s="164">
        <v>5325</v>
      </c>
      <c r="F2066" s="164" t="s">
        <v>3955</v>
      </c>
      <c r="G2066" s="164"/>
      <c r="H2066" s="167"/>
      <c r="I2066" s="167"/>
      <c r="J2066" s="167"/>
      <c r="K2066" s="169"/>
      <c r="L2066" s="129"/>
      <c r="M2066" s="129"/>
      <c r="N2066" s="129"/>
      <c r="O2066" s="129"/>
      <c r="P2066" s="146"/>
      <c r="Q2066" s="170"/>
      <c r="R2066" s="171"/>
      <c r="S2066" s="172"/>
    </row>
    <row r="2067" spans="1:19" ht="42.75">
      <c r="A2067" s="164" t="s">
        <v>778</v>
      </c>
      <c r="B2067" s="165" t="s">
        <v>1387</v>
      </c>
      <c r="C2067" s="165" t="s">
        <v>4027</v>
      </c>
      <c r="D2067" s="164">
        <v>3476</v>
      </c>
      <c r="E2067" s="164">
        <v>4535</v>
      </c>
      <c r="F2067" s="164" t="s">
        <v>3955</v>
      </c>
      <c r="G2067" s="164"/>
      <c r="H2067" s="167"/>
      <c r="I2067" s="167"/>
      <c r="J2067" s="167"/>
      <c r="K2067" s="169"/>
      <c r="L2067" s="129"/>
      <c r="M2067" s="129"/>
      <c r="N2067" s="129"/>
      <c r="O2067" s="129"/>
      <c r="P2067" s="146"/>
      <c r="Q2067" s="170"/>
      <c r="R2067" s="171"/>
      <c r="S2067" s="172"/>
    </row>
    <row r="2068" spans="1:19" ht="42.75">
      <c r="A2068" s="164" t="s">
        <v>778</v>
      </c>
      <c r="B2068" s="165" t="s">
        <v>1387</v>
      </c>
      <c r="C2068" s="165" t="s">
        <v>4950</v>
      </c>
      <c r="D2068" s="164">
        <v>2091</v>
      </c>
      <c r="E2068" s="164">
        <v>3167</v>
      </c>
      <c r="F2068" s="164" t="s">
        <v>3955</v>
      </c>
      <c r="G2068" s="164"/>
      <c r="H2068" s="167"/>
      <c r="I2068" s="167"/>
      <c r="J2068" s="167"/>
      <c r="K2068" s="169"/>
      <c r="L2068" s="129"/>
      <c r="M2068" s="129"/>
      <c r="N2068" s="129"/>
      <c r="O2068" s="129"/>
      <c r="P2068" s="146"/>
      <c r="Q2068" s="170"/>
      <c r="R2068" s="171"/>
      <c r="S2068" s="172"/>
    </row>
    <row r="2069" spans="1:19" ht="42.75">
      <c r="A2069" s="164" t="s">
        <v>778</v>
      </c>
      <c r="B2069" s="165" t="s">
        <v>1387</v>
      </c>
      <c r="C2069" s="165" t="s">
        <v>4261</v>
      </c>
      <c r="D2069" s="164">
        <v>2039</v>
      </c>
      <c r="E2069" s="164">
        <v>1675</v>
      </c>
      <c r="F2069" s="164" t="s">
        <v>3955</v>
      </c>
      <c r="G2069" s="164"/>
      <c r="H2069" s="167"/>
      <c r="I2069" s="167"/>
      <c r="J2069" s="167"/>
      <c r="K2069" s="169"/>
      <c r="L2069" s="129"/>
      <c r="M2069" s="129"/>
      <c r="N2069" s="129"/>
      <c r="O2069" s="129"/>
      <c r="P2069" s="146"/>
      <c r="Q2069" s="170"/>
      <c r="R2069" s="171"/>
      <c r="S2069" s="172"/>
    </row>
    <row r="2070" spans="1:19" ht="42.75">
      <c r="A2070" s="164" t="s">
        <v>778</v>
      </c>
      <c r="B2070" s="165" t="s">
        <v>1387</v>
      </c>
      <c r="C2070" s="165" t="s">
        <v>1388</v>
      </c>
      <c r="D2070" s="164">
        <v>168</v>
      </c>
      <c r="E2070" s="164">
        <v>275</v>
      </c>
      <c r="F2070" s="164" t="s">
        <v>3955</v>
      </c>
      <c r="G2070" s="164"/>
      <c r="H2070" s="167"/>
      <c r="I2070" s="167"/>
      <c r="J2070" s="167"/>
      <c r="K2070" s="169"/>
      <c r="L2070" s="129"/>
      <c r="M2070" s="129"/>
      <c r="N2070" s="129"/>
      <c r="O2070" s="129"/>
      <c r="P2070" s="146"/>
      <c r="Q2070" s="170"/>
      <c r="R2070" s="171"/>
      <c r="S2070" s="172"/>
    </row>
    <row r="2071" spans="1:19" ht="42.75">
      <c r="A2071" s="164" t="s">
        <v>778</v>
      </c>
      <c r="B2071" s="165" t="s">
        <v>1387</v>
      </c>
      <c r="C2071" s="165" t="s">
        <v>5604</v>
      </c>
      <c r="D2071" s="164">
        <v>28464</v>
      </c>
      <c r="E2071" s="164">
        <v>29096</v>
      </c>
      <c r="F2071" s="164" t="s">
        <v>3955</v>
      </c>
      <c r="G2071" s="164"/>
      <c r="H2071" s="167"/>
      <c r="I2071" s="167"/>
      <c r="J2071" s="167"/>
      <c r="K2071" s="169"/>
      <c r="L2071" s="129"/>
      <c r="M2071" s="129"/>
      <c r="N2071" s="129"/>
      <c r="O2071" s="129"/>
      <c r="P2071" s="146"/>
      <c r="Q2071" s="170"/>
      <c r="R2071" s="171"/>
      <c r="S2071" s="172"/>
    </row>
    <row r="2072" spans="1:19" ht="42.75">
      <c r="A2072" s="164" t="s">
        <v>778</v>
      </c>
      <c r="B2072" s="165" t="s">
        <v>1387</v>
      </c>
      <c r="C2072" s="165" t="s">
        <v>5368</v>
      </c>
      <c r="D2072" s="164">
        <v>14759</v>
      </c>
      <c r="E2072" s="164">
        <v>20967</v>
      </c>
      <c r="F2072" s="164" t="s">
        <v>3955</v>
      </c>
      <c r="G2072" s="164"/>
      <c r="H2072" s="167"/>
      <c r="I2072" s="167"/>
      <c r="J2072" s="167"/>
      <c r="K2072" s="169"/>
      <c r="L2072" s="129"/>
      <c r="M2072" s="129"/>
      <c r="N2072" s="129"/>
      <c r="O2072" s="129"/>
      <c r="P2072" s="146"/>
      <c r="Q2072" s="170"/>
      <c r="R2072" s="171"/>
      <c r="S2072" s="172"/>
    </row>
    <row r="2073" spans="1:19" ht="42.75">
      <c r="A2073" s="164" t="s">
        <v>778</v>
      </c>
      <c r="B2073" s="165" t="s">
        <v>1392</v>
      </c>
      <c r="C2073" s="165" t="s">
        <v>5387</v>
      </c>
      <c r="D2073" s="164">
        <v>4494</v>
      </c>
      <c r="E2073" s="164">
        <v>4450</v>
      </c>
      <c r="F2073" s="164" t="s">
        <v>3955</v>
      </c>
      <c r="G2073" s="164"/>
      <c r="H2073" s="167"/>
      <c r="I2073" s="167"/>
      <c r="J2073" s="167"/>
      <c r="K2073" s="169"/>
      <c r="L2073" s="129"/>
      <c r="M2073" s="129"/>
      <c r="N2073" s="129"/>
      <c r="O2073" s="129"/>
      <c r="P2073" s="146"/>
      <c r="Q2073" s="170"/>
      <c r="R2073" s="171"/>
      <c r="S2073" s="172"/>
    </row>
    <row r="2074" spans="1:19" ht="42.75">
      <c r="A2074" s="164" t="s">
        <v>778</v>
      </c>
      <c r="B2074" s="165" t="s">
        <v>1392</v>
      </c>
      <c r="C2074" s="165" t="s">
        <v>5605</v>
      </c>
      <c r="D2074" s="164">
        <v>6561</v>
      </c>
      <c r="E2074" s="164">
        <v>7104</v>
      </c>
      <c r="F2074" s="164" t="s">
        <v>3404</v>
      </c>
      <c r="G2074" s="164">
        <v>2024</v>
      </c>
      <c r="H2074" s="175">
        <v>45569</v>
      </c>
      <c r="I2074" s="175">
        <v>45582</v>
      </c>
      <c r="J2074" s="168" t="s">
        <v>7363</v>
      </c>
      <c r="K2074" s="174">
        <v>45584</v>
      </c>
      <c r="L2074" s="129" t="s">
        <v>3128</v>
      </c>
      <c r="M2074" s="129" t="s">
        <v>6701</v>
      </c>
      <c r="N2074" s="129" t="s">
        <v>3528</v>
      </c>
      <c r="O2074" s="129" t="s">
        <v>3406</v>
      </c>
      <c r="P2074" s="146"/>
      <c r="Q2074" s="170">
        <v>45586</v>
      </c>
      <c r="R2074" s="171" t="s">
        <v>150</v>
      </c>
      <c r="S2074" s="172"/>
    </row>
    <row r="2075" spans="1:19" ht="42.75">
      <c r="A2075" s="164" t="s">
        <v>778</v>
      </c>
      <c r="B2075" s="165" t="s">
        <v>1392</v>
      </c>
      <c r="C2075" s="165" t="s">
        <v>1531</v>
      </c>
      <c r="D2075" s="164">
        <v>2905</v>
      </c>
      <c r="E2075" s="164">
        <v>3030</v>
      </c>
      <c r="F2075" s="164" t="s">
        <v>3955</v>
      </c>
      <c r="G2075" s="164"/>
      <c r="H2075" s="167"/>
      <c r="I2075" s="167"/>
      <c r="J2075" s="167"/>
      <c r="K2075" s="169"/>
      <c r="L2075" s="129"/>
      <c r="M2075" s="129"/>
      <c r="N2075" s="129"/>
      <c r="O2075" s="129"/>
      <c r="P2075" s="146"/>
      <c r="Q2075" s="170"/>
      <c r="R2075" s="171"/>
      <c r="S2075" s="172"/>
    </row>
    <row r="2076" spans="1:19" ht="42.75">
      <c r="A2076" s="164" t="s">
        <v>778</v>
      </c>
      <c r="B2076" s="165" t="s">
        <v>1392</v>
      </c>
      <c r="C2076" s="165" t="s">
        <v>5606</v>
      </c>
      <c r="D2076" s="164">
        <v>1219</v>
      </c>
      <c r="E2076" s="164">
        <v>1081</v>
      </c>
      <c r="F2076" s="164" t="s">
        <v>3955</v>
      </c>
      <c r="G2076" s="164"/>
      <c r="H2076" s="167"/>
      <c r="I2076" s="167"/>
      <c r="J2076" s="167"/>
      <c r="K2076" s="169"/>
      <c r="L2076" s="129"/>
      <c r="M2076" s="129"/>
      <c r="N2076" s="129"/>
      <c r="O2076" s="129"/>
      <c r="P2076" s="146"/>
      <c r="Q2076" s="170"/>
      <c r="R2076" s="171"/>
      <c r="S2076" s="172"/>
    </row>
    <row r="2077" spans="1:19" ht="42.75">
      <c r="A2077" s="164" t="s">
        <v>778</v>
      </c>
      <c r="B2077" s="165" t="s">
        <v>1392</v>
      </c>
      <c r="C2077" s="165" t="s">
        <v>4859</v>
      </c>
      <c r="D2077" s="164">
        <v>2720</v>
      </c>
      <c r="E2077" s="164">
        <v>2669</v>
      </c>
      <c r="F2077" s="164" t="s">
        <v>3955</v>
      </c>
      <c r="G2077" s="164"/>
      <c r="H2077" s="167"/>
      <c r="I2077" s="167"/>
      <c r="J2077" s="167"/>
      <c r="K2077" s="169"/>
      <c r="L2077" s="129"/>
      <c r="M2077" s="129"/>
      <c r="N2077" s="129"/>
      <c r="O2077" s="129"/>
      <c r="P2077" s="146"/>
      <c r="Q2077" s="170"/>
      <c r="R2077" s="171"/>
      <c r="S2077" s="172"/>
    </row>
    <row r="2078" spans="1:19" ht="42.75">
      <c r="A2078" s="164" t="s">
        <v>778</v>
      </c>
      <c r="B2078" s="165" t="s">
        <v>1392</v>
      </c>
      <c r="C2078" s="165" t="s">
        <v>5456</v>
      </c>
      <c r="D2078" s="164">
        <v>2574</v>
      </c>
      <c r="E2078" s="164">
        <v>2668</v>
      </c>
      <c r="F2078" s="164" t="s">
        <v>3955</v>
      </c>
      <c r="G2078" s="164"/>
      <c r="H2078" s="167"/>
      <c r="I2078" s="167"/>
      <c r="J2078" s="167"/>
      <c r="K2078" s="169"/>
      <c r="L2078" s="129"/>
      <c r="M2078" s="129"/>
      <c r="N2078" s="129"/>
      <c r="O2078" s="129"/>
      <c r="P2078" s="146"/>
      <c r="Q2078" s="170"/>
      <c r="R2078" s="171"/>
      <c r="S2078" s="172"/>
    </row>
    <row r="2079" spans="1:19" ht="42.75">
      <c r="A2079" s="164" t="s">
        <v>778</v>
      </c>
      <c r="B2079" s="165" t="s">
        <v>1392</v>
      </c>
      <c r="C2079" s="165" t="s">
        <v>5607</v>
      </c>
      <c r="D2079" s="164">
        <v>819</v>
      </c>
      <c r="E2079" s="164">
        <v>1118</v>
      </c>
      <c r="F2079" s="164" t="s">
        <v>3955</v>
      </c>
      <c r="G2079" s="164"/>
      <c r="H2079" s="167"/>
      <c r="I2079" s="167"/>
      <c r="J2079" s="167"/>
      <c r="K2079" s="169"/>
      <c r="L2079" s="129"/>
      <c r="M2079" s="129"/>
      <c r="N2079" s="129"/>
      <c r="O2079" s="129"/>
      <c r="P2079" s="146"/>
      <c r="Q2079" s="170"/>
      <c r="R2079" s="171"/>
      <c r="S2079" s="172"/>
    </row>
    <row r="2080" spans="1:19" ht="42.75">
      <c r="A2080" s="164" t="s">
        <v>778</v>
      </c>
      <c r="B2080" s="165" t="s">
        <v>1392</v>
      </c>
      <c r="C2080" s="165" t="s">
        <v>5065</v>
      </c>
      <c r="D2080" s="164">
        <v>5002</v>
      </c>
      <c r="E2080" s="164">
        <v>6553</v>
      </c>
      <c r="F2080" s="164" t="s">
        <v>3955</v>
      </c>
      <c r="G2080" s="164"/>
      <c r="H2080" s="167"/>
      <c r="I2080" s="167"/>
      <c r="J2080" s="167"/>
      <c r="K2080" s="169"/>
      <c r="L2080" s="129"/>
      <c r="M2080" s="129"/>
      <c r="N2080" s="129"/>
      <c r="O2080" s="129"/>
      <c r="P2080" s="146"/>
      <c r="Q2080" s="170"/>
      <c r="R2080" s="171"/>
      <c r="S2080" s="172"/>
    </row>
    <row r="2081" spans="1:19" ht="42.75">
      <c r="A2081" s="164" t="s">
        <v>778</v>
      </c>
      <c r="B2081" s="165" t="s">
        <v>1392</v>
      </c>
      <c r="C2081" s="165" t="s">
        <v>4024</v>
      </c>
      <c r="D2081" s="164">
        <v>1820</v>
      </c>
      <c r="E2081" s="164">
        <v>2024</v>
      </c>
      <c r="F2081" s="164" t="s">
        <v>3955</v>
      </c>
      <c r="G2081" s="164"/>
      <c r="H2081" s="167"/>
      <c r="I2081" s="167"/>
      <c r="J2081" s="167"/>
      <c r="K2081" s="169"/>
      <c r="L2081" s="129"/>
      <c r="M2081" s="129"/>
      <c r="N2081" s="129"/>
      <c r="O2081" s="129"/>
      <c r="P2081" s="146"/>
      <c r="Q2081" s="170"/>
      <c r="R2081" s="171"/>
      <c r="S2081" s="172"/>
    </row>
    <row r="2082" spans="1:19" ht="42.75">
      <c r="A2082" s="164" t="s">
        <v>778</v>
      </c>
      <c r="B2082" s="165" t="s">
        <v>1392</v>
      </c>
      <c r="C2082" s="165" t="s">
        <v>5609</v>
      </c>
      <c r="D2082" s="164">
        <v>3948</v>
      </c>
      <c r="E2082" s="164">
        <v>4025</v>
      </c>
      <c r="F2082" s="164" t="s">
        <v>3404</v>
      </c>
      <c r="G2082" s="164">
        <v>2024</v>
      </c>
      <c r="H2082" s="175">
        <v>45569</v>
      </c>
      <c r="I2082" s="175">
        <v>45582</v>
      </c>
      <c r="J2082" s="168" t="s">
        <v>7364</v>
      </c>
      <c r="K2082" s="174">
        <v>45584</v>
      </c>
      <c r="L2082" s="129" t="s">
        <v>3128</v>
      </c>
      <c r="M2082" s="129" t="s">
        <v>6701</v>
      </c>
      <c r="N2082" s="129" t="s">
        <v>3528</v>
      </c>
      <c r="O2082" s="129" t="s">
        <v>3406</v>
      </c>
      <c r="P2082" s="146"/>
      <c r="Q2082" s="170">
        <v>45586</v>
      </c>
      <c r="R2082" s="171" t="s">
        <v>150</v>
      </c>
      <c r="S2082" s="172"/>
    </row>
    <row r="2083" spans="1:19" ht="42.75">
      <c r="A2083" s="164" t="s">
        <v>778</v>
      </c>
      <c r="B2083" s="165" t="s">
        <v>1392</v>
      </c>
      <c r="C2083" s="165" t="s">
        <v>1180</v>
      </c>
      <c r="D2083" s="164">
        <v>2001</v>
      </c>
      <c r="E2083" s="164">
        <v>2412</v>
      </c>
      <c r="F2083" s="164" t="s">
        <v>3955</v>
      </c>
      <c r="G2083" s="164"/>
      <c r="H2083" s="167"/>
      <c r="I2083" s="167"/>
      <c r="J2083" s="167"/>
      <c r="K2083" s="169"/>
      <c r="L2083" s="129"/>
      <c r="M2083" s="129"/>
      <c r="N2083" s="129"/>
      <c r="O2083" s="129"/>
      <c r="P2083" s="146"/>
      <c r="Q2083" s="170"/>
      <c r="R2083" s="171"/>
      <c r="S2083" s="172"/>
    </row>
    <row r="2084" spans="1:19" ht="42.75">
      <c r="A2084" s="164" t="s">
        <v>778</v>
      </c>
      <c r="B2084" s="165" t="s">
        <v>1392</v>
      </c>
      <c r="C2084" s="165" t="s">
        <v>858</v>
      </c>
      <c r="D2084" s="164">
        <v>3751</v>
      </c>
      <c r="E2084" s="164">
        <v>3984</v>
      </c>
      <c r="F2084" s="164" t="s">
        <v>3955</v>
      </c>
      <c r="G2084" s="164"/>
      <c r="H2084" s="167"/>
      <c r="I2084" s="167"/>
      <c r="J2084" s="167"/>
      <c r="K2084" s="169"/>
      <c r="L2084" s="129"/>
      <c r="M2084" s="129"/>
      <c r="N2084" s="129"/>
      <c r="O2084" s="129"/>
      <c r="P2084" s="146"/>
      <c r="Q2084" s="170"/>
      <c r="R2084" s="171"/>
      <c r="S2084" s="172"/>
    </row>
    <row r="2085" spans="1:19" ht="42.75">
      <c r="A2085" s="164" t="s">
        <v>778</v>
      </c>
      <c r="B2085" s="165" t="s">
        <v>1392</v>
      </c>
      <c r="C2085" s="165" t="s">
        <v>918</v>
      </c>
      <c r="D2085" s="164">
        <v>2504</v>
      </c>
      <c r="E2085" s="164">
        <v>2827</v>
      </c>
      <c r="F2085" s="164" t="s">
        <v>3955</v>
      </c>
      <c r="G2085" s="164"/>
      <c r="H2085" s="167"/>
      <c r="I2085" s="167"/>
      <c r="J2085" s="167"/>
      <c r="K2085" s="169"/>
      <c r="L2085" s="129"/>
      <c r="M2085" s="129"/>
      <c r="N2085" s="129"/>
      <c r="O2085" s="129"/>
      <c r="P2085" s="146"/>
      <c r="Q2085" s="170"/>
      <c r="R2085" s="171"/>
      <c r="S2085" s="172"/>
    </row>
    <row r="2086" spans="1:19" ht="42.75">
      <c r="A2086" s="164" t="s">
        <v>778</v>
      </c>
      <c r="B2086" s="165" t="s">
        <v>1392</v>
      </c>
      <c r="C2086" s="165" t="s">
        <v>1155</v>
      </c>
      <c r="D2086" s="164">
        <v>3411</v>
      </c>
      <c r="E2086" s="164">
        <v>3592</v>
      </c>
      <c r="F2086" s="164" t="s">
        <v>3955</v>
      </c>
      <c r="G2086" s="164"/>
      <c r="H2086" s="167"/>
      <c r="I2086" s="167"/>
      <c r="J2086" s="167"/>
      <c r="K2086" s="169"/>
      <c r="L2086" s="129"/>
      <c r="M2086" s="129"/>
      <c r="N2086" s="129"/>
      <c r="O2086" s="129"/>
      <c r="P2086" s="146"/>
      <c r="Q2086" s="170"/>
      <c r="R2086" s="171"/>
      <c r="S2086" s="172"/>
    </row>
    <row r="2087" spans="1:19" ht="42.75">
      <c r="A2087" s="164" t="s">
        <v>778</v>
      </c>
      <c r="B2087" s="165" t="s">
        <v>1392</v>
      </c>
      <c r="C2087" s="165" t="s">
        <v>3974</v>
      </c>
      <c r="D2087" s="164">
        <v>4304</v>
      </c>
      <c r="E2087" s="164">
        <v>4127</v>
      </c>
      <c r="F2087" s="164" t="s">
        <v>3955</v>
      </c>
      <c r="G2087" s="164"/>
      <c r="H2087" s="167"/>
      <c r="I2087" s="167"/>
      <c r="J2087" s="167"/>
      <c r="K2087" s="169"/>
      <c r="L2087" s="129"/>
      <c r="M2087" s="129"/>
      <c r="N2087" s="129"/>
      <c r="O2087" s="129"/>
      <c r="P2087" s="146"/>
      <c r="Q2087" s="170"/>
      <c r="R2087" s="171"/>
      <c r="S2087" s="172"/>
    </row>
    <row r="2088" spans="1:19" ht="42.75">
      <c r="A2088" s="164" t="s">
        <v>778</v>
      </c>
      <c r="B2088" s="165" t="s">
        <v>1392</v>
      </c>
      <c r="C2088" s="165" t="s">
        <v>1166</v>
      </c>
      <c r="D2088" s="164">
        <v>2808</v>
      </c>
      <c r="E2088" s="164">
        <v>3281</v>
      </c>
      <c r="F2088" s="164" t="s">
        <v>3955</v>
      </c>
      <c r="G2088" s="164"/>
      <c r="H2088" s="167"/>
      <c r="I2088" s="167"/>
      <c r="J2088" s="167"/>
      <c r="K2088" s="169"/>
      <c r="L2088" s="129"/>
      <c r="M2088" s="129"/>
      <c r="N2088" s="129"/>
      <c r="O2088" s="129"/>
      <c r="P2088" s="146"/>
      <c r="Q2088" s="170"/>
      <c r="R2088" s="171"/>
      <c r="S2088" s="172"/>
    </row>
    <row r="2089" spans="1:19" ht="42.75">
      <c r="A2089" s="164" t="s">
        <v>778</v>
      </c>
      <c r="B2089" s="165" t="s">
        <v>1392</v>
      </c>
      <c r="C2089" s="165" t="s">
        <v>3937</v>
      </c>
      <c r="D2089" s="164">
        <v>1208</v>
      </c>
      <c r="E2089" s="164">
        <v>442</v>
      </c>
      <c r="F2089" s="164" t="s">
        <v>3955</v>
      </c>
      <c r="G2089" s="164"/>
      <c r="H2089" s="167"/>
      <c r="I2089" s="167"/>
      <c r="J2089" s="167"/>
      <c r="K2089" s="169"/>
      <c r="L2089" s="129"/>
      <c r="M2089" s="129"/>
      <c r="N2089" s="129"/>
      <c r="O2089" s="129"/>
      <c r="P2089" s="146"/>
      <c r="Q2089" s="170"/>
      <c r="R2089" s="171"/>
      <c r="S2089" s="172"/>
    </row>
    <row r="2090" spans="1:19" ht="42.75">
      <c r="A2090" s="164" t="s">
        <v>778</v>
      </c>
      <c r="B2090" s="165" t="s">
        <v>1392</v>
      </c>
      <c r="C2090" s="165" t="s">
        <v>5614</v>
      </c>
      <c r="D2090" s="164">
        <v>991</v>
      </c>
      <c r="E2090" s="164">
        <v>1098</v>
      </c>
      <c r="F2090" s="164" t="s">
        <v>3955</v>
      </c>
      <c r="G2090" s="164"/>
      <c r="H2090" s="167"/>
      <c r="I2090" s="167"/>
      <c r="J2090" s="167"/>
      <c r="K2090" s="169"/>
      <c r="L2090" s="129"/>
      <c r="M2090" s="129"/>
      <c r="N2090" s="129"/>
      <c r="O2090" s="129"/>
      <c r="P2090" s="146"/>
      <c r="Q2090" s="170"/>
      <c r="R2090" s="171"/>
      <c r="S2090" s="172"/>
    </row>
    <row r="2091" spans="1:19" ht="42.75">
      <c r="A2091" s="164" t="s">
        <v>778</v>
      </c>
      <c r="B2091" s="165" t="s">
        <v>1392</v>
      </c>
      <c r="C2091" s="165" t="s">
        <v>4950</v>
      </c>
      <c r="D2091" s="164">
        <v>5756</v>
      </c>
      <c r="E2091" s="164">
        <v>5128</v>
      </c>
      <c r="F2091" s="164" t="s">
        <v>3955</v>
      </c>
      <c r="G2091" s="164"/>
      <c r="H2091" s="167"/>
      <c r="I2091" s="167"/>
      <c r="J2091" s="167"/>
      <c r="K2091" s="169"/>
      <c r="L2091" s="129"/>
      <c r="M2091" s="129"/>
      <c r="N2091" s="129"/>
      <c r="O2091" s="129"/>
      <c r="P2091" s="146"/>
      <c r="Q2091" s="170"/>
      <c r="R2091" s="171"/>
      <c r="S2091" s="172"/>
    </row>
    <row r="2092" spans="1:19" ht="42.75">
      <c r="A2092" s="164" t="s">
        <v>778</v>
      </c>
      <c r="B2092" s="165" t="s">
        <v>1392</v>
      </c>
      <c r="C2092" s="165" t="s">
        <v>5617</v>
      </c>
      <c r="D2092" s="164">
        <v>3470</v>
      </c>
      <c r="E2092" s="164">
        <v>3603</v>
      </c>
      <c r="F2092" s="164" t="s">
        <v>3955</v>
      </c>
      <c r="G2092" s="164"/>
      <c r="H2092" s="167"/>
      <c r="I2092" s="167"/>
      <c r="J2092" s="167"/>
      <c r="K2092" s="169"/>
      <c r="L2092" s="129"/>
      <c r="M2092" s="129"/>
      <c r="N2092" s="129"/>
      <c r="O2092" s="129"/>
      <c r="P2092" s="146"/>
      <c r="Q2092" s="170"/>
      <c r="R2092" s="171"/>
      <c r="S2092" s="172"/>
    </row>
    <row r="2093" spans="1:19" ht="42.75">
      <c r="A2093" s="164" t="s">
        <v>778</v>
      </c>
      <c r="B2093" s="165" t="s">
        <v>1392</v>
      </c>
      <c r="C2093" s="165" t="s">
        <v>3727</v>
      </c>
      <c r="D2093" s="164">
        <v>2720</v>
      </c>
      <c r="E2093" s="164">
        <v>2625</v>
      </c>
      <c r="F2093" s="164" t="s">
        <v>3955</v>
      </c>
      <c r="G2093" s="164"/>
      <c r="H2093" s="167"/>
      <c r="I2093" s="167"/>
      <c r="J2093" s="167"/>
      <c r="K2093" s="169"/>
      <c r="L2093" s="129"/>
      <c r="M2093" s="129"/>
      <c r="N2093" s="129"/>
      <c r="O2093" s="129"/>
      <c r="P2093" s="146"/>
      <c r="Q2093" s="170"/>
      <c r="R2093" s="171"/>
      <c r="S2093" s="172"/>
    </row>
    <row r="2094" spans="1:19" ht="42.75">
      <c r="A2094" s="164" t="s">
        <v>778</v>
      </c>
      <c r="B2094" s="165" t="s">
        <v>1392</v>
      </c>
      <c r="C2094" s="165" t="s">
        <v>4132</v>
      </c>
      <c r="D2094" s="164">
        <v>3114</v>
      </c>
      <c r="E2094" s="164">
        <v>2561</v>
      </c>
      <c r="F2094" s="164" t="s">
        <v>3955</v>
      </c>
      <c r="G2094" s="164"/>
      <c r="H2094" s="167"/>
      <c r="I2094" s="167"/>
      <c r="J2094" s="167"/>
      <c r="K2094" s="169"/>
      <c r="L2094" s="129"/>
      <c r="M2094" s="129"/>
      <c r="N2094" s="129"/>
      <c r="O2094" s="129"/>
      <c r="P2094" s="146"/>
      <c r="Q2094" s="170"/>
      <c r="R2094" s="171"/>
      <c r="S2094" s="172"/>
    </row>
    <row r="2095" spans="1:19" ht="42.75">
      <c r="A2095" s="164" t="s">
        <v>778</v>
      </c>
      <c r="B2095" s="165" t="s">
        <v>1392</v>
      </c>
      <c r="C2095" s="165" t="s">
        <v>5621</v>
      </c>
      <c r="D2095" s="164">
        <v>1516</v>
      </c>
      <c r="E2095" s="164">
        <v>1239</v>
      </c>
      <c r="F2095" s="164" t="s">
        <v>3955</v>
      </c>
      <c r="G2095" s="164"/>
      <c r="H2095" s="167"/>
      <c r="I2095" s="167"/>
      <c r="J2095" s="167"/>
      <c r="K2095" s="169"/>
      <c r="L2095" s="129"/>
      <c r="M2095" s="129"/>
      <c r="N2095" s="129"/>
      <c r="O2095" s="129"/>
      <c r="P2095" s="146"/>
      <c r="Q2095" s="170"/>
      <c r="R2095" s="171"/>
      <c r="S2095" s="172"/>
    </row>
    <row r="2096" spans="1:19" ht="42.75">
      <c r="A2096" s="164" t="s">
        <v>778</v>
      </c>
      <c r="B2096" s="165" t="s">
        <v>1392</v>
      </c>
      <c r="C2096" s="165" t="s">
        <v>5622</v>
      </c>
      <c r="D2096" s="164">
        <v>2416</v>
      </c>
      <c r="E2096" s="164">
        <v>2453</v>
      </c>
      <c r="F2096" s="164" t="s">
        <v>3955</v>
      </c>
      <c r="G2096" s="164"/>
      <c r="H2096" s="167"/>
      <c r="I2096" s="167"/>
      <c r="J2096" s="167"/>
      <c r="K2096" s="169"/>
      <c r="L2096" s="129"/>
      <c r="M2096" s="129"/>
      <c r="N2096" s="129"/>
      <c r="O2096" s="129"/>
      <c r="P2096" s="146"/>
      <c r="Q2096" s="170"/>
      <c r="R2096" s="171"/>
      <c r="S2096" s="172"/>
    </row>
    <row r="2097" spans="1:19" ht="42.75">
      <c r="A2097" s="164" t="s">
        <v>778</v>
      </c>
      <c r="B2097" s="165" t="s">
        <v>1392</v>
      </c>
      <c r="C2097" s="165" t="s">
        <v>5624</v>
      </c>
      <c r="D2097" s="164">
        <v>3818</v>
      </c>
      <c r="E2097" s="164">
        <v>4057</v>
      </c>
      <c r="F2097" s="164" t="s">
        <v>3955</v>
      </c>
      <c r="G2097" s="164"/>
      <c r="H2097" s="167"/>
      <c r="I2097" s="167"/>
      <c r="J2097" s="167"/>
      <c r="K2097" s="169"/>
      <c r="L2097" s="129"/>
      <c r="M2097" s="129"/>
      <c r="N2097" s="129"/>
      <c r="O2097" s="129"/>
      <c r="P2097" s="146"/>
      <c r="Q2097" s="170"/>
      <c r="R2097" s="171"/>
      <c r="S2097" s="172"/>
    </row>
    <row r="2098" spans="1:19" ht="42.75">
      <c r="A2098" s="164" t="s">
        <v>778</v>
      </c>
      <c r="B2098" s="165" t="s">
        <v>1395</v>
      </c>
      <c r="C2098" s="165" t="s">
        <v>4428</v>
      </c>
      <c r="D2098" s="164">
        <v>1963</v>
      </c>
      <c r="E2098" s="164">
        <v>2194</v>
      </c>
      <c r="F2098" s="164" t="s">
        <v>3955</v>
      </c>
      <c r="G2098" s="164"/>
      <c r="H2098" s="167"/>
      <c r="I2098" s="167"/>
      <c r="J2098" s="167"/>
      <c r="K2098" s="169"/>
      <c r="L2098" s="129"/>
      <c r="M2098" s="129"/>
      <c r="N2098" s="129"/>
      <c r="O2098" s="129"/>
      <c r="P2098" s="146"/>
      <c r="Q2098" s="170"/>
      <c r="R2098" s="171"/>
      <c r="S2098" s="172"/>
    </row>
    <row r="2099" spans="1:19" ht="42.75">
      <c r="A2099" s="164" t="s">
        <v>778</v>
      </c>
      <c r="B2099" s="165" t="s">
        <v>1395</v>
      </c>
      <c r="C2099" s="165" t="s">
        <v>5197</v>
      </c>
      <c r="D2099" s="164">
        <v>1717</v>
      </c>
      <c r="E2099" s="164">
        <v>1640</v>
      </c>
      <c r="F2099" s="164" t="s">
        <v>3404</v>
      </c>
      <c r="G2099" s="164">
        <v>2024</v>
      </c>
      <c r="H2099" s="175">
        <v>45576</v>
      </c>
      <c r="I2099" s="175">
        <v>45576</v>
      </c>
      <c r="J2099" s="168" t="s">
        <v>7365</v>
      </c>
      <c r="K2099" s="174">
        <v>45580</v>
      </c>
      <c r="L2099" s="129" t="s">
        <v>3128</v>
      </c>
      <c r="M2099" s="129" t="s">
        <v>4</v>
      </c>
      <c r="N2099" s="129" t="s">
        <v>50</v>
      </c>
      <c r="O2099" s="129" t="s">
        <v>3406</v>
      </c>
      <c r="P2099" s="146"/>
      <c r="Q2099" s="170">
        <v>45581</v>
      </c>
      <c r="R2099" s="171" t="s">
        <v>150</v>
      </c>
      <c r="S2099" s="172"/>
    </row>
    <row r="2100" spans="1:19" ht="42.75">
      <c r="A2100" s="164" t="s">
        <v>778</v>
      </c>
      <c r="B2100" s="165" t="s">
        <v>1395</v>
      </c>
      <c r="C2100" s="165" t="s">
        <v>5629</v>
      </c>
      <c r="D2100" s="164">
        <v>1826</v>
      </c>
      <c r="E2100" s="164">
        <v>1952</v>
      </c>
      <c r="F2100" s="164" t="s">
        <v>3955</v>
      </c>
      <c r="G2100" s="164"/>
      <c r="H2100" s="167"/>
      <c r="I2100" s="167"/>
      <c r="J2100" s="167"/>
      <c r="K2100" s="169"/>
      <c r="L2100" s="129"/>
      <c r="M2100" s="129"/>
      <c r="N2100" s="129"/>
      <c r="O2100" s="129"/>
      <c r="P2100" s="146"/>
      <c r="Q2100" s="170"/>
      <c r="R2100" s="171"/>
      <c r="S2100" s="172"/>
    </row>
    <row r="2101" spans="1:19" ht="42.75">
      <c r="A2101" s="164" t="s">
        <v>778</v>
      </c>
      <c r="B2101" s="165" t="s">
        <v>1395</v>
      </c>
      <c r="C2101" s="165" t="s">
        <v>5396</v>
      </c>
      <c r="D2101" s="164">
        <v>2100</v>
      </c>
      <c r="E2101" s="164">
        <v>2472</v>
      </c>
      <c r="F2101" s="164" t="s">
        <v>3955</v>
      </c>
      <c r="G2101" s="164"/>
      <c r="H2101" s="167"/>
      <c r="I2101" s="167"/>
      <c r="J2101" s="167"/>
      <c r="K2101" s="169"/>
      <c r="L2101" s="129"/>
      <c r="M2101" s="129"/>
      <c r="N2101" s="129"/>
      <c r="O2101" s="129"/>
      <c r="P2101" s="146"/>
      <c r="Q2101" s="170"/>
      <c r="R2101" s="171"/>
      <c r="S2101" s="172"/>
    </row>
    <row r="2102" spans="1:19" ht="42.75">
      <c r="A2102" s="164" t="s">
        <v>778</v>
      </c>
      <c r="B2102" s="165" t="s">
        <v>1395</v>
      </c>
      <c r="C2102" s="165" t="s">
        <v>5632</v>
      </c>
      <c r="D2102" s="164">
        <v>1522</v>
      </c>
      <c r="E2102" s="164">
        <v>1474</v>
      </c>
      <c r="F2102" s="164" t="s">
        <v>3404</v>
      </c>
      <c r="G2102" s="164">
        <v>2024</v>
      </c>
      <c r="H2102" s="175">
        <v>45576</v>
      </c>
      <c r="I2102" s="175">
        <v>45576</v>
      </c>
      <c r="J2102" s="168" t="s">
        <v>7366</v>
      </c>
      <c r="K2102" s="174">
        <v>45580</v>
      </c>
      <c r="L2102" s="129" t="s">
        <v>3128</v>
      </c>
      <c r="M2102" s="129" t="s">
        <v>4</v>
      </c>
      <c r="N2102" s="129" t="s">
        <v>50</v>
      </c>
      <c r="O2102" s="129" t="s">
        <v>3406</v>
      </c>
      <c r="P2102" s="146"/>
      <c r="Q2102" s="170">
        <v>45581</v>
      </c>
      <c r="R2102" s="171" t="s">
        <v>150</v>
      </c>
      <c r="S2102" s="172"/>
    </row>
    <row r="2103" spans="1:19" ht="42.75">
      <c r="A2103" s="164" t="s">
        <v>778</v>
      </c>
      <c r="B2103" s="165" t="s">
        <v>1395</v>
      </c>
      <c r="C2103" s="165" t="s">
        <v>4126</v>
      </c>
      <c r="D2103" s="164">
        <v>3324</v>
      </c>
      <c r="E2103" s="164">
        <v>3820</v>
      </c>
      <c r="F2103" s="164" t="s">
        <v>3955</v>
      </c>
      <c r="G2103" s="164"/>
      <c r="H2103" s="167"/>
      <c r="I2103" s="167"/>
      <c r="J2103" s="167"/>
      <c r="K2103" s="169"/>
      <c r="L2103" s="129"/>
      <c r="M2103" s="129"/>
      <c r="N2103" s="129"/>
      <c r="O2103" s="129"/>
      <c r="P2103" s="146"/>
      <c r="Q2103" s="170"/>
      <c r="R2103" s="171"/>
      <c r="S2103" s="172"/>
    </row>
    <row r="2104" spans="1:19" ht="42.75">
      <c r="A2104" s="164" t="s">
        <v>778</v>
      </c>
      <c r="B2104" s="165" t="s">
        <v>1395</v>
      </c>
      <c r="C2104" s="165" t="s">
        <v>914</v>
      </c>
      <c r="D2104" s="164">
        <v>1754</v>
      </c>
      <c r="E2104" s="164">
        <v>2083</v>
      </c>
      <c r="F2104" s="164" t="s">
        <v>3955</v>
      </c>
      <c r="G2104" s="164"/>
      <c r="H2104" s="167"/>
      <c r="I2104" s="167"/>
      <c r="J2104" s="167"/>
      <c r="K2104" s="169"/>
      <c r="L2104" s="129"/>
      <c r="M2104" s="129"/>
      <c r="N2104" s="129"/>
      <c r="O2104" s="129"/>
      <c r="P2104" s="146"/>
      <c r="Q2104" s="170"/>
      <c r="R2104" s="171"/>
      <c r="S2104" s="172"/>
    </row>
    <row r="2105" spans="1:19" ht="42.75">
      <c r="A2105" s="164" t="s">
        <v>778</v>
      </c>
      <c r="B2105" s="165" t="s">
        <v>1395</v>
      </c>
      <c r="C2105" s="165" t="s">
        <v>5635</v>
      </c>
      <c r="D2105" s="164">
        <v>5077</v>
      </c>
      <c r="E2105" s="164">
        <v>4948</v>
      </c>
      <c r="F2105" s="164" t="s">
        <v>3955</v>
      </c>
      <c r="G2105" s="164"/>
      <c r="H2105" s="167"/>
      <c r="I2105" s="167"/>
      <c r="J2105" s="167"/>
      <c r="K2105" s="169"/>
      <c r="L2105" s="129"/>
      <c r="M2105" s="129"/>
      <c r="N2105" s="129"/>
      <c r="O2105" s="129"/>
      <c r="P2105" s="146"/>
      <c r="Q2105" s="170"/>
      <c r="R2105" s="171"/>
      <c r="S2105" s="172"/>
    </row>
    <row r="2106" spans="1:19" ht="42.75">
      <c r="A2106" s="164" t="s">
        <v>778</v>
      </c>
      <c r="B2106" s="165" t="s">
        <v>1395</v>
      </c>
      <c r="C2106" s="165" t="s">
        <v>1148</v>
      </c>
      <c r="D2106" s="164">
        <v>6752</v>
      </c>
      <c r="E2106" s="164">
        <v>7593</v>
      </c>
      <c r="F2106" s="164" t="s">
        <v>3955</v>
      </c>
      <c r="G2106" s="164"/>
      <c r="H2106" s="167"/>
      <c r="I2106" s="167"/>
      <c r="J2106" s="167"/>
      <c r="K2106" s="169"/>
      <c r="L2106" s="129"/>
      <c r="M2106" s="129"/>
      <c r="N2106" s="129"/>
      <c r="O2106" s="129"/>
      <c r="P2106" s="146"/>
      <c r="Q2106" s="170"/>
      <c r="R2106" s="171"/>
      <c r="S2106" s="172"/>
    </row>
    <row r="2107" spans="1:19" ht="42.75">
      <c r="A2107" s="164" t="s">
        <v>778</v>
      </c>
      <c r="B2107" s="165" t="s">
        <v>1395</v>
      </c>
      <c r="C2107" s="165" t="s">
        <v>1180</v>
      </c>
      <c r="D2107" s="164">
        <v>24786</v>
      </c>
      <c r="E2107" s="164">
        <v>26787</v>
      </c>
      <c r="F2107" s="164" t="s">
        <v>3955</v>
      </c>
      <c r="G2107" s="164"/>
      <c r="H2107" s="167"/>
      <c r="I2107" s="167"/>
      <c r="J2107" s="167"/>
      <c r="K2107" s="169"/>
      <c r="L2107" s="129"/>
      <c r="M2107" s="129"/>
      <c r="N2107" s="129"/>
      <c r="O2107" s="129"/>
      <c r="P2107" s="146"/>
      <c r="Q2107" s="170"/>
      <c r="R2107" s="171"/>
      <c r="S2107" s="172"/>
    </row>
    <row r="2108" spans="1:19" ht="42.75">
      <c r="A2108" s="164" t="s">
        <v>778</v>
      </c>
      <c r="B2108" s="165" t="s">
        <v>1395</v>
      </c>
      <c r="C2108" s="165" t="s">
        <v>858</v>
      </c>
      <c r="D2108" s="164">
        <v>3579</v>
      </c>
      <c r="E2108" s="164">
        <v>3563</v>
      </c>
      <c r="F2108" s="164" t="s">
        <v>3955</v>
      </c>
      <c r="G2108" s="164"/>
      <c r="H2108" s="167"/>
      <c r="I2108" s="167"/>
      <c r="J2108" s="167"/>
      <c r="K2108" s="169"/>
      <c r="L2108" s="129"/>
      <c r="M2108" s="129"/>
      <c r="N2108" s="129"/>
      <c r="O2108" s="129"/>
      <c r="P2108" s="146"/>
      <c r="Q2108" s="170"/>
      <c r="R2108" s="171"/>
      <c r="S2108" s="172"/>
    </row>
    <row r="2109" spans="1:19" ht="42.75">
      <c r="A2109" s="164" t="s">
        <v>778</v>
      </c>
      <c r="B2109" s="165" t="s">
        <v>1395</v>
      </c>
      <c r="C2109" s="165" t="s">
        <v>1151</v>
      </c>
      <c r="D2109" s="164">
        <v>2714</v>
      </c>
      <c r="E2109" s="164">
        <v>2790</v>
      </c>
      <c r="F2109" s="164" t="s">
        <v>3404</v>
      </c>
      <c r="G2109" s="164">
        <v>2024</v>
      </c>
      <c r="H2109" s="175">
        <v>45539</v>
      </c>
      <c r="I2109" s="175">
        <v>45540</v>
      </c>
      <c r="J2109" s="168" t="s">
        <v>7367</v>
      </c>
      <c r="K2109" s="174">
        <v>45544</v>
      </c>
      <c r="L2109" s="129" t="s">
        <v>3127</v>
      </c>
      <c r="M2109" s="129" t="s">
        <v>4</v>
      </c>
      <c r="N2109" s="129" t="s">
        <v>50</v>
      </c>
      <c r="O2109" s="129" t="s">
        <v>3406</v>
      </c>
      <c r="P2109" s="146"/>
      <c r="Q2109" s="170">
        <v>45545</v>
      </c>
      <c r="R2109" s="171" t="s">
        <v>150</v>
      </c>
      <c r="S2109" s="172"/>
    </row>
    <row r="2110" spans="1:19" ht="42.75">
      <c r="A2110" s="164" t="s">
        <v>778</v>
      </c>
      <c r="B2110" s="165" t="s">
        <v>1395</v>
      </c>
      <c r="C2110" s="165" t="s">
        <v>5576</v>
      </c>
      <c r="D2110" s="164">
        <v>3458</v>
      </c>
      <c r="E2110" s="164">
        <v>3576</v>
      </c>
      <c r="F2110" s="164" t="s">
        <v>3955</v>
      </c>
      <c r="G2110" s="164"/>
      <c r="H2110" s="167"/>
      <c r="I2110" s="167"/>
      <c r="J2110" s="167"/>
      <c r="K2110" s="169"/>
      <c r="L2110" s="129"/>
      <c r="M2110" s="129"/>
      <c r="N2110" s="129"/>
      <c r="O2110" s="129"/>
      <c r="P2110" s="146"/>
      <c r="Q2110" s="170"/>
      <c r="R2110" s="171"/>
      <c r="S2110" s="172"/>
    </row>
    <row r="2111" spans="1:19" ht="42.75">
      <c r="A2111" s="164" t="s">
        <v>778</v>
      </c>
      <c r="B2111" s="165" t="s">
        <v>1395</v>
      </c>
      <c r="C2111" s="165" t="s">
        <v>5552</v>
      </c>
      <c r="D2111" s="164">
        <v>2856</v>
      </c>
      <c r="E2111" s="164">
        <v>4288</v>
      </c>
      <c r="F2111" s="164" t="s">
        <v>3955</v>
      </c>
      <c r="G2111" s="164"/>
      <c r="H2111" s="167"/>
      <c r="I2111" s="167"/>
      <c r="J2111" s="167"/>
      <c r="K2111" s="169"/>
      <c r="L2111" s="129"/>
      <c r="M2111" s="129"/>
      <c r="N2111" s="129"/>
      <c r="O2111" s="129"/>
      <c r="P2111" s="146"/>
      <c r="Q2111" s="170"/>
      <c r="R2111" s="171"/>
      <c r="S2111" s="172"/>
    </row>
    <row r="2112" spans="1:19" ht="42.75">
      <c r="A2112" s="164" t="s">
        <v>778</v>
      </c>
      <c r="B2112" s="165" t="s">
        <v>1395</v>
      </c>
      <c r="C2112" s="165" t="s">
        <v>5638</v>
      </c>
      <c r="D2112" s="164">
        <v>3420</v>
      </c>
      <c r="E2112" s="164">
        <v>4389</v>
      </c>
      <c r="F2112" s="164" t="s">
        <v>3404</v>
      </c>
      <c r="G2112" s="164">
        <v>2024</v>
      </c>
      <c r="H2112" s="175">
        <v>45539</v>
      </c>
      <c r="I2112" s="175">
        <v>45539</v>
      </c>
      <c r="J2112" s="168" t="s">
        <v>7368</v>
      </c>
      <c r="K2112" s="174">
        <v>45544</v>
      </c>
      <c r="L2112" s="129" t="s">
        <v>3127</v>
      </c>
      <c r="M2112" s="129" t="s">
        <v>4</v>
      </c>
      <c r="N2112" s="129" t="s">
        <v>50</v>
      </c>
      <c r="O2112" s="129" t="s">
        <v>3406</v>
      </c>
      <c r="P2112" s="146"/>
      <c r="Q2112" s="170">
        <v>45545</v>
      </c>
      <c r="R2112" s="171" t="s">
        <v>150</v>
      </c>
      <c r="S2112" s="172"/>
    </row>
    <row r="2113" spans="1:19" ht="42.75">
      <c r="A2113" s="164" t="s">
        <v>778</v>
      </c>
      <c r="B2113" s="165" t="s">
        <v>1395</v>
      </c>
      <c r="C2113" s="165" t="s">
        <v>5639</v>
      </c>
      <c r="D2113" s="164">
        <v>1760</v>
      </c>
      <c r="E2113" s="164">
        <v>1756</v>
      </c>
      <c r="F2113" s="164" t="s">
        <v>3404</v>
      </c>
      <c r="G2113" s="164">
        <v>2024</v>
      </c>
      <c r="H2113" s="175">
        <v>45576</v>
      </c>
      <c r="I2113" s="175">
        <v>45576</v>
      </c>
      <c r="J2113" s="168" t="s">
        <v>7369</v>
      </c>
      <c r="K2113" s="174">
        <v>45580</v>
      </c>
      <c r="L2113" s="129" t="s">
        <v>3128</v>
      </c>
      <c r="M2113" s="129" t="s">
        <v>4</v>
      </c>
      <c r="N2113" s="129" t="s">
        <v>50</v>
      </c>
      <c r="O2113" s="129" t="s">
        <v>3406</v>
      </c>
      <c r="P2113" s="146"/>
      <c r="Q2113" s="170">
        <v>45581</v>
      </c>
      <c r="R2113" s="171" t="s">
        <v>150</v>
      </c>
      <c r="S2113" s="172"/>
    </row>
    <row r="2114" spans="1:19" ht="42.75">
      <c r="A2114" s="164" t="s">
        <v>778</v>
      </c>
      <c r="B2114" s="165" t="s">
        <v>1395</v>
      </c>
      <c r="C2114" s="165" t="s">
        <v>5630</v>
      </c>
      <c r="D2114" s="164">
        <v>5435</v>
      </c>
      <c r="E2114" s="164">
        <v>5392</v>
      </c>
      <c r="F2114" s="164" t="s">
        <v>3955</v>
      </c>
      <c r="G2114" s="164"/>
      <c r="H2114" s="167"/>
      <c r="I2114" s="167"/>
      <c r="J2114" s="167"/>
      <c r="K2114" s="169"/>
      <c r="L2114" s="129"/>
      <c r="M2114" s="129"/>
      <c r="N2114" s="129"/>
      <c r="O2114" s="129"/>
      <c r="P2114" s="146"/>
      <c r="Q2114" s="170"/>
      <c r="R2114" s="171"/>
      <c r="S2114" s="172"/>
    </row>
    <row r="2115" spans="1:19" ht="42.75">
      <c r="A2115" s="164" t="s">
        <v>778</v>
      </c>
      <c r="B2115" s="165" t="s">
        <v>1395</v>
      </c>
      <c r="C2115" s="165" t="s">
        <v>3974</v>
      </c>
      <c r="D2115" s="164">
        <v>2525</v>
      </c>
      <c r="E2115" s="164">
        <v>2833</v>
      </c>
      <c r="F2115" s="164" t="s">
        <v>3404</v>
      </c>
      <c r="G2115" s="164">
        <v>2024</v>
      </c>
      <c r="H2115" s="175">
        <v>45576</v>
      </c>
      <c r="I2115" s="175">
        <v>45576</v>
      </c>
      <c r="J2115" s="168" t="s">
        <v>7370</v>
      </c>
      <c r="K2115" s="174">
        <v>45580</v>
      </c>
      <c r="L2115" s="129" t="s">
        <v>3128</v>
      </c>
      <c r="M2115" s="129" t="s">
        <v>4</v>
      </c>
      <c r="N2115" s="129" t="s">
        <v>50</v>
      </c>
      <c r="O2115" s="129" t="s">
        <v>3406</v>
      </c>
      <c r="P2115" s="146"/>
      <c r="Q2115" s="170">
        <v>45581</v>
      </c>
      <c r="R2115" s="171" t="s">
        <v>150</v>
      </c>
      <c r="S2115" s="172"/>
    </row>
    <row r="2116" spans="1:19" ht="42.75">
      <c r="A2116" s="164" t="s">
        <v>778</v>
      </c>
      <c r="B2116" s="165" t="s">
        <v>1395</v>
      </c>
      <c r="C2116" s="165" t="s">
        <v>1166</v>
      </c>
      <c r="D2116" s="164">
        <v>3726</v>
      </c>
      <c r="E2116" s="164">
        <v>4305</v>
      </c>
      <c r="F2116" s="164" t="s">
        <v>3955</v>
      </c>
      <c r="G2116" s="164"/>
      <c r="H2116" s="167"/>
      <c r="I2116" s="167"/>
      <c r="J2116" s="167"/>
      <c r="K2116" s="169"/>
      <c r="L2116" s="129"/>
      <c r="M2116" s="129"/>
      <c r="N2116" s="129"/>
      <c r="O2116" s="129"/>
      <c r="P2116" s="146"/>
      <c r="Q2116" s="170"/>
      <c r="R2116" s="171"/>
      <c r="S2116" s="172"/>
    </row>
    <row r="2117" spans="1:19" ht="42.75">
      <c r="A2117" s="164" t="s">
        <v>778</v>
      </c>
      <c r="B2117" s="165" t="s">
        <v>1395</v>
      </c>
      <c r="C2117" s="165" t="s">
        <v>3937</v>
      </c>
      <c r="D2117" s="164">
        <v>6396</v>
      </c>
      <c r="E2117" s="164">
        <v>7318</v>
      </c>
      <c r="F2117" s="164" t="s">
        <v>3404</v>
      </c>
      <c r="G2117" s="164">
        <v>2024</v>
      </c>
      <c r="H2117" s="175">
        <v>45576</v>
      </c>
      <c r="I2117" s="175">
        <v>45576</v>
      </c>
      <c r="J2117" s="168" t="s">
        <v>7371</v>
      </c>
      <c r="K2117" s="174">
        <v>45581</v>
      </c>
      <c r="L2117" s="129" t="s">
        <v>3128</v>
      </c>
      <c r="M2117" s="129" t="s">
        <v>4</v>
      </c>
      <c r="N2117" s="129" t="s">
        <v>50</v>
      </c>
      <c r="O2117" s="129" t="s">
        <v>3406</v>
      </c>
      <c r="P2117" s="146"/>
      <c r="Q2117" s="170">
        <v>45582</v>
      </c>
      <c r="R2117" s="171" t="s">
        <v>150</v>
      </c>
      <c r="S2117" s="172"/>
    </row>
    <row r="2118" spans="1:19" ht="42.75">
      <c r="A2118" s="164" t="s">
        <v>778</v>
      </c>
      <c r="B2118" s="165" t="s">
        <v>1395</v>
      </c>
      <c r="C2118" s="165" t="s">
        <v>3565</v>
      </c>
      <c r="D2118" s="164">
        <v>8883</v>
      </c>
      <c r="E2118" s="164">
        <v>9673</v>
      </c>
      <c r="F2118" s="164" t="s">
        <v>3404</v>
      </c>
      <c r="G2118" s="164">
        <v>2024</v>
      </c>
      <c r="H2118" s="175">
        <v>45482</v>
      </c>
      <c r="I2118" s="175">
        <v>45490</v>
      </c>
      <c r="J2118" s="168" t="s">
        <v>7372</v>
      </c>
      <c r="K2118" s="174">
        <v>45491</v>
      </c>
      <c r="L2118" s="129" t="s">
        <v>3125</v>
      </c>
      <c r="M2118" s="129" t="s">
        <v>4</v>
      </c>
      <c r="N2118" s="129" t="s">
        <v>57</v>
      </c>
      <c r="O2118" s="129" t="s">
        <v>3406</v>
      </c>
      <c r="P2118" s="146"/>
      <c r="Q2118" s="170">
        <v>45492</v>
      </c>
      <c r="R2118" s="171"/>
      <c r="S2118" s="172"/>
    </row>
    <row r="2119" spans="1:19" ht="42.75">
      <c r="A2119" s="164" t="s">
        <v>778</v>
      </c>
      <c r="B2119" s="165" t="s">
        <v>1395</v>
      </c>
      <c r="C2119" s="165" t="s">
        <v>4950</v>
      </c>
      <c r="D2119" s="164">
        <v>2740</v>
      </c>
      <c r="E2119" s="164">
        <v>2974</v>
      </c>
      <c r="F2119" s="164" t="s">
        <v>3955</v>
      </c>
      <c r="G2119" s="164">
        <v>2025</v>
      </c>
      <c r="H2119" s="167"/>
      <c r="I2119" s="167"/>
      <c r="J2119" s="167"/>
      <c r="K2119" s="169"/>
      <c r="L2119" s="129" t="s">
        <v>3424</v>
      </c>
      <c r="M2119" s="129"/>
      <c r="N2119" s="129"/>
      <c r="O2119" s="129"/>
      <c r="P2119" s="146"/>
      <c r="Q2119" s="170"/>
      <c r="R2119" s="171"/>
      <c r="S2119" s="172"/>
    </row>
    <row r="2120" spans="1:19" ht="42.75">
      <c r="A2120" s="164" t="s">
        <v>778</v>
      </c>
      <c r="B2120" s="165" t="s">
        <v>1395</v>
      </c>
      <c r="C2120" s="165" t="s">
        <v>3727</v>
      </c>
      <c r="D2120" s="164">
        <v>3185</v>
      </c>
      <c r="E2120" s="164">
        <v>3494</v>
      </c>
      <c r="F2120" s="164" t="s">
        <v>3404</v>
      </c>
      <c r="G2120" s="164">
        <v>2024</v>
      </c>
      <c r="H2120" s="175">
        <v>45447</v>
      </c>
      <c r="I2120" s="175">
        <v>45459</v>
      </c>
      <c r="J2120" s="168" t="s">
        <v>7373</v>
      </c>
      <c r="K2120" s="169"/>
      <c r="L2120" s="129" t="s">
        <v>3689</v>
      </c>
      <c r="M2120" s="129"/>
      <c r="N2120" s="129"/>
      <c r="O2120" s="129" t="s">
        <v>3406</v>
      </c>
      <c r="P2120" s="146"/>
      <c r="Q2120" s="170">
        <v>45463</v>
      </c>
      <c r="R2120" s="171"/>
      <c r="S2120" s="172"/>
    </row>
    <row r="2121" spans="1:19" ht="42.75">
      <c r="A2121" s="164" t="s">
        <v>778</v>
      </c>
      <c r="B2121" s="165" t="s">
        <v>1395</v>
      </c>
      <c r="C2121" s="165" t="s">
        <v>4261</v>
      </c>
      <c r="D2121" s="164">
        <v>4624</v>
      </c>
      <c r="E2121" s="164">
        <v>5235</v>
      </c>
      <c r="F2121" s="164" t="s">
        <v>3955</v>
      </c>
      <c r="G2121" s="164"/>
      <c r="H2121" s="167"/>
      <c r="I2121" s="167"/>
      <c r="J2121" s="167"/>
      <c r="K2121" s="169"/>
      <c r="L2121" s="129"/>
      <c r="M2121" s="129"/>
      <c r="N2121" s="129"/>
      <c r="O2121" s="129"/>
      <c r="P2121" s="146"/>
      <c r="Q2121" s="170"/>
      <c r="R2121" s="171"/>
      <c r="S2121" s="172"/>
    </row>
    <row r="2122" spans="1:19" ht="42.75">
      <c r="A2122" s="164" t="s">
        <v>778</v>
      </c>
      <c r="B2122" s="165" t="s">
        <v>1395</v>
      </c>
      <c r="C2122" s="165" t="s">
        <v>5628</v>
      </c>
      <c r="D2122" s="164">
        <v>1703</v>
      </c>
      <c r="E2122" s="164">
        <v>2184</v>
      </c>
      <c r="F2122" s="164" t="s">
        <v>3955</v>
      </c>
      <c r="G2122" s="164"/>
      <c r="H2122" s="167"/>
      <c r="I2122" s="167"/>
      <c r="J2122" s="167"/>
      <c r="K2122" s="169"/>
      <c r="L2122" s="129"/>
      <c r="M2122" s="129"/>
      <c r="N2122" s="129"/>
      <c r="O2122" s="129"/>
      <c r="P2122" s="146"/>
      <c r="Q2122" s="170"/>
      <c r="R2122" s="171"/>
      <c r="S2122" s="172"/>
    </row>
    <row r="2123" spans="1:19" ht="42.75">
      <c r="A2123" s="164" t="s">
        <v>778</v>
      </c>
      <c r="B2123" s="165" t="s">
        <v>1395</v>
      </c>
      <c r="C2123" s="165" t="s">
        <v>5640</v>
      </c>
      <c r="D2123" s="164">
        <v>2052</v>
      </c>
      <c r="E2123" s="164">
        <v>1962</v>
      </c>
      <c r="F2123" s="164" t="s">
        <v>3955</v>
      </c>
      <c r="G2123" s="164"/>
      <c r="H2123" s="167"/>
      <c r="I2123" s="167"/>
      <c r="J2123" s="167"/>
      <c r="K2123" s="169"/>
      <c r="L2123" s="129"/>
      <c r="M2123" s="129"/>
      <c r="N2123" s="129"/>
      <c r="O2123" s="129"/>
      <c r="P2123" s="146"/>
      <c r="Q2123" s="170"/>
      <c r="R2123" s="171"/>
      <c r="S2123" s="172"/>
    </row>
    <row r="2124" spans="1:19" ht="42.75">
      <c r="A2124" s="164" t="s">
        <v>778</v>
      </c>
      <c r="B2124" s="165" t="s">
        <v>1395</v>
      </c>
      <c r="C2124" s="165" t="s">
        <v>5625</v>
      </c>
      <c r="D2124" s="164">
        <v>3270</v>
      </c>
      <c r="E2124" s="164">
        <v>3493</v>
      </c>
      <c r="F2124" s="164" t="s">
        <v>3955</v>
      </c>
      <c r="G2124" s="164"/>
      <c r="H2124" s="167"/>
      <c r="I2124" s="167"/>
      <c r="J2124" s="167"/>
      <c r="K2124" s="169"/>
      <c r="L2124" s="129"/>
      <c r="M2124" s="129"/>
      <c r="N2124" s="129"/>
      <c r="O2124" s="129"/>
      <c r="P2124" s="146"/>
      <c r="Q2124" s="170"/>
      <c r="R2124" s="171"/>
      <c r="S2124" s="172"/>
    </row>
    <row r="2125" spans="1:19" ht="42.75">
      <c r="A2125" s="164" t="s">
        <v>778</v>
      </c>
      <c r="B2125" s="165" t="s">
        <v>1400</v>
      </c>
      <c r="C2125" s="165" t="s">
        <v>878</v>
      </c>
      <c r="D2125" s="164">
        <v>1397</v>
      </c>
      <c r="E2125" s="164">
        <v>1773</v>
      </c>
      <c r="F2125" s="164" t="s">
        <v>3955</v>
      </c>
      <c r="G2125" s="164"/>
      <c r="H2125" s="167"/>
      <c r="I2125" s="167"/>
      <c r="J2125" s="167"/>
      <c r="K2125" s="169"/>
      <c r="L2125" s="129"/>
      <c r="M2125" s="129"/>
      <c r="N2125" s="129"/>
      <c r="O2125" s="129"/>
      <c r="P2125" s="146"/>
      <c r="Q2125" s="170"/>
      <c r="R2125" s="171"/>
      <c r="S2125" s="172"/>
    </row>
    <row r="2126" spans="1:19" ht="42.75">
      <c r="A2126" s="164" t="s">
        <v>778</v>
      </c>
      <c r="B2126" s="165" t="s">
        <v>1400</v>
      </c>
      <c r="C2126" s="165" t="s">
        <v>5644</v>
      </c>
      <c r="D2126" s="164">
        <v>1708</v>
      </c>
      <c r="E2126" s="164">
        <v>1676</v>
      </c>
      <c r="F2126" s="164" t="s">
        <v>3404</v>
      </c>
      <c r="G2126" s="164">
        <v>2024</v>
      </c>
      <c r="H2126" s="175">
        <v>45545</v>
      </c>
      <c r="I2126" s="175">
        <v>45545</v>
      </c>
      <c r="J2126" s="168" t="s">
        <v>7374</v>
      </c>
      <c r="K2126" s="174">
        <v>45552</v>
      </c>
      <c r="L2126" s="129" t="s">
        <v>3127</v>
      </c>
      <c r="M2126" s="129" t="s">
        <v>4</v>
      </c>
      <c r="N2126" s="129" t="s">
        <v>50</v>
      </c>
      <c r="O2126" s="129" t="s">
        <v>3406</v>
      </c>
      <c r="P2126" s="146"/>
      <c r="Q2126" s="170">
        <v>45553</v>
      </c>
      <c r="R2126" s="171" t="s">
        <v>150</v>
      </c>
      <c r="S2126" s="172"/>
    </row>
    <row r="2127" spans="1:19" ht="42.75">
      <c r="A2127" s="164" t="s">
        <v>778</v>
      </c>
      <c r="B2127" s="165" t="s">
        <v>1400</v>
      </c>
      <c r="C2127" s="165" t="s">
        <v>5345</v>
      </c>
      <c r="D2127" s="164">
        <v>2094</v>
      </c>
      <c r="E2127" s="164">
        <v>1890</v>
      </c>
      <c r="F2127" s="164" t="s">
        <v>3955</v>
      </c>
      <c r="G2127" s="164"/>
      <c r="H2127" s="167"/>
      <c r="I2127" s="167"/>
      <c r="J2127" s="167"/>
      <c r="K2127" s="169"/>
      <c r="L2127" s="129"/>
      <c r="M2127" s="129"/>
      <c r="N2127" s="129"/>
      <c r="O2127" s="129"/>
      <c r="P2127" s="146"/>
      <c r="Q2127" s="170"/>
      <c r="R2127" s="171"/>
      <c r="S2127" s="172"/>
    </row>
    <row r="2128" spans="1:19" ht="42.75">
      <c r="A2128" s="164" t="s">
        <v>778</v>
      </c>
      <c r="B2128" s="165" t="s">
        <v>1400</v>
      </c>
      <c r="C2128" s="165" t="s">
        <v>1945</v>
      </c>
      <c r="D2128" s="164">
        <v>6952</v>
      </c>
      <c r="E2128" s="164">
        <v>6786</v>
      </c>
      <c r="F2128" s="164" t="s">
        <v>3955</v>
      </c>
      <c r="G2128" s="164"/>
      <c r="H2128" s="167"/>
      <c r="I2128" s="167"/>
      <c r="J2128" s="167"/>
      <c r="K2128" s="169"/>
      <c r="L2128" s="129"/>
      <c r="M2128" s="129"/>
      <c r="N2128" s="129"/>
      <c r="O2128" s="129"/>
      <c r="P2128" s="146"/>
      <c r="Q2128" s="170"/>
      <c r="R2128" s="171"/>
      <c r="S2128" s="172"/>
    </row>
    <row r="2129" spans="1:19" ht="42.75">
      <c r="A2129" s="164" t="s">
        <v>778</v>
      </c>
      <c r="B2129" s="165" t="s">
        <v>1400</v>
      </c>
      <c r="C2129" s="165" t="s">
        <v>5646</v>
      </c>
      <c r="D2129" s="164">
        <v>1402</v>
      </c>
      <c r="E2129" s="164">
        <v>1628</v>
      </c>
      <c r="F2129" s="164" t="s">
        <v>3955</v>
      </c>
      <c r="G2129" s="164"/>
      <c r="H2129" s="167"/>
      <c r="I2129" s="167"/>
      <c r="J2129" s="167"/>
      <c r="K2129" s="169"/>
      <c r="L2129" s="129"/>
      <c r="M2129" s="129"/>
      <c r="N2129" s="129"/>
      <c r="O2129" s="129"/>
      <c r="P2129" s="146"/>
      <c r="Q2129" s="170"/>
      <c r="R2129" s="171"/>
      <c r="S2129" s="172"/>
    </row>
    <row r="2130" spans="1:19" ht="42.75">
      <c r="A2130" s="164" t="s">
        <v>778</v>
      </c>
      <c r="B2130" s="165" t="s">
        <v>1400</v>
      </c>
      <c r="C2130" s="165" t="s">
        <v>5648</v>
      </c>
      <c r="D2130" s="164">
        <v>1578</v>
      </c>
      <c r="E2130" s="164">
        <v>1618</v>
      </c>
      <c r="F2130" s="164" t="s">
        <v>3955</v>
      </c>
      <c r="G2130" s="164"/>
      <c r="H2130" s="167"/>
      <c r="I2130" s="167"/>
      <c r="J2130" s="167"/>
      <c r="K2130" s="169"/>
      <c r="L2130" s="129"/>
      <c r="M2130" s="129"/>
      <c r="N2130" s="129"/>
      <c r="O2130" s="129"/>
      <c r="P2130" s="146"/>
      <c r="Q2130" s="170"/>
      <c r="R2130" s="171"/>
      <c r="S2130" s="172"/>
    </row>
    <row r="2131" spans="1:19" ht="42.75">
      <c r="A2131" s="164" t="s">
        <v>778</v>
      </c>
      <c r="B2131" s="165" t="s">
        <v>1400</v>
      </c>
      <c r="C2131" s="165" t="s">
        <v>4126</v>
      </c>
      <c r="D2131" s="164">
        <v>1534</v>
      </c>
      <c r="E2131" s="164">
        <v>1782</v>
      </c>
      <c r="F2131" s="164" t="s">
        <v>3955</v>
      </c>
      <c r="G2131" s="164"/>
      <c r="H2131" s="167"/>
      <c r="I2131" s="167"/>
      <c r="J2131" s="167"/>
      <c r="K2131" s="169"/>
      <c r="L2131" s="129"/>
      <c r="M2131" s="129"/>
      <c r="N2131" s="129"/>
      <c r="O2131" s="129"/>
      <c r="P2131" s="146"/>
      <c r="Q2131" s="170"/>
      <c r="R2131" s="171"/>
      <c r="S2131" s="172"/>
    </row>
    <row r="2132" spans="1:19" ht="42.75">
      <c r="A2132" s="164" t="s">
        <v>778</v>
      </c>
      <c r="B2132" s="165" t="s">
        <v>1400</v>
      </c>
      <c r="C2132" s="165" t="s">
        <v>1424</v>
      </c>
      <c r="D2132" s="164">
        <v>901</v>
      </c>
      <c r="E2132" s="164">
        <v>856</v>
      </c>
      <c r="F2132" s="164" t="s">
        <v>3955</v>
      </c>
      <c r="G2132" s="164"/>
      <c r="H2132" s="167"/>
      <c r="I2132" s="167"/>
      <c r="J2132" s="167"/>
      <c r="K2132" s="169"/>
      <c r="L2132" s="129"/>
      <c r="M2132" s="129"/>
      <c r="N2132" s="129"/>
      <c r="O2132" s="129"/>
      <c r="P2132" s="146"/>
      <c r="Q2132" s="170"/>
      <c r="R2132" s="171"/>
      <c r="S2132" s="172"/>
    </row>
    <row r="2133" spans="1:19" ht="42.75">
      <c r="A2133" s="164" t="s">
        <v>778</v>
      </c>
      <c r="B2133" s="165" t="s">
        <v>1400</v>
      </c>
      <c r="C2133" s="165" t="s">
        <v>5650</v>
      </c>
      <c r="D2133" s="164">
        <v>1412</v>
      </c>
      <c r="E2133" s="164">
        <v>1232</v>
      </c>
      <c r="F2133" s="164" t="s">
        <v>3404</v>
      </c>
      <c r="G2133" s="164">
        <v>2024</v>
      </c>
      <c r="H2133" s="175">
        <v>45545</v>
      </c>
      <c r="I2133" s="175">
        <v>45545</v>
      </c>
      <c r="J2133" s="168" t="s">
        <v>7375</v>
      </c>
      <c r="K2133" s="174">
        <v>45552</v>
      </c>
      <c r="L2133" s="129" t="s">
        <v>3127</v>
      </c>
      <c r="M2133" s="129" t="s">
        <v>4</v>
      </c>
      <c r="N2133" s="129" t="s">
        <v>50</v>
      </c>
      <c r="O2133" s="129" t="s">
        <v>3406</v>
      </c>
      <c r="P2133" s="146"/>
      <c r="Q2133" s="170">
        <v>45553</v>
      </c>
      <c r="R2133" s="171" t="s">
        <v>150</v>
      </c>
      <c r="S2133" s="172"/>
    </row>
    <row r="2134" spans="1:19" ht="42.75">
      <c r="A2134" s="164" t="s">
        <v>778</v>
      </c>
      <c r="B2134" s="165" t="s">
        <v>1400</v>
      </c>
      <c r="C2134" s="165" t="s">
        <v>5651</v>
      </c>
      <c r="D2134" s="164">
        <v>1612</v>
      </c>
      <c r="E2134" s="164">
        <v>1939</v>
      </c>
      <c r="F2134" s="164" t="s">
        <v>3404</v>
      </c>
      <c r="G2134" s="164">
        <v>2024</v>
      </c>
      <c r="H2134" s="175">
        <v>45518</v>
      </c>
      <c r="I2134" s="175">
        <v>45522</v>
      </c>
      <c r="J2134" s="168" t="s">
        <v>7376</v>
      </c>
      <c r="K2134" s="174">
        <v>45523</v>
      </c>
      <c r="L2134" s="129" t="s">
        <v>3126</v>
      </c>
      <c r="M2134" s="129" t="s">
        <v>4</v>
      </c>
      <c r="N2134" s="129" t="s">
        <v>50</v>
      </c>
      <c r="O2134" s="129" t="s">
        <v>3406</v>
      </c>
      <c r="P2134" s="146"/>
      <c r="Q2134" s="170">
        <v>45525</v>
      </c>
      <c r="R2134" s="171"/>
      <c r="S2134" s="172"/>
    </row>
    <row r="2135" spans="1:19" ht="42.75">
      <c r="A2135" s="164" t="s">
        <v>778</v>
      </c>
      <c r="B2135" s="165" t="s">
        <v>1400</v>
      </c>
      <c r="C2135" s="165" t="s">
        <v>5652</v>
      </c>
      <c r="D2135" s="164">
        <v>2216</v>
      </c>
      <c r="E2135" s="164">
        <v>2507</v>
      </c>
      <c r="F2135" s="164" t="s">
        <v>3955</v>
      </c>
      <c r="G2135" s="164"/>
      <c r="H2135" s="167"/>
      <c r="I2135" s="167"/>
      <c r="J2135" s="167"/>
      <c r="K2135" s="169"/>
      <c r="L2135" s="129"/>
      <c r="M2135" s="129"/>
      <c r="N2135" s="129"/>
      <c r="O2135" s="129"/>
      <c r="P2135" s="146"/>
      <c r="Q2135" s="170"/>
      <c r="R2135" s="171"/>
      <c r="S2135" s="172"/>
    </row>
    <row r="2136" spans="1:19" ht="42.75">
      <c r="A2136" s="164" t="s">
        <v>778</v>
      </c>
      <c r="B2136" s="165" t="s">
        <v>1400</v>
      </c>
      <c r="C2136" s="165" t="s">
        <v>5653</v>
      </c>
      <c r="D2136" s="164">
        <v>1999</v>
      </c>
      <c r="E2136" s="164">
        <v>2515</v>
      </c>
      <c r="F2136" s="164" t="s">
        <v>3955</v>
      </c>
      <c r="G2136" s="164"/>
      <c r="H2136" s="167"/>
      <c r="I2136" s="167"/>
      <c r="J2136" s="167"/>
      <c r="K2136" s="169"/>
      <c r="L2136" s="129"/>
      <c r="M2136" s="129"/>
      <c r="N2136" s="129"/>
      <c r="O2136" s="129"/>
      <c r="P2136" s="146"/>
      <c r="Q2136" s="170"/>
      <c r="R2136" s="171"/>
      <c r="S2136" s="172"/>
    </row>
    <row r="2137" spans="1:19" ht="42.75">
      <c r="A2137" s="164" t="s">
        <v>778</v>
      </c>
      <c r="B2137" s="165" t="s">
        <v>1400</v>
      </c>
      <c r="C2137" s="165" t="s">
        <v>5654</v>
      </c>
      <c r="D2137" s="164">
        <v>1123</v>
      </c>
      <c r="E2137" s="164">
        <v>1551</v>
      </c>
      <c r="F2137" s="164" t="s">
        <v>3404</v>
      </c>
      <c r="G2137" s="164">
        <v>2024</v>
      </c>
      <c r="H2137" s="175">
        <v>45518</v>
      </c>
      <c r="I2137" s="175">
        <v>45522</v>
      </c>
      <c r="J2137" s="168" t="s">
        <v>7377</v>
      </c>
      <c r="K2137" s="174">
        <v>45523</v>
      </c>
      <c r="L2137" s="129" t="s">
        <v>3126</v>
      </c>
      <c r="M2137" s="129" t="s">
        <v>4</v>
      </c>
      <c r="N2137" s="129" t="s">
        <v>50</v>
      </c>
      <c r="O2137" s="129" t="s">
        <v>3406</v>
      </c>
      <c r="P2137" s="146"/>
      <c r="Q2137" s="170">
        <v>45525</v>
      </c>
      <c r="R2137" s="171"/>
      <c r="S2137" s="172"/>
    </row>
    <row r="2138" spans="1:19" ht="42.75">
      <c r="A2138" s="164" t="s">
        <v>778</v>
      </c>
      <c r="B2138" s="165" t="s">
        <v>1400</v>
      </c>
      <c r="C2138" s="165" t="s">
        <v>5655</v>
      </c>
      <c r="D2138" s="164">
        <v>1288</v>
      </c>
      <c r="E2138" s="164">
        <v>863</v>
      </c>
      <c r="F2138" s="164" t="s">
        <v>3404</v>
      </c>
      <c r="G2138" s="164">
        <v>2024</v>
      </c>
      <c r="H2138" s="175">
        <v>45518</v>
      </c>
      <c r="I2138" s="175">
        <v>45522</v>
      </c>
      <c r="J2138" s="168" t="s">
        <v>7378</v>
      </c>
      <c r="K2138" s="174">
        <v>45523</v>
      </c>
      <c r="L2138" s="129" t="s">
        <v>3126</v>
      </c>
      <c r="M2138" s="129" t="s">
        <v>4</v>
      </c>
      <c r="N2138" s="129" t="s">
        <v>50</v>
      </c>
      <c r="O2138" s="129" t="s">
        <v>3406</v>
      </c>
      <c r="P2138" s="146"/>
      <c r="Q2138" s="170">
        <v>45525</v>
      </c>
      <c r="R2138" s="171"/>
      <c r="S2138" s="172"/>
    </row>
    <row r="2139" spans="1:19" ht="42.75">
      <c r="A2139" s="164" t="s">
        <v>778</v>
      </c>
      <c r="B2139" s="165" t="s">
        <v>1400</v>
      </c>
      <c r="C2139" s="165" t="s">
        <v>5657</v>
      </c>
      <c r="D2139" s="164">
        <v>1144</v>
      </c>
      <c r="E2139" s="164">
        <v>1100</v>
      </c>
      <c r="F2139" s="164" t="s">
        <v>3955</v>
      </c>
      <c r="G2139" s="164"/>
      <c r="H2139" s="167"/>
      <c r="I2139" s="167"/>
      <c r="J2139" s="167"/>
      <c r="K2139" s="169"/>
      <c r="L2139" s="129"/>
      <c r="M2139" s="129"/>
      <c r="N2139" s="129"/>
      <c r="O2139" s="129"/>
      <c r="P2139" s="146"/>
      <c r="Q2139" s="170"/>
      <c r="R2139" s="171"/>
      <c r="S2139" s="172"/>
    </row>
    <row r="2140" spans="1:19" ht="42.75">
      <c r="A2140" s="164" t="s">
        <v>778</v>
      </c>
      <c r="B2140" s="165" t="s">
        <v>1400</v>
      </c>
      <c r="C2140" s="165" t="s">
        <v>5658</v>
      </c>
      <c r="D2140" s="164">
        <v>4552</v>
      </c>
      <c r="E2140" s="164">
        <v>3520</v>
      </c>
      <c r="F2140" s="164" t="s">
        <v>3955</v>
      </c>
      <c r="G2140" s="164"/>
      <c r="H2140" s="167"/>
      <c r="I2140" s="167"/>
      <c r="J2140" s="167"/>
      <c r="K2140" s="169"/>
      <c r="L2140" s="129"/>
      <c r="M2140" s="129"/>
      <c r="N2140" s="129"/>
      <c r="O2140" s="129"/>
      <c r="P2140" s="146"/>
      <c r="Q2140" s="170"/>
      <c r="R2140" s="171"/>
      <c r="S2140" s="172"/>
    </row>
    <row r="2141" spans="1:19" ht="42.75">
      <c r="A2141" s="164" t="s">
        <v>778</v>
      </c>
      <c r="B2141" s="165" t="s">
        <v>1400</v>
      </c>
      <c r="C2141" s="165" t="s">
        <v>5659</v>
      </c>
      <c r="D2141" s="164">
        <v>3494</v>
      </c>
      <c r="E2141" s="164">
        <v>3751</v>
      </c>
      <c r="F2141" s="164" t="s">
        <v>3955</v>
      </c>
      <c r="G2141" s="164"/>
      <c r="H2141" s="167"/>
      <c r="I2141" s="167"/>
      <c r="J2141" s="167"/>
      <c r="K2141" s="169"/>
      <c r="L2141" s="129"/>
      <c r="M2141" s="129"/>
      <c r="N2141" s="129"/>
      <c r="O2141" s="129"/>
      <c r="P2141" s="146"/>
      <c r="Q2141" s="170"/>
      <c r="R2141" s="171"/>
      <c r="S2141" s="172"/>
    </row>
    <row r="2142" spans="1:19" ht="42.75">
      <c r="A2142" s="164" t="s">
        <v>778</v>
      </c>
      <c r="B2142" s="165" t="s">
        <v>1400</v>
      </c>
      <c r="C2142" s="165" t="s">
        <v>1253</v>
      </c>
      <c r="D2142" s="164">
        <v>1056</v>
      </c>
      <c r="E2142" s="164">
        <v>1238</v>
      </c>
      <c r="F2142" s="164" t="s">
        <v>3955</v>
      </c>
      <c r="G2142" s="164"/>
      <c r="H2142" s="167"/>
      <c r="I2142" s="167"/>
      <c r="J2142" s="167"/>
      <c r="K2142" s="169"/>
      <c r="L2142" s="129"/>
      <c r="M2142" s="129"/>
      <c r="N2142" s="129"/>
      <c r="O2142" s="129"/>
      <c r="P2142" s="146"/>
      <c r="Q2142" s="170"/>
      <c r="R2142" s="171"/>
      <c r="S2142" s="172"/>
    </row>
    <row r="2143" spans="1:19" ht="42.75">
      <c r="A2143" s="164" t="s">
        <v>778</v>
      </c>
      <c r="B2143" s="165" t="s">
        <v>1400</v>
      </c>
      <c r="C2143" s="165" t="s">
        <v>1899</v>
      </c>
      <c r="D2143" s="164">
        <v>2171</v>
      </c>
      <c r="E2143" s="164">
        <v>2452</v>
      </c>
      <c r="F2143" s="164" t="s">
        <v>3404</v>
      </c>
      <c r="G2143" s="164">
        <v>2024</v>
      </c>
      <c r="H2143" s="175">
        <v>45545</v>
      </c>
      <c r="I2143" s="175">
        <v>45545</v>
      </c>
      <c r="J2143" s="168" t="s">
        <v>7379</v>
      </c>
      <c r="K2143" s="174">
        <v>45553</v>
      </c>
      <c r="L2143" s="129" t="s">
        <v>3127</v>
      </c>
      <c r="M2143" s="129" t="s">
        <v>4</v>
      </c>
      <c r="N2143" s="129" t="s">
        <v>50</v>
      </c>
      <c r="O2143" s="129" t="s">
        <v>3406</v>
      </c>
      <c r="P2143" s="146"/>
      <c r="Q2143" s="170">
        <v>45553</v>
      </c>
      <c r="R2143" s="171" t="s">
        <v>150</v>
      </c>
      <c r="S2143" s="172"/>
    </row>
    <row r="2144" spans="1:19" ht="42.75">
      <c r="A2144" s="164" t="s">
        <v>778</v>
      </c>
      <c r="B2144" s="165" t="s">
        <v>1400</v>
      </c>
      <c r="C2144" s="165" t="s">
        <v>5662</v>
      </c>
      <c r="D2144" s="164">
        <v>3439</v>
      </c>
      <c r="E2144" s="164">
        <v>3262</v>
      </c>
      <c r="F2144" s="164" t="s">
        <v>3955</v>
      </c>
      <c r="G2144" s="164"/>
      <c r="H2144" s="167"/>
      <c r="I2144" s="167"/>
      <c r="J2144" s="167"/>
      <c r="K2144" s="169"/>
      <c r="L2144" s="129"/>
      <c r="M2144" s="129"/>
      <c r="N2144" s="129"/>
      <c r="O2144" s="129"/>
      <c r="P2144" s="146"/>
      <c r="Q2144" s="170"/>
      <c r="R2144" s="171"/>
      <c r="S2144" s="172"/>
    </row>
    <row r="2145" spans="1:19" ht="42.75">
      <c r="A2145" s="164" t="s">
        <v>778</v>
      </c>
      <c r="B2145" s="165" t="s">
        <v>1400</v>
      </c>
      <c r="C2145" s="165" t="s">
        <v>5663</v>
      </c>
      <c r="D2145" s="164">
        <v>2216</v>
      </c>
      <c r="E2145" s="164">
        <v>2217</v>
      </c>
      <c r="F2145" s="164" t="s">
        <v>3955</v>
      </c>
      <c r="G2145" s="164"/>
      <c r="H2145" s="167"/>
      <c r="I2145" s="167"/>
      <c r="J2145" s="167"/>
      <c r="K2145" s="169"/>
      <c r="L2145" s="129"/>
      <c r="M2145" s="129"/>
      <c r="N2145" s="129"/>
      <c r="O2145" s="129"/>
      <c r="P2145" s="146"/>
      <c r="Q2145" s="170"/>
      <c r="R2145" s="171"/>
      <c r="S2145" s="172"/>
    </row>
    <row r="2146" spans="1:19" ht="42.75">
      <c r="A2146" s="164" t="s">
        <v>778</v>
      </c>
      <c r="B2146" s="165" t="s">
        <v>1400</v>
      </c>
      <c r="C2146" s="165" t="s">
        <v>5664</v>
      </c>
      <c r="D2146" s="164">
        <v>2001</v>
      </c>
      <c r="E2146" s="164">
        <v>1932</v>
      </c>
      <c r="F2146" s="164" t="s">
        <v>3955</v>
      </c>
      <c r="G2146" s="164"/>
      <c r="H2146" s="167"/>
      <c r="I2146" s="167"/>
      <c r="J2146" s="167"/>
      <c r="K2146" s="169"/>
      <c r="L2146" s="129"/>
      <c r="M2146" s="129"/>
      <c r="N2146" s="129"/>
      <c r="O2146" s="129"/>
      <c r="P2146" s="146"/>
      <c r="Q2146" s="170"/>
      <c r="R2146" s="171"/>
      <c r="S2146" s="172"/>
    </row>
    <row r="2147" spans="1:19" ht="42.75">
      <c r="A2147" s="164" t="s">
        <v>778</v>
      </c>
      <c r="B2147" s="165" t="s">
        <v>1400</v>
      </c>
      <c r="C2147" s="165" t="s">
        <v>5661</v>
      </c>
      <c r="D2147" s="164">
        <v>1373</v>
      </c>
      <c r="E2147" s="164">
        <v>1212</v>
      </c>
      <c r="F2147" s="164" t="s">
        <v>3955</v>
      </c>
      <c r="G2147" s="164"/>
      <c r="H2147" s="167"/>
      <c r="I2147" s="167"/>
      <c r="J2147" s="167"/>
      <c r="K2147" s="169"/>
      <c r="L2147" s="129"/>
      <c r="M2147" s="129"/>
      <c r="N2147" s="129"/>
      <c r="O2147" s="129"/>
      <c r="P2147" s="146"/>
      <c r="Q2147" s="170"/>
      <c r="R2147" s="171"/>
      <c r="S2147" s="172"/>
    </row>
    <row r="2148" spans="1:19" ht="42.75">
      <c r="A2148" s="164" t="s">
        <v>778</v>
      </c>
      <c r="B2148" s="165" t="s">
        <v>1400</v>
      </c>
      <c r="C2148" s="165" t="s">
        <v>5665</v>
      </c>
      <c r="D2148" s="164">
        <v>3022</v>
      </c>
      <c r="E2148" s="164">
        <v>3251</v>
      </c>
      <c r="F2148" s="164" t="s">
        <v>3955</v>
      </c>
      <c r="G2148" s="164"/>
      <c r="H2148" s="167"/>
      <c r="I2148" s="167"/>
      <c r="J2148" s="167"/>
      <c r="K2148" s="169"/>
      <c r="L2148" s="129"/>
      <c r="M2148" s="129"/>
      <c r="N2148" s="129"/>
      <c r="O2148" s="129"/>
      <c r="P2148" s="146"/>
      <c r="Q2148" s="170"/>
      <c r="R2148" s="171"/>
      <c r="S2148" s="172"/>
    </row>
    <row r="2149" spans="1:19" ht="42.75">
      <c r="A2149" s="164" t="s">
        <v>778</v>
      </c>
      <c r="B2149" s="165" t="s">
        <v>1400</v>
      </c>
      <c r="C2149" s="165" t="s">
        <v>5666</v>
      </c>
      <c r="D2149" s="164">
        <v>1719</v>
      </c>
      <c r="E2149" s="164">
        <v>1835</v>
      </c>
      <c r="F2149" s="164" t="s">
        <v>3955</v>
      </c>
      <c r="G2149" s="164"/>
      <c r="H2149" s="167"/>
      <c r="I2149" s="167"/>
      <c r="J2149" s="167"/>
      <c r="K2149" s="169"/>
      <c r="L2149" s="129"/>
      <c r="M2149" s="129"/>
      <c r="N2149" s="129"/>
      <c r="O2149" s="129"/>
      <c r="P2149" s="146"/>
      <c r="Q2149" s="170"/>
      <c r="R2149" s="171"/>
      <c r="S2149" s="172"/>
    </row>
    <row r="2150" spans="1:19" ht="42.75">
      <c r="A2150" s="164" t="s">
        <v>778</v>
      </c>
      <c r="B2150" s="165" t="s">
        <v>1400</v>
      </c>
      <c r="C2150" s="165" t="s">
        <v>3727</v>
      </c>
      <c r="D2150" s="164">
        <v>3660</v>
      </c>
      <c r="E2150" s="164">
        <v>3604</v>
      </c>
      <c r="F2150" s="164" t="s">
        <v>3955</v>
      </c>
      <c r="G2150" s="164"/>
      <c r="H2150" s="167"/>
      <c r="I2150" s="167"/>
      <c r="J2150" s="167"/>
      <c r="K2150" s="169"/>
      <c r="L2150" s="129"/>
      <c r="M2150" s="129"/>
      <c r="N2150" s="129"/>
      <c r="O2150" s="129"/>
      <c r="P2150" s="146"/>
      <c r="Q2150" s="170"/>
      <c r="R2150" s="171"/>
      <c r="S2150" s="172"/>
    </row>
    <row r="2151" spans="1:19" ht="42.75">
      <c r="A2151" s="164" t="s">
        <v>778</v>
      </c>
      <c r="B2151" s="165" t="s">
        <v>1404</v>
      </c>
      <c r="C2151" s="165" t="s">
        <v>5667</v>
      </c>
      <c r="D2151" s="164">
        <v>2932</v>
      </c>
      <c r="E2151" s="164">
        <v>2922</v>
      </c>
      <c r="F2151" s="164" t="s">
        <v>3955</v>
      </c>
      <c r="G2151" s="164"/>
      <c r="H2151" s="167"/>
      <c r="I2151" s="167"/>
      <c r="J2151" s="167"/>
      <c r="K2151" s="169"/>
      <c r="L2151" s="129"/>
      <c r="M2151" s="129"/>
      <c r="N2151" s="129"/>
      <c r="O2151" s="129"/>
      <c r="P2151" s="146"/>
      <c r="Q2151" s="170"/>
      <c r="R2151" s="171"/>
      <c r="S2151" s="172"/>
    </row>
    <row r="2152" spans="1:19" ht="42.75">
      <c r="A2152" s="164" t="s">
        <v>778</v>
      </c>
      <c r="B2152" s="165" t="s">
        <v>1404</v>
      </c>
      <c r="C2152" s="165" t="s">
        <v>1465</v>
      </c>
      <c r="D2152" s="164">
        <v>5065</v>
      </c>
      <c r="E2152" s="164">
        <v>5858</v>
      </c>
      <c r="F2152" s="164" t="s">
        <v>3955</v>
      </c>
      <c r="G2152" s="164"/>
      <c r="H2152" s="167"/>
      <c r="I2152" s="167"/>
      <c r="J2152" s="167"/>
      <c r="K2152" s="169"/>
      <c r="L2152" s="129"/>
      <c r="M2152" s="129"/>
      <c r="N2152" s="129"/>
      <c r="O2152" s="129"/>
      <c r="P2152" s="146"/>
      <c r="Q2152" s="170"/>
      <c r="R2152" s="171"/>
      <c r="S2152" s="172"/>
    </row>
    <row r="2153" spans="1:19" ht="42.75">
      <c r="A2153" s="164" t="s">
        <v>778</v>
      </c>
      <c r="B2153" s="165" t="s">
        <v>1404</v>
      </c>
      <c r="C2153" s="165" t="s">
        <v>5418</v>
      </c>
      <c r="D2153" s="164">
        <v>2690</v>
      </c>
      <c r="E2153" s="164">
        <v>2638</v>
      </c>
      <c r="F2153" s="164" t="s">
        <v>3955</v>
      </c>
      <c r="G2153" s="164"/>
      <c r="H2153" s="167"/>
      <c r="I2153" s="167"/>
      <c r="J2153" s="167"/>
      <c r="K2153" s="169"/>
      <c r="L2153" s="129"/>
      <c r="M2153" s="129"/>
      <c r="N2153" s="129"/>
      <c r="O2153" s="129"/>
      <c r="P2153" s="146"/>
      <c r="Q2153" s="170"/>
      <c r="R2153" s="171"/>
      <c r="S2153" s="172"/>
    </row>
    <row r="2154" spans="1:19" ht="42.75">
      <c r="A2154" s="164" t="s">
        <v>778</v>
      </c>
      <c r="B2154" s="165" t="s">
        <v>1404</v>
      </c>
      <c r="C2154" s="165" t="s">
        <v>3508</v>
      </c>
      <c r="D2154" s="164">
        <v>1211</v>
      </c>
      <c r="E2154" s="164">
        <v>1320</v>
      </c>
      <c r="F2154" s="164" t="s">
        <v>3955</v>
      </c>
      <c r="G2154" s="164"/>
      <c r="H2154" s="167"/>
      <c r="I2154" s="167"/>
      <c r="J2154" s="167"/>
      <c r="K2154" s="169"/>
      <c r="L2154" s="129"/>
      <c r="M2154" s="129"/>
      <c r="N2154" s="129"/>
      <c r="O2154" s="129"/>
      <c r="P2154" s="146"/>
      <c r="Q2154" s="170"/>
      <c r="R2154" s="171"/>
      <c r="S2154" s="172"/>
    </row>
    <row r="2155" spans="1:19" ht="42.75">
      <c r="A2155" s="164" t="s">
        <v>778</v>
      </c>
      <c r="B2155" s="165" t="s">
        <v>1404</v>
      </c>
      <c r="C2155" s="165" t="s">
        <v>5668</v>
      </c>
      <c r="D2155" s="164">
        <v>2744</v>
      </c>
      <c r="E2155" s="164">
        <v>2835</v>
      </c>
      <c r="F2155" s="164" t="s">
        <v>3955</v>
      </c>
      <c r="G2155" s="164"/>
      <c r="H2155" s="167"/>
      <c r="I2155" s="167"/>
      <c r="J2155" s="167"/>
      <c r="K2155" s="169"/>
      <c r="L2155" s="129"/>
      <c r="M2155" s="129"/>
      <c r="N2155" s="129"/>
      <c r="O2155" s="129"/>
      <c r="P2155" s="146"/>
      <c r="Q2155" s="170"/>
      <c r="R2155" s="171"/>
      <c r="S2155" s="172"/>
    </row>
    <row r="2156" spans="1:19" ht="42.75">
      <c r="A2156" s="164" t="s">
        <v>778</v>
      </c>
      <c r="B2156" s="165" t="s">
        <v>1404</v>
      </c>
      <c r="C2156" s="165" t="s">
        <v>5670</v>
      </c>
      <c r="D2156" s="164">
        <v>1158</v>
      </c>
      <c r="E2156" s="164">
        <v>1239</v>
      </c>
      <c r="F2156" s="164" t="s">
        <v>3955</v>
      </c>
      <c r="G2156" s="164"/>
      <c r="H2156" s="167"/>
      <c r="I2156" s="167"/>
      <c r="J2156" s="167"/>
      <c r="K2156" s="169"/>
      <c r="L2156" s="129"/>
      <c r="M2156" s="129"/>
      <c r="N2156" s="129"/>
      <c r="O2156" s="129"/>
      <c r="P2156" s="146"/>
      <c r="Q2156" s="170"/>
      <c r="R2156" s="171"/>
      <c r="S2156" s="172"/>
    </row>
    <row r="2157" spans="1:19" ht="42.75">
      <c r="A2157" s="164" t="s">
        <v>778</v>
      </c>
      <c r="B2157" s="165" t="s">
        <v>1404</v>
      </c>
      <c r="C2157" s="165" t="s">
        <v>1185</v>
      </c>
      <c r="D2157" s="164">
        <v>1900</v>
      </c>
      <c r="E2157" s="164">
        <v>2252</v>
      </c>
      <c r="F2157" s="164" t="s">
        <v>3955</v>
      </c>
      <c r="G2157" s="164"/>
      <c r="H2157" s="167"/>
      <c r="I2157" s="167"/>
      <c r="J2157" s="167"/>
      <c r="K2157" s="169"/>
      <c r="L2157" s="129"/>
      <c r="M2157" s="129"/>
      <c r="N2157" s="129"/>
      <c r="O2157" s="129"/>
      <c r="P2157" s="146"/>
      <c r="Q2157" s="170"/>
      <c r="R2157" s="171"/>
      <c r="S2157" s="172"/>
    </row>
    <row r="2158" spans="1:19" ht="42.75">
      <c r="A2158" s="164" t="s">
        <v>778</v>
      </c>
      <c r="B2158" s="165" t="s">
        <v>1404</v>
      </c>
      <c r="C2158" s="165" t="s">
        <v>5671</v>
      </c>
      <c r="D2158" s="164">
        <v>2565</v>
      </c>
      <c r="E2158" s="164">
        <v>3086</v>
      </c>
      <c r="F2158" s="164" t="s">
        <v>3955</v>
      </c>
      <c r="G2158" s="164"/>
      <c r="H2158" s="167"/>
      <c r="I2158" s="167"/>
      <c r="J2158" s="167"/>
      <c r="K2158" s="169"/>
      <c r="L2158" s="129"/>
      <c r="M2158" s="129"/>
      <c r="N2158" s="129"/>
      <c r="O2158" s="129"/>
      <c r="P2158" s="146"/>
      <c r="Q2158" s="170"/>
      <c r="R2158" s="171"/>
      <c r="S2158" s="172"/>
    </row>
    <row r="2159" spans="1:19" ht="42.75">
      <c r="A2159" s="164" t="s">
        <v>778</v>
      </c>
      <c r="B2159" s="165" t="s">
        <v>1404</v>
      </c>
      <c r="C2159" s="165" t="s">
        <v>5672</v>
      </c>
      <c r="D2159" s="164">
        <v>2277</v>
      </c>
      <c r="E2159" s="164">
        <v>2617</v>
      </c>
      <c r="F2159" s="164" t="s">
        <v>3955</v>
      </c>
      <c r="G2159" s="164"/>
      <c r="H2159" s="167"/>
      <c r="I2159" s="167"/>
      <c r="J2159" s="167"/>
      <c r="K2159" s="169"/>
      <c r="L2159" s="129"/>
      <c r="M2159" s="129"/>
      <c r="N2159" s="129"/>
      <c r="O2159" s="129"/>
      <c r="P2159" s="146"/>
      <c r="Q2159" s="170"/>
      <c r="R2159" s="171"/>
      <c r="S2159" s="172"/>
    </row>
    <row r="2160" spans="1:19" ht="42.75">
      <c r="A2160" s="164" t="s">
        <v>778</v>
      </c>
      <c r="B2160" s="165" t="s">
        <v>1404</v>
      </c>
      <c r="C2160" s="165" t="s">
        <v>5197</v>
      </c>
      <c r="D2160" s="164">
        <v>2373</v>
      </c>
      <c r="E2160" s="164">
        <v>2513</v>
      </c>
      <c r="F2160" s="164" t="s">
        <v>3955</v>
      </c>
      <c r="G2160" s="164"/>
      <c r="H2160" s="167"/>
      <c r="I2160" s="167"/>
      <c r="J2160" s="167"/>
      <c r="K2160" s="169"/>
      <c r="L2160" s="129"/>
      <c r="M2160" s="129"/>
      <c r="N2160" s="129"/>
      <c r="O2160" s="129"/>
      <c r="P2160" s="146"/>
      <c r="Q2160" s="170"/>
      <c r="R2160" s="171"/>
      <c r="S2160" s="172"/>
    </row>
    <row r="2161" spans="1:19" ht="42.75">
      <c r="A2161" s="164" t="s">
        <v>778</v>
      </c>
      <c r="B2161" s="165" t="s">
        <v>1404</v>
      </c>
      <c r="C2161" s="165" t="s">
        <v>5673</v>
      </c>
      <c r="D2161" s="164">
        <v>649</v>
      </c>
      <c r="E2161" s="164">
        <v>863</v>
      </c>
      <c r="F2161" s="164" t="s">
        <v>3955</v>
      </c>
      <c r="G2161" s="164"/>
      <c r="H2161" s="167"/>
      <c r="I2161" s="167"/>
      <c r="J2161" s="167"/>
      <c r="K2161" s="169"/>
      <c r="L2161" s="129"/>
      <c r="M2161" s="129"/>
      <c r="N2161" s="129"/>
      <c r="O2161" s="129"/>
      <c r="P2161" s="146"/>
      <c r="Q2161" s="170"/>
      <c r="R2161" s="171"/>
      <c r="S2161" s="172"/>
    </row>
    <row r="2162" spans="1:19" ht="42.75">
      <c r="A2162" s="164" t="s">
        <v>778</v>
      </c>
      <c r="B2162" s="165" t="s">
        <v>1404</v>
      </c>
      <c r="C2162" s="165" t="s">
        <v>5675</v>
      </c>
      <c r="D2162" s="164">
        <v>706</v>
      </c>
      <c r="E2162" s="164">
        <v>848</v>
      </c>
      <c r="F2162" s="164" t="s">
        <v>3955</v>
      </c>
      <c r="G2162" s="164"/>
      <c r="H2162" s="167"/>
      <c r="I2162" s="167"/>
      <c r="J2162" s="167"/>
      <c r="K2162" s="169"/>
      <c r="L2162" s="129"/>
      <c r="M2162" s="129"/>
      <c r="N2162" s="129"/>
      <c r="O2162" s="129"/>
      <c r="P2162" s="146"/>
      <c r="Q2162" s="170"/>
      <c r="R2162" s="171"/>
      <c r="S2162" s="172"/>
    </row>
    <row r="2163" spans="1:19" ht="42.75">
      <c r="A2163" s="164" t="s">
        <v>778</v>
      </c>
      <c r="B2163" s="165" t="s">
        <v>1404</v>
      </c>
      <c r="C2163" s="165" t="s">
        <v>4344</v>
      </c>
      <c r="D2163" s="164">
        <v>5032</v>
      </c>
      <c r="E2163" s="164">
        <v>4799</v>
      </c>
      <c r="F2163" s="164" t="s">
        <v>3955</v>
      </c>
      <c r="G2163" s="164"/>
      <c r="H2163" s="167"/>
      <c r="I2163" s="167"/>
      <c r="J2163" s="167"/>
      <c r="K2163" s="169"/>
      <c r="L2163" s="129"/>
      <c r="M2163" s="129"/>
      <c r="N2163" s="129"/>
      <c r="O2163" s="129"/>
      <c r="P2163" s="146"/>
      <c r="Q2163" s="170"/>
      <c r="R2163" s="171"/>
      <c r="S2163" s="172"/>
    </row>
    <row r="2164" spans="1:19" ht="42.75">
      <c r="A2164" s="164" t="s">
        <v>778</v>
      </c>
      <c r="B2164" s="165" t="s">
        <v>1404</v>
      </c>
      <c r="C2164" s="165" t="s">
        <v>5676</v>
      </c>
      <c r="D2164" s="164">
        <v>2279</v>
      </c>
      <c r="E2164" s="164">
        <v>2411</v>
      </c>
      <c r="F2164" s="164" t="s">
        <v>3955</v>
      </c>
      <c r="G2164" s="164"/>
      <c r="H2164" s="167"/>
      <c r="I2164" s="167"/>
      <c r="J2164" s="167"/>
      <c r="K2164" s="169"/>
      <c r="L2164" s="129"/>
      <c r="M2164" s="129"/>
      <c r="N2164" s="129"/>
      <c r="O2164" s="129"/>
      <c r="P2164" s="146"/>
      <c r="Q2164" s="170"/>
      <c r="R2164" s="171"/>
      <c r="S2164" s="172"/>
    </row>
    <row r="2165" spans="1:19" ht="42.75">
      <c r="A2165" s="164" t="s">
        <v>778</v>
      </c>
      <c r="B2165" s="165" t="s">
        <v>1404</v>
      </c>
      <c r="C2165" s="165" t="s">
        <v>5677</v>
      </c>
      <c r="D2165" s="164">
        <v>3784</v>
      </c>
      <c r="E2165" s="164">
        <v>4136</v>
      </c>
      <c r="F2165" s="164" t="s">
        <v>3955</v>
      </c>
      <c r="G2165" s="164"/>
      <c r="H2165" s="167"/>
      <c r="I2165" s="167"/>
      <c r="J2165" s="167"/>
      <c r="K2165" s="169"/>
      <c r="L2165" s="129"/>
      <c r="M2165" s="129"/>
      <c r="N2165" s="129"/>
      <c r="O2165" s="129"/>
      <c r="P2165" s="146"/>
      <c r="Q2165" s="170"/>
      <c r="R2165" s="171"/>
      <c r="S2165" s="172"/>
    </row>
    <row r="2166" spans="1:19" ht="42.75">
      <c r="A2166" s="164" t="s">
        <v>778</v>
      </c>
      <c r="B2166" s="165" t="s">
        <v>1404</v>
      </c>
      <c r="C2166" s="165" t="s">
        <v>5678</v>
      </c>
      <c r="D2166" s="164">
        <v>1550</v>
      </c>
      <c r="E2166" s="164">
        <v>1950</v>
      </c>
      <c r="F2166" s="164" t="s">
        <v>3955</v>
      </c>
      <c r="G2166" s="164"/>
      <c r="H2166" s="167"/>
      <c r="I2166" s="167"/>
      <c r="J2166" s="167"/>
      <c r="K2166" s="169"/>
      <c r="L2166" s="129"/>
      <c r="M2166" s="129"/>
      <c r="N2166" s="129"/>
      <c r="O2166" s="129"/>
      <c r="P2166" s="146"/>
      <c r="Q2166" s="170"/>
      <c r="R2166" s="171"/>
      <c r="S2166" s="172"/>
    </row>
    <row r="2167" spans="1:19" ht="42.75">
      <c r="A2167" s="164" t="s">
        <v>778</v>
      </c>
      <c r="B2167" s="165" t="s">
        <v>1404</v>
      </c>
      <c r="C2167" s="165" t="s">
        <v>5679</v>
      </c>
      <c r="D2167" s="164">
        <v>3175</v>
      </c>
      <c r="E2167" s="164">
        <v>3194</v>
      </c>
      <c r="F2167" s="164" t="s">
        <v>3955</v>
      </c>
      <c r="G2167" s="164"/>
      <c r="H2167" s="167"/>
      <c r="I2167" s="167"/>
      <c r="J2167" s="167"/>
      <c r="K2167" s="169"/>
      <c r="L2167" s="129"/>
      <c r="M2167" s="129"/>
      <c r="N2167" s="129"/>
      <c r="O2167" s="129"/>
      <c r="P2167" s="146"/>
      <c r="Q2167" s="170"/>
      <c r="R2167" s="171"/>
      <c r="S2167" s="172"/>
    </row>
    <row r="2168" spans="1:19" ht="42.75">
      <c r="A2168" s="164" t="s">
        <v>778</v>
      </c>
      <c r="B2168" s="165" t="s">
        <v>1404</v>
      </c>
      <c r="C2168" s="165" t="s">
        <v>5680</v>
      </c>
      <c r="D2168" s="164">
        <v>2028</v>
      </c>
      <c r="E2168" s="164">
        <v>2285</v>
      </c>
      <c r="F2168" s="164" t="s">
        <v>3955</v>
      </c>
      <c r="G2168" s="164"/>
      <c r="H2168" s="167"/>
      <c r="I2168" s="167"/>
      <c r="J2168" s="167"/>
      <c r="K2168" s="169"/>
      <c r="L2168" s="129"/>
      <c r="M2168" s="129"/>
      <c r="N2168" s="129"/>
      <c r="O2168" s="129"/>
      <c r="P2168" s="146"/>
      <c r="Q2168" s="170"/>
      <c r="R2168" s="171"/>
      <c r="S2168" s="172"/>
    </row>
    <row r="2169" spans="1:19" ht="42.75">
      <c r="A2169" s="164" t="s">
        <v>778</v>
      </c>
      <c r="B2169" s="165" t="s">
        <v>1404</v>
      </c>
      <c r="C2169" s="165" t="s">
        <v>5681</v>
      </c>
      <c r="D2169" s="164">
        <v>28524</v>
      </c>
      <c r="E2169" s="164">
        <v>29027</v>
      </c>
      <c r="F2169" s="164" t="s">
        <v>3955</v>
      </c>
      <c r="G2169" s="164"/>
      <c r="H2169" s="167"/>
      <c r="I2169" s="167"/>
      <c r="J2169" s="167"/>
      <c r="K2169" s="169"/>
      <c r="L2169" s="129"/>
      <c r="M2169" s="129"/>
      <c r="N2169" s="129"/>
      <c r="O2169" s="129"/>
      <c r="P2169" s="146"/>
      <c r="Q2169" s="170"/>
      <c r="R2169" s="171"/>
      <c r="S2169" s="172"/>
    </row>
    <row r="2170" spans="1:19" ht="42.75">
      <c r="A2170" s="164" t="s">
        <v>778</v>
      </c>
      <c r="B2170" s="165" t="s">
        <v>1404</v>
      </c>
      <c r="C2170" s="165" t="s">
        <v>5682</v>
      </c>
      <c r="D2170" s="164">
        <v>2374</v>
      </c>
      <c r="E2170" s="164">
        <v>2699</v>
      </c>
      <c r="F2170" s="164" t="s">
        <v>3955</v>
      </c>
      <c r="G2170" s="164"/>
      <c r="H2170" s="167"/>
      <c r="I2170" s="167"/>
      <c r="J2170" s="167"/>
      <c r="K2170" s="169"/>
      <c r="L2170" s="129"/>
      <c r="M2170" s="129"/>
      <c r="N2170" s="129"/>
      <c r="O2170" s="129"/>
      <c r="P2170" s="146"/>
      <c r="Q2170" s="170"/>
      <c r="R2170" s="171"/>
      <c r="S2170" s="172"/>
    </row>
    <row r="2171" spans="1:19" ht="42.75">
      <c r="A2171" s="164" t="s">
        <v>778</v>
      </c>
      <c r="B2171" s="165" t="s">
        <v>1404</v>
      </c>
      <c r="C2171" s="165" t="s">
        <v>5490</v>
      </c>
      <c r="D2171" s="164">
        <v>2371</v>
      </c>
      <c r="E2171" s="164">
        <v>4016</v>
      </c>
      <c r="F2171" s="164" t="s">
        <v>3955</v>
      </c>
      <c r="G2171" s="164"/>
      <c r="H2171" s="167"/>
      <c r="I2171" s="167"/>
      <c r="J2171" s="167"/>
      <c r="K2171" s="169"/>
      <c r="L2171" s="129"/>
      <c r="M2171" s="129"/>
      <c r="N2171" s="129"/>
      <c r="O2171" s="129"/>
      <c r="P2171" s="146"/>
      <c r="Q2171" s="170"/>
      <c r="R2171" s="171"/>
      <c r="S2171" s="172"/>
    </row>
    <row r="2172" spans="1:19" ht="42.75">
      <c r="A2172" s="164" t="s">
        <v>778</v>
      </c>
      <c r="B2172" s="165" t="s">
        <v>1404</v>
      </c>
      <c r="C2172" s="165" t="s">
        <v>5683</v>
      </c>
      <c r="D2172" s="164">
        <v>4231</v>
      </c>
      <c r="E2172" s="164">
        <v>5756</v>
      </c>
      <c r="F2172" s="164" t="s">
        <v>3955</v>
      </c>
      <c r="G2172" s="164"/>
      <c r="H2172" s="167"/>
      <c r="I2172" s="167"/>
      <c r="J2172" s="167"/>
      <c r="K2172" s="169"/>
      <c r="L2172" s="129"/>
      <c r="M2172" s="129"/>
      <c r="N2172" s="129"/>
      <c r="O2172" s="129"/>
      <c r="P2172" s="146"/>
      <c r="Q2172" s="170"/>
      <c r="R2172" s="171"/>
      <c r="S2172" s="172"/>
    </row>
    <row r="2173" spans="1:19" ht="42.75">
      <c r="A2173" s="164" t="s">
        <v>778</v>
      </c>
      <c r="B2173" s="165" t="s">
        <v>1404</v>
      </c>
      <c r="C2173" s="165" t="s">
        <v>5684</v>
      </c>
      <c r="D2173" s="164">
        <v>2368</v>
      </c>
      <c r="E2173" s="164">
        <v>4919</v>
      </c>
      <c r="F2173" s="164" t="s">
        <v>3955</v>
      </c>
      <c r="G2173" s="164"/>
      <c r="H2173" s="167"/>
      <c r="I2173" s="167"/>
      <c r="J2173" s="167"/>
      <c r="K2173" s="169"/>
      <c r="L2173" s="129"/>
      <c r="M2173" s="129"/>
      <c r="N2173" s="129"/>
      <c r="O2173" s="129"/>
      <c r="P2173" s="146"/>
      <c r="Q2173" s="170"/>
      <c r="R2173" s="171"/>
      <c r="S2173" s="172"/>
    </row>
    <row r="2174" spans="1:19" ht="42.75">
      <c r="A2174" s="164" t="s">
        <v>778</v>
      </c>
      <c r="B2174" s="165" t="s">
        <v>1404</v>
      </c>
      <c r="C2174" s="165" t="s">
        <v>914</v>
      </c>
      <c r="D2174" s="164">
        <v>5544</v>
      </c>
      <c r="E2174" s="164">
        <v>5759</v>
      </c>
      <c r="F2174" s="164" t="s">
        <v>3955</v>
      </c>
      <c r="G2174" s="164"/>
      <c r="H2174" s="167"/>
      <c r="I2174" s="167"/>
      <c r="J2174" s="167"/>
      <c r="K2174" s="169"/>
      <c r="L2174" s="129"/>
      <c r="M2174" s="129"/>
      <c r="N2174" s="129"/>
      <c r="O2174" s="129"/>
      <c r="P2174" s="146"/>
      <c r="Q2174" s="170"/>
      <c r="R2174" s="171"/>
      <c r="S2174" s="172"/>
    </row>
    <row r="2175" spans="1:19" ht="42.75">
      <c r="A2175" s="164" t="s">
        <v>778</v>
      </c>
      <c r="B2175" s="165" t="s">
        <v>1404</v>
      </c>
      <c r="C2175" s="165" t="s">
        <v>3809</v>
      </c>
      <c r="D2175" s="164">
        <v>3072</v>
      </c>
      <c r="E2175" s="164">
        <v>3076</v>
      </c>
      <c r="F2175" s="164" t="s">
        <v>3955</v>
      </c>
      <c r="G2175" s="164"/>
      <c r="H2175" s="167"/>
      <c r="I2175" s="167"/>
      <c r="J2175" s="167"/>
      <c r="K2175" s="169"/>
      <c r="L2175" s="129"/>
      <c r="M2175" s="129"/>
      <c r="N2175" s="129"/>
      <c r="O2175" s="129"/>
      <c r="P2175" s="146"/>
      <c r="Q2175" s="170"/>
      <c r="R2175" s="171"/>
      <c r="S2175" s="172"/>
    </row>
    <row r="2176" spans="1:19" ht="42.75">
      <c r="A2176" s="164" t="s">
        <v>778</v>
      </c>
      <c r="B2176" s="165" t="s">
        <v>1404</v>
      </c>
      <c r="C2176" s="165" t="s">
        <v>5685</v>
      </c>
      <c r="D2176" s="164">
        <v>6294</v>
      </c>
      <c r="E2176" s="164">
        <v>6853</v>
      </c>
      <c r="F2176" s="164" t="s">
        <v>3955</v>
      </c>
      <c r="G2176" s="164"/>
      <c r="H2176" s="167"/>
      <c r="I2176" s="167"/>
      <c r="J2176" s="167"/>
      <c r="K2176" s="169"/>
      <c r="L2176" s="129"/>
      <c r="M2176" s="129"/>
      <c r="N2176" s="129"/>
      <c r="O2176" s="129"/>
      <c r="P2176" s="146"/>
      <c r="Q2176" s="170"/>
      <c r="R2176" s="171"/>
      <c r="S2176" s="172"/>
    </row>
    <row r="2177" spans="1:19" ht="42.75">
      <c r="A2177" s="164" t="s">
        <v>778</v>
      </c>
      <c r="B2177" s="165" t="s">
        <v>1404</v>
      </c>
      <c r="C2177" s="165" t="s">
        <v>5686</v>
      </c>
      <c r="D2177" s="164">
        <v>5808</v>
      </c>
      <c r="E2177" s="164">
        <v>6826</v>
      </c>
      <c r="F2177" s="164" t="s">
        <v>3955</v>
      </c>
      <c r="G2177" s="164"/>
      <c r="H2177" s="167"/>
      <c r="I2177" s="167"/>
      <c r="J2177" s="167"/>
      <c r="K2177" s="169"/>
      <c r="L2177" s="129"/>
      <c r="M2177" s="129"/>
      <c r="N2177" s="129"/>
      <c r="O2177" s="129"/>
      <c r="P2177" s="146"/>
      <c r="Q2177" s="170"/>
      <c r="R2177" s="171"/>
      <c r="S2177" s="172"/>
    </row>
    <row r="2178" spans="1:19" ht="42.75">
      <c r="A2178" s="164" t="s">
        <v>778</v>
      </c>
      <c r="B2178" s="165" t="s">
        <v>1404</v>
      </c>
      <c r="C2178" s="165" t="s">
        <v>918</v>
      </c>
      <c r="D2178" s="164">
        <v>3984</v>
      </c>
      <c r="E2178" s="164">
        <v>4492</v>
      </c>
      <c r="F2178" s="164" t="s">
        <v>3955</v>
      </c>
      <c r="G2178" s="164"/>
      <c r="H2178" s="167"/>
      <c r="I2178" s="167"/>
      <c r="J2178" s="167"/>
      <c r="K2178" s="169"/>
      <c r="L2178" s="129"/>
      <c r="M2178" s="129"/>
      <c r="N2178" s="129"/>
      <c r="O2178" s="129"/>
      <c r="P2178" s="146"/>
      <c r="Q2178" s="170"/>
      <c r="R2178" s="171"/>
      <c r="S2178" s="172"/>
    </row>
    <row r="2179" spans="1:19" ht="42.75">
      <c r="A2179" s="164" t="s">
        <v>778</v>
      </c>
      <c r="B2179" s="165" t="s">
        <v>1404</v>
      </c>
      <c r="C2179" s="165" t="s">
        <v>950</v>
      </c>
      <c r="D2179" s="164">
        <v>2673</v>
      </c>
      <c r="E2179" s="164">
        <v>2817</v>
      </c>
      <c r="F2179" s="164" t="s">
        <v>3955</v>
      </c>
      <c r="G2179" s="164"/>
      <c r="H2179" s="167"/>
      <c r="I2179" s="167"/>
      <c r="J2179" s="167"/>
      <c r="K2179" s="169"/>
      <c r="L2179" s="129"/>
      <c r="M2179" s="129"/>
      <c r="N2179" s="129"/>
      <c r="O2179" s="129"/>
      <c r="P2179" s="146"/>
      <c r="Q2179" s="170"/>
      <c r="R2179" s="171"/>
      <c r="S2179" s="172"/>
    </row>
    <row r="2180" spans="1:19" ht="42.75">
      <c r="A2180" s="164" t="s">
        <v>778</v>
      </c>
      <c r="B2180" s="165" t="s">
        <v>1404</v>
      </c>
      <c r="C2180" s="165" t="s">
        <v>1151</v>
      </c>
      <c r="D2180" s="164">
        <v>2508</v>
      </c>
      <c r="E2180" s="164">
        <v>3313</v>
      </c>
      <c r="F2180" s="164" t="s">
        <v>3955</v>
      </c>
      <c r="G2180" s="164"/>
      <c r="H2180" s="167"/>
      <c r="I2180" s="167"/>
      <c r="J2180" s="167"/>
      <c r="K2180" s="169"/>
      <c r="L2180" s="129"/>
      <c r="M2180" s="129"/>
      <c r="N2180" s="129"/>
      <c r="O2180" s="129"/>
      <c r="P2180" s="146"/>
      <c r="Q2180" s="170"/>
      <c r="R2180" s="171"/>
      <c r="S2180" s="172"/>
    </row>
    <row r="2181" spans="1:19" ht="42.75">
      <c r="A2181" s="164" t="s">
        <v>778</v>
      </c>
      <c r="B2181" s="165" t="s">
        <v>1404</v>
      </c>
      <c r="C2181" s="165" t="s">
        <v>1439</v>
      </c>
      <c r="D2181" s="164">
        <v>2776</v>
      </c>
      <c r="E2181" s="164">
        <v>2714</v>
      </c>
      <c r="F2181" s="164" t="s">
        <v>3955</v>
      </c>
      <c r="G2181" s="164"/>
      <c r="H2181" s="167"/>
      <c r="I2181" s="167"/>
      <c r="J2181" s="167"/>
      <c r="K2181" s="169"/>
      <c r="L2181" s="129"/>
      <c r="M2181" s="129"/>
      <c r="N2181" s="129"/>
      <c r="O2181" s="129"/>
      <c r="P2181" s="146"/>
      <c r="Q2181" s="170"/>
      <c r="R2181" s="171"/>
      <c r="S2181" s="172"/>
    </row>
    <row r="2182" spans="1:19" ht="42.75">
      <c r="A2182" s="164" t="s">
        <v>778</v>
      </c>
      <c r="B2182" s="165" t="s">
        <v>1404</v>
      </c>
      <c r="C2182" s="165" t="s">
        <v>3723</v>
      </c>
      <c r="D2182" s="164">
        <v>2561</v>
      </c>
      <c r="E2182" s="164">
        <v>2894</v>
      </c>
      <c r="F2182" s="164" t="s">
        <v>3955</v>
      </c>
      <c r="G2182" s="164"/>
      <c r="H2182" s="167"/>
      <c r="I2182" s="167"/>
      <c r="J2182" s="167"/>
      <c r="K2182" s="169"/>
      <c r="L2182" s="129"/>
      <c r="M2182" s="129"/>
      <c r="N2182" s="129"/>
      <c r="O2182" s="129"/>
      <c r="P2182" s="146"/>
      <c r="Q2182" s="170"/>
      <c r="R2182" s="171"/>
      <c r="S2182" s="172"/>
    </row>
    <row r="2183" spans="1:19" ht="42.75">
      <c r="A2183" s="164" t="s">
        <v>778</v>
      </c>
      <c r="B2183" s="165" t="s">
        <v>1404</v>
      </c>
      <c r="C2183" s="165" t="s">
        <v>5687</v>
      </c>
      <c r="D2183" s="164">
        <v>4173</v>
      </c>
      <c r="E2183" s="164">
        <v>4854</v>
      </c>
      <c r="F2183" s="164" t="s">
        <v>3955</v>
      </c>
      <c r="G2183" s="164"/>
      <c r="H2183" s="167"/>
      <c r="I2183" s="167"/>
      <c r="J2183" s="167"/>
      <c r="K2183" s="169"/>
      <c r="L2183" s="129"/>
      <c r="M2183" s="129"/>
      <c r="N2183" s="129"/>
      <c r="O2183" s="129"/>
      <c r="P2183" s="146"/>
      <c r="Q2183" s="170"/>
      <c r="R2183" s="171"/>
      <c r="S2183" s="172"/>
    </row>
    <row r="2184" spans="1:19" ht="42.75">
      <c r="A2184" s="164" t="s">
        <v>778</v>
      </c>
      <c r="B2184" s="165" t="s">
        <v>1404</v>
      </c>
      <c r="C2184" s="165" t="s">
        <v>1155</v>
      </c>
      <c r="D2184" s="164">
        <v>3158</v>
      </c>
      <c r="E2184" s="164">
        <v>4805</v>
      </c>
      <c r="F2184" s="164" t="s">
        <v>3955</v>
      </c>
      <c r="G2184" s="164"/>
      <c r="H2184" s="167"/>
      <c r="I2184" s="167"/>
      <c r="J2184" s="167"/>
      <c r="K2184" s="169"/>
      <c r="L2184" s="129"/>
      <c r="M2184" s="129"/>
      <c r="N2184" s="129"/>
      <c r="O2184" s="129"/>
      <c r="P2184" s="146"/>
      <c r="Q2184" s="170"/>
      <c r="R2184" s="171"/>
      <c r="S2184" s="172"/>
    </row>
    <row r="2185" spans="1:19" ht="42.75">
      <c r="A2185" s="164" t="s">
        <v>778</v>
      </c>
      <c r="B2185" s="165" t="s">
        <v>1404</v>
      </c>
      <c r="C2185" s="165" t="s">
        <v>3974</v>
      </c>
      <c r="D2185" s="164">
        <v>1155</v>
      </c>
      <c r="E2185" s="164">
        <v>1341</v>
      </c>
      <c r="F2185" s="164" t="s">
        <v>3955</v>
      </c>
      <c r="G2185" s="164"/>
      <c r="H2185" s="167"/>
      <c r="I2185" s="167"/>
      <c r="J2185" s="167"/>
      <c r="K2185" s="169"/>
      <c r="L2185" s="129"/>
      <c r="M2185" s="129"/>
      <c r="N2185" s="129"/>
      <c r="O2185" s="129"/>
      <c r="P2185" s="146"/>
      <c r="Q2185" s="170"/>
      <c r="R2185" s="171"/>
      <c r="S2185" s="172"/>
    </row>
    <row r="2186" spans="1:19" ht="42.75">
      <c r="A2186" s="164" t="s">
        <v>778</v>
      </c>
      <c r="B2186" s="165" t="s">
        <v>1404</v>
      </c>
      <c r="C2186" s="165" t="s">
        <v>1166</v>
      </c>
      <c r="D2186" s="164">
        <v>3949</v>
      </c>
      <c r="E2186" s="164">
        <v>4449</v>
      </c>
      <c r="F2186" s="164" t="s">
        <v>3955</v>
      </c>
      <c r="G2186" s="164"/>
      <c r="H2186" s="167"/>
      <c r="I2186" s="167"/>
      <c r="J2186" s="167"/>
      <c r="K2186" s="169"/>
      <c r="L2186" s="129"/>
      <c r="M2186" s="129"/>
      <c r="N2186" s="129"/>
      <c r="O2186" s="129"/>
      <c r="P2186" s="146"/>
      <c r="Q2186" s="170"/>
      <c r="R2186" s="171"/>
      <c r="S2186" s="172"/>
    </row>
    <row r="2187" spans="1:19" ht="42.75">
      <c r="A2187" s="164" t="s">
        <v>778</v>
      </c>
      <c r="B2187" s="165" t="s">
        <v>1404</v>
      </c>
      <c r="C2187" s="165" t="s">
        <v>1899</v>
      </c>
      <c r="D2187" s="164">
        <v>2338</v>
      </c>
      <c r="E2187" s="164">
        <v>2019</v>
      </c>
      <c r="F2187" s="164" t="s">
        <v>3955</v>
      </c>
      <c r="G2187" s="164"/>
      <c r="H2187" s="167"/>
      <c r="I2187" s="167"/>
      <c r="J2187" s="167"/>
      <c r="K2187" s="169"/>
      <c r="L2187" s="129"/>
      <c r="M2187" s="129"/>
      <c r="N2187" s="129"/>
      <c r="O2187" s="129"/>
      <c r="P2187" s="146"/>
      <c r="Q2187" s="170"/>
      <c r="R2187" s="171"/>
      <c r="S2187" s="172"/>
    </row>
    <row r="2188" spans="1:19" ht="42.75">
      <c r="A2188" s="164" t="s">
        <v>778</v>
      </c>
      <c r="B2188" s="165" t="s">
        <v>1404</v>
      </c>
      <c r="C2188" s="165" t="s">
        <v>4950</v>
      </c>
      <c r="D2188" s="164">
        <v>2842</v>
      </c>
      <c r="E2188" s="164">
        <v>2944</v>
      </c>
      <c r="F2188" s="164" t="s">
        <v>3955</v>
      </c>
      <c r="G2188" s="164"/>
      <c r="H2188" s="167"/>
      <c r="I2188" s="167"/>
      <c r="J2188" s="167"/>
      <c r="K2188" s="169"/>
      <c r="L2188" s="129"/>
      <c r="M2188" s="129"/>
      <c r="N2188" s="129"/>
      <c r="O2188" s="129"/>
      <c r="P2188" s="146"/>
      <c r="Q2188" s="170"/>
      <c r="R2188" s="171"/>
      <c r="S2188" s="172"/>
    </row>
    <row r="2189" spans="1:19" ht="42.75">
      <c r="A2189" s="164" t="s">
        <v>778</v>
      </c>
      <c r="B2189" s="165" t="s">
        <v>1404</v>
      </c>
      <c r="C2189" s="165" t="s">
        <v>3133</v>
      </c>
      <c r="D2189" s="164">
        <v>2621</v>
      </c>
      <c r="E2189" s="164">
        <v>2461</v>
      </c>
      <c r="F2189" s="164" t="s">
        <v>3955</v>
      </c>
      <c r="G2189" s="164"/>
      <c r="H2189" s="167"/>
      <c r="I2189" s="167"/>
      <c r="J2189" s="167"/>
      <c r="K2189" s="169"/>
      <c r="L2189" s="129"/>
      <c r="M2189" s="129"/>
      <c r="N2189" s="129"/>
      <c r="O2189" s="129"/>
      <c r="P2189" s="146"/>
      <c r="Q2189" s="170"/>
      <c r="R2189" s="171"/>
      <c r="S2189" s="172"/>
    </row>
    <row r="2190" spans="1:19" ht="42.75">
      <c r="A2190" s="164" t="s">
        <v>778</v>
      </c>
      <c r="B2190" s="165" t="s">
        <v>1404</v>
      </c>
      <c r="C2190" s="165" t="s">
        <v>4261</v>
      </c>
      <c r="D2190" s="164">
        <v>3621</v>
      </c>
      <c r="E2190" s="164">
        <v>4163</v>
      </c>
      <c r="F2190" s="164" t="s">
        <v>3955</v>
      </c>
      <c r="G2190" s="164"/>
      <c r="H2190" s="167"/>
      <c r="I2190" s="167"/>
      <c r="J2190" s="167"/>
      <c r="K2190" s="169"/>
      <c r="L2190" s="129"/>
      <c r="M2190" s="129"/>
      <c r="N2190" s="129"/>
      <c r="O2190" s="129"/>
      <c r="P2190" s="146"/>
      <c r="Q2190" s="170"/>
      <c r="R2190" s="171"/>
      <c r="S2190" s="172"/>
    </row>
    <row r="2191" spans="1:19" ht="42.75">
      <c r="A2191" s="164" t="s">
        <v>778</v>
      </c>
      <c r="B2191" s="165" t="s">
        <v>1404</v>
      </c>
      <c r="C2191" s="165" t="s">
        <v>5688</v>
      </c>
      <c r="D2191" s="164">
        <v>6695</v>
      </c>
      <c r="E2191" s="164">
        <v>8085</v>
      </c>
      <c r="F2191" s="164" t="s">
        <v>3955</v>
      </c>
      <c r="G2191" s="164"/>
      <c r="H2191" s="167"/>
      <c r="I2191" s="167"/>
      <c r="J2191" s="167"/>
      <c r="K2191" s="169"/>
      <c r="L2191" s="129"/>
      <c r="M2191" s="129"/>
      <c r="N2191" s="129"/>
      <c r="O2191" s="129"/>
      <c r="P2191" s="146"/>
      <c r="Q2191" s="170"/>
      <c r="R2191" s="171"/>
      <c r="S2191" s="172"/>
    </row>
    <row r="2192" spans="1:19" ht="42.75">
      <c r="A2192" s="164" t="s">
        <v>778</v>
      </c>
      <c r="B2192" s="165" t="s">
        <v>1404</v>
      </c>
      <c r="C2192" s="165" t="s">
        <v>1405</v>
      </c>
      <c r="D2192" s="164">
        <v>1056</v>
      </c>
      <c r="E2192" s="164">
        <v>1393</v>
      </c>
      <c r="F2192" s="164" t="s">
        <v>3955</v>
      </c>
      <c r="G2192" s="164"/>
      <c r="H2192" s="167"/>
      <c r="I2192" s="167"/>
      <c r="J2192" s="167"/>
      <c r="K2192" s="169"/>
      <c r="L2192" s="129"/>
      <c r="M2192" s="129"/>
      <c r="N2192" s="129"/>
      <c r="O2192" s="129"/>
      <c r="P2192" s="146"/>
      <c r="Q2192" s="170"/>
      <c r="R2192" s="171"/>
      <c r="S2192" s="172"/>
    </row>
    <row r="2193" spans="1:19" ht="42.75">
      <c r="A2193" s="164" t="s">
        <v>778</v>
      </c>
      <c r="B2193" s="165" t="s">
        <v>1404</v>
      </c>
      <c r="C2193" s="165" t="s">
        <v>5689</v>
      </c>
      <c r="D2193" s="164">
        <v>3810</v>
      </c>
      <c r="E2193" s="164">
        <v>3962</v>
      </c>
      <c r="F2193" s="164" t="s">
        <v>3955</v>
      </c>
      <c r="G2193" s="164"/>
      <c r="H2193" s="167"/>
      <c r="I2193" s="167"/>
      <c r="J2193" s="167"/>
      <c r="K2193" s="169"/>
      <c r="L2193" s="129"/>
      <c r="M2193" s="129"/>
      <c r="N2193" s="129"/>
      <c r="O2193" s="129"/>
      <c r="P2193" s="146"/>
      <c r="Q2193" s="170"/>
      <c r="R2193" s="171"/>
      <c r="S2193" s="172"/>
    </row>
    <row r="2194" spans="1:19" ht="42.75">
      <c r="A2194" s="164" t="s">
        <v>778</v>
      </c>
      <c r="B2194" s="165" t="s">
        <v>1411</v>
      </c>
      <c r="C2194" s="165" t="s">
        <v>4484</v>
      </c>
      <c r="D2194" s="164">
        <v>1015</v>
      </c>
      <c r="E2194" s="164">
        <v>1036</v>
      </c>
      <c r="F2194" s="164" t="s">
        <v>3404</v>
      </c>
      <c r="G2194" s="164">
        <v>2024</v>
      </c>
      <c r="H2194" s="175">
        <v>45426</v>
      </c>
      <c r="I2194" s="175">
        <v>45428</v>
      </c>
      <c r="J2194" s="168" t="s">
        <v>7380</v>
      </c>
      <c r="K2194" s="174">
        <v>45428</v>
      </c>
      <c r="L2194" s="129" t="s">
        <v>3532</v>
      </c>
      <c r="M2194" s="129"/>
      <c r="N2194" s="129"/>
      <c r="O2194" s="129" t="s">
        <v>3406</v>
      </c>
      <c r="P2194" s="146"/>
      <c r="Q2194" s="170">
        <v>45429</v>
      </c>
      <c r="R2194" s="171"/>
      <c r="S2194" s="172"/>
    </row>
    <row r="2195" spans="1:19" ht="42.75">
      <c r="A2195" s="164" t="s">
        <v>778</v>
      </c>
      <c r="B2195" s="165" t="s">
        <v>1411</v>
      </c>
      <c r="C2195" s="165" t="s">
        <v>5690</v>
      </c>
      <c r="D2195" s="164">
        <v>1224</v>
      </c>
      <c r="E2195" s="164">
        <v>1072</v>
      </c>
      <c r="F2195" s="164" t="s">
        <v>3955</v>
      </c>
      <c r="G2195" s="164"/>
      <c r="H2195" s="167"/>
      <c r="I2195" s="167"/>
      <c r="J2195" s="167"/>
      <c r="K2195" s="169"/>
      <c r="L2195" s="129"/>
      <c r="M2195" s="129"/>
      <c r="N2195" s="129"/>
      <c r="O2195" s="129"/>
      <c r="P2195" s="146"/>
      <c r="Q2195" s="170"/>
      <c r="R2195" s="171"/>
      <c r="S2195" s="172"/>
    </row>
    <row r="2196" spans="1:19" ht="42.75">
      <c r="A2196" s="164" t="s">
        <v>778</v>
      </c>
      <c r="B2196" s="165" t="s">
        <v>1411</v>
      </c>
      <c r="C2196" s="165" t="s">
        <v>4613</v>
      </c>
      <c r="D2196" s="164">
        <v>6088</v>
      </c>
      <c r="E2196" s="164">
        <v>6862</v>
      </c>
      <c r="F2196" s="164" t="s">
        <v>3404</v>
      </c>
      <c r="G2196" s="164">
        <v>2024</v>
      </c>
      <c r="H2196" s="175">
        <v>45393</v>
      </c>
      <c r="I2196" s="175">
        <v>45397</v>
      </c>
      <c r="J2196" s="168" t="s">
        <v>7381</v>
      </c>
      <c r="K2196" s="174">
        <v>45399</v>
      </c>
      <c r="L2196" s="129" t="s">
        <v>3470</v>
      </c>
      <c r="M2196" s="129"/>
      <c r="N2196" s="129"/>
      <c r="O2196" s="129" t="s">
        <v>3406</v>
      </c>
      <c r="P2196" s="146"/>
      <c r="Q2196" s="170"/>
      <c r="R2196" s="171"/>
      <c r="S2196" s="172"/>
    </row>
    <row r="2197" spans="1:19" ht="42.75">
      <c r="A2197" s="164" t="s">
        <v>778</v>
      </c>
      <c r="B2197" s="165" t="s">
        <v>1411</v>
      </c>
      <c r="C2197" s="165" t="s">
        <v>5691</v>
      </c>
      <c r="D2197" s="164">
        <v>2108</v>
      </c>
      <c r="E2197" s="164">
        <v>2077</v>
      </c>
      <c r="F2197" s="164" t="s">
        <v>3404</v>
      </c>
      <c r="G2197" s="164">
        <v>2024</v>
      </c>
      <c r="H2197" s="175">
        <v>45457</v>
      </c>
      <c r="I2197" s="175">
        <v>45463</v>
      </c>
      <c r="J2197" s="168" t="s">
        <v>7382</v>
      </c>
      <c r="K2197" s="174">
        <v>45463</v>
      </c>
      <c r="L2197" s="129" t="s">
        <v>3689</v>
      </c>
      <c r="M2197" s="129"/>
      <c r="N2197" s="129"/>
      <c r="O2197" s="129" t="s">
        <v>3406</v>
      </c>
      <c r="P2197" s="146"/>
      <c r="Q2197" s="130">
        <v>45463</v>
      </c>
      <c r="R2197" s="171"/>
      <c r="S2197" s="172"/>
    </row>
    <row r="2198" spans="1:19" ht="42.75">
      <c r="A2198" s="164" t="s">
        <v>778</v>
      </c>
      <c r="B2198" s="165" t="s">
        <v>1411</v>
      </c>
      <c r="C2198" s="165" t="s">
        <v>5692</v>
      </c>
      <c r="D2198" s="164">
        <v>1838</v>
      </c>
      <c r="E2198" s="164">
        <v>1949</v>
      </c>
      <c r="F2198" s="164" t="s">
        <v>3404</v>
      </c>
      <c r="G2198" s="164">
        <v>2024</v>
      </c>
      <c r="H2198" s="175">
        <v>45426</v>
      </c>
      <c r="I2198" s="175">
        <v>45428</v>
      </c>
      <c r="J2198" s="168" t="s">
        <v>7383</v>
      </c>
      <c r="K2198" s="174">
        <v>45428</v>
      </c>
      <c r="L2198" s="129" t="s">
        <v>3532</v>
      </c>
      <c r="M2198" s="129"/>
      <c r="N2198" s="129"/>
      <c r="O2198" s="129" t="s">
        <v>3406</v>
      </c>
      <c r="P2198" s="146"/>
      <c r="Q2198" s="170"/>
      <c r="R2198" s="171"/>
      <c r="S2198" s="172"/>
    </row>
    <row r="2199" spans="1:19" ht="42.75">
      <c r="A2199" s="164" t="s">
        <v>778</v>
      </c>
      <c r="B2199" s="165" t="s">
        <v>1411</v>
      </c>
      <c r="C2199" s="165" t="s">
        <v>5693</v>
      </c>
      <c r="D2199" s="164">
        <v>1228</v>
      </c>
      <c r="E2199" s="164">
        <v>1183</v>
      </c>
      <c r="F2199" s="164" t="s">
        <v>3404</v>
      </c>
      <c r="G2199" s="164">
        <v>2024</v>
      </c>
      <c r="H2199" s="175">
        <v>45426</v>
      </c>
      <c r="I2199" s="175">
        <v>45428</v>
      </c>
      <c r="J2199" s="168" t="s">
        <v>7384</v>
      </c>
      <c r="K2199" s="174">
        <v>45428</v>
      </c>
      <c r="L2199" s="129" t="s">
        <v>3532</v>
      </c>
      <c r="M2199" s="129"/>
      <c r="N2199" s="129"/>
      <c r="O2199" s="129" t="s">
        <v>3406</v>
      </c>
      <c r="P2199" s="146"/>
      <c r="Q2199" s="170">
        <v>45429</v>
      </c>
      <c r="R2199" s="171"/>
      <c r="S2199" s="172"/>
    </row>
    <row r="2200" spans="1:19" ht="42.75">
      <c r="A2200" s="164" t="s">
        <v>778</v>
      </c>
      <c r="B2200" s="165" t="s">
        <v>1411</v>
      </c>
      <c r="C2200" s="165" t="s">
        <v>1180</v>
      </c>
      <c r="D2200" s="164">
        <v>4748</v>
      </c>
      <c r="E2200" s="164">
        <v>6007</v>
      </c>
      <c r="F2200" s="164" t="s">
        <v>3955</v>
      </c>
      <c r="G2200" s="164"/>
      <c r="H2200" s="167"/>
      <c r="I2200" s="167"/>
      <c r="J2200" s="167"/>
      <c r="K2200" s="169"/>
      <c r="L2200" s="129"/>
      <c r="M2200" s="129"/>
      <c r="N2200" s="129"/>
      <c r="O2200" s="129"/>
      <c r="P2200" s="146"/>
      <c r="Q2200" s="170"/>
      <c r="R2200" s="171"/>
      <c r="S2200" s="172"/>
    </row>
    <row r="2201" spans="1:19" ht="42.75">
      <c r="A2201" s="164" t="s">
        <v>778</v>
      </c>
      <c r="B2201" s="165" t="s">
        <v>1411</v>
      </c>
      <c r="C2201" s="165" t="s">
        <v>5659</v>
      </c>
      <c r="D2201" s="164">
        <v>3245</v>
      </c>
      <c r="E2201" s="164">
        <v>2972</v>
      </c>
      <c r="F2201" s="164" t="s">
        <v>3404</v>
      </c>
      <c r="G2201" s="164">
        <v>2024</v>
      </c>
      <c r="H2201" s="175">
        <v>45457</v>
      </c>
      <c r="I2201" s="175">
        <v>45459</v>
      </c>
      <c r="J2201" s="168" t="s">
        <v>7385</v>
      </c>
      <c r="K2201" s="174">
        <v>45463</v>
      </c>
      <c r="L2201" s="129" t="s">
        <v>3689</v>
      </c>
      <c r="M2201" s="129"/>
      <c r="N2201" s="129"/>
      <c r="O2201" s="129" t="s">
        <v>3406</v>
      </c>
      <c r="P2201" s="146"/>
      <c r="Q2201" s="130">
        <v>45463</v>
      </c>
      <c r="R2201" s="171"/>
      <c r="S2201" s="172"/>
    </row>
    <row r="2202" spans="1:19" ht="42.75">
      <c r="A2202" s="164" t="s">
        <v>778</v>
      </c>
      <c r="B2202" s="165" t="s">
        <v>1411</v>
      </c>
      <c r="C2202" s="165" t="s">
        <v>1253</v>
      </c>
      <c r="D2202" s="164">
        <v>2677</v>
      </c>
      <c r="E2202" s="164">
        <v>2534</v>
      </c>
      <c r="F2202" s="164" t="s">
        <v>3404</v>
      </c>
      <c r="G2202" s="164">
        <v>2024</v>
      </c>
      <c r="H2202" s="175">
        <v>45457</v>
      </c>
      <c r="I2202" s="175">
        <v>45459</v>
      </c>
      <c r="J2202" s="168" t="s">
        <v>7386</v>
      </c>
      <c r="K2202" s="174">
        <v>45463</v>
      </c>
      <c r="L2202" s="129" t="s">
        <v>3689</v>
      </c>
      <c r="M2202" s="129"/>
      <c r="N2202" s="129"/>
      <c r="O2202" s="129" t="s">
        <v>3406</v>
      </c>
      <c r="P2202" s="146"/>
      <c r="Q2202" s="130">
        <v>45463</v>
      </c>
      <c r="R2202" s="171"/>
      <c r="S2202" s="172"/>
    </row>
    <row r="2203" spans="1:19" ht="42.75">
      <c r="A2203" s="164" t="s">
        <v>778</v>
      </c>
      <c r="B2203" s="165" t="s">
        <v>1411</v>
      </c>
      <c r="C2203" s="165" t="s">
        <v>5319</v>
      </c>
      <c r="D2203" s="164">
        <v>2319</v>
      </c>
      <c r="E2203" s="164">
        <v>2695</v>
      </c>
      <c r="F2203" s="164" t="s">
        <v>3404</v>
      </c>
      <c r="G2203" s="164">
        <v>2024</v>
      </c>
      <c r="H2203" s="175">
        <v>45426</v>
      </c>
      <c r="I2203" s="175">
        <v>45428</v>
      </c>
      <c r="J2203" s="168" t="s">
        <v>7387</v>
      </c>
      <c r="K2203" s="174">
        <v>45428</v>
      </c>
      <c r="L2203" s="129" t="s">
        <v>3532</v>
      </c>
      <c r="M2203" s="129"/>
      <c r="N2203" s="129"/>
      <c r="O2203" s="129" t="s">
        <v>3406</v>
      </c>
      <c r="P2203" s="146"/>
      <c r="Q2203" s="170">
        <v>45429</v>
      </c>
      <c r="R2203" s="171"/>
      <c r="S2203" s="172"/>
    </row>
    <row r="2204" spans="1:19" ht="42.75">
      <c r="A2204" s="164" t="s">
        <v>778</v>
      </c>
      <c r="B2204" s="165" t="s">
        <v>1411</v>
      </c>
      <c r="C2204" s="165" t="s">
        <v>4950</v>
      </c>
      <c r="D2204" s="164">
        <v>6159</v>
      </c>
      <c r="E2204" s="164">
        <v>5798</v>
      </c>
      <c r="F2204" s="164" t="s">
        <v>3404</v>
      </c>
      <c r="G2204" s="164">
        <v>2024</v>
      </c>
      <c r="H2204" s="175">
        <v>45393</v>
      </c>
      <c r="I2204" s="175">
        <v>45397</v>
      </c>
      <c r="J2204" s="168" t="s">
        <v>7388</v>
      </c>
      <c r="K2204" s="174">
        <v>45399</v>
      </c>
      <c r="L2204" s="129" t="s">
        <v>3470</v>
      </c>
      <c r="M2204" s="129"/>
      <c r="N2204" s="129"/>
      <c r="O2204" s="129" t="s">
        <v>3406</v>
      </c>
      <c r="P2204" s="146"/>
      <c r="Q2204" s="170"/>
      <c r="R2204" s="171"/>
      <c r="S2204" s="172"/>
    </row>
    <row r="2205" spans="1:19" ht="42.75">
      <c r="A2205" s="164" t="s">
        <v>778</v>
      </c>
      <c r="B2205" s="165" t="s">
        <v>1411</v>
      </c>
      <c r="C2205" s="165" t="s">
        <v>4242</v>
      </c>
      <c r="D2205" s="164">
        <v>4530</v>
      </c>
      <c r="E2205" s="164">
        <v>4516</v>
      </c>
      <c r="F2205" s="164" t="s">
        <v>3404</v>
      </c>
      <c r="G2205" s="164">
        <v>2024</v>
      </c>
      <c r="H2205" s="175">
        <v>45393</v>
      </c>
      <c r="I2205" s="175">
        <v>45397</v>
      </c>
      <c r="J2205" s="168" t="s">
        <v>7389</v>
      </c>
      <c r="K2205" s="174">
        <v>45399</v>
      </c>
      <c r="L2205" s="129" t="s">
        <v>3470</v>
      </c>
      <c r="M2205" s="129"/>
      <c r="N2205" s="129"/>
      <c r="O2205" s="129" t="s">
        <v>3406</v>
      </c>
      <c r="P2205" s="146"/>
      <c r="Q2205" s="170"/>
      <c r="R2205" s="171"/>
      <c r="S2205" s="172"/>
    </row>
    <row r="2206" spans="1:19" ht="42.75">
      <c r="A2206" s="164" t="s">
        <v>778</v>
      </c>
      <c r="B2206" s="165" t="s">
        <v>1411</v>
      </c>
      <c r="C2206" s="165" t="s">
        <v>3133</v>
      </c>
      <c r="D2206" s="164">
        <v>5689</v>
      </c>
      <c r="E2206" s="164">
        <v>5432</v>
      </c>
      <c r="F2206" s="164" t="s">
        <v>3404</v>
      </c>
      <c r="G2206" s="164">
        <v>2024</v>
      </c>
      <c r="H2206" s="175">
        <v>45393</v>
      </c>
      <c r="I2206" s="175">
        <v>45397</v>
      </c>
      <c r="J2206" s="168" t="s">
        <v>7390</v>
      </c>
      <c r="K2206" s="174">
        <v>45399</v>
      </c>
      <c r="L2206" s="129" t="s">
        <v>3470</v>
      </c>
      <c r="M2206" s="129"/>
      <c r="N2206" s="129"/>
      <c r="O2206" s="129" t="s">
        <v>3406</v>
      </c>
      <c r="P2206" s="146"/>
      <c r="Q2206" s="170"/>
      <c r="R2206" s="171"/>
      <c r="S2206" s="172"/>
    </row>
    <row r="2207" spans="1:19" ht="42.75">
      <c r="A2207" s="164" t="s">
        <v>778</v>
      </c>
      <c r="B2207" s="165" t="s">
        <v>1411</v>
      </c>
      <c r="C2207" s="165" t="s">
        <v>4132</v>
      </c>
      <c r="D2207" s="164">
        <v>3166</v>
      </c>
      <c r="E2207" s="164">
        <v>3041</v>
      </c>
      <c r="F2207" s="164" t="s">
        <v>3404</v>
      </c>
      <c r="G2207" s="164">
        <v>2024</v>
      </c>
      <c r="H2207" s="175">
        <v>45457</v>
      </c>
      <c r="I2207" s="175">
        <v>45459</v>
      </c>
      <c r="J2207" s="168" t="s">
        <v>7391</v>
      </c>
      <c r="K2207" s="174">
        <v>45463</v>
      </c>
      <c r="L2207" s="129" t="s">
        <v>3689</v>
      </c>
      <c r="M2207" s="129"/>
      <c r="N2207" s="129"/>
      <c r="O2207" s="129" t="s">
        <v>3406</v>
      </c>
      <c r="P2207" s="146"/>
      <c r="Q2207" s="130">
        <v>45463</v>
      </c>
      <c r="R2207" s="171"/>
      <c r="S2207" s="172"/>
    </row>
    <row r="2208" spans="1:19" ht="42.75">
      <c r="A2208" s="164" t="s">
        <v>778</v>
      </c>
      <c r="B2208" s="165" t="s">
        <v>1411</v>
      </c>
      <c r="C2208" s="165" t="s">
        <v>5694</v>
      </c>
      <c r="D2208" s="164">
        <v>1679</v>
      </c>
      <c r="E2208" s="164">
        <v>1206</v>
      </c>
      <c r="F2208" s="164" t="s">
        <v>3404</v>
      </c>
      <c r="G2208" s="164">
        <v>2024</v>
      </c>
      <c r="H2208" s="175">
        <v>45426</v>
      </c>
      <c r="I2208" s="175">
        <v>45428</v>
      </c>
      <c r="J2208" s="251" t="s">
        <v>7392</v>
      </c>
      <c r="K2208" s="174">
        <v>45428</v>
      </c>
      <c r="L2208" s="129" t="s">
        <v>3532</v>
      </c>
      <c r="M2208" s="129"/>
      <c r="N2208" s="129"/>
      <c r="O2208" s="129" t="s">
        <v>3406</v>
      </c>
      <c r="P2208" s="146"/>
      <c r="Q2208" s="170">
        <v>45429</v>
      </c>
      <c r="R2208" s="171"/>
      <c r="S2208" s="172"/>
    </row>
    <row r="2209" spans="1:19" ht="42.75">
      <c r="A2209" s="164" t="s">
        <v>778</v>
      </c>
      <c r="B2209" s="165" t="s">
        <v>1415</v>
      </c>
      <c r="C2209" s="165" t="s">
        <v>5697</v>
      </c>
      <c r="D2209" s="164">
        <v>3324</v>
      </c>
      <c r="E2209" s="164">
        <v>4040</v>
      </c>
      <c r="F2209" s="164" t="s">
        <v>3955</v>
      </c>
      <c r="G2209" s="164"/>
      <c r="H2209" s="167"/>
      <c r="I2209" s="167"/>
      <c r="J2209" s="167"/>
      <c r="K2209" s="169"/>
      <c r="L2209" s="129"/>
      <c r="M2209" s="129"/>
      <c r="N2209" s="129"/>
      <c r="O2209" s="129"/>
      <c r="P2209" s="146"/>
      <c r="Q2209" s="170"/>
      <c r="R2209" s="171"/>
      <c r="S2209" s="172"/>
    </row>
    <row r="2210" spans="1:19" ht="42.75">
      <c r="A2210" s="164" t="s">
        <v>778</v>
      </c>
      <c r="B2210" s="165" t="s">
        <v>1415</v>
      </c>
      <c r="C2210" s="165" t="s">
        <v>5699</v>
      </c>
      <c r="D2210" s="164">
        <v>5434</v>
      </c>
      <c r="E2210" s="164">
        <v>5916</v>
      </c>
      <c r="F2210" s="164" t="s">
        <v>3955</v>
      </c>
      <c r="G2210" s="164"/>
      <c r="H2210" s="167"/>
      <c r="I2210" s="167"/>
      <c r="J2210" s="167"/>
      <c r="K2210" s="169"/>
      <c r="L2210" s="129"/>
      <c r="M2210" s="129"/>
      <c r="N2210" s="129"/>
      <c r="O2210" s="129"/>
      <c r="P2210" s="146"/>
      <c r="Q2210" s="170"/>
      <c r="R2210" s="171"/>
      <c r="S2210" s="172"/>
    </row>
    <row r="2211" spans="1:19" ht="42.75">
      <c r="A2211" s="164" t="s">
        <v>778</v>
      </c>
      <c r="B2211" s="165" t="s">
        <v>1415</v>
      </c>
      <c r="C2211" s="165" t="s">
        <v>4020</v>
      </c>
      <c r="D2211" s="164">
        <v>2398</v>
      </c>
      <c r="E2211" s="164">
        <v>2543</v>
      </c>
      <c r="F2211" s="164" t="s">
        <v>3955</v>
      </c>
      <c r="G2211" s="164"/>
      <c r="H2211" s="167"/>
      <c r="I2211" s="167"/>
      <c r="J2211" s="167"/>
      <c r="K2211" s="169"/>
      <c r="L2211" s="129"/>
      <c r="M2211" s="129"/>
      <c r="N2211" s="129"/>
      <c r="O2211" s="129"/>
      <c r="P2211" s="146"/>
      <c r="Q2211" s="170"/>
      <c r="R2211" s="171"/>
      <c r="S2211" s="172"/>
    </row>
    <row r="2212" spans="1:19" ht="42.75">
      <c r="A2212" s="164" t="s">
        <v>778</v>
      </c>
      <c r="B2212" s="165" t="s">
        <v>1415</v>
      </c>
      <c r="C2212" s="165" t="s">
        <v>5695</v>
      </c>
      <c r="D2212" s="164">
        <v>6450</v>
      </c>
      <c r="E2212" s="164">
        <v>7779</v>
      </c>
      <c r="F2212" s="164" t="s">
        <v>3955</v>
      </c>
      <c r="G2212" s="164"/>
      <c r="H2212" s="167"/>
      <c r="I2212" s="167"/>
      <c r="J2212" s="167"/>
      <c r="K2212" s="169"/>
      <c r="L2212" s="129"/>
      <c r="M2212" s="129"/>
      <c r="N2212" s="129"/>
      <c r="O2212" s="129"/>
      <c r="P2212" s="146"/>
      <c r="Q2212" s="170"/>
      <c r="R2212" s="171"/>
      <c r="S2212" s="172"/>
    </row>
    <row r="2213" spans="1:19" ht="42.75">
      <c r="A2213" s="164" t="s">
        <v>778</v>
      </c>
      <c r="B2213" s="165" t="s">
        <v>1415</v>
      </c>
      <c r="C2213" s="165" t="s">
        <v>4428</v>
      </c>
      <c r="D2213" s="164">
        <v>1883</v>
      </c>
      <c r="E2213" s="164">
        <v>2431</v>
      </c>
      <c r="F2213" s="164" t="s">
        <v>3955</v>
      </c>
      <c r="G2213" s="164"/>
      <c r="H2213" s="167"/>
      <c r="I2213" s="167"/>
      <c r="J2213" s="167"/>
      <c r="K2213" s="169"/>
      <c r="L2213" s="129"/>
      <c r="M2213" s="129"/>
      <c r="N2213" s="129"/>
      <c r="O2213" s="129"/>
      <c r="P2213" s="146"/>
      <c r="Q2213" s="170"/>
      <c r="R2213" s="171"/>
      <c r="S2213" s="172"/>
    </row>
    <row r="2214" spans="1:19" ht="42.75">
      <c r="A2214" s="164" t="s">
        <v>778</v>
      </c>
      <c r="B2214" s="165" t="s">
        <v>1415</v>
      </c>
      <c r="C2214" s="165" t="s">
        <v>5703</v>
      </c>
      <c r="D2214" s="164">
        <v>2891</v>
      </c>
      <c r="E2214" s="164">
        <v>2937</v>
      </c>
      <c r="F2214" s="164" t="s">
        <v>3404</v>
      </c>
      <c r="G2214" s="164">
        <v>2024</v>
      </c>
      <c r="H2214" s="175">
        <v>45393</v>
      </c>
      <c r="I2214" s="175">
        <v>45397</v>
      </c>
      <c r="J2214" s="168" t="s">
        <v>7393</v>
      </c>
      <c r="K2214" s="174">
        <v>45399</v>
      </c>
      <c r="L2214" s="129" t="s">
        <v>3470</v>
      </c>
      <c r="M2214" s="129"/>
      <c r="N2214" s="129"/>
      <c r="O2214" s="129" t="s">
        <v>3406</v>
      </c>
      <c r="P2214" s="146"/>
      <c r="Q2214" s="170"/>
      <c r="R2214" s="171"/>
      <c r="S2214" s="172"/>
    </row>
    <row r="2215" spans="1:19" ht="42.75">
      <c r="A2215" s="164" t="s">
        <v>778</v>
      </c>
      <c r="B2215" s="165" t="s">
        <v>1415</v>
      </c>
      <c r="C2215" s="165" t="s">
        <v>5704</v>
      </c>
      <c r="D2215" s="164">
        <v>270</v>
      </c>
      <c r="E2215" s="164">
        <v>443</v>
      </c>
      <c r="F2215" s="164" t="s">
        <v>3955</v>
      </c>
      <c r="G2215" s="164"/>
      <c r="H2215" s="167"/>
      <c r="I2215" s="167"/>
      <c r="J2215" s="167"/>
      <c r="K2215" s="169"/>
      <c r="L2215" s="129"/>
      <c r="M2215" s="129"/>
      <c r="N2215" s="129"/>
      <c r="O2215" s="129"/>
      <c r="P2215" s="146"/>
      <c r="Q2215" s="170"/>
      <c r="R2215" s="171"/>
      <c r="S2215" s="172"/>
    </row>
    <row r="2216" spans="1:19" ht="42.75">
      <c r="A2216" s="164" t="s">
        <v>778</v>
      </c>
      <c r="B2216" s="165" t="s">
        <v>1415</v>
      </c>
      <c r="C2216" s="165" t="s">
        <v>5197</v>
      </c>
      <c r="D2216" s="164">
        <v>5709</v>
      </c>
      <c r="E2216" s="164">
        <v>6138</v>
      </c>
      <c r="F2216" s="164" t="s">
        <v>3955</v>
      </c>
      <c r="G2216" s="164"/>
      <c r="H2216" s="167"/>
      <c r="I2216" s="167"/>
      <c r="J2216" s="167"/>
      <c r="K2216" s="169"/>
      <c r="L2216" s="129"/>
      <c r="M2216" s="129"/>
      <c r="N2216" s="129"/>
      <c r="O2216" s="129"/>
      <c r="P2216" s="146"/>
      <c r="Q2216" s="170"/>
      <c r="R2216" s="171"/>
      <c r="S2216" s="172"/>
    </row>
    <row r="2217" spans="1:19" ht="42.75">
      <c r="A2217" s="164" t="s">
        <v>778</v>
      </c>
      <c r="B2217" s="165" t="s">
        <v>1415</v>
      </c>
      <c r="C2217" s="165" t="s">
        <v>5706</v>
      </c>
      <c r="D2217" s="164">
        <v>3695</v>
      </c>
      <c r="E2217" s="164">
        <v>4803</v>
      </c>
      <c r="F2217" s="164" t="s">
        <v>3404</v>
      </c>
      <c r="G2217" s="164">
        <v>2024</v>
      </c>
      <c r="H2217" s="175">
        <v>45393</v>
      </c>
      <c r="I2217" s="175">
        <v>45397</v>
      </c>
      <c r="J2217" s="168" t="s">
        <v>7394</v>
      </c>
      <c r="K2217" s="174">
        <v>45399</v>
      </c>
      <c r="L2217" s="129" t="s">
        <v>3470</v>
      </c>
      <c r="M2217" s="129"/>
      <c r="N2217" s="129"/>
      <c r="O2217" s="129" t="s">
        <v>3406</v>
      </c>
      <c r="P2217" s="146"/>
      <c r="Q2217" s="170"/>
      <c r="R2217" s="171"/>
      <c r="S2217" s="172"/>
    </row>
    <row r="2218" spans="1:19" ht="42.75">
      <c r="A2218" s="164" t="s">
        <v>778</v>
      </c>
      <c r="B2218" s="165" t="s">
        <v>1415</v>
      </c>
      <c r="C2218" s="165" t="s">
        <v>5707</v>
      </c>
      <c r="D2218" s="164">
        <v>1743</v>
      </c>
      <c r="E2218" s="164">
        <v>2707</v>
      </c>
      <c r="F2218" s="164" t="s">
        <v>3955</v>
      </c>
      <c r="G2218" s="164"/>
      <c r="H2218" s="167"/>
      <c r="I2218" s="167"/>
      <c r="J2218" s="167"/>
      <c r="K2218" s="169"/>
      <c r="L2218" s="129"/>
      <c r="M2218" s="129"/>
      <c r="N2218" s="129"/>
      <c r="O2218" s="129"/>
      <c r="P2218" s="146"/>
      <c r="Q2218" s="170"/>
      <c r="R2218" s="171"/>
      <c r="S2218" s="172"/>
    </row>
    <row r="2219" spans="1:19" ht="42.75">
      <c r="A2219" s="164" t="s">
        <v>778</v>
      </c>
      <c r="B2219" s="165" t="s">
        <v>1415</v>
      </c>
      <c r="C2219" s="165" t="s">
        <v>5708</v>
      </c>
      <c r="D2219" s="164">
        <v>4627</v>
      </c>
      <c r="E2219" s="164">
        <v>5576</v>
      </c>
      <c r="F2219" s="164" t="s">
        <v>3955</v>
      </c>
      <c r="G2219" s="164"/>
      <c r="H2219" s="167"/>
      <c r="I2219" s="167"/>
      <c r="J2219" s="167"/>
      <c r="K2219" s="169"/>
      <c r="L2219" s="129"/>
      <c r="M2219" s="129"/>
      <c r="N2219" s="129"/>
      <c r="O2219" s="129"/>
      <c r="P2219" s="146"/>
      <c r="Q2219" s="170"/>
      <c r="R2219" s="171"/>
      <c r="S2219" s="172"/>
    </row>
    <row r="2220" spans="1:19" ht="42.75">
      <c r="A2220" s="164" t="s">
        <v>778</v>
      </c>
      <c r="B2220" s="165" t="s">
        <v>1415</v>
      </c>
      <c r="C2220" s="165" t="s">
        <v>5710</v>
      </c>
      <c r="D2220" s="164">
        <v>13606</v>
      </c>
      <c r="E2220" s="164">
        <v>13487</v>
      </c>
      <c r="F2220" s="164" t="s">
        <v>3955</v>
      </c>
      <c r="G2220" s="164"/>
      <c r="H2220" s="167"/>
      <c r="I2220" s="167"/>
      <c r="J2220" s="167"/>
      <c r="K2220" s="169"/>
      <c r="L2220" s="129"/>
      <c r="M2220" s="129"/>
      <c r="N2220" s="129"/>
      <c r="O2220" s="129"/>
      <c r="P2220" s="146"/>
      <c r="Q2220" s="170"/>
      <c r="R2220" s="171"/>
      <c r="S2220" s="172"/>
    </row>
    <row r="2221" spans="1:19" ht="42.75">
      <c r="A2221" s="164" t="s">
        <v>778</v>
      </c>
      <c r="B2221" s="165" t="s">
        <v>1415</v>
      </c>
      <c r="C2221" s="165" t="s">
        <v>5701</v>
      </c>
      <c r="D2221" s="164">
        <v>4141</v>
      </c>
      <c r="E2221" s="164">
        <v>5039</v>
      </c>
      <c r="F2221" s="164" t="s">
        <v>3955</v>
      </c>
      <c r="G2221" s="164"/>
      <c r="H2221" s="167"/>
      <c r="I2221" s="167"/>
      <c r="J2221" s="167"/>
      <c r="K2221" s="169"/>
      <c r="L2221" s="129"/>
      <c r="M2221" s="129"/>
      <c r="N2221" s="129"/>
      <c r="O2221" s="129"/>
      <c r="P2221" s="146"/>
      <c r="Q2221" s="170"/>
      <c r="R2221" s="171"/>
      <c r="S2221" s="172"/>
    </row>
    <row r="2222" spans="1:19" ht="42.75">
      <c r="A2222" s="164" t="s">
        <v>778</v>
      </c>
      <c r="B2222" s="165" t="s">
        <v>1415</v>
      </c>
      <c r="C2222" s="165" t="s">
        <v>5714</v>
      </c>
      <c r="D2222" s="164">
        <v>519</v>
      </c>
      <c r="E2222" s="164">
        <v>980</v>
      </c>
      <c r="F2222" s="164" t="s">
        <v>3955</v>
      </c>
      <c r="G2222" s="164"/>
      <c r="H2222" s="167"/>
      <c r="I2222" s="167"/>
      <c r="J2222" s="167"/>
      <c r="K2222" s="169"/>
      <c r="L2222" s="129"/>
      <c r="M2222" s="129"/>
      <c r="N2222" s="129"/>
      <c r="O2222" s="129"/>
      <c r="P2222" s="146"/>
      <c r="Q2222" s="170"/>
      <c r="R2222" s="171"/>
      <c r="S2222" s="172"/>
    </row>
    <row r="2223" spans="1:19" ht="42.75">
      <c r="A2223" s="164" t="s">
        <v>778</v>
      </c>
      <c r="B2223" s="165" t="s">
        <v>1415</v>
      </c>
      <c r="C2223" s="165" t="s">
        <v>5715</v>
      </c>
      <c r="D2223" s="164">
        <v>641</v>
      </c>
      <c r="E2223" s="164">
        <v>1766</v>
      </c>
      <c r="F2223" s="164" t="s">
        <v>3955</v>
      </c>
      <c r="G2223" s="164"/>
      <c r="H2223" s="167"/>
      <c r="I2223" s="167"/>
      <c r="J2223" s="167"/>
      <c r="K2223" s="169"/>
      <c r="L2223" s="129"/>
      <c r="M2223" s="129"/>
      <c r="N2223" s="129"/>
      <c r="O2223" s="129"/>
      <c r="P2223" s="146"/>
      <c r="Q2223" s="170"/>
      <c r="R2223" s="171"/>
      <c r="S2223" s="172"/>
    </row>
    <row r="2224" spans="1:19" ht="42.75">
      <c r="A2224" s="164" t="s">
        <v>778</v>
      </c>
      <c r="B2224" s="165" t="s">
        <v>1415</v>
      </c>
      <c r="C2224" s="165" t="s">
        <v>5716</v>
      </c>
      <c r="D2224" s="164">
        <v>3487</v>
      </c>
      <c r="E2224" s="164">
        <v>4426</v>
      </c>
      <c r="F2224" s="164" t="s">
        <v>3955</v>
      </c>
      <c r="G2224" s="164"/>
      <c r="H2224" s="167"/>
      <c r="I2224" s="167"/>
      <c r="J2224" s="167"/>
      <c r="K2224" s="169"/>
      <c r="L2224" s="129"/>
      <c r="M2224" s="129"/>
      <c r="N2224" s="129"/>
      <c r="O2224" s="129"/>
      <c r="P2224" s="146"/>
      <c r="Q2224" s="170"/>
      <c r="R2224" s="171"/>
      <c r="S2224" s="172"/>
    </row>
    <row r="2225" spans="1:19" ht="42.75">
      <c r="A2225" s="164" t="s">
        <v>778</v>
      </c>
      <c r="B2225" s="165" t="s">
        <v>1415</v>
      </c>
      <c r="C2225" s="165" t="s">
        <v>4828</v>
      </c>
      <c r="D2225" s="164">
        <v>3577</v>
      </c>
      <c r="E2225" s="164">
        <v>3983</v>
      </c>
      <c r="F2225" s="164" t="s">
        <v>3955</v>
      </c>
      <c r="G2225" s="164"/>
      <c r="H2225" s="167"/>
      <c r="I2225" s="167"/>
      <c r="J2225" s="167"/>
      <c r="K2225" s="169"/>
      <c r="L2225" s="129"/>
      <c r="M2225" s="129"/>
      <c r="N2225" s="129"/>
      <c r="O2225" s="129"/>
      <c r="P2225" s="146"/>
      <c r="Q2225" s="170"/>
      <c r="R2225" s="171"/>
      <c r="S2225" s="172"/>
    </row>
    <row r="2226" spans="1:19" ht="42.75">
      <c r="A2226" s="164" t="s">
        <v>778</v>
      </c>
      <c r="B2226" s="165" t="s">
        <v>1415</v>
      </c>
      <c r="C2226" s="165" t="s">
        <v>5718</v>
      </c>
      <c r="D2226" s="164">
        <v>16838</v>
      </c>
      <c r="E2226" s="164">
        <v>18206</v>
      </c>
      <c r="F2226" s="164" t="s">
        <v>3955</v>
      </c>
      <c r="G2226" s="164"/>
      <c r="H2226" s="167"/>
      <c r="I2226" s="167"/>
      <c r="J2226" s="167"/>
      <c r="K2226" s="169"/>
      <c r="L2226" s="129"/>
      <c r="M2226" s="129"/>
      <c r="N2226" s="129"/>
      <c r="O2226" s="129"/>
      <c r="P2226" s="146"/>
      <c r="Q2226" s="170"/>
      <c r="R2226" s="171"/>
      <c r="S2226" s="172"/>
    </row>
    <row r="2227" spans="1:19" ht="42.75">
      <c r="A2227" s="164" t="s">
        <v>778</v>
      </c>
      <c r="B2227" s="165" t="s">
        <v>1415</v>
      </c>
      <c r="C2227" s="165" t="s">
        <v>1614</v>
      </c>
      <c r="D2227" s="164">
        <v>3823</v>
      </c>
      <c r="E2227" s="164">
        <v>5068</v>
      </c>
      <c r="F2227" s="164" t="s">
        <v>3955</v>
      </c>
      <c r="G2227" s="164"/>
      <c r="H2227" s="167"/>
      <c r="I2227" s="167"/>
      <c r="J2227" s="167"/>
      <c r="K2227" s="169"/>
      <c r="L2227" s="129"/>
      <c r="M2227" s="129"/>
      <c r="N2227" s="129"/>
      <c r="O2227" s="129"/>
      <c r="P2227" s="146"/>
      <c r="Q2227" s="170"/>
      <c r="R2227" s="171"/>
      <c r="S2227" s="172"/>
    </row>
    <row r="2228" spans="1:19" ht="42.75">
      <c r="A2228" s="164" t="s">
        <v>778</v>
      </c>
      <c r="B2228" s="165" t="s">
        <v>1415</v>
      </c>
      <c r="C2228" s="165" t="s">
        <v>1056</v>
      </c>
      <c r="D2228" s="164">
        <v>2044</v>
      </c>
      <c r="E2228" s="164">
        <v>1555</v>
      </c>
      <c r="F2228" s="164" t="s">
        <v>3955</v>
      </c>
      <c r="G2228" s="164"/>
      <c r="H2228" s="167"/>
      <c r="I2228" s="167"/>
      <c r="J2228" s="167"/>
      <c r="K2228" s="169"/>
      <c r="L2228" s="129"/>
      <c r="M2228" s="129"/>
      <c r="N2228" s="129"/>
      <c r="O2228" s="129"/>
      <c r="P2228" s="146"/>
      <c r="Q2228" s="170"/>
      <c r="R2228" s="171"/>
      <c r="S2228" s="172"/>
    </row>
    <row r="2229" spans="1:19" ht="42.75">
      <c r="A2229" s="164" t="s">
        <v>778</v>
      </c>
      <c r="B2229" s="165" t="s">
        <v>1415</v>
      </c>
      <c r="C2229" s="165" t="s">
        <v>5712</v>
      </c>
      <c r="D2229" s="164">
        <v>7089</v>
      </c>
      <c r="E2229" s="164">
        <v>7297</v>
      </c>
      <c r="F2229" s="164" t="s">
        <v>3955</v>
      </c>
      <c r="G2229" s="164"/>
      <c r="H2229" s="167"/>
      <c r="I2229" s="167"/>
      <c r="J2229" s="167"/>
      <c r="K2229" s="169"/>
      <c r="L2229" s="129"/>
      <c r="M2229" s="129"/>
      <c r="N2229" s="129"/>
      <c r="O2229" s="129"/>
      <c r="P2229" s="146"/>
      <c r="Q2229" s="170"/>
      <c r="R2229" s="171"/>
      <c r="S2229" s="172"/>
    </row>
    <row r="2230" spans="1:19" ht="42.75">
      <c r="A2230" s="164" t="s">
        <v>778</v>
      </c>
      <c r="B2230" s="165" t="s">
        <v>1415</v>
      </c>
      <c r="C2230" s="165" t="s">
        <v>5724</v>
      </c>
      <c r="D2230" s="164">
        <v>835</v>
      </c>
      <c r="E2230" s="164">
        <v>1021</v>
      </c>
      <c r="F2230" s="164" t="s">
        <v>3955</v>
      </c>
      <c r="G2230" s="164"/>
      <c r="H2230" s="167"/>
      <c r="I2230" s="167"/>
      <c r="J2230" s="167"/>
      <c r="K2230" s="169"/>
      <c r="L2230" s="129"/>
      <c r="M2230" s="129"/>
      <c r="N2230" s="129"/>
      <c r="O2230" s="129"/>
      <c r="P2230" s="146"/>
      <c r="Q2230" s="170"/>
      <c r="R2230" s="171"/>
      <c r="S2230" s="172"/>
    </row>
    <row r="2231" spans="1:19" ht="42.75">
      <c r="A2231" s="164" t="s">
        <v>778</v>
      </c>
      <c r="B2231" s="165" t="s">
        <v>1415</v>
      </c>
      <c r="C2231" s="165" t="s">
        <v>1416</v>
      </c>
      <c r="D2231" s="164">
        <v>654</v>
      </c>
      <c r="E2231" s="164">
        <v>1412</v>
      </c>
      <c r="F2231" s="164" t="s">
        <v>3955</v>
      </c>
      <c r="G2231" s="164"/>
      <c r="H2231" s="167"/>
      <c r="I2231" s="167"/>
      <c r="J2231" s="167"/>
      <c r="K2231" s="169"/>
      <c r="L2231" s="129"/>
      <c r="M2231" s="129"/>
      <c r="N2231" s="129"/>
      <c r="O2231" s="129"/>
      <c r="P2231" s="146"/>
      <c r="Q2231" s="170"/>
      <c r="R2231" s="171"/>
      <c r="S2231" s="172"/>
    </row>
    <row r="2232" spans="1:19" ht="42.75">
      <c r="A2232" s="164" t="s">
        <v>778</v>
      </c>
      <c r="B2232" s="165" t="s">
        <v>1415</v>
      </c>
      <c r="C2232" s="165" t="s">
        <v>1899</v>
      </c>
      <c r="D2232" s="164">
        <v>17501</v>
      </c>
      <c r="E2232" s="164">
        <v>18624</v>
      </c>
      <c r="F2232" s="164" t="s">
        <v>3955</v>
      </c>
      <c r="G2232" s="164"/>
      <c r="H2232" s="167"/>
      <c r="I2232" s="167"/>
      <c r="J2232" s="167"/>
      <c r="K2232" s="169"/>
      <c r="L2232" s="129"/>
      <c r="M2232" s="129"/>
      <c r="N2232" s="129"/>
      <c r="O2232" s="129"/>
      <c r="P2232" s="146"/>
      <c r="Q2232" s="170"/>
      <c r="R2232" s="171"/>
      <c r="S2232" s="172"/>
    </row>
    <row r="2233" spans="1:19" ht="42.75">
      <c r="A2233" s="164" t="s">
        <v>778</v>
      </c>
      <c r="B2233" s="165" t="s">
        <v>1415</v>
      </c>
      <c r="C2233" s="165" t="s">
        <v>5722</v>
      </c>
      <c r="D2233" s="164">
        <v>5354</v>
      </c>
      <c r="E2233" s="164">
        <v>5591</v>
      </c>
      <c r="F2233" s="164" t="s">
        <v>3955</v>
      </c>
      <c r="G2233" s="164"/>
      <c r="H2233" s="167"/>
      <c r="I2233" s="167"/>
      <c r="J2233" s="167"/>
      <c r="K2233" s="169"/>
      <c r="L2233" s="129"/>
      <c r="M2233" s="129"/>
      <c r="N2233" s="129"/>
      <c r="O2233" s="129"/>
      <c r="P2233" s="146"/>
      <c r="Q2233" s="170"/>
      <c r="R2233" s="171"/>
      <c r="S2233" s="172"/>
    </row>
    <row r="2234" spans="1:19" ht="42.75">
      <c r="A2234" s="164" t="s">
        <v>778</v>
      </c>
      <c r="B2234" s="165" t="s">
        <v>1415</v>
      </c>
      <c r="C2234" s="165" t="s">
        <v>5728</v>
      </c>
      <c r="D2234" s="164">
        <v>3031</v>
      </c>
      <c r="E2234" s="164">
        <v>3637</v>
      </c>
      <c r="F2234" s="164" t="s">
        <v>3955</v>
      </c>
      <c r="G2234" s="164"/>
      <c r="H2234" s="167"/>
      <c r="I2234" s="167"/>
      <c r="J2234" s="167"/>
      <c r="K2234" s="169"/>
      <c r="L2234" s="129"/>
      <c r="M2234" s="129"/>
      <c r="N2234" s="129"/>
      <c r="O2234" s="129"/>
      <c r="P2234" s="146"/>
      <c r="Q2234" s="170"/>
      <c r="R2234" s="171"/>
      <c r="S2234" s="172"/>
    </row>
    <row r="2235" spans="1:19" ht="42.75">
      <c r="A2235" s="164" t="s">
        <v>778</v>
      </c>
      <c r="B2235" s="165" t="s">
        <v>1415</v>
      </c>
      <c r="C2235" s="165" t="s">
        <v>5729</v>
      </c>
      <c r="D2235" s="164">
        <v>839</v>
      </c>
      <c r="E2235" s="164">
        <v>1120</v>
      </c>
      <c r="F2235" s="164" t="s">
        <v>3955</v>
      </c>
      <c r="G2235" s="164"/>
      <c r="H2235" s="167"/>
      <c r="I2235" s="167"/>
      <c r="J2235" s="167"/>
      <c r="K2235" s="169"/>
      <c r="L2235" s="129"/>
      <c r="M2235" s="129"/>
      <c r="N2235" s="129"/>
      <c r="O2235" s="129"/>
      <c r="P2235" s="146"/>
      <c r="Q2235" s="170"/>
      <c r="R2235" s="171"/>
      <c r="S2235" s="172"/>
    </row>
    <row r="2236" spans="1:19" ht="42.75">
      <c r="A2236" s="164" t="s">
        <v>778</v>
      </c>
      <c r="B2236" s="165" t="s">
        <v>1415</v>
      </c>
      <c r="C2236" s="165" t="s">
        <v>5705</v>
      </c>
      <c r="D2236" s="164">
        <v>714</v>
      </c>
      <c r="E2236" s="164">
        <v>828</v>
      </c>
      <c r="F2236" s="164" t="s">
        <v>3955</v>
      </c>
      <c r="G2236" s="164"/>
      <c r="H2236" s="167"/>
      <c r="I2236" s="167"/>
      <c r="J2236" s="167"/>
      <c r="K2236" s="169"/>
      <c r="L2236" s="129"/>
      <c r="M2236" s="129"/>
      <c r="N2236" s="129"/>
      <c r="O2236" s="129"/>
      <c r="P2236" s="146"/>
      <c r="Q2236" s="170"/>
      <c r="R2236" s="171"/>
      <c r="S2236" s="172"/>
    </row>
    <row r="2237" spans="1:19" ht="42.75">
      <c r="A2237" s="164" t="s">
        <v>778</v>
      </c>
      <c r="B2237" s="165" t="s">
        <v>1415</v>
      </c>
      <c r="C2237" s="165" t="s">
        <v>5727</v>
      </c>
      <c r="D2237" s="164">
        <v>1264</v>
      </c>
      <c r="E2237" s="164">
        <v>1398</v>
      </c>
      <c r="F2237" s="164" t="s">
        <v>3955</v>
      </c>
      <c r="G2237" s="164"/>
      <c r="H2237" s="167"/>
      <c r="I2237" s="167"/>
      <c r="J2237" s="167"/>
      <c r="K2237" s="169"/>
      <c r="L2237" s="129"/>
      <c r="M2237" s="129"/>
      <c r="N2237" s="129"/>
      <c r="O2237" s="129"/>
      <c r="P2237" s="146"/>
      <c r="Q2237" s="170"/>
      <c r="R2237" s="171"/>
      <c r="S2237" s="172"/>
    </row>
    <row r="2238" spans="1:19" ht="42.75">
      <c r="A2238" s="164" t="s">
        <v>778</v>
      </c>
      <c r="B2238" s="165" t="s">
        <v>2091</v>
      </c>
      <c r="C2238" s="165" t="s">
        <v>1991</v>
      </c>
      <c r="D2238" s="164">
        <v>4089</v>
      </c>
      <c r="E2238" s="164">
        <v>7026</v>
      </c>
      <c r="F2238" s="164" t="s">
        <v>3955</v>
      </c>
      <c r="G2238" s="164"/>
      <c r="H2238" s="167"/>
      <c r="I2238" s="167"/>
      <c r="J2238" s="167"/>
      <c r="K2238" s="169"/>
      <c r="L2238" s="129"/>
      <c r="M2238" s="129"/>
      <c r="N2238" s="129"/>
      <c r="O2238" s="129"/>
      <c r="P2238" s="146"/>
      <c r="Q2238" s="170"/>
      <c r="R2238" s="171"/>
      <c r="S2238" s="172"/>
    </row>
    <row r="2239" spans="1:19" ht="42.75">
      <c r="A2239" s="164" t="s">
        <v>778</v>
      </c>
      <c r="B2239" s="165" t="s">
        <v>2091</v>
      </c>
      <c r="C2239" s="165" t="s">
        <v>5385</v>
      </c>
      <c r="D2239" s="164">
        <v>5454</v>
      </c>
      <c r="E2239" s="164">
        <v>6894</v>
      </c>
      <c r="F2239" s="164" t="s">
        <v>3404</v>
      </c>
      <c r="G2239" s="164">
        <v>2024</v>
      </c>
      <c r="H2239" s="175">
        <v>45420</v>
      </c>
      <c r="I2239" s="175">
        <v>45428</v>
      </c>
      <c r="J2239" s="168" t="s">
        <v>7395</v>
      </c>
      <c r="K2239" s="169" t="s">
        <v>3532</v>
      </c>
      <c r="L2239" s="129" t="s">
        <v>3532</v>
      </c>
      <c r="M2239" s="129"/>
      <c r="N2239" s="129"/>
      <c r="O2239" s="129" t="s">
        <v>3406</v>
      </c>
      <c r="P2239" s="146"/>
      <c r="Q2239" s="170">
        <v>45429</v>
      </c>
      <c r="R2239" s="171"/>
      <c r="S2239" s="172"/>
    </row>
    <row r="2240" spans="1:19" ht="42.75">
      <c r="A2240" s="164" t="s">
        <v>778</v>
      </c>
      <c r="B2240" s="165" t="s">
        <v>2091</v>
      </c>
      <c r="C2240" s="165" t="s">
        <v>5479</v>
      </c>
      <c r="D2240" s="164">
        <v>24685</v>
      </c>
      <c r="E2240" s="164">
        <v>27506</v>
      </c>
      <c r="F2240" s="164" t="s">
        <v>3955</v>
      </c>
      <c r="G2240" s="164"/>
      <c r="H2240" s="167"/>
      <c r="I2240" s="167"/>
      <c r="J2240" s="167"/>
      <c r="K2240" s="169"/>
      <c r="L2240" s="129"/>
      <c r="M2240" s="129"/>
      <c r="N2240" s="129"/>
      <c r="O2240" s="129"/>
      <c r="P2240" s="146"/>
      <c r="Q2240" s="170"/>
      <c r="R2240" s="171"/>
      <c r="S2240" s="172"/>
    </row>
    <row r="2241" spans="1:19" ht="42.75">
      <c r="A2241" s="164" t="s">
        <v>778</v>
      </c>
      <c r="B2241" s="165" t="s">
        <v>2091</v>
      </c>
      <c r="C2241" s="165" t="s">
        <v>5480</v>
      </c>
      <c r="D2241" s="164">
        <v>37741</v>
      </c>
      <c r="E2241" s="164">
        <v>42528</v>
      </c>
      <c r="F2241" s="164" t="s">
        <v>3955</v>
      </c>
      <c r="G2241" s="164"/>
      <c r="H2241" s="167"/>
      <c r="I2241" s="167"/>
      <c r="J2241" s="167"/>
      <c r="K2241" s="169"/>
      <c r="L2241" s="129"/>
      <c r="M2241" s="129"/>
      <c r="N2241" s="129"/>
      <c r="O2241" s="129"/>
      <c r="P2241" s="146"/>
      <c r="Q2241" s="170"/>
      <c r="R2241" s="171"/>
      <c r="S2241" s="172"/>
    </row>
    <row r="2242" spans="1:19" ht="42.75">
      <c r="A2242" s="164" t="s">
        <v>778</v>
      </c>
      <c r="B2242" s="165" t="s">
        <v>2091</v>
      </c>
      <c r="C2242" s="165" t="s">
        <v>5483</v>
      </c>
      <c r="D2242" s="164">
        <v>4397</v>
      </c>
      <c r="E2242" s="164">
        <v>5768</v>
      </c>
      <c r="F2242" s="164" t="s">
        <v>3955</v>
      </c>
      <c r="G2242" s="164"/>
      <c r="H2242" s="167"/>
      <c r="I2242" s="167"/>
      <c r="J2242" s="167"/>
      <c r="K2242" s="169"/>
      <c r="L2242" s="129"/>
      <c r="M2242" s="129"/>
      <c r="N2242" s="129"/>
      <c r="O2242" s="129"/>
      <c r="P2242" s="146"/>
      <c r="Q2242" s="170"/>
      <c r="R2242" s="171"/>
      <c r="S2242" s="172"/>
    </row>
    <row r="2243" spans="1:19" ht="42.75">
      <c r="A2243" s="164" t="s">
        <v>778</v>
      </c>
      <c r="B2243" s="165" t="s">
        <v>2091</v>
      </c>
      <c r="C2243" s="165" t="s">
        <v>5484</v>
      </c>
      <c r="D2243" s="164">
        <v>3036</v>
      </c>
      <c r="E2243" s="164">
        <v>3029</v>
      </c>
      <c r="F2243" s="164" t="s">
        <v>3955</v>
      </c>
      <c r="G2243" s="164"/>
      <c r="H2243" s="167"/>
      <c r="I2243" s="167"/>
      <c r="J2243" s="167"/>
      <c r="K2243" s="169"/>
      <c r="L2243" s="129"/>
      <c r="M2243" s="129"/>
      <c r="N2243" s="129"/>
      <c r="O2243" s="129"/>
      <c r="P2243" s="146"/>
      <c r="Q2243" s="170"/>
      <c r="R2243" s="171"/>
      <c r="S2243" s="172"/>
    </row>
    <row r="2244" spans="1:19" ht="42.75">
      <c r="A2244" s="164" t="s">
        <v>778</v>
      </c>
      <c r="B2244" s="165" t="s">
        <v>2091</v>
      </c>
      <c r="C2244" s="165" t="s">
        <v>5481</v>
      </c>
      <c r="D2244" s="164">
        <v>5879</v>
      </c>
      <c r="E2244" s="164">
        <v>6846</v>
      </c>
      <c r="F2244" s="164" t="s">
        <v>3404</v>
      </c>
      <c r="G2244" s="164">
        <v>2024</v>
      </c>
      <c r="H2244" s="175">
        <v>45385</v>
      </c>
      <c r="I2244" s="175">
        <v>45397</v>
      </c>
      <c r="J2244" s="168" t="s">
        <v>7396</v>
      </c>
      <c r="K2244" s="174">
        <v>45399</v>
      </c>
      <c r="L2244" s="129" t="s">
        <v>7397</v>
      </c>
      <c r="M2244" s="129"/>
      <c r="N2244" s="129"/>
      <c r="O2244" s="129" t="s">
        <v>3406</v>
      </c>
      <c r="P2244" s="146"/>
      <c r="Q2244" s="170"/>
      <c r="R2244" s="171"/>
      <c r="S2244" s="172"/>
    </row>
    <row r="2245" spans="1:19" ht="42.75">
      <c r="A2245" s="164" t="s">
        <v>778</v>
      </c>
      <c r="B2245" s="165" t="s">
        <v>2091</v>
      </c>
      <c r="C2245" s="165" t="s">
        <v>5063</v>
      </c>
      <c r="D2245" s="164">
        <v>9260</v>
      </c>
      <c r="E2245" s="164">
        <v>10832</v>
      </c>
      <c r="F2245" s="164" t="s">
        <v>3955</v>
      </c>
      <c r="G2245" s="164"/>
      <c r="H2245" s="167"/>
      <c r="I2245" s="167"/>
      <c r="J2245" s="167"/>
      <c r="K2245" s="169"/>
      <c r="L2245" s="129"/>
      <c r="M2245" s="129"/>
      <c r="N2245" s="129"/>
      <c r="O2245" s="129"/>
      <c r="P2245" s="146"/>
      <c r="Q2245" s="170"/>
      <c r="R2245" s="171"/>
      <c r="S2245" s="172"/>
    </row>
    <row r="2246" spans="1:19" ht="42.75">
      <c r="A2246" s="164" t="s">
        <v>778</v>
      </c>
      <c r="B2246" s="165" t="s">
        <v>2091</v>
      </c>
      <c r="C2246" s="165" t="s">
        <v>1364</v>
      </c>
      <c r="D2246" s="164">
        <v>6885</v>
      </c>
      <c r="E2246" s="164">
        <v>8105</v>
      </c>
      <c r="F2246" s="164" t="s">
        <v>3955</v>
      </c>
      <c r="G2246" s="164"/>
      <c r="H2246" s="167"/>
      <c r="I2246" s="167"/>
      <c r="J2246" s="167"/>
      <c r="K2246" s="169"/>
      <c r="L2246" s="129"/>
      <c r="M2246" s="129"/>
      <c r="N2246" s="129"/>
      <c r="O2246" s="129"/>
      <c r="P2246" s="146"/>
      <c r="Q2246" s="170"/>
      <c r="R2246" s="171"/>
      <c r="S2246" s="172"/>
    </row>
    <row r="2247" spans="1:19" ht="42.75">
      <c r="A2247" s="164" t="s">
        <v>778</v>
      </c>
      <c r="B2247" s="165" t="s">
        <v>2091</v>
      </c>
      <c r="C2247" s="165" t="s">
        <v>5197</v>
      </c>
      <c r="D2247" s="164">
        <v>19582</v>
      </c>
      <c r="E2247" s="164">
        <v>20542</v>
      </c>
      <c r="F2247" s="164" t="s">
        <v>3955</v>
      </c>
      <c r="G2247" s="164"/>
      <c r="H2247" s="167"/>
      <c r="I2247" s="167"/>
      <c r="J2247" s="167"/>
      <c r="K2247" s="169"/>
      <c r="L2247" s="129"/>
      <c r="M2247" s="129"/>
      <c r="N2247" s="129"/>
      <c r="O2247" s="129"/>
      <c r="P2247" s="146"/>
      <c r="Q2247" s="170"/>
      <c r="R2247" s="171"/>
      <c r="S2247" s="172"/>
    </row>
    <row r="2248" spans="1:19" ht="42.75">
      <c r="A2248" s="164" t="s">
        <v>778</v>
      </c>
      <c r="B2248" s="165" t="s">
        <v>2091</v>
      </c>
      <c r="C2248" s="165" t="s">
        <v>5485</v>
      </c>
      <c r="D2248" s="164">
        <v>2899</v>
      </c>
      <c r="E2248" s="164">
        <v>4048</v>
      </c>
      <c r="F2248" s="164" t="s">
        <v>3955</v>
      </c>
      <c r="G2248" s="164"/>
      <c r="H2248" s="167"/>
      <c r="I2248" s="167"/>
      <c r="J2248" s="167"/>
      <c r="K2248" s="169"/>
      <c r="L2248" s="129"/>
      <c r="M2248" s="129"/>
      <c r="N2248" s="129"/>
      <c r="O2248" s="129"/>
      <c r="P2248" s="146"/>
      <c r="Q2248" s="170"/>
      <c r="R2248" s="171"/>
      <c r="S2248" s="172"/>
    </row>
    <row r="2249" spans="1:19" ht="42.75">
      <c r="A2249" s="164" t="s">
        <v>778</v>
      </c>
      <c r="B2249" s="165" t="s">
        <v>2091</v>
      </c>
      <c r="C2249" s="165" t="s">
        <v>1369</v>
      </c>
      <c r="D2249" s="164">
        <v>3128</v>
      </c>
      <c r="E2249" s="164">
        <v>3793</v>
      </c>
      <c r="F2249" s="164" t="s">
        <v>3955</v>
      </c>
      <c r="G2249" s="164"/>
      <c r="H2249" s="167"/>
      <c r="I2249" s="167"/>
      <c r="J2249" s="167"/>
      <c r="K2249" s="169"/>
      <c r="L2249" s="129"/>
      <c r="M2249" s="129"/>
      <c r="N2249" s="129"/>
      <c r="O2249" s="129"/>
      <c r="P2249" s="146"/>
      <c r="Q2249" s="170"/>
      <c r="R2249" s="171"/>
      <c r="S2249" s="172"/>
    </row>
    <row r="2250" spans="1:19" ht="42.75">
      <c r="A2250" s="164" t="s">
        <v>778</v>
      </c>
      <c r="B2250" s="165" t="s">
        <v>2091</v>
      </c>
      <c r="C2250" s="165" t="s">
        <v>4613</v>
      </c>
      <c r="D2250" s="164">
        <v>4256</v>
      </c>
      <c r="E2250" s="164">
        <v>4045</v>
      </c>
      <c r="F2250" s="164" t="s">
        <v>3955</v>
      </c>
      <c r="G2250" s="164"/>
      <c r="H2250" s="167"/>
      <c r="I2250" s="167"/>
      <c r="J2250" s="167"/>
      <c r="K2250" s="169"/>
      <c r="L2250" s="129"/>
      <c r="M2250" s="129"/>
      <c r="N2250" s="129"/>
      <c r="O2250" s="129"/>
      <c r="P2250" s="146"/>
      <c r="Q2250" s="170"/>
      <c r="R2250" s="171"/>
      <c r="S2250" s="172"/>
    </row>
    <row r="2251" spans="1:19" ht="42.75">
      <c r="A2251" s="164" t="s">
        <v>778</v>
      </c>
      <c r="B2251" s="165" t="s">
        <v>2091</v>
      </c>
      <c r="C2251" s="165" t="s">
        <v>5437</v>
      </c>
      <c r="D2251" s="164">
        <v>4913</v>
      </c>
      <c r="E2251" s="164">
        <v>6666</v>
      </c>
      <c r="F2251" s="164" t="s">
        <v>3404</v>
      </c>
      <c r="G2251" s="164">
        <v>2024</v>
      </c>
      <c r="H2251" s="175">
        <v>45573</v>
      </c>
      <c r="I2251" s="175">
        <v>45577</v>
      </c>
      <c r="J2251" s="168" t="s">
        <v>7398</v>
      </c>
      <c r="K2251" s="174">
        <v>45581</v>
      </c>
      <c r="L2251" s="129" t="s">
        <v>3128</v>
      </c>
      <c r="M2251" s="129" t="s">
        <v>4</v>
      </c>
      <c r="N2251" s="129" t="s">
        <v>50</v>
      </c>
      <c r="O2251" s="129" t="s">
        <v>3406</v>
      </c>
      <c r="P2251" s="146"/>
      <c r="Q2251" s="170">
        <v>45582</v>
      </c>
      <c r="R2251" s="171" t="s">
        <v>7058</v>
      </c>
      <c r="S2251" s="172"/>
    </row>
    <row r="2252" spans="1:19" ht="42.75">
      <c r="A2252" s="164" t="s">
        <v>778</v>
      </c>
      <c r="B2252" s="165" t="s">
        <v>2091</v>
      </c>
      <c r="C2252" s="165" t="s">
        <v>5486</v>
      </c>
      <c r="D2252" s="164">
        <v>9441</v>
      </c>
      <c r="E2252" s="164">
        <v>12847</v>
      </c>
      <c r="F2252" s="164" t="s">
        <v>3955</v>
      </c>
      <c r="G2252" s="164"/>
      <c r="H2252" s="167"/>
      <c r="I2252" s="167"/>
      <c r="J2252" s="167"/>
      <c r="K2252" s="169"/>
      <c r="L2252" s="129"/>
      <c r="M2252" s="129"/>
      <c r="N2252" s="129"/>
      <c r="O2252" s="129"/>
      <c r="P2252" s="146"/>
      <c r="Q2252" s="170"/>
      <c r="R2252" s="171"/>
      <c r="S2252" s="172"/>
    </row>
    <row r="2253" spans="1:19" ht="42.75">
      <c r="A2253" s="164" t="s">
        <v>778</v>
      </c>
      <c r="B2253" s="165" t="s">
        <v>2091</v>
      </c>
      <c r="C2253" s="165" t="s">
        <v>5487</v>
      </c>
      <c r="D2253" s="164">
        <v>4487</v>
      </c>
      <c r="E2253" s="164">
        <v>5082</v>
      </c>
      <c r="F2253" s="164" t="s">
        <v>3955</v>
      </c>
      <c r="G2253" s="164"/>
      <c r="H2253" s="167"/>
      <c r="I2253" s="167"/>
      <c r="J2253" s="167"/>
      <c r="K2253" s="169"/>
      <c r="L2253" s="129"/>
      <c r="M2253" s="129"/>
      <c r="N2253" s="129"/>
      <c r="O2253" s="129"/>
      <c r="P2253" s="146"/>
      <c r="Q2253" s="170"/>
      <c r="R2253" s="171"/>
      <c r="S2253" s="172"/>
    </row>
    <row r="2254" spans="1:19" ht="42.75">
      <c r="A2254" s="164" t="s">
        <v>778</v>
      </c>
      <c r="B2254" s="165" t="s">
        <v>2091</v>
      </c>
      <c r="C2254" s="165" t="s">
        <v>5488</v>
      </c>
      <c r="D2254" s="164">
        <v>7048</v>
      </c>
      <c r="E2254" s="164">
        <v>7509</v>
      </c>
      <c r="F2254" s="164" t="s">
        <v>3955</v>
      </c>
      <c r="G2254" s="164"/>
      <c r="H2254" s="167"/>
      <c r="I2254" s="167"/>
      <c r="J2254" s="167"/>
      <c r="K2254" s="169"/>
      <c r="L2254" s="129"/>
      <c r="M2254" s="129"/>
      <c r="N2254" s="129"/>
      <c r="O2254" s="129"/>
      <c r="P2254" s="146"/>
      <c r="Q2254" s="170"/>
      <c r="R2254" s="171"/>
      <c r="S2254" s="172"/>
    </row>
    <row r="2255" spans="1:19" ht="42.75">
      <c r="A2255" s="164" t="s">
        <v>778</v>
      </c>
      <c r="B2255" s="165" t="s">
        <v>2091</v>
      </c>
      <c r="C2255" s="165" t="s">
        <v>5489</v>
      </c>
      <c r="D2255" s="164">
        <v>1404</v>
      </c>
      <c r="E2255" s="164">
        <v>1601</v>
      </c>
      <c r="F2255" s="164" t="s">
        <v>3955</v>
      </c>
      <c r="G2255" s="164"/>
      <c r="H2255" s="167"/>
      <c r="I2255" s="167"/>
      <c r="J2255" s="167"/>
      <c r="K2255" s="169"/>
      <c r="L2255" s="129"/>
      <c r="M2255" s="129"/>
      <c r="N2255" s="129"/>
      <c r="O2255" s="129"/>
      <c r="P2255" s="146"/>
      <c r="Q2255" s="170"/>
      <c r="R2255" s="171"/>
      <c r="S2255" s="172"/>
    </row>
    <row r="2256" spans="1:19" ht="42.75">
      <c r="A2256" s="164" t="s">
        <v>778</v>
      </c>
      <c r="B2256" s="165" t="s">
        <v>2091</v>
      </c>
      <c r="C2256" s="165" t="s">
        <v>5490</v>
      </c>
      <c r="D2256" s="164">
        <v>7259</v>
      </c>
      <c r="E2256" s="164">
        <v>8254</v>
      </c>
      <c r="F2256" s="164" t="s">
        <v>3955</v>
      </c>
      <c r="G2256" s="164"/>
      <c r="H2256" s="167"/>
      <c r="I2256" s="167"/>
      <c r="J2256" s="167"/>
      <c r="K2256" s="169"/>
      <c r="L2256" s="129"/>
      <c r="M2256" s="129"/>
      <c r="N2256" s="129"/>
      <c r="O2256" s="129"/>
      <c r="P2256" s="146"/>
      <c r="Q2256" s="170"/>
      <c r="R2256" s="171"/>
      <c r="S2256" s="172"/>
    </row>
    <row r="2257" spans="1:19" ht="42.75">
      <c r="A2257" s="164" t="s">
        <v>778</v>
      </c>
      <c r="B2257" s="165" t="s">
        <v>2091</v>
      </c>
      <c r="C2257" s="165" t="s">
        <v>4132</v>
      </c>
      <c r="D2257" s="164">
        <v>674</v>
      </c>
      <c r="E2257" s="164">
        <v>727</v>
      </c>
      <c r="F2257" s="164" t="s">
        <v>3955</v>
      </c>
      <c r="G2257" s="164"/>
      <c r="H2257" s="167"/>
      <c r="I2257" s="167"/>
      <c r="J2257" s="167"/>
      <c r="K2257" s="169"/>
      <c r="L2257" s="129"/>
      <c r="M2257" s="129"/>
      <c r="N2257" s="129"/>
      <c r="O2257" s="129"/>
      <c r="P2257" s="146"/>
      <c r="Q2257" s="170"/>
      <c r="R2257" s="171"/>
      <c r="S2257" s="172"/>
    </row>
    <row r="2258" spans="1:19" ht="42.75">
      <c r="A2258" s="164" t="s">
        <v>778</v>
      </c>
      <c r="B2258" s="165" t="s">
        <v>2091</v>
      </c>
      <c r="C2258" s="165" t="s">
        <v>5493</v>
      </c>
      <c r="D2258" s="164">
        <v>9893</v>
      </c>
      <c r="E2258" s="164">
        <v>11002</v>
      </c>
      <c r="F2258" s="164" t="s">
        <v>3955</v>
      </c>
      <c r="G2258" s="164"/>
      <c r="H2258" s="167"/>
      <c r="I2258" s="167"/>
      <c r="J2258" s="167"/>
      <c r="K2258" s="169"/>
      <c r="L2258" s="129"/>
      <c r="M2258" s="129"/>
      <c r="N2258" s="129"/>
      <c r="O2258" s="129"/>
      <c r="P2258" s="146"/>
      <c r="Q2258" s="170"/>
      <c r="R2258" s="171"/>
      <c r="S2258" s="172"/>
    </row>
    <row r="2259" spans="1:19" ht="42.75">
      <c r="A2259" s="164" t="s">
        <v>778</v>
      </c>
      <c r="B2259" s="165" t="s">
        <v>2091</v>
      </c>
      <c r="C2259" s="165" t="s">
        <v>5494</v>
      </c>
      <c r="D2259" s="164">
        <v>6987</v>
      </c>
      <c r="E2259" s="164">
        <v>8256</v>
      </c>
      <c r="F2259" s="164" t="s">
        <v>3955</v>
      </c>
      <c r="G2259" s="164"/>
      <c r="H2259" s="167"/>
      <c r="I2259" s="167"/>
      <c r="J2259" s="167"/>
      <c r="K2259" s="169"/>
      <c r="L2259" s="129"/>
      <c r="M2259" s="129"/>
      <c r="N2259" s="129"/>
      <c r="O2259" s="129"/>
      <c r="P2259" s="146"/>
      <c r="Q2259" s="170"/>
      <c r="R2259" s="171"/>
      <c r="S2259" s="172"/>
    </row>
    <row r="2260" spans="1:19" ht="42.75">
      <c r="A2260" s="164" t="s">
        <v>778</v>
      </c>
      <c r="B2260" s="165" t="s">
        <v>2091</v>
      </c>
      <c r="C2260" s="165" t="s">
        <v>4126</v>
      </c>
      <c r="D2260" s="164">
        <v>20166</v>
      </c>
      <c r="E2260" s="164">
        <v>22539</v>
      </c>
      <c r="F2260" s="164" t="s">
        <v>3955</v>
      </c>
      <c r="G2260" s="164"/>
      <c r="H2260" s="167"/>
      <c r="I2260" s="167"/>
      <c r="J2260" s="167"/>
      <c r="K2260" s="169"/>
      <c r="L2260" s="129"/>
      <c r="M2260" s="129"/>
      <c r="N2260" s="129"/>
      <c r="O2260" s="129"/>
      <c r="P2260" s="146"/>
      <c r="Q2260" s="170"/>
      <c r="R2260" s="171"/>
      <c r="S2260" s="172"/>
    </row>
    <row r="2261" spans="1:19" ht="42.75">
      <c r="A2261" s="164" t="s">
        <v>778</v>
      </c>
      <c r="B2261" s="165" t="s">
        <v>2091</v>
      </c>
      <c r="C2261" s="165" t="s">
        <v>1225</v>
      </c>
      <c r="D2261" s="164">
        <v>4280</v>
      </c>
      <c r="E2261" s="164">
        <v>6035</v>
      </c>
      <c r="F2261" s="164" t="s">
        <v>3955</v>
      </c>
      <c r="G2261" s="164"/>
      <c r="H2261" s="167"/>
      <c r="I2261" s="167"/>
      <c r="J2261" s="167"/>
      <c r="K2261" s="169"/>
      <c r="L2261" s="129"/>
      <c r="M2261" s="129"/>
      <c r="N2261" s="129"/>
      <c r="O2261" s="129"/>
      <c r="P2261" s="146"/>
      <c r="Q2261" s="170"/>
      <c r="R2261" s="171"/>
      <c r="S2261" s="172"/>
    </row>
    <row r="2262" spans="1:19" ht="42.75">
      <c r="A2262" s="164" t="s">
        <v>778</v>
      </c>
      <c r="B2262" s="165" t="s">
        <v>2091</v>
      </c>
      <c r="C2262" s="165" t="s">
        <v>1180</v>
      </c>
      <c r="D2262" s="164">
        <v>8910</v>
      </c>
      <c r="E2262" s="164">
        <v>9616</v>
      </c>
      <c r="F2262" s="164" t="s">
        <v>3955</v>
      </c>
      <c r="G2262" s="164"/>
      <c r="H2262" s="167"/>
      <c r="I2262" s="167"/>
      <c r="J2262" s="167"/>
      <c r="K2262" s="169"/>
      <c r="L2262" s="129"/>
      <c r="M2262" s="129"/>
      <c r="N2262" s="129"/>
      <c r="O2262" s="129"/>
      <c r="P2262" s="146"/>
      <c r="Q2262" s="170"/>
      <c r="R2262" s="171"/>
      <c r="S2262" s="172"/>
    </row>
    <row r="2263" spans="1:19" ht="42.75">
      <c r="A2263" s="164" t="s">
        <v>778</v>
      </c>
      <c r="B2263" s="165" t="s">
        <v>2091</v>
      </c>
      <c r="C2263" s="165" t="s">
        <v>858</v>
      </c>
      <c r="D2263" s="164">
        <v>15313</v>
      </c>
      <c r="E2263" s="164">
        <v>16164</v>
      </c>
      <c r="F2263" s="164" t="s">
        <v>3404</v>
      </c>
      <c r="G2263" s="164">
        <v>2024</v>
      </c>
      <c r="H2263" s="175">
        <v>45545</v>
      </c>
      <c r="I2263" s="175">
        <v>45545</v>
      </c>
      <c r="J2263" s="168" t="s">
        <v>7399</v>
      </c>
      <c r="K2263" s="174">
        <v>45552</v>
      </c>
      <c r="L2263" s="129" t="s">
        <v>3127</v>
      </c>
      <c r="M2263" s="129" t="s">
        <v>4</v>
      </c>
      <c r="N2263" s="129" t="s">
        <v>50</v>
      </c>
      <c r="O2263" s="129" t="s">
        <v>3406</v>
      </c>
      <c r="P2263" s="146"/>
      <c r="Q2263" s="170">
        <v>45553</v>
      </c>
      <c r="R2263" s="171" t="s">
        <v>7058</v>
      </c>
      <c r="S2263" s="172"/>
    </row>
    <row r="2264" spans="1:19" ht="42.75">
      <c r="A2264" s="164" t="s">
        <v>778</v>
      </c>
      <c r="B2264" s="165" t="s">
        <v>2091</v>
      </c>
      <c r="C2264" s="165" t="s">
        <v>918</v>
      </c>
      <c r="D2264" s="164">
        <v>4587</v>
      </c>
      <c r="E2264" s="164">
        <v>5712</v>
      </c>
      <c r="F2264" s="164" t="s">
        <v>3955</v>
      </c>
      <c r="G2264" s="164"/>
      <c r="H2264" s="167"/>
      <c r="I2264" s="167"/>
      <c r="J2264" s="167"/>
      <c r="K2264" s="169"/>
      <c r="L2264" s="129"/>
      <c r="M2264" s="129"/>
      <c r="N2264" s="129"/>
      <c r="O2264" s="129"/>
      <c r="P2264" s="146"/>
      <c r="Q2264" s="170"/>
      <c r="R2264" s="171"/>
      <c r="S2264" s="172"/>
    </row>
    <row r="2265" spans="1:19" ht="42.75">
      <c r="A2265" s="164" t="s">
        <v>778</v>
      </c>
      <c r="B2265" s="165" t="s">
        <v>2091</v>
      </c>
      <c r="C2265" s="165" t="s">
        <v>1439</v>
      </c>
      <c r="D2265" s="164">
        <v>9927</v>
      </c>
      <c r="E2265" s="164">
        <v>9899</v>
      </c>
      <c r="F2265" s="164" t="s">
        <v>3955</v>
      </c>
      <c r="G2265" s="164"/>
      <c r="H2265" s="167"/>
      <c r="I2265" s="167"/>
      <c r="J2265" s="167"/>
      <c r="K2265" s="169"/>
      <c r="L2265" s="129"/>
      <c r="M2265" s="129"/>
      <c r="N2265" s="129"/>
      <c r="O2265" s="129"/>
      <c r="P2265" s="146"/>
      <c r="Q2265" s="170"/>
      <c r="R2265" s="171"/>
      <c r="S2265" s="172"/>
    </row>
    <row r="2266" spans="1:19" ht="42.75">
      <c r="A2266" s="164" t="s">
        <v>778</v>
      </c>
      <c r="B2266" s="165" t="s">
        <v>2091</v>
      </c>
      <c r="C2266" s="165" t="s">
        <v>1253</v>
      </c>
      <c r="D2266" s="164">
        <v>12219</v>
      </c>
      <c r="E2266" s="164">
        <v>12049</v>
      </c>
      <c r="F2266" s="164" t="s">
        <v>3955</v>
      </c>
      <c r="G2266" s="164"/>
      <c r="H2266" s="167"/>
      <c r="I2266" s="167"/>
      <c r="J2266" s="167"/>
      <c r="K2266" s="169"/>
      <c r="L2266" s="129"/>
      <c r="M2266" s="129"/>
      <c r="N2266" s="129"/>
      <c r="O2266" s="129"/>
      <c r="P2266" s="146"/>
      <c r="Q2266" s="170"/>
      <c r="R2266" s="171"/>
      <c r="S2266" s="172"/>
    </row>
    <row r="2267" spans="1:19" ht="42.75">
      <c r="A2267" s="164" t="s">
        <v>778</v>
      </c>
      <c r="B2267" s="165" t="s">
        <v>2091</v>
      </c>
      <c r="C2267" s="165" t="s">
        <v>3565</v>
      </c>
      <c r="D2267" s="164">
        <v>7474</v>
      </c>
      <c r="E2267" s="164">
        <v>10090</v>
      </c>
      <c r="F2267" s="164" t="s">
        <v>3955</v>
      </c>
      <c r="G2267" s="164"/>
      <c r="H2267" s="167"/>
      <c r="I2267" s="167"/>
      <c r="J2267" s="167"/>
      <c r="K2267" s="169"/>
      <c r="L2267" s="129"/>
      <c r="M2267" s="129"/>
      <c r="N2267" s="129"/>
      <c r="O2267" s="129"/>
      <c r="P2267" s="146"/>
      <c r="Q2267" s="170"/>
      <c r="R2267" s="171"/>
      <c r="S2267" s="172"/>
    </row>
    <row r="2268" spans="1:19" ht="42.75">
      <c r="A2268" s="164" t="s">
        <v>778</v>
      </c>
      <c r="B2268" s="165" t="s">
        <v>2091</v>
      </c>
      <c r="C2268" s="165" t="s">
        <v>5180</v>
      </c>
      <c r="D2268" s="164">
        <v>1270</v>
      </c>
      <c r="E2268" s="164">
        <v>1385</v>
      </c>
      <c r="F2268" s="164" t="s">
        <v>3955</v>
      </c>
      <c r="G2268" s="164"/>
      <c r="H2268" s="167"/>
      <c r="I2268" s="167"/>
      <c r="J2268" s="167"/>
      <c r="K2268" s="169"/>
      <c r="L2268" s="129"/>
      <c r="M2268" s="129"/>
      <c r="N2268" s="129"/>
      <c r="O2268" s="129"/>
      <c r="P2268" s="146"/>
      <c r="Q2268" s="170"/>
      <c r="R2268" s="171"/>
      <c r="S2268" s="172"/>
    </row>
    <row r="2269" spans="1:19" ht="42.75">
      <c r="A2269" s="164" t="s">
        <v>778</v>
      </c>
      <c r="B2269" s="165" t="s">
        <v>2091</v>
      </c>
      <c r="C2269" s="165" t="s">
        <v>3727</v>
      </c>
      <c r="D2269" s="164">
        <v>8804</v>
      </c>
      <c r="E2269" s="164">
        <v>11208</v>
      </c>
      <c r="F2269" s="164" t="s">
        <v>3955</v>
      </c>
      <c r="G2269" s="164">
        <v>2025</v>
      </c>
      <c r="H2269" s="167"/>
      <c r="I2269" s="167"/>
      <c r="J2269" s="167"/>
      <c r="K2269" s="169"/>
      <c r="L2269" s="129" t="s">
        <v>3424</v>
      </c>
      <c r="M2269" s="129"/>
      <c r="N2269" s="129"/>
      <c r="O2269" s="129"/>
      <c r="P2269" s="146"/>
      <c r="Q2269" s="170"/>
      <c r="R2269" s="171"/>
      <c r="S2269" s="172"/>
    </row>
    <row r="2270" spans="1:19" ht="42.75">
      <c r="A2270" s="164" t="s">
        <v>778</v>
      </c>
      <c r="B2270" s="165" t="s">
        <v>2091</v>
      </c>
      <c r="C2270" s="165" t="s">
        <v>5499</v>
      </c>
      <c r="D2270" s="164">
        <v>14188</v>
      </c>
      <c r="E2270" s="164">
        <v>14997</v>
      </c>
      <c r="F2270" s="164" t="s">
        <v>3955</v>
      </c>
      <c r="G2270" s="164"/>
      <c r="H2270" s="167"/>
      <c r="I2270" s="167"/>
      <c r="J2270" s="167"/>
      <c r="K2270" s="169"/>
      <c r="L2270" s="129"/>
      <c r="M2270" s="129"/>
      <c r="N2270" s="129"/>
      <c r="O2270" s="129"/>
      <c r="P2270" s="146"/>
      <c r="Q2270" s="170"/>
      <c r="R2270" s="171"/>
      <c r="S2270" s="172"/>
    </row>
    <row r="2271" spans="1:19" ht="42.75">
      <c r="A2271" s="164" t="s">
        <v>778</v>
      </c>
      <c r="B2271" s="165" t="s">
        <v>2091</v>
      </c>
      <c r="C2271" s="165" t="s">
        <v>5501</v>
      </c>
      <c r="D2271" s="164">
        <v>13009</v>
      </c>
      <c r="E2271" s="164">
        <v>15618</v>
      </c>
      <c r="F2271" s="164" t="s">
        <v>3955</v>
      </c>
      <c r="G2271" s="164"/>
      <c r="H2271" s="167"/>
      <c r="I2271" s="167"/>
      <c r="J2271" s="167"/>
      <c r="K2271" s="169"/>
      <c r="L2271" s="129"/>
      <c r="M2271" s="129"/>
      <c r="N2271" s="129"/>
      <c r="O2271" s="129"/>
      <c r="P2271" s="146"/>
      <c r="Q2271" s="170"/>
      <c r="R2271" s="171"/>
      <c r="S2271" s="172"/>
    </row>
    <row r="2272" spans="1:19" ht="42.75">
      <c r="A2272" s="164" t="s">
        <v>778</v>
      </c>
      <c r="B2272" s="165" t="s">
        <v>2091</v>
      </c>
      <c r="C2272" s="165" t="s">
        <v>5492</v>
      </c>
      <c r="D2272" s="164">
        <v>3115</v>
      </c>
      <c r="E2272" s="164">
        <v>6448</v>
      </c>
      <c r="F2272" s="164" t="s">
        <v>3955</v>
      </c>
      <c r="G2272" s="164"/>
      <c r="H2272" s="167"/>
      <c r="I2272" s="167"/>
      <c r="J2272" s="167"/>
      <c r="K2272" s="169"/>
      <c r="L2272" s="129"/>
      <c r="M2272" s="129"/>
      <c r="N2272" s="129"/>
      <c r="O2272" s="129"/>
      <c r="P2272" s="146"/>
      <c r="Q2272" s="170"/>
      <c r="R2272" s="171"/>
      <c r="S2272" s="172"/>
    </row>
    <row r="2273" spans="1:19" ht="42.75">
      <c r="A2273" s="164" t="s">
        <v>778</v>
      </c>
      <c r="B2273" s="165" t="s">
        <v>992</v>
      </c>
      <c r="C2273" s="165" t="s">
        <v>4126</v>
      </c>
      <c r="D2273" s="164">
        <v>1475</v>
      </c>
      <c r="E2273" s="164">
        <v>1563</v>
      </c>
      <c r="F2273" s="164" t="s">
        <v>3955</v>
      </c>
      <c r="G2273" s="164"/>
      <c r="H2273" s="167"/>
      <c r="I2273" s="167"/>
      <c r="J2273" s="167"/>
      <c r="K2273" s="169"/>
      <c r="L2273" s="129"/>
      <c r="M2273" s="129"/>
      <c r="N2273" s="129"/>
      <c r="O2273" s="129"/>
      <c r="P2273" s="146"/>
      <c r="Q2273" s="170"/>
      <c r="R2273" s="171"/>
      <c r="S2273" s="172"/>
    </row>
    <row r="2274" spans="1:19" ht="42.75">
      <c r="A2274" s="164" t="s">
        <v>778</v>
      </c>
      <c r="B2274" s="165" t="s">
        <v>992</v>
      </c>
      <c r="C2274" s="165" t="s">
        <v>3809</v>
      </c>
      <c r="D2274" s="164">
        <v>3859</v>
      </c>
      <c r="E2274" s="164">
        <v>4458</v>
      </c>
      <c r="F2274" s="164" t="s">
        <v>3404</v>
      </c>
      <c r="G2274" s="164">
        <v>2024</v>
      </c>
      <c r="H2274" s="175">
        <v>45608</v>
      </c>
      <c r="I2274" s="175">
        <v>45613</v>
      </c>
      <c r="J2274" s="168" t="s">
        <v>7400</v>
      </c>
      <c r="K2274" s="174">
        <v>45616</v>
      </c>
      <c r="L2274" s="129" t="s">
        <v>3129</v>
      </c>
      <c r="M2274" s="129" t="s">
        <v>6701</v>
      </c>
      <c r="N2274" s="129"/>
      <c r="O2274" s="129" t="s">
        <v>3406</v>
      </c>
      <c r="P2274" s="146"/>
      <c r="Q2274" s="170">
        <v>45617</v>
      </c>
      <c r="R2274" s="171" t="s">
        <v>150</v>
      </c>
      <c r="S2274" s="172"/>
    </row>
    <row r="2275" spans="1:19" ht="42.75">
      <c r="A2275" s="164" t="s">
        <v>778</v>
      </c>
      <c r="B2275" s="165" t="s">
        <v>992</v>
      </c>
      <c r="C2275" s="165" t="s">
        <v>1180</v>
      </c>
      <c r="D2275" s="164">
        <v>6976</v>
      </c>
      <c r="E2275" s="164">
        <v>7312</v>
      </c>
      <c r="F2275" s="164" t="s">
        <v>3955</v>
      </c>
      <c r="G2275" s="164"/>
      <c r="H2275" s="167"/>
      <c r="I2275" s="167"/>
      <c r="J2275" s="167"/>
      <c r="K2275" s="169"/>
      <c r="L2275" s="129"/>
      <c r="M2275" s="129"/>
      <c r="N2275" s="129"/>
      <c r="O2275" s="129"/>
      <c r="P2275" s="146"/>
      <c r="Q2275" s="170"/>
      <c r="R2275" s="171"/>
      <c r="S2275" s="172"/>
    </row>
    <row r="2276" spans="1:19" ht="42.75">
      <c r="A2276" s="164" t="s">
        <v>778</v>
      </c>
      <c r="B2276" s="165" t="s">
        <v>992</v>
      </c>
      <c r="C2276" s="165" t="s">
        <v>858</v>
      </c>
      <c r="D2276" s="164">
        <v>7463</v>
      </c>
      <c r="E2276" s="164">
        <v>7384</v>
      </c>
      <c r="F2276" s="164" t="s">
        <v>3955</v>
      </c>
      <c r="G2276" s="164"/>
      <c r="H2276" s="167"/>
      <c r="I2276" s="167"/>
      <c r="J2276" s="167"/>
      <c r="K2276" s="169"/>
      <c r="L2276" s="129"/>
      <c r="M2276" s="129"/>
      <c r="N2276" s="129"/>
      <c r="O2276" s="129"/>
      <c r="P2276" s="146"/>
      <c r="Q2276" s="170"/>
      <c r="R2276" s="171"/>
      <c r="S2276" s="172"/>
    </row>
    <row r="2277" spans="1:19" ht="42.75">
      <c r="A2277" s="164" t="s">
        <v>778</v>
      </c>
      <c r="B2277" s="165" t="s">
        <v>992</v>
      </c>
      <c r="C2277" s="165" t="s">
        <v>918</v>
      </c>
      <c r="D2277" s="164">
        <v>5513</v>
      </c>
      <c r="E2277" s="164">
        <v>6322</v>
      </c>
      <c r="F2277" s="164" t="s">
        <v>3404</v>
      </c>
      <c r="G2277" s="164">
        <v>2024</v>
      </c>
      <c r="H2277" s="175">
        <v>45608</v>
      </c>
      <c r="I2277" s="175">
        <v>45613</v>
      </c>
      <c r="J2277" s="168" t="s">
        <v>7401</v>
      </c>
      <c r="K2277" s="174">
        <v>45616</v>
      </c>
      <c r="L2277" s="129" t="s">
        <v>3129</v>
      </c>
      <c r="M2277" s="129" t="s">
        <v>4</v>
      </c>
      <c r="N2277" s="129" t="s">
        <v>57</v>
      </c>
      <c r="O2277" s="129" t="s">
        <v>3406</v>
      </c>
      <c r="P2277" s="146"/>
      <c r="Q2277" s="170">
        <v>45617</v>
      </c>
      <c r="R2277" s="171" t="s">
        <v>150</v>
      </c>
      <c r="S2277" s="172"/>
    </row>
    <row r="2278" spans="1:19" ht="42.75">
      <c r="A2278" s="164" t="s">
        <v>778</v>
      </c>
      <c r="B2278" s="165" t="s">
        <v>992</v>
      </c>
      <c r="C2278" s="165" t="s">
        <v>1439</v>
      </c>
      <c r="D2278" s="164">
        <v>1700</v>
      </c>
      <c r="E2278" s="164">
        <v>1829</v>
      </c>
      <c r="F2278" s="164" t="s">
        <v>3955</v>
      </c>
      <c r="G2278" s="164"/>
      <c r="H2278" s="167"/>
      <c r="I2278" s="167"/>
      <c r="J2278" s="167"/>
      <c r="K2278" s="169"/>
      <c r="L2278" s="129"/>
      <c r="M2278" s="129"/>
      <c r="N2278" s="129"/>
      <c r="O2278" s="129"/>
      <c r="P2278" s="146"/>
      <c r="Q2278" s="170"/>
      <c r="R2278" s="171"/>
      <c r="S2278" s="172"/>
    </row>
    <row r="2279" spans="1:19" ht="42.75">
      <c r="A2279" s="164" t="s">
        <v>778</v>
      </c>
      <c r="B2279" s="165" t="s">
        <v>992</v>
      </c>
      <c r="C2279" s="165" t="s">
        <v>3974</v>
      </c>
      <c r="D2279" s="164">
        <v>5406</v>
      </c>
      <c r="E2279" s="164">
        <v>5254</v>
      </c>
      <c r="F2279" s="164" t="s">
        <v>3955</v>
      </c>
      <c r="G2279" s="164"/>
      <c r="H2279" s="167"/>
      <c r="I2279" s="167"/>
      <c r="J2279" s="167"/>
      <c r="K2279" s="169"/>
      <c r="L2279" s="129"/>
      <c r="M2279" s="129"/>
      <c r="N2279" s="129"/>
      <c r="O2279" s="129"/>
      <c r="P2279" s="146"/>
      <c r="Q2279" s="170"/>
      <c r="R2279" s="171"/>
      <c r="S2279" s="172"/>
    </row>
    <row r="2280" spans="1:19" ht="42.75">
      <c r="A2280" s="164" t="s">
        <v>778</v>
      </c>
      <c r="B2280" s="165" t="s">
        <v>992</v>
      </c>
      <c r="C2280" s="165" t="s">
        <v>4258</v>
      </c>
      <c r="D2280" s="164">
        <v>2334</v>
      </c>
      <c r="E2280" s="164">
        <v>2623</v>
      </c>
      <c r="F2280" s="164" t="s">
        <v>3955</v>
      </c>
      <c r="G2280" s="164"/>
      <c r="H2280" s="167"/>
      <c r="I2280" s="167"/>
      <c r="J2280" s="167"/>
      <c r="K2280" s="169"/>
      <c r="L2280" s="129"/>
      <c r="M2280" s="129"/>
      <c r="N2280" s="129"/>
      <c r="O2280" s="129"/>
      <c r="P2280" s="146"/>
      <c r="Q2280" s="170"/>
      <c r="R2280" s="171"/>
      <c r="S2280" s="172"/>
    </row>
    <row r="2281" spans="1:19" ht="42.75">
      <c r="A2281" s="164" t="s">
        <v>778</v>
      </c>
      <c r="B2281" s="165" t="s">
        <v>992</v>
      </c>
      <c r="C2281" s="165" t="s">
        <v>5319</v>
      </c>
      <c r="D2281" s="164">
        <v>3097</v>
      </c>
      <c r="E2281" s="164">
        <v>3451</v>
      </c>
      <c r="F2281" s="164" t="s">
        <v>3955</v>
      </c>
      <c r="G2281" s="164"/>
      <c r="H2281" s="167"/>
      <c r="I2281" s="167"/>
      <c r="J2281" s="167"/>
      <c r="K2281" s="169"/>
      <c r="L2281" s="129"/>
      <c r="M2281" s="129"/>
      <c r="N2281" s="129"/>
      <c r="O2281" s="129"/>
      <c r="P2281" s="146"/>
      <c r="Q2281" s="170"/>
      <c r="R2281" s="171"/>
      <c r="S2281" s="172"/>
    </row>
    <row r="2282" spans="1:19" ht="42.75">
      <c r="A2282" s="164" t="s">
        <v>778</v>
      </c>
      <c r="B2282" s="165" t="s">
        <v>992</v>
      </c>
      <c r="C2282" s="165" t="s">
        <v>5736</v>
      </c>
      <c r="D2282" s="164">
        <v>1192</v>
      </c>
      <c r="E2282" s="164">
        <v>1333</v>
      </c>
      <c r="F2282" s="164" t="s">
        <v>3955</v>
      </c>
      <c r="G2282" s="164"/>
      <c r="H2282" s="167"/>
      <c r="I2282" s="167"/>
      <c r="J2282" s="167"/>
      <c r="K2282" s="169"/>
      <c r="L2282" s="129"/>
      <c r="M2282" s="129"/>
      <c r="N2282" s="129"/>
      <c r="O2282" s="129"/>
      <c r="P2282" s="146"/>
      <c r="Q2282" s="170"/>
      <c r="R2282" s="171"/>
      <c r="S2282" s="172"/>
    </row>
    <row r="2283" spans="1:19" ht="42.75">
      <c r="A2283" s="164" t="s">
        <v>778</v>
      </c>
      <c r="B2283" s="165" t="s">
        <v>992</v>
      </c>
      <c r="C2283" s="165" t="s">
        <v>5734</v>
      </c>
      <c r="D2283" s="164">
        <v>1535</v>
      </c>
      <c r="E2283" s="164">
        <v>1761</v>
      </c>
      <c r="F2283" s="164" t="s">
        <v>3955</v>
      </c>
      <c r="G2283" s="164"/>
      <c r="H2283" s="167"/>
      <c r="I2283" s="167"/>
      <c r="J2283" s="167"/>
      <c r="K2283" s="169"/>
      <c r="L2283" s="129"/>
      <c r="M2283" s="129"/>
      <c r="N2283" s="129"/>
      <c r="O2283" s="129"/>
      <c r="P2283" s="146"/>
      <c r="Q2283" s="170"/>
      <c r="R2283" s="171"/>
      <c r="S2283" s="172"/>
    </row>
    <row r="2284" spans="1:19" ht="42.75">
      <c r="A2284" s="164" t="s">
        <v>778</v>
      </c>
      <c r="B2284" s="165" t="s">
        <v>992</v>
      </c>
      <c r="C2284" s="165" t="s">
        <v>3565</v>
      </c>
      <c r="D2284" s="164">
        <v>1594</v>
      </c>
      <c r="E2284" s="164">
        <v>1584</v>
      </c>
      <c r="F2284" s="164" t="s">
        <v>3404</v>
      </c>
      <c r="G2284" s="164">
        <v>2024</v>
      </c>
      <c r="H2284" s="175">
        <v>45573</v>
      </c>
      <c r="I2284" s="175">
        <v>45582</v>
      </c>
      <c r="J2284" s="168" t="s">
        <v>7402</v>
      </c>
      <c r="K2284" s="174">
        <v>45584</v>
      </c>
      <c r="L2284" s="129" t="s">
        <v>3128</v>
      </c>
      <c r="M2284" s="129" t="s">
        <v>4</v>
      </c>
      <c r="N2284" s="129" t="s">
        <v>50</v>
      </c>
      <c r="O2284" s="129" t="s">
        <v>3406</v>
      </c>
      <c r="P2284" s="146"/>
      <c r="Q2284" s="170">
        <v>45586</v>
      </c>
      <c r="R2284" s="171" t="s">
        <v>150</v>
      </c>
      <c r="S2284" s="172"/>
    </row>
    <row r="2285" spans="1:19" ht="42.75">
      <c r="A2285" s="164" t="s">
        <v>778</v>
      </c>
      <c r="B2285" s="165" t="s">
        <v>992</v>
      </c>
      <c r="C2285" s="165" t="s">
        <v>1424</v>
      </c>
      <c r="D2285" s="164">
        <v>2887</v>
      </c>
      <c r="E2285" s="164">
        <v>3207</v>
      </c>
      <c r="F2285" s="164" t="s">
        <v>3955</v>
      </c>
      <c r="G2285" s="164">
        <v>2025</v>
      </c>
      <c r="H2285" s="167"/>
      <c r="I2285" s="167"/>
      <c r="J2285" s="167"/>
      <c r="K2285" s="169"/>
      <c r="L2285" s="129" t="s">
        <v>3424</v>
      </c>
      <c r="M2285" s="129"/>
      <c r="N2285" s="129"/>
      <c r="O2285" s="129"/>
      <c r="P2285" s="146"/>
      <c r="Q2285" s="170"/>
      <c r="R2285" s="171"/>
      <c r="S2285" s="172"/>
    </row>
    <row r="2286" spans="1:19" ht="42.75">
      <c r="A2286" s="164" t="s">
        <v>778</v>
      </c>
      <c r="B2286" s="165" t="s">
        <v>992</v>
      </c>
      <c r="C2286" s="165" t="s">
        <v>4242</v>
      </c>
      <c r="D2286" s="164">
        <v>2395</v>
      </c>
      <c r="E2286" s="164">
        <v>2645</v>
      </c>
      <c r="F2286" s="164" t="s">
        <v>3955</v>
      </c>
      <c r="G2286" s="164"/>
      <c r="H2286" s="167"/>
      <c r="I2286" s="167"/>
      <c r="J2286" s="167"/>
      <c r="K2286" s="169"/>
      <c r="L2286" s="129"/>
      <c r="M2286" s="129"/>
      <c r="N2286" s="129"/>
      <c r="O2286" s="129"/>
      <c r="P2286" s="146"/>
      <c r="Q2286" s="170"/>
      <c r="R2286" s="171"/>
      <c r="S2286" s="172"/>
    </row>
    <row r="2287" spans="1:19" ht="42.75">
      <c r="A2287" s="164" t="s">
        <v>778</v>
      </c>
      <c r="B2287" s="165" t="s">
        <v>992</v>
      </c>
      <c r="C2287" s="165" t="s">
        <v>3727</v>
      </c>
      <c r="D2287" s="164">
        <v>2496</v>
      </c>
      <c r="E2287" s="164">
        <v>2921</v>
      </c>
      <c r="F2287" s="164" t="s">
        <v>3955</v>
      </c>
      <c r="G2287" s="164"/>
      <c r="H2287" s="167"/>
      <c r="I2287" s="167"/>
      <c r="J2287" s="167"/>
      <c r="K2287" s="169"/>
      <c r="L2287" s="129"/>
      <c r="M2287" s="129"/>
      <c r="N2287" s="129"/>
      <c r="O2287" s="129"/>
      <c r="P2287" s="146"/>
      <c r="Q2287" s="170"/>
      <c r="R2287" s="171"/>
      <c r="S2287" s="172"/>
    </row>
    <row r="2288" spans="1:19" ht="42.75">
      <c r="A2288" s="164" t="s">
        <v>778</v>
      </c>
      <c r="B2288" s="165" t="s">
        <v>992</v>
      </c>
      <c r="C2288" s="165" t="s">
        <v>4261</v>
      </c>
      <c r="D2288" s="164">
        <v>1972</v>
      </c>
      <c r="E2288" s="164">
        <v>2380</v>
      </c>
      <c r="F2288" s="164" t="s">
        <v>3955</v>
      </c>
      <c r="G2288" s="164"/>
      <c r="H2288" s="167"/>
      <c r="I2288" s="167"/>
      <c r="J2288" s="167"/>
      <c r="K2288" s="169"/>
      <c r="L2288" s="129"/>
      <c r="M2288" s="129"/>
      <c r="N2288" s="129"/>
      <c r="O2288" s="129"/>
      <c r="P2288" s="146"/>
      <c r="Q2288" s="170"/>
      <c r="R2288" s="171"/>
      <c r="S2288" s="172"/>
    </row>
    <row r="2289" spans="1:19" ht="42.75">
      <c r="A2289" s="164" t="s">
        <v>778</v>
      </c>
      <c r="B2289" s="165" t="s">
        <v>992</v>
      </c>
      <c r="C2289" s="165" t="s">
        <v>3566</v>
      </c>
      <c r="D2289" s="164">
        <v>2212</v>
      </c>
      <c r="E2289" s="164">
        <v>2524</v>
      </c>
      <c r="F2289" s="164" t="s">
        <v>3955</v>
      </c>
      <c r="G2289" s="164"/>
      <c r="H2289" s="167"/>
      <c r="I2289" s="167"/>
      <c r="J2289" s="167"/>
      <c r="K2289" s="169"/>
      <c r="L2289" s="129"/>
      <c r="M2289" s="129"/>
      <c r="N2289" s="129"/>
      <c r="O2289" s="129"/>
      <c r="P2289" s="146"/>
      <c r="Q2289" s="170"/>
      <c r="R2289" s="171"/>
      <c r="S2289" s="172"/>
    </row>
    <row r="2290" spans="1:19" ht="42.75">
      <c r="A2290" s="164" t="s">
        <v>778</v>
      </c>
      <c r="B2290" s="165" t="s">
        <v>1423</v>
      </c>
      <c r="C2290" s="165" t="s">
        <v>1185</v>
      </c>
      <c r="D2290" s="164">
        <v>6174</v>
      </c>
      <c r="E2290" s="164">
        <v>7256</v>
      </c>
      <c r="F2290" s="164" t="s">
        <v>3955</v>
      </c>
      <c r="G2290" s="164"/>
      <c r="H2290" s="167"/>
      <c r="I2290" s="167"/>
      <c r="J2290" s="167"/>
      <c r="K2290" s="169"/>
      <c r="L2290" s="129"/>
      <c r="M2290" s="129"/>
      <c r="N2290" s="129"/>
      <c r="O2290" s="129"/>
      <c r="P2290" s="146"/>
      <c r="Q2290" s="170"/>
      <c r="R2290" s="171"/>
      <c r="S2290" s="172"/>
    </row>
    <row r="2291" spans="1:19" ht="42.75">
      <c r="A2291" s="164" t="s">
        <v>778</v>
      </c>
      <c r="B2291" s="165" t="s">
        <v>1423</v>
      </c>
      <c r="C2291" s="165" t="s">
        <v>5567</v>
      </c>
      <c r="D2291" s="164">
        <v>2842</v>
      </c>
      <c r="E2291" s="164">
        <v>2950</v>
      </c>
      <c r="F2291" s="164" t="s">
        <v>3955</v>
      </c>
      <c r="G2291" s="164"/>
      <c r="H2291" s="167"/>
      <c r="I2291" s="167"/>
      <c r="J2291" s="167"/>
      <c r="K2291" s="169"/>
      <c r="L2291" s="129"/>
      <c r="M2291" s="129"/>
      <c r="N2291" s="129"/>
      <c r="O2291" s="129"/>
      <c r="P2291" s="146"/>
      <c r="Q2291" s="170"/>
      <c r="R2291" s="171"/>
      <c r="S2291" s="172"/>
    </row>
    <row r="2292" spans="1:19" ht="42.75">
      <c r="A2292" s="164" t="s">
        <v>778</v>
      </c>
      <c r="B2292" s="165" t="s">
        <v>1423</v>
      </c>
      <c r="C2292" s="165" t="s">
        <v>3913</v>
      </c>
      <c r="D2292" s="164">
        <v>2135</v>
      </c>
      <c r="E2292" s="164">
        <v>2416</v>
      </c>
      <c r="F2292" s="164" t="s">
        <v>3955</v>
      </c>
      <c r="G2292" s="164"/>
      <c r="H2292" s="167"/>
      <c r="I2292" s="167"/>
      <c r="J2292" s="167"/>
      <c r="K2292" s="169"/>
      <c r="L2292" s="129"/>
      <c r="M2292" s="129"/>
      <c r="N2292" s="129"/>
      <c r="O2292" s="129"/>
      <c r="P2292" s="146"/>
      <c r="Q2292" s="170"/>
      <c r="R2292" s="171"/>
      <c r="S2292" s="172"/>
    </row>
    <row r="2293" spans="1:19" ht="42.75">
      <c r="A2293" s="164" t="s">
        <v>778</v>
      </c>
      <c r="B2293" s="165" t="s">
        <v>1423</v>
      </c>
      <c r="C2293" s="165" t="s">
        <v>4126</v>
      </c>
      <c r="D2293" s="164">
        <v>2119</v>
      </c>
      <c r="E2293" s="164">
        <v>2147</v>
      </c>
      <c r="F2293" s="164" t="s">
        <v>3955</v>
      </c>
      <c r="G2293" s="164"/>
      <c r="H2293" s="167"/>
      <c r="I2293" s="167"/>
      <c r="J2293" s="167"/>
      <c r="K2293" s="169"/>
      <c r="L2293" s="129"/>
      <c r="M2293" s="129"/>
      <c r="N2293" s="129"/>
      <c r="O2293" s="129"/>
      <c r="P2293" s="146"/>
      <c r="Q2293" s="170"/>
      <c r="R2293" s="171"/>
      <c r="S2293" s="172"/>
    </row>
    <row r="2294" spans="1:19" ht="42.75">
      <c r="A2294" s="164" t="s">
        <v>778</v>
      </c>
      <c r="B2294" s="165" t="s">
        <v>1423</v>
      </c>
      <c r="C2294" s="165" t="s">
        <v>1180</v>
      </c>
      <c r="D2294" s="164">
        <v>3345</v>
      </c>
      <c r="E2294" s="164">
        <v>3947</v>
      </c>
      <c r="F2294" s="164" t="s">
        <v>3955</v>
      </c>
      <c r="G2294" s="164"/>
      <c r="H2294" s="167"/>
      <c r="I2294" s="167"/>
      <c r="J2294" s="167"/>
      <c r="K2294" s="169"/>
      <c r="L2294" s="129"/>
      <c r="M2294" s="129"/>
      <c r="N2294" s="129"/>
      <c r="O2294" s="129"/>
      <c r="P2294" s="146"/>
      <c r="Q2294" s="170"/>
      <c r="R2294" s="171"/>
      <c r="S2294" s="172"/>
    </row>
    <row r="2295" spans="1:19" ht="42.75">
      <c r="A2295" s="164" t="s">
        <v>778</v>
      </c>
      <c r="B2295" s="165" t="s">
        <v>1423</v>
      </c>
      <c r="C2295" s="165" t="s">
        <v>858</v>
      </c>
      <c r="D2295" s="164">
        <v>5876</v>
      </c>
      <c r="E2295" s="164">
        <v>5528</v>
      </c>
      <c r="F2295" s="164" t="s">
        <v>3955</v>
      </c>
      <c r="G2295" s="164"/>
      <c r="H2295" s="167"/>
      <c r="I2295" s="167"/>
      <c r="J2295" s="167"/>
      <c r="K2295" s="169"/>
      <c r="L2295" s="129"/>
      <c r="M2295" s="129"/>
      <c r="N2295" s="129"/>
      <c r="O2295" s="129"/>
      <c r="P2295" s="146"/>
      <c r="Q2295" s="170"/>
      <c r="R2295" s="171"/>
      <c r="S2295" s="172"/>
    </row>
    <row r="2296" spans="1:19" ht="42.75">
      <c r="A2296" s="164" t="s">
        <v>778</v>
      </c>
      <c r="B2296" s="165" t="s">
        <v>1423</v>
      </c>
      <c r="C2296" s="165" t="s">
        <v>1151</v>
      </c>
      <c r="D2296" s="164">
        <v>4722</v>
      </c>
      <c r="E2296" s="164">
        <v>4699</v>
      </c>
      <c r="F2296" s="164" t="s">
        <v>3404</v>
      </c>
      <c r="G2296" s="164">
        <v>2024</v>
      </c>
      <c r="H2296" s="175">
        <v>45511</v>
      </c>
      <c r="I2296" s="175">
        <v>45522</v>
      </c>
      <c r="J2296" s="168" t="s">
        <v>7403</v>
      </c>
      <c r="K2296" s="174">
        <v>45523</v>
      </c>
      <c r="L2296" s="129" t="s">
        <v>3126</v>
      </c>
      <c r="M2296" s="129" t="s">
        <v>4</v>
      </c>
      <c r="N2296" s="129" t="s">
        <v>50</v>
      </c>
      <c r="O2296" s="129" t="s">
        <v>3406</v>
      </c>
      <c r="P2296" s="146"/>
      <c r="Q2296" s="170">
        <v>45525</v>
      </c>
      <c r="R2296" s="171"/>
      <c r="S2296" s="172"/>
    </row>
    <row r="2297" spans="1:19" ht="42.75">
      <c r="A2297" s="164" t="s">
        <v>778</v>
      </c>
      <c r="B2297" s="165" t="s">
        <v>1423</v>
      </c>
      <c r="C2297" s="165" t="s">
        <v>1439</v>
      </c>
      <c r="D2297" s="164">
        <v>2197</v>
      </c>
      <c r="E2297" s="164">
        <v>2485</v>
      </c>
      <c r="F2297" s="164" t="s">
        <v>3955</v>
      </c>
      <c r="G2297" s="164"/>
      <c r="H2297" s="167"/>
      <c r="I2297" s="167"/>
      <c r="J2297" s="167"/>
      <c r="K2297" s="169"/>
      <c r="L2297" s="129"/>
      <c r="M2297" s="129"/>
      <c r="N2297" s="129"/>
      <c r="O2297" s="129"/>
      <c r="P2297" s="146"/>
      <c r="Q2297" s="170"/>
      <c r="R2297" s="171"/>
      <c r="S2297" s="172"/>
    </row>
    <row r="2298" spans="1:19" ht="42.75">
      <c r="A2298" s="164" t="s">
        <v>778</v>
      </c>
      <c r="B2298" s="165" t="s">
        <v>1423</v>
      </c>
      <c r="C2298" s="165" t="s">
        <v>5748</v>
      </c>
      <c r="D2298" s="164">
        <v>1980</v>
      </c>
      <c r="E2298" s="164">
        <v>2165</v>
      </c>
      <c r="F2298" s="164" t="s">
        <v>3955</v>
      </c>
      <c r="G2298" s="164"/>
      <c r="H2298" s="167"/>
      <c r="I2298" s="167"/>
      <c r="J2298" s="167"/>
      <c r="K2298" s="169"/>
      <c r="L2298" s="129"/>
      <c r="M2298" s="129"/>
      <c r="N2298" s="129"/>
      <c r="O2298" s="129"/>
      <c r="P2298" s="146"/>
      <c r="Q2298" s="170"/>
      <c r="R2298" s="171"/>
      <c r="S2298" s="172"/>
    </row>
    <row r="2299" spans="1:19" ht="42.75">
      <c r="A2299" s="164" t="s">
        <v>778</v>
      </c>
      <c r="B2299" s="165" t="s">
        <v>1423</v>
      </c>
      <c r="C2299" s="165" t="s">
        <v>5750</v>
      </c>
      <c r="D2299" s="164">
        <v>5132</v>
      </c>
      <c r="E2299" s="164">
        <v>6482</v>
      </c>
      <c r="F2299" s="164" t="s">
        <v>3955</v>
      </c>
      <c r="G2299" s="164"/>
      <c r="H2299" s="167"/>
      <c r="I2299" s="167"/>
      <c r="J2299" s="167"/>
      <c r="K2299" s="169"/>
      <c r="L2299" s="129"/>
      <c r="M2299" s="129"/>
      <c r="N2299" s="129"/>
      <c r="O2299" s="129"/>
      <c r="P2299" s="146"/>
      <c r="Q2299" s="170"/>
      <c r="R2299" s="171"/>
      <c r="S2299" s="172"/>
    </row>
    <row r="2300" spans="1:19" ht="42.75">
      <c r="A2300" s="164" t="s">
        <v>778</v>
      </c>
      <c r="B2300" s="165" t="s">
        <v>1423</v>
      </c>
      <c r="C2300" s="165" t="s">
        <v>1253</v>
      </c>
      <c r="D2300" s="164">
        <v>7060</v>
      </c>
      <c r="E2300" s="164">
        <v>8007</v>
      </c>
      <c r="F2300" s="164" t="s">
        <v>3955</v>
      </c>
      <c r="G2300" s="164"/>
      <c r="H2300" s="167"/>
      <c r="I2300" s="167"/>
      <c r="J2300" s="167"/>
      <c r="K2300" s="169"/>
      <c r="L2300" s="129"/>
      <c r="M2300" s="129"/>
      <c r="N2300" s="129"/>
      <c r="O2300" s="129"/>
      <c r="P2300" s="146"/>
      <c r="Q2300" s="170"/>
      <c r="R2300" s="171"/>
      <c r="S2300" s="172"/>
    </row>
    <row r="2301" spans="1:19" ht="42.75">
      <c r="A2301" s="164" t="s">
        <v>778</v>
      </c>
      <c r="B2301" s="165" t="s">
        <v>1423</v>
      </c>
      <c r="C2301" s="165" t="s">
        <v>1899</v>
      </c>
      <c r="D2301" s="164">
        <v>1352</v>
      </c>
      <c r="E2301" s="164">
        <v>1509</v>
      </c>
      <c r="F2301" s="164" t="s">
        <v>3404</v>
      </c>
      <c r="G2301" s="164">
        <v>2024</v>
      </c>
      <c r="H2301" s="175">
        <v>45574</v>
      </c>
      <c r="I2301" s="175">
        <v>45582</v>
      </c>
      <c r="J2301" s="168" t="s">
        <v>7404</v>
      </c>
      <c r="K2301" s="174">
        <v>45584</v>
      </c>
      <c r="L2301" s="129" t="s">
        <v>3128</v>
      </c>
      <c r="M2301" s="129" t="s">
        <v>4</v>
      </c>
      <c r="N2301" s="129" t="s">
        <v>50</v>
      </c>
      <c r="O2301" s="129" t="s">
        <v>3406</v>
      </c>
      <c r="P2301" s="146"/>
      <c r="Q2301" s="170">
        <v>45586</v>
      </c>
      <c r="R2301" s="171" t="s">
        <v>150</v>
      </c>
      <c r="S2301" s="172"/>
    </row>
    <row r="2302" spans="1:19" ht="42.75">
      <c r="A2302" s="164" t="s">
        <v>778</v>
      </c>
      <c r="B2302" s="165" t="s">
        <v>1423</v>
      </c>
      <c r="C2302" s="165" t="s">
        <v>1424</v>
      </c>
      <c r="D2302" s="164">
        <v>4828</v>
      </c>
      <c r="E2302" s="164">
        <v>5762</v>
      </c>
      <c r="F2302" s="164" t="s">
        <v>3955</v>
      </c>
      <c r="G2302" s="164"/>
      <c r="H2302" s="167"/>
      <c r="I2302" s="167"/>
      <c r="J2302" s="167"/>
      <c r="K2302" s="169"/>
      <c r="L2302" s="129"/>
      <c r="M2302" s="129"/>
      <c r="N2302" s="129"/>
      <c r="O2302" s="129"/>
      <c r="P2302" s="146"/>
      <c r="Q2302" s="170"/>
      <c r="R2302" s="171"/>
      <c r="S2302" s="172"/>
    </row>
    <row r="2303" spans="1:19" ht="42.75">
      <c r="A2303" s="164" t="s">
        <v>778</v>
      </c>
      <c r="B2303" s="165" t="s">
        <v>1423</v>
      </c>
      <c r="C2303" s="165" t="s">
        <v>3727</v>
      </c>
      <c r="D2303" s="164">
        <v>3436</v>
      </c>
      <c r="E2303" s="164">
        <v>3829</v>
      </c>
      <c r="F2303" s="164" t="s">
        <v>3955</v>
      </c>
      <c r="G2303" s="164"/>
      <c r="H2303" s="167"/>
      <c r="I2303" s="167"/>
      <c r="J2303" s="167"/>
      <c r="K2303" s="169"/>
      <c r="L2303" s="129"/>
      <c r="M2303" s="129"/>
      <c r="N2303" s="129"/>
      <c r="O2303" s="129"/>
      <c r="P2303" s="146"/>
      <c r="Q2303" s="170"/>
      <c r="R2303" s="171"/>
      <c r="S2303" s="172"/>
    </row>
    <row r="2304" spans="1:19" ht="42.75">
      <c r="A2304" s="164" t="s">
        <v>778</v>
      </c>
      <c r="B2304" s="165" t="s">
        <v>1438</v>
      </c>
      <c r="C2304" s="165" t="s">
        <v>4126</v>
      </c>
      <c r="D2304" s="164">
        <v>3251</v>
      </c>
      <c r="E2304" s="164">
        <v>3308</v>
      </c>
      <c r="F2304" s="164" t="s">
        <v>3404</v>
      </c>
      <c r="G2304" s="164">
        <v>2024</v>
      </c>
      <c r="H2304" s="175">
        <v>45539</v>
      </c>
      <c r="I2304" s="175">
        <v>45540</v>
      </c>
      <c r="J2304" s="168" t="s">
        <v>7405</v>
      </c>
      <c r="K2304" s="169"/>
      <c r="L2304" s="129"/>
      <c r="M2304" s="129"/>
      <c r="N2304" s="129"/>
      <c r="O2304" s="129"/>
      <c r="P2304" s="146"/>
      <c r="Q2304" s="170"/>
      <c r="R2304" s="171"/>
      <c r="S2304" s="172"/>
    </row>
    <row r="2305" spans="1:19" ht="42.75">
      <c r="A2305" s="164" t="s">
        <v>778</v>
      </c>
      <c r="B2305" s="165" t="s">
        <v>1438</v>
      </c>
      <c r="C2305" s="165" t="s">
        <v>5756</v>
      </c>
      <c r="D2305" s="164">
        <v>1795</v>
      </c>
      <c r="E2305" s="164">
        <v>2774</v>
      </c>
      <c r="F2305" s="164" t="s">
        <v>3955</v>
      </c>
      <c r="G2305" s="164"/>
      <c r="H2305" s="167"/>
      <c r="I2305" s="167"/>
      <c r="J2305" s="167"/>
      <c r="K2305" s="169"/>
      <c r="L2305" s="129"/>
      <c r="M2305" s="129"/>
      <c r="N2305" s="129"/>
      <c r="O2305" s="129"/>
      <c r="P2305" s="146"/>
      <c r="Q2305" s="170"/>
      <c r="R2305" s="171"/>
      <c r="S2305" s="172"/>
    </row>
    <row r="2306" spans="1:19" ht="42.75">
      <c r="A2306" s="164" t="s">
        <v>778</v>
      </c>
      <c r="B2306" s="165" t="s">
        <v>1438</v>
      </c>
      <c r="C2306" s="165" t="s">
        <v>1180</v>
      </c>
      <c r="D2306" s="164">
        <v>5938</v>
      </c>
      <c r="E2306" s="164">
        <v>5485</v>
      </c>
      <c r="F2306" s="164" t="s">
        <v>3955</v>
      </c>
      <c r="G2306" s="164"/>
      <c r="H2306" s="167"/>
      <c r="I2306" s="167"/>
      <c r="J2306" s="167"/>
      <c r="K2306" s="169"/>
      <c r="L2306" s="129"/>
      <c r="M2306" s="129"/>
      <c r="N2306" s="129"/>
      <c r="O2306" s="129"/>
      <c r="P2306" s="146"/>
      <c r="Q2306" s="170"/>
      <c r="R2306" s="171"/>
      <c r="S2306" s="172"/>
    </row>
    <row r="2307" spans="1:19" ht="42.75">
      <c r="A2307" s="164" t="s">
        <v>778</v>
      </c>
      <c r="B2307" s="165" t="s">
        <v>1438</v>
      </c>
      <c r="C2307" s="165" t="s">
        <v>5767</v>
      </c>
      <c r="D2307" s="164">
        <v>4240</v>
      </c>
      <c r="E2307" s="164">
        <v>3143</v>
      </c>
      <c r="F2307" s="164" t="s">
        <v>3955</v>
      </c>
      <c r="G2307" s="164"/>
      <c r="H2307" s="167"/>
      <c r="I2307" s="167"/>
      <c r="J2307" s="167"/>
      <c r="K2307" s="169"/>
      <c r="L2307" s="129"/>
      <c r="M2307" s="129"/>
      <c r="N2307" s="129"/>
      <c r="O2307" s="129"/>
      <c r="P2307" s="146"/>
      <c r="Q2307" s="170"/>
      <c r="R2307" s="171"/>
      <c r="S2307" s="172"/>
    </row>
    <row r="2308" spans="1:19" ht="42.75">
      <c r="A2308" s="164" t="s">
        <v>778</v>
      </c>
      <c r="B2308" s="165" t="s">
        <v>1438</v>
      </c>
      <c r="C2308" s="165" t="s">
        <v>858</v>
      </c>
      <c r="D2308" s="164">
        <v>1733</v>
      </c>
      <c r="E2308" s="164">
        <v>2110</v>
      </c>
      <c r="F2308" s="164" t="s">
        <v>3955</v>
      </c>
      <c r="G2308" s="164"/>
      <c r="H2308" s="167"/>
      <c r="I2308" s="167"/>
      <c r="J2308" s="167"/>
      <c r="K2308" s="169"/>
      <c r="L2308" s="129"/>
      <c r="M2308" s="129"/>
      <c r="N2308" s="129"/>
      <c r="O2308" s="129"/>
      <c r="P2308" s="146"/>
      <c r="Q2308" s="170"/>
      <c r="R2308" s="171"/>
      <c r="S2308" s="172"/>
    </row>
    <row r="2309" spans="1:19" ht="42.75">
      <c r="A2309" s="164" t="s">
        <v>778</v>
      </c>
      <c r="B2309" s="165" t="s">
        <v>1438</v>
      </c>
      <c r="C2309" s="165" t="s">
        <v>918</v>
      </c>
      <c r="D2309" s="164">
        <v>2491</v>
      </c>
      <c r="E2309" s="164">
        <v>2823</v>
      </c>
      <c r="F2309" s="164" t="s">
        <v>3955</v>
      </c>
      <c r="G2309" s="164"/>
      <c r="H2309" s="167"/>
      <c r="I2309" s="167"/>
      <c r="J2309" s="167"/>
      <c r="K2309" s="169"/>
      <c r="L2309" s="129"/>
      <c r="M2309" s="129"/>
      <c r="N2309" s="129"/>
      <c r="O2309" s="129"/>
      <c r="P2309" s="146"/>
      <c r="Q2309" s="170"/>
      <c r="R2309" s="171"/>
      <c r="S2309" s="172"/>
    </row>
    <row r="2310" spans="1:19" ht="42.75">
      <c r="A2310" s="164" t="s">
        <v>778</v>
      </c>
      <c r="B2310" s="165" t="s">
        <v>1438</v>
      </c>
      <c r="C2310" s="165" t="s">
        <v>1439</v>
      </c>
      <c r="D2310" s="164">
        <v>5147</v>
      </c>
      <c r="E2310" s="164">
        <v>8651</v>
      </c>
      <c r="F2310" s="164" t="s">
        <v>3955</v>
      </c>
      <c r="G2310" s="164"/>
      <c r="H2310" s="167"/>
      <c r="I2310" s="167"/>
      <c r="J2310" s="167"/>
      <c r="K2310" s="169"/>
      <c r="L2310" s="129"/>
      <c r="M2310" s="129"/>
      <c r="N2310" s="129"/>
      <c r="O2310" s="129"/>
      <c r="P2310" s="146"/>
      <c r="Q2310" s="170"/>
      <c r="R2310" s="171"/>
      <c r="S2310" s="172"/>
    </row>
    <row r="2311" spans="1:19" ht="42.75">
      <c r="A2311" s="164" t="s">
        <v>778</v>
      </c>
      <c r="B2311" s="165" t="s">
        <v>1438</v>
      </c>
      <c r="C2311" s="165" t="s">
        <v>3723</v>
      </c>
      <c r="D2311" s="164">
        <v>4859</v>
      </c>
      <c r="E2311" s="164">
        <v>4949</v>
      </c>
      <c r="F2311" s="164" t="s">
        <v>3404</v>
      </c>
      <c r="G2311" s="164">
        <v>2024</v>
      </c>
      <c r="H2311" s="175">
        <v>45539</v>
      </c>
      <c r="I2311" s="175">
        <v>45540</v>
      </c>
      <c r="J2311" s="168" t="s">
        <v>7368</v>
      </c>
      <c r="K2311" s="174">
        <v>45544</v>
      </c>
      <c r="L2311" s="129" t="s">
        <v>3127</v>
      </c>
      <c r="M2311" s="129" t="s">
        <v>4</v>
      </c>
      <c r="N2311" s="129" t="s">
        <v>57</v>
      </c>
      <c r="O2311" s="129" t="s">
        <v>3406</v>
      </c>
      <c r="P2311" s="146"/>
      <c r="Q2311" s="170"/>
      <c r="R2311" s="171"/>
      <c r="S2311" s="172"/>
    </row>
    <row r="2312" spans="1:19" ht="42.75">
      <c r="A2312" s="164" t="s">
        <v>778</v>
      </c>
      <c r="B2312" s="165" t="s">
        <v>1438</v>
      </c>
      <c r="C2312" s="165" t="s">
        <v>1253</v>
      </c>
      <c r="D2312" s="164">
        <v>1910</v>
      </c>
      <c r="E2312" s="164">
        <v>2279</v>
      </c>
      <c r="F2312" s="164" t="s">
        <v>3955</v>
      </c>
      <c r="G2312" s="164"/>
      <c r="H2312" s="167"/>
      <c r="I2312" s="167"/>
      <c r="J2312" s="167"/>
      <c r="K2312" s="169"/>
      <c r="L2312" s="129"/>
      <c r="M2312" s="129"/>
      <c r="N2312" s="129"/>
      <c r="O2312" s="129"/>
      <c r="P2312" s="146"/>
      <c r="Q2312" s="170"/>
      <c r="R2312" s="171"/>
      <c r="S2312" s="172"/>
    </row>
    <row r="2313" spans="1:19" ht="42.75">
      <c r="A2313" s="164" t="s">
        <v>778</v>
      </c>
      <c r="B2313" s="165" t="s">
        <v>1438</v>
      </c>
      <c r="C2313" s="165" t="s">
        <v>3974</v>
      </c>
      <c r="D2313" s="164">
        <v>3800</v>
      </c>
      <c r="E2313" s="164">
        <v>4065</v>
      </c>
      <c r="F2313" s="164" t="s">
        <v>3955</v>
      </c>
      <c r="G2313" s="164"/>
      <c r="H2313" s="167"/>
      <c r="I2313" s="167"/>
      <c r="J2313" s="167"/>
      <c r="K2313" s="169"/>
      <c r="L2313" s="129"/>
      <c r="M2313" s="129"/>
      <c r="N2313" s="129"/>
      <c r="O2313" s="129"/>
      <c r="P2313" s="146"/>
      <c r="Q2313" s="170"/>
      <c r="R2313" s="171"/>
      <c r="S2313" s="172"/>
    </row>
    <row r="2314" spans="1:19" ht="42.75">
      <c r="A2314" s="164" t="s">
        <v>778</v>
      </c>
      <c r="B2314" s="165" t="s">
        <v>1438</v>
      </c>
      <c r="C2314" s="165" t="s">
        <v>3565</v>
      </c>
      <c r="D2314" s="164">
        <v>7393</v>
      </c>
      <c r="E2314" s="164">
        <v>7872</v>
      </c>
      <c r="F2314" s="164" t="s">
        <v>3404</v>
      </c>
      <c r="G2314" s="164">
        <v>2024</v>
      </c>
      <c r="H2314" s="175">
        <v>45539</v>
      </c>
      <c r="I2314" s="175">
        <v>45539</v>
      </c>
      <c r="J2314" s="168" t="s">
        <v>7406</v>
      </c>
      <c r="K2314" s="174">
        <v>45544</v>
      </c>
      <c r="L2314" s="129" t="s">
        <v>3127</v>
      </c>
      <c r="M2314" s="129" t="s">
        <v>4</v>
      </c>
      <c r="N2314" s="129" t="s">
        <v>57</v>
      </c>
      <c r="O2314" s="129" t="s">
        <v>3406</v>
      </c>
      <c r="P2314" s="146"/>
      <c r="Q2314" s="170">
        <v>45545</v>
      </c>
      <c r="R2314" s="171" t="s">
        <v>150</v>
      </c>
      <c r="S2314" s="172"/>
    </row>
    <row r="2315" spans="1:19" ht="42.75">
      <c r="A2315" s="164" t="s">
        <v>778</v>
      </c>
      <c r="B2315" s="165" t="s">
        <v>1438</v>
      </c>
      <c r="C2315" s="165" t="s">
        <v>4950</v>
      </c>
      <c r="D2315" s="164">
        <v>6764</v>
      </c>
      <c r="E2315" s="164">
        <v>8143</v>
      </c>
      <c r="F2315" s="164" t="s">
        <v>3955</v>
      </c>
      <c r="G2315" s="164"/>
      <c r="H2315" s="167"/>
      <c r="I2315" s="167"/>
      <c r="J2315" s="167"/>
      <c r="K2315" s="169"/>
      <c r="L2315" s="129"/>
      <c r="M2315" s="129"/>
      <c r="N2315" s="129"/>
      <c r="O2315" s="129"/>
      <c r="P2315" s="146"/>
      <c r="Q2315" s="170"/>
      <c r="R2315" s="171"/>
      <c r="S2315" s="172"/>
    </row>
    <row r="2316" spans="1:19" ht="42.75">
      <c r="A2316" s="164" t="s">
        <v>778</v>
      </c>
      <c r="B2316" s="165" t="s">
        <v>1438</v>
      </c>
      <c r="C2316" s="165" t="s">
        <v>1170</v>
      </c>
      <c r="D2316" s="164">
        <v>4237</v>
      </c>
      <c r="E2316" s="164">
        <v>3995</v>
      </c>
      <c r="F2316" s="164" t="s">
        <v>3955</v>
      </c>
      <c r="G2316" s="164"/>
      <c r="H2316" s="167"/>
      <c r="I2316" s="167"/>
      <c r="J2316" s="167"/>
      <c r="K2316" s="169"/>
      <c r="L2316" s="129"/>
      <c r="M2316" s="129"/>
      <c r="N2316" s="129"/>
      <c r="O2316" s="129"/>
      <c r="P2316" s="146"/>
      <c r="Q2316" s="170"/>
      <c r="R2316" s="171"/>
      <c r="S2316" s="172"/>
    </row>
    <row r="2317" spans="1:19" ht="42.75">
      <c r="A2317" s="164" t="s">
        <v>778</v>
      </c>
      <c r="B2317" s="165" t="s">
        <v>1438</v>
      </c>
      <c r="C2317" s="165" t="s">
        <v>4261</v>
      </c>
      <c r="D2317" s="164">
        <v>1620</v>
      </c>
      <c r="E2317" s="164">
        <v>1940</v>
      </c>
      <c r="F2317" s="164" t="s">
        <v>3955</v>
      </c>
      <c r="G2317" s="164"/>
      <c r="H2317" s="167"/>
      <c r="I2317" s="167"/>
      <c r="J2317" s="167"/>
      <c r="K2317" s="169"/>
      <c r="L2317" s="129"/>
      <c r="M2317" s="129"/>
      <c r="N2317" s="129"/>
      <c r="O2317" s="129"/>
      <c r="P2317" s="146"/>
      <c r="Q2317" s="170"/>
      <c r="R2317" s="171"/>
      <c r="S2317" s="172"/>
    </row>
    <row r="2318" spans="1:19" ht="42.75">
      <c r="A2318" s="164" t="s">
        <v>778</v>
      </c>
      <c r="B2318" s="165" t="s">
        <v>957</v>
      </c>
      <c r="C2318" s="165" t="s">
        <v>5771</v>
      </c>
      <c r="D2318" s="164">
        <v>3847</v>
      </c>
      <c r="E2318" s="164">
        <v>4285</v>
      </c>
      <c r="F2318" s="164" t="s">
        <v>3955</v>
      </c>
      <c r="G2318" s="164"/>
      <c r="H2318" s="167"/>
      <c r="I2318" s="167"/>
      <c r="J2318" s="167"/>
      <c r="K2318" s="169"/>
      <c r="L2318" s="129"/>
      <c r="M2318" s="129"/>
      <c r="N2318" s="129"/>
      <c r="O2318" s="129"/>
      <c r="P2318" s="146"/>
      <c r="Q2318" s="170"/>
      <c r="R2318" s="171"/>
      <c r="S2318" s="172"/>
    </row>
    <row r="2319" spans="1:19" ht="42.75">
      <c r="A2319" s="164" t="s">
        <v>778</v>
      </c>
      <c r="B2319" s="165" t="s">
        <v>957</v>
      </c>
      <c r="C2319" s="165" t="s">
        <v>5773</v>
      </c>
      <c r="D2319" s="164">
        <v>9481</v>
      </c>
      <c r="E2319" s="164">
        <v>10449</v>
      </c>
      <c r="F2319" s="164" t="s">
        <v>3955</v>
      </c>
      <c r="G2319" s="164"/>
      <c r="H2319" s="167"/>
      <c r="I2319" s="167"/>
      <c r="J2319" s="167"/>
      <c r="K2319" s="169"/>
      <c r="L2319" s="129"/>
      <c r="M2319" s="129"/>
      <c r="N2319" s="129"/>
      <c r="O2319" s="129"/>
      <c r="P2319" s="146"/>
      <c r="Q2319" s="170"/>
      <c r="R2319" s="171"/>
      <c r="S2319" s="172"/>
    </row>
    <row r="2320" spans="1:19" ht="42.75">
      <c r="A2320" s="164" t="s">
        <v>778</v>
      </c>
      <c r="B2320" s="165" t="s">
        <v>957</v>
      </c>
      <c r="C2320" s="165" t="s">
        <v>4126</v>
      </c>
      <c r="D2320" s="164">
        <v>3113</v>
      </c>
      <c r="E2320" s="164">
        <v>3792</v>
      </c>
      <c r="F2320" s="164" t="s">
        <v>3955</v>
      </c>
      <c r="G2320" s="164"/>
      <c r="H2320" s="167"/>
      <c r="I2320" s="167"/>
      <c r="J2320" s="167"/>
      <c r="K2320" s="169"/>
      <c r="L2320" s="129"/>
      <c r="M2320" s="129"/>
      <c r="N2320" s="129"/>
      <c r="O2320" s="129"/>
      <c r="P2320" s="146"/>
      <c r="Q2320" s="170"/>
      <c r="R2320" s="171"/>
      <c r="S2320" s="172"/>
    </row>
    <row r="2321" spans="1:19" ht="42.75">
      <c r="A2321" s="164" t="s">
        <v>778</v>
      </c>
      <c r="B2321" s="165" t="s">
        <v>957</v>
      </c>
      <c r="C2321" s="165" t="s">
        <v>5775</v>
      </c>
      <c r="D2321" s="164">
        <v>8407</v>
      </c>
      <c r="E2321" s="164">
        <v>11823</v>
      </c>
      <c r="F2321" s="164" t="s">
        <v>3955</v>
      </c>
      <c r="G2321" s="164"/>
      <c r="H2321" s="167"/>
      <c r="I2321" s="167"/>
      <c r="J2321" s="167"/>
      <c r="K2321" s="169"/>
      <c r="L2321" s="129"/>
      <c r="M2321" s="129"/>
      <c r="N2321" s="129"/>
      <c r="O2321" s="129"/>
      <c r="P2321" s="146"/>
      <c r="Q2321" s="170"/>
      <c r="R2321" s="171"/>
      <c r="S2321" s="172"/>
    </row>
    <row r="2322" spans="1:19" ht="42.75">
      <c r="A2322" s="164" t="s">
        <v>778</v>
      </c>
      <c r="B2322" s="165" t="s">
        <v>957</v>
      </c>
      <c r="C2322" s="165" t="s">
        <v>1180</v>
      </c>
      <c r="D2322" s="164">
        <v>3653</v>
      </c>
      <c r="E2322" s="164">
        <v>3956</v>
      </c>
      <c r="F2322" s="164" t="s">
        <v>3955</v>
      </c>
      <c r="G2322" s="164"/>
      <c r="H2322" s="167"/>
      <c r="I2322" s="167"/>
      <c r="J2322" s="167"/>
      <c r="K2322" s="169"/>
      <c r="L2322" s="129"/>
      <c r="M2322" s="129"/>
      <c r="N2322" s="129"/>
      <c r="O2322" s="129"/>
      <c r="P2322" s="146"/>
      <c r="Q2322" s="170"/>
      <c r="R2322" s="171"/>
      <c r="S2322" s="172"/>
    </row>
    <row r="2323" spans="1:19" ht="42.75">
      <c r="A2323" s="164" t="s">
        <v>778</v>
      </c>
      <c r="B2323" s="165" t="s">
        <v>957</v>
      </c>
      <c r="C2323" s="165" t="s">
        <v>4025</v>
      </c>
      <c r="D2323" s="164">
        <v>2627</v>
      </c>
      <c r="E2323" s="164">
        <v>3002</v>
      </c>
      <c r="F2323" s="164" t="s">
        <v>3955</v>
      </c>
      <c r="G2323" s="164"/>
      <c r="H2323" s="167"/>
      <c r="I2323" s="167"/>
      <c r="J2323" s="167"/>
      <c r="K2323" s="169"/>
      <c r="L2323" s="129"/>
      <c r="M2323" s="129"/>
      <c r="N2323" s="129"/>
      <c r="O2323" s="129"/>
      <c r="P2323" s="146"/>
      <c r="Q2323" s="170"/>
      <c r="R2323" s="171"/>
      <c r="S2323" s="172"/>
    </row>
    <row r="2324" spans="1:19" ht="42.75">
      <c r="A2324" s="164" t="s">
        <v>778</v>
      </c>
      <c r="B2324" s="165" t="s">
        <v>957</v>
      </c>
      <c r="C2324" s="165" t="s">
        <v>918</v>
      </c>
      <c r="D2324" s="164">
        <v>2330</v>
      </c>
      <c r="E2324" s="164">
        <v>2994</v>
      </c>
      <c r="F2324" s="164" t="s">
        <v>3955</v>
      </c>
      <c r="G2324" s="164"/>
      <c r="H2324" s="167"/>
      <c r="I2324" s="167"/>
      <c r="J2324" s="167"/>
      <c r="K2324" s="169"/>
      <c r="L2324" s="129"/>
      <c r="M2324" s="129"/>
      <c r="N2324" s="129"/>
      <c r="O2324" s="129"/>
      <c r="P2324" s="146"/>
      <c r="Q2324" s="170"/>
      <c r="R2324" s="171"/>
      <c r="S2324" s="172"/>
    </row>
    <row r="2325" spans="1:19" ht="42.75">
      <c r="A2325" s="164" t="s">
        <v>778</v>
      </c>
      <c r="B2325" s="165" t="s">
        <v>957</v>
      </c>
      <c r="C2325" s="165" t="s">
        <v>5548</v>
      </c>
      <c r="D2325" s="164">
        <v>3312</v>
      </c>
      <c r="E2325" s="164">
        <v>3577</v>
      </c>
      <c r="F2325" s="164" t="s">
        <v>3955</v>
      </c>
      <c r="G2325" s="164"/>
      <c r="H2325" s="167"/>
      <c r="I2325" s="167"/>
      <c r="J2325" s="167"/>
      <c r="K2325" s="169"/>
      <c r="L2325" s="129"/>
      <c r="M2325" s="129"/>
      <c r="N2325" s="129"/>
      <c r="O2325" s="129"/>
      <c r="P2325" s="146"/>
      <c r="Q2325" s="170"/>
      <c r="R2325" s="171"/>
      <c r="S2325" s="172"/>
    </row>
    <row r="2326" spans="1:19" ht="42.75">
      <c r="A2326" s="164" t="s">
        <v>778</v>
      </c>
      <c r="B2326" s="165" t="s">
        <v>957</v>
      </c>
      <c r="C2326" s="165" t="s">
        <v>1166</v>
      </c>
      <c r="D2326" s="164">
        <v>1231</v>
      </c>
      <c r="E2326" s="164">
        <v>1268</v>
      </c>
      <c r="F2326" s="164" t="s">
        <v>3955</v>
      </c>
      <c r="G2326" s="164"/>
      <c r="H2326" s="167"/>
      <c r="I2326" s="167"/>
      <c r="J2326" s="167"/>
      <c r="K2326" s="169"/>
      <c r="L2326" s="129"/>
      <c r="M2326" s="129"/>
      <c r="N2326" s="129"/>
      <c r="O2326" s="129"/>
      <c r="P2326" s="146"/>
      <c r="Q2326" s="170"/>
      <c r="R2326" s="171"/>
      <c r="S2326" s="172"/>
    </row>
    <row r="2327" spans="1:19" ht="42.75">
      <c r="A2327" s="164" t="s">
        <v>778</v>
      </c>
      <c r="B2327" s="165" t="s">
        <v>957</v>
      </c>
      <c r="C2327" s="165" t="s">
        <v>1424</v>
      </c>
      <c r="D2327" s="164">
        <v>2978</v>
      </c>
      <c r="E2327" s="164">
        <v>3063</v>
      </c>
      <c r="F2327" s="164" t="s">
        <v>3955</v>
      </c>
      <c r="G2327" s="164"/>
      <c r="H2327" s="167"/>
      <c r="I2327" s="167"/>
      <c r="J2327" s="167"/>
      <c r="K2327" s="169"/>
      <c r="L2327" s="129"/>
      <c r="M2327" s="129"/>
      <c r="N2327" s="129"/>
      <c r="O2327" s="129"/>
      <c r="P2327" s="146"/>
      <c r="Q2327" s="170"/>
      <c r="R2327" s="171"/>
      <c r="S2327" s="172"/>
    </row>
    <row r="2328" spans="1:19" ht="42.75">
      <c r="A2328" s="164" t="s">
        <v>778</v>
      </c>
      <c r="B2328" s="165" t="s">
        <v>3566</v>
      </c>
      <c r="C2328" s="165" t="s">
        <v>5754</v>
      </c>
      <c r="D2328" s="164">
        <v>5494</v>
      </c>
      <c r="E2328" s="164">
        <v>5488</v>
      </c>
      <c r="F2328" s="164" t="s">
        <v>3955</v>
      </c>
      <c r="G2328" s="164"/>
      <c r="H2328" s="167"/>
      <c r="I2328" s="167"/>
      <c r="J2328" s="167"/>
      <c r="K2328" s="169"/>
      <c r="L2328" s="129"/>
      <c r="M2328" s="129"/>
      <c r="N2328" s="129"/>
      <c r="O2328" s="129"/>
      <c r="P2328" s="146"/>
      <c r="Q2328" s="170"/>
      <c r="R2328" s="171"/>
      <c r="S2328" s="172"/>
    </row>
    <row r="2329" spans="1:19" ht="42.75">
      <c r="A2329" s="164" t="s">
        <v>778</v>
      </c>
      <c r="B2329" s="165" t="s">
        <v>3566</v>
      </c>
      <c r="C2329" s="165" t="s">
        <v>1056</v>
      </c>
      <c r="D2329" s="164">
        <v>3398</v>
      </c>
      <c r="E2329" s="164">
        <v>3133</v>
      </c>
      <c r="F2329" s="164" t="s">
        <v>3955</v>
      </c>
      <c r="G2329" s="164"/>
      <c r="H2329" s="167"/>
      <c r="I2329" s="167"/>
      <c r="J2329" s="167"/>
      <c r="K2329" s="169"/>
      <c r="L2329" s="129"/>
      <c r="M2329" s="129"/>
      <c r="N2329" s="129"/>
      <c r="O2329" s="129"/>
      <c r="P2329" s="146"/>
      <c r="Q2329" s="170"/>
      <c r="R2329" s="171"/>
      <c r="S2329" s="172"/>
    </row>
    <row r="2330" spans="1:19" ht="42.75">
      <c r="A2330" s="164" t="s">
        <v>778</v>
      </c>
      <c r="B2330" s="165" t="s">
        <v>3566</v>
      </c>
      <c r="C2330" s="165" t="s">
        <v>5756</v>
      </c>
      <c r="D2330" s="164">
        <v>2863</v>
      </c>
      <c r="E2330" s="164">
        <v>3456</v>
      </c>
      <c r="F2330" s="164" t="s">
        <v>3955</v>
      </c>
      <c r="G2330" s="164"/>
      <c r="H2330" s="167"/>
      <c r="I2330" s="167"/>
      <c r="J2330" s="167"/>
      <c r="K2330" s="169"/>
      <c r="L2330" s="129"/>
      <c r="M2330" s="129"/>
      <c r="N2330" s="129"/>
      <c r="O2330" s="129"/>
      <c r="P2330" s="146"/>
      <c r="Q2330" s="170"/>
      <c r="R2330" s="171"/>
      <c r="S2330" s="172"/>
    </row>
    <row r="2331" spans="1:19" ht="42.75">
      <c r="A2331" s="164" t="s">
        <v>778</v>
      </c>
      <c r="B2331" s="165" t="s">
        <v>3566</v>
      </c>
      <c r="C2331" s="165" t="s">
        <v>5548</v>
      </c>
      <c r="D2331" s="164">
        <v>12399</v>
      </c>
      <c r="E2331" s="164">
        <v>13769</v>
      </c>
      <c r="F2331" s="164" t="s">
        <v>3955</v>
      </c>
      <c r="G2331" s="164"/>
      <c r="H2331" s="167"/>
      <c r="I2331" s="167"/>
      <c r="J2331" s="167"/>
      <c r="K2331" s="169"/>
      <c r="L2331" s="129"/>
      <c r="M2331" s="129"/>
      <c r="N2331" s="129"/>
      <c r="O2331" s="129"/>
      <c r="P2331" s="146"/>
      <c r="Q2331" s="170"/>
      <c r="R2331" s="171"/>
      <c r="S2331" s="172"/>
    </row>
    <row r="2332" spans="1:19" ht="42.75">
      <c r="A2332" s="164" t="s">
        <v>778</v>
      </c>
      <c r="B2332" s="165" t="s">
        <v>3566</v>
      </c>
      <c r="C2332" s="165" t="s">
        <v>1166</v>
      </c>
      <c r="D2332" s="164">
        <v>11005</v>
      </c>
      <c r="E2332" s="164">
        <v>10048</v>
      </c>
      <c r="F2332" s="164" t="s">
        <v>3955</v>
      </c>
      <c r="G2332" s="164"/>
      <c r="H2332" s="167"/>
      <c r="I2332" s="167"/>
      <c r="J2332" s="167"/>
      <c r="K2332" s="169"/>
      <c r="L2332" s="129"/>
      <c r="M2332" s="129"/>
      <c r="N2332" s="129"/>
      <c r="O2332" s="129"/>
      <c r="P2332" s="146"/>
      <c r="Q2332" s="170"/>
      <c r="R2332" s="171"/>
      <c r="S2332" s="172"/>
    </row>
    <row r="2333" spans="1:19" ht="42.75">
      <c r="A2333" s="164" t="s">
        <v>778</v>
      </c>
      <c r="B2333" s="165" t="s">
        <v>3566</v>
      </c>
      <c r="C2333" s="165" t="s">
        <v>4261</v>
      </c>
      <c r="D2333" s="164">
        <v>2170</v>
      </c>
      <c r="E2333" s="164">
        <v>2642</v>
      </c>
      <c r="F2333" s="164" t="s">
        <v>3955</v>
      </c>
      <c r="G2333" s="164"/>
      <c r="H2333" s="167"/>
      <c r="I2333" s="167"/>
      <c r="J2333" s="167"/>
      <c r="K2333" s="169"/>
      <c r="L2333" s="129"/>
      <c r="M2333" s="129"/>
      <c r="N2333" s="129"/>
      <c r="O2333" s="129"/>
      <c r="P2333" s="146"/>
      <c r="Q2333" s="170"/>
      <c r="R2333" s="171"/>
      <c r="S2333" s="172"/>
    </row>
    <row r="2334" spans="1:19" ht="42.75">
      <c r="A2334" s="164" t="s">
        <v>778</v>
      </c>
      <c r="B2334" s="165" t="s">
        <v>3566</v>
      </c>
      <c r="C2334" s="165" t="s">
        <v>3916</v>
      </c>
      <c r="D2334" s="164">
        <v>3146</v>
      </c>
      <c r="E2334" s="164">
        <v>4310</v>
      </c>
      <c r="F2334" s="164" t="s">
        <v>3955</v>
      </c>
      <c r="G2334" s="164"/>
      <c r="H2334" s="167"/>
      <c r="I2334" s="167"/>
      <c r="J2334" s="167"/>
      <c r="K2334" s="169"/>
      <c r="L2334" s="129"/>
      <c r="M2334" s="129"/>
      <c r="N2334" s="129"/>
      <c r="O2334" s="129"/>
      <c r="P2334" s="146"/>
      <c r="Q2334" s="170"/>
      <c r="R2334" s="171"/>
      <c r="S2334" s="172"/>
    </row>
    <row r="2335" spans="1:19" ht="42.75">
      <c r="A2335" s="164" t="s">
        <v>778</v>
      </c>
      <c r="B2335" s="165" t="s">
        <v>1429</v>
      </c>
      <c r="C2335" s="165" t="s">
        <v>5759</v>
      </c>
      <c r="D2335" s="164">
        <v>292</v>
      </c>
      <c r="E2335" s="164">
        <v>299</v>
      </c>
      <c r="F2335" s="164" t="s">
        <v>3955</v>
      </c>
      <c r="G2335" s="164"/>
      <c r="H2335" s="167"/>
      <c r="I2335" s="167"/>
      <c r="J2335" s="167"/>
      <c r="K2335" s="169"/>
      <c r="L2335" s="129"/>
      <c r="M2335" s="129"/>
      <c r="N2335" s="129"/>
      <c r="O2335" s="129"/>
      <c r="P2335" s="146"/>
      <c r="Q2335" s="170"/>
      <c r="R2335" s="171"/>
      <c r="S2335" s="172"/>
    </row>
    <row r="2336" spans="1:19" ht="42.75">
      <c r="A2336" s="164" t="s">
        <v>778</v>
      </c>
      <c r="B2336" s="165" t="s">
        <v>1429</v>
      </c>
      <c r="C2336" s="165" t="s">
        <v>5760</v>
      </c>
      <c r="D2336" s="164">
        <v>1223</v>
      </c>
      <c r="E2336" s="164">
        <v>1222</v>
      </c>
      <c r="F2336" s="164" t="s">
        <v>3955</v>
      </c>
      <c r="G2336" s="164"/>
      <c r="H2336" s="167"/>
      <c r="I2336" s="167"/>
      <c r="J2336" s="167"/>
      <c r="K2336" s="169"/>
      <c r="L2336" s="129"/>
      <c r="M2336" s="129"/>
      <c r="N2336" s="129"/>
      <c r="O2336" s="129"/>
      <c r="P2336" s="146"/>
      <c r="Q2336" s="170"/>
      <c r="R2336" s="171"/>
      <c r="S2336" s="172"/>
    </row>
    <row r="2337" spans="1:19" ht="42.75">
      <c r="A2337" s="164" t="s">
        <v>778</v>
      </c>
      <c r="B2337" s="165" t="s">
        <v>1429</v>
      </c>
      <c r="C2337" s="165" t="s">
        <v>5761</v>
      </c>
      <c r="D2337" s="164">
        <v>886</v>
      </c>
      <c r="E2337" s="164">
        <v>900</v>
      </c>
      <c r="F2337" s="164" t="s">
        <v>3955</v>
      </c>
      <c r="G2337" s="164"/>
      <c r="H2337" s="167"/>
      <c r="I2337" s="167"/>
      <c r="J2337" s="167"/>
      <c r="K2337" s="169"/>
      <c r="L2337" s="129"/>
      <c r="M2337" s="129"/>
      <c r="N2337" s="129"/>
      <c r="O2337" s="129"/>
      <c r="P2337" s="146"/>
      <c r="Q2337" s="170"/>
      <c r="R2337" s="171"/>
      <c r="S2337" s="172"/>
    </row>
    <row r="2338" spans="1:19" ht="42.75">
      <c r="A2338" s="164" t="s">
        <v>778</v>
      </c>
      <c r="B2338" s="165" t="s">
        <v>1429</v>
      </c>
      <c r="C2338" s="165" t="s">
        <v>5762</v>
      </c>
      <c r="D2338" s="164">
        <v>2488</v>
      </c>
      <c r="E2338" s="164">
        <v>2461</v>
      </c>
      <c r="F2338" s="164" t="s">
        <v>3955</v>
      </c>
      <c r="G2338" s="164"/>
      <c r="H2338" s="167"/>
      <c r="I2338" s="167"/>
      <c r="J2338" s="167"/>
      <c r="K2338" s="169"/>
      <c r="L2338" s="129"/>
      <c r="M2338" s="129"/>
      <c r="N2338" s="129"/>
      <c r="O2338" s="129"/>
      <c r="P2338" s="146"/>
      <c r="Q2338" s="170"/>
      <c r="R2338" s="171"/>
      <c r="S2338" s="172"/>
    </row>
    <row r="2339" spans="1:19" ht="42.75">
      <c r="A2339" s="164" t="s">
        <v>778</v>
      </c>
      <c r="B2339" s="165" t="s">
        <v>1429</v>
      </c>
      <c r="C2339" s="165" t="s">
        <v>5583</v>
      </c>
      <c r="D2339" s="164">
        <v>3490</v>
      </c>
      <c r="E2339" s="164">
        <v>3538</v>
      </c>
      <c r="F2339" s="164" t="s">
        <v>3404</v>
      </c>
      <c r="G2339" s="164">
        <v>2024</v>
      </c>
      <c r="H2339" s="175">
        <v>45414</v>
      </c>
      <c r="I2339" s="175">
        <v>45428</v>
      </c>
      <c r="J2339" s="168" t="s">
        <v>7407</v>
      </c>
      <c r="K2339" s="174">
        <v>45429</v>
      </c>
      <c r="L2339" s="129" t="s">
        <v>3532</v>
      </c>
      <c r="M2339" s="129"/>
      <c r="N2339" s="129"/>
      <c r="O2339" s="129" t="s">
        <v>3406</v>
      </c>
      <c r="P2339" s="146"/>
      <c r="Q2339" s="130">
        <v>45429</v>
      </c>
      <c r="R2339" s="171"/>
      <c r="S2339" s="172"/>
    </row>
    <row r="2340" spans="1:19" ht="42.75">
      <c r="A2340" s="164" t="s">
        <v>778</v>
      </c>
      <c r="B2340" s="165" t="s">
        <v>1429</v>
      </c>
      <c r="C2340" s="165" t="s">
        <v>914</v>
      </c>
      <c r="D2340" s="164">
        <v>2317</v>
      </c>
      <c r="E2340" s="164">
        <v>2539</v>
      </c>
      <c r="F2340" s="164" t="s">
        <v>3404</v>
      </c>
      <c r="G2340" s="164">
        <v>2024</v>
      </c>
      <c r="H2340" s="175">
        <v>45414</v>
      </c>
      <c r="I2340" s="175">
        <v>45428</v>
      </c>
      <c r="J2340" s="168" t="s">
        <v>7408</v>
      </c>
      <c r="K2340" s="174">
        <v>45429</v>
      </c>
      <c r="L2340" s="129" t="s">
        <v>3532</v>
      </c>
      <c r="M2340" s="129"/>
      <c r="N2340" s="129"/>
      <c r="O2340" s="129" t="s">
        <v>3406</v>
      </c>
      <c r="P2340" s="146"/>
      <c r="Q2340" s="130">
        <v>45429</v>
      </c>
      <c r="R2340" s="171"/>
      <c r="S2340" s="172"/>
    </row>
    <row r="2341" spans="1:19" ht="42.75">
      <c r="A2341" s="164" t="s">
        <v>778</v>
      </c>
      <c r="B2341" s="165" t="s">
        <v>1429</v>
      </c>
      <c r="C2341" s="165" t="s">
        <v>5551</v>
      </c>
      <c r="D2341" s="164">
        <v>2625</v>
      </c>
      <c r="E2341" s="164">
        <v>2687</v>
      </c>
      <c r="F2341" s="164" t="s">
        <v>3404</v>
      </c>
      <c r="G2341" s="164"/>
      <c r="H2341" s="175"/>
      <c r="I2341" s="175"/>
      <c r="J2341" s="252"/>
      <c r="K2341" s="169"/>
      <c r="L2341" s="129"/>
      <c r="M2341" s="129"/>
      <c r="N2341" s="129"/>
      <c r="O2341" s="129"/>
      <c r="P2341" s="146"/>
      <c r="Q2341" s="170"/>
      <c r="R2341" s="171"/>
      <c r="S2341" s="172"/>
    </row>
    <row r="2342" spans="1:19" ht="42.75">
      <c r="A2342" s="164" t="s">
        <v>778</v>
      </c>
      <c r="B2342" s="165" t="s">
        <v>1429</v>
      </c>
      <c r="C2342" s="165" t="s">
        <v>5552</v>
      </c>
      <c r="D2342" s="164">
        <v>3065</v>
      </c>
      <c r="E2342" s="164">
        <v>1678</v>
      </c>
      <c r="F2342" s="164" t="s">
        <v>3955</v>
      </c>
      <c r="G2342" s="164"/>
      <c r="H2342" s="167"/>
      <c r="I2342" s="167"/>
      <c r="J2342" s="167"/>
      <c r="K2342" s="169"/>
      <c r="L2342" s="129"/>
      <c r="M2342" s="129"/>
      <c r="N2342" s="129"/>
      <c r="O2342" s="129"/>
      <c r="P2342" s="146"/>
      <c r="Q2342" s="170"/>
      <c r="R2342" s="171"/>
      <c r="S2342" s="172"/>
    </row>
    <row r="2343" spans="1:19" ht="42.75">
      <c r="A2343" s="164" t="s">
        <v>778</v>
      </c>
      <c r="B2343" s="165" t="s">
        <v>1429</v>
      </c>
      <c r="C2343" s="165" t="s">
        <v>1253</v>
      </c>
      <c r="D2343" s="164">
        <v>3210</v>
      </c>
      <c r="E2343" s="164">
        <v>5111</v>
      </c>
      <c r="F2343" s="164" t="s">
        <v>3404</v>
      </c>
      <c r="G2343" s="164">
        <v>2024</v>
      </c>
      <c r="H2343" s="175">
        <v>45576</v>
      </c>
      <c r="I2343" s="175">
        <v>45582</v>
      </c>
      <c r="J2343" s="181" t="s">
        <v>7409</v>
      </c>
      <c r="K2343" s="174">
        <v>45584</v>
      </c>
      <c r="L2343" s="129" t="s">
        <v>3128</v>
      </c>
      <c r="M2343" s="129" t="s">
        <v>4</v>
      </c>
      <c r="N2343" s="129" t="s">
        <v>50</v>
      </c>
      <c r="O2343" s="129" t="s">
        <v>3406</v>
      </c>
      <c r="P2343" s="146"/>
      <c r="Q2343" s="170">
        <v>45586</v>
      </c>
      <c r="R2343" s="171" t="s">
        <v>150</v>
      </c>
      <c r="S2343" s="172"/>
    </row>
    <row r="2344" spans="1:19" ht="42.75">
      <c r="A2344" s="164" t="s">
        <v>778</v>
      </c>
      <c r="B2344" s="165" t="s">
        <v>1429</v>
      </c>
      <c r="C2344" s="165" t="s">
        <v>1424</v>
      </c>
      <c r="D2344" s="164">
        <v>3829</v>
      </c>
      <c r="E2344" s="164">
        <v>3961</v>
      </c>
      <c r="F2344" s="164" t="s">
        <v>3955</v>
      </c>
      <c r="G2344" s="164"/>
      <c r="H2344" s="167"/>
      <c r="I2344" s="167"/>
      <c r="J2344" s="167"/>
      <c r="K2344" s="169"/>
      <c r="L2344" s="129"/>
      <c r="M2344" s="129"/>
      <c r="N2344" s="129"/>
      <c r="O2344" s="129"/>
      <c r="P2344" s="146"/>
      <c r="Q2344" s="170"/>
      <c r="R2344" s="171"/>
      <c r="S2344" s="172"/>
    </row>
    <row r="2345" spans="1:19" ht="42.75">
      <c r="A2345" s="164" t="s">
        <v>778</v>
      </c>
      <c r="B2345" s="165" t="s">
        <v>1429</v>
      </c>
      <c r="C2345" s="165" t="s">
        <v>3566</v>
      </c>
      <c r="D2345" s="164">
        <v>3206</v>
      </c>
      <c r="E2345" s="164">
        <v>3227</v>
      </c>
      <c r="F2345" s="164" t="s">
        <v>3955</v>
      </c>
      <c r="G2345" s="164"/>
      <c r="H2345" s="167"/>
      <c r="I2345" s="167"/>
      <c r="J2345" s="167"/>
      <c r="K2345" s="169"/>
      <c r="L2345" s="129"/>
      <c r="M2345" s="129"/>
      <c r="N2345" s="129"/>
      <c r="O2345" s="129"/>
      <c r="P2345" s="146"/>
      <c r="Q2345" s="170"/>
      <c r="R2345" s="171"/>
      <c r="S2345" s="172"/>
    </row>
    <row r="2346" spans="1:19" ht="42.75">
      <c r="A2346" s="164" t="s">
        <v>778</v>
      </c>
      <c r="B2346" s="165" t="s">
        <v>1429</v>
      </c>
      <c r="C2346" s="165" t="s">
        <v>5763</v>
      </c>
      <c r="D2346" s="164">
        <v>1373</v>
      </c>
      <c r="E2346" s="164">
        <v>1453</v>
      </c>
      <c r="F2346" s="164" t="s">
        <v>3955</v>
      </c>
      <c r="G2346" s="164"/>
      <c r="H2346" s="167"/>
      <c r="I2346" s="167"/>
      <c r="J2346" s="167"/>
      <c r="K2346" s="169"/>
      <c r="L2346" s="129"/>
      <c r="M2346" s="129"/>
      <c r="N2346" s="129"/>
      <c r="O2346" s="129"/>
      <c r="P2346" s="146"/>
      <c r="Q2346" s="170"/>
      <c r="R2346" s="171"/>
      <c r="S2346" s="172"/>
    </row>
    <row r="2347" spans="1:19" ht="42.75">
      <c r="A2347" s="164" t="s">
        <v>779</v>
      </c>
      <c r="B2347" s="165" t="s">
        <v>1465</v>
      </c>
      <c r="C2347" s="165" t="s">
        <v>5785</v>
      </c>
      <c r="D2347" s="164">
        <v>361</v>
      </c>
      <c r="E2347" s="164">
        <v>415</v>
      </c>
      <c r="F2347" s="164" t="s">
        <v>3955</v>
      </c>
      <c r="G2347" s="164"/>
      <c r="H2347" s="167"/>
      <c r="I2347" s="167"/>
      <c r="J2347" s="167"/>
      <c r="K2347" s="169"/>
      <c r="L2347" s="129"/>
      <c r="M2347" s="129"/>
      <c r="N2347" s="129"/>
      <c r="O2347" s="129"/>
      <c r="P2347" s="146"/>
      <c r="Q2347" s="170"/>
      <c r="R2347" s="171"/>
      <c r="S2347" s="172"/>
    </row>
    <row r="2348" spans="1:19" ht="42.75">
      <c r="A2348" s="164" t="s">
        <v>779</v>
      </c>
      <c r="B2348" s="165" t="s">
        <v>1465</v>
      </c>
      <c r="C2348" s="165" t="s">
        <v>1475</v>
      </c>
      <c r="D2348" s="164">
        <v>657</v>
      </c>
      <c r="E2348" s="164">
        <v>616</v>
      </c>
      <c r="F2348" s="164" t="s">
        <v>3955</v>
      </c>
      <c r="G2348" s="164"/>
      <c r="H2348" s="167"/>
      <c r="I2348" s="167"/>
      <c r="J2348" s="167"/>
      <c r="K2348" s="169"/>
      <c r="L2348" s="129"/>
      <c r="M2348" s="129"/>
      <c r="N2348" s="129"/>
      <c r="O2348" s="129"/>
      <c r="P2348" s="146"/>
      <c r="Q2348" s="170"/>
      <c r="R2348" s="171"/>
      <c r="S2348" s="172"/>
    </row>
    <row r="2349" spans="1:19" ht="42.75">
      <c r="A2349" s="164" t="s">
        <v>779</v>
      </c>
      <c r="B2349" s="165" t="s">
        <v>1465</v>
      </c>
      <c r="C2349" s="165" t="s">
        <v>5261</v>
      </c>
      <c r="D2349" s="164">
        <v>343</v>
      </c>
      <c r="E2349" s="164">
        <v>387</v>
      </c>
      <c r="F2349" s="164" t="s">
        <v>3955</v>
      </c>
      <c r="G2349" s="164"/>
      <c r="H2349" s="167"/>
      <c r="I2349" s="167"/>
      <c r="J2349" s="167"/>
      <c r="K2349" s="169"/>
      <c r="L2349" s="129"/>
      <c r="M2349" s="129"/>
      <c r="N2349" s="129"/>
      <c r="O2349" s="129"/>
      <c r="P2349" s="146"/>
      <c r="Q2349" s="170"/>
      <c r="R2349" s="171"/>
      <c r="S2349" s="172"/>
    </row>
    <row r="2350" spans="1:19" ht="42.75">
      <c r="A2350" s="164" t="s">
        <v>779</v>
      </c>
      <c r="B2350" s="165" t="s">
        <v>1465</v>
      </c>
      <c r="C2350" s="165" t="s">
        <v>5328</v>
      </c>
      <c r="D2350" s="164">
        <v>725</v>
      </c>
      <c r="E2350" s="164">
        <v>798</v>
      </c>
      <c r="F2350" s="164" t="s">
        <v>3955</v>
      </c>
      <c r="G2350" s="164"/>
      <c r="H2350" s="167"/>
      <c r="I2350" s="167"/>
      <c r="J2350" s="167"/>
      <c r="K2350" s="169"/>
      <c r="L2350" s="129"/>
      <c r="M2350" s="129"/>
      <c r="N2350" s="129"/>
      <c r="O2350" s="129"/>
      <c r="P2350" s="146"/>
      <c r="Q2350" s="170"/>
      <c r="R2350" s="171"/>
      <c r="S2350" s="172"/>
    </row>
    <row r="2351" spans="1:19" ht="42.75">
      <c r="A2351" s="164" t="s">
        <v>779</v>
      </c>
      <c r="B2351" s="165" t="s">
        <v>1465</v>
      </c>
      <c r="C2351" s="165" t="s">
        <v>5782</v>
      </c>
      <c r="D2351" s="164">
        <v>961</v>
      </c>
      <c r="E2351" s="164">
        <v>1037</v>
      </c>
      <c r="F2351" s="164" t="s">
        <v>3955</v>
      </c>
      <c r="G2351" s="164"/>
      <c r="H2351" s="167"/>
      <c r="I2351" s="167"/>
      <c r="J2351" s="167"/>
      <c r="K2351" s="169"/>
      <c r="L2351" s="129"/>
      <c r="M2351" s="129"/>
      <c r="N2351" s="129"/>
      <c r="O2351" s="129"/>
      <c r="P2351" s="146"/>
      <c r="Q2351" s="170"/>
      <c r="R2351" s="171"/>
      <c r="S2351" s="172"/>
    </row>
    <row r="2352" spans="1:19" ht="42.75">
      <c r="A2352" s="164" t="s">
        <v>779</v>
      </c>
      <c r="B2352" s="165" t="s">
        <v>1465</v>
      </c>
      <c r="C2352" s="165" t="s">
        <v>5789</v>
      </c>
      <c r="D2352" s="164">
        <v>418</v>
      </c>
      <c r="E2352" s="164">
        <v>445</v>
      </c>
      <c r="F2352" s="164" t="s">
        <v>3955</v>
      </c>
      <c r="G2352" s="164"/>
      <c r="H2352" s="167"/>
      <c r="I2352" s="167"/>
      <c r="J2352" s="167"/>
      <c r="K2352" s="169"/>
      <c r="L2352" s="129"/>
      <c r="M2352" s="129"/>
      <c r="N2352" s="129"/>
      <c r="O2352" s="129"/>
      <c r="P2352" s="146"/>
      <c r="Q2352" s="170"/>
      <c r="R2352" s="171"/>
      <c r="S2352" s="172"/>
    </row>
    <row r="2353" spans="1:19" ht="42.75">
      <c r="A2353" s="164" t="s">
        <v>779</v>
      </c>
      <c r="B2353" s="165" t="s">
        <v>1465</v>
      </c>
      <c r="C2353" s="165" t="s">
        <v>5787</v>
      </c>
      <c r="D2353" s="164">
        <v>449</v>
      </c>
      <c r="E2353" s="164">
        <v>458</v>
      </c>
      <c r="F2353" s="164" t="s">
        <v>3955</v>
      </c>
      <c r="G2353" s="164"/>
      <c r="H2353" s="167"/>
      <c r="I2353" s="167"/>
      <c r="J2353" s="167"/>
      <c r="K2353" s="169"/>
      <c r="L2353" s="129"/>
      <c r="M2353" s="129"/>
      <c r="N2353" s="129"/>
      <c r="O2353" s="129"/>
      <c r="P2353" s="146"/>
      <c r="Q2353" s="170"/>
      <c r="R2353" s="171"/>
      <c r="S2353" s="172"/>
    </row>
    <row r="2354" spans="1:19" ht="42.75">
      <c r="A2354" s="164" t="s">
        <v>779</v>
      </c>
      <c r="B2354" s="165" t="s">
        <v>1465</v>
      </c>
      <c r="C2354" s="165" t="s">
        <v>1056</v>
      </c>
      <c r="D2354" s="164">
        <v>356</v>
      </c>
      <c r="E2354" s="164">
        <v>372</v>
      </c>
      <c r="F2354" s="164" t="s">
        <v>3955</v>
      </c>
      <c r="G2354" s="164"/>
      <c r="H2354" s="167"/>
      <c r="I2354" s="167"/>
      <c r="J2354" s="167"/>
      <c r="K2354" s="169"/>
      <c r="L2354" s="129"/>
      <c r="M2354" s="129"/>
      <c r="N2354" s="129"/>
      <c r="O2354" s="129"/>
      <c r="P2354" s="146"/>
      <c r="Q2354" s="170"/>
      <c r="R2354" s="171"/>
      <c r="S2354" s="172"/>
    </row>
    <row r="2355" spans="1:19" ht="42.75">
      <c r="A2355" s="164" t="s">
        <v>779</v>
      </c>
      <c r="B2355" s="165" t="s">
        <v>1465</v>
      </c>
      <c r="C2355" s="165" t="s">
        <v>1299</v>
      </c>
      <c r="D2355" s="164">
        <v>854</v>
      </c>
      <c r="E2355" s="164">
        <v>879</v>
      </c>
      <c r="F2355" s="164" t="s">
        <v>3955</v>
      </c>
      <c r="G2355" s="164"/>
      <c r="H2355" s="167"/>
      <c r="I2355" s="167"/>
      <c r="J2355" s="167"/>
      <c r="K2355" s="169"/>
      <c r="L2355" s="129"/>
      <c r="M2355" s="129"/>
      <c r="N2355" s="129"/>
      <c r="O2355" s="129"/>
      <c r="P2355" s="146"/>
      <c r="Q2355" s="170"/>
      <c r="R2355" s="171"/>
      <c r="S2355" s="172"/>
    </row>
    <row r="2356" spans="1:19" ht="42.75">
      <c r="A2356" s="164" t="s">
        <v>779</v>
      </c>
      <c r="B2356" s="165" t="s">
        <v>1465</v>
      </c>
      <c r="C2356" s="165" t="s">
        <v>5792</v>
      </c>
      <c r="D2356" s="164">
        <v>617</v>
      </c>
      <c r="E2356" s="164">
        <v>641</v>
      </c>
      <c r="F2356" s="164" t="s">
        <v>3955</v>
      </c>
      <c r="G2356" s="164"/>
      <c r="H2356" s="167"/>
      <c r="I2356" s="167"/>
      <c r="J2356" s="167"/>
      <c r="K2356" s="169"/>
      <c r="L2356" s="129"/>
      <c r="M2356" s="129"/>
      <c r="N2356" s="129"/>
      <c r="O2356" s="129"/>
      <c r="P2356" s="146"/>
      <c r="Q2356" s="170"/>
      <c r="R2356" s="171"/>
      <c r="S2356" s="172"/>
    </row>
    <row r="2357" spans="1:19" ht="42.75">
      <c r="A2357" s="164" t="s">
        <v>779</v>
      </c>
      <c r="B2357" s="165" t="s">
        <v>1465</v>
      </c>
      <c r="C2357" s="165" t="s">
        <v>5793</v>
      </c>
      <c r="D2357" s="164">
        <v>1107</v>
      </c>
      <c r="E2357" s="164">
        <v>1168</v>
      </c>
      <c r="F2357" s="164" t="s">
        <v>3955</v>
      </c>
      <c r="G2357" s="164"/>
      <c r="H2357" s="167"/>
      <c r="I2357" s="167"/>
      <c r="J2357" s="167"/>
      <c r="K2357" s="169"/>
      <c r="L2357" s="129"/>
      <c r="M2357" s="129"/>
      <c r="N2357" s="129"/>
      <c r="O2357" s="129"/>
      <c r="P2357" s="146"/>
      <c r="Q2357" s="170"/>
      <c r="R2357" s="171"/>
      <c r="S2357" s="172"/>
    </row>
    <row r="2358" spans="1:19" ht="42.75">
      <c r="A2358" s="164" t="s">
        <v>779</v>
      </c>
      <c r="B2358" s="165" t="s">
        <v>1465</v>
      </c>
      <c r="C2358" s="165" t="s">
        <v>5794</v>
      </c>
      <c r="D2358" s="164">
        <v>411</v>
      </c>
      <c r="E2358" s="164">
        <v>409</v>
      </c>
      <c r="F2358" s="164" t="s">
        <v>3955</v>
      </c>
      <c r="G2358" s="164"/>
      <c r="H2358" s="167"/>
      <c r="I2358" s="167"/>
      <c r="J2358" s="167"/>
      <c r="K2358" s="169"/>
      <c r="L2358" s="129"/>
      <c r="M2358" s="129"/>
      <c r="N2358" s="129"/>
      <c r="O2358" s="129"/>
      <c r="P2358" s="146"/>
      <c r="Q2358" s="170"/>
      <c r="R2358" s="171"/>
      <c r="S2358" s="172"/>
    </row>
    <row r="2359" spans="1:19" ht="42.75">
      <c r="A2359" s="164" t="s">
        <v>779</v>
      </c>
      <c r="B2359" s="165" t="s">
        <v>1465</v>
      </c>
      <c r="C2359" s="165" t="s">
        <v>1466</v>
      </c>
      <c r="D2359" s="164">
        <v>405</v>
      </c>
      <c r="E2359" s="164">
        <v>462</v>
      </c>
      <c r="F2359" s="164" t="s">
        <v>3955</v>
      </c>
      <c r="G2359" s="164"/>
      <c r="H2359" s="167"/>
      <c r="I2359" s="167"/>
      <c r="J2359" s="167"/>
      <c r="K2359" s="169"/>
      <c r="L2359" s="129"/>
      <c r="M2359" s="129"/>
      <c r="N2359" s="129"/>
      <c r="O2359" s="129"/>
      <c r="P2359" s="146"/>
      <c r="Q2359" s="170"/>
      <c r="R2359" s="171"/>
      <c r="S2359" s="172"/>
    </row>
    <row r="2360" spans="1:19" ht="42.75">
      <c r="A2360" s="164" t="s">
        <v>779</v>
      </c>
      <c r="B2360" s="165" t="s">
        <v>1465</v>
      </c>
      <c r="C2360" s="165" t="s">
        <v>918</v>
      </c>
      <c r="D2360" s="164">
        <v>494</v>
      </c>
      <c r="E2360" s="164">
        <v>449</v>
      </c>
      <c r="F2360" s="164" t="s">
        <v>3955</v>
      </c>
      <c r="G2360" s="164"/>
      <c r="H2360" s="167"/>
      <c r="I2360" s="167"/>
      <c r="J2360" s="167"/>
      <c r="K2360" s="169"/>
      <c r="L2360" s="129"/>
      <c r="M2360" s="129"/>
      <c r="N2360" s="129"/>
      <c r="O2360" s="129"/>
      <c r="P2360" s="146"/>
      <c r="Q2360" s="170"/>
      <c r="R2360" s="171"/>
      <c r="S2360" s="172"/>
    </row>
    <row r="2361" spans="1:19" ht="42.75">
      <c r="A2361" s="164" t="s">
        <v>779</v>
      </c>
      <c r="B2361" s="165" t="s">
        <v>1465</v>
      </c>
      <c r="C2361" s="165" t="s">
        <v>3974</v>
      </c>
      <c r="D2361" s="164">
        <v>853</v>
      </c>
      <c r="E2361" s="164">
        <v>917</v>
      </c>
      <c r="F2361" s="164" t="s">
        <v>3955</v>
      </c>
      <c r="G2361" s="164"/>
      <c r="H2361" s="167"/>
      <c r="I2361" s="167"/>
      <c r="J2361" s="167"/>
      <c r="K2361" s="169"/>
      <c r="L2361" s="129"/>
      <c r="M2361" s="129"/>
      <c r="N2361" s="129"/>
      <c r="O2361" s="129"/>
      <c r="P2361" s="146"/>
      <c r="Q2361" s="170"/>
      <c r="R2361" s="171"/>
      <c r="S2361" s="172"/>
    </row>
    <row r="2362" spans="1:19" ht="42.75">
      <c r="A2362" s="164" t="s">
        <v>779</v>
      </c>
      <c r="B2362" s="165" t="s">
        <v>1465</v>
      </c>
      <c r="C2362" s="165" t="s">
        <v>3133</v>
      </c>
      <c r="D2362" s="164">
        <v>387</v>
      </c>
      <c r="E2362" s="164">
        <v>450</v>
      </c>
      <c r="F2362" s="164" t="s">
        <v>3404</v>
      </c>
      <c r="G2362" s="164">
        <v>2024</v>
      </c>
      <c r="H2362" s="175">
        <v>45582</v>
      </c>
      <c r="I2362" s="175">
        <v>45582</v>
      </c>
      <c r="J2362" s="168" t="s">
        <v>7410</v>
      </c>
      <c r="K2362" s="174">
        <v>45584</v>
      </c>
      <c r="L2362" s="129" t="s">
        <v>3128</v>
      </c>
      <c r="M2362" s="129" t="s">
        <v>1078</v>
      </c>
      <c r="N2362" s="129" t="s">
        <v>50</v>
      </c>
      <c r="O2362" s="129" t="s">
        <v>3406</v>
      </c>
      <c r="P2362" s="146"/>
      <c r="Q2362" s="170">
        <v>45586</v>
      </c>
      <c r="R2362" s="171" t="s">
        <v>150</v>
      </c>
      <c r="S2362" s="172"/>
    </row>
    <row r="2363" spans="1:19" ht="42.75">
      <c r="A2363" s="164" t="s">
        <v>779</v>
      </c>
      <c r="B2363" s="165" t="s">
        <v>1465</v>
      </c>
      <c r="C2363" s="165" t="s">
        <v>5799</v>
      </c>
      <c r="D2363" s="164">
        <v>1115</v>
      </c>
      <c r="E2363" s="164">
        <v>1227</v>
      </c>
      <c r="F2363" s="164" t="s">
        <v>3404</v>
      </c>
      <c r="G2363" s="164">
        <v>2024</v>
      </c>
      <c r="H2363" s="175">
        <v>45449</v>
      </c>
      <c r="I2363" s="175">
        <v>45449</v>
      </c>
      <c r="J2363" s="168" t="s">
        <v>7411</v>
      </c>
      <c r="K2363" s="174">
        <v>45462</v>
      </c>
      <c r="L2363" s="129" t="s">
        <v>3689</v>
      </c>
      <c r="M2363" s="129"/>
      <c r="N2363" s="129"/>
      <c r="O2363" s="129" t="s">
        <v>3406</v>
      </c>
      <c r="P2363" s="146"/>
      <c r="Q2363" s="170">
        <v>45463</v>
      </c>
      <c r="R2363" s="171"/>
      <c r="S2363" s="172"/>
    </row>
    <row r="2364" spans="1:19" ht="42.75">
      <c r="A2364" s="164" t="s">
        <v>779</v>
      </c>
      <c r="B2364" s="165" t="s">
        <v>1465</v>
      </c>
      <c r="C2364" s="165" t="s">
        <v>5800</v>
      </c>
      <c r="D2364" s="164">
        <v>1015</v>
      </c>
      <c r="E2364" s="164">
        <v>1078</v>
      </c>
      <c r="F2364" s="164" t="s">
        <v>3955</v>
      </c>
      <c r="G2364" s="164"/>
      <c r="H2364" s="167"/>
      <c r="I2364" s="167"/>
      <c r="J2364" s="167"/>
      <c r="K2364" s="169"/>
      <c r="L2364" s="129"/>
      <c r="M2364" s="129"/>
      <c r="N2364" s="129"/>
      <c r="O2364" s="129"/>
      <c r="P2364" s="146"/>
      <c r="Q2364" s="170"/>
      <c r="R2364" s="171"/>
      <c r="S2364" s="172"/>
    </row>
    <row r="2365" spans="1:19" ht="42.75">
      <c r="A2365" s="164" t="s">
        <v>779</v>
      </c>
      <c r="B2365" s="165" t="s">
        <v>1445</v>
      </c>
      <c r="C2365" s="165" t="s">
        <v>5801</v>
      </c>
      <c r="D2365" s="164">
        <v>19762</v>
      </c>
      <c r="E2365" s="164">
        <v>21794</v>
      </c>
      <c r="F2365" s="164" t="s">
        <v>3955</v>
      </c>
      <c r="G2365" s="164"/>
      <c r="H2365" s="167"/>
      <c r="I2365" s="167"/>
      <c r="J2365" s="167"/>
      <c r="K2365" s="169"/>
      <c r="L2365" s="129"/>
      <c r="M2365" s="129"/>
      <c r="N2365" s="129"/>
      <c r="O2365" s="129"/>
      <c r="P2365" s="146"/>
      <c r="Q2365" s="170"/>
      <c r="R2365" s="171"/>
      <c r="S2365" s="172"/>
    </row>
    <row r="2366" spans="1:19" ht="42.75">
      <c r="A2366" s="164" t="s">
        <v>779</v>
      </c>
      <c r="B2366" s="165" t="s">
        <v>1445</v>
      </c>
      <c r="C2366" s="165" t="s">
        <v>5803</v>
      </c>
      <c r="D2366" s="164">
        <v>801</v>
      </c>
      <c r="E2366" s="164">
        <v>1115</v>
      </c>
      <c r="F2366" s="164" t="s">
        <v>3955</v>
      </c>
      <c r="G2366" s="164"/>
      <c r="H2366" s="167"/>
      <c r="I2366" s="167"/>
      <c r="J2366" s="167"/>
      <c r="K2366" s="169"/>
      <c r="L2366" s="129"/>
      <c r="M2366" s="129"/>
      <c r="N2366" s="129"/>
      <c r="O2366" s="129"/>
      <c r="P2366" s="146"/>
      <c r="Q2366" s="170"/>
      <c r="R2366" s="171"/>
      <c r="S2366" s="172"/>
    </row>
    <row r="2367" spans="1:19" ht="42.75">
      <c r="A2367" s="164" t="s">
        <v>779</v>
      </c>
      <c r="B2367" s="165" t="s">
        <v>1445</v>
      </c>
      <c r="C2367" s="165" t="s">
        <v>5804</v>
      </c>
      <c r="D2367" s="164">
        <v>191</v>
      </c>
      <c r="E2367" s="164">
        <v>266</v>
      </c>
      <c r="F2367" s="164" t="s">
        <v>3955</v>
      </c>
      <c r="G2367" s="164"/>
      <c r="H2367" s="167"/>
      <c r="I2367" s="167"/>
      <c r="J2367" s="167"/>
      <c r="K2367" s="169"/>
      <c r="L2367" s="129"/>
      <c r="M2367" s="129"/>
      <c r="N2367" s="129"/>
      <c r="O2367" s="129"/>
      <c r="P2367" s="146"/>
      <c r="Q2367" s="170"/>
      <c r="R2367" s="171"/>
      <c r="S2367" s="172"/>
    </row>
    <row r="2368" spans="1:19" ht="42.75">
      <c r="A2368" s="164" t="s">
        <v>779</v>
      </c>
      <c r="B2368" s="165" t="s">
        <v>1445</v>
      </c>
      <c r="C2368" s="165" t="s">
        <v>5671</v>
      </c>
      <c r="D2368" s="164">
        <v>271</v>
      </c>
      <c r="E2368" s="164">
        <v>434</v>
      </c>
      <c r="F2368" s="164" t="s">
        <v>3955</v>
      </c>
      <c r="G2368" s="164"/>
      <c r="H2368" s="167"/>
      <c r="I2368" s="167"/>
      <c r="J2368" s="167"/>
      <c r="K2368" s="169"/>
      <c r="L2368" s="129"/>
      <c r="M2368" s="129"/>
      <c r="N2368" s="129"/>
      <c r="O2368" s="129"/>
      <c r="P2368" s="146"/>
      <c r="Q2368" s="170"/>
      <c r="R2368" s="171"/>
      <c r="S2368" s="172"/>
    </row>
    <row r="2369" spans="1:19" ht="42.75">
      <c r="A2369" s="164" t="s">
        <v>779</v>
      </c>
      <c r="B2369" s="165" t="s">
        <v>1445</v>
      </c>
      <c r="C2369" s="165" t="s">
        <v>5805</v>
      </c>
      <c r="D2369" s="164">
        <v>2292</v>
      </c>
      <c r="E2369" s="164">
        <v>2381</v>
      </c>
      <c r="F2369" s="164" t="s">
        <v>3955</v>
      </c>
      <c r="G2369" s="164"/>
      <c r="H2369" s="167"/>
      <c r="I2369" s="167"/>
      <c r="J2369" s="167"/>
      <c r="K2369" s="169"/>
      <c r="L2369" s="129"/>
      <c r="M2369" s="129"/>
      <c r="N2369" s="129"/>
      <c r="O2369" s="129"/>
      <c r="P2369" s="146"/>
      <c r="Q2369" s="170"/>
      <c r="R2369" s="171"/>
      <c r="S2369" s="172"/>
    </row>
    <row r="2370" spans="1:19" ht="42.75">
      <c r="A2370" s="164" t="s">
        <v>779</v>
      </c>
      <c r="B2370" s="165" t="s">
        <v>1445</v>
      </c>
      <c r="C2370" s="165" t="s">
        <v>5396</v>
      </c>
      <c r="D2370" s="164">
        <v>1135</v>
      </c>
      <c r="E2370" s="164">
        <v>1349</v>
      </c>
      <c r="F2370" s="164" t="s">
        <v>3955</v>
      </c>
      <c r="G2370" s="164"/>
      <c r="H2370" s="167"/>
      <c r="I2370" s="167"/>
      <c r="J2370" s="167"/>
      <c r="K2370" s="169"/>
      <c r="L2370" s="129"/>
      <c r="M2370" s="129"/>
      <c r="N2370" s="129"/>
      <c r="O2370" s="129"/>
      <c r="P2370" s="146"/>
      <c r="Q2370" s="170"/>
      <c r="R2370" s="171"/>
      <c r="S2370" s="172"/>
    </row>
    <row r="2371" spans="1:19" ht="42.75">
      <c r="A2371" s="164" t="s">
        <v>779</v>
      </c>
      <c r="B2371" s="165" t="s">
        <v>1445</v>
      </c>
      <c r="C2371" s="165" t="s">
        <v>4613</v>
      </c>
      <c r="D2371" s="164">
        <v>5420</v>
      </c>
      <c r="E2371" s="164">
        <v>6671</v>
      </c>
      <c r="F2371" s="164" t="s">
        <v>3955</v>
      </c>
      <c r="G2371" s="164"/>
      <c r="H2371" s="167"/>
      <c r="I2371" s="167"/>
      <c r="J2371" s="167"/>
      <c r="K2371" s="169"/>
      <c r="L2371" s="129"/>
      <c r="M2371" s="129"/>
      <c r="N2371" s="129"/>
      <c r="O2371" s="129"/>
      <c r="P2371" s="146"/>
      <c r="Q2371" s="170"/>
      <c r="R2371" s="171"/>
      <c r="S2371" s="172"/>
    </row>
    <row r="2372" spans="1:19" ht="42.75">
      <c r="A2372" s="164" t="s">
        <v>779</v>
      </c>
      <c r="B2372" s="165" t="s">
        <v>1445</v>
      </c>
      <c r="C2372" s="165" t="s">
        <v>5807</v>
      </c>
      <c r="D2372" s="164">
        <v>34</v>
      </c>
      <c r="E2372" s="164">
        <v>40</v>
      </c>
      <c r="F2372" s="164" t="s">
        <v>3955</v>
      </c>
      <c r="G2372" s="164"/>
      <c r="H2372" s="167"/>
      <c r="I2372" s="167"/>
      <c r="J2372" s="167"/>
      <c r="K2372" s="169"/>
      <c r="L2372" s="129"/>
      <c r="M2372" s="129"/>
      <c r="N2372" s="129"/>
      <c r="O2372" s="129"/>
      <c r="P2372" s="146"/>
      <c r="Q2372" s="170"/>
      <c r="R2372" s="171"/>
      <c r="S2372" s="172"/>
    </row>
    <row r="2373" spans="1:19" ht="42.75">
      <c r="A2373" s="164" t="s">
        <v>779</v>
      </c>
      <c r="B2373" s="165" t="s">
        <v>1445</v>
      </c>
      <c r="C2373" s="165" t="s">
        <v>5811</v>
      </c>
      <c r="D2373" s="164">
        <v>2109</v>
      </c>
      <c r="E2373" s="164">
        <v>2870</v>
      </c>
      <c r="F2373" s="164" t="s">
        <v>3955</v>
      </c>
      <c r="G2373" s="164"/>
      <c r="H2373" s="167"/>
      <c r="I2373" s="167"/>
      <c r="J2373" s="167"/>
      <c r="K2373" s="169"/>
      <c r="L2373" s="129"/>
      <c r="M2373" s="129"/>
      <c r="N2373" s="129"/>
      <c r="O2373" s="129"/>
      <c r="P2373" s="146"/>
      <c r="Q2373" s="170"/>
      <c r="R2373" s="171"/>
      <c r="S2373" s="172"/>
    </row>
    <row r="2374" spans="1:19" ht="42.75">
      <c r="A2374" s="164" t="s">
        <v>779</v>
      </c>
      <c r="B2374" s="165" t="s">
        <v>1445</v>
      </c>
      <c r="C2374" s="165" t="s">
        <v>5659</v>
      </c>
      <c r="D2374" s="164">
        <v>19739</v>
      </c>
      <c r="E2374" s="164">
        <v>19777</v>
      </c>
      <c r="F2374" s="164" t="s">
        <v>3955</v>
      </c>
      <c r="G2374" s="164"/>
      <c r="H2374" s="167"/>
      <c r="I2374" s="167"/>
      <c r="J2374" s="167"/>
      <c r="K2374" s="169"/>
      <c r="L2374" s="129"/>
      <c r="M2374" s="129"/>
      <c r="N2374" s="129"/>
      <c r="O2374" s="129"/>
      <c r="P2374" s="146"/>
      <c r="Q2374" s="170"/>
      <c r="R2374" s="171"/>
      <c r="S2374" s="172"/>
    </row>
    <row r="2375" spans="1:19" ht="42.75">
      <c r="A2375" s="164" t="s">
        <v>779</v>
      </c>
      <c r="B2375" s="165" t="s">
        <v>1445</v>
      </c>
      <c r="C2375" s="165" t="s">
        <v>1253</v>
      </c>
      <c r="D2375" s="164">
        <v>189</v>
      </c>
      <c r="E2375" s="164">
        <v>480</v>
      </c>
      <c r="F2375" s="164" t="s">
        <v>3955</v>
      </c>
      <c r="G2375" s="164"/>
      <c r="H2375" s="167"/>
      <c r="I2375" s="167"/>
      <c r="J2375" s="167"/>
      <c r="K2375" s="169"/>
      <c r="L2375" s="129"/>
      <c r="M2375" s="129"/>
      <c r="N2375" s="129"/>
      <c r="O2375" s="129"/>
      <c r="P2375" s="146"/>
      <c r="Q2375" s="170"/>
      <c r="R2375" s="171"/>
      <c r="S2375" s="172"/>
    </row>
    <row r="2376" spans="1:19" ht="42.75">
      <c r="A2376" s="164" t="s">
        <v>779</v>
      </c>
      <c r="B2376" s="165" t="s">
        <v>1445</v>
      </c>
      <c r="C2376" s="165" t="s">
        <v>1155</v>
      </c>
      <c r="D2376" s="164">
        <v>2058</v>
      </c>
      <c r="E2376" s="164">
        <v>2906</v>
      </c>
      <c r="F2376" s="164" t="s">
        <v>3955</v>
      </c>
      <c r="G2376" s="164"/>
      <c r="H2376" s="167"/>
      <c r="I2376" s="167"/>
      <c r="J2376" s="167"/>
      <c r="K2376" s="169"/>
      <c r="L2376" s="129"/>
      <c r="M2376" s="129"/>
      <c r="N2376" s="129"/>
      <c r="O2376" s="129"/>
      <c r="P2376" s="146"/>
      <c r="Q2376" s="170"/>
      <c r="R2376" s="171"/>
      <c r="S2376" s="172"/>
    </row>
    <row r="2377" spans="1:19" ht="42.75">
      <c r="A2377" s="164" t="s">
        <v>779</v>
      </c>
      <c r="B2377" s="165" t="s">
        <v>1445</v>
      </c>
      <c r="C2377" s="165" t="s">
        <v>3974</v>
      </c>
      <c r="D2377" s="164">
        <v>10678</v>
      </c>
      <c r="E2377" s="164">
        <v>11986</v>
      </c>
      <c r="F2377" s="164" t="s">
        <v>3955</v>
      </c>
      <c r="G2377" s="164"/>
      <c r="H2377" s="167"/>
      <c r="I2377" s="167"/>
      <c r="J2377" s="167"/>
      <c r="K2377" s="169"/>
      <c r="L2377" s="129"/>
      <c r="M2377" s="129"/>
      <c r="N2377" s="129"/>
      <c r="O2377" s="129"/>
      <c r="P2377" s="146"/>
      <c r="Q2377" s="170"/>
      <c r="R2377" s="171"/>
      <c r="S2377" s="172"/>
    </row>
    <row r="2378" spans="1:19" ht="42.75">
      <c r="A2378" s="164" t="s">
        <v>779</v>
      </c>
      <c r="B2378" s="165" t="s">
        <v>1445</v>
      </c>
      <c r="C2378" s="165" t="s">
        <v>1166</v>
      </c>
      <c r="D2378" s="164">
        <v>2676</v>
      </c>
      <c r="E2378" s="164">
        <v>3772</v>
      </c>
      <c r="F2378" s="164" t="s">
        <v>3955</v>
      </c>
      <c r="G2378" s="164"/>
      <c r="H2378" s="167"/>
      <c r="I2378" s="167"/>
      <c r="J2378" s="167"/>
      <c r="K2378" s="169"/>
      <c r="L2378" s="129"/>
      <c r="M2378" s="129"/>
      <c r="N2378" s="129"/>
      <c r="O2378" s="129"/>
      <c r="P2378" s="146"/>
      <c r="Q2378" s="170"/>
      <c r="R2378" s="171"/>
      <c r="S2378" s="172"/>
    </row>
    <row r="2379" spans="1:19" ht="42.75">
      <c r="A2379" s="164" t="s">
        <v>779</v>
      </c>
      <c r="B2379" s="165" t="s">
        <v>1445</v>
      </c>
      <c r="C2379" s="165" t="s">
        <v>3727</v>
      </c>
      <c r="D2379" s="164">
        <v>2111</v>
      </c>
      <c r="E2379" s="164">
        <v>2419</v>
      </c>
      <c r="F2379" s="164" t="s">
        <v>3955</v>
      </c>
      <c r="G2379" s="164"/>
      <c r="H2379" s="167"/>
      <c r="I2379" s="167"/>
      <c r="J2379" s="167"/>
      <c r="K2379" s="169"/>
      <c r="L2379" s="129"/>
      <c r="M2379" s="129"/>
      <c r="N2379" s="129"/>
      <c r="O2379" s="129"/>
      <c r="P2379" s="146"/>
      <c r="Q2379" s="170"/>
      <c r="R2379" s="171"/>
      <c r="S2379" s="172"/>
    </row>
    <row r="2380" spans="1:19" ht="42.75">
      <c r="A2380" s="164" t="s">
        <v>779</v>
      </c>
      <c r="B2380" s="165" t="s">
        <v>1469</v>
      </c>
      <c r="C2380" s="165" t="s">
        <v>5812</v>
      </c>
      <c r="D2380" s="164">
        <v>704</v>
      </c>
      <c r="E2380" s="164">
        <v>769</v>
      </c>
      <c r="F2380" s="164" t="s">
        <v>3955</v>
      </c>
      <c r="G2380" s="164"/>
      <c r="H2380" s="167"/>
      <c r="I2380" s="167"/>
      <c r="J2380" s="167"/>
      <c r="K2380" s="169"/>
      <c r="L2380" s="129"/>
      <c r="M2380" s="129"/>
      <c r="N2380" s="129"/>
      <c r="O2380" s="129"/>
      <c r="P2380" s="146"/>
      <c r="Q2380" s="170"/>
      <c r="R2380" s="171"/>
      <c r="S2380" s="172"/>
    </row>
    <row r="2381" spans="1:19" ht="42.75">
      <c r="A2381" s="164" t="s">
        <v>779</v>
      </c>
      <c r="B2381" s="165" t="s">
        <v>1469</v>
      </c>
      <c r="C2381" s="165" t="s">
        <v>5814</v>
      </c>
      <c r="D2381" s="164">
        <v>864</v>
      </c>
      <c r="E2381" s="164">
        <v>864</v>
      </c>
      <c r="F2381" s="164" t="s">
        <v>3955</v>
      </c>
      <c r="G2381" s="164"/>
      <c r="H2381" s="167"/>
      <c r="I2381" s="167"/>
      <c r="J2381" s="167"/>
      <c r="K2381" s="169"/>
      <c r="L2381" s="129"/>
      <c r="M2381" s="129"/>
      <c r="N2381" s="129"/>
      <c r="O2381" s="129"/>
      <c r="P2381" s="146"/>
      <c r="Q2381" s="170"/>
      <c r="R2381" s="171"/>
      <c r="S2381" s="172"/>
    </row>
    <row r="2382" spans="1:19" ht="42.75">
      <c r="A2382" s="164" t="s">
        <v>779</v>
      </c>
      <c r="B2382" s="165" t="s">
        <v>1469</v>
      </c>
      <c r="C2382" s="165" t="s">
        <v>5816</v>
      </c>
      <c r="D2382" s="164">
        <v>1329</v>
      </c>
      <c r="E2382" s="164">
        <v>1336</v>
      </c>
      <c r="F2382" s="164" t="s">
        <v>3955</v>
      </c>
      <c r="G2382" s="164"/>
      <c r="H2382" s="167"/>
      <c r="I2382" s="167"/>
      <c r="J2382" s="167"/>
      <c r="K2382" s="169"/>
      <c r="L2382" s="129"/>
      <c r="M2382" s="129"/>
      <c r="N2382" s="129"/>
      <c r="O2382" s="129"/>
      <c r="P2382" s="146"/>
      <c r="Q2382" s="170"/>
      <c r="R2382" s="171"/>
      <c r="S2382" s="172"/>
    </row>
    <row r="2383" spans="1:19" ht="42.75">
      <c r="A2383" s="164" t="s">
        <v>779</v>
      </c>
      <c r="B2383" s="165" t="s">
        <v>1469</v>
      </c>
      <c r="C2383" s="165" t="s">
        <v>5817</v>
      </c>
      <c r="D2383" s="164">
        <v>2419</v>
      </c>
      <c r="E2383" s="164">
        <v>2694</v>
      </c>
      <c r="F2383" s="164" t="s">
        <v>3955</v>
      </c>
      <c r="G2383" s="164"/>
      <c r="H2383" s="167"/>
      <c r="I2383" s="167"/>
      <c r="J2383" s="167"/>
      <c r="K2383" s="169"/>
      <c r="L2383" s="129"/>
      <c r="M2383" s="129"/>
      <c r="N2383" s="129"/>
      <c r="O2383" s="129"/>
      <c r="P2383" s="146"/>
      <c r="Q2383" s="170"/>
      <c r="R2383" s="171"/>
      <c r="S2383" s="172"/>
    </row>
    <row r="2384" spans="1:19" ht="42.75">
      <c r="A2384" s="164" t="s">
        <v>779</v>
      </c>
      <c r="B2384" s="165" t="s">
        <v>1469</v>
      </c>
      <c r="C2384" s="165" t="s">
        <v>1470</v>
      </c>
      <c r="D2384" s="164">
        <v>1066</v>
      </c>
      <c r="E2384" s="164">
        <v>1004</v>
      </c>
      <c r="F2384" s="164" t="s">
        <v>3404</v>
      </c>
      <c r="G2384" s="164">
        <v>2024</v>
      </c>
      <c r="H2384" s="175">
        <v>45419</v>
      </c>
      <c r="I2384" s="175">
        <v>45419</v>
      </c>
      <c r="J2384" s="168" t="s">
        <v>7412</v>
      </c>
      <c r="K2384" s="174">
        <v>45421</v>
      </c>
      <c r="L2384" s="129" t="s">
        <v>3532</v>
      </c>
      <c r="M2384" s="129" t="s">
        <v>1078</v>
      </c>
      <c r="N2384" s="129" t="s">
        <v>50</v>
      </c>
      <c r="O2384" s="129" t="s">
        <v>3406</v>
      </c>
      <c r="P2384" s="146"/>
      <c r="Q2384" s="170"/>
      <c r="R2384" s="171"/>
      <c r="S2384" s="172"/>
    </row>
    <row r="2385" spans="1:19" ht="42.75">
      <c r="A2385" s="164" t="s">
        <v>779</v>
      </c>
      <c r="B2385" s="165" t="s">
        <v>1469</v>
      </c>
      <c r="C2385" s="165" t="s">
        <v>5818</v>
      </c>
      <c r="D2385" s="164">
        <v>978</v>
      </c>
      <c r="E2385" s="164">
        <v>1079</v>
      </c>
      <c r="F2385" s="164" t="s">
        <v>3955</v>
      </c>
      <c r="G2385" s="164"/>
      <c r="H2385" s="167"/>
      <c r="I2385" s="167"/>
      <c r="J2385" s="167"/>
      <c r="K2385" s="169"/>
      <c r="L2385" s="129"/>
      <c r="M2385" s="129"/>
      <c r="N2385" s="129"/>
      <c r="O2385" s="129"/>
      <c r="P2385" s="146"/>
      <c r="Q2385" s="170"/>
      <c r="R2385" s="171"/>
      <c r="S2385" s="172"/>
    </row>
    <row r="2386" spans="1:19" ht="42.75">
      <c r="A2386" s="164" t="s">
        <v>779</v>
      </c>
      <c r="B2386" s="165" t="s">
        <v>1469</v>
      </c>
      <c r="C2386" s="165" t="s">
        <v>1180</v>
      </c>
      <c r="D2386" s="164">
        <v>1232</v>
      </c>
      <c r="E2386" s="164">
        <v>1287</v>
      </c>
      <c r="F2386" s="164" t="s">
        <v>3955</v>
      </c>
      <c r="G2386" s="164"/>
      <c r="H2386" s="167"/>
      <c r="I2386" s="167"/>
      <c r="J2386" s="167"/>
      <c r="K2386" s="169"/>
      <c r="L2386" s="129"/>
      <c r="M2386" s="129"/>
      <c r="N2386" s="129"/>
      <c r="O2386" s="129"/>
      <c r="P2386" s="146"/>
      <c r="Q2386" s="170"/>
      <c r="R2386" s="171"/>
      <c r="S2386" s="172"/>
    </row>
    <row r="2387" spans="1:19" ht="42.75">
      <c r="A2387" s="164" t="s">
        <v>779</v>
      </c>
      <c r="B2387" s="165" t="s">
        <v>1469</v>
      </c>
      <c r="C2387" s="165" t="s">
        <v>5820</v>
      </c>
      <c r="D2387" s="164">
        <v>2748</v>
      </c>
      <c r="E2387" s="164">
        <v>3075</v>
      </c>
      <c r="F2387" s="164" t="s">
        <v>3955</v>
      </c>
      <c r="G2387" s="164"/>
      <c r="H2387" s="167"/>
      <c r="I2387" s="167"/>
      <c r="J2387" s="167"/>
      <c r="K2387" s="169"/>
      <c r="L2387" s="129"/>
      <c r="M2387" s="129"/>
      <c r="N2387" s="129"/>
      <c r="O2387" s="129"/>
      <c r="P2387" s="146"/>
      <c r="Q2387" s="170"/>
      <c r="R2387" s="171"/>
      <c r="S2387" s="172"/>
    </row>
    <row r="2388" spans="1:19" ht="42.75">
      <c r="A2388" s="164" t="s">
        <v>779</v>
      </c>
      <c r="B2388" s="165" t="s">
        <v>1469</v>
      </c>
      <c r="C2388" s="165" t="s">
        <v>5821</v>
      </c>
      <c r="D2388" s="164">
        <v>1234</v>
      </c>
      <c r="E2388" s="164">
        <v>1229</v>
      </c>
      <c r="F2388" s="164" t="s">
        <v>3404</v>
      </c>
      <c r="G2388" s="164">
        <v>2024</v>
      </c>
      <c r="H2388" s="175">
        <v>45399</v>
      </c>
      <c r="I2388" s="175">
        <v>45399</v>
      </c>
      <c r="J2388" s="168" t="s">
        <v>7413</v>
      </c>
      <c r="K2388" s="174">
        <v>45399</v>
      </c>
      <c r="L2388" s="129" t="s">
        <v>3470</v>
      </c>
      <c r="M2388" s="129" t="s">
        <v>1078</v>
      </c>
      <c r="N2388" s="129" t="s">
        <v>50</v>
      </c>
      <c r="O2388" s="129" t="s">
        <v>3406</v>
      </c>
      <c r="P2388" s="146"/>
      <c r="Q2388" s="170"/>
      <c r="R2388" s="171"/>
      <c r="S2388" s="172"/>
    </row>
    <row r="2389" spans="1:19" ht="42.75">
      <c r="A2389" s="164" t="s">
        <v>779</v>
      </c>
      <c r="B2389" s="165" t="s">
        <v>1469</v>
      </c>
      <c r="C2389" s="165" t="s">
        <v>5826</v>
      </c>
      <c r="D2389" s="164">
        <v>710</v>
      </c>
      <c r="E2389" s="164">
        <v>723</v>
      </c>
      <c r="F2389" s="164" t="s">
        <v>3955</v>
      </c>
      <c r="G2389" s="164"/>
      <c r="H2389" s="167"/>
      <c r="I2389" s="167"/>
      <c r="J2389" s="167"/>
      <c r="K2389" s="169"/>
      <c r="L2389" s="129"/>
      <c r="M2389" s="129"/>
      <c r="N2389" s="129"/>
      <c r="O2389" s="129"/>
      <c r="P2389" s="146"/>
      <c r="Q2389" s="170"/>
      <c r="R2389" s="171"/>
      <c r="S2389" s="172"/>
    </row>
    <row r="2390" spans="1:19" ht="42.75">
      <c r="A2390" s="164" t="s">
        <v>779</v>
      </c>
      <c r="B2390" s="165" t="s">
        <v>1469</v>
      </c>
      <c r="C2390" s="165" t="s">
        <v>5822</v>
      </c>
      <c r="D2390" s="164">
        <v>2584</v>
      </c>
      <c r="E2390" s="164">
        <v>2627</v>
      </c>
      <c r="F2390" s="164" t="s">
        <v>3955</v>
      </c>
      <c r="G2390" s="164"/>
      <c r="H2390" s="167"/>
      <c r="I2390" s="167"/>
      <c r="J2390" s="167"/>
      <c r="K2390" s="169"/>
      <c r="L2390" s="129"/>
      <c r="M2390" s="129"/>
      <c r="N2390" s="129"/>
      <c r="O2390" s="129"/>
      <c r="P2390" s="146"/>
      <c r="Q2390" s="170"/>
      <c r="R2390" s="171"/>
      <c r="S2390" s="172"/>
    </row>
    <row r="2391" spans="1:19" ht="42.75">
      <c r="A2391" s="164" t="s">
        <v>779</v>
      </c>
      <c r="B2391" s="165" t="s">
        <v>1469</v>
      </c>
      <c r="C2391" s="165" t="s">
        <v>5824</v>
      </c>
      <c r="D2391" s="164">
        <v>1320</v>
      </c>
      <c r="E2391" s="164">
        <v>1319</v>
      </c>
      <c r="F2391" s="164" t="s">
        <v>3955</v>
      </c>
      <c r="G2391" s="164"/>
      <c r="H2391" s="167"/>
      <c r="I2391" s="167"/>
      <c r="J2391" s="167"/>
      <c r="K2391" s="169"/>
      <c r="L2391" s="129"/>
      <c r="M2391" s="129"/>
      <c r="N2391" s="129"/>
      <c r="O2391" s="129"/>
      <c r="P2391" s="146"/>
      <c r="Q2391" s="170"/>
      <c r="R2391" s="171"/>
      <c r="S2391" s="172"/>
    </row>
    <row r="2392" spans="1:19" ht="42.75">
      <c r="A2392" s="164" t="s">
        <v>779</v>
      </c>
      <c r="B2392" s="165" t="s">
        <v>1469</v>
      </c>
      <c r="C2392" s="165" t="s">
        <v>5828</v>
      </c>
      <c r="D2392" s="164">
        <v>961</v>
      </c>
      <c r="E2392" s="164">
        <v>1057</v>
      </c>
      <c r="F2392" s="164" t="s">
        <v>3955</v>
      </c>
      <c r="G2392" s="164"/>
      <c r="H2392" s="167"/>
      <c r="I2392" s="167"/>
      <c r="J2392" s="167"/>
      <c r="K2392" s="169"/>
      <c r="L2392" s="129"/>
      <c r="M2392" s="129"/>
      <c r="N2392" s="129"/>
      <c r="O2392" s="129"/>
      <c r="P2392" s="146"/>
      <c r="Q2392" s="170"/>
      <c r="R2392" s="171"/>
      <c r="S2392" s="172"/>
    </row>
    <row r="2393" spans="1:19" ht="42.75">
      <c r="A2393" s="164" t="s">
        <v>779</v>
      </c>
      <c r="B2393" s="165" t="s">
        <v>1469</v>
      </c>
      <c r="C2393" s="165" t="s">
        <v>5830</v>
      </c>
      <c r="D2393" s="164">
        <v>2564</v>
      </c>
      <c r="E2393" s="164">
        <v>2490</v>
      </c>
      <c r="F2393" s="164" t="s">
        <v>3955</v>
      </c>
      <c r="G2393" s="164"/>
      <c r="H2393" s="167"/>
      <c r="I2393" s="167"/>
      <c r="J2393" s="167"/>
      <c r="K2393" s="169"/>
      <c r="L2393" s="129"/>
      <c r="M2393" s="129"/>
      <c r="N2393" s="129"/>
      <c r="O2393" s="129"/>
      <c r="P2393" s="146"/>
      <c r="Q2393" s="170"/>
      <c r="R2393" s="171"/>
      <c r="S2393" s="172"/>
    </row>
    <row r="2394" spans="1:19" ht="42.75">
      <c r="A2394" s="164" t="s">
        <v>779</v>
      </c>
      <c r="B2394" s="165" t="s">
        <v>1469</v>
      </c>
      <c r="C2394" s="165" t="s">
        <v>5832</v>
      </c>
      <c r="D2394" s="164">
        <v>2182</v>
      </c>
      <c r="E2394" s="164">
        <v>2275</v>
      </c>
      <c r="F2394" s="164" t="s">
        <v>3955</v>
      </c>
      <c r="G2394" s="164"/>
      <c r="H2394" s="167"/>
      <c r="I2394" s="167"/>
      <c r="J2394" s="167"/>
      <c r="K2394" s="169"/>
      <c r="L2394" s="129"/>
      <c r="M2394" s="129"/>
      <c r="N2394" s="129"/>
      <c r="O2394" s="129"/>
      <c r="P2394" s="146"/>
      <c r="Q2394" s="170"/>
      <c r="R2394" s="171"/>
      <c r="S2394" s="172"/>
    </row>
    <row r="2395" spans="1:19" ht="42.75">
      <c r="A2395" s="164" t="s">
        <v>779</v>
      </c>
      <c r="B2395" s="165" t="s">
        <v>1469</v>
      </c>
      <c r="C2395" s="165" t="s">
        <v>5834</v>
      </c>
      <c r="D2395" s="164">
        <v>725</v>
      </c>
      <c r="E2395" s="164">
        <v>728</v>
      </c>
      <c r="F2395" s="164" t="s">
        <v>3955</v>
      </c>
      <c r="G2395" s="164"/>
      <c r="H2395" s="167"/>
      <c r="I2395" s="167"/>
      <c r="J2395" s="167"/>
      <c r="K2395" s="169"/>
      <c r="L2395" s="129"/>
      <c r="M2395" s="129"/>
      <c r="N2395" s="129"/>
      <c r="O2395" s="129"/>
      <c r="P2395" s="146"/>
      <c r="Q2395" s="170"/>
      <c r="R2395" s="171"/>
      <c r="S2395" s="172"/>
    </row>
    <row r="2396" spans="1:19" ht="42.75">
      <c r="A2396" s="164" t="s">
        <v>779</v>
      </c>
      <c r="B2396" s="165" t="s">
        <v>1469</v>
      </c>
      <c r="C2396" s="165" t="s">
        <v>1525</v>
      </c>
      <c r="D2396" s="164">
        <v>886</v>
      </c>
      <c r="E2396" s="164">
        <v>1045</v>
      </c>
      <c r="F2396" s="164" t="s">
        <v>3955</v>
      </c>
      <c r="G2396" s="164"/>
      <c r="H2396" s="167"/>
      <c r="I2396" s="167"/>
      <c r="J2396" s="167"/>
      <c r="K2396" s="169"/>
      <c r="L2396" s="129"/>
      <c r="M2396" s="129"/>
      <c r="N2396" s="129"/>
      <c r="O2396" s="129"/>
      <c r="P2396" s="146"/>
      <c r="Q2396" s="170"/>
      <c r="R2396" s="171"/>
      <c r="S2396" s="172"/>
    </row>
    <row r="2397" spans="1:19" ht="42.75">
      <c r="A2397" s="164" t="s">
        <v>779</v>
      </c>
      <c r="B2397" s="165" t="s">
        <v>1469</v>
      </c>
      <c r="C2397" s="165" t="s">
        <v>5836</v>
      </c>
      <c r="D2397" s="164">
        <v>2100</v>
      </c>
      <c r="E2397" s="164">
        <v>2263</v>
      </c>
      <c r="F2397" s="164" t="s">
        <v>3955</v>
      </c>
      <c r="G2397" s="164"/>
      <c r="H2397" s="167"/>
      <c r="I2397" s="167"/>
      <c r="J2397" s="167"/>
      <c r="K2397" s="169"/>
      <c r="L2397" s="129"/>
      <c r="M2397" s="129"/>
      <c r="N2397" s="129"/>
      <c r="O2397" s="129"/>
      <c r="P2397" s="146"/>
      <c r="Q2397" s="170"/>
      <c r="R2397" s="171"/>
      <c r="S2397" s="172"/>
    </row>
    <row r="2398" spans="1:19" ht="42.75">
      <c r="A2398" s="164" t="s">
        <v>779</v>
      </c>
      <c r="B2398" s="165" t="s">
        <v>1469</v>
      </c>
      <c r="C2398" s="165" t="s">
        <v>5838</v>
      </c>
      <c r="D2398" s="164">
        <v>250</v>
      </c>
      <c r="E2398" s="164">
        <v>278</v>
      </c>
      <c r="F2398" s="164" t="s">
        <v>3955</v>
      </c>
      <c r="G2398" s="164"/>
      <c r="H2398" s="167"/>
      <c r="I2398" s="167"/>
      <c r="J2398" s="167"/>
      <c r="K2398" s="169"/>
      <c r="L2398" s="129"/>
      <c r="M2398" s="129"/>
      <c r="N2398" s="129"/>
      <c r="O2398" s="129"/>
      <c r="P2398" s="146"/>
      <c r="Q2398" s="170"/>
      <c r="R2398" s="171"/>
      <c r="S2398" s="172"/>
    </row>
    <row r="2399" spans="1:19" ht="42.75">
      <c r="A2399" s="164" t="s">
        <v>779</v>
      </c>
      <c r="B2399" s="165" t="s">
        <v>1469</v>
      </c>
      <c r="C2399" s="165" t="s">
        <v>3558</v>
      </c>
      <c r="D2399" s="164">
        <v>958</v>
      </c>
      <c r="E2399" s="164">
        <v>1040</v>
      </c>
      <c r="F2399" s="164" t="s">
        <v>3955</v>
      </c>
      <c r="G2399" s="164"/>
      <c r="H2399" s="167"/>
      <c r="I2399" s="167"/>
      <c r="J2399" s="167"/>
      <c r="K2399" s="169"/>
      <c r="L2399" s="129"/>
      <c r="M2399" s="129"/>
      <c r="N2399" s="129"/>
      <c r="O2399" s="129"/>
      <c r="P2399" s="146"/>
      <c r="Q2399" s="170"/>
      <c r="R2399" s="171"/>
      <c r="S2399" s="172"/>
    </row>
    <row r="2400" spans="1:19" ht="42.75">
      <c r="A2400" s="164" t="s">
        <v>779</v>
      </c>
      <c r="B2400" s="165" t="s">
        <v>1469</v>
      </c>
      <c r="C2400" s="165" t="s">
        <v>5840</v>
      </c>
      <c r="D2400" s="164">
        <v>995</v>
      </c>
      <c r="E2400" s="164">
        <v>1188</v>
      </c>
      <c r="F2400" s="164" t="s">
        <v>3955</v>
      </c>
      <c r="G2400" s="164"/>
      <c r="H2400" s="167"/>
      <c r="I2400" s="167"/>
      <c r="J2400" s="167"/>
      <c r="K2400" s="169"/>
      <c r="L2400" s="129"/>
      <c r="M2400" s="129"/>
      <c r="N2400" s="129"/>
      <c r="O2400" s="129"/>
      <c r="P2400" s="146"/>
      <c r="Q2400" s="170"/>
      <c r="R2400" s="171"/>
      <c r="S2400" s="172"/>
    </row>
    <row r="2401" spans="1:19" ht="42.75">
      <c r="A2401" s="164" t="s">
        <v>779</v>
      </c>
      <c r="B2401" s="165" t="s">
        <v>1469</v>
      </c>
      <c r="C2401" s="165" t="s">
        <v>5842</v>
      </c>
      <c r="D2401" s="164">
        <v>2426</v>
      </c>
      <c r="E2401" s="164">
        <v>2561</v>
      </c>
      <c r="F2401" s="164" t="s">
        <v>3955</v>
      </c>
      <c r="G2401" s="164"/>
      <c r="H2401" s="167"/>
      <c r="I2401" s="167"/>
      <c r="J2401" s="167"/>
      <c r="K2401" s="169"/>
      <c r="L2401" s="129"/>
      <c r="M2401" s="129"/>
      <c r="N2401" s="129"/>
      <c r="O2401" s="129"/>
      <c r="P2401" s="146"/>
      <c r="Q2401" s="170"/>
      <c r="R2401" s="171"/>
      <c r="S2401" s="172"/>
    </row>
    <row r="2402" spans="1:19" ht="42.75">
      <c r="A2402" s="164" t="s">
        <v>779</v>
      </c>
      <c r="B2402" s="165" t="s">
        <v>1469</v>
      </c>
      <c r="C2402" s="165" t="s">
        <v>5844</v>
      </c>
      <c r="D2402" s="164">
        <v>5467</v>
      </c>
      <c r="E2402" s="164">
        <v>5902</v>
      </c>
      <c r="F2402" s="164" t="s">
        <v>3404</v>
      </c>
      <c r="G2402" s="164">
        <v>2024</v>
      </c>
      <c r="H2402" s="175">
        <v>45603</v>
      </c>
      <c r="I2402" s="175">
        <v>45603</v>
      </c>
      <c r="J2402" s="168" t="s">
        <v>7414</v>
      </c>
      <c r="K2402" s="169" t="s">
        <v>3129</v>
      </c>
      <c r="L2402" s="129" t="s">
        <v>3129</v>
      </c>
      <c r="M2402" s="129" t="s">
        <v>4</v>
      </c>
      <c r="N2402" s="129" t="s">
        <v>57</v>
      </c>
      <c r="O2402" s="129" t="s">
        <v>3406</v>
      </c>
      <c r="P2402" s="146"/>
      <c r="Q2402" s="170">
        <v>45614</v>
      </c>
      <c r="R2402" s="171" t="s">
        <v>6643</v>
      </c>
      <c r="S2402" s="172"/>
    </row>
    <row r="2403" spans="1:19" ht="42.75">
      <c r="A2403" s="164" t="s">
        <v>779</v>
      </c>
      <c r="B2403" s="165" t="s">
        <v>1469</v>
      </c>
      <c r="C2403" s="165" t="s">
        <v>7415</v>
      </c>
      <c r="D2403" s="164">
        <v>629</v>
      </c>
      <c r="E2403" s="164">
        <v>608</v>
      </c>
      <c r="F2403" s="164" t="s">
        <v>3955</v>
      </c>
      <c r="G2403" s="164"/>
      <c r="H2403" s="167"/>
      <c r="I2403" s="167"/>
      <c r="J2403" s="167"/>
      <c r="K2403" s="169"/>
      <c r="L2403" s="129"/>
      <c r="M2403" s="129"/>
      <c r="N2403" s="129"/>
      <c r="O2403" s="129"/>
      <c r="P2403" s="146"/>
      <c r="Q2403" s="170"/>
      <c r="R2403" s="171"/>
      <c r="S2403" s="172"/>
    </row>
    <row r="2404" spans="1:19" ht="42.75">
      <c r="A2404" s="164" t="s">
        <v>779</v>
      </c>
      <c r="B2404" s="165" t="s">
        <v>1469</v>
      </c>
      <c r="C2404" s="165" t="s">
        <v>5847</v>
      </c>
      <c r="D2404" s="164">
        <v>306</v>
      </c>
      <c r="E2404" s="164">
        <v>378</v>
      </c>
      <c r="F2404" s="164" t="s">
        <v>3955</v>
      </c>
      <c r="G2404" s="164"/>
      <c r="H2404" s="167"/>
      <c r="I2404" s="167"/>
      <c r="J2404" s="167"/>
      <c r="K2404" s="169"/>
      <c r="L2404" s="129"/>
      <c r="M2404" s="129"/>
      <c r="N2404" s="129"/>
      <c r="O2404" s="129"/>
      <c r="P2404" s="146"/>
      <c r="Q2404" s="170"/>
      <c r="R2404" s="171"/>
      <c r="S2404" s="172"/>
    </row>
    <row r="2405" spans="1:19" ht="42.75">
      <c r="A2405" s="164" t="s">
        <v>779</v>
      </c>
      <c r="B2405" s="165" t="s">
        <v>1469</v>
      </c>
      <c r="C2405" s="165" t="s">
        <v>5848</v>
      </c>
      <c r="D2405" s="164">
        <v>1725</v>
      </c>
      <c r="E2405" s="164">
        <v>1898</v>
      </c>
      <c r="F2405" s="164" t="s">
        <v>3955</v>
      </c>
      <c r="G2405" s="164"/>
      <c r="H2405" s="167"/>
      <c r="I2405" s="167"/>
      <c r="J2405" s="167"/>
      <c r="K2405" s="169"/>
      <c r="L2405" s="129"/>
      <c r="M2405" s="129"/>
      <c r="N2405" s="129"/>
      <c r="O2405" s="129"/>
      <c r="P2405" s="146"/>
      <c r="Q2405" s="170"/>
      <c r="R2405" s="171"/>
      <c r="S2405" s="172"/>
    </row>
    <row r="2406" spans="1:19" ht="42.75">
      <c r="A2406" s="164" t="s">
        <v>779</v>
      </c>
      <c r="B2406" s="165" t="s">
        <v>1469</v>
      </c>
      <c r="C2406" s="165" t="s">
        <v>5850</v>
      </c>
      <c r="D2406" s="164">
        <v>1597</v>
      </c>
      <c r="E2406" s="164">
        <v>1742</v>
      </c>
      <c r="F2406" s="164" t="s">
        <v>3955</v>
      </c>
      <c r="G2406" s="164"/>
      <c r="H2406" s="167"/>
      <c r="I2406" s="167"/>
      <c r="J2406" s="167"/>
      <c r="K2406" s="169"/>
      <c r="L2406" s="129"/>
      <c r="M2406" s="129"/>
      <c r="N2406" s="129"/>
      <c r="O2406" s="129"/>
      <c r="P2406" s="146"/>
      <c r="Q2406" s="170"/>
      <c r="R2406" s="171"/>
      <c r="S2406" s="172"/>
    </row>
    <row r="2407" spans="1:19" ht="42.75">
      <c r="A2407" s="164" t="s">
        <v>779</v>
      </c>
      <c r="B2407" s="165" t="s">
        <v>1469</v>
      </c>
      <c r="C2407" s="165" t="s">
        <v>5852</v>
      </c>
      <c r="D2407" s="164">
        <v>376</v>
      </c>
      <c r="E2407" s="164">
        <v>408</v>
      </c>
      <c r="F2407" s="164" t="s">
        <v>3955</v>
      </c>
      <c r="G2407" s="164"/>
      <c r="H2407" s="167"/>
      <c r="I2407" s="167"/>
      <c r="J2407" s="167"/>
      <c r="K2407" s="169"/>
      <c r="L2407" s="129"/>
      <c r="M2407" s="129"/>
      <c r="N2407" s="129"/>
      <c r="O2407" s="129"/>
      <c r="P2407" s="146"/>
      <c r="Q2407" s="170"/>
      <c r="R2407" s="171"/>
      <c r="S2407" s="172"/>
    </row>
    <row r="2408" spans="1:19" ht="42.75">
      <c r="A2408" s="164" t="s">
        <v>779</v>
      </c>
      <c r="B2408" s="165" t="s">
        <v>1469</v>
      </c>
      <c r="C2408" s="165" t="s">
        <v>5854</v>
      </c>
      <c r="D2408" s="164">
        <v>1535</v>
      </c>
      <c r="E2408" s="164">
        <v>1546</v>
      </c>
      <c r="F2408" s="164" t="s">
        <v>3955</v>
      </c>
      <c r="G2408" s="164"/>
      <c r="H2408" s="167"/>
      <c r="I2408" s="167"/>
      <c r="J2408" s="167"/>
      <c r="K2408" s="169"/>
      <c r="L2408" s="129"/>
      <c r="M2408" s="129"/>
      <c r="N2408" s="129"/>
      <c r="O2408" s="129"/>
      <c r="P2408" s="146"/>
      <c r="Q2408" s="170"/>
      <c r="R2408" s="171"/>
      <c r="S2408" s="172"/>
    </row>
    <row r="2409" spans="1:19" ht="42.75">
      <c r="A2409" s="164" t="s">
        <v>779</v>
      </c>
      <c r="B2409" s="165" t="s">
        <v>1469</v>
      </c>
      <c r="C2409" s="165" t="s">
        <v>5856</v>
      </c>
      <c r="D2409" s="164">
        <v>1014</v>
      </c>
      <c r="E2409" s="164">
        <v>1160</v>
      </c>
      <c r="F2409" s="164" t="s">
        <v>3955</v>
      </c>
      <c r="G2409" s="164"/>
      <c r="H2409" s="167"/>
      <c r="I2409" s="167"/>
      <c r="J2409" s="167"/>
      <c r="K2409" s="169"/>
      <c r="L2409" s="129"/>
      <c r="M2409" s="129"/>
      <c r="N2409" s="129"/>
      <c r="O2409" s="129"/>
      <c r="P2409" s="146"/>
      <c r="Q2409" s="170"/>
      <c r="R2409" s="171"/>
      <c r="S2409" s="172"/>
    </row>
    <row r="2410" spans="1:19" ht="42.75">
      <c r="A2410" s="164" t="s">
        <v>779</v>
      </c>
      <c r="B2410" s="165" t="s">
        <v>1469</v>
      </c>
      <c r="C2410" s="165" t="s">
        <v>5858</v>
      </c>
      <c r="D2410" s="164">
        <v>3260</v>
      </c>
      <c r="E2410" s="164">
        <v>3476</v>
      </c>
      <c r="F2410" s="164" t="s">
        <v>3955</v>
      </c>
      <c r="G2410" s="164"/>
      <c r="H2410" s="167"/>
      <c r="I2410" s="167"/>
      <c r="J2410" s="167"/>
      <c r="K2410" s="169"/>
      <c r="L2410" s="129"/>
      <c r="M2410" s="129"/>
      <c r="N2410" s="129"/>
      <c r="O2410" s="129"/>
      <c r="P2410" s="146"/>
      <c r="Q2410" s="170"/>
      <c r="R2410" s="171"/>
      <c r="S2410" s="172"/>
    </row>
    <row r="2411" spans="1:19" ht="42.75">
      <c r="A2411" s="164" t="s">
        <v>779</v>
      </c>
      <c r="B2411" s="165" t="s">
        <v>1469</v>
      </c>
      <c r="C2411" s="165" t="s">
        <v>5860</v>
      </c>
      <c r="D2411" s="164">
        <v>1066</v>
      </c>
      <c r="E2411" s="164">
        <v>1182</v>
      </c>
      <c r="F2411" s="164" t="s">
        <v>3955</v>
      </c>
      <c r="G2411" s="164"/>
      <c r="H2411" s="167"/>
      <c r="I2411" s="167"/>
      <c r="J2411" s="167"/>
      <c r="K2411" s="169"/>
      <c r="L2411" s="129"/>
      <c r="M2411" s="129"/>
      <c r="N2411" s="129"/>
      <c r="O2411" s="129"/>
      <c r="P2411" s="146"/>
      <c r="Q2411" s="170"/>
      <c r="R2411" s="171"/>
      <c r="S2411" s="172"/>
    </row>
    <row r="2412" spans="1:19" ht="42.75">
      <c r="A2412" s="164" t="s">
        <v>779</v>
      </c>
      <c r="B2412" s="165" t="s">
        <v>1469</v>
      </c>
      <c r="C2412" s="165" t="s">
        <v>5861</v>
      </c>
      <c r="D2412" s="164">
        <v>504</v>
      </c>
      <c r="E2412" s="164">
        <v>507</v>
      </c>
      <c r="F2412" s="164" t="s">
        <v>3955</v>
      </c>
      <c r="G2412" s="164"/>
      <c r="H2412" s="167"/>
      <c r="I2412" s="167"/>
      <c r="J2412" s="167"/>
      <c r="K2412" s="169"/>
      <c r="L2412" s="129"/>
      <c r="M2412" s="129"/>
      <c r="N2412" s="129"/>
      <c r="O2412" s="129"/>
      <c r="P2412" s="146"/>
      <c r="Q2412" s="170"/>
      <c r="R2412" s="171"/>
      <c r="S2412" s="172"/>
    </row>
    <row r="2413" spans="1:19" ht="42.75">
      <c r="A2413" s="164" t="s">
        <v>779</v>
      </c>
      <c r="B2413" s="165" t="s">
        <v>1469</v>
      </c>
      <c r="C2413" s="165" t="s">
        <v>5862</v>
      </c>
      <c r="D2413" s="164">
        <v>922</v>
      </c>
      <c r="E2413" s="164">
        <v>898</v>
      </c>
      <c r="F2413" s="164" t="s">
        <v>3955</v>
      </c>
      <c r="G2413" s="164"/>
      <c r="H2413" s="167"/>
      <c r="I2413" s="167"/>
      <c r="J2413" s="167"/>
      <c r="K2413" s="169"/>
      <c r="L2413" s="129"/>
      <c r="M2413" s="129"/>
      <c r="N2413" s="129"/>
      <c r="O2413" s="129"/>
      <c r="P2413" s="146"/>
      <c r="Q2413" s="170"/>
      <c r="R2413" s="171"/>
      <c r="S2413" s="172"/>
    </row>
    <row r="2414" spans="1:19" ht="42.75">
      <c r="A2414" s="164" t="s">
        <v>779</v>
      </c>
      <c r="B2414" s="165" t="s">
        <v>1469</v>
      </c>
      <c r="C2414" s="165" t="s">
        <v>5863</v>
      </c>
      <c r="D2414" s="164">
        <v>1001</v>
      </c>
      <c r="E2414" s="164">
        <v>1025</v>
      </c>
      <c r="F2414" s="164" t="s">
        <v>3955</v>
      </c>
      <c r="G2414" s="164"/>
      <c r="H2414" s="167"/>
      <c r="I2414" s="167"/>
      <c r="J2414" s="167"/>
      <c r="K2414" s="169"/>
      <c r="L2414" s="129"/>
      <c r="M2414" s="129"/>
      <c r="N2414" s="129"/>
      <c r="O2414" s="129"/>
      <c r="P2414" s="146"/>
      <c r="Q2414" s="170"/>
      <c r="R2414" s="171"/>
      <c r="S2414" s="172"/>
    </row>
    <row r="2415" spans="1:19" ht="42.75">
      <c r="A2415" s="164" t="s">
        <v>779</v>
      </c>
      <c r="B2415" s="165" t="s">
        <v>1469</v>
      </c>
      <c r="C2415" s="165" t="s">
        <v>5864</v>
      </c>
      <c r="D2415" s="164">
        <v>966</v>
      </c>
      <c r="E2415" s="164">
        <v>940</v>
      </c>
      <c r="F2415" s="164" t="s">
        <v>3955</v>
      </c>
      <c r="G2415" s="164"/>
      <c r="H2415" s="175"/>
      <c r="I2415" s="175"/>
      <c r="J2415" s="167"/>
      <c r="K2415" s="174"/>
      <c r="L2415" s="129"/>
      <c r="M2415" s="129"/>
      <c r="N2415" s="129"/>
      <c r="O2415" s="129"/>
      <c r="P2415" s="146"/>
      <c r="Q2415" s="170"/>
      <c r="R2415" s="171"/>
      <c r="S2415" s="172"/>
    </row>
    <row r="2416" spans="1:19" ht="42.75">
      <c r="A2416" s="164" t="s">
        <v>779</v>
      </c>
      <c r="B2416" s="165" t="s">
        <v>1469</v>
      </c>
      <c r="C2416" s="165" t="s">
        <v>5865</v>
      </c>
      <c r="D2416" s="164">
        <v>1795</v>
      </c>
      <c r="E2416" s="164">
        <v>1880</v>
      </c>
      <c r="F2416" s="164" t="s">
        <v>3955</v>
      </c>
      <c r="G2416" s="164"/>
      <c r="H2416" s="175"/>
      <c r="I2416" s="167"/>
      <c r="J2416" s="167"/>
      <c r="K2416" s="169"/>
      <c r="L2416" s="129"/>
      <c r="M2416" s="129"/>
      <c r="N2416" s="129"/>
      <c r="O2416" s="129"/>
      <c r="P2416" s="146"/>
      <c r="Q2416" s="170"/>
      <c r="R2416" s="171"/>
      <c r="S2416" s="172"/>
    </row>
    <row r="2417" spans="1:19" ht="42.75">
      <c r="A2417" s="164" t="s">
        <v>779</v>
      </c>
      <c r="B2417" s="165" t="s">
        <v>1469</v>
      </c>
      <c r="C2417" s="165" t="s">
        <v>5867</v>
      </c>
      <c r="D2417" s="164">
        <v>1260</v>
      </c>
      <c r="E2417" s="164">
        <v>1223</v>
      </c>
      <c r="F2417" s="164" t="s">
        <v>3404</v>
      </c>
      <c r="G2417" s="164">
        <v>2024</v>
      </c>
      <c r="H2417" s="175">
        <v>45545</v>
      </c>
      <c r="I2417" s="175">
        <v>45545</v>
      </c>
      <c r="J2417" s="168" t="s">
        <v>7416</v>
      </c>
      <c r="K2417" s="174">
        <v>45553</v>
      </c>
      <c r="L2417" s="129" t="s">
        <v>3127</v>
      </c>
      <c r="M2417" s="129" t="s">
        <v>1078</v>
      </c>
      <c r="N2417" s="129" t="s">
        <v>50</v>
      </c>
      <c r="O2417" s="129" t="s">
        <v>3406</v>
      </c>
      <c r="P2417" s="146"/>
      <c r="Q2417" s="170">
        <v>45553</v>
      </c>
      <c r="R2417" s="171" t="s">
        <v>6643</v>
      </c>
      <c r="S2417" s="172"/>
    </row>
    <row r="2418" spans="1:19" ht="42.75">
      <c r="A2418" s="164" t="s">
        <v>779</v>
      </c>
      <c r="B2418" s="165" t="s">
        <v>1469</v>
      </c>
      <c r="C2418" s="165" t="s">
        <v>5868</v>
      </c>
      <c r="D2418" s="164">
        <v>1828</v>
      </c>
      <c r="E2418" s="164">
        <v>1841</v>
      </c>
      <c r="F2418" s="164" t="s">
        <v>3404</v>
      </c>
      <c r="G2418" s="164">
        <v>2024</v>
      </c>
      <c r="H2418" s="175">
        <v>45580</v>
      </c>
      <c r="I2418" s="175">
        <v>45580</v>
      </c>
      <c r="J2418" s="168" t="s">
        <v>7417</v>
      </c>
      <c r="K2418" s="174">
        <v>45581</v>
      </c>
      <c r="L2418" s="129" t="s">
        <v>3128</v>
      </c>
      <c r="M2418" s="129" t="s">
        <v>1078</v>
      </c>
      <c r="N2418" s="129" t="s">
        <v>50</v>
      </c>
      <c r="O2418" s="129" t="s">
        <v>3406</v>
      </c>
      <c r="P2418" s="146"/>
      <c r="Q2418" s="170">
        <v>45581</v>
      </c>
      <c r="R2418" s="171" t="s">
        <v>6643</v>
      </c>
      <c r="S2418" s="172"/>
    </row>
    <row r="2419" spans="1:19" ht="42.75">
      <c r="A2419" s="164" t="s">
        <v>779</v>
      </c>
      <c r="B2419" s="165" t="s">
        <v>1469</v>
      </c>
      <c r="C2419" s="165" t="s">
        <v>5869</v>
      </c>
      <c r="D2419" s="164">
        <v>1192</v>
      </c>
      <c r="E2419" s="164">
        <v>1098</v>
      </c>
      <c r="F2419" s="164" t="s">
        <v>3955</v>
      </c>
      <c r="G2419" s="164"/>
      <c r="H2419" s="167"/>
      <c r="I2419" s="167"/>
      <c r="J2419" s="167"/>
      <c r="K2419" s="169"/>
      <c r="L2419" s="129"/>
      <c r="M2419" s="129"/>
      <c r="N2419" s="129"/>
      <c r="O2419" s="129"/>
      <c r="P2419" s="146"/>
      <c r="Q2419" s="170"/>
      <c r="R2419" s="171"/>
      <c r="S2419" s="172"/>
    </row>
    <row r="2420" spans="1:19" ht="42.75">
      <c r="A2420" s="164" t="s">
        <v>779</v>
      </c>
      <c r="B2420" s="165" t="s">
        <v>1469</v>
      </c>
      <c r="C2420" s="165" t="s">
        <v>5870</v>
      </c>
      <c r="D2420" s="164">
        <v>1090</v>
      </c>
      <c r="E2420" s="164">
        <v>1080</v>
      </c>
      <c r="F2420" s="164" t="s">
        <v>3955</v>
      </c>
      <c r="G2420" s="164"/>
      <c r="H2420" s="167"/>
      <c r="I2420" s="167"/>
      <c r="J2420" s="167"/>
      <c r="K2420" s="169"/>
      <c r="L2420" s="129"/>
      <c r="M2420" s="129"/>
      <c r="N2420" s="129"/>
      <c r="O2420" s="129"/>
      <c r="P2420" s="146"/>
      <c r="Q2420" s="170"/>
      <c r="R2420" s="171"/>
      <c r="S2420" s="172"/>
    </row>
    <row r="2421" spans="1:19" ht="42.75">
      <c r="A2421" s="164" t="s">
        <v>779</v>
      </c>
      <c r="B2421" s="165" t="s">
        <v>1469</v>
      </c>
      <c r="C2421" s="165" t="s">
        <v>5872</v>
      </c>
      <c r="D2421" s="164">
        <v>1281</v>
      </c>
      <c r="E2421" s="164">
        <v>1325</v>
      </c>
      <c r="F2421" s="164" t="s">
        <v>3955</v>
      </c>
      <c r="G2421" s="164"/>
      <c r="H2421" s="167"/>
      <c r="I2421" s="167"/>
      <c r="J2421" s="167"/>
      <c r="K2421" s="169"/>
      <c r="L2421" s="129"/>
      <c r="M2421" s="129"/>
      <c r="N2421" s="129"/>
      <c r="O2421" s="129"/>
      <c r="P2421" s="146"/>
      <c r="Q2421" s="170"/>
      <c r="R2421" s="171"/>
      <c r="S2421" s="172"/>
    </row>
    <row r="2422" spans="1:19" ht="42.75">
      <c r="A2422" s="164" t="s">
        <v>779</v>
      </c>
      <c r="B2422" s="165" t="s">
        <v>1469</v>
      </c>
      <c r="C2422" s="165" t="s">
        <v>5874</v>
      </c>
      <c r="D2422" s="164">
        <v>1198</v>
      </c>
      <c r="E2422" s="164">
        <v>1139</v>
      </c>
      <c r="F2422" s="164" t="s">
        <v>3955</v>
      </c>
      <c r="G2422" s="164"/>
      <c r="H2422" s="167"/>
      <c r="I2422" s="167"/>
      <c r="J2422" s="167"/>
      <c r="K2422" s="169"/>
      <c r="L2422" s="129"/>
      <c r="M2422" s="129"/>
      <c r="N2422" s="129"/>
      <c r="O2422" s="129"/>
      <c r="P2422" s="146"/>
      <c r="Q2422" s="170"/>
      <c r="R2422" s="171"/>
      <c r="S2422" s="172"/>
    </row>
    <row r="2423" spans="1:19" ht="42.75">
      <c r="A2423" s="164" t="s">
        <v>779</v>
      </c>
      <c r="B2423" s="165" t="s">
        <v>1469</v>
      </c>
      <c r="C2423" s="165" t="s">
        <v>5876</v>
      </c>
      <c r="D2423" s="164">
        <v>1193</v>
      </c>
      <c r="E2423" s="164">
        <v>1254</v>
      </c>
      <c r="F2423" s="164" t="s">
        <v>3955</v>
      </c>
      <c r="G2423" s="164"/>
      <c r="H2423" s="167"/>
      <c r="I2423" s="167"/>
      <c r="J2423" s="167"/>
      <c r="K2423" s="169"/>
      <c r="L2423" s="129"/>
      <c r="M2423" s="129"/>
      <c r="N2423" s="129"/>
      <c r="O2423" s="129"/>
      <c r="P2423" s="146"/>
      <c r="Q2423" s="170"/>
      <c r="R2423" s="171"/>
      <c r="S2423" s="172"/>
    </row>
    <row r="2424" spans="1:19" ht="42.75">
      <c r="A2424" s="164" t="s">
        <v>779</v>
      </c>
      <c r="B2424" s="165" t="s">
        <v>1469</v>
      </c>
      <c r="C2424" s="165" t="s">
        <v>5877</v>
      </c>
      <c r="D2424" s="164">
        <v>1204</v>
      </c>
      <c r="E2424" s="164">
        <v>1100</v>
      </c>
      <c r="F2424" s="164" t="s">
        <v>3955</v>
      </c>
      <c r="G2424" s="164"/>
      <c r="H2424" s="167"/>
      <c r="I2424" s="167"/>
      <c r="J2424" s="167"/>
      <c r="K2424" s="169"/>
      <c r="L2424" s="129"/>
      <c r="M2424" s="129"/>
      <c r="N2424" s="129"/>
      <c r="O2424" s="129"/>
      <c r="P2424" s="146"/>
      <c r="Q2424" s="170"/>
      <c r="R2424" s="171"/>
      <c r="S2424" s="172"/>
    </row>
    <row r="2425" spans="1:19" ht="42.75">
      <c r="A2425" s="164" t="s">
        <v>779</v>
      </c>
      <c r="B2425" s="165" t="s">
        <v>1469</v>
      </c>
      <c r="C2425" s="165" t="s">
        <v>4206</v>
      </c>
      <c r="D2425" s="164">
        <v>1067</v>
      </c>
      <c r="E2425" s="164">
        <v>1090</v>
      </c>
      <c r="F2425" s="164" t="s">
        <v>3955</v>
      </c>
      <c r="G2425" s="164"/>
      <c r="H2425" s="167"/>
      <c r="I2425" s="167"/>
      <c r="J2425" s="167"/>
      <c r="K2425" s="169"/>
      <c r="L2425" s="129"/>
      <c r="M2425" s="129"/>
      <c r="N2425" s="129"/>
      <c r="O2425" s="129"/>
      <c r="P2425" s="146"/>
      <c r="Q2425" s="170"/>
      <c r="R2425" s="171"/>
      <c r="S2425" s="172"/>
    </row>
    <row r="2426" spans="1:19" ht="42.75">
      <c r="A2426" s="164" t="s">
        <v>779</v>
      </c>
      <c r="B2426" s="165" t="s">
        <v>1469</v>
      </c>
      <c r="C2426" s="165" t="s">
        <v>5880</v>
      </c>
      <c r="D2426" s="164">
        <v>660</v>
      </c>
      <c r="E2426" s="164">
        <v>670</v>
      </c>
      <c r="F2426" s="164" t="s">
        <v>3955</v>
      </c>
      <c r="G2426" s="164"/>
      <c r="H2426" s="167"/>
      <c r="I2426" s="167"/>
      <c r="J2426" s="167"/>
      <c r="K2426" s="169"/>
      <c r="L2426" s="129"/>
      <c r="M2426" s="129"/>
      <c r="N2426" s="129"/>
      <c r="O2426" s="129"/>
      <c r="P2426" s="146"/>
      <c r="Q2426" s="170"/>
      <c r="R2426" s="171"/>
      <c r="S2426" s="172"/>
    </row>
    <row r="2427" spans="1:19" ht="42.75">
      <c r="A2427" s="164" t="s">
        <v>779</v>
      </c>
      <c r="B2427" s="165" t="s">
        <v>1469</v>
      </c>
      <c r="C2427" s="165" t="s">
        <v>4950</v>
      </c>
      <c r="D2427" s="164">
        <v>2292</v>
      </c>
      <c r="E2427" s="164">
        <v>2466</v>
      </c>
      <c r="F2427" s="164" t="s">
        <v>3955</v>
      </c>
      <c r="G2427" s="164"/>
      <c r="H2427" s="167"/>
      <c r="I2427" s="167"/>
      <c r="J2427" s="167"/>
      <c r="K2427" s="169"/>
      <c r="L2427" s="129"/>
      <c r="M2427" s="129"/>
      <c r="N2427" s="129"/>
      <c r="O2427" s="129"/>
      <c r="P2427" s="146"/>
      <c r="Q2427" s="170"/>
      <c r="R2427" s="171"/>
      <c r="S2427" s="172"/>
    </row>
    <row r="2428" spans="1:19" ht="42.75">
      <c r="A2428" s="164" t="s">
        <v>779</v>
      </c>
      <c r="B2428" s="165" t="s">
        <v>1469</v>
      </c>
      <c r="C2428" s="165" t="s">
        <v>5883</v>
      </c>
      <c r="D2428" s="164">
        <v>1104</v>
      </c>
      <c r="E2428" s="164">
        <v>1240</v>
      </c>
      <c r="F2428" s="164" t="s">
        <v>3955</v>
      </c>
      <c r="G2428" s="164"/>
      <c r="H2428" s="167"/>
      <c r="I2428" s="167"/>
      <c r="J2428" s="167"/>
      <c r="K2428" s="169"/>
      <c r="L2428" s="129"/>
      <c r="M2428" s="129"/>
      <c r="N2428" s="129"/>
      <c r="O2428" s="129"/>
      <c r="P2428" s="146"/>
      <c r="Q2428" s="170"/>
      <c r="R2428" s="171"/>
      <c r="S2428" s="172"/>
    </row>
    <row r="2429" spans="1:19" ht="42.75">
      <c r="A2429" s="164" t="s">
        <v>779</v>
      </c>
      <c r="B2429" s="165" t="s">
        <v>1469</v>
      </c>
      <c r="C2429" s="165" t="s">
        <v>5885</v>
      </c>
      <c r="D2429" s="164">
        <v>1319</v>
      </c>
      <c r="E2429" s="164">
        <v>1355</v>
      </c>
      <c r="F2429" s="164" t="s">
        <v>3955</v>
      </c>
      <c r="G2429" s="164"/>
      <c r="H2429" s="167"/>
      <c r="I2429" s="167"/>
      <c r="J2429" s="167"/>
      <c r="K2429" s="169"/>
      <c r="L2429" s="129"/>
      <c r="M2429" s="129"/>
      <c r="N2429" s="129"/>
      <c r="O2429" s="129"/>
      <c r="P2429" s="146"/>
      <c r="Q2429" s="170"/>
      <c r="R2429" s="171"/>
      <c r="S2429" s="172"/>
    </row>
    <row r="2430" spans="1:19" ht="42.75">
      <c r="A2430" s="164" t="s">
        <v>779</v>
      </c>
      <c r="B2430" s="165" t="s">
        <v>1469</v>
      </c>
      <c r="C2430" s="165" t="s">
        <v>5887</v>
      </c>
      <c r="D2430" s="164">
        <v>1128</v>
      </c>
      <c r="E2430" s="164">
        <v>1259</v>
      </c>
      <c r="F2430" s="164" t="s">
        <v>3955</v>
      </c>
      <c r="G2430" s="164"/>
      <c r="H2430" s="167"/>
      <c r="I2430" s="167"/>
      <c r="J2430" s="167"/>
      <c r="K2430" s="169"/>
      <c r="L2430" s="129"/>
      <c r="M2430" s="129"/>
      <c r="N2430" s="129"/>
      <c r="O2430" s="129"/>
      <c r="P2430" s="146"/>
      <c r="Q2430" s="170"/>
      <c r="R2430" s="171"/>
      <c r="S2430" s="172"/>
    </row>
    <row r="2431" spans="1:19" ht="42.75">
      <c r="A2431" s="164" t="s">
        <v>779</v>
      </c>
      <c r="B2431" s="165" t="s">
        <v>1469</v>
      </c>
      <c r="C2431" s="165" t="s">
        <v>5889</v>
      </c>
      <c r="D2431" s="164">
        <v>1448</v>
      </c>
      <c r="E2431" s="164">
        <v>1508</v>
      </c>
      <c r="F2431" s="164" t="s">
        <v>3955</v>
      </c>
      <c r="G2431" s="164"/>
      <c r="H2431" s="167"/>
      <c r="I2431" s="167"/>
      <c r="J2431" s="167"/>
      <c r="K2431" s="169"/>
      <c r="L2431" s="129"/>
      <c r="M2431" s="129"/>
      <c r="N2431" s="129"/>
      <c r="O2431" s="129"/>
      <c r="P2431" s="146"/>
      <c r="Q2431" s="170"/>
      <c r="R2431" s="171"/>
      <c r="S2431" s="172"/>
    </row>
    <row r="2432" spans="1:19" ht="42.75">
      <c r="A2432" s="164" t="s">
        <v>779</v>
      </c>
      <c r="B2432" s="165" t="s">
        <v>1469</v>
      </c>
      <c r="C2432" s="165" t="s">
        <v>5891</v>
      </c>
      <c r="D2432" s="164">
        <v>950</v>
      </c>
      <c r="E2432" s="164">
        <v>1071</v>
      </c>
      <c r="F2432" s="164" t="s">
        <v>3955</v>
      </c>
      <c r="G2432" s="164"/>
      <c r="H2432" s="167"/>
      <c r="I2432" s="167"/>
      <c r="J2432" s="167"/>
      <c r="K2432" s="169"/>
      <c r="L2432" s="129"/>
      <c r="M2432" s="129"/>
      <c r="N2432" s="129"/>
      <c r="O2432" s="129"/>
      <c r="P2432" s="146"/>
      <c r="Q2432" s="170"/>
      <c r="R2432" s="171"/>
      <c r="S2432" s="172"/>
    </row>
    <row r="2433" spans="1:19" ht="42.75">
      <c r="A2433" s="164" t="s">
        <v>779</v>
      </c>
      <c r="B2433" s="165" t="s">
        <v>1469</v>
      </c>
      <c r="C2433" s="165" t="s">
        <v>5893</v>
      </c>
      <c r="D2433" s="164">
        <v>1451</v>
      </c>
      <c r="E2433" s="164">
        <v>1666</v>
      </c>
      <c r="F2433" s="164" t="s">
        <v>3955</v>
      </c>
      <c r="G2433" s="164"/>
      <c r="H2433" s="167"/>
      <c r="I2433" s="167"/>
      <c r="J2433" s="167"/>
      <c r="K2433" s="169"/>
      <c r="L2433" s="129"/>
      <c r="M2433" s="129"/>
      <c r="N2433" s="129"/>
      <c r="O2433" s="129"/>
      <c r="P2433" s="146"/>
      <c r="Q2433" s="170"/>
      <c r="R2433" s="171"/>
      <c r="S2433" s="172"/>
    </row>
    <row r="2434" spans="1:19" ht="42.75">
      <c r="A2434" s="164" t="s">
        <v>779</v>
      </c>
      <c r="B2434" s="165" t="s">
        <v>1469</v>
      </c>
      <c r="C2434" s="165" t="s">
        <v>5895</v>
      </c>
      <c r="D2434" s="164">
        <v>721</v>
      </c>
      <c r="E2434" s="164">
        <v>699</v>
      </c>
      <c r="F2434" s="164" t="s">
        <v>3404</v>
      </c>
      <c r="G2434" s="164">
        <v>2024</v>
      </c>
      <c r="H2434" s="175">
        <v>45602</v>
      </c>
      <c r="I2434" s="175">
        <v>45602</v>
      </c>
      <c r="J2434" s="168" t="s">
        <v>7418</v>
      </c>
      <c r="K2434" s="174">
        <v>45613</v>
      </c>
      <c r="L2434" s="129" t="s">
        <v>3129</v>
      </c>
      <c r="M2434" s="129" t="s">
        <v>1078</v>
      </c>
      <c r="N2434" s="129" t="s">
        <v>50</v>
      </c>
      <c r="O2434" s="129" t="s">
        <v>3406</v>
      </c>
      <c r="P2434" s="146"/>
      <c r="Q2434" s="170">
        <v>45614</v>
      </c>
      <c r="R2434" s="171" t="s">
        <v>6643</v>
      </c>
      <c r="S2434" s="172"/>
    </row>
    <row r="2435" spans="1:19" ht="42.75">
      <c r="A2435" s="164" t="s">
        <v>779</v>
      </c>
      <c r="B2435" s="165" t="s">
        <v>1469</v>
      </c>
      <c r="C2435" s="165" t="s">
        <v>5896</v>
      </c>
      <c r="D2435" s="164">
        <v>1212</v>
      </c>
      <c r="E2435" s="164">
        <v>1124</v>
      </c>
      <c r="F2435" s="164" t="s">
        <v>3955</v>
      </c>
      <c r="G2435" s="164"/>
      <c r="H2435" s="167"/>
      <c r="I2435" s="167"/>
      <c r="J2435" s="167"/>
      <c r="K2435" s="169"/>
      <c r="L2435" s="129"/>
      <c r="M2435" s="129"/>
      <c r="N2435" s="129"/>
      <c r="O2435" s="129"/>
      <c r="P2435" s="146"/>
      <c r="Q2435" s="170"/>
      <c r="R2435" s="171"/>
      <c r="S2435" s="172"/>
    </row>
    <row r="2436" spans="1:19" ht="42.75">
      <c r="A2436" s="164" t="s">
        <v>779</v>
      </c>
      <c r="B2436" s="165" t="s">
        <v>1469</v>
      </c>
      <c r="C2436" s="165" t="s">
        <v>5898</v>
      </c>
      <c r="D2436" s="164">
        <v>1436</v>
      </c>
      <c r="E2436" s="164">
        <v>1509</v>
      </c>
      <c r="F2436" s="164" t="s">
        <v>3955</v>
      </c>
      <c r="G2436" s="164"/>
      <c r="H2436" s="167"/>
      <c r="I2436" s="167"/>
      <c r="J2436" s="167"/>
      <c r="K2436" s="169"/>
      <c r="L2436" s="129"/>
      <c r="M2436" s="129"/>
      <c r="N2436" s="129"/>
      <c r="O2436" s="129"/>
      <c r="P2436" s="146"/>
      <c r="Q2436" s="170"/>
      <c r="R2436" s="171"/>
      <c r="S2436" s="172"/>
    </row>
    <row r="2437" spans="1:19" ht="42.75">
      <c r="A2437" s="164" t="s">
        <v>779</v>
      </c>
      <c r="B2437" s="165" t="s">
        <v>1469</v>
      </c>
      <c r="C2437" s="165" t="s">
        <v>5900</v>
      </c>
      <c r="D2437" s="164">
        <v>1316</v>
      </c>
      <c r="E2437" s="164">
        <v>1380</v>
      </c>
      <c r="F2437" s="164" t="s">
        <v>3404</v>
      </c>
      <c r="G2437" s="164">
        <v>2024</v>
      </c>
      <c r="H2437" s="175">
        <v>45603</v>
      </c>
      <c r="I2437" s="175">
        <v>45603</v>
      </c>
      <c r="J2437" s="168" t="s">
        <v>7419</v>
      </c>
      <c r="K2437" s="174">
        <v>45613</v>
      </c>
      <c r="L2437" s="129" t="s">
        <v>3129</v>
      </c>
      <c r="M2437" s="129" t="s">
        <v>1078</v>
      </c>
      <c r="N2437" s="129" t="s">
        <v>50</v>
      </c>
      <c r="O2437" s="129" t="s">
        <v>3406</v>
      </c>
      <c r="P2437" s="146"/>
      <c r="Q2437" s="170">
        <v>45614</v>
      </c>
      <c r="R2437" s="171" t="s">
        <v>6643</v>
      </c>
      <c r="S2437" s="172"/>
    </row>
    <row r="2438" spans="1:19" ht="42.75">
      <c r="A2438" s="164" t="s">
        <v>779</v>
      </c>
      <c r="B2438" s="165" t="s">
        <v>1469</v>
      </c>
      <c r="C2438" s="165" t="s">
        <v>5901</v>
      </c>
      <c r="D2438" s="164">
        <v>1441</v>
      </c>
      <c r="E2438" s="164">
        <v>1588</v>
      </c>
      <c r="F2438" s="164" t="s">
        <v>3955</v>
      </c>
      <c r="G2438" s="164"/>
      <c r="H2438" s="167"/>
      <c r="I2438" s="167"/>
      <c r="J2438" s="167"/>
      <c r="K2438" s="169"/>
      <c r="L2438" s="129"/>
      <c r="M2438" s="129"/>
      <c r="N2438" s="129"/>
      <c r="O2438" s="129"/>
      <c r="P2438" s="146"/>
      <c r="Q2438" s="170"/>
      <c r="R2438" s="171"/>
      <c r="S2438" s="172"/>
    </row>
    <row r="2439" spans="1:19" ht="42.75">
      <c r="A2439" s="164" t="s">
        <v>779</v>
      </c>
      <c r="B2439" s="165" t="s">
        <v>1469</v>
      </c>
      <c r="C2439" s="165" t="s">
        <v>5903</v>
      </c>
      <c r="D2439" s="164">
        <v>834</v>
      </c>
      <c r="E2439" s="164">
        <v>817</v>
      </c>
      <c r="F2439" s="164" t="s">
        <v>3404</v>
      </c>
      <c r="G2439" s="164">
        <v>2024</v>
      </c>
      <c r="H2439" s="175">
        <v>45581</v>
      </c>
      <c r="I2439" s="175">
        <v>45583</v>
      </c>
      <c r="J2439" s="168" t="s">
        <v>7420</v>
      </c>
      <c r="K2439" s="174">
        <v>45584</v>
      </c>
      <c r="L2439" s="129" t="s">
        <v>3128</v>
      </c>
      <c r="M2439" s="129" t="s">
        <v>1078</v>
      </c>
      <c r="N2439" s="129" t="s">
        <v>50</v>
      </c>
      <c r="O2439" s="129" t="s">
        <v>3406</v>
      </c>
      <c r="P2439" s="146"/>
      <c r="Q2439" s="170">
        <v>45586</v>
      </c>
      <c r="R2439" s="171" t="s">
        <v>6643</v>
      </c>
      <c r="S2439" s="172"/>
    </row>
    <row r="2440" spans="1:19" ht="42.75">
      <c r="A2440" s="164" t="s">
        <v>779</v>
      </c>
      <c r="B2440" s="165" t="s">
        <v>1469</v>
      </c>
      <c r="C2440" s="165" t="s">
        <v>5904</v>
      </c>
      <c r="D2440" s="164">
        <v>1225</v>
      </c>
      <c r="E2440" s="164">
        <v>1336</v>
      </c>
      <c r="F2440" s="164" t="s">
        <v>3404</v>
      </c>
      <c r="G2440" s="164">
        <v>2024</v>
      </c>
      <c r="H2440" s="175">
        <v>45603</v>
      </c>
      <c r="I2440" s="175">
        <v>45603</v>
      </c>
      <c r="J2440" s="168" t="s">
        <v>7421</v>
      </c>
      <c r="K2440" s="174">
        <v>45613</v>
      </c>
      <c r="L2440" s="129" t="s">
        <v>3129</v>
      </c>
      <c r="M2440" s="129" t="s">
        <v>1078</v>
      </c>
      <c r="N2440" s="129" t="s">
        <v>50</v>
      </c>
      <c r="O2440" s="129" t="s">
        <v>3406</v>
      </c>
      <c r="P2440" s="146"/>
      <c r="Q2440" s="170">
        <v>45614</v>
      </c>
      <c r="R2440" s="171" t="s">
        <v>6643</v>
      </c>
      <c r="S2440" s="172"/>
    </row>
    <row r="2441" spans="1:19" ht="42.75">
      <c r="A2441" s="164" t="s">
        <v>779</v>
      </c>
      <c r="B2441" s="165" t="s">
        <v>1447</v>
      </c>
      <c r="C2441" s="165" t="s">
        <v>5905</v>
      </c>
      <c r="D2441" s="164">
        <v>7683</v>
      </c>
      <c r="E2441" s="164">
        <v>7714</v>
      </c>
      <c r="F2441" s="164" t="s">
        <v>3955</v>
      </c>
      <c r="G2441" s="164"/>
      <c r="H2441" s="167"/>
      <c r="I2441" s="167"/>
      <c r="J2441" s="167"/>
      <c r="K2441" s="169"/>
      <c r="L2441" s="129"/>
      <c r="M2441" s="129"/>
      <c r="N2441" s="129"/>
      <c r="O2441" s="129"/>
      <c r="P2441" s="146"/>
      <c r="Q2441" s="170"/>
      <c r="R2441" s="171"/>
      <c r="S2441" s="172"/>
    </row>
    <row r="2442" spans="1:19" ht="42.75">
      <c r="A2442" s="164" t="s">
        <v>779</v>
      </c>
      <c r="B2442" s="165" t="s">
        <v>1447</v>
      </c>
      <c r="C2442" s="165" t="s">
        <v>5907</v>
      </c>
      <c r="D2442" s="164">
        <v>1755</v>
      </c>
      <c r="E2442" s="164">
        <v>2059</v>
      </c>
      <c r="F2442" s="164" t="s">
        <v>3955</v>
      </c>
      <c r="G2442" s="164"/>
      <c r="H2442" s="167"/>
      <c r="I2442" s="167"/>
      <c r="J2442" s="167"/>
      <c r="K2442" s="169"/>
      <c r="L2442" s="129"/>
      <c r="M2442" s="129"/>
      <c r="N2442" s="129"/>
      <c r="O2442" s="129"/>
      <c r="P2442" s="146"/>
      <c r="Q2442" s="170"/>
      <c r="R2442" s="171"/>
      <c r="S2442" s="172"/>
    </row>
    <row r="2443" spans="1:19" ht="42.75">
      <c r="A2443" s="164" t="s">
        <v>779</v>
      </c>
      <c r="B2443" s="165" t="s">
        <v>1447</v>
      </c>
      <c r="C2443" s="165" t="s">
        <v>5909</v>
      </c>
      <c r="D2443" s="164">
        <v>3553</v>
      </c>
      <c r="E2443" s="164">
        <v>4039</v>
      </c>
      <c r="F2443" s="164" t="s">
        <v>3955</v>
      </c>
      <c r="G2443" s="164"/>
      <c r="H2443" s="167"/>
      <c r="I2443" s="167"/>
      <c r="J2443" s="167"/>
      <c r="K2443" s="169"/>
      <c r="L2443" s="129"/>
      <c r="M2443" s="129"/>
      <c r="N2443" s="129"/>
      <c r="O2443" s="129"/>
      <c r="P2443" s="146"/>
      <c r="Q2443" s="170"/>
      <c r="R2443" s="171"/>
      <c r="S2443" s="172"/>
    </row>
    <row r="2444" spans="1:19" ht="42.75">
      <c r="A2444" s="164" t="s">
        <v>779</v>
      </c>
      <c r="B2444" s="165" t="s">
        <v>1447</v>
      </c>
      <c r="C2444" s="165" t="s">
        <v>1448</v>
      </c>
      <c r="D2444" s="164">
        <v>10475</v>
      </c>
      <c r="E2444" s="164">
        <v>12059</v>
      </c>
      <c r="F2444" s="164" t="s">
        <v>3404</v>
      </c>
      <c r="G2444" s="164">
        <v>2024</v>
      </c>
      <c r="H2444" s="175">
        <v>45483</v>
      </c>
      <c r="I2444" s="175">
        <v>45491</v>
      </c>
      <c r="J2444" s="168" t="s">
        <v>7422</v>
      </c>
      <c r="K2444" s="175">
        <v>45491</v>
      </c>
      <c r="L2444" s="129" t="s">
        <v>7423</v>
      </c>
      <c r="M2444" s="129"/>
      <c r="N2444" s="129"/>
      <c r="O2444" s="129" t="s">
        <v>3406</v>
      </c>
      <c r="P2444" s="146"/>
      <c r="Q2444" s="170">
        <v>45493</v>
      </c>
      <c r="R2444" s="171"/>
      <c r="S2444" s="172"/>
    </row>
    <row r="2445" spans="1:19" ht="42.75">
      <c r="A2445" s="164" t="s">
        <v>779</v>
      </c>
      <c r="B2445" s="165" t="s">
        <v>1447</v>
      </c>
      <c r="C2445" s="165" t="s">
        <v>5911</v>
      </c>
      <c r="D2445" s="164">
        <v>6885</v>
      </c>
      <c r="E2445" s="164">
        <v>8214</v>
      </c>
      <c r="F2445" s="164" t="s">
        <v>3955</v>
      </c>
      <c r="G2445" s="164"/>
      <c r="H2445" s="167"/>
      <c r="I2445" s="167"/>
      <c r="J2445" s="167"/>
      <c r="K2445" s="169"/>
      <c r="L2445" s="129"/>
      <c r="M2445" s="129"/>
      <c r="N2445" s="129"/>
      <c r="O2445" s="129"/>
      <c r="P2445" s="146"/>
      <c r="Q2445" s="170"/>
      <c r="R2445" s="171"/>
      <c r="S2445" s="172"/>
    </row>
    <row r="2446" spans="1:19" ht="42.75">
      <c r="A2446" s="164" t="s">
        <v>779</v>
      </c>
      <c r="B2446" s="165" t="s">
        <v>1447</v>
      </c>
      <c r="C2446" s="165" t="s">
        <v>5197</v>
      </c>
      <c r="D2446" s="164">
        <v>6752</v>
      </c>
      <c r="E2446" s="164">
        <v>7706</v>
      </c>
      <c r="F2446" s="164" t="s">
        <v>3404</v>
      </c>
      <c r="G2446" s="164">
        <v>2024</v>
      </c>
      <c r="H2446" s="175">
        <v>45449</v>
      </c>
      <c r="I2446" s="175">
        <v>45456</v>
      </c>
      <c r="J2446" s="168" t="s">
        <v>7424</v>
      </c>
      <c r="K2446" s="174">
        <v>45463</v>
      </c>
      <c r="L2446" s="129" t="s">
        <v>4334</v>
      </c>
      <c r="M2446" s="129"/>
      <c r="N2446" s="129"/>
      <c r="O2446" s="129" t="s">
        <v>3406</v>
      </c>
      <c r="P2446" s="146"/>
      <c r="Q2446" s="130">
        <v>45463</v>
      </c>
      <c r="R2446" s="171"/>
      <c r="S2446" s="172"/>
    </row>
    <row r="2447" spans="1:19" ht="42.75">
      <c r="A2447" s="164" t="s">
        <v>779</v>
      </c>
      <c r="B2447" s="165" t="s">
        <v>1447</v>
      </c>
      <c r="C2447" s="165" t="s">
        <v>5913</v>
      </c>
      <c r="D2447" s="164">
        <v>3347</v>
      </c>
      <c r="E2447" s="164">
        <v>4059</v>
      </c>
      <c r="F2447" s="164" t="s">
        <v>3404</v>
      </c>
      <c r="G2447" s="164">
        <v>2024</v>
      </c>
      <c r="H2447" s="175">
        <v>45608</v>
      </c>
      <c r="I2447" s="175">
        <v>45609</v>
      </c>
      <c r="J2447" s="168" t="s">
        <v>7425</v>
      </c>
      <c r="K2447" s="174">
        <v>45613</v>
      </c>
      <c r="L2447" s="129" t="s">
        <v>3129</v>
      </c>
      <c r="M2447" s="129" t="s">
        <v>1078</v>
      </c>
      <c r="N2447" s="129" t="s">
        <v>57</v>
      </c>
      <c r="O2447" s="129" t="s">
        <v>3406</v>
      </c>
      <c r="P2447" s="146"/>
      <c r="Q2447" s="170">
        <v>45614</v>
      </c>
      <c r="R2447" s="171" t="s">
        <v>6643</v>
      </c>
      <c r="S2447" s="172"/>
    </row>
    <row r="2448" spans="1:19" ht="42.75">
      <c r="A2448" s="164" t="s">
        <v>779</v>
      </c>
      <c r="B2448" s="165" t="s">
        <v>1447</v>
      </c>
      <c r="C2448" s="165" t="s">
        <v>5914</v>
      </c>
      <c r="D2448" s="164">
        <v>6423</v>
      </c>
      <c r="E2448" s="164">
        <v>7073</v>
      </c>
      <c r="F2448" s="164" t="s">
        <v>3955</v>
      </c>
      <c r="G2448" s="164"/>
      <c r="H2448" s="167"/>
      <c r="I2448" s="167"/>
      <c r="J2448" s="167"/>
      <c r="K2448" s="169"/>
      <c r="L2448" s="129"/>
      <c r="M2448" s="129"/>
      <c r="N2448" s="129"/>
      <c r="O2448" s="129"/>
      <c r="P2448" s="146"/>
      <c r="Q2448" s="170"/>
      <c r="R2448" s="171"/>
      <c r="S2448" s="172"/>
    </row>
    <row r="2449" spans="1:19" ht="42.75">
      <c r="A2449" s="164" t="s">
        <v>779</v>
      </c>
      <c r="B2449" s="165" t="s">
        <v>1447</v>
      </c>
      <c r="C2449" s="165" t="s">
        <v>5915</v>
      </c>
      <c r="D2449" s="164">
        <v>1788</v>
      </c>
      <c r="E2449" s="164">
        <v>2100</v>
      </c>
      <c r="F2449" s="164" t="s">
        <v>3404</v>
      </c>
      <c r="G2449" s="164">
        <v>2024</v>
      </c>
      <c r="H2449" s="175">
        <v>45387</v>
      </c>
      <c r="I2449" s="175">
        <v>45398</v>
      </c>
      <c r="J2449" s="168" t="s">
        <v>7426</v>
      </c>
      <c r="K2449" s="174">
        <v>45399</v>
      </c>
      <c r="L2449" s="129" t="s">
        <v>3470</v>
      </c>
      <c r="M2449" s="129"/>
      <c r="N2449" s="129"/>
      <c r="O2449" s="129" t="s">
        <v>3406</v>
      </c>
      <c r="P2449" s="146"/>
      <c r="Q2449" s="170"/>
      <c r="R2449" s="171"/>
      <c r="S2449" s="172"/>
    </row>
    <row r="2450" spans="1:19" ht="42.75">
      <c r="A2450" s="164" t="s">
        <v>779</v>
      </c>
      <c r="B2450" s="165" t="s">
        <v>1447</v>
      </c>
      <c r="C2450" s="165" t="s">
        <v>5916</v>
      </c>
      <c r="D2450" s="164">
        <v>2002</v>
      </c>
      <c r="E2450" s="164">
        <v>2475</v>
      </c>
      <c r="F2450" s="164" t="s">
        <v>3955</v>
      </c>
      <c r="G2450" s="164"/>
      <c r="H2450" s="167"/>
      <c r="I2450" s="167"/>
      <c r="J2450" s="167"/>
      <c r="K2450" s="169"/>
      <c r="L2450" s="129"/>
      <c r="M2450" s="129"/>
      <c r="N2450" s="129"/>
      <c r="O2450" s="129"/>
      <c r="P2450" s="146"/>
      <c r="Q2450" s="170"/>
      <c r="R2450" s="171"/>
      <c r="S2450" s="172"/>
    </row>
    <row r="2451" spans="1:19" ht="42.75">
      <c r="A2451" s="164" t="s">
        <v>779</v>
      </c>
      <c r="B2451" s="165" t="s">
        <v>1447</v>
      </c>
      <c r="C2451" s="165" t="s">
        <v>5918</v>
      </c>
      <c r="D2451" s="164">
        <v>14542</v>
      </c>
      <c r="E2451" s="164">
        <v>15973</v>
      </c>
      <c r="F2451" s="164" t="s">
        <v>3955</v>
      </c>
      <c r="G2451" s="164"/>
      <c r="H2451" s="167"/>
      <c r="I2451" s="167"/>
      <c r="J2451" s="167"/>
      <c r="K2451" s="169"/>
      <c r="L2451" s="129"/>
      <c r="M2451" s="129"/>
      <c r="N2451" s="129"/>
      <c r="O2451" s="129"/>
      <c r="P2451" s="146"/>
      <c r="Q2451" s="170"/>
      <c r="R2451" s="171"/>
      <c r="S2451" s="172"/>
    </row>
    <row r="2452" spans="1:19" ht="42.75">
      <c r="A2452" s="164" t="s">
        <v>779</v>
      </c>
      <c r="B2452" s="165" t="s">
        <v>1447</v>
      </c>
      <c r="C2452" s="165" t="s">
        <v>3565</v>
      </c>
      <c r="D2452" s="164">
        <v>11174</v>
      </c>
      <c r="E2452" s="164">
        <v>11484</v>
      </c>
      <c r="F2452" s="164" t="s">
        <v>3955</v>
      </c>
      <c r="G2452" s="164"/>
      <c r="H2452" s="167"/>
      <c r="I2452" s="167"/>
      <c r="J2452" s="167"/>
      <c r="K2452" s="169"/>
      <c r="L2452" s="129"/>
      <c r="M2452" s="129"/>
      <c r="N2452" s="129"/>
      <c r="O2452" s="129"/>
      <c r="P2452" s="146"/>
      <c r="Q2452" s="170"/>
      <c r="R2452" s="171"/>
      <c r="S2452" s="172"/>
    </row>
    <row r="2453" spans="1:19" ht="42.75">
      <c r="A2453" s="164" t="s">
        <v>779</v>
      </c>
      <c r="B2453" s="165" t="s">
        <v>1447</v>
      </c>
      <c r="C2453" s="165" t="s">
        <v>4242</v>
      </c>
      <c r="D2453" s="164">
        <v>1819</v>
      </c>
      <c r="E2453" s="164">
        <v>2325</v>
      </c>
      <c r="F2453" s="164" t="s">
        <v>3404</v>
      </c>
      <c r="G2453" s="164">
        <v>2024</v>
      </c>
      <c r="H2453" s="175">
        <v>45387</v>
      </c>
      <c r="I2453" s="175">
        <v>45398</v>
      </c>
      <c r="J2453" s="168" t="s">
        <v>7427</v>
      </c>
      <c r="K2453" s="174">
        <v>45399</v>
      </c>
      <c r="L2453" s="129" t="s">
        <v>3470</v>
      </c>
      <c r="M2453" s="129"/>
      <c r="N2453" s="129"/>
      <c r="O2453" s="129" t="s">
        <v>3406</v>
      </c>
      <c r="P2453" s="146"/>
      <c r="Q2453" s="170"/>
      <c r="R2453" s="171"/>
      <c r="S2453" s="172"/>
    </row>
    <row r="2454" spans="1:19" ht="42.75">
      <c r="A2454" s="164" t="s">
        <v>779</v>
      </c>
      <c r="B2454" s="165" t="s">
        <v>1447</v>
      </c>
      <c r="C2454" s="165" t="s">
        <v>5922</v>
      </c>
      <c r="D2454" s="164">
        <v>2224</v>
      </c>
      <c r="E2454" s="164">
        <v>2419</v>
      </c>
      <c r="F2454" s="164" t="s">
        <v>3955</v>
      </c>
      <c r="G2454" s="164">
        <v>2025</v>
      </c>
      <c r="H2454" s="167"/>
      <c r="I2454" s="167"/>
      <c r="J2454" s="167"/>
      <c r="K2454" s="169"/>
      <c r="L2454" s="129" t="s">
        <v>3424</v>
      </c>
      <c r="M2454" s="129"/>
      <c r="N2454" s="129"/>
      <c r="O2454" s="129"/>
      <c r="P2454" s="146"/>
      <c r="Q2454" s="170"/>
      <c r="R2454" s="171"/>
      <c r="S2454" s="172"/>
    </row>
    <row r="2455" spans="1:19" ht="42.75">
      <c r="A2455" s="164" t="s">
        <v>779</v>
      </c>
      <c r="B2455" s="165" t="s">
        <v>1447</v>
      </c>
      <c r="C2455" s="165" t="s">
        <v>5924</v>
      </c>
      <c r="D2455" s="164">
        <v>6297</v>
      </c>
      <c r="E2455" s="164">
        <v>6933</v>
      </c>
      <c r="F2455" s="164" t="s">
        <v>3955</v>
      </c>
      <c r="G2455" s="164"/>
      <c r="H2455" s="167"/>
      <c r="I2455" s="167"/>
      <c r="J2455" s="167"/>
      <c r="K2455" s="169"/>
      <c r="L2455" s="129"/>
      <c r="M2455" s="129"/>
      <c r="N2455" s="129"/>
      <c r="O2455" s="129"/>
      <c r="P2455" s="146"/>
      <c r="Q2455" s="170"/>
      <c r="R2455" s="171"/>
      <c r="S2455" s="172"/>
    </row>
    <row r="2456" spans="1:19" ht="42.75">
      <c r="A2456" s="164" t="s">
        <v>779</v>
      </c>
      <c r="B2456" s="165" t="s">
        <v>1447</v>
      </c>
      <c r="C2456" s="165" t="s">
        <v>4261</v>
      </c>
      <c r="D2456" s="164">
        <v>7099</v>
      </c>
      <c r="E2456" s="164">
        <v>6991</v>
      </c>
      <c r="F2456" s="164" t="s">
        <v>3955</v>
      </c>
      <c r="G2456" s="164"/>
      <c r="H2456" s="167"/>
      <c r="I2456" s="167"/>
      <c r="J2456" s="167"/>
      <c r="K2456" s="169"/>
      <c r="L2456" s="129"/>
      <c r="M2456" s="129"/>
      <c r="N2456" s="129"/>
      <c r="O2456" s="129"/>
      <c r="P2456" s="146"/>
      <c r="Q2456" s="170"/>
      <c r="R2456" s="171"/>
      <c r="S2456" s="172"/>
    </row>
    <row r="2457" spans="1:19" ht="42.75">
      <c r="A2457" s="164" t="s">
        <v>779</v>
      </c>
      <c r="B2457" s="165" t="s">
        <v>1447</v>
      </c>
      <c r="C2457" s="165" t="s">
        <v>5925</v>
      </c>
      <c r="D2457" s="164">
        <v>5584</v>
      </c>
      <c r="E2457" s="164">
        <v>6757</v>
      </c>
      <c r="F2457" s="164" t="s">
        <v>3955</v>
      </c>
      <c r="G2457" s="164"/>
      <c r="H2457" s="167"/>
      <c r="I2457" s="167"/>
      <c r="J2457" s="167"/>
      <c r="K2457" s="169"/>
      <c r="L2457" s="129"/>
      <c r="M2457" s="129"/>
      <c r="N2457" s="129"/>
      <c r="O2457" s="129"/>
      <c r="P2457" s="146"/>
      <c r="Q2457" s="170"/>
      <c r="R2457" s="171"/>
      <c r="S2457" s="172"/>
    </row>
    <row r="2458" spans="1:19" ht="42.75">
      <c r="A2458" s="164" t="s">
        <v>779</v>
      </c>
      <c r="B2458" s="165" t="s">
        <v>1447</v>
      </c>
      <c r="C2458" s="165" t="s">
        <v>5917</v>
      </c>
      <c r="D2458" s="164">
        <v>2599</v>
      </c>
      <c r="E2458" s="164">
        <v>2916</v>
      </c>
      <c r="F2458" s="164" t="s">
        <v>3955</v>
      </c>
      <c r="G2458" s="164"/>
      <c r="H2458" s="167"/>
      <c r="I2458" s="167"/>
      <c r="J2458" s="167"/>
      <c r="K2458" s="169"/>
      <c r="L2458" s="129"/>
      <c r="M2458" s="129"/>
      <c r="N2458" s="129"/>
      <c r="O2458" s="129"/>
      <c r="P2458" s="146"/>
      <c r="Q2458" s="170"/>
      <c r="R2458" s="171"/>
      <c r="S2458" s="172"/>
    </row>
    <row r="2459" spans="1:19" ht="42.75">
      <c r="A2459" s="164" t="s">
        <v>779</v>
      </c>
      <c r="B2459" s="165" t="s">
        <v>1447</v>
      </c>
      <c r="C2459" s="165" t="s">
        <v>5920</v>
      </c>
      <c r="D2459" s="164">
        <v>7078</v>
      </c>
      <c r="E2459" s="164">
        <v>7426</v>
      </c>
      <c r="F2459" s="164" t="s">
        <v>3955</v>
      </c>
      <c r="G2459" s="164"/>
      <c r="H2459" s="167"/>
      <c r="I2459" s="167"/>
      <c r="J2459" s="167"/>
      <c r="K2459" s="169"/>
      <c r="L2459" s="129"/>
      <c r="M2459" s="129"/>
      <c r="N2459" s="129"/>
      <c r="O2459" s="129"/>
      <c r="P2459" s="146"/>
      <c r="Q2459" s="170"/>
      <c r="R2459" s="171"/>
      <c r="S2459" s="172"/>
    </row>
    <row r="2460" spans="1:19" ht="42.75">
      <c r="A2460" s="164" t="s">
        <v>779</v>
      </c>
      <c r="B2460" s="165" t="s">
        <v>1447</v>
      </c>
      <c r="C2460" s="165" t="s">
        <v>1995</v>
      </c>
      <c r="D2460" s="164">
        <v>31123</v>
      </c>
      <c r="E2460" s="164">
        <v>35334</v>
      </c>
      <c r="F2460" s="164" t="s">
        <v>3955</v>
      </c>
      <c r="G2460" s="164"/>
      <c r="H2460" s="167"/>
      <c r="I2460" s="167"/>
      <c r="J2460" s="167"/>
      <c r="K2460" s="169"/>
      <c r="L2460" s="129"/>
      <c r="M2460" s="129"/>
      <c r="N2460" s="129"/>
      <c r="O2460" s="129"/>
      <c r="P2460" s="146"/>
      <c r="Q2460" s="170"/>
      <c r="R2460" s="171"/>
      <c r="S2460" s="172"/>
    </row>
    <row r="2461" spans="1:19" ht="42.75">
      <c r="A2461" s="164" t="s">
        <v>779</v>
      </c>
      <c r="B2461" s="165" t="s">
        <v>1185</v>
      </c>
      <c r="C2461" s="165" t="s">
        <v>5927</v>
      </c>
      <c r="D2461" s="164">
        <v>8750</v>
      </c>
      <c r="E2461" s="164">
        <v>9534</v>
      </c>
      <c r="F2461" s="164" t="s">
        <v>3404</v>
      </c>
      <c r="G2461" s="164">
        <v>2024</v>
      </c>
      <c r="H2461" s="175">
        <v>45510</v>
      </c>
      <c r="I2461" s="175">
        <v>45514</v>
      </c>
      <c r="J2461" s="168" t="s">
        <v>7428</v>
      </c>
      <c r="K2461" s="174">
        <v>45516</v>
      </c>
      <c r="L2461" s="129" t="s">
        <v>3126</v>
      </c>
      <c r="M2461" s="129" t="s">
        <v>4</v>
      </c>
      <c r="N2461" s="129" t="s">
        <v>50</v>
      </c>
      <c r="O2461" s="129" t="s">
        <v>3406</v>
      </c>
      <c r="P2461" s="146"/>
      <c r="Q2461" s="170">
        <v>45517</v>
      </c>
      <c r="R2461" s="171" t="s">
        <v>6643</v>
      </c>
      <c r="S2461" s="172"/>
    </row>
    <row r="2462" spans="1:19" ht="42.75">
      <c r="A2462" s="164" t="s">
        <v>779</v>
      </c>
      <c r="B2462" s="165" t="s">
        <v>1185</v>
      </c>
      <c r="C2462" s="165" t="s">
        <v>5928</v>
      </c>
      <c r="D2462" s="164">
        <v>3920</v>
      </c>
      <c r="E2462" s="164">
        <v>4306</v>
      </c>
      <c r="F2462" s="164" t="s">
        <v>3955</v>
      </c>
      <c r="G2462" s="164"/>
      <c r="H2462" s="167"/>
      <c r="I2462" s="167"/>
      <c r="J2462" s="167"/>
      <c r="K2462" s="169"/>
      <c r="L2462" s="129"/>
      <c r="M2462" s="129"/>
      <c r="N2462" s="129"/>
      <c r="O2462" s="129"/>
      <c r="P2462" s="146"/>
      <c r="Q2462" s="170"/>
      <c r="R2462" s="171"/>
      <c r="S2462" s="172"/>
    </row>
    <row r="2463" spans="1:19" ht="42.75">
      <c r="A2463" s="164" t="s">
        <v>779</v>
      </c>
      <c r="B2463" s="165" t="s">
        <v>1185</v>
      </c>
      <c r="C2463" s="165" t="s">
        <v>5929</v>
      </c>
      <c r="D2463" s="164">
        <v>2776</v>
      </c>
      <c r="E2463" s="164">
        <v>3239</v>
      </c>
      <c r="F2463" s="164" t="s">
        <v>3955</v>
      </c>
      <c r="G2463" s="164"/>
      <c r="H2463" s="167"/>
      <c r="I2463" s="167"/>
      <c r="J2463" s="167"/>
      <c r="K2463" s="169"/>
      <c r="L2463" s="129"/>
      <c r="M2463" s="129"/>
      <c r="N2463" s="129"/>
      <c r="O2463" s="129"/>
      <c r="P2463" s="146"/>
      <c r="Q2463" s="170"/>
      <c r="R2463" s="171"/>
      <c r="S2463" s="172"/>
    </row>
    <row r="2464" spans="1:19" ht="42.75">
      <c r="A2464" s="164" t="s">
        <v>779</v>
      </c>
      <c r="B2464" s="165" t="s">
        <v>1185</v>
      </c>
      <c r="C2464" s="165" t="s">
        <v>5931</v>
      </c>
      <c r="D2464" s="164">
        <v>1233</v>
      </c>
      <c r="E2464" s="164">
        <v>1295</v>
      </c>
      <c r="F2464" s="164" t="s">
        <v>3955</v>
      </c>
      <c r="G2464" s="164"/>
      <c r="H2464" s="167"/>
      <c r="I2464" s="167"/>
      <c r="J2464" s="167"/>
      <c r="K2464" s="169"/>
      <c r="L2464" s="129"/>
      <c r="M2464" s="129"/>
      <c r="N2464" s="129"/>
      <c r="O2464" s="129"/>
      <c r="P2464" s="146"/>
      <c r="Q2464" s="170"/>
      <c r="R2464" s="171"/>
      <c r="S2464" s="172"/>
    </row>
    <row r="2465" spans="1:19" ht="42.75">
      <c r="A2465" s="164" t="s">
        <v>779</v>
      </c>
      <c r="B2465" s="165" t="s">
        <v>1185</v>
      </c>
      <c r="C2465" s="165" t="s">
        <v>5932</v>
      </c>
      <c r="D2465" s="164">
        <v>4694</v>
      </c>
      <c r="E2465" s="164">
        <v>5280</v>
      </c>
      <c r="F2465" s="164" t="s">
        <v>3404</v>
      </c>
      <c r="G2465" s="164">
        <v>2024</v>
      </c>
      <c r="H2465" s="175">
        <v>45476</v>
      </c>
      <c r="I2465" s="175">
        <v>45481</v>
      </c>
      <c r="J2465" s="168" t="s">
        <v>7429</v>
      </c>
      <c r="K2465" s="174">
        <v>45491</v>
      </c>
      <c r="L2465" s="129" t="s">
        <v>3125</v>
      </c>
      <c r="M2465" s="129" t="s">
        <v>4</v>
      </c>
      <c r="N2465" s="129" t="s">
        <v>50</v>
      </c>
      <c r="O2465" s="129" t="s">
        <v>3406</v>
      </c>
      <c r="P2465" s="146"/>
      <c r="Q2465" s="170">
        <v>45490</v>
      </c>
      <c r="R2465" s="171"/>
      <c r="S2465" s="172"/>
    </row>
    <row r="2466" spans="1:19" ht="42.75">
      <c r="A2466" s="164" t="s">
        <v>779</v>
      </c>
      <c r="B2466" s="165" t="s">
        <v>1185</v>
      </c>
      <c r="C2466" s="165" t="s">
        <v>5933</v>
      </c>
      <c r="D2466" s="164">
        <v>3457</v>
      </c>
      <c r="E2466" s="164">
        <v>3821</v>
      </c>
      <c r="F2466" s="164" t="s">
        <v>3955</v>
      </c>
      <c r="G2466" s="164"/>
      <c r="H2466" s="167"/>
      <c r="I2466" s="167"/>
      <c r="J2466" s="167"/>
      <c r="K2466" s="169"/>
      <c r="L2466" s="129"/>
      <c r="M2466" s="129"/>
      <c r="N2466" s="129"/>
      <c r="O2466" s="129"/>
      <c r="P2466" s="146"/>
      <c r="Q2466" s="170"/>
      <c r="R2466" s="171"/>
      <c r="S2466" s="172"/>
    </row>
    <row r="2467" spans="1:19" ht="42.75">
      <c r="A2467" s="164" t="s">
        <v>779</v>
      </c>
      <c r="B2467" s="165" t="s">
        <v>1185</v>
      </c>
      <c r="C2467" s="165" t="s">
        <v>5934</v>
      </c>
      <c r="D2467" s="164">
        <v>2114</v>
      </c>
      <c r="E2467" s="164">
        <v>2111</v>
      </c>
      <c r="F2467" s="164" t="s">
        <v>3404</v>
      </c>
      <c r="G2467" s="164">
        <v>2024</v>
      </c>
      <c r="H2467" s="175">
        <v>45476</v>
      </c>
      <c r="I2467" s="175">
        <v>45481</v>
      </c>
      <c r="J2467" s="168" t="s">
        <v>7430</v>
      </c>
      <c r="K2467" s="174">
        <v>45489</v>
      </c>
      <c r="L2467" s="129" t="s">
        <v>3125</v>
      </c>
      <c r="M2467" s="129" t="s">
        <v>4</v>
      </c>
      <c r="N2467" s="129" t="s">
        <v>50</v>
      </c>
      <c r="O2467" s="129" t="s">
        <v>3406</v>
      </c>
      <c r="P2467" s="146"/>
      <c r="Q2467" s="170">
        <v>45490</v>
      </c>
      <c r="R2467" s="171"/>
      <c r="S2467" s="172"/>
    </row>
    <row r="2468" spans="1:19" ht="42.75">
      <c r="A2468" s="164" t="s">
        <v>779</v>
      </c>
      <c r="B2468" s="165" t="s">
        <v>1185</v>
      </c>
      <c r="C2468" s="165" t="s">
        <v>5935</v>
      </c>
      <c r="D2468" s="164">
        <v>3237</v>
      </c>
      <c r="E2468" s="164">
        <v>3575</v>
      </c>
      <c r="F2468" s="164" t="s">
        <v>3955</v>
      </c>
      <c r="G2468" s="164"/>
      <c r="H2468" s="167"/>
      <c r="I2468" s="167"/>
      <c r="J2468" s="167"/>
      <c r="K2468" s="169"/>
      <c r="L2468" s="129"/>
      <c r="M2468" s="129"/>
      <c r="N2468" s="129"/>
      <c r="O2468" s="129"/>
      <c r="P2468" s="146"/>
      <c r="Q2468" s="170"/>
      <c r="R2468" s="171"/>
      <c r="S2468" s="172"/>
    </row>
    <row r="2469" spans="1:19" ht="42.75">
      <c r="A2469" s="164" t="s">
        <v>779</v>
      </c>
      <c r="B2469" s="165" t="s">
        <v>1185</v>
      </c>
      <c r="C2469" s="165" t="s">
        <v>5936</v>
      </c>
      <c r="D2469" s="164">
        <v>965</v>
      </c>
      <c r="E2469" s="164">
        <v>1161</v>
      </c>
      <c r="F2469" s="164" t="s">
        <v>3955</v>
      </c>
      <c r="G2469" s="164"/>
      <c r="H2469" s="167"/>
      <c r="I2469" s="167"/>
      <c r="J2469" s="167"/>
      <c r="K2469" s="169"/>
      <c r="L2469" s="129"/>
      <c r="M2469" s="129"/>
      <c r="N2469" s="129"/>
      <c r="O2469" s="129"/>
      <c r="P2469" s="146"/>
      <c r="Q2469" s="170"/>
      <c r="R2469" s="171"/>
      <c r="S2469" s="172"/>
    </row>
    <row r="2470" spans="1:19" ht="42.75">
      <c r="A2470" s="164" t="s">
        <v>779</v>
      </c>
      <c r="B2470" s="165" t="s">
        <v>1185</v>
      </c>
      <c r="C2470" s="165" t="s">
        <v>5937</v>
      </c>
      <c r="D2470" s="164">
        <v>5917</v>
      </c>
      <c r="E2470" s="164">
        <v>6396</v>
      </c>
      <c r="F2470" s="164" t="s">
        <v>3404</v>
      </c>
      <c r="G2470" s="164">
        <v>2024</v>
      </c>
      <c r="H2470" s="175">
        <v>45576</v>
      </c>
      <c r="I2470" s="175">
        <v>45579</v>
      </c>
      <c r="J2470" s="168" t="s">
        <v>7431</v>
      </c>
      <c r="K2470" s="174">
        <v>45580</v>
      </c>
      <c r="L2470" s="129" t="s">
        <v>3128</v>
      </c>
      <c r="M2470" s="129" t="s">
        <v>4</v>
      </c>
      <c r="N2470" s="129" t="s">
        <v>50</v>
      </c>
      <c r="O2470" s="129" t="s">
        <v>3406</v>
      </c>
      <c r="P2470" s="146"/>
      <c r="Q2470" s="170">
        <v>45580</v>
      </c>
      <c r="R2470" s="171" t="s">
        <v>6643</v>
      </c>
      <c r="S2470" s="172"/>
    </row>
    <row r="2471" spans="1:19" ht="42.75">
      <c r="A2471" s="164" t="s">
        <v>779</v>
      </c>
      <c r="B2471" s="165" t="s">
        <v>1185</v>
      </c>
      <c r="C2471" s="165" t="s">
        <v>5940</v>
      </c>
      <c r="D2471" s="164">
        <v>1276</v>
      </c>
      <c r="E2471" s="164">
        <v>1388</v>
      </c>
      <c r="F2471" s="164" t="s">
        <v>3955</v>
      </c>
      <c r="G2471" s="164"/>
      <c r="H2471" s="167"/>
      <c r="I2471" s="167"/>
      <c r="J2471" s="167"/>
      <c r="K2471" s="169"/>
      <c r="L2471" s="129"/>
      <c r="M2471" s="129"/>
      <c r="N2471" s="129"/>
      <c r="O2471" s="129"/>
      <c r="P2471" s="146"/>
      <c r="Q2471" s="170"/>
      <c r="R2471" s="171"/>
      <c r="S2471" s="172"/>
    </row>
    <row r="2472" spans="1:19" ht="42.75">
      <c r="A2472" s="164" t="s">
        <v>779</v>
      </c>
      <c r="B2472" s="165" t="s">
        <v>1185</v>
      </c>
      <c r="C2472" s="165" t="s">
        <v>5941</v>
      </c>
      <c r="D2472" s="164">
        <v>2566</v>
      </c>
      <c r="E2472" s="164">
        <v>2883</v>
      </c>
      <c r="F2472" s="164" t="s">
        <v>3955</v>
      </c>
      <c r="G2472" s="164"/>
      <c r="H2472" s="167"/>
      <c r="I2472" s="167"/>
      <c r="J2472" s="167"/>
      <c r="K2472" s="169"/>
      <c r="L2472" s="129"/>
      <c r="M2472" s="129"/>
      <c r="N2472" s="129"/>
      <c r="O2472" s="129"/>
      <c r="P2472" s="146"/>
      <c r="Q2472" s="170"/>
      <c r="R2472" s="171"/>
      <c r="S2472" s="172"/>
    </row>
    <row r="2473" spans="1:19" ht="42.75">
      <c r="A2473" s="164" t="s">
        <v>779</v>
      </c>
      <c r="B2473" s="165" t="s">
        <v>1185</v>
      </c>
      <c r="C2473" s="165" t="s">
        <v>5942</v>
      </c>
      <c r="D2473" s="164">
        <v>2219</v>
      </c>
      <c r="E2473" s="164">
        <v>2441</v>
      </c>
      <c r="F2473" s="164" t="s">
        <v>3955</v>
      </c>
      <c r="G2473" s="164"/>
      <c r="H2473" s="167"/>
      <c r="I2473" s="167"/>
      <c r="J2473" s="167"/>
      <c r="K2473" s="169"/>
      <c r="L2473" s="129"/>
      <c r="M2473" s="129"/>
      <c r="N2473" s="129"/>
      <c r="O2473" s="129"/>
      <c r="P2473" s="146"/>
      <c r="Q2473" s="170"/>
      <c r="R2473" s="171"/>
      <c r="S2473" s="172"/>
    </row>
    <row r="2474" spans="1:19" ht="42.75">
      <c r="A2474" s="164" t="s">
        <v>779</v>
      </c>
      <c r="B2474" s="165" t="s">
        <v>1185</v>
      </c>
      <c r="C2474" s="165" t="s">
        <v>5943</v>
      </c>
      <c r="D2474" s="164">
        <v>1547</v>
      </c>
      <c r="E2474" s="164">
        <v>1729</v>
      </c>
      <c r="F2474" s="164" t="s">
        <v>3955</v>
      </c>
      <c r="G2474" s="164"/>
      <c r="H2474" s="167"/>
      <c r="I2474" s="167"/>
      <c r="J2474" s="167"/>
      <c r="K2474" s="169"/>
      <c r="L2474" s="129"/>
      <c r="M2474" s="129"/>
      <c r="N2474" s="129"/>
      <c r="O2474" s="129"/>
      <c r="P2474" s="146"/>
      <c r="Q2474" s="170"/>
      <c r="R2474" s="171"/>
      <c r="S2474" s="172"/>
    </row>
    <row r="2475" spans="1:19" ht="42.75">
      <c r="A2475" s="164" t="s">
        <v>779</v>
      </c>
      <c r="B2475" s="165" t="s">
        <v>1185</v>
      </c>
      <c r="C2475" s="165" t="s">
        <v>5944</v>
      </c>
      <c r="D2475" s="164">
        <v>3725</v>
      </c>
      <c r="E2475" s="164">
        <v>3719</v>
      </c>
      <c r="F2475" s="164" t="s">
        <v>3404</v>
      </c>
      <c r="G2475" s="164">
        <v>2024</v>
      </c>
      <c r="H2475" s="175">
        <v>45414</v>
      </c>
      <c r="I2475" s="175">
        <v>45415</v>
      </c>
      <c r="J2475" s="253" t="s">
        <v>7432</v>
      </c>
      <c r="K2475" s="254">
        <v>45421</v>
      </c>
      <c r="L2475" s="129" t="s">
        <v>7362</v>
      </c>
      <c r="M2475" s="129"/>
      <c r="N2475" s="129"/>
      <c r="O2475" s="129" t="s">
        <v>3406</v>
      </c>
      <c r="P2475" s="146"/>
      <c r="Q2475" s="170"/>
      <c r="R2475" s="171"/>
      <c r="S2475" s="172"/>
    </row>
    <row r="2476" spans="1:19" ht="42.75">
      <c r="A2476" s="164" t="s">
        <v>779</v>
      </c>
      <c r="B2476" s="165" t="s">
        <v>1185</v>
      </c>
      <c r="C2476" s="165" t="s">
        <v>5945</v>
      </c>
      <c r="D2476" s="164">
        <v>1207</v>
      </c>
      <c r="E2476" s="164">
        <v>1230</v>
      </c>
      <c r="F2476" s="164" t="s">
        <v>3955</v>
      </c>
      <c r="G2476" s="164"/>
      <c r="H2476" s="167"/>
      <c r="I2476" s="167"/>
      <c r="J2476" s="167"/>
      <c r="K2476" s="169"/>
      <c r="L2476" s="129"/>
      <c r="M2476" s="129"/>
      <c r="N2476" s="129"/>
      <c r="O2476" s="129"/>
      <c r="P2476" s="146"/>
      <c r="Q2476" s="170"/>
      <c r="R2476" s="171"/>
      <c r="S2476" s="172"/>
    </row>
    <row r="2477" spans="1:19" ht="42.75">
      <c r="A2477" s="164" t="s">
        <v>779</v>
      </c>
      <c r="B2477" s="165" t="s">
        <v>1185</v>
      </c>
      <c r="C2477" s="165" t="s">
        <v>5946</v>
      </c>
      <c r="D2477" s="164">
        <v>2524</v>
      </c>
      <c r="E2477" s="164">
        <v>2761</v>
      </c>
      <c r="F2477" s="164" t="s">
        <v>3955</v>
      </c>
      <c r="G2477" s="164"/>
      <c r="H2477" s="167"/>
      <c r="I2477" s="167"/>
      <c r="J2477" s="167"/>
      <c r="K2477" s="169"/>
      <c r="L2477" s="129"/>
      <c r="M2477" s="129"/>
      <c r="N2477" s="129"/>
      <c r="O2477" s="129"/>
      <c r="P2477" s="146"/>
      <c r="Q2477" s="170"/>
      <c r="R2477" s="171"/>
      <c r="S2477" s="172"/>
    </row>
    <row r="2478" spans="1:19" ht="42.75">
      <c r="A2478" s="164" t="s">
        <v>779</v>
      </c>
      <c r="B2478" s="165" t="s">
        <v>1185</v>
      </c>
      <c r="C2478" s="165" t="s">
        <v>3616</v>
      </c>
      <c r="D2478" s="164">
        <v>3260</v>
      </c>
      <c r="E2478" s="164">
        <v>3438</v>
      </c>
      <c r="F2478" s="164" t="s">
        <v>3955</v>
      </c>
      <c r="G2478" s="164"/>
      <c r="H2478" s="167"/>
      <c r="I2478" s="167"/>
      <c r="J2478" s="167"/>
      <c r="K2478" s="169"/>
      <c r="L2478" s="129"/>
      <c r="M2478" s="129"/>
      <c r="N2478" s="129"/>
      <c r="O2478" s="129"/>
      <c r="P2478" s="146"/>
      <c r="Q2478" s="170"/>
      <c r="R2478" s="171"/>
      <c r="S2478" s="172"/>
    </row>
    <row r="2479" spans="1:19" ht="42.75">
      <c r="A2479" s="164" t="s">
        <v>779</v>
      </c>
      <c r="B2479" s="165" t="s">
        <v>1185</v>
      </c>
      <c r="C2479" s="165" t="s">
        <v>5947</v>
      </c>
      <c r="D2479" s="164">
        <v>1725</v>
      </c>
      <c r="E2479" s="164">
        <v>1714</v>
      </c>
      <c r="F2479" s="164" t="s">
        <v>3955</v>
      </c>
      <c r="G2479" s="164"/>
      <c r="H2479" s="167"/>
      <c r="I2479" s="167"/>
      <c r="J2479" s="167"/>
      <c r="K2479" s="169"/>
      <c r="L2479" s="129"/>
      <c r="M2479" s="129"/>
      <c r="N2479" s="129"/>
      <c r="O2479" s="129"/>
      <c r="P2479" s="146"/>
      <c r="Q2479" s="170"/>
      <c r="R2479" s="171"/>
      <c r="S2479" s="172"/>
    </row>
    <row r="2480" spans="1:19" ht="42.75">
      <c r="A2480" s="164" t="s">
        <v>779</v>
      </c>
      <c r="B2480" s="165" t="s">
        <v>1185</v>
      </c>
      <c r="C2480" s="165" t="s">
        <v>5948</v>
      </c>
      <c r="D2480" s="164">
        <v>3107</v>
      </c>
      <c r="E2480" s="164">
        <v>3368</v>
      </c>
      <c r="F2480" s="164" t="s">
        <v>3404</v>
      </c>
      <c r="G2480" s="164">
        <v>2024</v>
      </c>
      <c r="H2480" s="175">
        <v>45475</v>
      </c>
      <c r="I2480" s="175">
        <v>45481</v>
      </c>
      <c r="J2480" s="168" t="s">
        <v>7433</v>
      </c>
      <c r="K2480" s="174">
        <v>45489</v>
      </c>
      <c r="L2480" s="129" t="s">
        <v>3125</v>
      </c>
      <c r="M2480" s="129" t="s">
        <v>4</v>
      </c>
      <c r="N2480" s="129" t="s">
        <v>50</v>
      </c>
      <c r="O2480" s="129" t="s">
        <v>3406</v>
      </c>
      <c r="P2480" s="146"/>
      <c r="Q2480" s="170"/>
      <c r="R2480" s="171"/>
      <c r="S2480" s="172"/>
    </row>
    <row r="2481" spans="1:19" ht="42.75">
      <c r="A2481" s="164" t="s">
        <v>779</v>
      </c>
      <c r="B2481" s="165" t="s">
        <v>1185</v>
      </c>
      <c r="C2481" s="165" t="s">
        <v>4126</v>
      </c>
      <c r="D2481" s="164">
        <v>6040</v>
      </c>
      <c r="E2481" s="164">
        <v>7429</v>
      </c>
      <c r="F2481" s="164" t="s">
        <v>3404</v>
      </c>
      <c r="G2481" s="164">
        <v>2024</v>
      </c>
      <c r="H2481" s="175">
        <v>45541</v>
      </c>
      <c r="I2481" s="175">
        <v>45545</v>
      </c>
      <c r="J2481" s="168" t="s">
        <v>7434</v>
      </c>
      <c r="K2481" s="174">
        <v>45552</v>
      </c>
      <c r="L2481" s="129" t="s">
        <v>3127</v>
      </c>
      <c r="M2481" s="129" t="s">
        <v>4</v>
      </c>
      <c r="N2481" s="129" t="s">
        <v>50</v>
      </c>
      <c r="O2481" s="129" t="s">
        <v>3406</v>
      </c>
      <c r="P2481" s="146"/>
      <c r="Q2481" s="130">
        <v>45552</v>
      </c>
      <c r="R2481" s="171" t="s">
        <v>6643</v>
      </c>
      <c r="S2481" s="172"/>
    </row>
    <row r="2482" spans="1:19" ht="42.75">
      <c r="A2482" s="164" t="s">
        <v>779</v>
      </c>
      <c r="B2482" s="165" t="s">
        <v>1185</v>
      </c>
      <c r="C2482" s="165" t="s">
        <v>914</v>
      </c>
      <c r="D2482" s="164">
        <v>3175</v>
      </c>
      <c r="E2482" s="164">
        <v>3474</v>
      </c>
      <c r="F2482" s="164" t="s">
        <v>3404</v>
      </c>
      <c r="G2482" s="164">
        <v>2024</v>
      </c>
      <c r="H2482" s="175">
        <v>45604</v>
      </c>
      <c r="I2482" s="175">
        <v>45606</v>
      </c>
      <c r="J2482" s="168" t="s">
        <v>7435</v>
      </c>
      <c r="K2482" s="174">
        <v>45613</v>
      </c>
      <c r="L2482" s="129" t="s">
        <v>3129</v>
      </c>
      <c r="M2482" s="129" t="s">
        <v>4</v>
      </c>
      <c r="N2482" s="129" t="s">
        <v>50</v>
      </c>
      <c r="O2482" s="129" t="s">
        <v>3406</v>
      </c>
      <c r="P2482" s="146"/>
      <c r="Q2482" s="170">
        <v>45614</v>
      </c>
      <c r="R2482" s="171" t="s">
        <v>6643</v>
      </c>
      <c r="S2482" s="172"/>
    </row>
    <row r="2483" spans="1:19" ht="42.75">
      <c r="A2483" s="164" t="s">
        <v>779</v>
      </c>
      <c r="B2483" s="165" t="s">
        <v>1185</v>
      </c>
      <c r="C2483" s="165" t="s">
        <v>5756</v>
      </c>
      <c r="D2483" s="164">
        <v>2113</v>
      </c>
      <c r="E2483" s="164">
        <v>2415</v>
      </c>
      <c r="F2483" s="164" t="s">
        <v>3955</v>
      </c>
      <c r="G2483" s="164"/>
      <c r="H2483" s="167"/>
      <c r="I2483" s="167"/>
      <c r="J2483" s="167"/>
      <c r="K2483" s="169"/>
      <c r="L2483" s="129"/>
      <c r="M2483" s="129"/>
      <c r="N2483" s="129"/>
      <c r="O2483" s="129"/>
      <c r="P2483" s="146"/>
      <c r="Q2483" s="170"/>
      <c r="R2483" s="171"/>
      <c r="S2483" s="172"/>
    </row>
    <row r="2484" spans="1:19" ht="42.75">
      <c r="A2484" s="164" t="s">
        <v>779</v>
      </c>
      <c r="B2484" s="165" t="s">
        <v>1185</v>
      </c>
      <c r="C2484" s="165" t="s">
        <v>4024</v>
      </c>
      <c r="D2484" s="164">
        <v>7983</v>
      </c>
      <c r="E2484" s="164">
        <v>8828</v>
      </c>
      <c r="F2484" s="164" t="s">
        <v>3404</v>
      </c>
      <c r="G2484" s="164">
        <v>2024</v>
      </c>
      <c r="H2484" s="175">
        <v>45414</v>
      </c>
      <c r="I2484" s="175">
        <v>45415</v>
      </c>
      <c r="J2484" s="168" t="s">
        <v>7436</v>
      </c>
      <c r="K2484" s="174">
        <v>45420</v>
      </c>
      <c r="L2484" s="129" t="s">
        <v>7362</v>
      </c>
      <c r="M2484" s="129"/>
      <c r="N2484" s="129"/>
      <c r="O2484" s="129" t="s">
        <v>3406</v>
      </c>
      <c r="P2484" s="146"/>
      <c r="Q2484" s="170"/>
      <c r="R2484" s="171"/>
      <c r="S2484" s="172"/>
    </row>
    <row r="2485" spans="1:19" ht="42.75">
      <c r="A2485" s="164" t="s">
        <v>779</v>
      </c>
      <c r="B2485" s="165" t="s">
        <v>1185</v>
      </c>
      <c r="C2485" s="165" t="s">
        <v>1180</v>
      </c>
      <c r="D2485" s="164">
        <v>2950</v>
      </c>
      <c r="E2485" s="164">
        <v>3252</v>
      </c>
      <c r="F2485" s="164" t="s">
        <v>3955</v>
      </c>
      <c r="G2485" s="164"/>
      <c r="H2485" s="167"/>
      <c r="I2485" s="167"/>
      <c r="J2485" s="167"/>
      <c r="K2485" s="169"/>
      <c r="L2485" s="129"/>
      <c r="M2485" s="129"/>
      <c r="N2485" s="129"/>
      <c r="O2485" s="129"/>
      <c r="P2485" s="146"/>
      <c r="Q2485" s="170"/>
      <c r="R2485" s="171"/>
      <c r="S2485" s="172"/>
    </row>
    <row r="2486" spans="1:19" ht="42.75">
      <c r="A2486" s="164" t="s">
        <v>779</v>
      </c>
      <c r="B2486" s="165" t="s">
        <v>1185</v>
      </c>
      <c r="C2486" s="165" t="s">
        <v>4025</v>
      </c>
      <c r="D2486" s="164">
        <v>9739</v>
      </c>
      <c r="E2486" s="164">
        <v>10454</v>
      </c>
      <c r="F2486" s="164" t="s">
        <v>3404</v>
      </c>
      <c r="G2486" s="164">
        <v>2024</v>
      </c>
      <c r="H2486" s="175">
        <v>45510</v>
      </c>
      <c r="I2486" s="175">
        <v>45514</v>
      </c>
      <c r="J2486" s="168" t="s">
        <v>7437</v>
      </c>
      <c r="K2486" s="174">
        <v>45516</v>
      </c>
      <c r="L2486" s="129" t="s">
        <v>3126</v>
      </c>
      <c r="M2486" s="129" t="s">
        <v>4</v>
      </c>
      <c r="N2486" s="129" t="s">
        <v>50</v>
      </c>
      <c r="O2486" s="129" t="s">
        <v>3406</v>
      </c>
      <c r="P2486" s="146"/>
      <c r="Q2486" s="170">
        <v>45517</v>
      </c>
      <c r="R2486" s="171" t="s">
        <v>6643</v>
      </c>
      <c r="S2486" s="172"/>
    </row>
    <row r="2487" spans="1:19" ht="42.75">
      <c r="A2487" s="164" t="s">
        <v>779</v>
      </c>
      <c r="B2487" s="165" t="s">
        <v>1185</v>
      </c>
      <c r="C2487" s="165" t="s">
        <v>918</v>
      </c>
      <c r="D2487" s="164">
        <v>4565</v>
      </c>
      <c r="E2487" s="164">
        <v>5296</v>
      </c>
      <c r="F2487" s="164" t="s">
        <v>3404</v>
      </c>
      <c r="G2487" s="164">
        <v>2024</v>
      </c>
      <c r="H2487" s="175">
        <v>45576</v>
      </c>
      <c r="I2487" s="175">
        <v>45578</v>
      </c>
      <c r="J2487" s="168" t="s">
        <v>7438</v>
      </c>
      <c r="K2487" s="174">
        <v>45580</v>
      </c>
      <c r="L2487" s="129" t="s">
        <v>3128</v>
      </c>
      <c r="M2487" s="129" t="s">
        <v>4</v>
      </c>
      <c r="N2487" s="129" t="s">
        <v>50</v>
      </c>
      <c r="O2487" s="129" t="s">
        <v>3406</v>
      </c>
      <c r="P2487" s="146"/>
      <c r="Q2487" s="170">
        <v>45580</v>
      </c>
      <c r="R2487" s="171" t="s">
        <v>6643</v>
      </c>
      <c r="S2487" s="172"/>
    </row>
    <row r="2488" spans="1:19" ht="42.75">
      <c r="A2488" s="164" t="s">
        <v>779</v>
      </c>
      <c r="B2488" s="165" t="s">
        <v>1185</v>
      </c>
      <c r="C2488" s="165" t="s">
        <v>4207</v>
      </c>
      <c r="D2488" s="164">
        <v>408</v>
      </c>
      <c r="E2488" s="164">
        <v>447</v>
      </c>
      <c r="F2488" s="164" t="s">
        <v>3955</v>
      </c>
      <c r="G2488" s="164"/>
      <c r="H2488" s="167"/>
      <c r="I2488" s="167"/>
      <c r="J2488" s="167"/>
      <c r="K2488" s="169"/>
      <c r="L2488" s="129"/>
      <c r="M2488" s="129"/>
      <c r="N2488" s="129"/>
      <c r="O2488" s="129"/>
      <c r="P2488" s="146"/>
      <c r="Q2488" s="170"/>
      <c r="R2488" s="171"/>
      <c r="S2488" s="172"/>
    </row>
    <row r="2489" spans="1:19" ht="42.75">
      <c r="A2489" s="164" t="s">
        <v>779</v>
      </c>
      <c r="B2489" s="165" t="s">
        <v>1185</v>
      </c>
      <c r="C2489" s="165" t="s">
        <v>5659</v>
      </c>
      <c r="D2489" s="164">
        <v>4985</v>
      </c>
      <c r="E2489" s="164">
        <v>4882</v>
      </c>
      <c r="F2489" s="164" t="s">
        <v>3955</v>
      </c>
      <c r="G2489" s="164"/>
      <c r="H2489" s="167"/>
      <c r="I2489" s="167"/>
      <c r="J2489" s="167"/>
      <c r="K2489" s="169"/>
      <c r="L2489" s="129"/>
      <c r="M2489" s="129"/>
      <c r="N2489" s="129"/>
      <c r="O2489" s="129"/>
      <c r="P2489" s="146"/>
      <c r="Q2489" s="170"/>
      <c r="R2489" s="171"/>
      <c r="S2489" s="172"/>
    </row>
    <row r="2490" spans="1:19" ht="42.75">
      <c r="A2490" s="164" t="s">
        <v>779</v>
      </c>
      <c r="B2490" s="165" t="s">
        <v>1185</v>
      </c>
      <c r="C2490" s="165" t="s">
        <v>5949</v>
      </c>
      <c r="D2490" s="164">
        <v>3852</v>
      </c>
      <c r="E2490" s="164">
        <v>4101</v>
      </c>
      <c r="F2490" s="164" t="s">
        <v>3955</v>
      </c>
      <c r="G2490" s="164"/>
      <c r="H2490" s="167"/>
      <c r="I2490" s="167"/>
      <c r="J2490" s="167"/>
      <c r="K2490" s="169"/>
      <c r="L2490" s="129"/>
      <c r="M2490" s="129"/>
      <c r="N2490" s="129"/>
      <c r="O2490" s="129"/>
      <c r="P2490" s="146"/>
      <c r="Q2490" s="170"/>
      <c r="R2490" s="171"/>
      <c r="S2490" s="172"/>
    </row>
    <row r="2491" spans="1:19" ht="42.75">
      <c r="A2491" s="164" t="s">
        <v>779</v>
      </c>
      <c r="B2491" s="165" t="s">
        <v>1185</v>
      </c>
      <c r="C2491" s="165" t="s">
        <v>3727</v>
      </c>
      <c r="D2491" s="164">
        <v>3971</v>
      </c>
      <c r="E2491" s="164">
        <v>4434</v>
      </c>
      <c r="F2491" s="164" t="s">
        <v>3955</v>
      </c>
      <c r="G2491" s="164"/>
      <c r="H2491" s="167"/>
      <c r="I2491" s="167"/>
      <c r="J2491" s="167"/>
      <c r="K2491" s="169"/>
      <c r="L2491" s="129"/>
      <c r="M2491" s="129"/>
      <c r="N2491" s="129"/>
      <c r="O2491" s="129"/>
      <c r="P2491" s="146"/>
      <c r="Q2491" s="170"/>
      <c r="R2491" s="171"/>
      <c r="S2491" s="172"/>
    </row>
    <row r="2492" spans="1:19" ht="42.75">
      <c r="A2492" s="164" t="s">
        <v>779</v>
      </c>
      <c r="B2492" s="165" t="s">
        <v>1185</v>
      </c>
      <c r="C2492" s="165" t="s">
        <v>1899</v>
      </c>
      <c r="D2492" s="164">
        <v>4948</v>
      </c>
      <c r="E2492" s="164">
        <v>5415</v>
      </c>
      <c r="F2492" s="164" t="s">
        <v>3404</v>
      </c>
      <c r="G2492" s="164">
        <v>2024</v>
      </c>
      <c r="H2492" s="175">
        <v>45454</v>
      </c>
      <c r="I2492" s="175">
        <v>45455</v>
      </c>
      <c r="J2492" s="168" t="s">
        <v>7439</v>
      </c>
      <c r="K2492" s="174">
        <v>45463</v>
      </c>
      <c r="L2492" s="129" t="s">
        <v>3689</v>
      </c>
      <c r="M2492" s="129" t="s">
        <v>4</v>
      </c>
      <c r="N2492" s="129" t="s">
        <v>50</v>
      </c>
      <c r="O2492" s="129" t="s">
        <v>3406</v>
      </c>
      <c r="P2492" s="146"/>
      <c r="Q2492" s="130">
        <v>45463</v>
      </c>
      <c r="R2492" s="171"/>
      <c r="S2492" s="172"/>
    </row>
    <row r="2493" spans="1:19" ht="42.75">
      <c r="A2493" s="164" t="s">
        <v>779</v>
      </c>
      <c r="B2493" s="165" t="s">
        <v>1185</v>
      </c>
      <c r="C2493" s="165" t="s">
        <v>4950</v>
      </c>
      <c r="D2493" s="164">
        <v>1644</v>
      </c>
      <c r="E2493" s="164">
        <v>2259</v>
      </c>
      <c r="F2493" s="164" t="s">
        <v>3404</v>
      </c>
      <c r="G2493" s="164">
        <v>2024</v>
      </c>
      <c r="H2493" s="175">
        <v>45496</v>
      </c>
      <c r="I2493" s="175">
        <v>45499</v>
      </c>
      <c r="J2493" s="168" t="s">
        <v>7440</v>
      </c>
      <c r="K2493" s="174">
        <v>45503</v>
      </c>
      <c r="L2493" s="129" t="s">
        <v>3126</v>
      </c>
      <c r="M2493" s="129" t="s">
        <v>4</v>
      </c>
      <c r="N2493" s="129" t="s">
        <v>50</v>
      </c>
      <c r="O2493" s="129" t="s">
        <v>3406</v>
      </c>
      <c r="P2493" s="146"/>
      <c r="Q2493" s="170">
        <v>45503</v>
      </c>
      <c r="R2493" s="171"/>
      <c r="S2493" s="172"/>
    </row>
    <row r="2494" spans="1:19" ht="42.75">
      <c r="A2494" s="164" t="s">
        <v>779</v>
      </c>
      <c r="B2494" s="165" t="s">
        <v>1185</v>
      </c>
      <c r="C2494" s="165" t="s">
        <v>1424</v>
      </c>
      <c r="D2494" s="164">
        <v>5610</v>
      </c>
      <c r="E2494" s="164">
        <v>6082</v>
      </c>
      <c r="F2494" s="164" t="s">
        <v>3404</v>
      </c>
      <c r="G2494" s="164">
        <v>2024</v>
      </c>
      <c r="H2494" s="175">
        <v>45454</v>
      </c>
      <c r="I2494" s="175">
        <v>45455</v>
      </c>
      <c r="J2494" s="168" t="s">
        <v>7441</v>
      </c>
      <c r="K2494" s="174">
        <v>45463</v>
      </c>
      <c r="L2494" s="129" t="s">
        <v>3689</v>
      </c>
      <c r="M2494" s="129" t="s">
        <v>4</v>
      </c>
      <c r="N2494" s="129" t="s">
        <v>50</v>
      </c>
      <c r="O2494" s="129" t="s">
        <v>3406</v>
      </c>
      <c r="P2494" s="146"/>
      <c r="Q2494" s="130">
        <v>45463</v>
      </c>
      <c r="R2494" s="171"/>
      <c r="S2494" s="172"/>
    </row>
    <row r="2495" spans="1:19" ht="42.75">
      <c r="A2495" s="164" t="s">
        <v>779</v>
      </c>
      <c r="B2495" s="165" t="s">
        <v>1185</v>
      </c>
      <c r="C2495" s="165" t="s">
        <v>4242</v>
      </c>
      <c r="D2495" s="164">
        <v>4958</v>
      </c>
      <c r="E2495" s="164">
        <v>5586</v>
      </c>
      <c r="F2495" s="164" t="s">
        <v>3404</v>
      </c>
      <c r="G2495" s="164">
        <v>2024</v>
      </c>
      <c r="H2495" s="175">
        <v>45496</v>
      </c>
      <c r="I2495" s="241">
        <v>45499</v>
      </c>
      <c r="J2495" s="191" t="s">
        <v>7442</v>
      </c>
      <c r="K2495" s="255">
        <v>45503</v>
      </c>
      <c r="L2495" s="129" t="s">
        <v>3129</v>
      </c>
      <c r="M2495" s="129" t="s">
        <v>4</v>
      </c>
      <c r="N2495" s="129" t="s">
        <v>50</v>
      </c>
      <c r="O2495" s="129" t="s">
        <v>3406</v>
      </c>
      <c r="P2495" s="146"/>
      <c r="Q2495" s="170">
        <v>45503</v>
      </c>
      <c r="R2495" s="171" t="s">
        <v>6643</v>
      </c>
      <c r="S2495" s="172" t="s">
        <v>7142</v>
      </c>
    </row>
    <row r="2496" spans="1:19" ht="42.75">
      <c r="A2496" s="164" t="s">
        <v>779</v>
      </c>
      <c r="B2496" s="165" t="s">
        <v>1185</v>
      </c>
      <c r="C2496" s="165" t="s">
        <v>3132</v>
      </c>
      <c r="D2496" s="164">
        <v>4846</v>
      </c>
      <c r="E2496" s="164">
        <v>5693</v>
      </c>
      <c r="F2496" s="164" t="s">
        <v>3404</v>
      </c>
      <c r="G2496" s="164">
        <v>2024</v>
      </c>
      <c r="H2496" s="221">
        <v>45510</v>
      </c>
      <c r="I2496" s="174">
        <v>45514</v>
      </c>
      <c r="J2496" s="181" t="s">
        <v>7443</v>
      </c>
      <c r="K2496" s="174">
        <v>45516</v>
      </c>
      <c r="L2496" s="232" t="s">
        <v>3126</v>
      </c>
      <c r="M2496" s="129" t="s">
        <v>4</v>
      </c>
      <c r="N2496" s="129" t="s">
        <v>50</v>
      </c>
      <c r="O2496" s="129" t="s">
        <v>3406</v>
      </c>
      <c r="P2496" s="146"/>
      <c r="Q2496" s="170">
        <v>45517</v>
      </c>
      <c r="R2496" s="171" t="s">
        <v>6643</v>
      </c>
      <c r="S2496" s="172"/>
    </row>
    <row r="2497" spans="1:19" ht="42.75">
      <c r="A2497" s="164" t="s">
        <v>779</v>
      </c>
      <c r="B2497" s="165" t="s">
        <v>1185</v>
      </c>
      <c r="C2497" s="165" t="s">
        <v>1170</v>
      </c>
      <c r="D2497" s="164">
        <v>5391</v>
      </c>
      <c r="E2497" s="164">
        <v>5686</v>
      </c>
      <c r="F2497" s="164" t="s">
        <v>3404</v>
      </c>
      <c r="G2497" s="164">
        <v>2024</v>
      </c>
      <c r="H2497" s="221">
        <v>45576</v>
      </c>
      <c r="I2497" s="174">
        <v>45578</v>
      </c>
      <c r="J2497" s="181" t="s">
        <v>7444</v>
      </c>
      <c r="K2497" s="174">
        <v>45580</v>
      </c>
      <c r="L2497" s="232" t="s">
        <v>3128</v>
      </c>
      <c r="M2497" s="129" t="s">
        <v>4</v>
      </c>
      <c r="N2497" s="129" t="s">
        <v>50</v>
      </c>
      <c r="O2497" s="129" t="s">
        <v>3406</v>
      </c>
      <c r="P2497" s="146"/>
      <c r="Q2497" s="170">
        <v>45580</v>
      </c>
      <c r="R2497" s="171" t="s">
        <v>6643</v>
      </c>
      <c r="S2497" s="172"/>
    </row>
    <row r="2498" spans="1:19" ht="42.75">
      <c r="A2498" s="164" t="s">
        <v>779</v>
      </c>
      <c r="B2498" s="165" t="s">
        <v>1185</v>
      </c>
      <c r="C2498" s="165" t="s">
        <v>3977</v>
      </c>
      <c r="D2498" s="164">
        <v>1463</v>
      </c>
      <c r="E2498" s="164">
        <v>1537</v>
      </c>
      <c r="F2498" s="164" t="s">
        <v>3955</v>
      </c>
      <c r="G2498" s="164"/>
      <c r="H2498" s="167"/>
      <c r="I2498" s="196"/>
      <c r="J2498" s="196"/>
      <c r="K2498" s="244"/>
      <c r="L2498" s="129"/>
      <c r="M2498" s="129"/>
      <c r="N2498" s="129"/>
      <c r="O2498" s="129"/>
      <c r="P2498" s="146"/>
      <c r="Q2498" s="170"/>
      <c r="R2498" s="171"/>
      <c r="S2498" s="172"/>
    </row>
    <row r="2499" spans="1:19" ht="42.75">
      <c r="A2499" s="164" t="s">
        <v>779</v>
      </c>
      <c r="B2499" s="165" t="s">
        <v>1185</v>
      </c>
      <c r="C2499" s="165" t="s">
        <v>4261</v>
      </c>
      <c r="D2499" s="164">
        <v>1819</v>
      </c>
      <c r="E2499" s="164">
        <v>2030</v>
      </c>
      <c r="F2499" s="164" t="s">
        <v>3404</v>
      </c>
      <c r="G2499" s="164">
        <v>2024</v>
      </c>
      <c r="H2499" s="221">
        <v>45476</v>
      </c>
      <c r="I2499" s="174">
        <v>45481</v>
      </c>
      <c r="J2499" s="181" t="s">
        <v>7445</v>
      </c>
      <c r="K2499" s="174">
        <v>45489</v>
      </c>
      <c r="L2499" s="232" t="s">
        <v>3125</v>
      </c>
      <c r="M2499" s="129" t="s">
        <v>4</v>
      </c>
      <c r="N2499" s="129" t="s">
        <v>50</v>
      </c>
      <c r="O2499" s="129" t="s">
        <v>3406</v>
      </c>
      <c r="P2499" s="146"/>
      <c r="Q2499" s="170">
        <v>45492</v>
      </c>
      <c r="R2499" s="171"/>
      <c r="S2499" s="172"/>
    </row>
    <row r="2500" spans="1:19" ht="42.75">
      <c r="A2500" s="164" t="s">
        <v>779</v>
      </c>
      <c r="B2500" s="165" t="s">
        <v>1185</v>
      </c>
      <c r="C2500" s="165" t="s">
        <v>5951</v>
      </c>
      <c r="D2500" s="164">
        <v>1801</v>
      </c>
      <c r="E2500" s="164">
        <v>2043</v>
      </c>
      <c r="F2500" s="164" t="s">
        <v>3955</v>
      </c>
      <c r="G2500" s="164"/>
      <c r="H2500" s="167"/>
      <c r="I2500" s="167"/>
      <c r="J2500" s="167"/>
      <c r="K2500" s="243"/>
      <c r="L2500" s="129"/>
      <c r="M2500" s="129"/>
      <c r="N2500" s="129"/>
      <c r="O2500" s="129"/>
      <c r="P2500" s="146"/>
      <c r="Q2500" s="170"/>
      <c r="R2500" s="171"/>
      <c r="S2500" s="172"/>
    </row>
    <row r="2501" spans="1:19" ht="42.75">
      <c r="A2501" s="164" t="s">
        <v>779</v>
      </c>
      <c r="B2501" s="165" t="s">
        <v>1185</v>
      </c>
      <c r="C2501" s="165" t="s">
        <v>5953</v>
      </c>
      <c r="D2501" s="164">
        <v>2624</v>
      </c>
      <c r="E2501" s="164">
        <v>2565</v>
      </c>
      <c r="F2501" s="164" t="s">
        <v>3955</v>
      </c>
      <c r="G2501" s="164"/>
      <c r="H2501" s="167"/>
      <c r="I2501" s="167"/>
      <c r="J2501" s="167"/>
      <c r="K2501" s="169"/>
      <c r="L2501" s="129"/>
      <c r="M2501" s="129"/>
      <c r="N2501" s="129"/>
      <c r="O2501" s="129"/>
      <c r="P2501" s="146"/>
      <c r="Q2501" s="170"/>
      <c r="R2501" s="171"/>
      <c r="S2501" s="172"/>
    </row>
    <row r="2502" spans="1:19" ht="42.75">
      <c r="A2502" s="164" t="s">
        <v>779</v>
      </c>
      <c r="B2502" s="165" t="s">
        <v>1185</v>
      </c>
      <c r="C2502" s="165" t="s">
        <v>5955</v>
      </c>
      <c r="D2502" s="164">
        <v>95</v>
      </c>
      <c r="E2502" s="164">
        <v>208</v>
      </c>
      <c r="F2502" s="164" t="s">
        <v>3955</v>
      </c>
      <c r="G2502" s="164"/>
      <c r="H2502" s="167"/>
      <c r="I2502" s="196"/>
      <c r="J2502" s="196"/>
      <c r="K2502" s="242"/>
      <c r="L2502" s="129"/>
      <c r="M2502" s="129"/>
      <c r="N2502" s="129"/>
      <c r="O2502" s="129"/>
      <c r="P2502" s="146"/>
      <c r="Q2502" s="170"/>
      <c r="R2502" s="171"/>
      <c r="S2502" s="172"/>
    </row>
    <row r="2503" spans="1:19" ht="42.75">
      <c r="A2503" s="164" t="s">
        <v>779</v>
      </c>
      <c r="B2503" s="165" t="s">
        <v>1185</v>
      </c>
      <c r="C2503" s="165" t="s">
        <v>5956</v>
      </c>
      <c r="D2503" s="164">
        <v>4547</v>
      </c>
      <c r="E2503" s="164">
        <v>5347</v>
      </c>
      <c r="F2503" s="164" t="s">
        <v>3404</v>
      </c>
      <c r="G2503" s="164">
        <v>2024</v>
      </c>
      <c r="H2503" s="221">
        <v>45541</v>
      </c>
      <c r="I2503" s="174">
        <v>45545</v>
      </c>
      <c r="J2503" s="181" t="s">
        <v>7446</v>
      </c>
      <c r="K2503" s="174">
        <v>45552</v>
      </c>
      <c r="L2503" s="232" t="s">
        <v>3127</v>
      </c>
      <c r="M2503" s="129" t="s">
        <v>4</v>
      </c>
      <c r="N2503" s="129" t="s">
        <v>57</v>
      </c>
      <c r="O2503" s="129" t="s">
        <v>3406</v>
      </c>
      <c r="P2503" s="146"/>
      <c r="Q2503" s="170">
        <v>45552</v>
      </c>
      <c r="R2503" s="171" t="s">
        <v>6643</v>
      </c>
      <c r="S2503" s="172"/>
    </row>
    <row r="2504" spans="1:19" ht="42.75">
      <c r="A2504" s="164" t="s">
        <v>779</v>
      </c>
      <c r="B2504" s="165" t="s">
        <v>1185</v>
      </c>
      <c r="C2504" s="165" t="s">
        <v>1166</v>
      </c>
      <c r="D2504" s="164">
        <v>1882</v>
      </c>
      <c r="E2504" s="164">
        <v>2239</v>
      </c>
      <c r="F2504" s="164" t="s">
        <v>3955</v>
      </c>
      <c r="G2504" s="164"/>
      <c r="H2504" s="167"/>
      <c r="I2504" s="167"/>
      <c r="J2504" s="167"/>
      <c r="K2504" s="243"/>
      <c r="L2504" s="129"/>
      <c r="M2504" s="129"/>
      <c r="N2504" s="129"/>
      <c r="O2504" s="129"/>
      <c r="P2504" s="146"/>
      <c r="Q2504" s="170"/>
      <c r="R2504" s="171"/>
      <c r="S2504" s="172"/>
    </row>
    <row r="2505" spans="1:19" ht="42.75">
      <c r="A2505" s="164" t="s">
        <v>779</v>
      </c>
      <c r="B2505" s="165" t="s">
        <v>1185</v>
      </c>
      <c r="C2505" s="165" t="s">
        <v>5938</v>
      </c>
      <c r="D2505" s="164">
        <v>2560</v>
      </c>
      <c r="E2505" s="164">
        <v>2862</v>
      </c>
      <c r="F2505" s="164" t="s">
        <v>3955</v>
      </c>
      <c r="G2505" s="164"/>
      <c r="H2505" s="167"/>
      <c r="I2505" s="167"/>
      <c r="J2505" s="167"/>
      <c r="K2505" s="169"/>
      <c r="L2505" s="129"/>
      <c r="M2505" s="129"/>
      <c r="N2505" s="129"/>
      <c r="O2505" s="129"/>
      <c r="P2505" s="146"/>
      <c r="Q2505" s="170"/>
      <c r="R2505" s="171"/>
      <c r="S2505" s="172"/>
    </row>
    <row r="2506" spans="1:19" ht="42.75">
      <c r="A2506" s="164" t="s">
        <v>779</v>
      </c>
      <c r="B2506" s="165" t="s">
        <v>1480</v>
      </c>
      <c r="C2506" s="165" t="s">
        <v>5957</v>
      </c>
      <c r="D2506" s="164">
        <v>4428</v>
      </c>
      <c r="E2506" s="164">
        <v>4678</v>
      </c>
      <c r="F2506" s="164" t="s">
        <v>3955</v>
      </c>
      <c r="G2506" s="164"/>
      <c r="H2506" s="167"/>
      <c r="I2506" s="196"/>
      <c r="J2506" s="196"/>
      <c r="K2506" s="242"/>
      <c r="L2506" s="129"/>
      <c r="M2506" s="129"/>
      <c r="N2506" s="129"/>
      <c r="O2506" s="129"/>
      <c r="P2506" s="146"/>
      <c r="Q2506" s="170"/>
      <c r="R2506" s="171"/>
      <c r="S2506" s="172"/>
    </row>
    <row r="2507" spans="1:19" ht="42.75">
      <c r="A2507" s="164" t="s">
        <v>779</v>
      </c>
      <c r="B2507" s="165" t="s">
        <v>1480</v>
      </c>
      <c r="C2507" s="165" t="s">
        <v>5958</v>
      </c>
      <c r="D2507" s="164">
        <v>2845</v>
      </c>
      <c r="E2507" s="164">
        <v>3019</v>
      </c>
      <c r="F2507" s="164" t="s">
        <v>3404</v>
      </c>
      <c r="G2507" s="164">
        <v>2024</v>
      </c>
      <c r="H2507" s="221">
        <v>45482</v>
      </c>
      <c r="I2507" s="174">
        <v>45483</v>
      </c>
      <c r="J2507" s="203" t="s">
        <v>7447</v>
      </c>
      <c r="K2507" s="174">
        <v>45489</v>
      </c>
      <c r="L2507" s="232" t="s">
        <v>3125</v>
      </c>
      <c r="M2507" s="129" t="s">
        <v>4</v>
      </c>
      <c r="N2507" s="129" t="s">
        <v>50</v>
      </c>
      <c r="O2507" s="129" t="s">
        <v>3406</v>
      </c>
      <c r="P2507" s="146"/>
      <c r="Q2507" s="170">
        <v>45490</v>
      </c>
      <c r="R2507" s="171"/>
      <c r="S2507" s="172"/>
    </row>
    <row r="2508" spans="1:19" ht="42.75">
      <c r="A2508" s="164" t="s">
        <v>779</v>
      </c>
      <c r="B2508" s="165" t="s">
        <v>1480</v>
      </c>
      <c r="C2508" s="165" t="s">
        <v>5959</v>
      </c>
      <c r="D2508" s="164">
        <v>2193</v>
      </c>
      <c r="E2508" s="164">
        <v>2573</v>
      </c>
      <c r="F2508" s="164" t="s">
        <v>3955</v>
      </c>
      <c r="G2508" s="164"/>
      <c r="H2508" s="167"/>
      <c r="I2508" s="167"/>
      <c r="J2508" s="167"/>
      <c r="K2508" s="243"/>
      <c r="L2508" s="129"/>
      <c r="M2508" s="129"/>
      <c r="N2508" s="129"/>
      <c r="O2508" s="129"/>
      <c r="P2508" s="146"/>
      <c r="Q2508" s="170"/>
      <c r="R2508" s="171"/>
      <c r="S2508" s="172"/>
    </row>
    <row r="2509" spans="1:19" ht="42.75">
      <c r="A2509" s="164" t="s">
        <v>779</v>
      </c>
      <c r="B2509" s="165" t="s">
        <v>1480</v>
      </c>
      <c r="C2509" s="165" t="s">
        <v>5961</v>
      </c>
      <c r="D2509" s="164">
        <v>1440</v>
      </c>
      <c r="E2509" s="164">
        <v>1790</v>
      </c>
      <c r="F2509" s="164" t="s">
        <v>3955</v>
      </c>
      <c r="G2509" s="164"/>
      <c r="H2509" s="167"/>
      <c r="I2509" s="167"/>
      <c r="J2509" s="167"/>
      <c r="K2509" s="169"/>
      <c r="L2509" s="129"/>
      <c r="M2509" s="129"/>
      <c r="N2509" s="129"/>
      <c r="O2509" s="129"/>
      <c r="P2509" s="146"/>
      <c r="Q2509" s="170"/>
      <c r="R2509" s="171"/>
      <c r="S2509" s="172"/>
    </row>
    <row r="2510" spans="1:19" ht="42.75">
      <c r="A2510" s="164" t="s">
        <v>779</v>
      </c>
      <c r="B2510" s="165" t="s">
        <v>1480</v>
      </c>
      <c r="C2510" s="165" t="s">
        <v>5963</v>
      </c>
      <c r="D2510" s="164">
        <v>1879</v>
      </c>
      <c r="E2510" s="164">
        <v>1842</v>
      </c>
      <c r="F2510" s="164" t="s">
        <v>3955</v>
      </c>
      <c r="G2510" s="164"/>
      <c r="H2510" s="167"/>
      <c r="I2510" s="167"/>
      <c r="J2510" s="167"/>
      <c r="K2510" s="169"/>
      <c r="L2510" s="129"/>
      <c r="M2510" s="129"/>
      <c r="N2510" s="129"/>
      <c r="O2510" s="129"/>
      <c r="P2510" s="146"/>
      <c r="Q2510" s="170"/>
      <c r="R2510" s="171"/>
      <c r="S2510" s="172"/>
    </row>
    <row r="2511" spans="1:19" ht="42.75">
      <c r="A2511" s="164" t="s">
        <v>779</v>
      </c>
      <c r="B2511" s="165" t="s">
        <v>1480</v>
      </c>
      <c r="C2511" s="165" t="s">
        <v>5964</v>
      </c>
      <c r="D2511" s="164">
        <v>2310</v>
      </c>
      <c r="E2511" s="164">
        <v>2835</v>
      </c>
      <c r="F2511" s="164" t="s">
        <v>3955</v>
      </c>
      <c r="G2511" s="164"/>
      <c r="H2511" s="167"/>
      <c r="I2511" s="196"/>
      <c r="J2511" s="196"/>
      <c r="K2511" s="242"/>
      <c r="L2511" s="129"/>
      <c r="M2511" s="129"/>
      <c r="N2511" s="129"/>
      <c r="O2511" s="129"/>
      <c r="P2511" s="146"/>
      <c r="Q2511" s="170"/>
      <c r="R2511" s="171"/>
      <c r="S2511" s="172"/>
    </row>
    <row r="2512" spans="1:19" ht="42.75">
      <c r="A2512" s="164" t="s">
        <v>779</v>
      </c>
      <c r="B2512" s="165" t="s">
        <v>1480</v>
      </c>
      <c r="C2512" s="165" t="s">
        <v>5965</v>
      </c>
      <c r="D2512" s="164">
        <v>2586</v>
      </c>
      <c r="E2512" s="164">
        <v>2856</v>
      </c>
      <c r="F2512" s="164" t="s">
        <v>3404</v>
      </c>
      <c r="G2512" s="164">
        <v>2024</v>
      </c>
      <c r="H2512" s="221">
        <v>45573</v>
      </c>
      <c r="I2512" s="174">
        <v>45573</v>
      </c>
      <c r="J2512" s="181" t="s">
        <v>7448</v>
      </c>
      <c r="K2512" s="174">
        <v>45580</v>
      </c>
      <c r="L2512" s="232" t="s">
        <v>3128</v>
      </c>
      <c r="M2512" s="129" t="s">
        <v>1078</v>
      </c>
      <c r="N2512" s="129" t="s">
        <v>50</v>
      </c>
      <c r="O2512" s="129" t="s">
        <v>3406</v>
      </c>
      <c r="P2512" s="146"/>
      <c r="Q2512" s="170">
        <v>45580</v>
      </c>
      <c r="R2512" s="171" t="s">
        <v>6643</v>
      </c>
      <c r="S2512" s="172"/>
    </row>
    <row r="2513" spans="1:19" ht="42.75">
      <c r="A2513" s="164" t="s">
        <v>779</v>
      </c>
      <c r="B2513" s="165" t="s">
        <v>1480</v>
      </c>
      <c r="C2513" s="165" t="s">
        <v>5966</v>
      </c>
      <c r="D2513" s="164">
        <v>2945</v>
      </c>
      <c r="E2513" s="164">
        <v>3090</v>
      </c>
      <c r="F2513" s="164" t="s">
        <v>3404</v>
      </c>
      <c r="G2513" s="164">
        <v>2024</v>
      </c>
      <c r="H2513" s="221">
        <v>45386</v>
      </c>
      <c r="I2513" s="174">
        <v>45386</v>
      </c>
      <c r="J2513" s="181" t="s">
        <v>7449</v>
      </c>
      <c r="K2513" s="174">
        <v>45397</v>
      </c>
      <c r="L2513" s="232" t="s">
        <v>3470</v>
      </c>
      <c r="M2513" s="129"/>
      <c r="N2513" s="129"/>
      <c r="O2513" s="129" t="s">
        <v>3406</v>
      </c>
      <c r="P2513" s="146"/>
      <c r="Q2513" s="170"/>
      <c r="R2513" s="171"/>
      <c r="S2513" s="172"/>
    </row>
    <row r="2514" spans="1:19" ht="42.75">
      <c r="A2514" s="164" t="s">
        <v>779</v>
      </c>
      <c r="B2514" s="165" t="s">
        <v>1480</v>
      </c>
      <c r="C2514" s="165" t="s">
        <v>5967</v>
      </c>
      <c r="D2514" s="164">
        <v>971</v>
      </c>
      <c r="E2514" s="164">
        <v>1243</v>
      </c>
      <c r="F2514" s="164" t="s">
        <v>3955</v>
      </c>
      <c r="G2514" s="164"/>
      <c r="H2514" s="167"/>
      <c r="I2514" s="167"/>
      <c r="J2514" s="167"/>
      <c r="K2514" s="243"/>
      <c r="L2514" s="129"/>
      <c r="M2514" s="129"/>
      <c r="N2514" s="129"/>
      <c r="O2514" s="129"/>
      <c r="P2514" s="146"/>
      <c r="Q2514" s="170"/>
      <c r="R2514" s="171"/>
      <c r="S2514" s="172"/>
    </row>
    <row r="2515" spans="1:19" ht="42.75">
      <c r="A2515" s="164" t="s">
        <v>779</v>
      </c>
      <c r="B2515" s="165" t="s">
        <v>1480</v>
      </c>
      <c r="C2515" s="165" t="s">
        <v>5968</v>
      </c>
      <c r="D2515" s="164">
        <v>2770</v>
      </c>
      <c r="E2515" s="164">
        <v>2891</v>
      </c>
      <c r="F2515" s="164" t="s">
        <v>3955</v>
      </c>
      <c r="G2515" s="164"/>
      <c r="H2515" s="167"/>
      <c r="I2515" s="196"/>
      <c r="J2515" s="196"/>
      <c r="K2515" s="242"/>
      <c r="L2515" s="129"/>
      <c r="M2515" s="129"/>
      <c r="N2515" s="129"/>
      <c r="O2515" s="129"/>
      <c r="P2515" s="146"/>
      <c r="Q2515" s="170"/>
      <c r="R2515" s="171"/>
      <c r="S2515" s="172"/>
    </row>
    <row r="2516" spans="1:19" ht="42.75">
      <c r="A2516" s="164" t="s">
        <v>779</v>
      </c>
      <c r="B2516" s="165" t="s">
        <v>1480</v>
      </c>
      <c r="C2516" s="165" t="s">
        <v>5970</v>
      </c>
      <c r="D2516" s="164">
        <v>1199</v>
      </c>
      <c r="E2516" s="164">
        <v>1354</v>
      </c>
      <c r="F2516" s="164" t="s">
        <v>3404</v>
      </c>
      <c r="G2516" s="164">
        <v>2024</v>
      </c>
      <c r="H2516" s="221">
        <v>45552</v>
      </c>
      <c r="I2516" s="174">
        <v>45552</v>
      </c>
      <c r="J2516" s="181" t="s">
        <v>7450</v>
      </c>
      <c r="K2516" s="174">
        <v>45553</v>
      </c>
      <c r="L2516" s="232" t="s">
        <v>3127</v>
      </c>
      <c r="M2516" s="129" t="s">
        <v>1078</v>
      </c>
      <c r="N2516" s="129" t="s">
        <v>50</v>
      </c>
      <c r="O2516" s="129" t="s">
        <v>3406</v>
      </c>
      <c r="P2516" s="146"/>
      <c r="Q2516" s="170">
        <v>45554</v>
      </c>
      <c r="R2516" s="171" t="s">
        <v>6643</v>
      </c>
      <c r="S2516" s="172"/>
    </row>
    <row r="2517" spans="1:19" ht="42.75">
      <c r="A2517" s="164" t="s">
        <v>779</v>
      </c>
      <c r="B2517" s="165" t="s">
        <v>1480</v>
      </c>
      <c r="C2517" s="165" t="s">
        <v>5971</v>
      </c>
      <c r="D2517" s="164">
        <v>1662</v>
      </c>
      <c r="E2517" s="164">
        <v>1800</v>
      </c>
      <c r="F2517" s="164" t="s">
        <v>3404</v>
      </c>
      <c r="G2517" s="164">
        <v>2024</v>
      </c>
      <c r="H2517" s="221">
        <v>45456</v>
      </c>
      <c r="I2517" s="174">
        <v>45456</v>
      </c>
      <c r="J2517" s="181" t="s">
        <v>7451</v>
      </c>
      <c r="K2517" s="174">
        <v>45463</v>
      </c>
      <c r="L2517" s="232" t="s">
        <v>4334</v>
      </c>
      <c r="M2517" s="129"/>
      <c r="N2517" s="129"/>
      <c r="O2517" s="129" t="s">
        <v>3406</v>
      </c>
      <c r="P2517" s="146"/>
      <c r="Q2517" s="170">
        <v>45463</v>
      </c>
      <c r="R2517" s="171"/>
      <c r="S2517" s="172"/>
    </row>
    <row r="2518" spans="1:19" ht="42.75">
      <c r="A2518" s="164" t="s">
        <v>779</v>
      </c>
      <c r="B2518" s="165" t="s">
        <v>1480</v>
      </c>
      <c r="C2518" s="165" t="s">
        <v>5972</v>
      </c>
      <c r="D2518" s="164">
        <v>1951</v>
      </c>
      <c r="E2518" s="164">
        <v>2109</v>
      </c>
      <c r="F2518" s="164" t="s">
        <v>3955</v>
      </c>
      <c r="G2518" s="164"/>
      <c r="H2518" s="167"/>
      <c r="I2518" s="167"/>
      <c r="J2518" s="167"/>
      <c r="K2518" s="243"/>
      <c r="L2518" s="129"/>
      <c r="M2518" s="129"/>
      <c r="N2518" s="129"/>
      <c r="O2518" s="129"/>
      <c r="P2518" s="146"/>
      <c r="Q2518" s="170"/>
      <c r="R2518" s="171"/>
      <c r="S2518" s="172"/>
    </row>
    <row r="2519" spans="1:19" ht="42.75">
      <c r="A2519" s="164" t="s">
        <v>779</v>
      </c>
      <c r="B2519" s="165" t="s">
        <v>1480</v>
      </c>
      <c r="C2519" s="165" t="s">
        <v>5974</v>
      </c>
      <c r="D2519" s="164">
        <v>1207</v>
      </c>
      <c r="E2519" s="164">
        <v>1438</v>
      </c>
      <c r="F2519" s="164" t="s">
        <v>3955</v>
      </c>
      <c r="G2519" s="164"/>
      <c r="H2519" s="167"/>
      <c r="I2519" s="196"/>
      <c r="J2519" s="196"/>
      <c r="K2519" s="242"/>
      <c r="L2519" s="129"/>
      <c r="M2519" s="129"/>
      <c r="N2519" s="129"/>
      <c r="O2519" s="129"/>
      <c r="P2519" s="146"/>
      <c r="Q2519" s="170"/>
      <c r="R2519" s="171"/>
      <c r="S2519" s="172"/>
    </row>
    <row r="2520" spans="1:19" ht="42.75">
      <c r="A2520" s="164" t="s">
        <v>779</v>
      </c>
      <c r="B2520" s="165" t="s">
        <v>1480</v>
      </c>
      <c r="C2520" s="165" t="s">
        <v>4774</v>
      </c>
      <c r="D2520" s="164">
        <v>1797</v>
      </c>
      <c r="E2520" s="164">
        <v>2108</v>
      </c>
      <c r="F2520" s="164" t="s">
        <v>3404</v>
      </c>
      <c r="G2520" s="164">
        <v>2024</v>
      </c>
      <c r="H2520" s="221">
        <v>45568</v>
      </c>
      <c r="I2520" s="174">
        <v>45569</v>
      </c>
      <c r="J2520" s="181" t="s">
        <v>7452</v>
      </c>
      <c r="K2520" s="174">
        <v>45574</v>
      </c>
      <c r="L2520" s="232" t="s">
        <v>3128</v>
      </c>
      <c r="M2520" s="129" t="s">
        <v>4</v>
      </c>
      <c r="N2520" s="129" t="s">
        <v>50</v>
      </c>
      <c r="O2520" s="129" t="s">
        <v>3406</v>
      </c>
      <c r="P2520" s="146"/>
      <c r="Q2520" s="189">
        <v>45575</v>
      </c>
      <c r="R2520" s="115" t="s">
        <v>6643</v>
      </c>
      <c r="S2520" s="163"/>
    </row>
    <row r="2521" spans="1:19" ht="42.75">
      <c r="A2521" s="164" t="s">
        <v>779</v>
      </c>
      <c r="B2521" s="165" t="s">
        <v>1480</v>
      </c>
      <c r="C2521" s="165" t="s">
        <v>4969</v>
      </c>
      <c r="D2521" s="164">
        <v>1573</v>
      </c>
      <c r="E2521" s="164">
        <v>1856</v>
      </c>
      <c r="F2521" s="164" t="s">
        <v>3955</v>
      </c>
      <c r="G2521" s="164"/>
      <c r="H2521" s="167"/>
      <c r="I2521" s="167"/>
      <c r="J2521" s="167"/>
      <c r="K2521" s="243"/>
      <c r="L2521" s="129"/>
      <c r="M2521" s="129"/>
      <c r="N2521" s="129"/>
      <c r="O2521" s="129"/>
      <c r="P2521" s="146"/>
      <c r="Q2521" s="170"/>
      <c r="R2521" s="171"/>
      <c r="S2521" s="172"/>
    </row>
    <row r="2522" spans="1:19" ht="42.75">
      <c r="A2522" s="164" t="s">
        <v>779</v>
      </c>
      <c r="B2522" s="165" t="s">
        <v>1480</v>
      </c>
      <c r="C2522" s="165" t="s">
        <v>5975</v>
      </c>
      <c r="D2522" s="164">
        <v>4627</v>
      </c>
      <c r="E2522" s="164">
        <v>4898</v>
      </c>
      <c r="F2522" s="164" t="s">
        <v>3955</v>
      </c>
      <c r="G2522" s="164"/>
      <c r="H2522" s="167"/>
      <c r="I2522" s="167"/>
      <c r="J2522" s="167"/>
      <c r="K2522" s="169"/>
      <c r="L2522" s="129"/>
      <c r="M2522" s="129"/>
      <c r="N2522" s="129"/>
      <c r="O2522" s="129"/>
      <c r="P2522" s="146"/>
      <c r="Q2522" s="170"/>
      <c r="R2522" s="171"/>
      <c r="S2522" s="172"/>
    </row>
    <row r="2523" spans="1:19" ht="42.75">
      <c r="A2523" s="164" t="s">
        <v>779</v>
      </c>
      <c r="B2523" s="165" t="s">
        <v>1480</v>
      </c>
      <c r="C2523" s="165" t="s">
        <v>5976</v>
      </c>
      <c r="D2523" s="164">
        <v>1481</v>
      </c>
      <c r="E2523" s="164">
        <v>1637</v>
      </c>
      <c r="F2523" s="164" t="s">
        <v>3955</v>
      </c>
      <c r="G2523" s="164"/>
      <c r="H2523" s="167"/>
      <c r="I2523" s="167"/>
      <c r="J2523" s="167"/>
      <c r="K2523" s="169"/>
      <c r="L2523" s="129"/>
      <c r="M2523" s="129"/>
      <c r="N2523" s="129"/>
      <c r="O2523" s="129"/>
      <c r="P2523" s="146"/>
      <c r="Q2523" s="170"/>
      <c r="R2523" s="171"/>
      <c r="S2523" s="172"/>
    </row>
    <row r="2524" spans="1:19" ht="42.75">
      <c r="A2524" s="164" t="s">
        <v>779</v>
      </c>
      <c r="B2524" s="165" t="s">
        <v>1480</v>
      </c>
      <c r="C2524" s="165" t="s">
        <v>5977</v>
      </c>
      <c r="D2524" s="164">
        <v>1327</v>
      </c>
      <c r="E2524" s="164">
        <v>1522</v>
      </c>
      <c r="F2524" s="164" t="s">
        <v>3955</v>
      </c>
      <c r="G2524" s="164"/>
      <c r="H2524" s="167"/>
      <c r="I2524" s="167"/>
      <c r="J2524" s="167"/>
      <c r="K2524" s="169"/>
      <c r="L2524" s="129"/>
      <c r="M2524" s="129"/>
      <c r="N2524" s="129"/>
      <c r="O2524" s="129"/>
      <c r="P2524" s="146"/>
      <c r="Q2524" s="170"/>
      <c r="R2524" s="171"/>
      <c r="S2524" s="172"/>
    </row>
    <row r="2525" spans="1:19" ht="42.75">
      <c r="A2525" s="164" t="s">
        <v>779</v>
      </c>
      <c r="B2525" s="165" t="s">
        <v>1480</v>
      </c>
      <c r="C2525" s="165" t="s">
        <v>5978</v>
      </c>
      <c r="D2525" s="164">
        <v>1606</v>
      </c>
      <c r="E2525" s="164">
        <v>1826</v>
      </c>
      <c r="F2525" s="164" t="s">
        <v>3955</v>
      </c>
      <c r="G2525" s="164"/>
      <c r="H2525" s="167"/>
      <c r="I2525" s="167"/>
      <c r="J2525" s="167"/>
      <c r="K2525" s="169"/>
      <c r="L2525" s="129"/>
      <c r="M2525" s="129"/>
      <c r="N2525" s="129"/>
      <c r="O2525" s="129"/>
      <c r="P2525" s="146"/>
      <c r="Q2525" s="170"/>
      <c r="R2525" s="171"/>
      <c r="S2525" s="172"/>
    </row>
    <row r="2526" spans="1:19" ht="42.75">
      <c r="A2526" s="164" t="s">
        <v>779</v>
      </c>
      <c r="B2526" s="165" t="s">
        <v>1480</v>
      </c>
      <c r="C2526" s="165" t="s">
        <v>5979</v>
      </c>
      <c r="D2526" s="164">
        <v>1113</v>
      </c>
      <c r="E2526" s="164">
        <v>1233</v>
      </c>
      <c r="F2526" s="164" t="s">
        <v>3955</v>
      </c>
      <c r="G2526" s="164"/>
      <c r="H2526" s="167"/>
      <c r="I2526" s="167"/>
      <c r="J2526" s="167"/>
      <c r="K2526" s="169"/>
      <c r="L2526" s="129"/>
      <c r="M2526" s="129"/>
      <c r="N2526" s="129"/>
      <c r="O2526" s="129"/>
      <c r="P2526" s="146"/>
      <c r="Q2526" s="170"/>
      <c r="R2526" s="171"/>
      <c r="S2526" s="172"/>
    </row>
    <row r="2527" spans="1:19" ht="42.75">
      <c r="A2527" s="164" t="s">
        <v>779</v>
      </c>
      <c r="B2527" s="165" t="s">
        <v>1480</v>
      </c>
      <c r="C2527" s="165" t="s">
        <v>5981</v>
      </c>
      <c r="D2527" s="164">
        <v>1172</v>
      </c>
      <c r="E2527" s="164">
        <v>1110</v>
      </c>
      <c r="F2527" s="164" t="s">
        <v>3955</v>
      </c>
      <c r="G2527" s="164"/>
      <c r="H2527" s="167"/>
      <c r="I2527" s="167"/>
      <c r="J2527" s="167"/>
      <c r="K2527" s="169"/>
      <c r="L2527" s="129"/>
      <c r="M2527" s="129"/>
      <c r="N2527" s="129"/>
      <c r="O2527" s="129"/>
      <c r="P2527" s="146"/>
      <c r="Q2527" s="170"/>
      <c r="R2527" s="171"/>
      <c r="S2527" s="172"/>
    </row>
    <row r="2528" spans="1:19" ht="42.75">
      <c r="A2528" s="164" t="s">
        <v>779</v>
      </c>
      <c r="B2528" s="165" t="s">
        <v>1480</v>
      </c>
      <c r="C2528" s="165" t="s">
        <v>5982</v>
      </c>
      <c r="D2528" s="164">
        <v>1334</v>
      </c>
      <c r="E2528" s="164">
        <v>1327</v>
      </c>
      <c r="F2528" s="164" t="s">
        <v>3955</v>
      </c>
      <c r="G2528" s="164"/>
      <c r="H2528" s="167"/>
      <c r="I2528" s="196"/>
      <c r="J2528" s="196"/>
      <c r="K2528" s="242"/>
      <c r="L2528" s="129"/>
      <c r="M2528" s="129"/>
      <c r="N2528" s="129"/>
      <c r="O2528" s="129"/>
      <c r="P2528" s="146"/>
      <c r="Q2528" s="170"/>
      <c r="R2528" s="171"/>
      <c r="S2528" s="172"/>
    </row>
    <row r="2529" spans="1:19" ht="42.75">
      <c r="A2529" s="164" t="s">
        <v>779</v>
      </c>
      <c r="B2529" s="165" t="s">
        <v>1480</v>
      </c>
      <c r="C2529" s="165" t="s">
        <v>5983</v>
      </c>
      <c r="D2529" s="164">
        <v>2904</v>
      </c>
      <c r="E2529" s="164">
        <v>3271</v>
      </c>
      <c r="F2529" s="164" t="s">
        <v>3404</v>
      </c>
      <c r="G2529" s="164">
        <v>2024</v>
      </c>
      <c r="H2529" s="221">
        <v>45544</v>
      </c>
      <c r="I2529" s="174">
        <v>45546</v>
      </c>
      <c r="J2529" s="181" t="s">
        <v>7453</v>
      </c>
      <c r="K2529" s="174">
        <v>45552</v>
      </c>
      <c r="L2529" s="232" t="s">
        <v>3127</v>
      </c>
      <c r="M2529" s="129" t="s">
        <v>1078</v>
      </c>
      <c r="N2529" s="129" t="s">
        <v>50</v>
      </c>
      <c r="O2529" s="129" t="s">
        <v>3406</v>
      </c>
      <c r="P2529" s="146"/>
      <c r="Q2529" s="170">
        <v>45552</v>
      </c>
      <c r="R2529" s="171" t="s">
        <v>6643</v>
      </c>
      <c r="S2529" s="172"/>
    </row>
    <row r="2530" spans="1:19" ht="42.75">
      <c r="A2530" s="164" t="s">
        <v>779</v>
      </c>
      <c r="B2530" s="165" t="s">
        <v>1480</v>
      </c>
      <c r="C2530" s="165" t="s">
        <v>5984</v>
      </c>
      <c r="D2530" s="164">
        <v>3775</v>
      </c>
      <c r="E2530" s="164">
        <v>3701</v>
      </c>
      <c r="F2530" s="164" t="s">
        <v>3955</v>
      </c>
      <c r="G2530" s="164"/>
      <c r="H2530" s="167"/>
      <c r="I2530" s="167"/>
      <c r="J2530" s="167"/>
      <c r="K2530" s="243"/>
      <c r="L2530" s="129"/>
      <c r="M2530" s="129"/>
      <c r="N2530" s="129"/>
      <c r="O2530" s="129"/>
      <c r="P2530" s="146"/>
      <c r="Q2530" s="170"/>
      <c r="R2530" s="171"/>
      <c r="S2530" s="172"/>
    </row>
    <row r="2531" spans="1:19" ht="42.75">
      <c r="A2531" s="164" t="s">
        <v>779</v>
      </c>
      <c r="B2531" s="165" t="s">
        <v>1480</v>
      </c>
      <c r="C2531" s="165" t="s">
        <v>5985</v>
      </c>
      <c r="D2531" s="164">
        <v>1444</v>
      </c>
      <c r="E2531" s="164">
        <v>1589</v>
      </c>
      <c r="F2531" s="164" t="s">
        <v>3955</v>
      </c>
      <c r="G2531" s="164"/>
      <c r="H2531" s="167"/>
      <c r="I2531" s="196"/>
      <c r="J2531" s="196"/>
      <c r="K2531" s="242"/>
      <c r="L2531" s="129"/>
      <c r="M2531" s="129"/>
      <c r="N2531" s="129"/>
      <c r="O2531" s="129"/>
      <c r="P2531" s="146"/>
      <c r="Q2531" s="170"/>
      <c r="R2531" s="171"/>
      <c r="S2531" s="172"/>
    </row>
    <row r="2532" spans="1:19" ht="42.75">
      <c r="A2532" s="164" t="s">
        <v>779</v>
      </c>
      <c r="B2532" s="165" t="s">
        <v>1480</v>
      </c>
      <c r="C2532" s="165" t="s">
        <v>5987</v>
      </c>
      <c r="D2532" s="164">
        <v>2755</v>
      </c>
      <c r="E2532" s="164">
        <v>2986</v>
      </c>
      <c r="F2532" s="164" t="s">
        <v>3404</v>
      </c>
      <c r="G2532" s="164">
        <v>2024</v>
      </c>
      <c r="H2532" s="221">
        <v>45602</v>
      </c>
      <c r="I2532" s="174">
        <v>45602</v>
      </c>
      <c r="J2532" s="181" t="s">
        <v>7454</v>
      </c>
      <c r="K2532" s="174">
        <v>45613</v>
      </c>
      <c r="L2532" s="232" t="s">
        <v>3129</v>
      </c>
      <c r="M2532" s="129" t="s">
        <v>1078</v>
      </c>
      <c r="N2532" s="129" t="s">
        <v>50</v>
      </c>
      <c r="O2532" s="129" t="s">
        <v>3406</v>
      </c>
      <c r="P2532" s="146"/>
      <c r="Q2532" s="170">
        <v>45614</v>
      </c>
      <c r="R2532" s="171" t="s">
        <v>7058</v>
      </c>
      <c r="S2532" s="172"/>
    </row>
    <row r="2533" spans="1:19" ht="42.75">
      <c r="A2533" s="164" t="s">
        <v>779</v>
      </c>
      <c r="B2533" s="165" t="s">
        <v>1480</v>
      </c>
      <c r="C2533" s="165" t="s">
        <v>5988</v>
      </c>
      <c r="D2533" s="164">
        <v>1151</v>
      </c>
      <c r="E2533" s="164">
        <v>1017</v>
      </c>
      <c r="F2533" s="164" t="s">
        <v>3404</v>
      </c>
      <c r="G2533" s="164">
        <v>2024</v>
      </c>
      <c r="H2533" s="175">
        <v>45386</v>
      </c>
      <c r="I2533" s="175">
        <v>45386</v>
      </c>
      <c r="J2533" s="168" t="s">
        <v>7455</v>
      </c>
      <c r="K2533" s="212">
        <v>45397</v>
      </c>
      <c r="L2533" s="129" t="s">
        <v>3470</v>
      </c>
      <c r="M2533" s="129"/>
      <c r="N2533" s="129"/>
      <c r="O2533" s="129" t="s">
        <v>3406</v>
      </c>
      <c r="P2533" s="146"/>
      <c r="Q2533" s="170"/>
      <c r="R2533" s="171"/>
      <c r="S2533" s="172"/>
    </row>
    <row r="2534" spans="1:19" ht="42.75">
      <c r="A2534" s="164" t="s">
        <v>779</v>
      </c>
      <c r="B2534" s="165" t="s">
        <v>1480</v>
      </c>
      <c r="C2534" s="165" t="s">
        <v>5989</v>
      </c>
      <c r="D2534" s="164">
        <v>2082</v>
      </c>
      <c r="E2534" s="164">
        <v>2081</v>
      </c>
      <c r="F2534" s="164" t="s">
        <v>3955</v>
      </c>
      <c r="G2534" s="164"/>
      <c r="H2534" s="167"/>
      <c r="I2534" s="167"/>
      <c r="J2534" s="167"/>
      <c r="K2534" s="169"/>
      <c r="L2534" s="129"/>
      <c r="M2534" s="129"/>
      <c r="N2534" s="129"/>
      <c r="O2534" s="129"/>
      <c r="P2534" s="146"/>
      <c r="Q2534" s="170"/>
      <c r="R2534" s="171"/>
      <c r="S2534" s="172"/>
    </row>
    <row r="2535" spans="1:19" ht="42.75">
      <c r="A2535" s="164" t="s">
        <v>779</v>
      </c>
      <c r="B2535" s="165" t="s">
        <v>1480</v>
      </c>
      <c r="C2535" s="165" t="s">
        <v>1295</v>
      </c>
      <c r="D2535" s="164">
        <v>1264</v>
      </c>
      <c r="E2535" s="164">
        <v>1279</v>
      </c>
      <c r="F2535" s="164" t="s">
        <v>3955</v>
      </c>
      <c r="G2535" s="164"/>
      <c r="H2535" s="167"/>
      <c r="I2535" s="167"/>
      <c r="J2535" s="167"/>
      <c r="K2535" s="169"/>
      <c r="L2535" s="129"/>
      <c r="M2535" s="129"/>
      <c r="N2535" s="129"/>
      <c r="O2535" s="129"/>
      <c r="P2535" s="146"/>
      <c r="Q2535" s="170"/>
      <c r="R2535" s="171"/>
      <c r="S2535" s="172"/>
    </row>
    <row r="2536" spans="1:19" ht="42.75">
      <c r="A2536" s="164" t="s">
        <v>779</v>
      </c>
      <c r="B2536" s="165" t="s">
        <v>1480</v>
      </c>
      <c r="C2536" s="165" t="s">
        <v>1299</v>
      </c>
      <c r="D2536" s="164">
        <v>1331</v>
      </c>
      <c r="E2536" s="164">
        <v>1592</v>
      </c>
      <c r="F2536" s="164" t="s">
        <v>3955</v>
      </c>
      <c r="G2536" s="164"/>
      <c r="H2536" s="167"/>
      <c r="I2536" s="167"/>
      <c r="J2536" s="167"/>
      <c r="K2536" s="169"/>
      <c r="L2536" s="129"/>
      <c r="M2536" s="129"/>
      <c r="N2536" s="129"/>
      <c r="O2536" s="129"/>
      <c r="P2536" s="146"/>
      <c r="Q2536" s="170"/>
      <c r="R2536" s="171"/>
      <c r="S2536" s="172"/>
    </row>
    <row r="2537" spans="1:19" ht="42.75">
      <c r="A2537" s="164" t="s">
        <v>779</v>
      </c>
      <c r="B2537" s="165" t="s">
        <v>1480</v>
      </c>
      <c r="C2537" s="165" t="s">
        <v>4475</v>
      </c>
      <c r="D2537" s="164">
        <v>2981</v>
      </c>
      <c r="E2537" s="164">
        <v>3050</v>
      </c>
      <c r="F2537" s="164" t="s">
        <v>3404</v>
      </c>
      <c r="G2537" s="164">
        <v>2024</v>
      </c>
      <c r="H2537" s="175">
        <v>45386</v>
      </c>
      <c r="I2537" s="175">
        <v>45386</v>
      </c>
      <c r="J2537" s="168" t="s">
        <v>7456</v>
      </c>
      <c r="K2537" s="174">
        <v>45397</v>
      </c>
      <c r="L2537" s="129" t="s">
        <v>3470</v>
      </c>
      <c r="M2537" s="129"/>
      <c r="N2537" s="129"/>
      <c r="O2537" s="129" t="s">
        <v>3406</v>
      </c>
      <c r="P2537" s="146"/>
      <c r="Q2537" s="170"/>
      <c r="R2537" s="171"/>
      <c r="S2537" s="172"/>
    </row>
    <row r="2538" spans="1:19" ht="42.75">
      <c r="A2538" s="164" t="s">
        <v>779</v>
      </c>
      <c r="B2538" s="165" t="s">
        <v>1480</v>
      </c>
      <c r="C2538" s="165" t="s">
        <v>4126</v>
      </c>
      <c r="D2538" s="164">
        <v>1463</v>
      </c>
      <c r="E2538" s="164">
        <v>1779</v>
      </c>
      <c r="F2538" s="164" t="s">
        <v>3404</v>
      </c>
      <c r="G2538" s="164">
        <v>2024</v>
      </c>
      <c r="H2538" s="175">
        <v>45608</v>
      </c>
      <c r="I2538" s="175">
        <v>45609</v>
      </c>
      <c r="J2538" s="168" t="s">
        <v>7457</v>
      </c>
      <c r="K2538" s="174">
        <v>45616</v>
      </c>
      <c r="L2538" s="129" t="s">
        <v>3129</v>
      </c>
      <c r="M2538" s="129" t="s">
        <v>1078</v>
      </c>
      <c r="N2538" s="129" t="s">
        <v>50</v>
      </c>
      <c r="O2538" s="129" t="s">
        <v>3406</v>
      </c>
      <c r="P2538" s="146"/>
      <c r="Q2538" s="170">
        <v>45616</v>
      </c>
      <c r="R2538" s="171" t="s">
        <v>7058</v>
      </c>
      <c r="S2538" s="172"/>
    </row>
    <row r="2539" spans="1:19" ht="42.75">
      <c r="A2539" s="164" t="s">
        <v>779</v>
      </c>
      <c r="B2539" s="165" t="s">
        <v>1480</v>
      </c>
      <c r="C2539" s="165" t="s">
        <v>914</v>
      </c>
      <c r="D2539" s="164">
        <v>3106</v>
      </c>
      <c r="E2539" s="164">
        <v>3186</v>
      </c>
      <c r="F2539" s="164" t="s">
        <v>3955</v>
      </c>
      <c r="G2539" s="164"/>
      <c r="H2539" s="167"/>
      <c r="I2539" s="167"/>
      <c r="J2539" s="167"/>
      <c r="K2539" s="169"/>
      <c r="L2539" s="129"/>
      <c r="M2539" s="129"/>
      <c r="N2539" s="129"/>
      <c r="O2539" s="129"/>
      <c r="P2539" s="146"/>
      <c r="Q2539" s="170"/>
      <c r="R2539" s="171"/>
      <c r="S2539" s="172"/>
    </row>
    <row r="2540" spans="1:19" ht="42.75">
      <c r="A2540" s="164" t="s">
        <v>779</v>
      </c>
      <c r="B2540" s="165" t="s">
        <v>1480</v>
      </c>
      <c r="C2540" s="165" t="s">
        <v>5756</v>
      </c>
      <c r="D2540" s="164">
        <v>1065</v>
      </c>
      <c r="E2540" s="164">
        <v>1212</v>
      </c>
      <c r="F2540" s="164" t="s">
        <v>3955</v>
      </c>
      <c r="G2540" s="164"/>
      <c r="H2540" s="167"/>
      <c r="I2540" s="167"/>
      <c r="J2540" s="167"/>
      <c r="K2540" s="169"/>
      <c r="L2540" s="129"/>
      <c r="M2540" s="129"/>
      <c r="N2540" s="129"/>
      <c r="O2540" s="129"/>
      <c r="P2540" s="146"/>
      <c r="Q2540" s="170"/>
      <c r="R2540" s="171"/>
      <c r="S2540" s="172"/>
    </row>
    <row r="2541" spans="1:19" ht="42.75">
      <c r="A2541" s="164" t="s">
        <v>779</v>
      </c>
      <c r="B2541" s="165" t="s">
        <v>1480</v>
      </c>
      <c r="C2541" s="165" t="s">
        <v>858</v>
      </c>
      <c r="D2541" s="164">
        <v>1244</v>
      </c>
      <c r="E2541" s="164">
        <v>1492</v>
      </c>
      <c r="F2541" s="164" t="s">
        <v>3955</v>
      </c>
      <c r="G2541" s="164"/>
      <c r="H2541" s="167"/>
      <c r="I2541" s="167"/>
      <c r="J2541" s="167"/>
      <c r="K2541" s="169"/>
      <c r="L2541" s="129"/>
      <c r="M2541" s="129"/>
      <c r="N2541" s="129"/>
      <c r="O2541" s="129"/>
      <c r="P2541" s="146"/>
      <c r="Q2541" s="170"/>
      <c r="R2541" s="171"/>
      <c r="S2541" s="172"/>
    </row>
    <row r="2542" spans="1:19" ht="42.75">
      <c r="A2542" s="164" t="s">
        <v>779</v>
      </c>
      <c r="B2542" s="165" t="s">
        <v>1480</v>
      </c>
      <c r="C2542" s="165" t="s">
        <v>3565</v>
      </c>
      <c r="D2542" s="164">
        <v>778</v>
      </c>
      <c r="E2542" s="164">
        <v>903</v>
      </c>
      <c r="F2542" s="164" t="s">
        <v>3955</v>
      </c>
      <c r="G2542" s="164"/>
      <c r="H2542" s="167"/>
      <c r="I2542" s="167"/>
      <c r="J2542" s="167"/>
      <c r="K2542" s="169"/>
      <c r="L2542" s="129"/>
      <c r="M2542" s="129"/>
      <c r="N2542" s="129"/>
      <c r="O2542" s="129"/>
      <c r="P2542" s="146"/>
      <c r="Q2542" s="170"/>
      <c r="R2542" s="171"/>
      <c r="S2542" s="172"/>
    </row>
    <row r="2543" spans="1:19" ht="42.75">
      <c r="A2543" s="164" t="s">
        <v>779</v>
      </c>
      <c r="B2543" s="165" t="s">
        <v>1480</v>
      </c>
      <c r="C2543" s="165" t="s">
        <v>1170</v>
      </c>
      <c r="D2543" s="164">
        <v>2082</v>
      </c>
      <c r="E2543" s="164">
        <v>2283</v>
      </c>
      <c r="F2543" s="164" t="s">
        <v>3955</v>
      </c>
      <c r="G2543" s="164"/>
      <c r="H2543" s="167"/>
      <c r="I2543" s="167"/>
      <c r="J2543" s="167"/>
      <c r="K2543" s="169"/>
      <c r="L2543" s="129"/>
      <c r="M2543" s="129"/>
      <c r="N2543" s="129"/>
      <c r="O2543" s="129"/>
      <c r="P2543" s="146"/>
      <c r="Q2543" s="170"/>
      <c r="R2543" s="171"/>
      <c r="S2543" s="172"/>
    </row>
    <row r="2544" spans="1:19" ht="42.75">
      <c r="A2544" s="164" t="s">
        <v>779</v>
      </c>
      <c r="B2544" s="165" t="s">
        <v>1480</v>
      </c>
      <c r="C2544" s="165" t="s">
        <v>5994</v>
      </c>
      <c r="D2544" s="164">
        <v>1416</v>
      </c>
      <c r="E2544" s="164">
        <v>1573</v>
      </c>
      <c r="F2544" s="164" t="s">
        <v>3404</v>
      </c>
      <c r="G2544" s="164">
        <v>2024</v>
      </c>
      <c r="H2544" s="175">
        <v>45602</v>
      </c>
      <c r="I2544" s="175">
        <v>45602</v>
      </c>
      <c r="J2544" s="168" t="s">
        <v>7458</v>
      </c>
      <c r="K2544" s="174">
        <v>45613</v>
      </c>
      <c r="L2544" s="129" t="s">
        <v>3129</v>
      </c>
      <c r="M2544" s="129" t="s">
        <v>4</v>
      </c>
      <c r="N2544" s="129" t="s">
        <v>50</v>
      </c>
      <c r="O2544" s="129" t="s">
        <v>3406</v>
      </c>
      <c r="P2544" s="146"/>
      <c r="Q2544" s="170">
        <v>45614</v>
      </c>
      <c r="R2544" s="171" t="s">
        <v>7058</v>
      </c>
      <c r="S2544" s="172"/>
    </row>
    <row r="2545" spans="1:19" ht="42.75">
      <c r="A2545" s="164" t="s">
        <v>779</v>
      </c>
      <c r="B2545" s="165" t="s">
        <v>1480</v>
      </c>
      <c r="C2545" s="165" t="s">
        <v>5995</v>
      </c>
      <c r="D2545" s="164">
        <v>1695</v>
      </c>
      <c r="E2545" s="164">
        <v>1528</v>
      </c>
      <c r="F2545" s="164" t="s">
        <v>3955</v>
      </c>
      <c r="G2545" s="164"/>
      <c r="H2545" s="167"/>
      <c r="I2545" s="167"/>
      <c r="J2545" s="167"/>
      <c r="K2545" s="169"/>
      <c r="L2545" s="129"/>
      <c r="M2545" s="129"/>
      <c r="N2545" s="129"/>
      <c r="O2545" s="129"/>
      <c r="P2545" s="146"/>
      <c r="Q2545" s="170"/>
      <c r="R2545" s="171"/>
      <c r="S2545" s="172"/>
    </row>
    <row r="2546" spans="1:19" ht="42.75">
      <c r="A2546" s="164" t="s">
        <v>779</v>
      </c>
      <c r="B2546" s="165" t="s">
        <v>1480</v>
      </c>
      <c r="C2546" s="165" t="s">
        <v>5996</v>
      </c>
      <c r="D2546" s="164">
        <v>1627</v>
      </c>
      <c r="E2546" s="164">
        <v>1732</v>
      </c>
      <c r="F2546" s="164" t="s">
        <v>3404</v>
      </c>
      <c r="G2546" s="164">
        <v>2024</v>
      </c>
      <c r="H2546" s="175">
        <v>45603</v>
      </c>
      <c r="I2546" s="175">
        <v>45609</v>
      </c>
      <c r="J2546" s="168" t="s">
        <v>7459</v>
      </c>
      <c r="K2546" s="174">
        <v>45616</v>
      </c>
      <c r="L2546" s="129" t="s">
        <v>3129</v>
      </c>
      <c r="M2546" s="129" t="s">
        <v>4</v>
      </c>
      <c r="N2546" s="129" t="s">
        <v>50</v>
      </c>
      <c r="O2546" s="129" t="s">
        <v>3406</v>
      </c>
      <c r="P2546" s="146"/>
      <c r="Q2546" s="170">
        <v>45616</v>
      </c>
      <c r="R2546" s="171" t="s">
        <v>7058</v>
      </c>
      <c r="S2546" s="172"/>
    </row>
    <row r="2547" spans="1:19" ht="42.75">
      <c r="A2547" s="164" t="s">
        <v>779</v>
      </c>
      <c r="B2547" s="165" t="s">
        <v>1480</v>
      </c>
      <c r="C2547" s="165" t="s">
        <v>1481</v>
      </c>
      <c r="D2547" s="164">
        <v>4586</v>
      </c>
      <c r="E2547" s="164">
        <v>4461</v>
      </c>
      <c r="F2547" s="164" t="s">
        <v>3955</v>
      </c>
      <c r="G2547" s="164"/>
      <c r="H2547" s="167"/>
      <c r="I2547" s="167"/>
      <c r="J2547" s="167"/>
      <c r="K2547" s="169"/>
      <c r="L2547" s="129"/>
      <c r="M2547" s="129"/>
      <c r="N2547" s="129"/>
      <c r="O2547" s="129"/>
      <c r="P2547" s="146"/>
      <c r="Q2547" s="170"/>
      <c r="R2547" s="171"/>
      <c r="S2547" s="172"/>
    </row>
    <row r="2548" spans="1:19" ht="42.75">
      <c r="A2548" s="164" t="s">
        <v>779</v>
      </c>
      <c r="B2548" s="165" t="s">
        <v>1480</v>
      </c>
      <c r="C2548" s="165" t="s">
        <v>5997</v>
      </c>
      <c r="D2548" s="164">
        <v>750</v>
      </c>
      <c r="E2548" s="164">
        <v>917</v>
      </c>
      <c r="F2548" s="164" t="s">
        <v>3955</v>
      </c>
      <c r="G2548" s="164"/>
      <c r="H2548" s="167"/>
      <c r="I2548" s="167"/>
      <c r="J2548" s="167"/>
      <c r="K2548" s="169"/>
      <c r="L2548" s="129"/>
      <c r="M2548" s="129"/>
      <c r="N2548" s="129"/>
      <c r="O2548" s="129"/>
      <c r="P2548" s="146"/>
      <c r="Q2548" s="170"/>
      <c r="R2548" s="171"/>
      <c r="S2548" s="172"/>
    </row>
    <row r="2549" spans="1:19" ht="42.75">
      <c r="A2549" s="164" t="s">
        <v>779</v>
      </c>
      <c r="B2549" s="165" t="s">
        <v>1480</v>
      </c>
      <c r="C2549" s="165" t="s">
        <v>5998</v>
      </c>
      <c r="D2549" s="164">
        <v>1616</v>
      </c>
      <c r="E2549" s="164">
        <v>1818</v>
      </c>
      <c r="F2549" s="164" t="s">
        <v>3955</v>
      </c>
      <c r="G2549" s="164"/>
      <c r="H2549" s="167"/>
      <c r="I2549" s="167"/>
      <c r="J2549" s="167"/>
      <c r="K2549" s="169"/>
      <c r="L2549" s="129"/>
      <c r="M2549" s="129"/>
      <c r="N2549" s="129"/>
      <c r="O2549" s="129"/>
      <c r="P2549" s="146"/>
      <c r="Q2549" s="170"/>
      <c r="R2549" s="171"/>
      <c r="S2549" s="172"/>
    </row>
    <row r="2550" spans="1:19" ht="42.75">
      <c r="A2550" s="164" t="s">
        <v>779</v>
      </c>
      <c r="B2550" s="165" t="s">
        <v>5396</v>
      </c>
      <c r="C2550" s="165" t="s">
        <v>6001</v>
      </c>
      <c r="D2550" s="164">
        <v>2338</v>
      </c>
      <c r="E2550" s="164">
        <v>2572</v>
      </c>
      <c r="F2550" s="164" t="s">
        <v>3955</v>
      </c>
      <c r="G2550" s="164"/>
      <c r="H2550" s="167"/>
      <c r="I2550" s="167"/>
      <c r="J2550" s="167"/>
      <c r="K2550" s="169"/>
      <c r="L2550" s="129"/>
      <c r="M2550" s="129"/>
      <c r="N2550" s="129"/>
      <c r="O2550" s="129"/>
      <c r="P2550" s="146"/>
      <c r="Q2550" s="170"/>
      <c r="R2550" s="171"/>
      <c r="S2550" s="172"/>
    </row>
    <row r="2551" spans="1:19" ht="42.75">
      <c r="A2551" s="164" t="s">
        <v>779</v>
      </c>
      <c r="B2551" s="165" t="s">
        <v>5396</v>
      </c>
      <c r="C2551" s="165" t="s">
        <v>7460</v>
      </c>
      <c r="D2551" s="164">
        <v>2790</v>
      </c>
      <c r="E2551" s="164">
        <v>3058</v>
      </c>
      <c r="F2551" s="164" t="s">
        <v>3955</v>
      </c>
      <c r="G2551" s="164"/>
      <c r="H2551" s="167"/>
      <c r="I2551" s="167"/>
      <c r="J2551" s="167"/>
      <c r="K2551" s="169"/>
      <c r="L2551" s="129"/>
      <c r="M2551" s="129"/>
      <c r="N2551" s="129"/>
      <c r="O2551" s="129"/>
      <c r="P2551" s="146"/>
      <c r="Q2551" s="170"/>
      <c r="R2551" s="171"/>
      <c r="S2551" s="172"/>
    </row>
    <row r="2552" spans="1:19" ht="42.75">
      <c r="A2552" s="164" t="s">
        <v>779</v>
      </c>
      <c r="B2552" s="165" t="s">
        <v>5396</v>
      </c>
      <c r="C2552" s="165" t="s">
        <v>6004</v>
      </c>
      <c r="D2552" s="164">
        <v>4212</v>
      </c>
      <c r="E2552" s="164">
        <v>4378</v>
      </c>
      <c r="F2552" s="164" t="s">
        <v>3955</v>
      </c>
      <c r="G2552" s="164"/>
      <c r="H2552" s="167"/>
      <c r="I2552" s="167"/>
      <c r="J2552" s="167"/>
      <c r="K2552" s="169"/>
      <c r="L2552" s="129"/>
      <c r="M2552" s="129"/>
      <c r="N2552" s="129"/>
      <c r="O2552" s="129"/>
      <c r="P2552" s="146"/>
      <c r="Q2552" s="170"/>
      <c r="R2552" s="171"/>
      <c r="S2552" s="172"/>
    </row>
    <row r="2553" spans="1:19" ht="42.75">
      <c r="A2553" s="164" t="s">
        <v>779</v>
      </c>
      <c r="B2553" s="165" t="s">
        <v>5396</v>
      </c>
      <c r="C2553" s="165" t="s">
        <v>6006</v>
      </c>
      <c r="D2553" s="164">
        <v>2588</v>
      </c>
      <c r="E2553" s="164">
        <v>2718</v>
      </c>
      <c r="F2553" s="164" t="s">
        <v>3404</v>
      </c>
      <c r="G2553" s="164">
        <v>2024</v>
      </c>
      <c r="H2553" s="175">
        <v>45602</v>
      </c>
      <c r="I2553" s="175">
        <v>45603</v>
      </c>
      <c r="J2553" s="168" t="s">
        <v>7461</v>
      </c>
      <c r="K2553" s="174">
        <v>45613</v>
      </c>
      <c r="L2553" s="129" t="s">
        <v>3129</v>
      </c>
      <c r="M2553" s="129" t="s">
        <v>1078</v>
      </c>
      <c r="N2553" s="129" t="s">
        <v>50</v>
      </c>
      <c r="O2553" s="129" t="s">
        <v>3406</v>
      </c>
      <c r="P2553" s="146"/>
      <c r="Q2553" s="170">
        <v>45614</v>
      </c>
      <c r="R2553" s="171" t="s">
        <v>7058</v>
      </c>
      <c r="S2553" s="172"/>
    </row>
    <row r="2554" spans="1:19" ht="42.75">
      <c r="A2554" s="164" t="s">
        <v>779</v>
      </c>
      <c r="B2554" s="165" t="s">
        <v>5396</v>
      </c>
      <c r="C2554" s="165" t="s">
        <v>6007</v>
      </c>
      <c r="D2554" s="164">
        <v>4552</v>
      </c>
      <c r="E2554" s="164">
        <v>5101</v>
      </c>
      <c r="F2554" s="164" t="s">
        <v>3955</v>
      </c>
      <c r="G2554" s="164"/>
      <c r="H2554" s="167"/>
      <c r="I2554" s="167"/>
      <c r="J2554" s="167"/>
      <c r="K2554" s="169"/>
      <c r="L2554" s="129"/>
      <c r="M2554" s="129"/>
      <c r="N2554" s="129"/>
      <c r="O2554" s="129"/>
      <c r="P2554" s="146"/>
      <c r="Q2554" s="170"/>
      <c r="R2554" s="171"/>
      <c r="S2554" s="172"/>
    </row>
    <row r="2555" spans="1:19" ht="42.75">
      <c r="A2555" s="164" t="s">
        <v>779</v>
      </c>
      <c r="B2555" s="165" t="s">
        <v>5396</v>
      </c>
      <c r="C2555" s="165" t="s">
        <v>6009</v>
      </c>
      <c r="D2555" s="164">
        <v>4206</v>
      </c>
      <c r="E2555" s="164">
        <v>4690</v>
      </c>
      <c r="F2555" s="164" t="s">
        <v>3404</v>
      </c>
      <c r="G2555" s="164">
        <v>2024</v>
      </c>
      <c r="H2555" s="175">
        <v>45568</v>
      </c>
      <c r="I2555" s="175">
        <v>45570</v>
      </c>
      <c r="J2555" s="168" t="s">
        <v>7462</v>
      </c>
      <c r="K2555" s="174">
        <v>45580</v>
      </c>
      <c r="L2555" s="129" t="s">
        <v>3128</v>
      </c>
      <c r="M2555" s="129" t="s">
        <v>4</v>
      </c>
      <c r="N2555" s="129" t="s">
        <v>50</v>
      </c>
      <c r="O2555" s="129" t="s">
        <v>3406</v>
      </c>
      <c r="P2555" s="146"/>
      <c r="Q2555" s="170">
        <v>45580</v>
      </c>
      <c r="R2555" s="171" t="s">
        <v>7058</v>
      </c>
      <c r="S2555" s="172"/>
    </row>
    <row r="2556" spans="1:19" ht="42.75">
      <c r="A2556" s="164" t="s">
        <v>779</v>
      </c>
      <c r="B2556" s="165" t="s">
        <v>5396</v>
      </c>
      <c r="C2556" s="165" t="s">
        <v>6010</v>
      </c>
      <c r="D2556" s="164">
        <v>4619</v>
      </c>
      <c r="E2556" s="164">
        <v>5062</v>
      </c>
      <c r="F2556" s="164" t="s">
        <v>3955</v>
      </c>
      <c r="G2556" s="164"/>
      <c r="H2556" s="167"/>
      <c r="I2556" s="167"/>
      <c r="J2556" s="167"/>
      <c r="K2556" s="169"/>
      <c r="L2556" s="129"/>
      <c r="M2556" s="129"/>
      <c r="N2556" s="129"/>
      <c r="O2556" s="129"/>
      <c r="P2556" s="146"/>
      <c r="Q2556" s="170"/>
      <c r="R2556" s="171"/>
      <c r="S2556" s="172"/>
    </row>
    <row r="2557" spans="1:19" ht="42.75">
      <c r="A2557" s="164" t="s">
        <v>779</v>
      </c>
      <c r="B2557" s="165" t="s">
        <v>5396</v>
      </c>
      <c r="C2557" s="165" t="s">
        <v>6012</v>
      </c>
      <c r="D2557" s="164">
        <v>2011</v>
      </c>
      <c r="E2557" s="164">
        <v>1750</v>
      </c>
      <c r="F2557" s="164" t="s">
        <v>3404</v>
      </c>
      <c r="G2557" s="164">
        <v>2024</v>
      </c>
      <c r="H2557" s="175">
        <v>45545</v>
      </c>
      <c r="I2557" s="175">
        <v>45546</v>
      </c>
      <c r="J2557" s="168" t="s">
        <v>7463</v>
      </c>
      <c r="K2557" s="174">
        <v>45552</v>
      </c>
      <c r="L2557" s="129" t="s">
        <v>3127</v>
      </c>
      <c r="M2557" s="129" t="s">
        <v>4</v>
      </c>
      <c r="N2557" s="129" t="s">
        <v>50</v>
      </c>
      <c r="O2557" s="129" t="s">
        <v>3406</v>
      </c>
      <c r="P2557" s="146"/>
      <c r="Q2557" s="170">
        <v>45552</v>
      </c>
      <c r="R2557" s="171" t="s">
        <v>7058</v>
      </c>
      <c r="S2557" s="172"/>
    </row>
    <row r="2558" spans="1:19" ht="42.75">
      <c r="A2558" s="164" t="s">
        <v>779</v>
      </c>
      <c r="B2558" s="165" t="s">
        <v>5396</v>
      </c>
      <c r="C2558" s="165" t="s">
        <v>4510</v>
      </c>
      <c r="D2558" s="164">
        <v>3113</v>
      </c>
      <c r="E2558" s="164">
        <v>3571</v>
      </c>
      <c r="F2558" s="164" t="s">
        <v>3955</v>
      </c>
      <c r="G2558" s="164"/>
      <c r="H2558" s="167"/>
      <c r="I2558" s="167"/>
      <c r="J2558" s="167"/>
      <c r="K2558" s="169"/>
      <c r="L2558" s="129"/>
      <c r="M2558" s="129"/>
      <c r="N2558" s="129"/>
      <c r="O2558" s="129"/>
      <c r="P2558" s="146"/>
      <c r="Q2558" s="170"/>
      <c r="R2558" s="171"/>
      <c r="S2558" s="172"/>
    </row>
    <row r="2559" spans="1:19" ht="42.75">
      <c r="A2559" s="164" t="s">
        <v>779</v>
      </c>
      <c r="B2559" s="165" t="s">
        <v>5396</v>
      </c>
      <c r="C2559" s="165" t="s">
        <v>1369</v>
      </c>
      <c r="D2559" s="164">
        <v>1255</v>
      </c>
      <c r="E2559" s="164">
        <v>1205</v>
      </c>
      <c r="F2559" s="164" t="s">
        <v>3404</v>
      </c>
      <c r="G2559" s="164">
        <v>2024</v>
      </c>
      <c r="H2559" s="175">
        <v>45456</v>
      </c>
      <c r="I2559" s="175">
        <v>45460</v>
      </c>
      <c r="J2559" s="168" t="s">
        <v>7464</v>
      </c>
      <c r="K2559" s="174">
        <v>45463</v>
      </c>
      <c r="L2559" s="129" t="s">
        <v>4334</v>
      </c>
      <c r="M2559" s="129"/>
      <c r="N2559" s="129"/>
      <c r="O2559" s="129" t="s">
        <v>3406</v>
      </c>
      <c r="P2559" s="146"/>
      <c r="Q2559" s="170">
        <v>45463</v>
      </c>
      <c r="R2559" s="171"/>
      <c r="S2559" s="172"/>
    </row>
    <row r="2560" spans="1:19" ht="42.75">
      <c r="A2560" s="164" t="s">
        <v>779</v>
      </c>
      <c r="B2560" s="165" t="s">
        <v>5396</v>
      </c>
      <c r="C2560" s="165" t="s">
        <v>6014</v>
      </c>
      <c r="D2560" s="164">
        <v>2152</v>
      </c>
      <c r="E2560" s="164">
        <v>2297</v>
      </c>
      <c r="F2560" s="164" t="s">
        <v>3955</v>
      </c>
      <c r="G2560" s="164"/>
      <c r="H2560" s="167"/>
      <c r="I2560" s="167"/>
      <c r="J2560" s="167"/>
      <c r="K2560" s="169"/>
      <c r="L2560" s="129"/>
      <c r="M2560" s="129"/>
      <c r="N2560" s="129"/>
      <c r="O2560" s="129"/>
      <c r="P2560" s="146"/>
      <c r="Q2560" s="170"/>
      <c r="R2560" s="171"/>
      <c r="S2560" s="172"/>
    </row>
    <row r="2561" spans="1:19" ht="42.75">
      <c r="A2561" s="164" t="s">
        <v>779</v>
      </c>
      <c r="B2561" s="165" t="s">
        <v>5396</v>
      </c>
      <c r="C2561" s="165" t="s">
        <v>5278</v>
      </c>
      <c r="D2561" s="164">
        <v>3414</v>
      </c>
      <c r="E2561" s="164">
        <v>3833</v>
      </c>
      <c r="F2561" s="164" t="s">
        <v>3955</v>
      </c>
      <c r="G2561" s="164"/>
      <c r="H2561" s="175"/>
      <c r="I2561" s="175"/>
      <c r="J2561" s="167"/>
      <c r="K2561" s="169"/>
      <c r="L2561" s="129"/>
      <c r="M2561" s="129"/>
      <c r="N2561" s="129"/>
      <c r="O2561" s="129"/>
      <c r="P2561" s="146"/>
      <c r="Q2561" s="170"/>
      <c r="R2561" s="171"/>
      <c r="S2561" s="172"/>
    </row>
    <row r="2562" spans="1:19" ht="42.75">
      <c r="A2562" s="164" t="s">
        <v>779</v>
      </c>
      <c r="B2562" s="165" t="s">
        <v>5396</v>
      </c>
      <c r="C2562" s="165" t="s">
        <v>6017</v>
      </c>
      <c r="D2562" s="164">
        <v>2125</v>
      </c>
      <c r="E2562" s="164">
        <v>2348</v>
      </c>
      <c r="F2562" s="164" t="s">
        <v>3404</v>
      </c>
      <c r="G2562" s="164">
        <v>2024</v>
      </c>
      <c r="H2562" s="175">
        <v>45384</v>
      </c>
      <c r="I2562" s="175">
        <v>45398</v>
      </c>
      <c r="J2562" s="168" t="s">
        <v>7465</v>
      </c>
      <c r="K2562" s="174">
        <v>45399</v>
      </c>
      <c r="L2562" s="129" t="s">
        <v>3470</v>
      </c>
      <c r="M2562" s="129"/>
      <c r="N2562" s="129"/>
      <c r="O2562" s="129" t="s">
        <v>3406</v>
      </c>
      <c r="P2562" s="146"/>
      <c r="Q2562" s="170"/>
      <c r="R2562" s="171"/>
      <c r="S2562" s="172"/>
    </row>
    <row r="2563" spans="1:19" ht="42.75">
      <c r="A2563" s="164" t="s">
        <v>779</v>
      </c>
      <c r="B2563" s="165" t="s">
        <v>5396</v>
      </c>
      <c r="C2563" s="165" t="s">
        <v>6018</v>
      </c>
      <c r="D2563" s="164">
        <v>2820</v>
      </c>
      <c r="E2563" s="164">
        <v>3293</v>
      </c>
      <c r="F2563" s="164" t="s">
        <v>3404</v>
      </c>
      <c r="G2563" s="164">
        <v>2024</v>
      </c>
      <c r="H2563" s="175">
        <v>45419</v>
      </c>
      <c r="I2563" s="175">
        <v>45420</v>
      </c>
      <c r="J2563" s="168" t="s">
        <v>7466</v>
      </c>
      <c r="K2563" s="174">
        <v>45427</v>
      </c>
      <c r="L2563" s="129" t="s">
        <v>3532</v>
      </c>
      <c r="M2563" s="129"/>
      <c r="N2563" s="129"/>
      <c r="O2563" s="129" t="s">
        <v>3406</v>
      </c>
      <c r="P2563" s="146"/>
      <c r="Q2563" s="170"/>
      <c r="R2563" s="171"/>
      <c r="S2563" s="172"/>
    </row>
    <row r="2564" spans="1:19" ht="42.75">
      <c r="A2564" s="164" t="s">
        <v>779</v>
      </c>
      <c r="B2564" s="165" t="s">
        <v>5396</v>
      </c>
      <c r="C2564" s="165" t="s">
        <v>6019</v>
      </c>
      <c r="D2564" s="164">
        <v>1739</v>
      </c>
      <c r="E2564" s="164">
        <v>1956</v>
      </c>
      <c r="F2564" s="164" t="s">
        <v>3404</v>
      </c>
      <c r="G2564" s="164">
        <v>2024</v>
      </c>
      <c r="H2564" s="175">
        <v>45545</v>
      </c>
      <c r="I2564" s="175">
        <v>45546</v>
      </c>
      <c r="J2564" s="168" t="s">
        <v>7467</v>
      </c>
      <c r="K2564" s="174">
        <v>45552</v>
      </c>
      <c r="L2564" s="129" t="s">
        <v>3127</v>
      </c>
      <c r="M2564" s="129" t="s">
        <v>4</v>
      </c>
      <c r="N2564" s="129" t="s">
        <v>50</v>
      </c>
      <c r="O2564" s="129" t="s">
        <v>3406</v>
      </c>
      <c r="P2564" s="146"/>
      <c r="Q2564" s="170">
        <v>45552</v>
      </c>
      <c r="R2564" s="171" t="s">
        <v>7058</v>
      </c>
      <c r="S2564" s="172"/>
    </row>
    <row r="2565" spans="1:19" ht="42.75">
      <c r="A2565" s="164" t="s">
        <v>779</v>
      </c>
      <c r="B2565" s="165" t="s">
        <v>5396</v>
      </c>
      <c r="C2565" s="165" t="s">
        <v>5999</v>
      </c>
      <c r="D2565" s="164">
        <v>3206</v>
      </c>
      <c r="E2565" s="164">
        <v>3459</v>
      </c>
      <c r="F2565" s="164" t="s">
        <v>3955</v>
      </c>
      <c r="G2565" s="164"/>
      <c r="H2565" s="167"/>
      <c r="I2565" s="167"/>
      <c r="J2565" s="167"/>
      <c r="K2565" s="169"/>
      <c r="L2565" s="129"/>
      <c r="M2565" s="129"/>
      <c r="N2565" s="129"/>
      <c r="O2565" s="129"/>
      <c r="P2565" s="146"/>
      <c r="Q2565" s="170"/>
      <c r="R2565" s="171"/>
      <c r="S2565" s="172"/>
    </row>
    <row r="2566" spans="1:19" ht="42.75">
      <c r="A2566" s="164" t="s">
        <v>779</v>
      </c>
      <c r="B2566" s="165" t="s">
        <v>5396</v>
      </c>
      <c r="C2566" s="165" t="s">
        <v>6020</v>
      </c>
      <c r="D2566" s="164">
        <v>1672</v>
      </c>
      <c r="E2566" s="164">
        <v>1854</v>
      </c>
      <c r="F2566" s="164" t="s">
        <v>3955</v>
      </c>
      <c r="G2566" s="164"/>
      <c r="H2566" s="167"/>
      <c r="I2566" s="167"/>
      <c r="J2566" s="167"/>
      <c r="K2566" s="169"/>
      <c r="L2566" s="129"/>
      <c r="M2566" s="129"/>
      <c r="N2566" s="129"/>
      <c r="O2566" s="129"/>
      <c r="P2566" s="146"/>
      <c r="Q2566" s="170"/>
      <c r="R2566" s="171"/>
      <c r="S2566" s="172"/>
    </row>
    <row r="2567" spans="1:19" ht="42.75">
      <c r="A2567" s="164" t="s">
        <v>779</v>
      </c>
      <c r="B2567" s="165" t="s">
        <v>5396</v>
      </c>
      <c r="C2567" s="165" t="s">
        <v>1299</v>
      </c>
      <c r="D2567" s="164">
        <v>1552</v>
      </c>
      <c r="E2567" s="164">
        <v>1671</v>
      </c>
      <c r="F2567" s="164" t="s">
        <v>3955</v>
      </c>
      <c r="G2567" s="164"/>
      <c r="H2567" s="167"/>
      <c r="I2567" s="167"/>
      <c r="J2567" s="167"/>
      <c r="K2567" s="169"/>
      <c r="L2567" s="129"/>
      <c r="M2567" s="129"/>
      <c r="N2567" s="129"/>
      <c r="O2567" s="129"/>
      <c r="P2567" s="146"/>
      <c r="Q2567" s="170"/>
      <c r="R2567" s="171"/>
      <c r="S2567" s="172"/>
    </row>
    <row r="2568" spans="1:19" ht="42.75">
      <c r="A2568" s="164" t="s">
        <v>779</v>
      </c>
      <c r="B2568" s="165" t="s">
        <v>5396</v>
      </c>
      <c r="C2568" s="165" t="s">
        <v>3721</v>
      </c>
      <c r="D2568" s="164">
        <v>3482</v>
      </c>
      <c r="E2568" s="164">
        <v>3615</v>
      </c>
      <c r="F2568" s="164" t="s">
        <v>3955</v>
      </c>
      <c r="G2568" s="164"/>
      <c r="H2568" s="167"/>
      <c r="I2568" s="167"/>
      <c r="J2568" s="167"/>
      <c r="K2568" s="169"/>
      <c r="L2568" s="129"/>
      <c r="M2568" s="129"/>
      <c r="N2568" s="129"/>
      <c r="O2568" s="129"/>
      <c r="P2568" s="146"/>
      <c r="Q2568" s="170"/>
      <c r="R2568" s="171"/>
      <c r="S2568" s="172"/>
    </row>
    <row r="2569" spans="1:19" ht="42.75">
      <c r="A2569" s="164" t="s">
        <v>779</v>
      </c>
      <c r="B2569" s="165" t="s">
        <v>5396</v>
      </c>
      <c r="C2569" s="165" t="s">
        <v>3915</v>
      </c>
      <c r="D2569" s="164">
        <v>7915</v>
      </c>
      <c r="E2569" s="164">
        <v>8115</v>
      </c>
      <c r="F2569" s="164" t="s">
        <v>3955</v>
      </c>
      <c r="G2569" s="164"/>
      <c r="H2569" s="167"/>
      <c r="I2569" s="167"/>
      <c r="J2569" s="167"/>
      <c r="K2569" s="169"/>
      <c r="L2569" s="129"/>
      <c r="M2569" s="129"/>
      <c r="N2569" s="129"/>
      <c r="O2569" s="129"/>
      <c r="P2569" s="146"/>
      <c r="Q2569" s="170"/>
      <c r="R2569" s="171"/>
      <c r="S2569" s="172"/>
    </row>
    <row r="2570" spans="1:19" ht="42.75">
      <c r="A2570" s="164" t="s">
        <v>779</v>
      </c>
      <c r="B2570" s="165" t="s">
        <v>5396</v>
      </c>
      <c r="C2570" s="165" t="s">
        <v>1458</v>
      </c>
      <c r="D2570" s="164">
        <v>2256</v>
      </c>
      <c r="E2570" s="164">
        <v>2406</v>
      </c>
      <c r="F2570" s="164" t="s">
        <v>3955</v>
      </c>
      <c r="G2570" s="164"/>
      <c r="H2570" s="167"/>
      <c r="I2570" s="167"/>
      <c r="J2570" s="167"/>
      <c r="K2570" s="169"/>
      <c r="L2570" s="129"/>
      <c r="M2570" s="129"/>
      <c r="N2570" s="129"/>
      <c r="O2570" s="129"/>
      <c r="P2570" s="146"/>
      <c r="Q2570" s="170"/>
      <c r="R2570" s="171"/>
      <c r="S2570" s="172"/>
    </row>
    <row r="2571" spans="1:19" ht="42.75">
      <c r="A2571" s="164" t="s">
        <v>779</v>
      </c>
      <c r="B2571" s="165" t="s">
        <v>1485</v>
      </c>
      <c r="C2571" s="165" t="s">
        <v>6026</v>
      </c>
      <c r="D2571" s="164">
        <v>758</v>
      </c>
      <c r="E2571" s="164">
        <v>648</v>
      </c>
      <c r="F2571" s="164" t="s">
        <v>3955</v>
      </c>
      <c r="G2571" s="164"/>
      <c r="H2571" s="167"/>
      <c r="I2571" s="167"/>
      <c r="J2571" s="167"/>
      <c r="K2571" s="169"/>
      <c r="L2571" s="129"/>
      <c r="M2571" s="129"/>
      <c r="N2571" s="129"/>
      <c r="O2571" s="129"/>
      <c r="P2571" s="146"/>
      <c r="Q2571" s="170"/>
      <c r="R2571" s="171"/>
      <c r="S2571" s="172"/>
    </row>
    <row r="2572" spans="1:19" ht="42.75">
      <c r="A2572" s="164" t="s">
        <v>779</v>
      </c>
      <c r="B2572" s="165" t="s">
        <v>1485</v>
      </c>
      <c r="C2572" s="165" t="s">
        <v>6028</v>
      </c>
      <c r="D2572" s="164">
        <v>478</v>
      </c>
      <c r="E2572" s="164">
        <v>464</v>
      </c>
      <c r="F2572" s="164" t="s">
        <v>3955</v>
      </c>
      <c r="G2572" s="164"/>
      <c r="H2572" s="167"/>
      <c r="I2572" s="167"/>
      <c r="J2572" s="167"/>
      <c r="K2572" s="169"/>
      <c r="L2572" s="129"/>
      <c r="M2572" s="129"/>
      <c r="N2572" s="129"/>
      <c r="O2572" s="129"/>
      <c r="P2572" s="146"/>
      <c r="Q2572" s="170"/>
      <c r="R2572" s="171"/>
      <c r="S2572" s="172"/>
    </row>
    <row r="2573" spans="1:19" ht="42.75">
      <c r="A2573" s="164" t="s">
        <v>779</v>
      </c>
      <c r="B2573" s="165" t="s">
        <v>1485</v>
      </c>
      <c r="C2573" s="165" t="s">
        <v>6029</v>
      </c>
      <c r="D2573" s="164">
        <v>1568</v>
      </c>
      <c r="E2573" s="164">
        <v>1660</v>
      </c>
      <c r="F2573" s="164" t="s">
        <v>3955</v>
      </c>
      <c r="G2573" s="164"/>
      <c r="H2573" s="167"/>
      <c r="I2573" s="167"/>
      <c r="J2573" s="167"/>
      <c r="K2573" s="169"/>
      <c r="L2573" s="129"/>
      <c r="M2573" s="129"/>
      <c r="N2573" s="129"/>
      <c r="O2573" s="129"/>
      <c r="P2573" s="146"/>
      <c r="Q2573" s="170"/>
      <c r="R2573" s="171"/>
      <c r="S2573" s="172"/>
    </row>
    <row r="2574" spans="1:19" ht="42.75">
      <c r="A2574" s="164" t="s">
        <v>779</v>
      </c>
      <c r="B2574" s="165" t="s">
        <v>1485</v>
      </c>
      <c r="C2574" s="165" t="s">
        <v>6031</v>
      </c>
      <c r="D2574" s="164">
        <v>665</v>
      </c>
      <c r="E2574" s="164">
        <v>679</v>
      </c>
      <c r="F2574" s="164" t="s">
        <v>3955</v>
      </c>
      <c r="G2574" s="164"/>
      <c r="H2574" s="167"/>
      <c r="I2574" s="167"/>
      <c r="J2574" s="167"/>
      <c r="K2574" s="169"/>
      <c r="L2574" s="129"/>
      <c r="M2574" s="129"/>
      <c r="N2574" s="129"/>
      <c r="O2574" s="129"/>
      <c r="P2574" s="146"/>
      <c r="Q2574" s="170"/>
      <c r="R2574" s="171"/>
      <c r="S2574" s="172"/>
    </row>
    <row r="2575" spans="1:19" ht="42.75">
      <c r="A2575" s="164" t="s">
        <v>779</v>
      </c>
      <c r="B2575" s="165" t="s">
        <v>1485</v>
      </c>
      <c r="C2575" s="165" t="s">
        <v>6032</v>
      </c>
      <c r="D2575" s="164">
        <v>638</v>
      </c>
      <c r="E2575" s="164">
        <v>743</v>
      </c>
      <c r="F2575" s="164" t="s">
        <v>3404</v>
      </c>
      <c r="G2575" s="164">
        <v>2024</v>
      </c>
      <c r="H2575" s="175">
        <v>45399</v>
      </c>
      <c r="I2575" s="175">
        <v>45399</v>
      </c>
      <c r="J2575" s="168" t="s">
        <v>7468</v>
      </c>
      <c r="K2575" s="174">
        <v>45399</v>
      </c>
      <c r="L2575" s="129" t="s">
        <v>3470</v>
      </c>
      <c r="M2575" s="129"/>
      <c r="N2575" s="129"/>
      <c r="O2575" s="129" t="s">
        <v>3406</v>
      </c>
      <c r="P2575" s="146"/>
      <c r="Q2575" s="170"/>
      <c r="R2575" s="171"/>
      <c r="S2575" s="172"/>
    </row>
    <row r="2576" spans="1:19" ht="42.75">
      <c r="A2576" s="164" t="s">
        <v>779</v>
      </c>
      <c r="B2576" s="165" t="s">
        <v>1485</v>
      </c>
      <c r="C2576" s="165" t="s">
        <v>6033</v>
      </c>
      <c r="D2576" s="164">
        <v>673</v>
      </c>
      <c r="E2576" s="164">
        <v>687</v>
      </c>
      <c r="F2576" s="164" t="s">
        <v>3955</v>
      </c>
      <c r="G2576" s="164"/>
      <c r="H2576" s="167"/>
      <c r="I2576" s="167"/>
      <c r="J2576" s="167"/>
      <c r="K2576" s="169"/>
      <c r="L2576" s="129"/>
      <c r="M2576" s="129"/>
      <c r="N2576" s="129"/>
      <c r="O2576" s="129"/>
      <c r="P2576" s="146"/>
      <c r="Q2576" s="170"/>
      <c r="R2576" s="171"/>
      <c r="S2576" s="172"/>
    </row>
    <row r="2577" spans="1:19" ht="42.75">
      <c r="A2577" s="164" t="s">
        <v>779</v>
      </c>
      <c r="B2577" s="165" t="s">
        <v>1485</v>
      </c>
      <c r="C2577" s="165" t="s">
        <v>6034</v>
      </c>
      <c r="D2577" s="164">
        <v>921</v>
      </c>
      <c r="E2577" s="164">
        <v>877</v>
      </c>
      <c r="F2577" s="164" t="s">
        <v>3955</v>
      </c>
      <c r="G2577" s="164"/>
      <c r="H2577" s="167"/>
      <c r="I2577" s="167"/>
      <c r="J2577" s="167"/>
      <c r="K2577" s="169"/>
      <c r="L2577" s="129"/>
      <c r="M2577" s="129"/>
      <c r="N2577" s="129"/>
      <c r="O2577" s="129"/>
      <c r="P2577" s="146"/>
      <c r="Q2577" s="170"/>
      <c r="R2577" s="171"/>
      <c r="S2577" s="172"/>
    </row>
    <row r="2578" spans="1:19" ht="42.75">
      <c r="A2578" s="164" t="s">
        <v>779</v>
      </c>
      <c r="B2578" s="165" t="s">
        <v>1485</v>
      </c>
      <c r="C2578" s="165" t="s">
        <v>6035</v>
      </c>
      <c r="D2578" s="164">
        <v>468</v>
      </c>
      <c r="E2578" s="164">
        <v>453</v>
      </c>
      <c r="F2578" s="164" t="s">
        <v>3955</v>
      </c>
      <c r="G2578" s="164"/>
      <c r="H2578" s="167"/>
      <c r="I2578" s="167"/>
      <c r="J2578" s="167"/>
      <c r="K2578" s="169"/>
      <c r="L2578" s="129"/>
      <c r="M2578" s="129"/>
      <c r="N2578" s="129"/>
      <c r="O2578" s="129"/>
      <c r="P2578" s="146"/>
      <c r="Q2578" s="170"/>
      <c r="R2578" s="171"/>
      <c r="S2578" s="172"/>
    </row>
    <row r="2579" spans="1:19" ht="42.75">
      <c r="A2579" s="164" t="s">
        <v>779</v>
      </c>
      <c r="B2579" s="165" t="s">
        <v>1485</v>
      </c>
      <c r="C2579" s="165" t="s">
        <v>6037</v>
      </c>
      <c r="D2579" s="164">
        <v>407</v>
      </c>
      <c r="E2579" s="164">
        <v>442</v>
      </c>
      <c r="F2579" s="164" t="s">
        <v>3955</v>
      </c>
      <c r="G2579" s="164"/>
      <c r="H2579" s="167"/>
      <c r="I2579" s="167"/>
      <c r="J2579" s="167"/>
      <c r="K2579" s="169"/>
      <c r="L2579" s="129"/>
      <c r="M2579" s="129"/>
      <c r="N2579" s="129"/>
      <c r="O2579" s="129"/>
      <c r="P2579" s="146"/>
      <c r="Q2579" s="170"/>
      <c r="R2579" s="171"/>
      <c r="S2579" s="172"/>
    </row>
    <row r="2580" spans="1:19" ht="42.75">
      <c r="A2580" s="164" t="s">
        <v>779</v>
      </c>
      <c r="B2580" s="165" t="s">
        <v>1485</v>
      </c>
      <c r="C2580" s="165" t="s">
        <v>6038</v>
      </c>
      <c r="D2580" s="164">
        <v>796</v>
      </c>
      <c r="E2580" s="164">
        <v>915</v>
      </c>
      <c r="F2580" s="164" t="s">
        <v>3955</v>
      </c>
      <c r="G2580" s="164"/>
      <c r="H2580" s="167"/>
      <c r="I2580" s="167"/>
      <c r="J2580" s="167"/>
      <c r="K2580" s="169"/>
      <c r="L2580" s="129"/>
      <c r="M2580" s="129"/>
      <c r="N2580" s="129"/>
      <c r="O2580" s="129"/>
      <c r="P2580" s="146"/>
      <c r="Q2580" s="170"/>
      <c r="R2580" s="171"/>
      <c r="S2580" s="172"/>
    </row>
    <row r="2581" spans="1:19" ht="42.75">
      <c r="A2581" s="164" t="s">
        <v>779</v>
      </c>
      <c r="B2581" s="165" t="s">
        <v>1485</v>
      </c>
      <c r="C2581" s="165" t="s">
        <v>5219</v>
      </c>
      <c r="D2581" s="164">
        <v>1192</v>
      </c>
      <c r="E2581" s="164">
        <v>1267</v>
      </c>
      <c r="F2581" s="164" t="s">
        <v>3955</v>
      </c>
      <c r="G2581" s="164"/>
      <c r="H2581" s="167"/>
      <c r="I2581" s="167"/>
      <c r="J2581" s="167"/>
      <c r="K2581" s="169"/>
      <c r="L2581" s="129"/>
      <c r="M2581" s="129"/>
      <c r="N2581" s="129"/>
      <c r="O2581" s="129"/>
      <c r="P2581" s="146"/>
      <c r="Q2581" s="170"/>
      <c r="R2581" s="171"/>
      <c r="S2581" s="172"/>
    </row>
    <row r="2582" spans="1:19" ht="42.75">
      <c r="A2582" s="164" t="s">
        <v>779</v>
      </c>
      <c r="B2582" s="165" t="s">
        <v>1485</v>
      </c>
      <c r="C2582" s="165" t="s">
        <v>6039</v>
      </c>
      <c r="D2582" s="164">
        <v>2593</v>
      </c>
      <c r="E2582" s="164">
        <v>2565</v>
      </c>
      <c r="F2582" s="164" t="s">
        <v>3955</v>
      </c>
      <c r="G2582" s="164"/>
      <c r="H2582" s="167"/>
      <c r="I2582" s="167"/>
      <c r="J2582" s="167"/>
      <c r="K2582" s="169"/>
      <c r="L2582" s="129"/>
      <c r="M2582" s="129"/>
      <c r="N2582" s="129"/>
      <c r="O2582" s="129"/>
      <c r="P2582" s="146"/>
      <c r="Q2582" s="170"/>
      <c r="R2582" s="171"/>
      <c r="S2582" s="172"/>
    </row>
    <row r="2583" spans="1:19" ht="42.75">
      <c r="A2583" s="164" t="s">
        <v>779</v>
      </c>
      <c r="B2583" s="165" t="s">
        <v>1485</v>
      </c>
      <c r="C2583" s="165" t="s">
        <v>6041</v>
      </c>
      <c r="D2583" s="164">
        <v>848</v>
      </c>
      <c r="E2583" s="164">
        <v>817</v>
      </c>
      <c r="F2583" s="164" t="s">
        <v>3955</v>
      </c>
      <c r="G2583" s="164"/>
      <c r="H2583" s="167"/>
      <c r="I2583" s="167"/>
      <c r="J2583" s="167"/>
      <c r="K2583" s="169"/>
      <c r="L2583" s="129"/>
      <c r="M2583" s="129"/>
      <c r="N2583" s="129"/>
      <c r="O2583" s="129"/>
      <c r="P2583" s="146"/>
      <c r="Q2583" s="170"/>
      <c r="R2583" s="171"/>
      <c r="S2583" s="172"/>
    </row>
    <row r="2584" spans="1:19" ht="42.75">
      <c r="A2584" s="164" t="s">
        <v>779</v>
      </c>
      <c r="B2584" s="165" t="s">
        <v>1485</v>
      </c>
      <c r="C2584" s="165" t="s">
        <v>6042</v>
      </c>
      <c r="D2584" s="164">
        <v>1587</v>
      </c>
      <c r="E2584" s="164">
        <v>1618</v>
      </c>
      <c r="F2584" s="164" t="s">
        <v>3955</v>
      </c>
      <c r="G2584" s="164"/>
      <c r="H2584" s="167"/>
      <c r="I2584" s="167"/>
      <c r="J2584" s="167"/>
      <c r="K2584" s="169"/>
      <c r="L2584" s="129"/>
      <c r="M2584" s="129"/>
      <c r="N2584" s="129"/>
      <c r="O2584" s="129"/>
      <c r="P2584" s="146"/>
      <c r="Q2584" s="170"/>
      <c r="R2584" s="171"/>
      <c r="S2584" s="172"/>
    </row>
    <row r="2585" spans="1:19" ht="42.75">
      <c r="A2585" s="164" t="s">
        <v>779</v>
      </c>
      <c r="B2585" s="165" t="s">
        <v>1485</v>
      </c>
      <c r="C2585" s="165" t="s">
        <v>7469</v>
      </c>
      <c r="D2585" s="256"/>
      <c r="E2585" s="256"/>
      <c r="F2585" s="256" t="s">
        <v>3404</v>
      </c>
      <c r="G2585" s="256"/>
      <c r="H2585" s="257"/>
      <c r="I2585" s="257"/>
      <c r="J2585" s="233"/>
      <c r="K2585" s="174">
        <v>45399</v>
      </c>
      <c r="L2585" s="129" t="s">
        <v>3470</v>
      </c>
      <c r="M2585" s="129"/>
      <c r="N2585" s="129"/>
      <c r="O2585" s="129" t="s">
        <v>3406</v>
      </c>
      <c r="P2585" s="146"/>
      <c r="Q2585" s="170"/>
      <c r="R2585" s="171"/>
      <c r="S2585" s="172"/>
    </row>
    <row r="2586" spans="1:19" ht="42.75">
      <c r="A2586" s="164" t="s">
        <v>779</v>
      </c>
      <c r="B2586" s="165" t="s">
        <v>1485</v>
      </c>
      <c r="C2586" s="165" t="s">
        <v>6044</v>
      </c>
      <c r="D2586" s="164">
        <v>1525</v>
      </c>
      <c r="E2586" s="164">
        <v>1570</v>
      </c>
      <c r="F2586" s="164" t="s">
        <v>3955</v>
      </c>
      <c r="G2586" s="164"/>
      <c r="H2586" s="167"/>
      <c r="I2586" s="167"/>
      <c r="J2586" s="167"/>
      <c r="K2586" s="169"/>
      <c r="L2586" s="129"/>
      <c r="M2586" s="129"/>
      <c r="N2586" s="129"/>
      <c r="O2586" s="129"/>
      <c r="P2586" s="146"/>
      <c r="Q2586" s="170"/>
      <c r="R2586" s="171"/>
      <c r="S2586" s="172"/>
    </row>
    <row r="2587" spans="1:19" ht="42.75">
      <c r="A2587" s="164" t="s">
        <v>779</v>
      </c>
      <c r="B2587" s="165" t="s">
        <v>1485</v>
      </c>
      <c r="C2587" s="165" t="s">
        <v>6045</v>
      </c>
      <c r="D2587" s="164">
        <v>1889</v>
      </c>
      <c r="E2587" s="164">
        <v>1831</v>
      </c>
      <c r="F2587" s="164" t="s">
        <v>3955</v>
      </c>
      <c r="G2587" s="164"/>
      <c r="H2587" s="167"/>
      <c r="I2587" s="167"/>
      <c r="J2587" s="167"/>
      <c r="K2587" s="169"/>
      <c r="L2587" s="129"/>
      <c r="M2587" s="129"/>
      <c r="N2587" s="129"/>
      <c r="O2587" s="129"/>
      <c r="P2587" s="146"/>
      <c r="Q2587" s="170"/>
      <c r="R2587" s="171"/>
      <c r="S2587" s="172"/>
    </row>
    <row r="2588" spans="1:19" ht="42.75">
      <c r="A2588" s="164" t="s">
        <v>779</v>
      </c>
      <c r="B2588" s="165" t="s">
        <v>1485</v>
      </c>
      <c r="C2588" s="165" t="s">
        <v>6047</v>
      </c>
      <c r="D2588" s="164">
        <v>1954</v>
      </c>
      <c r="E2588" s="164">
        <v>2008</v>
      </c>
      <c r="F2588" s="164" t="s">
        <v>3955</v>
      </c>
      <c r="G2588" s="164"/>
      <c r="H2588" s="167"/>
      <c r="I2588" s="167"/>
      <c r="J2588" s="167"/>
      <c r="K2588" s="169"/>
      <c r="L2588" s="129"/>
      <c r="M2588" s="129"/>
      <c r="N2588" s="129"/>
      <c r="O2588" s="129"/>
      <c r="P2588" s="146"/>
      <c r="Q2588" s="170"/>
      <c r="R2588" s="171"/>
      <c r="S2588" s="172"/>
    </row>
    <row r="2589" spans="1:19" ht="42.75">
      <c r="A2589" s="164" t="s">
        <v>779</v>
      </c>
      <c r="B2589" s="165" t="s">
        <v>1485</v>
      </c>
      <c r="C2589" s="165" t="s">
        <v>1486</v>
      </c>
      <c r="D2589" s="164">
        <v>3296</v>
      </c>
      <c r="E2589" s="164">
        <v>3556</v>
      </c>
      <c r="F2589" s="164" t="s">
        <v>3955</v>
      </c>
      <c r="G2589" s="164"/>
      <c r="H2589" s="167"/>
      <c r="I2589" s="167"/>
      <c r="J2589" s="167"/>
      <c r="K2589" s="169"/>
      <c r="L2589" s="129"/>
      <c r="M2589" s="129"/>
      <c r="N2589" s="129"/>
      <c r="O2589" s="129"/>
      <c r="P2589" s="146"/>
      <c r="Q2589" s="170"/>
      <c r="R2589" s="171"/>
      <c r="S2589" s="172"/>
    </row>
    <row r="2590" spans="1:19" ht="42.75">
      <c r="A2590" s="164" t="s">
        <v>779</v>
      </c>
      <c r="B2590" s="165" t="s">
        <v>1485</v>
      </c>
      <c r="C2590" s="165" t="s">
        <v>4946</v>
      </c>
      <c r="D2590" s="164">
        <v>3127</v>
      </c>
      <c r="E2590" s="164">
        <v>3079</v>
      </c>
      <c r="F2590" s="164" t="s">
        <v>3955</v>
      </c>
      <c r="G2590" s="164"/>
      <c r="H2590" s="167"/>
      <c r="I2590" s="167"/>
      <c r="J2590" s="167"/>
      <c r="K2590" s="169"/>
      <c r="L2590" s="129"/>
      <c r="M2590" s="129"/>
      <c r="N2590" s="129"/>
      <c r="O2590" s="129"/>
      <c r="P2590" s="146"/>
      <c r="Q2590" s="170"/>
      <c r="R2590" s="171"/>
      <c r="S2590" s="172"/>
    </row>
    <row r="2591" spans="1:19" ht="42.75">
      <c r="A2591" s="164" t="s">
        <v>779</v>
      </c>
      <c r="B2591" s="165" t="s">
        <v>1485</v>
      </c>
      <c r="C2591" s="165" t="s">
        <v>6051</v>
      </c>
      <c r="D2591" s="164">
        <v>1394</v>
      </c>
      <c r="E2591" s="164">
        <v>1254</v>
      </c>
      <c r="F2591" s="164" t="s">
        <v>3404</v>
      </c>
      <c r="G2591" s="164">
        <v>2024</v>
      </c>
      <c r="H2591" s="175">
        <v>45608</v>
      </c>
      <c r="I2591" s="175">
        <v>45610</v>
      </c>
      <c r="J2591" s="168" t="s">
        <v>7470</v>
      </c>
      <c r="K2591" s="174">
        <v>45616</v>
      </c>
      <c r="L2591" s="129" t="s">
        <v>3129</v>
      </c>
      <c r="M2591" s="129" t="s">
        <v>4</v>
      </c>
      <c r="N2591" s="129" t="s">
        <v>50</v>
      </c>
      <c r="O2591" s="129" t="s">
        <v>3406</v>
      </c>
      <c r="P2591" s="146"/>
      <c r="Q2591" s="170">
        <v>45616</v>
      </c>
      <c r="R2591" s="171" t="s">
        <v>150</v>
      </c>
      <c r="S2591" s="172"/>
    </row>
    <row r="2592" spans="1:19" ht="42.75">
      <c r="A2592" s="164" t="s">
        <v>779</v>
      </c>
      <c r="B2592" s="165" t="s">
        <v>1485</v>
      </c>
      <c r="C2592" s="165" t="s">
        <v>5756</v>
      </c>
      <c r="D2592" s="164">
        <v>1726</v>
      </c>
      <c r="E2592" s="164">
        <v>1743</v>
      </c>
      <c r="F2592" s="164" t="s">
        <v>3955</v>
      </c>
      <c r="G2592" s="164"/>
      <c r="H2592" s="167"/>
      <c r="I2592" s="167"/>
      <c r="J2592" s="167"/>
      <c r="K2592" s="169"/>
      <c r="L2592" s="129"/>
      <c r="M2592" s="129"/>
      <c r="N2592" s="129"/>
      <c r="O2592" s="129"/>
      <c r="P2592" s="146"/>
      <c r="Q2592" s="170"/>
      <c r="R2592" s="171"/>
      <c r="S2592" s="172"/>
    </row>
    <row r="2593" spans="1:19" ht="42.75">
      <c r="A2593" s="164" t="s">
        <v>779</v>
      </c>
      <c r="B2593" s="165" t="s">
        <v>1485</v>
      </c>
      <c r="C2593" s="165" t="s">
        <v>858</v>
      </c>
      <c r="D2593" s="164">
        <v>1670</v>
      </c>
      <c r="E2593" s="164">
        <v>1541</v>
      </c>
      <c r="F2593" s="164" t="s">
        <v>3955</v>
      </c>
      <c r="G2593" s="164"/>
      <c r="H2593" s="167"/>
      <c r="I2593" s="167"/>
      <c r="J2593" s="167"/>
      <c r="K2593" s="169"/>
      <c r="L2593" s="129"/>
      <c r="M2593" s="129"/>
      <c r="N2593" s="129"/>
      <c r="O2593" s="129"/>
      <c r="P2593" s="146"/>
      <c r="Q2593" s="170"/>
      <c r="R2593" s="171"/>
      <c r="S2593" s="172"/>
    </row>
    <row r="2594" spans="1:19" ht="42.75">
      <c r="A2594" s="164" t="s">
        <v>779</v>
      </c>
      <c r="B2594" s="165" t="s">
        <v>1485</v>
      </c>
      <c r="C2594" s="165" t="s">
        <v>6052</v>
      </c>
      <c r="D2594" s="164">
        <v>727</v>
      </c>
      <c r="E2594" s="164">
        <v>723</v>
      </c>
      <c r="F2594" s="164" t="s">
        <v>3955</v>
      </c>
      <c r="G2594" s="164"/>
      <c r="H2594" s="167"/>
      <c r="I2594" s="167"/>
      <c r="J2594" s="167"/>
      <c r="K2594" s="169"/>
      <c r="L2594" s="129"/>
      <c r="M2594" s="129"/>
      <c r="N2594" s="129"/>
      <c r="O2594" s="129"/>
      <c r="P2594" s="146"/>
      <c r="Q2594" s="170"/>
      <c r="R2594" s="171"/>
      <c r="S2594" s="172"/>
    </row>
    <row r="2595" spans="1:19" ht="42.75">
      <c r="A2595" s="164" t="s">
        <v>779</v>
      </c>
      <c r="B2595" s="165" t="s">
        <v>1485</v>
      </c>
      <c r="C2595" s="165" t="s">
        <v>7471</v>
      </c>
      <c r="D2595" s="164">
        <v>1332</v>
      </c>
      <c r="E2595" s="164">
        <v>1457</v>
      </c>
      <c r="F2595" s="164" t="s">
        <v>3955</v>
      </c>
      <c r="G2595" s="164"/>
      <c r="H2595" s="167"/>
      <c r="I2595" s="167"/>
      <c r="J2595" s="167"/>
      <c r="K2595" s="169"/>
      <c r="L2595" s="129"/>
      <c r="M2595" s="129"/>
      <c r="N2595" s="129"/>
      <c r="O2595" s="129"/>
      <c r="P2595" s="146"/>
      <c r="Q2595" s="170"/>
      <c r="R2595" s="171"/>
      <c r="S2595" s="172"/>
    </row>
    <row r="2596" spans="1:19" ht="42.75">
      <c r="A2596" s="164" t="s">
        <v>779</v>
      </c>
      <c r="B2596" s="165" t="s">
        <v>1489</v>
      </c>
      <c r="C2596" s="165" t="s">
        <v>6055</v>
      </c>
      <c r="D2596" s="164">
        <v>3720</v>
      </c>
      <c r="E2596" s="164">
        <v>4303</v>
      </c>
      <c r="F2596" s="164" t="s">
        <v>3955</v>
      </c>
      <c r="G2596" s="164"/>
      <c r="H2596" s="167"/>
      <c r="I2596" s="167"/>
      <c r="J2596" s="167"/>
      <c r="K2596" s="169"/>
      <c r="L2596" s="129"/>
      <c r="M2596" s="129"/>
      <c r="N2596" s="129"/>
      <c r="O2596" s="129"/>
      <c r="P2596" s="146"/>
      <c r="Q2596" s="170"/>
      <c r="R2596" s="171"/>
      <c r="S2596" s="172"/>
    </row>
    <row r="2597" spans="1:19" ht="42.75">
      <c r="A2597" s="164" t="s">
        <v>779</v>
      </c>
      <c r="B2597" s="165" t="s">
        <v>1489</v>
      </c>
      <c r="C2597" s="165" t="s">
        <v>6056</v>
      </c>
      <c r="D2597" s="164">
        <v>1816</v>
      </c>
      <c r="E2597" s="164">
        <v>1768</v>
      </c>
      <c r="F2597" s="164" t="s">
        <v>3955</v>
      </c>
      <c r="G2597" s="164"/>
      <c r="H2597" s="167"/>
      <c r="I2597" s="167"/>
      <c r="J2597" s="167"/>
      <c r="K2597" s="169"/>
      <c r="L2597" s="129"/>
      <c r="M2597" s="129"/>
      <c r="N2597" s="129"/>
      <c r="O2597" s="129"/>
      <c r="P2597" s="146"/>
      <c r="Q2597" s="170"/>
      <c r="R2597" s="171"/>
      <c r="S2597" s="172"/>
    </row>
    <row r="2598" spans="1:19" ht="42.75">
      <c r="A2598" s="164" t="s">
        <v>779</v>
      </c>
      <c r="B2598" s="165" t="s">
        <v>1489</v>
      </c>
      <c r="C2598" s="165" t="s">
        <v>6058</v>
      </c>
      <c r="D2598" s="164">
        <v>612</v>
      </c>
      <c r="E2598" s="164">
        <v>761</v>
      </c>
      <c r="F2598" s="164" t="s">
        <v>3955</v>
      </c>
      <c r="G2598" s="164"/>
      <c r="H2598" s="167"/>
      <c r="I2598" s="167"/>
      <c r="J2598" s="167"/>
      <c r="K2598" s="169"/>
      <c r="L2598" s="129"/>
      <c r="M2598" s="129"/>
      <c r="N2598" s="129"/>
      <c r="O2598" s="129"/>
      <c r="P2598" s="146"/>
      <c r="Q2598" s="170"/>
      <c r="R2598" s="171"/>
      <c r="S2598" s="172"/>
    </row>
    <row r="2599" spans="1:19" ht="42.75">
      <c r="A2599" s="164" t="s">
        <v>779</v>
      </c>
      <c r="B2599" s="165" t="s">
        <v>1489</v>
      </c>
      <c r="C2599" s="165" t="s">
        <v>6059</v>
      </c>
      <c r="D2599" s="164">
        <v>1312</v>
      </c>
      <c r="E2599" s="164">
        <v>1222</v>
      </c>
      <c r="F2599" s="164" t="s">
        <v>3955</v>
      </c>
      <c r="G2599" s="164"/>
      <c r="H2599" s="167"/>
      <c r="I2599" s="167"/>
      <c r="J2599" s="167"/>
      <c r="K2599" s="169"/>
      <c r="L2599" s="129"/>
      <c r="M2599" s="129"/>
      <c r="N2599" s="129"/>
      <c r="O2599" s="129"/>
      <c r="P2599" s="146"/>
      <c r="Q2599" s="170"/>
      <c r="R2599" s="171"/>
      <c r="S2599" s="172"/>
    </row>
    <row r="2600" spans="1:19" ht="42.75">
      <c r="A2600" s="164" t="s">
        <v>779</v>
      </c>
      <c r="B2600" s="165" t="s">
        <v>1489</v>
      </c>
      <c r="C2600" s="165" t="s">
        <v>6061</v>
      </c>
      <c r="D2600" s="164">
        <v>1548</v>
      </c>
      <c r="E2600" s="164">
        <v>1672</v>
      </c>
      <c r="F2600" s="164" t="s">
        <v>3955</v>
      </c>
      <c r="G2600" s="164"/>
      <c r="H2600" s="167"/>
      <c r="I2600" s="167"/>
      <c r="J2600" s="167"/>
      <c r="K2600" s="169"/>
      <c r="L2600" s="129"/>
      <c r="M2600" s="129"/>
      <c r="N2600" s="129"/>
      <c r="O2600" s="129"/>
      <c r="P2600" s="146"/>
      <c r="Q2600" s="170"/>
      <c r="R2600" s="171"/>
      <c r="S2600" s="172"/>
    </row>
    <row r="2601" spans="1:19" ht="42.75">
      <c r="A2601" s="164" t="s">
        <v>779</v>
      </c>
      <c r="B2601" s="165" t="s">
        <v>1489</v>
      </c>
      <c r="C2601" s="165" t="s">
        <v>6063</v>
      </c>
      <c r="D2601" s="164">
        <v>1479</v>
      </c>
      <c r="E2601" s="164">
        <v>1675</v>
      </c>
      <c r="F2601" s="164" t="s">
        <v>3404</v>
      </c>
      <c r="G2601" s="164">
        <v>2024</v>
      </c>
      <c r="H2601" s="175">
        <v>45384</v>
      </c>
      <c r="I2601" s="175">
        <v>45385</v>
      </c>
      <c r="J2601" s="168" t="s">
        <v>7472</v>
      </c>
      <c r="K2601" s="174">
        <v>45397</v>
      </c>
      <c r="L2601" s="129" t="s">
        <v>3470</v>
      </c>
      <c r="M2601" s="129"/>
      <c r="N2601" s="129"/>
      <c r="O2601" s="129" t="s">
        <v>3406</v>
      </c>
      <c r="P2601" s="146"/>
      <c r="Q2601" s="170"/>
      <c r="R2601" s="171"/>
      <c r="S2601" s="172"/>
    </row>
    <row r="2602" spans="1:19" ht="42.75">
      <c r="A2602" s="164" t="s">
        <v>779</v>
      </c>
      <c r="B2602" s="165" t="s">
        <v>1489</v>
      </c>
      <c r="C2602" s="165" t="s">
        <v>6064</v>
      </c>
      <c r="D2602" s="164">
        <v>1218</v>
      </c>
      <c r="E2602" s="164">
        <v>1341</v>
      </c>
      <c r="F2602" s="164" t="s">
        <v>3955</v>
      </c>
      <c r="G2602" s="164"/>
      <c r="H2602" s="167"/>
      <c r="I2602" s="167"/>
      <c r="J2602" s="167"/>
      <c r="K2602" s="169"/>
      <c r="L2602" s="129"/>
      <c r="M2602" s="129"/>
      <c r="N2602" s="129"/>
      <c r="O2602" s="129"/>
      <c r="P2602" s="146"/>
      <c r="Q2602" s="170"/>
      <c r="R2602" s="171"/>
      <c r="S2602" s="172"/>
    </row>
    <row r="2603" spans="1:19" ht="42.75">
      <c r="A2603" s="164" t="s">
        <v>779</v>
      </c>
      <c r="B2603" s="165" t="s">
        <v>1489</v>
      </c>
      <c r="C2603" s="165" t="s">
        <v>1490</v>
      </c>
      <c r="D2603" s="164">
        <v>2359</v>
      </c>
      <c r="E2603" s="164">
        <v>2257</v>
      </c>
      <c r="F2603" s="164" t="s">
        <v>3955</v>
      </c>
      <c r="G2603" s="164"/>
      <c r="H2603" s="167"/>
      <c r="I2603" s="167"/>
      <c r="J2603" s="167"/>
      <c r="K2603" s="169"/>
      <c r="L2603" s="129"/>
      <c r="M2603" s="129"/>
      <c r="N2603" s="129"/>
      <c r="O2603" s="129"/>
      <c r="P2603" s="146"/>
      <c r="Q2603" s="170"/>
      <c r="R2603" s="171"/>
      <c r="S2603" s="172"/>
    </row>
    <row r="2604" spans="1:19" ht="42.75">
      <c r="A2604" s="164" t="s">
        <v>779</v>
      </c>
      <c r="B2604" s="165" t="s">
        <v>1489</v>
      </c>
      <c r="C2604" s="165" t="s">
        <v>6066</v>
      </c>
      <c r="D2604" s="164">
        <v>714</v>
      </c>
      <c r="E2604" s="164">
        <v>914</v>
      </c>
      <c r="F2604" s="164" t="s">
        <v>3404</v>
      </c>
      <c r="G2604" s="164">
        <v>2024</v>
      </c>
      <c r="H2604" s="175">
        <v>45384</v>
      </c>
      <c r="I2604" s="175">
        <v>45385</v>
      </c>
      <c r="J2604" s="168" t="s">
        <v>7473</v>
      </c>
      <c r="K2604" s="174">
        <v>45397</v>
      </c>
      <c r="L2604" s="129" t="s">
        <v>3470</v>
      </c>
      <c r="M2604" s="129"/>
      <c r="N2604" s="129"/>
      <c r="O2604" s="129" t="s">
        <v>3406</v>
      </c>
      <c r="P2604" s="146"/>
      <c r="Q2604" s="170"/>
      <c r="R2604" s="171"/>
      <c r="S2604" s="172"/>
    </row>
    <row r="2605" spans="1:19" ht="42.75">
      <c r="A2605" s="164" t="s">
        <v>779</v>
      </c>
      <c r="B2605" s="165" t="s">
        <v>1489</v>
      </c>
      <c r="C2605" s="165" t="s">
        <v>6067</v>
      </c>
      <c r="D2605" s="164">
        <v>1203</v>
      </c>
      <c r="E2605" s="164">
        <v>1340</v>
      </c>
      <c r="F2605" s="164" t="s">
        <v>3955</v>
      </c>
      <c r="G2605" s="164"/>
      <c r="H2605" s="167"/>
      <c r="I2605" s="167"/>
      <c r="J2605" s="167"/>
      <c r="K2605" s="169"/>
      <c r="L2605" s="129"/>
      <c r="M2605" s="129"/>
      <c r="N2605" s="129"/>
      <c r="O2605" s="129"/>
      <c r="P2605" s="146"/>
      <c r="Q2605" s="170"/>
      <c r="R2605" s="171"/>
      <c r="S2605" s="172"/>
    </row>
    <row r="2606" spans="1:19" ht="42.75">
      <c r="A2606" s="164" t="s">
        <v>779</v>
      </c>
      <c r="B2606" s="165" t="s">
        <v>1489</v>
      </c>
      <c r="C2606" s="165" t="s">
        <v>6068</v>
      </c>
      <c r="D2606" s="164">
        <v>1627</v>
      </c>
      <c r="E2606" s="164">
        <v>1713</v>
      </c>
      <c r="F2606" s="164" t="s">
        <v>3955</v>
      </c>
      <c r="G2606" s="164"/>
      <c r="H2606" s="167"/>
      <c r="I2606" s="167"/>
      <c r="J2606" s="167"/>
      <c r="K2606" s="169"/>
      <c r="L2606" s="129"/>
      <c r="M2606" s="129"/>
      <c r="N2606" s="129"/>
      <c r="O2606" s="129"/>
      <c r="P2606" s="146"/>
      <c r="Q2606" s="170"/>
      <c r="R2606" s="171"/>
      <c r="S2606" s="172"/>
    </row>
    <row r="2607" spans="1:19" ht="42.75">
      <c r="A2607" s="164" t="s">
        <v>779</v>
      </c>
      <c r="B2607" s="165" t="s">
        <v>1489</v>
      </c>
      <c r="C2607" s="165" t="s">
        <v>6070</v>
      </c>
      <c r="D2607" s="164">
        <v>1181</v>
      </c>
      <c r="E2607" s="164">
        <v>1295</v>
      </c>
      <c r="F2607" s="164" t="s">
        <v>3955</v>
      </c>
      <c r="G2607" s="164"/>
      <c r="H2607" s="167"/>
      <c r="I2607" s="167"/>
      <c r="J2607" s="167"/>
      <c r="K2607" s="169"/>
      <c r="L2607" s="129"/>
      <c r="M2607" s="129"/>
      <c r="N2607" s="129"/>
      <c r="O2607" s="129"/>
      <c r="P2607" s="146"/>
      <c r="Q2607" s="170"/>
      <c r="R2607" s="171"/>
      <c r="S2607" s="172"/>
    </row>
    <row r="2608" spans="1:19" ht="42.75">
      <c r="A2608" s="164" t="s">
        <v>779</v>
      </c>
      <c r="B2608" s="165" t="s">
        <v>1489</v>
      </c>
      <c r="C2608" s="165" t="s">
        <v>6072</v>
      </c>
      <c r="D2608" s="164">
        <v>1542</v>
      </c>
      <c r="E2608" s="164">
        <v>1607</v>
      </c>
      <c r="F2608" s="164" t="s">
        <v>3955</v>
      </c>
      <c r="G2608" s="164"/>
      <c r="H2608" s="167"/>
      <c r="I2608" s="167"/>
      <c r="J2608" s="167"/>
      <c r="K2608" s="169"/>
      <c r="L2608" s="129"/>
      <c r="M2608" s="129"/>
      <c r="N2608" s="129"/>
      <c r="O2608" s="129"/>
      <c r="P2608" s="146"/>
      <c r="Q2608" s="170"/>
      <c r="R2608" s="171"/>
      <c r="S2608" s="172"/>
    </row>
    <row r="2609" spans="1:19" ht="42.75">
      <c r="A2609" s="164" t="s">
        <v>779</v>
      </c>
      <c r="B2609" s="165" t="s">
        <v>1489</v>
      </c>
      <c r="C2609" s="165" t="s">
        <v>6073</v>
      </c>
      <c r="D2609" s="164">
        <v>1716</v>
      </c>
      <c r="E2609" s="164">
        <v>1731</v>
      </c>
      <c r="F2609" s="164" t="s">
        <v>3955</v>
      </c>
      <c r="G2609" s="164"/>
      <c r="H2609" s="167"/>
      <c r="I2609" s="167"/>
      <c r="J2609" s="167"/>
      <c r="K2609" s="169"/>
      <c r="L2609" s="129"/>
      <c r="M2609" s="129"/>
      <c r="N2609" s="129"/>
      <c r="O2609" s="129"/>
      <c r="P2609" s="146"/>
      <c r="Q2609" s="170"/>
      <c r="R2609" s="171"/>
      <c r="S2609" s="172"/>
    </row>
    <row r="2610" spans="1:19" ht="42.75">
      <c r="A2610" s="164" t="s">
        <v>779</v>
      </c>
      <c r="B2610" s="165" t="s">
        <v>1489</v>
      </c>
      <c r="C2610" s="165" t="s">
        <v>6075</v>
      </c>
      <c r="D2610" s="164">
        <v>2232</v>
      </c>
      <c r="E2610" s="164">
        <v>2102</v>
      </c>
      <c r="F2610" s="164" t="s">
        <v>3955</v>
      </c>
      <c r="G2610" s="164"/>
      <c r="H2610" s="167"/>
      <c r="I2610" s="167"/>
      <c r="J2610" s="167"/>
      <c r="K2610" s="169"/>
      <c r="L2610" s="129"/>
      <c r="M2610" s="129"/>
      <c r="N2610" s="129"/>
      <c r="O2610" s="129"/>
      <c r="P2610" s="146"/>
      <c r="Q2610" s="170"/>
      <c r="R2610" s="171"/>
      <c r="S2610" s="172"/>
    </row>
    <row r="2611" spans="1:19" ht="42.75">
      <c r="A2611" s="164" t="s">
        <v>779</v>
      </c>
      <c r="B2611" s="165" t="s">
        <v>1489</v>
      </c>
      <c r="C2611" s="165" t="s">
        <v>6076</v>
      </c>
      <c r="D2611" s="164">
        <v>2780</v>
      </c>
      <c r="E2611" s="164">
        <v>3232</v>
      </c>
      <c r="F2611" s="164" t="s">
        <v>3955</v>
      </c>
      <c r="G2611" s="164"/>
      <c r="H2611" s="167"/>
      <c r="I2611" s="167"/>
      <c r="J2611" s="167"/>
      <c r="K2611" s="169"/>
      <c r="L2611" s="129"/>
      <c r="M2611" s="129"/>
      <c r="N2611" s="129"/>
      <c r="O2611" s="129"/>
      <c r="P2611" s="146"/>
      <c r="Q2611" s="170"/>
      <c r="R2611" s="171"/>
      <c r="S2611" s="172"/>
    </row>
    <row r="2612" spans="1:19" ht="42.75">
      <c r="A2612" s="164" t="s">
        <v>779</v>
      </c>
      <c r="B2612" s="165" t="s">
        <v>1489</v>
      </c>
      <c r="C2612" s="165" t="s">
        <v>6078</v>
      </c>
      <c r="D2612" s="164">
        <v>1530</v>
      </c>
      <c r="E2612" s="164">
        <v>1627</v>
      </c>
      <c r="F2612" s="164" t="s">
        <v>3955</v>
      </c>
      <c r="G2612" s="164"/>
      <c r="H2612" s="167"/>
      <c r="I2612" s="167"/>
      <c r="J2612" s="167"/>
      <c r="K2612" s="169"/>
      <c r="L2612" s="129"/>
      <c r="M2612" s="129"/>
      <c r="N2612" s="129"/>
      <c r="O2612" s="129"/>
      <c r="P2612" s="146"/>
      <c r="Q2612" s="170"/>
      <c r="R2612" s="171"/>
      <c r="S2612" s="172"/>
    </row>
    <row r="2613" spans="1:19" ht="42.75">
      <c r="A2613" s="164" t="s">
        <v>779</v>
      </c>
      <c r="B2613" s="165" t="s">
        <v>1489</v>
      </c>
      <c r="C2613" s="165" t="s">
        <v>4969</v>
      </c>
      <c r="D2613" s="164">
        <v>2139</v>
      </c>
      <c r="E2613" s="164">
        <v>2401</v>
      </c>
      <c r="F2613" s="164" t="s">
        <v>3955</v>
      </c>
      <c r="G2613" s="164"/>
      <c r="H2613" s="167"/>
      <c r="I2613" s="167"/>
      <c r="J2613" s="167"/>
      <c r="K2613" s="169"/>
      <c r="L2613" s="129"/>
      <c r="M2613" s="129"/>
      <c r="N2613" s="129"/>
      <c r="O2613" s="129"/>
      <c r="P2613" s="146"/>
      <c r="Q2613" s="170"/>
      <c r="R2613" s="171"/>
      <c r="S2613" s="172"/>
    </row>
    <row r="2614" spans="1:19" ht="42.75">
      <c r="A2614" s="164" t="s">
        <v>779</v>
      </c>
      <c r="B2614" s="165" t="s">
        <v>1489</v>
      </c>
      <c r="C2614" s="165" t="s">
        <v>6080</v>
      </c>
      <c r="D2614" s="164">
        <v>1594</v>
      </c>
      <c r="E2614" s="164">
        <v>1735</v>
      </c>
      <c r="F2614" s="164" t="s">
        <v>3955</v>
      </c>
      <c r="G2614" s="164"/>
      <c r="H2614" s="167"/>
      <c r="I2614" s="167"/>
      <c r="J2614" s="167"/>
      <c r="K2614" s="169"/>
      <c r="L2614" s="129"/>
      <c r="M2614" s="129"/>
      <c r="N2614" s="129"/>
      <c r="O2614" s="129"/>
      <c r="P2614" s="146"/>
      <c r="Q2614" s="170"/>
      <c r="R2614" s="171"/>
      <c r="S2614" s="172"/>
    </row>
    <row r="2615" spans="1:19" ht="42.75">
      <c r="A2615" s="164" t="s">
        <v>779</v>
      </c>
      <c r="B2615" s="165" t="s">
        <v>1489</v>
      </c>
      <c r="C2615" s="165" t="s">
        <v>5987</v>
      </c>
      <c r="D2615" s="164">
        <v>1620</v>
      </c>
      <c r="E2615" s="164">
        <v>1802</v>
      </c>
      <c r="F2615" s="164" t="s">
        <v>3955</v>
      </c>
      <c r="G2615" s="164"/>
      <c r="H2615" s="167"/>
      <c r="I2615" s="167"/>
      <c r="J2615" s="167"/>
      <c r="K2615" s="169"/>
      <c r="L2615" s="129"/>
      <c r="M2615" s="129"/>
      <c r="N2615" s="129"/>
      <c r="O2615" s="129"/>
      <c r="P2615" s="146"/>
      <c r="Q2615" s="170"/>
      <c r="R2615" s="171"/>
      <c r="S2615" s="172"/>
    </row>
    <row r="2616" spans="1:19" ht="42.75">
      <c r="A2616" s="164" t="s">
        <v>779</v>
      </c>
      <c r="B2616" s="165" t="s">
        <v>1489</v>
      </c>
      <c r="C2616" s="165" t="s">
        <v>5988</v>
      </c>
      <c r="D2616" s="164">
        <v>1759</v>
      </c>
      <c r="E2616" s="164">
        <v>1786</v>
      </c>
      <c r="F2616" s="164" t="s">
        <v>3955</v>
      </c>
      <c r="G2616" s="164"/>
      <c r="H2616" s="167"/>
      <c r="I2616" s="167"/>
      <c r="J2616" s="167"/>
      <c r="K2616" s="169"/>
      <c r="L2616" s="129"/>
      <c r="M2616" s="129"/>
      <c r="N2616" s="129"/>
      <c r="O2616" s="129"/>
      <c r="P2616" s="146"/>
      <c r="Q2616" s="170"/>
      <c r="R2616" s="171"/>
      <c r="S2616" s="172"/>
    </row>
    <row r="2617" spans="1:19" ht="42.75">
      <c r="A2617" s="164" t="s">
        <v>779</v>
      </c>
      <c r="B2617" s="165" t="s">
        <v>1489</v>
      </c>
      <c r="C2617" s="165" t="s">
        <v>5989</v>
      </c>
      <c r="D2617" s="164">
        <v>938</v>
      </c>
      <c r="E2617" s="164">
        <v>1023</v>
      </c>
      <c r="F2617" s="164" t="s">
        <v>3955</v>
      </c>
      <c r="G2617" s="164"/>
      <c r="H2617" s="167"/>
      <c r="I2617" s="167"/>
      <c r="J2617" s="167"/>
      <c r="K2617" s="169"/>
      <c r="L2617" s="129"/>
      <c r="M2617" s="129"/>
      <c r="N2617" s="129"/>
      <c r="O2617" s="129"/>
      <c r="P2617" s="146"/>
      <c r="Q2617" s="170"/>
      <c r="R2617" s="171"/>
      <c r="S2617" s="172"/>
    </row>
    <row r="2618" spans="1:19" ht="42.75">
      <c r="A2618" s="164" t="s">
        <v>779</v>
      </c>
      <c r="B2618" s="165" t="s">
        <v>1489</v>
      </c>
      <c r="C2618" s="165" t="s">
        <v>6084</v>
      </c>
      <c r="D2618" s="164">
        <v>1024</v>
      </c>
      <c r="E2618" s="164">
        <v>1016</v>
      </c>
      <c r="F2618" s="164" t="s">
        <v>3955</v>
      </c>
      <c r="G2618" s="164"/>
      <c r="H2618" s="167"/>
      <c r="I2618" s="167"/>
      <c r="J2618" s="167"/>
      <c r="K2618" s="169"/>
      <c r="L2618" s="129"/>
      <c r="M2618" s="129"/>
      <c r="N2618" s="129"/>
      <c r="O2618" s="129"/>
      <c r="P2618" s="146"/>
      <c r="Q2618" s="170"/>
      <c r="R2618" s="171"/>
      <c r="S2618" s="172"/>
    </row>
    <row r="2619" spans="1:19" ht="42.75">
      <c r="A2619" s="164" t="s">
        <v>779</v>
      </c>
      <c r="B2619" s="165" t="s">
        <v>1489</v>
      </c>
      <c r="C2619" s="165" t="s">
        <v>1299</v>
      </c>
      <c r="D2619" s="164">
        <v>1346</v>
      </c>
      <c r="E2619" s="164">
        <v>1456</v>
      </c>
      <c r="F2619" s="164" t="s">
        <v>3404</v>
      </c>
      <c r="G2619" s="164">
        <v>2024</v>
      </c>
      <c r="H2619" s="175">
        <v>45567</v>
      </c>
      <c r="I2619" s="175">
        <v>45567</v>
      </c>
      <c r="J2619" s="168" t="s">
        <v>7474</v>
      </c>
      <c r="K2619" s="174">
        <v>45574</v>
      </c>
      <c r="L2619" s="129" t="s">
        <v>3128</v>
      </c>
      <c r="M2619" s="129" t="s">
        <v>1078</v>
      </c>
      <c r="N2619" s="129" t="s">
        <v>50</v>
      </c>
      <c r="O2619" s="129" t="s">
        <v>3406</v>
      </c>
      <c r="P2619" s="146"/>
      <c r="Q2619" s="189">
        <v>45575</v>
      </c>
      <c r="R2619" s="115" t="s">
        <v>7475</v>
      </c>
      <c r="S2619" s="163"/>
    </row>
    <row r="2620" spans="1:19" ht="42.75">
      <c r="A2620" s="164" t="s">
        <v>779</v>
      </c>
      <c r="B2620" s="165" t="s">
        <v>1489</v>
      </c>
      <c r="C2620" s="165" t="s">
        <v>918</v>
      </c>
      <c r="D2620" s="164">
        <v>1988</v>
      </c>
      <c r="E2620" s="164">
        <v>2252</v>
      </c>
      <c r="F2620" s="164" t="s">
        <v>3955</v>
      </c>
      <c r="G2620" s="164"/>
      <c r="H2620" s="167"/>
      <c r="I2620" s="167"/>
      <c r="J2620" s="167"/>
      <c r="K2620" s="169"/>
      <c r="L2620" s="129"/>
      <c r="M2620" s="129"/>
      <c r="N2620" s="129"/>
      <c r="O2620" s="129"/>
      <c r="P2620" s="146"/>
      <c r="Q2620" s="170"/>
      <c r="R2620" s="171"/>
      <c r="S2620" s="172"/>
    </row>
    <row r="2621" spans="1:19" ht="42.75">
      <c r="A2621" s="164" t="s">
        <v>779</v>
      </c>
      <c r="B2621" s="165" t="s">
        <v>1489</v>
      </c>
      <c r="C2621" s="165" t="s">
        <v>6086</v>
      </c>
      <c r="D2621" s="164">
        <v>2691</v>
      </c>
      <c r="E2621" s="164">
        <v>2975</v>
      </c>
      <c r="F2621" s="164" t="s">
        <v>3955</v>
      </c>
      <c r="G2621" s="164"/>
      <c r="H2621" s="167"/>
      <c r="I2621" s="167"/>
      <c r="J2621" s="167"/>
      <c r="K2621" s="169"/>
      <c r="L2621" s="129"/>
      <c r="M2621" s="129"/>
      <c r="N2621" s="129"/>
      <c r="O2621" s="129"/>
      <c r="P2621" s="146"/>
      <c r="Q2621" s="170"/>
      <c r="R2621" s="171"/>
      <c r="S2621" s="172"/>
    </row>
    <row r="2622" spans="1:19" ht="42.75">
      <c r="A2622" s="164" t="s">
        <v>779</v>
      </c>
      <c r="B2622" s="165" t="s">
        <v>1489</v>
      </c>
      <c r="C2622" s="165" t="s">
        <v>6088</v>
      </c>
      <c r="D2622" s="164">
        <v>1191</v>
      </c>
      <c r="E2622" s="164">
        <v>1402</v>
      </c>
      <c r="F2622" s="164" t="s">
        <v>3404</v>
      </c>
      <c r="G2622" s="164">
        <v>2024</v>
      </c>
      <c r="H2622" s="175">
        <v>45567</v>
      </c>
      <c r="I2622" s="175">
        <v>45567</v>
      </c>
      <c r="J2622" s="168" t="s">
        <v>7476</v>
      </c>
      <c r="K2622" s="174">
        <v>45574</v>
      </c>
      <c r="L2622" s="129" t="s">
        <v>3128</v>
      </c>
      <c r="M2622" s="129" t="s">
        <v>4</v>
      </c>
      <c r="N2622" s="129" t="s">
        <v>50</v>
      </c>
      <c r="O2622" s="129" t="s">
        <v>3406</v>
      </c>
      <c r="P2622" s="146"/>
      <c r="Q2622" s="189">
        <v>45575</v>
      </c>
      <c r="R2622" s="115" t="s">
        <v>7475</v>
      </c>
      <c r="S2622" s="163"/>
    </row>
    <row r="2623" spans="1:19" ht="42.75">
      <c r="A2623" s="164" t="s">
        <v>779</v>
      </c>
      <c r="B2623" s="165" t="s">
        <v>1489</v>
      </c>
      <c r="C2623" s="165" t="s">
        <v>1253</v>
      </c>
      <c r="D2623" s="164">
        <v>797</v>
      </c>
      <c r="E2623" s="164">
        <v>900</v>
      </c>
      <c r="F2623" s="164" t="s">
        <v>3404</v>
      </c>
      <c r="G2623" s="164">
        <v>2024</v>
      </c>
      <c r="H2623" s="175">
        <v>45567</v>
      </c>
      <c r="I2623" s="175">
        <v>45567</v>
      </c>
      <c r="J2623" s="168" t="s">
        <v>7477</v>
      </c>
      <c r="K2623" s="174">
        <v>45574</v>
      </c>
      <c r="L2623" s="129" t="s">
        <v>3128</v>
      </c>
      <c r="M2623" s="129" t="s">
        <v>4</v>
      </c>
      <c r="N2623" s="129" t="s">
        <v>50</v>
      </c>
      <c r="O2623" s="129" t="s">
        <v>3406</v>
      </c>
      <c r="P2623" s="146"/>
      <c r="Q2623" s="189">
        <v>45574</v>
      </c>
      <c r="R2623" s="115" t="s">
        <v>7475</v>
      </c>
      <c r="S2623" s="163"/>
    </row>
    <row r="2624" spans="1:19" ht="42.75">
      <c r="A2624" s="164" t="s">
        <v>779</v>
      </c>
      <c r="B2624" s="165" t="s">
        <v>1489</v>
      </c>
      <c r="C2624" s="165" t="s">
        <v>3974</v>
      </c>
      <c r="D2624" s="164">
        <v>1176</v>
      </c>
      <c r="E2624" s="164">
        <v>1254</v>
      </c>
      <c r="F2624" s="164" t="s">
        <v>3955</v>
      </c>
      <c r="G2624" s="164"/>
      <c r="H2624" s="167"/>
      <c r="I2624" s="167"/>
      <c r="J2624" s="167"/>
      <c r="K2624" s="169"/>
      <c r="L2624" s="129"/>
      <c r="M2624" s="129"/>
      <c r="N2624" s="129"/>
      <c r="O2624" s="129"/>
      <c r="P2624" s="146"/>
      <c r="Q2624" s="170"/>
      <c r="R2624" s="171"/>
      <c r="S2624" s="172"/>
    </row>
    <row r="2625" spans="1:19" ht="42.75">
      <c r="A2625" s="164" t="s">
        <v>779</v>
      </c>
      <c r="B2625" s="165" t="s">
        <v>1489</v>
      </c>
      <c r="C2625" s="165" t="s">
        <v>6089</v>
      </c>
      <c r="D2625" s="164">
        <v>1163</v>
      </c>
      <c r="E2625" s="164">
        <v>1151</v>
      </c>
      <c r="F2625" s="164" t="s">
        <v>3955</v>
      </c>
      <c r="G2625" s="164"/>
      <c r="H2625" s="167"/>
      <c r="I2625" s="167"/>
      <c r="J2625" s="167"/>
      <c r="K2625" s="169"/>
      <c r="L2625" s="129"/>
      <c r="M2625" s="129"/>
      <c r="N2625" s="129"/>
      <c r="O2625" s="129"/>
      <c r="P2625" s="146"/>
      <c r="Q2625" s="170"/>
      <c r="R2625" s="171"/>
      <c r="S2625" s="172"/>
    </row>
    <row r="2626" spans="1:19" ht="42.75">
      <c r="A2626" s="164" t="s">
        <v>779</v>
      </c>
      <c r="B2626" s="165" t="s">
        <v>1489</v>
      </c>
      <c r="C2626" s="165" t="s">
        <v>6090</v>
      </c>
      <c r="D2626" s="164">
        <v>979</v>
      </c>
      <c r="E2626" s="164">
        <v>1058</v>
      </c>
      <c r="F2626" s="164" t="s">
        <v>3404</v>
      </c>
      <c r="G2626" s="164">
        <v>2024</v>
      </c>
      <c r="H2626" s="175">
        <v>45448</v>
      </c>
      <c r="I2626" s="175">
        <v>45450</v>
      </c>
      <c r="J2626" s="168" t="s">
        <v>7478</v>
      </c>
      <c r="K2626" s="174">
        <v>45462</v>
      </c>
      <c r="L2626" s="129" t="s">
        <v>3689</v>
      </c>
      <c r="M2626" s="129"/>
      <c r="N2626" s="129"/>
      <c r="O2626" s="129" t="s">
        <v>3406</v>
      </c>
      <c r="P2626" s="146"/>
      <c r="Q2626" s="170">
        <v>45463</v>
      </c>
      <c r="R2626" s="171"/>
      <c r="S2626" s="172"/>
    </row>
    <row r="2627" spans="1:19" ht="42.75">
      <c r="A2627" s="164" t="s">
        <v>779</v>
      </c>
      <c r="B2627" s="165" t="s">
        <v>1489</v>
      </c>
      <c r="C2627" s="165" t="s">
        <v>4950</v>
      </c>
      <c r="D2627" s="164">
        <v>2029</v>
      </c>
      <c r="E2627" s="164">
        <v>2236</v>
      </c>
      <c r="F2627" s="164" t="s">
        <v>3955</v>
      </c>
      <c r="G2627" s="164"/>
      <c r="H2627" s="167"/>
      <c r="I2627" s="167"/>
      <c r="J2627" s="167"/>
      <c r="K2627" s="169"/>
      <c r="L2627" s="129"/>
      <c r="M2627" s="129"/>
      <c r="N2627" s="129"/>
      <c r="O2627" s="129"/>
      <c r="P2627" s="146"/>
      <c r="Q2627" s="170"/>
      <c r="R2627" s="171"/>
      <c r="S2627" s="172"/>
    </row>
    <row r="2628" spans="1:19" ht="42.75">
      <c r="A2628" s="164" t="s">
        <v>779</v>
      </c>
      <c r="B2628" s="165" t="s">
        <v>1489</v>
      </c>
      <c r="C2628" s="165" t="s">
        <v>1424</v>
      </c>
      <c r="D2628" s="164">
        <v>1674</v>
      </c>
      <c r="E2628" s="164">
        <v>1769</v>
      </c>
      <c r="F2628" s="164" t="s">
        <v>3404</v>
      </c>
      <c r="G2628" s="164">
        <v>2024</v>
      </c>
      <c r="H2628" s="175">
        <v>45567</v>
      </c>
      <c r="I2628" s="175">
        <v>45567</v>
      </c>
      <c r="J2628" s="168" t="s">
        <v>7479</v>
      </c>
      <c r="K2628" s="174">
        <v>45574</v>
      </c>
      <c r="L2628" s="129" t="s">
        <v>3128</v>
      </c>
      <c r="M2628" s="129" t="s">
        <v>4</v>
      </c>
      <c r="N2628" s="129" t="s">
        <v>50</v>
      </c>
      <c r="O2628" s="129" t="s">
        <v>3406</v>
      </c>
      <c r="P2628" s="146"/>
      <c r="Q2628" s="189">
        <v>45574</v>
      </c>
      <c r="R2628" s="115" t="s">
        <v>7475</v>
      </c>
      <c r="S2628" s="163"/>
    </row>
    <row r="2629" spans="1:19" ht="42.75">
      <c r="A2629" s="164" t="s">
        <v>779</v>
      </c>
      <c r="B2629" s="165" t="s">
        <v>1489</v>
      </c>
      <c r="C2629" s="165" t="s">
        <v>6095</v>
      </c>
      <c r="D2629" s="164">
        <v>2233</v>
      </c>
      <c r="E2629" s="164">
        <v>2680</v>
      </c>
      <c r="F2629" s="164" t="s">
        <v>3955</v>
      </c>
      <c r="G2629" s="164"/>
      <c r="H2629" s="167"/>
      <c r="I2629" s="167"/>
      <c r="J2629" s="167"/>
      <c r="K2629" s="169"/>
      <c r="L2629" s="129"/>
      <c r="M2629" s="129"/>
      <c r="N2629" s="129"/>
      <c r="O2629" s="129"/>
      <c r="P2629" s="146"/>
      <c r="Q2629" s="170"/>
      <c r="R2629" s="171"/>
      <c r="S2629" s="172"/>
    </row>
    <row r="2630" spans="1:19" ht="42.75">
      <c r="A2630" s="164" t="s">
        <v>779</v>
      </c>
      <c r="B2630" s="165" t="s">
        <v>1489</v>
      </c>
      <c r="C2630" s="165" t="s">
        <v>6092</v>
      </c>
      <c r="D2630" s="164">
        <v>889</v>
      </c>
      <c r="E2630" s="164">
        <v>945</v>
      </c>
      <c r="F2630" s="164" t="s">
        <v>3955</v>
      </c>
      <c r="G2630" s="164"/>
      <c r="H2630" s="167"/>
      <c r="I2630" s="167"/>
      <c r="J2630" s="167"/>
      <c r="K2630" s="169"/>
      <c r="L2630" s="129"/>
      <c r="M2630" s="129"/>
      <c r="N2630" s="129"/>
      <c r="O2630" s="129"/>
      <c r="P2630" s="146"/>
      <c r="Q2630" s="170"/>
      <c r="R2630" s="171"/>
      <c r="S2630" s="172"/>
    </row>
    <row r="2631" spans="1:19" ht="42.75">
      <c r="A2631" s="164" t="s">
        <v>779</v>
      </c>
      <c r="B2631" s="165" t="s">
        <v>1489</v>
      </c>
      <c r="C2631" s="165" t="s">
        <v>6093</v>
      </c>
      <c r="D2631" s="164">
        <v>1300</v>
      </c>
      <c r="E2631" s="164">
        <v>1557</v>
      </c>
      <c r="F2631" s="164" t="s">
        <v>3955</v>
      </c>
      <c r="G2631" s="164"/>
      <c r="H2631" s="167"/>
      <c r="I2631" s="167"/>
      <c r="J2631" s="167"/>
      <c r="K2631" s="169"/>
      <c r="L2631" s="129"/>
      <c r="M2631" s="129"/>
      <c r="N2631" s="129"/>
      <c r="O2631" s="129"/>
      <c r="P2631" s="146"/>
      <c r="Q2631" s="170"/>
      <c r="R2631" s="171"/>
      <c r="S2631" s="172"/>
    </row>
    <row r="2632" spans="1:19" ht="42.75">
      <c r="A2632" s="164" t="s">
        <v>779</v>
      </c>
      <c r="B2632" s="165" t="s">
        <v>1489</v>
      </c>
      <c r="C2632" s="165" t="s">
        <v>6094</v>
      </c>
      <c r="D2632" s="164">
        <v>668</v>
      </c>
      <c r="E2632" s="164">
        <v>861</v>
      </c>
      <c r="F2632" s="164" t="s">
        <v>3955</v>
      </c>
      <c r="G2632" s="164"/>
      <c r="H2632" s="167"/>
      <c r="I2632" s="167"/>
      <c r="J2632" s="167"/>
      <c r="K2632" s="169"/>
      <c r="L2632" s="129"/>
      <c r="M2632" s="129"/>
      <c r="N2632" s="129"/>
      <c r="O2632" s="129"/>
      <c r="P2632" s="146"/>
      <c r="Q2632" s="170"/>
      <c r="R2632" s="171"/>
      <c r="S2632" s="172"/>
    </row>
    <row r="2633" spans="1:19" ht="42.75">
      <c r="A2633" s="164" t="s">
        <v>779</v>
      </c>
      <c r="B2633" s="165" t="s">
        <v>1493</v>
      </c>
      <c r="C2633" s="165" t="s">
        <v>6097</v>
      </c>
      <c r="D2633" s="164">
        <v>4828</v>
      </c>
      <c r="E2633" s="164">
        <v>4612</v>
      </c>
      <c r="F2633" s="164" t="s">
        <v>3955</v>
      </c>
      <c r="G2633" s="164"/>
      <c r="H2633" s="167"/>
      <c r="I2633" s="167"/>
      <c r="J2633" s="167"/>
      <c r="K2633" s="169"/>
      <c r="L2633" s="129"/>
      <c r="M2633" s="129"/>
      <c r="N2633" s="129"/>
      <c r="O2633" s="129"/>
      <c r="P2633" s="146"/>
      <c r="Q2633" s="170"/>
      <c r="R2633" s="171"/>
      <c r="S2633" s="172"/>
    </row>
    <row r="2634" spans="1:19" ht="42.75">
      <c r="A2634" s="164" t="s">
        <v>779</v>
      </c>
      <c r="B2634" s="165" t="s">
        <v>1493</v>
      </c>
      <c r="C2634" s="165" t="s">
        <v>6099</v>
      </c>
      <c r="D2634" s="164">
        <v>2049</v>
      </c>
      <c r="E2634" s="164">
        <v>2672</v>
      </c>
      <c r="F2634" s="164" t="s">
        <v>3955</v>
      </c>
      <c r="G2634" s="164"/>
      <c r="H2634" s="167"/>
      <c r="I2634" s="167"/>
      <c r="J2634" s="167"/>
      <c r="K2634" s="169"/>
      <c r="L2634" s="129"/>
      <c r="M2634" s="129"/>
      <c r="N2634" s="129"/>
      <c r="O2634" s="129"/>
      <c r="P2634" s="146"/>
      <c r="Q2634" s="170"/>
      <c r="R2634" s="171"/>
      <c r="S2634" s="172"/>
    </row>
    <row r="2635" spans="1:19" ht="42.75">
      <c r="A2635" s="164" t="s">
        <v>779</v>
      </c>
      <c r="B2635" s="165" t="s">
        <v>1493</v>
      </c>
      <c r="C2635" s="165" t="s">
        <v>6101</v>
      </c>
      <c r="D2635" s="164">
        <v>1508</v>
      </c>
      <c r="E2635" s="164">
        <v>1836</v>
      </c>
      <c r="F2635" s="164" t="s">
        <v>3955</v>
      </c>
      <c r="G2635" s="164"/>
      <c r="H2635" s="167"/>
      <c r="I2635" s="167"/>
      <c r="J2635" s="167"/>
      <c r="K2635" s="169"/>
      <c r="L2635" s="129"/>
      <c r="M2635" s="129"/>
      <c r="N2635" s="129"/>
      <c r="O2635" s="129"/>
      <c r="P2635" s="146"/>
      <c r="Q2635" s="170"/>
      <c r="R2635" s="171"/>
      <c r="S2635" s="172"/>
    </row>
    <row r="2636" spans="1:19" ht="42.75">
      <c r="A2636" s="164" t="s">
        <v>779</v>
      </c>
      <c r="B2636" s="165" t="s">
        <v>1493</v>
      </c>
      <c r="C2636" s="165" t="s">
        <v>6103</v>
      </c>
      <c r="D2636" s="164">
        <v>3314</v>
      </c>
      <c r="E2636" s="164">
        <v>3859</v>
      </c>
      <c r="F2636" s="164" t="s">
        <v>3955</v>
      </c>
      <c r="G2636" s="164"/>
      <c r="H2636" s="167"/>
      <c r="I2636" s="167"/>
      <c r="J2636" s="167"/>
      <c r="K2636" s="169"/>
      <c r="L2636" s="129"/>
      <c r="M2636" s="129"/>
      <c r="N2636" s="129"/>
      <c r="O2636" s="129"/>
      <c r="P2636" s="146"/>
      <c r="Q2636" s="170"/>
      <c r="R2636" s="171"/>
      <c r="S2636" s="172"/>
    </row>
    <row r="2637" spans="1:19" ht="42.75">
      <c r="A2637" s="164" t="s">
        <v>779</v>
      </c>
      <c r="B2637" s="165" t="s">
        <v>1493</v>
      </c>
      <c r="C2637" s="165" t="s">
        <v>6105</v>
      </c>
      <c r="D2637" s="164">
        <v>3620</v>
      </c>
      <c r="E2637" s="164">
        <v>4361</v>
      </c>
      <c r="F2637" s="164" t="s">
        <v>3955</v>
      </c>
      <c r="G2637" s="164"/>
      <c r="H2637" s="167"/>
      <c r="I2637" s="167"/>
      <c r="J2637" s="167"/>
      <c r="K2637" s="169"/>
      <c r="L2637" s="129"/>
      <c r="M2637" s="129"/>
      <c r="N2637" s="129"/>
      <c r="O2637" s="129"/>
      <c r="P2637" s="146"/>
      <c r="Q2637" s="170"/>
      <c r="R2637" s="171"/>
      <c r="S2637" s="172"/>
    </row>
    <row r="2638" spans="1:19" ht="42.75">
      <c r="A2638" s="164" t="s">
        <v>779</v>
      </c>
      <c r="B2638" s="165" t="s">
        <v>1493</v>
      </c>
      <c r="C2638" s="165" t="s">
        <v>6106</v>
      </c>
      <c r="D2638" s="164">
        <v>1174</v>
      </c>
      <c r="E2638" s="164">
        <v>1309</v>
      </c>
      <c r="F2638" s="164" t="s">
        <v>3955</v>
      </c>
      <c r="G2638" s="164"/>
      <c r="H2638" s="167"/>
      <c r="I2638" s="167"/>
      <c r="J2638" s="167"/>
      <c r="K2638" s="169"/>
      <c r="L2638" s="129"/>
      <c r="M2638" s="129"/>
      <c r="N2638" s="129"/>
      <c r="O2638" s="129"/>
      <c r="P2638" s="146"/>
      <c r="Q2638" s="170"/>
      <c r="R2638" s="171"/>
      <c r="S2638" s="172"/>
    </row>
    <row r="2639" spans="1:19" ht="42.75">
      <c r="A2639" s="164" t="s">
        <v>779</v>
      </c>
      <c r="B2639" s="165" t="s">
        <v>1493</v>
      </c>
      <c r="C2639" s="165" t="s">
        <v>6107</v>
      </c>
      <c r="D2639" s="164">
        <v>593</v>
      </c>
      <c r="E2639" s="164">
        <v>707</v>
      </c>
      <c r="F2639" s="164" t="s">
        <v>3955</v>
      </c>
      <c r="G2639" s="164"/>
      <c r="H2639" s="167"/>
      <c r="I2639" s="167"/>
      <c r="J2639" s="167"/>
      <c r="K2639" s="169"/>
      <c r="L2639" s="129"/>
      <c r="M2639" s="129"/>
      <c r="N2639" s="129"/>
      <c r="O2639" s="129"/>
      <c r="P2639" s="146"/>
      <c r="Q2639" s="170"/>
      <c r="R2639" s="171"/>
      <c r="S2639" s="172"/>
    </row>
    <row r="2640" spans="1:19" ht="42.75">
      <c r="A2640" s="164" t="s">
        <v>779</v>
      </c>
      <c r="B2640" s="165" t="s">
        <v>1493</v>
      </c>
      <c r="C2640" s="165" t="s">
        <v>1490</v>
      </c>
      <c r="D2640" s="164">
        <v>2073</v>
      </c>
      <c r="E2640" s="164">
        <v>2345</v>
      </c>
      <c r="F2640" s="164" t="s">
        <v>3955</v>
      </c>
      <c r="G2640" s="164"/>
      <c r="H2640" s="167"/>
      <c r="I2640" s="167"/>
      <c r="J2640" s="167"/>
      <c r="K2640" s="169"/>
      <c r="L2640" s="129"/>
      <c r="M2640" s="129"/>
      <c r="N2640" s="129"/>
      <c r="O2640" s="129"/>
      <c r="P2640" s="146"/>
      <c r="Q2640" s="170"/>
      <c r="R2640" s="171"/>
      <c r="S2640" s="172"/>
    </row>
    <row r="2641" spans="1:19" ht="42.75">
      <c r="A2641" s="164" t="s">
        <v>779</v>
      </c>
      <c r="B2641" s="165" t="s">
        <v>1493</v>
      </c>
      <c r="C2641" s="165" t="s">
        <v>6108</v>
      </c>
      <c r="D2641" s="164">
        <v>2890</v>
      </c>
      <c r="E2641" s="164">
        <v>3128</v>
      </c>
      <c r="F2641" s="164" t="s">
        <v>3955</v>
      </c>
      <c r="G2641" s="164"/>
      <c r="H2641" s="167"/>
      <c r="I2641" s="167"/>
      <c r="J2641" s="167"/>
      <c r="K2641" s="169"/>
      <c r="L2641" s="129"/>
      <c r="M2641" s="129"/>
      <c r="N2641" s="129"/>
      <c r="O2641" s="129"/>
      <c r="P2641" s="146"/>
      <c r="Q2641" s="170"/>
      <c r="R2641" s="171"/>
      <c r="S2641" s="172"/>
    </row>
    <row r="2642" spans="1:19" ht="42.75">
      <c r="A2642" s="164" t="s">
        <v>779</v>
      </c>
      <c r="B2642" s="165" t="s">
        <v>1493</v>
      </c>
      <c r="C2642" s="165" t="s">
        <v>6140</v>
      </c>
      <c r="D2642" s="164">
        <v>2911</v>
      </c>
      <c r="E2642" s="164">
        <v>3211</v>
      </c>
      <c r="F2642" s="164" t="s">
        <v>3955</v>
      </c>
      <c r="G2642" s="164"/>
      <c r="H2642" s="167"/>
      <c r="I2642" s="167"/>
      <c r="J2642" s="167"/>
      <c r="K2642" s="169"/>
      <c r="L2642" s="129"/>
      <c r="M2642" s="129"/>
      <c r="N2642" s="129"/>
      <c r="O2642" s="129"/>
      <c r="P2642" s="146"/>
      <c r="Q2642" s="170"/>
      <c r="R2642" s="171"/>
      <c r="S2642" s="172"/>
    </row>
    <row r="2643" spans="1:19" ht="42.75">
      <c r="A2643" s="164" t="s">
        <v>779</v>
      </c>
      <c r="B2643" s="165" t="s">
        <v>1493</v>
      </c>
      <c r="C2643" s="165" t="s">
        <v>6109</v>
      </c>
      <c r="D2643" s="164">
        <v>4643</v>
      </c>
      <c r="E2643" s="164">
        <v>5196</v>
      </c>
      <c r="F2643" s="164" t="s">
        <v>3955</v>
      </c>
      <c r="G2643" s="164"/>
      <c r="H2643" s="167"/>
      <c r="I2643" s="167"/>
      <c r="J2643" s="167"/>
      <c r="K2643" s="169"/>
      <c r="L2643" s="129"/>
      <c r="M2643" s="129"/>
      <c r="N2643" s="129"/>
      <c r="O2643" s="129"/>
      <c r="P2643" s="146"/>
      <c r="Q2643" s="170"/>
      <c r="R2643" s="171"/>
      <c r="S2643" s="172"/>
    </row>
    <row r="2644" spans="1:19" ht="42.75">
      <c r="A2644" s="164" t="s">
        <v>779</v>
      </c>
      <c r="B2644" s="165" t="s">
        <v>1493</v>
      </c>
      <c r="C2644" s="165" t="s">
        <v>6111</v>
      </c>
      <c r="D2644" s="164">
        <v>1669</v>
      </c>
      <c r="E2644" s="164">
        <v>1872</v>
      </c>
      <c r="F2644" s="164" t="s">
        <v>3955</v>
      </c>
      <c r="G2644" s="164"/>
      <c r="H2644" s="167"/>
      <c r="I2644" s="167"/>
      <c r="J2644" s="167"/>
      <c r="K2644" s="169"/>
      <c r="L2644" s="129"/>
      <c r="M2644" s="129"/>
      <c r="N2644" s="129"/>
      <c r="O2644" s="129"/>
      <c r="P2644" s="146"/>
      <c r="Q2644" s="170"/>
      <c r="R2644" s="171"/>
      <c r="S2644" s="172"/>
    </row>
    <row r="2645" spans="1:19" ht="42.75">
      <c r="A2645" s="164" t="s">
        <v>779</v>
      </c>
      <c r="B2645" s="165" t="s">
        <v>1493</v>
      </c>
      <c r="C2645" s="165" t="s">
        <v>6113</v>
      </c>
      <c r="D2645" s="164">
        <v>1675</v>
      </c>
      <c r="E2645" s="164">
        <v>1657</v>
      </c>
      <c r="F2645" s="164" t="s">
        <v>3955</v>
      </c>
      <c r="G2645" s="164"/>
      <c r="H2645" s="167"/>
      <c r="I2645" s="167"/>
      <c r="J2645" s="167"/>
      <c r="K2645" s="169"/>
      <c r="L2645" s="129"/>
      <c r="M2645" s="129"/>
      <c r="N2645" s="129"/>
      <c r="O2645" s="129"/>
      <c r="P2645" s="146"/>
      <c r="Q2645" s="170"/>
      <c r="R2645" s="171"/>
      <c r="S2645" s="172"/>
    </row>
    <row r="2646" spans="1:19" ht="42.75">
      <c r="A2646" s="164" t="s">
        <v>779</v>
      </c>
      <c r="B2646" s="165" t="s">
        <v>1493</v>
      </c>
      <c r="C2646" s="165" t="s">
        <v>6115</v>
      </c>
      <c r="D2646" s="164">
        <v>2298</v>
      </c>
      <c r="E2646" s="164">
        <v>2329</v>
      </c>
      <c r="F2646" s="164" t="s">
        <v>3955</v>
      </c>
      <c r="G2646" s="164"/>
      <c r="H2646" s="167"/>
      <c r="I2646" s="167"/>
      <c r="J2646" s="167"/>
      <c r="K2646" s="169"/>
      <c r="L2646" s="129"/>
      <c r="M2646" s="129"/>
      <c r="N2646" s="129"/>
      <c r="O2646" s="129"/>
      <c r="P2646" s="146"/>
      <c r="Q2646" s="170"/>
      <c r="R2646" s="171"/>
      <c r="S2646" s="172"/>
    </row>
    <row r="2647" spans="1:19" ht="42.75">
      <c r="A2647" s="164" t="s">
        <v>779</v>
      </c>
      <c r="B2647" s="165" t="s">
        <v>1493</v>
      </c>
      <c r="C2647" s="165" t="s">
        <v>1494</v>
      </c>
      <c r="D2647" s="164">
        <v>1296</v>
      </c>
      <c r="E2647" s="164">
        <v>1424</v>
      </c>
      <c r="F2647" s="164" t="s">
        <v>3955</v>
      </c>
      <c r="G2647" s="164"/>
      <c r="H2647" s="167"/>
      <c r="I2647" s="167"/>
      <c r="J2647" s="167"/>
      <c r="K2647" s="169"/>
      <c r="L2647" s="129"/>
      <c r="M2647" s="129"/>
      <c r="N2647" s="129"/>
      <c r="O2647" s="129"/>
      <c r="P2647" s="146"/>
      <c r="Q2647" s="170"/>
      <c r="R2647" s="171"/>
      <c r="S2647" s="172"/>
    </row>
    <row r="2648" spans="1:19" ht="42.75">
      <c r="A2648" s="164" t="s">
        <v>779</v>
      </c>
      <c r="B2648" s="165" t="s">
        <v>1493</v>
      </c>
      <c r="C2648" s="165" t="s">
        <v>6117</v>
      </c>
      <c r="D2648" s="164">
        <v>4039</v>
      </c>
      <c r="E2648" s="164">
        <v>4755</v>
      </c>
      <c r="F2648" s="164" t="s">
        <v>3955</v>
      </c>
      <c r="G2648" s="164"/>
      <c r="H2648" s="167"/>
      <c r="I2648" s="167"/>
      <c r="J2648" s="167"/>
      <c r="K2648" s="169"/>
      <c r="L2648" s="129"/>
      <c r="M2648" s="129"/>
      <c r="N2648" s="129"/>
      <c r="O2648" s="129"/>
      <c r="P2648" s="146"/>
      <c r="Q2648" s="170"/>
      <c r="R2648" s="171"/>
      <c r="S2648" s="172"/>
    </row>
    <row r="2649" spans="1:19" ht="42.75">
      <c r="A2649" s="164" t="s">
        <v>779</v>
      </c>
      <c r="B2649" s="165" t="s">
        <v>1493</v>
      </c>
      <c r="C2649" s="165" t="s">
        <v>6119</v>
      </c>
      <c r="D2649" s="164">
        <v>2312</v>
      </c>
      <c r="E2649" s="164">
        <v>2520</v>
      </c>
      <c r="F2649" s="164" t="s">
        <v>3955</v>
      </c>
      <c r="G2649" s="164"/>
      <c r="H2649" s="167"/>
      <c r="I2649" s="167"/>
      <c r="J2649" s="167"/>
      <c r="K2649" s="169"/>
      <c r="L2649" s="129"/>
      <c r="M2649" s="129"/>
      <c r="N2649" s="129"/>
      <c r="O2649" s="129"/>
      <c r="P2649" s="146"/>
      <c r="Q2649" s="170"/>
      <c r="R2649" s="171"/>
      <c r="S2649" s="172"/>
    </row>
    <row r="2650" spans="1:19" ht="42.75">
      <c r="A2650" s="164" t="s">
        <v>779</v>
      </c>
      <c r="B2650" s="165" t="s">
        <v>1493</v>
      </c>
      <c r="C2650" s="165" t="s">
        <v>6120</v>
      </c>
      <c r="D2650" s="164">
        <v>1218</v>
      </c>
      <c r="E2650" s="164">
        <v>1552</v>
      </c>
      <c r="F2650" s="164" t="s">
        <v>3955</v>
      </c>
      <c r="G2650" s="164"/>
      <c r="H2650" s="167"/>
      <c r="I2650" s="167"/>
      <c r="J2650" s="167"/>
      <c r="K2650" s="169"/>
      <c r="L2650" s="129"/>
      <c r="M2650" s="129"/>
      <c r="N2650" s="129"/>
      <c r="O2650" s="129"/>
      <c r="P2650" s="146"/>
      <c r="Q2650" s="170"/>
      <c r="R2650" s="171"/>
      <c r="S2650" s="172"/>
    </row>
    <row r="2651" spans="1:19" ht="42.75">
      <c r="A2651" s="164" t="s">
        <v>779</v>
      </c>
      <c r="B2651" s="165" t="s">
        <v>1493</v>
      </c>
      <c r="C2651" s="165" t="s">
        <v>6121</v>
      </c>
      <c r="D2651" s="164">
        <v>1753</v>
      </c>
      <c r="E2651" s="164">
        <v>2230</v>
      </c>
      <c r="F2651" s="164" t="s">
        <v>3955</v>
      </c>
      <c r="G2651" s="164"/>
      <c r="H2651" s="167"/>
      <c r="I2651" s="167"/>
      <c r="J2651" s="167"/>
      <c r="K2651" s="169"/>
      <c r="L2651" s="129"/>
      <c r="M2651" s="129"/>
      <c r="N2651" s="129"/>
      <c r="O2651" s="129"/>
      <c r="P2651" s="146"/>
      <c r="Q2651" s="170"/>
      <c r="R2651" s="171"/>
      <c r="S2651" s="172"/>
    </row>
    <row r="2652" spans="1:19" ht="42.75">
      <c r="A2652" s="164" t="s">
        <v>779</v>
      </c>
      <c r="B2652" s="165" t="s">
        <v>1493</v>
      </c>
      <c r="C2652" s="165" t="s">
        <v>6123</v>
      </c>
      <c r="D2652" s="164">
        <v>1018</v>
      </c>
      <c r="E2652" s="164">
        <v>1090</v>
      </c>
      <c r="F2652" s="164" t="s">
        <v>3955</v>
      </c>
      <c r="G2652" s="164"/>
      <c r="H2652" s="167"/>
      <c r="I2652" s="167"/>
      <c r="J2652" s="167"/>
      <c r="K2652" s="169"/>
      <c r="L2652" s="129"/>
      <c r="M2652" s="129"/>
      <c r="N2652" s="129"/>
      <c r="O2652" s="129"/>
      <c r="P2652" s="146"/>
      <c r="Q2652" s="170"/>
      <c r="R2652" s="171"/>
      <c r="S2652" s="172"/>
    </row>
    <row r="2653" spans="1:19" ht="42.75">
      <c r="A2653" s="164" t="s">
        <v>779</v>
      </c>
      <c r="B2653" s="165" t="s">
        <v>1493</v>
      </c>
      <c r="C2653" s="165" t="s">
        <v>6124</v>
      </c>
      <c r="D2653" s="164">
        <v>3975</v>
      </c>
      <c r="E2653" s="164">
        <v>4494</v>
      </c>
      <c r="F2653" s="164" t="s">
        <v>3955</v>
      </c>
      <c r="G2653" s="164"/>
      <c r="H2653" s="167"/>
      <c r="I2653" s="167"/>
      <c r="J2653" s="167"/>
      <c r="K2653" s="169"/>
      <c r="L2653" s="129"/>
      <c r="M2653" s="129"/>
      <c r="N2653" s="129"/>
      <c r="O2653" s="129"/>
      <c r="P2653" s="146"/>
      <c r="Q2653" s="170"/>
      <c r="R2653" s="171"/>
      <c r="S2653" s="172"/>
    </row>
    <row r="2654" spans="1:19" ht="42.75">
      <c r="A2654" s="164" t="s">
        <v>779</v>
      </c>
      <c r="B2654" s="165" t="s">
        <v>1493</v>
      </c>
      <c r="C2654" s="165" t="s">
        <v>6126</v>
      </c>
      <c r="D2654" s="164">
        <v>1631</v>
      </c>
      <c r="E2654" s="164">
        <v>1654</v>
      </c>
      <c r="F2654" s="164" t="s">
        <v>3955</v>
      </c>
      <c r="G2654" s="164"/>
      <c r="H2654" s="167"/>
      <c r="I2654" s="167"/>
      <c r="J2654" s="167"/>
      <c r="K2654" s="169"/>
      <c r="L2654" s="129"/>
      <c r="M2654" s="129"/>
      <c r="N2654" s="129"/>
      <c r="O2654" s="129"/>
      <c r="P2654" s="146"/>
      <c r="Q2654" s="170"/>
      <c r="R2654" s="171"/>
      <c r="S2654" s="172"/>
    </row>
    <row r="2655" spans="1:19" ht="42.75">
      <c r="A2655" s="164" t="s">
        <v>779</v>
      </c>
      <c r="B2655" s="165" t="s">
        <v>1493</v>
      </c>
      <c r="C2655" s="165" t="s">
        <v>6127</v>
      </c>
      <c r="D2655" s="164">
        <v>2835</v>
      </c>
      <c r="E2655" s="164">
        <v>3247</v>
      </c>
      <c r="F2655" s="164" t="s">
        <v>3955</v>
      </c>
      <c r="G2655" s="164"/>
      <c r="H2655" s="167"/>
      <c r="I2655" s="167"/>
      <c r="J2655" s="167"/>
      <c r="K2655" s="169"/>
      <c r="L2655" s="129"/>
      <c r="M2655" s="129"/>
      <c r="N2655" s="129"/>
      <c r="O2655" s="129"/>
      <c r="P2655" s="146"/>
      <c r="Q2655" s="170"/>
      <c r="R2655" s="171"/>
      <c r="S2655" s="172"/>
    </row>
    <row r="2656" spans="1:19" ht="42.75">
      <c r="A2656" s="164" t="s">
        <v>779</v>
      </c>
      <c r="B2656" s="165" t="s">
        <v>1493</v>
      </c>
      <c r="C2656" s="165" t="s">
        <v>1486</v>
      </c>
      <c r="D2656" s="164">
        <v>8581</v>
      </c>
      <c r="E2656" s="164">
        <v>8825</v>
      </c>
      <c r="F2656" s="164" t="s">
        <v>3955</v>
      </c>
      <c r="G2656" s="164"/>
      <c r="H2656" s="167"/>
      <c r="I2656" s="167"/>
      <c r="J2656" s="167"/>
      <c r="K2656" s="169"/>
      <c r="L2656" s="129"/>
      <c r="M2656" s="129"/>
      <c r="N2656" s="129"/>
      <c r="O2656" s="129"/>
      <c r="P2656" s="146"/>
      <c r="Q2656" s="170"/>
      <c r="R2656" s="171"/>
      <c r="S2656" s="172"/>
    </row>
    <row r="2657" spans="1:19" ht="42.75">
      <c r="A2657" s="164" t="s">
        <v>779</v>
      </c>
      <c r="B2657" s="165" t="s">
        <v>1493</v>
      </c>
      <c r="C2657" s="165" t="s">
        <v>4946</v>
      </c>
      <c r="D2657" s="164">
        <v>4933</v>
      </c>
      <c r="E2657" s="164">
        <v>4719</v>
      </c>
      <c r="F2657" s="164" t="s">
        <v>3955</v>
      </c>
      <c r="G2657" s="164"/>
      <c r="H2657" s="167"/>
      <c r="I2657" s="167"/>
      <c r="J2657" s="167"/>
      <c r="K2657" s="169"/>
      <c r="L2657" s="129"/>
      <c r="M2657" s="129"/>
      <c r="N2657" s="129"/>
      <c r="O2657" s="129"/>
      <c r="P2657" s="146"/>
      <c r="Q2657" s="170"/>
      <c r="R2657" s="171"/>
      <c r="S2657" s="172"/>
    </row>
    <row r="2658" spans="1:19" ht="42.75">
      <c r="A2658" s="164" t="s">
        <v>779</v>
      </c>
      <c r="B2658" s="165" t="s">
        <v>1493</v>
      </c>
      <c r="C2658" s="165" t="s">
        <v>5233</v>
      </c>
      <c r="D2658" s="164">
        <v>2113</v>
      </c>
      <c r="E2658" s="164">
        <v>2399</v>
      </c>
      <c r="F2658" s="164" t="s">
        <v>3955</v>
      </c>
      <c r="G2658" s="164"/>
      <c r="H2658" s="167"/>
      <c r="I2658" s="167"/>
      <c r="J2658" s="167"/>
      <c r="K2658" s="169"/>
      <c r="L2658" s="129"/>
      <c r="M2658" s="129"/>
      <c r="N2658" s="129"/>
      <c r="O2658" s="129"/>
      <c r="P2658" s="146"/>
      <c r="Q2658" s="170"/>
      <c r="R2658" s="171"/>
      <c r="S2658" s="172"/>
    </row>
    <row r="2659" spans="1:19" ht="42.75">
      <c r="A2659" s="164" t="s">
        <v>779</v>
      </c>
      <c r="B2659" s="165" t="s">
        <v>1493</v>
      </c>
      <c r="C2659" s="165" t="s">
        <v>6132</v>
      </c>
      <c r="D2659" s="164">
        <v>3408</v>
      </c>
      <c r="E2659" s="164">
        <v>3529</v>
      </c>
      <c r="F2659" s="164" t="s">
        <v>3955</v>
      </c>
      <c r="G2659" s="164"/>
      <c r="H2659" s="167"/>
      <c r="I2659" s="167"/>
      <c r="J2659" s="167"/>
      <c r="K2659" s="169"/>
      <c r="L2659" s="129"/>
      <c r="M2659" s="129"/>
      <c r="N2659" s="129"/>
      <c r="O2659" s="129"/>
      <c r="P2659" s="146"/>
      <c r="Q2659" s="170"/>
      <c r="R2659" s="171"/>
      <c r="S2659" s="172"/>
    </row>
    <row r="2660" spans="1:19" ht="42.75">
      <c r="A2660" s="164" t="s">
        <v>779</v>
      </c>
      <c r="B2660" s="165" t="s">
        <v>1493</v>
      </c>
      <c r="C2660" s="165" t="s">
        <v>6134</v>
      </c>
      <c r="D2660" s="164">
        <v>4986</v>
      </c>
      <c r="E2660" s="164">
        <v>6253</v>
      </c>
      <c r="F2660" s="164" t="s">
        <v>3955</v>
      </c>
      <c r="G2660" s="164"/>
      <c r="H2660" s="167"/>
      <c r="I2660" s="167"/>
      <c r="J2660" s="167"/>
      <c r="K2660" s="169"/>
      <c r="L2660" s="129"/>
      <c r="M2660" s="129"/>
      <c r="N2660" s="129"/>
      <c r="O2660" s="129"/>
      <c r="P2660" s="146"/>
      <c r="Q2660" s="170"/>
      <c r="R2660" s="171"/>
      <c r="S2660" s="172"/>
    </row>
    <row r="2661" spans="1:19" ht="42.75">
      <c r="A2661" s="164" t="s">
        <v>779</v>
      </c>
      <c r="B2661" s="165" t="s">
        <v>1493</v>
      </c>
      <c r="C2661" s="165" t="s">
        <v>3809</v>
      </c>
      <c r="D2661" s="164">
        <v>1396</v>
      </c>
      <c r="E2661" s="164">
        <v>1682</v>
      </c>
      <c r="F2661" s="164" t="s">
        <v>3955</v>
      </c>
      <c r="G2661" s="164"/>
      <c r="H2661" s="167"/>
      <c r="I2661" s="167"/>
      <c r="J2661" s="167"/>
      <c r="K2661" s="169"/>
      <c r="L2661" s="129"/>
      <c r="M2661" s="129"/>
      <c r="N2661" s="129"/>
      <c r="O2661" s="129"/>
      <c r="P2661" s="146"/>
      <c r="Q2661" s="170"/>
      <c r="R2661" s="171"/>
      <c r="S2661" s="172"/>
    </row>
    <row r="2662" spans="1:19" ht="42.75">
      <c r="A2662" s="164" t="s">
        <v>779</v>
      </c>
      <c r="B2662" s="165" t="s">
        <v>1493</v>
      </c>
      <c r="C2662" s="165" t="s">
        <v>1180</v>
      </c>
      <c r="D2662" s="164">
        <v>2049</v>
      </c>
      <c r="E2662" s="164">
        <v>2202</v>
      </c>
      <c r="F2662" s="164" t="s">
        <v>3404</v>
      </c>
      <c r="G2662" s="164">
        <v>2024</v>
      </c>
      <c r="H2662" s="175">
        <v>45545</v>
      </c>
      <c r="I2662" s="175">
        <v>45552</v>
      </c>
      <c r="J2662" s="168" t="s">
        <v>7480</v>
      </c>
      <c r="K2662" s="174">
        <v>45553</v>
      </c>
      <c r="L2662" s="129" t="s">
        <v>3127</v>
      </c>
      <c r="M2662" s="129" t="s">
        <v>1078</v>
      </c>
      <c r="N2662" s="129" t="s">
        <v>50</v>
      </c>
      <c r="O2662" s="129" t="s">
        <v>3406</v>
      </c>
      <c r="P2662" s="146"/>
      <c r="Q2662" s="170">
        <v>45553</v>
      </c>
      <c r="R2662" s="171" t="s">
        <v>7475</v>
      </c>
      <c r="S2662" s="172"/>
    </row>
    <row r="2663" spans="1:19" ht="42.75">
      <c r="A2663" s="164" t="s">
        <v>779</v>
      </c>
      <c r="B2663" s="165" t="s">
        <v>1493</v>
      </c>
      <c r="C2663" s="165" t="s">
        <v>6136</v>
      </c>
      <c r="D2663" s="164">
        <v>926</v>
      </c>
      <c r="E2663" s="164">
        <v>1077</v>
      </c>
      <c r="F2663" s="164" t="s">
        <v>3955</v>
      </c>
      <c r="G2663" s="164"/>
      <c r="H2663" s="167"/>
      <c r="I2663" s="167"/>
      <c r="J2663" s="167"/>
      <c r="K2663" s="169"/>
      <c r="L2663" s="129"/>
      <c r="M2663" s="129"/>
      <c r="N2663" s="129"/>
      <c r="O2663" s="129"/>
      <c r="P2663" s="146"/>
      <c r="Q2663" s="170"/>
      <c r="R2663" s="171"/>
      <c r="S2663" s="172"/>
    </row>
    <row r="2664" spans="1:19" ht="42.75">
      <c r="A2664" s="164" t="s">
        <v>779</v>
      </c>
      <c r="B2664" s="165" t="s">
        <v>1493</v>
      </c>
      <c r="C2664" s="165" t="s">
        <v>4027</v>
      </c>
      <c r="D2664" s="164">
        <v>1711</v>
      </c>
      <c r="E2664" s="164">
        <v>2088</v>
      </c>
      <c r="F2664" s="164" t="s">
        <v>3404</v>
      </c>
      <c r="G2664" s="164">
        <v>2024</v>
      </c>
      <c r="H2664" s="175">
        <v>45476</v>
      </c>
      <c r="I2664" s="175">
        <v>45478</v>
      </c>
      <c r="J2664" s="168" t="s">
        <v>7481</v>
      </c>
      <c r="K2664" s="174">
        <v>45488</v>
      </c>
      <c r="L2664" s="129" t="s">
        <v>3125</v>
      </c>
      <c r="M2664" s="129" t="s">
        <v>4</v>
      </c>
      <c r="N2664" s="129" t="s">
        <v>50</v>
      </c>
      <c r="O2664" s="129" t="s">
        <v>3406</v>
      </c>
      <c r="P2664" s="146"/>
      <c r="Q2664" s="170">
        <v>45489</v>
      </c>
      <c r="R2664" s="171"/>
      <c r="S2664" s="172"/>
    </row>
    <row r="2665" spans="1:19" ht="42.75">
      <c r="A2665" s="164" t="s">
        <v>779</v>
      </c>
      <c r="B2665" s="165" t="s">
        <v>1493</v>
      </c>
      <c r="C2665" s="165" t="s">
        <v>6137</v>
      </c>
      <c r="D2665" s="164">
        <v>2051</v>
      </c>
      <c r="E2665" s="164">
        <v>2160</v>
      </c>
      <c r="F2665" s="164" t="s">
        <v>3955</v>
      </c>
      <c r="G2665" s="164"/>
      <c r="H2665" s="167"/>
      <c r="I2665" s="167"/>
      <c r="J2665" s="167"/>
      <c r="K2665" s="169"/>
      <c r="L2665" s="129"/>
      <c r="M2665" s="129"/>
      <c r="N2665" s="129"/>
      <c r="O2665" s="129"/>
      <c r="P2665" s="146"/>
      <c r="Q2665" s="170"/>
      <c r="R2665" s="171"/>
      <c r="S2665" s="172"/>
    </row>
    <row r="2666" spans="1:19" ht="42.75">
      <c r="A2666" s="164" t="s">
        <v>779</v>
      </c>
      <c r="B2666" s="165" t="s">
        <v>1493</v>
      </c>
      <c r="C2666" s="165" t="s">
        <v>6138</v>
      </c>
      <c r="D2666" s="164">
        <v>2689</v>
      </c>
      <c r="E2666" s="164">
        <v>3082</v>
      </c>
      <c r="F2666" s="164" t="s">
        <v>3955</v>
      </c>
      <c r="G2666" s="164"/>
      <c r="H2666" s="167"/>
      <c r="I2666" s="167"/>
      <c r="J2666" s="167"/>
      <c r="K2666" s="169"/>
      <c r="L2666" s="129"/>
      <c r="M2666" s="129"/>
      <c r="N2666" s="129"/>
      <c r="O2666" s="129"/>
      <c r="P2666" s="146"/>
      <c r="Q2666" s="170"/>
      <c r="R2666" s="171"/>
      <c r="S2666" s="172"/>
    </row>
    <row r="2667" spans="1:19" ht="42.75">
      <c r="A2667" s="164" t="s">
        <v>779</v>
      </c>
      <c r="B2667" s="165" t="s">
        <v>1493</v>
      </c>
      <c r="C2667" s="165" t="s">
        <v>6139</v>
      </c>
      <c r="D2667" s="164">
        <v>2441</v>
      </c>
      <c r="E2667" s="164">
        <v>2927</v>
      </c>
      <c r="F2667" s="164" t="s">
        <v>3404</v>
      </c>
      <c r="G2667" s="164">
        <v>2024</v>
      </c>
      <c r="H2667" s="175">
        <v>45476</v>
      </c>
      <c r="I2667" s="175">
        <v>45478</v>
      </c>
      <c r="J2667" s="168" t="s">
        <v>7482</v>
      </c>
      <c r="K2667" s="174">
        <v>45488</v>
      </c>
      <c r="L2667" s="129" t="s">
        <v>3125</v>
      </c>
      <c r="M2667" s="129" t="s">
        <v>4</v>
      </c>
      <c r="N2667" s="129" t="s">
        <v>50</v>
      </c>
      <c r="O2667" s="129" t="s">
        <v>3406</v>
      </c>
      <c r="P2667" s="146"/>
      <c r="Q2667" s="170">
        <v>45489</v>
      </c>
      <c r="R2667" s="171"/>
      <c r="S2667" s="172"/>
    </row>
    <row r="2668" spans="1:19" ht="42.75">
      <c r="A2668" s="164" t="s">
        <v>779</v>
      </c>
      <c r="B2668" s="165" t="s">
        <v>1498</v>
      </c>
      <c r="C2668" s="165" t="s">
        <v>4045</v>
      </c>
      <c r="D2668" s="164">
        <v>1730</v>
      </c>
      <c r="E2668" s="164">
        <v>1835</v>
      </c>
      <c r="F2668" s="164" t="s">
        <v>3404</v>
      </c>
      <c r="G2668" s="164">
        <v>2024</v>
      </c>
      <c r="H2668" s="175">
        <v>45602</v>
      </c>
      <c r="I2668" s="175">
        <v>45602</v>
      </c>
      <c r="J2668" s="168" t="s">
        <v>7483</v>
      </c>
      <c r="K2668" s="174">
        <v>45612</v>
      </c>
      <c r="L2668" s="129" t="s">
        <v>3129</v>
      </c>
      <c r="M2668" s="129" t="s">
        <v>4</v>
      </c>
      <c r="N2668" s="129" t="s">
        <v>50</v>
      </c>
      <c r="O2668" s="129" t="s">
        <v>3406</v>
      </c>
      <c r="P2668" s="146"/>
      <c r="Q2668" s="170">
        <v>45614</v>
      </c>
      <c r="R2668" s="171" t="s">
        <v>6643</v>
      </c>
      <c r="S2668" s="172"/>
    </row>
    <row r="2669" spans="1:19" ht="42.75">
      <c r="A2669" s="164" t="s">
        <v>779</v>
      </c>
      <c r="B2669" s="165" t="s">
        <v>1498</v>
      </c>
      <c r="C2669" s="165" t="s">
        <v>3508</v>
      </c>
      <c r="D2669" s="164">
        <v>2932</v>
      </c>
      <c r="E2669" s="164">
        <v>3105</v>
      </c>
      <c r="F2669" s="164" t="s">
        <v>3955</v>
      </c>
      <c r="G2669" s="164"/>
      <c r="H2669" s="167"/>
      <c r="I2669" s="167"/>
      <c r="J2669" s="167"/>
      <c r="K2669" s="169"/>
      <c r="L2669" s="129"/>
      <c r="M2669" s="129"/>
      <c r="N2669" s="129"/>
      <c r="O2669" s="129"/>
      <c r="P2669" s="146"/>
      <c r="Q2669" s="170"/>
      <c r="R2669" s="171"/>
      <c r="S2669" s="172"/>
    </row>
    <row r="2670" spans="1:19" ht="42.75">
      <c r="A2670" s="164" t="s">
        <v>779</v>
      </c>
      <c r="B2670" s="165" t="s">
        <v>1498</v>
      </c>
      <c r="C2670" s="165" t="s">
        <v>6143</v>
      </c>
      <c r="D2670" s="164">
        <v>756</v>
      </c>
      <c r="E2670" s="164">
        <v>886</v>
      </c>
      <c r="F2670" s="164" t="s">
        <v>3955</v>
      </c>
      <c r="G2670" s="164"/>
      <c r="H2670" s="167"/>
      <c r="I2670" s="167"/>
      <c r="J2670" s="167"/>
      <c r="K2670" s="169"/>
      <c r="L2670" s="129"/>
      <c r="M2670" s="129"/>
      <c r="N2670" s="129"/>
      <c r="O2670" s="129"/>
      <c r="P2670" s="146"/>
      <c r="Q2670" s="170"/>
      <c r="R2670" s="171"/>
      <c r="S2670" s="172"/>
    </row>
    <row r="2671" spans="1:19" ht="42.75">
      <c r="A2671" s="164" t="s">
        <v>779</v>
      </c>
      <c r="B2671" s="165" t="s">
        <v>1498</v>
      </c>
      <c r="C2671" s="165" t="s">
        <v>6145</v>
      </c>
      <c r="D2671" s="164">
        <v>4201</v>
      </c>
      <c r="E2671" s="164">
        <v>4505</v>
      </c>
      <c r="F2671" s="164" t="s">
        <v>3404</v>
      </c>
      <c r="G2671" s="164">
        <v>2024</v>
      </c>
      <c r="H2671" s="175">
        <v>45419</v>
      </c>
      <c r="I2671" s="175">
        <v>45420</v>
      </c>
      <c r="J2671" s="168" t="s">
        <v>7484</v>
      </c>
      <c r="K2671" s="174">
        <v>45427</v>
      </c>
      <c r="L2671" s="129" t="s">
        <v>3532</v>
      </c>
      <c r="M2671" s="129"/>
      <c r="N2671" s="129"/>
      <c r="O2671" s="129" t="s">
        <v>3406</v>
      </c>
      <c r="P2671" s="146"/>
      <c r="Q2671" s="170"/>
      <c r="R2671" s="171"/>
      <c r="S2671" s="172"/>
    </row>
    <row r="2672" spans="1:19" ht="42.75">
      <c r="A2672" s="164" t="s">
        <v>779</v>
      </c>
      <c r="B2672" s="165" t="s">
        <v>1498</v>
      </c>
      <c r="C2672" s="165" t="s">
        <v>4943</v>
      </c>
      <c r="D2672" s="164">
        <v>1437</v>
      </c>
      <c r="E2672" s="164">
        <v>1609</v>
      </c>
      <c r="F2672" s="164" t="s">
        <v>3955</v>
      </c>
      <c r="G2672" s="164"/>
      <c r="H2672" s="167"/>
      <c r="I2672" s="167"/>
      <c r="J2672" s="167"/>
      <c r="K2672" s="169"/>
      <c r="L2672" s="129"/>
      <c r="M2672" s="129"/>
      <c r="N2672" s="129"/>
      <c r="O2672" s="129"/>
      <c r="P2672" s="146"/>
      <c r="Q2672" s="170"/>
      <c r="R2672" s="171"/>
      <c r="S2672" s="172"/>
    </row>
    <row r="2673" spans="1:19" ht="42.75">
      <c r="A2673" s="164" t="s">
        <v>779</v>
      </c>
      <c r="B2673" s="165" t="s">
        <v>1498</v>
      </c>
      <c r="C2673" s="165" t="s">
        <v>5309</v>
      </c>
      <c r="D2673" s="164">
        <v>783</v>
      </c>
      <c r="E2673" s="164">
        <v>722</v>
      </c>
      <c r="F2673" s="164" t="s">
        <v>3955</v>
      </c>
      <c r="G2673" s="164"/>
      <c r="H2673" s="167"/>
      <c r="I2673" s="167"/>
      <c r="J2673" s="167"/>
      <c r="K2673" s="169"/>
      <c r="L2673" s="129"/>
      <c r="M2673" s="129"/>
      <c r="N2673" s="129"/>
      <c r="O2673" s="129"/>
      <c r="P2673" s="146"/>
      <c r="Q2673" s="170"/>
      <c r="R2673" s="171"/>
      <c r="S2673" s="172"/>
    </row>
    <row r="2674" spans="1:19" ht="42.75">
      <c r="A2674" s="164" t="s">
        <v>779</v>
      </c>
      <c r="B2674" s="165" t="s">
        <v>1498</v>
      </c>
      <c r="C2674" s="165" t="s">
        <v>1499</v>
      </c>
      <c r="D2674" s="164">
        <v>1193</v>
      </c>
      <c r="E2674" s="164">
        <v>1296</v>
      </c>
      <c r="F2674" s="164" t="s">
        <v>3955</v>
      </c>
      <c r="G2674" s="164"/>
      <c r="H2674" s="167"/>
      <c r="I2674" s="167"/>
      <c r="J2674" s="167"/>
      <c r="K2674" s="169"/>
      <c r="L2674" s="129"/>
      <c r="M2674" s="129"/>
      <c r="N2674" s="129"/>
      <c r="O2674" s="129"/>
      <c r="P2674" s="146"/>
      <c r="Q2674" s="170"/>
      <c r="R2674" s="171"/>
      <c r="S2674" s="172"/>
    </row>
    <row r="2675" spans="1:19" ht="42.75">
      <c r="A2675" s="164" t="s">
        <v>779</v>
      </c>
      <c r="B2675" s="165" t="s">
        <v>1498</v>
      </c>
      <c r="C2675" s="165" t="s">
        <v>6152</v>
      </c>
      <c r="D2675" s="164">
        <v>1406</v>
      </c>
      <c r="E2675" s="164">
        <v>1601</v>
      </c>
      <c r="F2675" s="164" t="s">
        <v>3955</v>
      </c>
      <c r="G2675" s="164"/>
      <c r="H2675" s="167"/>
      <c r="I2675" s="167"/>
      <c r="J2675" s="167"/>
      <c r="K2675" s="169"/>
      <c r="L2675" s="129"/>
      <c r="M2675" s="129"/>
      <c r="N2675" s="129"/>
      <c r="O2675" s="129"/>
      <c r="P2675" s="146"/>
      <c r="Q2675" s="170"/>
      <c r="R2675" s="171"/>
      <c r="S2675" s="172"/>
    </row>
    <row r="2676" spans="1:19" ht="42.75">
      <c r="A2676" s="164" t="s">
        <v>779</v>
      </c>
      <c r="B2676" s="165" t="s">
        <v>1498</v>
      </c>
      <c r="C2676" s="165" t="s">
        <v>6146</v>
      </c>
      <c r="D2676" s="164">
        <v>1062</v>
      </c>
      <c r="E2676" s="164">
        <v>1284</v>
      </c>
      <c r="F2676" s="164" t="s">
        <v>3404</v>
      </c>
      <c r="G2676" s="164">
        <v>2024</v>
      </c>
      <c r="H2676" s="175">
        <v>45540</v>
      </c>
      <c r="I2676" s="175">
        <v>45544</v>
      </c>
      <c r="J2676" s="168" t="s">
        <v>7485</v>
      </c>
      <c r="K2676" s="174">
        <v>45552</v>
      </c>
      <c r="L2676" s="129" t="s">
        <v>3127</v>
      </c>
      <c r="M2676" s="129" t="s">
        <v>4</v>
      </c>
      <c r="N2676" s="129" t="s">
        <v>50</v>
      </c>
      <c r="O2676" s="129" t="s">
        <v>3406</v>
      </c>
      <c r="P2676" s="146"/>
      <c r="Q2676" s="170">
        <v>45552</v>
      </c>
      <c r="R2676" s="171" t="s">
        <v>6643</v>
      </c>
      <c r="S2676" s="172"/>
    </row>
    <row r="2677" spans="1:19" ht="42.75">
      <c r="A2677" s="164" t="s">
        <v>779</v>
      </c>
      <c r="B2677" s="165" t="s">
        <v>1498</v>
      </c>
      <c r="C2677" s="165" t="s">
        <v>6147</v>
      </c>
      <c r="D2677" s="164">
        <v>1040</v>
      </c>
      <c r="E2677" s="164">
        <v>1225</v>
      </c>
      <c r="F2677" s="164" t="s">
        <v>3404</v>
      </c>
      <c r="G2677" s="164">
        <v>2024</v>
      </c>
      <c r="H2677" s="175">
        <v>45511</v>
      </c>
      <c r="I2677" s="175">
        <v>45512</v>
      </c>
      <c r="J2677" s="168" t="s">
        <v>7486</v>
      </c>
      <c r="K2677" s="174">
        <v>45516</v>
      </c>
      <c r="L2677" s="129" t="s">
        <v>3126</v>
      </c>
      <c r="M2677" s="129" t="s">
        <v>4</v>
      </c>
      <c r="N2677" s="129" t="s">
        <v>50</v>
      </c>
      <c r="O2677" s="129" t="s">
        <v>3406</v>
      </c>
      <c r="P2677" s="146"/>
      <c r="Q2677" s="170">
        <v>45517</v>
      </c>
      <c r="R2677" s="171" t="s">
        <v>6643</v>
      </c>
      <c r="S2677" s="172"/>
    </row>
    <row r="2678" spans="1:19" ht="42.75">
      <c r="A2678" s="164" t="s">
        <v>779</v>
      </c>
      <c r="B2678" s="165" t="s">
        <v>1498</v>
      </c>
      <c r="C2678" s="165" t="s">
        <v>6148</v>
      </c>
      <c r="D2678" s="164">
        <v>1098</v>
      </c>
      <c r="E2678" s="164">
        <v>1163</v>
      </c>
      <c r="F2678" s="164" t="s">
        <v>3955</v>
      </c>
      <c r="G2678" s="164"/>
      <c r="H2678" s="167"/>
      <c r="I2678" s="167"/>
      <c r="J2678" s="167"/>
      <c r="K2678" s="169"/>
      <c r="L2678" s="129"/>
      <c r="M2678" s="129"/>
      <c r="N2678" s="129"/>
      <c r="O2678" s="129"/>
      <c r="P2678" s="146"/>
      <c r="Q2678" s="170"/>
      <c r="R2678" s="171"/>
      <c r="S2678" s="172"/>
    </row>
    <row r="2679" spans="1:19" ht="42.75">
      <c r="A2679" s="164" t="s">
        <v>779</v>
      </c>
      <c r="B2679" s="165" t="s">
        <v>1498</v>
      </c>
      <c r="C2679" s="165" t="s">
        <v>5987</v>
      </c>
      <c r="D2679" s="164">
        <v>1266</v>
      </c>
      <c r="E2679" s="164">
        <v>1204</v>
      </c>
      <c r="F2679" s="164" t="s">
        <v>3955</v>
      </c>
      <c r="G2679" s="164"/>
      <c r="H2679" s="167"/>
      <c r="I2679" s="167"/>
      <c r="J2679" s="167"/>
      <c r="K2679" s="169"/>
      <c r="L2679" s="129"/>
      <c r="M2679" s="129"/>
      <c r="N2679" s="129"/>
      <c r="O2679" s="129"/>
      <c r="P2679" s="146"/>
      <c r="Q2679" s="170"/>
      <c r="R2679" s="171"/>
      <c r="S2679" s="172"/>
    </row>
    <row r="2680" spans="1:19" ht="42.75">
      <c r="A2680" s="164" t="s">
        <v>779</v>
      </c>
      <c r="B2680" s="165" t="s">
        <v>1498</v>
      </c>
      <c r="C2680" s="165" t="s">
        <v>5988</v>
      </c>
      <c r="D2680" s="164">
        <v>1059</v>
      </c>
      <c r="E2680" s="164">
        <v>1208</v>
      </c>
      <c r="F2680" s="164" t="s">
        <v>3404</v>
      </c>
      <c r="G2680" s="164">
        <v>2024</v>
      </c>
      <c r="H2680" s="175">
        <v>45461</v>
      </c>
      <c r="I2680" s="175">
        <v>45462</v>
      </c>
      <c r="J2680" s="168" t="s">
        <v>7487</v>
      </c>
      <c r="K2680" s="174">
        <v>45463</v>
      </c>
      <c r="L2680" s="129" t="s">
        <v>3689</v>
      </c>
      <c r="M2680" s="129"/>
      <c r="N2680" s="129"/>
      <c r="O2680" s="129" t="s">
        <v>3406</v>
      </c>
      <c r="P2680" s="146"/>
      <c r="Q2680" s="170">
        <v>45464</v>
      </c>
      <c r="R2680" s="171"/>
      <c r="S2680" s="172"/>
    </row>
    <row r="2681" spans="1:19" ht="42.75">
      <c r="A2681" s="164" t="s">
        <v>779</v>
      </c>
      <c r="B2681" s="165" t="s">
        <v>1498</v>
      </c>
      <c r="C2681" s="165" t="s">
        <v>5989</v>
      </c>
      <c r="D2681" s="164">
        <v>1207</v>
      </c>
      <c r="E2681" s="164">
        <v>1192</v>
      </c>
      <c r="F2681" s="164" t="s">
        <v>3955</v>
      </c>
      <c r="G2681" s="164"/>
      <c r="H2681" s="167"/>
      <c r="I2681" s="167"/>
      <c r="J2681" s="167"/>
      <c r="K2681" s="169"/>
      <c r="L2681" s="129"/>
      <c r="M2681" s="129"/>
      <c r="N2681" s="129"/>
      <c r="O2681" s="129"/>
      <c r="P2681" s="146"/>
      <c r="Q2681" s="170"/>
      <c r="R2681" s="171"/>
      <c r="S2681" s="172"/>
    </row>
    <row r="2682" spans="1:19" ht="42.75">
      <c r="A2682" s="164" t="s">
        <v>779</v>
      </c>
      <c r="B2682" s="165" t="s">
        <v>1498</v>
      </c>
      <c r="C2682" s="165" t="s">
        <v>6150</v>
      </c>
      <c r="D2682" s="164">
        <v>847</v>
      </c>
      <c r="E2682" s="164">
        <v>942</v>
      </c>
      <c r="F2682" s="164" t="s">
        <v>3404</v>
      </c>
      <c r="G2682" s="164">
        <v>2024</v>
      </c>
      <c r="H2682" s="175">
        <v>45414</v>
      </c>
      <c r="I2682" s="175">
        <v>45420</v>
      </c>
      <c r="J2682" s="168" t="s">
        <v>7488</v>
      </c>
      <c r="K2682" s="174">
        <v>45427</v>
      </c>
      <c r="L2682" s="129" t="s">
        <v>3532</v>
      </c>
      <c r="M2682" s="129"/>
      <c r="N2682" s="129"/>
      <c r="O2682" s="129" t="s">
        <v>3406</v>
      </c>
      <c r="P2682" s="146"/>
      <c r="Q2682" s="170"/>
      <c r="R2682" s="171"/>
      <c r="S2682" s="172"/>
    </row>
    <row r="2683" spans="1:19" ht="42.75">
      <c r="A2683" s="164" t="s">
        <v>779</v>
      </c>
      <c r="B2683" s="165" t="s">
        <v>1498</v>
      </c>
      <c r="C2683" s="165" t="s">
        <v>5995</v>
      </c>
      <c r="D2683" s="164">
        <v>1695</v>
      </c>
      <c r="E2683" s="164">
        <v>2004</v>
      </c>
      <c r="F2683" s="164" t="s">
        <v>3404</v>
      </c>
      <c r="G2683" s="164">
        <v>2024</v>
      </c>
      <c r="H2683" s="175">
        <v>45540</v>
      </c>
      <c r="I2683" s="175">
        <v>45551</v>
      </c>
      <c r="J2683" s="168" t="s">
        <v>7489</v>
      </c>
      <c r="K2683" s="174">
        <v>45552</v>
      </c>
      <c r="L2683" s="129" t="s">
        <v>3127</v>
      </c>
      <c r="M2683" s="129" t="s">
        <v>4</v>
      </c>
      <c r="N2683" s="129" t="s">
        <v>50</v>
      </c>
      <c r="O2683" s="129" t="s">
        <v>3406</v>
      </c>
      <c r="P2683" s="146"/>
      <c r="Q2683" s="170">
        <v>45552</v>
      </c>
      <c r="R2683" s="171" t="s">
        <v>7475</v>
      </c>
      <c r="S2683" s="172"/>
    </row>
    <row r="2684" spans="1:19" ht="42.75">
      <c r="A2684" s="164" t="s">
        <v>779</v>
      </c>
      <c r="B2684" s="165" t="s">
        <v>1502</v>
      </c>
      <c r="C2684" s="165" t="s">
        <v>6155</v>
      </c>
      <c r="D2684" s="164">
        <v>3538</v>
      </c>
      <c r="E2684" s="164">
        <v>4270</v>
      </c>
      <c r="F2684" s="164" t="s">
        <v>3404</v>
      </c>
      <c r="G2684" s="164">
        <v>2024</v>
      </c>
      <c r="H2684" s="175">
        <v>45546</v>
      </c>
      <c r="I2684" s="175">
        <v>45547</v>
      </c>
      <c r="J2684" s="168" t="s">
        <v>7490</v>
      </c>
      <c r="K2684" s="174">
        <v>45554</v>
      </c>
      <c r="L2684" s="129" t="s">
        <v>3127</v>
      </c>
      <c r="M2684" s="129" t="s">
        <v>1078</v>
      </c>
      <c r="N2684" s="129" t="s">
        <v>50</v>
      </c>
      <c r="O2684" s="129" t="s">
        <v>3406</v>
      </c>
      <c r="P2684" s="146"/>
      <c r="Q2684" s="170">
        <v>45555</v>
      </c>
      <c r="R2684" s="171" t="s">
        <v>7475</v>
      </c>
      <c r="S2684" s="172"/>
    </row>
    <row r="2685" spans="1:19" ht="42.75">
      <c r="A2685" s="164" t="s">
        <v>779</v>
      </c>
      <c r="B2685" s="165" t="s">
        <v>1502</v>
      </c>
      <c r="C2685" s="165" t="s">
        <v>6156</v>
      </c>
      <c r="D2685" s="164">
        <v>3634</v>
      </c>
      <c r="E2685" s="164">
        <v>3680</v>
      </c>
      <c r="F2685" s="164" t="s">
        <v>3955</v>
      </c>
      <c r="G2685" s="164"/>
      <c r="H2685" s="167"/>
      <c r="I2685" s="167"/>
      <c r="J2685" s="167"/>
      <c r="K2685" s="169"/>
      <c r="L2685" s="129"/>
      <c r="M2685" s="129"/>
      <c r="N2685" s="129"/>
      <c r="O2685" s="129"/>
      <c r="P2685" s="146"/>
      <c r="Q2685" s="170"/>
      <c r="R2685" s="171"/>
      <c r="S2685" s="172"/>
    </row>
    <row r="2686" spans="1:19" ht="42.75">
      <c r="A2686" s="164" t="s">
        <v>779</v>
      </c>
      <c r="B2686" s="165" t="s">
        <v>1502</v>
      </c>
      <c r="C2686" s="165" t="s">
        <v>1503</v>
      </c>
      <c r="D2686" s="164">
        <v>4567</v>
      </c>
      <c r="E2686" s="164">
        <v>5102</v>
      </c>
      <c r="F2686" s="164" t="s">
        <v>3955</v>
      </c>
      <c r="G2686" s="164"/>
      <c r="H2686" s="167"/>
      <c r="I2686" s="167"/>
      <c r="J2686" s="167"/>
      <c r="K2686" s="169"/>
      <c r="L2686" s="129"/>
      <c r="M2686" s="129"/>
      <c r="N2686" s="129"/>
      <c r="O2686" s="129"/>
      <c r="P2686" s="146"/>
      <c r="Q2686" s="170"/>
      <c r="R2686" s="171"/>
      <c r="S2686" s="172"/>
    </row>
    <row r="2687" spans="1:19" ht="42.75">
      <c r="A2687" s="164" t="s">
        <v>779</v>
      </c>
      <c r="B2687" s="165" t="s">
        <v>1502</v>
      </c>
      <c r="C2687" s="165" t="s">
        <v>6158</v>
      </c>
      <c r="D2687" s="164">
        <v>1788</v>
      </c>
      <c r="E2687" s="164">
        <v>1791</v>
      </c>
      <c r="F2687" s="164" t="s">
        <v>3955</v>
      </c>
      <c r="G2687" s="164">
        <v>2025</v>
      </c>
      <c r="H2687" s="167"/>
      <c r="I2687" s="167"/>
      <c r="J2687" s="167"/>
      <c r="K2687" s="169"/>
      <c r="L2687" s="129" t="s">
        <v>3424</v>
      </c>
      <c r="M2687" s="129"/>
      <c r="N2687" s="129"/>
      <c r="O2687" s="129"/>
      <c r="P2687" s="146"/>
      <c r="Q2687" s="170"/>
      <c r="R2687" s="171"/>
      <c r="S2687" s="172"/>
    </row>
    <row r="2688" spans="1:19" ht="42.75">
      <c r="A2688" s="164" t="s">
        <v>779</v>
      </c>
      <c r="B2688" s="165" t="s">
        <v>1502</v>
      </c>
      <c r="C2688" s="165" t="s">
        <v>4991</v>
      </c>
      <c r="D2688" s="164">
        <v>1502</v>
      </c>
      <c r="E2688" s="164">
        <v>1415</v>
      </c>
      <c r="F2688" s="164" t="s">
        <v>3404</v>
      </c>
      <c r="G2688" s="164">
        <v>2024</v>
      </c>
      <c r="H2688" s="175">
        <v>45568</v>
      </c>
      <c r="I2688" s="175">
        <v>45568</v>
      </c>
      <c r="J2688" s="168" t="s">
        <v>7491</v>
      </c>
      <c r="K2688" s="174">
        <v>45574</v>
      </c>
      <c r="L2688" s="129" t="s">
        <v>3128</v>
      </c>
      <c r="M2688" s="129" t="s">
        <v>1078</v>
      </c>
      <c r="N2688" s="129" t="s">
        <v>50</v>
      </c>
      <c r="O2688" s="129" t="s">
        <v>3406</v>
      </c>
      <c r="P2688" s="146"/>
      <c r="Q2688" s="189">
        <v>45574</v>
      </c>
      <c r="R2688" s="115" t="s">
        <v>7475</v>
      </c>
      <c r="S2688" s="163"/>
    </row>
    <row r="2689" spans="1:19" ht="42.75">
      <c r="A2689" s="164" t="s">
        <v>779</v>
      </c>
      <c r="B2689" s="165" t="s">
        <v>1502</v>
      </c>
      <c r="C2689" s="165" t="s">
        <v>2068</v>
      </c>
      <c r="D2689" s="164">
        <v>2395</v>
      </c>
      <c r="E2689" s="164">
        <v>2498</v>
      </c>
      <c r="F2689" s="164" t="s">
        <v>3955</v>
      </c>
      <c r="G2689" s="164"/>
      <c r="H2689" s="167"/>
      <c r="I2689" s="167"/>
      <c r="J2689" s="167"/>
      <c r="K2689" s="169"/>
      <c r="L2689" s="129"/>
      <c r="M2689" s="129"/>
      <c r="N2689" s="129"/>
      <c r="O2689" s="129"/>
      <c r="P2689" s="146"/>
      <c r="Q2689" s="170"/>
      <c r="R2689" s="171"/>
      <c r="S2689" s="172"/>
    </row>
    <row r="2690" spans="1:19" ht="42.75">
      <c r="A2690" s="164" t="s">
        <v>779</v>
      </c>
      <c r="B2690" s="165" t="s">
        <v>1502</v>
      </c>
      <c r="C2690" s="165" t="s">
        <v>918</v>
      </c>
      <c r="D2690" s="164">
        <v>539</v>
      </c>
      <c r="E2690" s="164">
        <v>598</v>
      </c>
      <c r="F2690" s="164" t="s">
        <v>3955</v>
      </c>
      <c r="G2690" s="164"/>
      <c r="H2690" s="167"/>
      <c r="I2690" s="167"/>
      <c r="J2690" s="167"/>
      <c r="K2690" s="169"/>
      <c r="L2690" s="129"/>
      <c r="M2690" s="129"/>
      <c r="N2690" s="129"/>
      <c r="O2690" s="129"/>
      <c r="P2690" s="146"/>
      <c r="Q2690" s="170"/>
      <c r="R2690" s="171"/>
      <c r="S2690" s="172"/>
    </row>
    <row r="2691" spans="1:19" ht="42.75">
      <c r="A2691" s="164" t="s">
        <v>779</v>
      </c>
      <c r="B2691" s="165" t="s">
        <v>1502</v>
      </c>
      <c r="C2691" s="165" t="s">
        <v>6163</v>
      </c>
      <c r="D2691" s="164">
        <v>1290</v>
      </c>
      <c r="E2691" s="164">
        <v>1422</v>
      </c>
      <c r="F2691" s="164" t="s">
        <v>3955</v>
      </c>
      <c r="G2691" s="164"/>
      <c r="H2691" s="167"/>
      <c r="I2691" s="167"/>
      <c r="J2691" s="167"/>
      <c r="K2691" s="169"/>
      <c r="L2691" s="129"/>
      <c r="M2691" s="129"/>
      <c r="N2691" s="129"/>
      <c r="O2691" s="129"/>
      <c r="P2691" s="146"/>
      <c r="Q2691" s="170"/>
      <c r="R2691" s="171"/>
      <c r="S2691" s="172"/>
    </row>
    <row r="2692" spans="1:19" ht="42.75">
      <c r="A2692" s="164" t="s">
        <v>779</v>
      </c>
      <c r="B2692" s="165" t="s">
        <v>1502</v>
      </c>
      <c r="C2692" s="165" t="s">
        <v>6161</v>
      </c>
      <c r="D2692" s="164">
        <v>2097</v>
      </c>
      <c r="E2692" s="164">
        <v>2103</v>
      </c>
      <c r="F2692" s="164" t="s">
        <v>3404</v>
      </c>
      <c r="G2692" s="164">
        <v>2024</v>
      </c>
      <c r="H2692" s="175">
        <v>45568</v>
      </c>
      <c r="I2692" s="175">
        <v>45568</v>
      </c>
      <c r="J2692" s="168" t="s">
        <v>7492</v>
      </c>
      <c r="K2692" s="174">
        <v>45574</v>
      </c>
      <c r="L2692" s="129" t="s">
        <v>3128</v>
      </c>
      <c r="M2692" s="129" t="s">
        <v>4</v>
      </c>
      <c r="N2692" s="129" t="s">
        <v>50</v>
      </c>
      <c r="O2692" s="129" t="s">
        <v>3406</v>
      </c>
      <c r="P2692" s="146"/>
      <c r="Q2692" s="189">
        <v>45574</v>
      </c>
      <c r="R2692" s="115" t="s">
        <v>7475</v>
      </c>
      <c r="S2692" s="163"/>
    </row>
    <row r="2693" spans="1:19" ht="42.75">
      <c r="A2693" s="164" t="s">
        <v>779</v>
      </c>
      <c r="B2693" s="165" t="s">
        <v>1506</v>
      </c>
      <c r="C2693" s="165" t="s">
        <v>2028</v>
      </c>
      <c r="D2693" s="164">
        <v>1621</v>
      </c>
      <c r="E2693" s="164">
        <v>1785</v>
      </c>
      <c r="F2693" s="164" t="s">
        <v>3404</v>
      </c>
      <c r="G2693" s="164">
        <v>2024</v>
      </c>
      <c r="H2693" s="175">
        <v>45575</v>
      </c>
      <c r="I2693" s="175">
        <v>45576</v>
      </c>
      <c r="J2693" s="168" t="s">
        <v>7493</v>
      </c>
      <c r="K2693" s="174">
        <v>45580</v>
      </c>
      <c r="L2693" s="129" t="s">
        <v>3128</v>
      </c>
      <c r="M2693" s="129" t="s">
        <v>4</v>
      </c>
      <c r="N2693" s="129" t="s">
        <v>50</v>
      </c>
      <c r="O2693" s="129" t="s">
        <v>3406</v>
      </c>
      <c r="P2693" s="146"/>
      <c r="Q2693" s="170">
        <v>45580</v>
      </c>
      <c r="R2693" s="171" t="s">
        <v>7475</v>
      </c>
      <c r="S2693" s="172"/>
    </row>
    <row r="2694" spans="1:19" ht="42.75">
      <c r="A2694" s="164" t="s">
        <v>779</v>
      </c>
      <c r="B2694" s="165" t="s">
        <v>1506</v>
      </c>
      <c r="C2694" s="165" t="s">
        <v>1445</v>
      </c>
      <c r="D2694" s="164">
        <v>1204</v>
      </c>
      <c r="E2694" s="164">
        <v>1261</v>
      </c>
      <c r="F2694" s="164" t="s">
        <v>3955</v>
      </c>
      <c r="G2694" s="164"/>
      <c r="H2694" s="167"/>
      <c r="I2694" s="167"/>
      <c r="J2694" s="167"/>
      <c r="K2694" s="169"/>
      <c r="L2694" s="129"/>
      <c r="M2694" s="129"/>
      <c r="N2694" s="129"/>
      <c r="O2694" s="129"/>
      <c r="P2694" s="146"/>
      <c r="Q2694" s="170"/>
      <c r="R2694" s="171"/>
      <c r="S2694" s="172"/>
    </row>
    <row r="2695" spans="1:19" ht="42.75">
      <c r="A2695" s="164" t="s">
        <v>779</v>
      </c>
      <c r="B2695" s="165" t="s">
        <v>1506</v>
      </c>
      <c r="C2695" s="165" t="s">
        <v>6166</v>
      </c>
      <c r="D2695" s="164">
        <v>321</v>
      </c>
      <c r="E2695" s="164">
        <v>315</v>
      </c>
      <c r="F2695" s="164" t="s">
        <v>3404</v>
      </c>
      <c r="G2695" s="164">
        <v>2024</v>
      </c>
      <c r="H2695" s="175">
        <v>45399</v>
      </c>
      <c r="I2695" s="175">
        <v>45399</v>
      </c>
      <c r="J2695" s="168" t="s">
        <v>7494</v>
      </c>
      <c r="K2695" s="174">
        <v>45399</v>
      </c>
      <c r="L2695" s="129" t="s">
        <v>3470</v>
      </c>
      <c r="M2695" s="129"/>
      <c r="N2695" s="129"/>
      <c r="O2695" s="129" t="s">
        <v>3406</v>
      </c>
      <c r="P2695" s="146"/>
      <c r="Q2695" s="170"/>
      <c r="R2695" s="171"/>
      <c r="S2695" s="172"/>
    </row>
    <row r="2696" spans="1:19" ht="42.75">
      <c r="A2696" s="164" t="s">
        <v>779</v>
      </c>
      <c r="B2696" s="165" t="s">
        <v>1506</v>
      </c>
      <c r="C2696" s="165" t="s">
        <v>6167</v>
      </c>
      <c r="D2696" s="164">
        <v>737</v>
      </c>
      <c r="E2696" s="164">
        <v>690</v>
      </c>
      <c r="F2696" s="164" t="s">
        <v>3404</v>
      </c>
      <c r="G2696" s="164">
        <v>2024</v>
      </c>
      <c r="H2696" s="175">
        <v>45602</v>
      </c>
      <c r="I2696" s="175">
        <v>45602</v>
      </c>
      <c r="J2696" s="168" t="s">
        <v>7495</v>
      </c>
      <c r="K2696" s="174">
        <v>45613</v>
      </c>
      <c r="L2696" s="129" t="s">
        <v>3129</v>
      </c>
      <c r="M2696" s="129" t="s">
        <v>1078</v>
      </c>
      <c r="N2696" s="129" t="s">
        <v>50</v>
      </c>
      <c r="O2696" s="129" t="s">
        <v>3406</v>
      </c>
      <c r="P2696" s="146"/>
      <c r="Q2696" s="170">
        <v>45614</v>
      </c>
      <c r="R2696" s="171" t="s">
        <v>7475</v>
      </c>
      <c r="S2696" s="172"/>
    </row>
    <row r="2697" spans="1:19" ht="42.75">
      <c r="A2697" s="164" t="s">
        <v>779</v>
      </c>
      <c r="B2697" s="165" t="s">
        <v>1506</v>
      </c>
      <c r="C2697" s="165" t="s">
        <v>6168</v>
      </c>
      <c r="D2697" s="164">
        <v>682</v>
      </c>
      <c r="E2697" s="164">
        <v>761</v>
      </c>
      <c r="F2697" s="164" t="s">
        <v>3955</v>
      </c>
      <c r="G2697" s="164"/>
      <c r="H2697" s="167"/>
      <c r="I2697" s="167"/>
      <c r="J2697" s="167"/>
      <c r="K2697" s="169"/>
      <c r="L2697" s="129"/>
      <c r="M2697" s="129"/>
      <c r="N2697" s="129"/>
      <c r="O2697" s="129"/>
      <c r="P2697" s="146"/>
      <c r="Q2697" s="170"/>
      <c r="R2697" s="171"/>
      <c r="S2697" s="172"/>
    </row>
    <row r="2698" spans="1:19" ht="42.75">
      <c r="A2698" s="164" t="s">
        <v>779</v>
      </c>
      <c r="B2698" s="165" t="s">
        <v>1506</v>
      </c>
      <c r="C2698" s="165" t="s">
        <v>6172</v>
      </c>
      <c r="D2698" s="164">
        <v>791</v>
      </c>
      <c r="E2698" s="164">
        <v>804</v>
      </c>
      <c r="F2698" s="164" t="s">
        <v>3955</v>
      </c>
      <c r="G2698" s="164"/>
      <c r="H2698" s="167"/>
      <c r="I2698" s="167"/>
      <c r="J2698" s="167"/>
      <c r="K2698" s="169"/>
      <c r="L2698" s="129"/>
      <c r="M2698" s="129"/>
      <c r="N2698" s="129"/>
      <c r="O2698" s="129"/>
      <c r="P2698" s="146"/>
      <c r="Q2698" s="170"/>
      <c r="R2698" s="171"/>
      <c r="S2698" s="172"/>
    </row>
    <row r="2699" spans="1:19" ht="42.75">
      <c r="A2699" s="164" t="s">
        <v>779</v>
      </c>
      <c r="B2699" s="165" t="s">
        <v>1506</v>
      </c>
      <c r="C2699" s="165" t="s">
        <v>6174</v>
      </c>
      <c r="D2699" s="164">
        <v>673</v>
      </c>
      <c r="E2699" s="164">
        <v>764</v>
      </c>
      <c r="F2699" s="164" t="s">
        <v>3955</v>
      </c>
      <c r="G2699" s="164"/>
      <c r="H2699" s="167"/>
      <c r="I2699" s="167"/>
      <c r="J2699" s="167"/>
      <c r="K2699" s="169"/>
      <c r="L2699" s="129"/>
      <c r="M2699" s="129"/>
      <c r="N2699" s="129"/>
      <c r="O2699" s="129"/>
      <c r="P2699" s="146"/>
      <c r="Q2699" s="170"/>
      <c r="R2699" s="171"/>
      <c r="S2699" s="172"/>
    </row>
    <row r="2700" spans="1:19" ht="42.75">
      <c r="A2700" s="164" t="s">
        <v>779</v>
      </c>
      <c r="B2700" s="165" t="s">
        <v>1506</v>
      </c>
      <c r="C2700" s="165" t="s">
        <v>5309</v>
      </c>
      <c r="D2700" s="164">
        <v>1761</v>
      </c>
      <c r="E2700" s="164">
        <v>1771</v>
      </c>
      <c r="F2700" s="164" t="s">
        <v>3404</v>
      </c>
      <c r="G2700" s="164">
        <v>2024</v>
      </c>
      <c r="H2700" s="175">
        <v>45415</v>
      </c>
      <c r="I2700" s="175">
        <v>45415</v>
      </c>
      <c r="J2700" s="168" t="s">
        <v>7496</v>
      </c>
      <c r="K2700" s="174">
        <v>45421</v>
      </c>
      <c r="L2700" s="129" t="s">
        <v>3532</v>
      </c>
      <c r="M2700" s="129"/>
      <c r="N2700" s="129"/>
      <c r="O2700" s="129" t="s">
        <v>3406</v>
      </c>
      <c r="P2700" s="146"/>
      <c r="Q2700" s="170"/>
      <c r="R2700" s="171"/>
      <c r="S2700" s="172"/>
    </row>
    <row r="2701" spans="1:19" ht="42.75">
      <c r="A2701" s="164" t="s">
        <v>779</v>
      </c>
      <c r="B2701" s="165" t="s">
        <v>1506</v>
      </c>
      <c r="C2701" s="165" t="s">
        <v>1507</v>
      </c>
      <c r="D2701" s="164">
        <v>1040</v>
      </c>
      <c r="E2701" s="164">
        <v>1102</v>
      </c>
      <c r="F2701" s="164" t="s">
        <v>3404</v>
      </c>
      <c r="G2701" s="164">
        <v>2024</v>
      </c>
      <c r="H2701" s="175">
        <v>45540</v>
      </c>
      <c r="I2701" s="175">
        <v>45542</v>
      </c>
      <c r="J2701" s="168" t="s">
        <v>7497</v>
      </c>
      <c r="K2701" s="174">
        <v>45553</v>
      </c>
      <c r="L2701" s="129" t="s">
        <v>3127</v>
      </c>
      <c r="M2701" s="129" t="s">
        <v>4</v>
      </c>
      <c r="N2701" s="129" t="s">
        <v>50</v>
      </c>
      <c r="O2701" s="129" t="s">
        <v>3406</v>
      </c>
      <c r="P2701" s="146"/>
      <c r="Q2701" s="170">
        <v>45554</v>
      </c>
      <c r="R2701" s="171" t="s">
        <v>7475</v>
      </c>
      <c r="S2701" s="172"/>
    </row>
    <row r="2702" spans="1:19" ht="42.75">
      <c r="A2702" s="164" t="s">
        <v>779</v>
      </c>
      <c r="B2702" s="165" t="s">
        <v>1506</v>
      </c>
      <c r="C2702" s="165" t="s">
        <v>6170</v>
      </c>
      <c r="D2702" s="164">
        <v>1238</v>
      </c>
      <c r="E2702" s="164">
        <v>1285</v>
      </c>
      <c r="F2702" s="164" t="s">
        <v>3955</v>
      </c>
      <c r="G2702" s="164"/>
      <c r="H2702" s="167"/>
      <c r="I2702" s="167"/>
      <c r="J2702" s="167"/>
      <c r="K2702" s="169"/>
      <c r="L2702" s="129"/>
      <c r="M2702" s="129"/>
      <c r="N2702" s="129"/>
      <c r="O2702" s="129"/>
      <c r="P2702" s="146"/>
      <c r="Q2702" s="170"/>
      <c r="R2702" s="171"/>
      <c r="S2702" s="172"/>
    </row>
    <row r="2703" spans="1:19" ht="42.75">
      <c r="A2703" s="164" t="s">
        <v>779</v>
      </c>
      <c r="B2703" s="165" t="s">
        <v>1506</v>
      </c>
      <c r="C2703" s="165" t="s">
        <v>1486</v>
      </c>
      <c r="D2703" s="164">
        <v>986</v>
      </c>
      <c r="E2703" s="164">
        <v>1022</v>
      </c>
      <c r="F2703" s="164" t="s">
        <v>3404</v>
      </c>
      <c r="G2703" s="164">
        <v>2024</v>
      </c>
      <c r="H2703" s="175">
        <v>45545</v>
      </c>
      <c r="I2703" s="175">
        <v>45546</v>
      </c>
      <c r="J2703" s="168" t="s">
        <v>7498</v>
      </c>
      <c r="K2703" s="174">
        <v>45553</v>
      </c>
      <c r="L2703" s="129" t="s">
        <v>3127</v>
      </c>
      <c r="M2703" s="129" t="s">
        <v>1078</v>
      </c>
      <c r="N2703" s="129" t="s">
        <v>50</v>
      </c>
      <c r="O2703" s="129" t="s">
        <v>3406</v>
      </c>
      <c r="P2703" s="146"/>
      <c r="Q2703" s="170">
        <v>45553</v>
      </c>
      <c r="R2703" s="171" t="s">
        <v>7475</v>
      </c>
      <c r="S2703" s="172"/>
    </row>
    <row r="2704" spans="1:19" ht="42.75">
      <c r="A2704" s="164" t="s">
        <v>779</v>
      </c>
      <c r="B2704" s="165" t="s">
        <v>1506</v>
      </c>
      <c r="C2704" s="165" t="s">
        <v>4946</v>
      </c>
      <c r="D2704" s="164">
        <v>1603</v>
      </c>
      <c r="E2704" s="164">
        <v>1621</v>
      </c>
      <c r="F2704" s="164" t="s">
        <v>3404</v>
      </c>
      <c r="G2704" s="164">
        <v>2024</v>
      </c>
      <c r="H2704" s="175">
        <v>45545</v>
      </c>
      <c r="I2704" s="175">
        <v>45546</v>
      </c>
      <c r="J2704" s="168" t="s">
        <v>7499</v>
      </c>
      <c r="K2704" s="174">
        <v>45553</v>
      </c>
      <c r="L2704" s="129" t="s">
        <v>3127</v>
      </c>
      <c r="M2704" s="129" t="s">
        <v>1078</v>
      </c>
      <c r="N2704" s="129" t="s">
        <v>50</v>
      </c>
      <c r="O2704" s="129" t="s">
        <v>3406</v>
      </c>
      <c r="P2704" s="146"/>
      <c r="Q2704" s="170">
        <v>45553</v>
      </c>
      <c r="R2704" s="171" t="s">
        <v>7475</v>
      </c>
      <c r="S2704" s="172"/>
    </row>
    <row r="2705" spans="1:19" ht="42.75">
      <c r="A2705" s="164" t="s">
        <v>779</v>
      </c>
      <c r="B2705" s="165" t="s">
        <v>1511</v>
      </c>
      <c r="C2705" s="165" t="s">
        <v>6196</v>
      </c>
      <c r="D2705" s="164">
        <v>1070</v>
      </c>
      <c r="E2705" s="164">
        <v>1142</v>
      </c>
      <c r="F2705" s="164" t="s">
        <v>3955</v>
      </c>
      <c r="G2705" s="164"/>
      <c r="H2705" s="167"/>
      <c r="I2705" s="167"/>
      <c r="J2705" s="167"/>
      <c r="K2705" s="169"/>
      <c r="L2705" s="129"/>
      <c r="M2705" s="129"/>
      <c r="N2705" s="129"/>
      <c r="O2705" s="129"/>
      <c r="P2705" s="146"/>
      <c r="Q2705" s="170"/>
      <c r="R2705" s="171"/>
      <c r="S2705" s="172"/>
    </row>
    <row r="2706" spans="1:19" ht="42.75">
      <c r="A2706" s="164" t="s">
        <v>779</v>
      </c>
      <c r="B2706" s="165" t="s">
        <v>1511</v>
      </c>
      <c r="C2706" s="165" t="s">
        <v>1512</v>
      </c>
      <c r="D2706" s="164">
        <v>2225</v>
      </c>
      <c r="E2706" s="164">
        <v>2329</v>
      </c>
      <c r="F2706" s="164" t="s">
        <v>3955</v>
      </c>
      <c r="G2706" s="164"/>
      <c r="H2706" s="167"/>
      <c r="I2706" s="167"/>
      <c r="J2706" s="167"/>
      <c r="K2706" s="169"/>
      <c r="L2706" s="129"/>
      <c r="M2706" s="129"/>
      <c r="N2706" s="129"/>
      <c r="O2706" s="129"/>
      <c r="P2706" s="146"/>
      <c r="Q2706" s="170"/>
      <c r="R2706" s="171"/>
      <c r="S2706" s="172"/>
    </row>
    <row r="2707" spans="1:19" ht="42.75">
      <c r="A2707" s="164" t="s">
        <v>779</v>
      </c>
      <c r="B2707" s="165" t="s">
        <v>1511</v>
      </c>
      <c r="C2707" s="165" t="s">
        <v>6198</v>
      </c>
      <c r="D2707" s="164">
        <v>2335</v>
      </c>
      <c r="E2707" s="164">
        <v>2859</v>
      </c>
      <c r="F2707" s="164" t="s">
        <v>3955</v>
      </c>
      <c r="G2707" s="164"/>
      <c r="H2707" s="167"/>
      <c r="I2707" s="167"/>
      <c r="J2707" s="167"/>
      <c r="K2707" s="169"/>
      <c r="L2707" s="129"/>
      <c r="M2707" s="129"/>
      <c r="N2707" s="129"/>
      <c r="O2707" s="129"/>
      <c r="P2707" s="146"/>
      <c r="Q2707" s="170"/>
      <c r="R2707" s="171"/>
      <c r="S2707" s="172"/>
    </row>
    <row r="2708" spans="1:19" ht="42.75">
      <c r="A2708" s="164" t="s">
        <v>779</v>
      </c>
      <c r="B2708" s="165" t="s">
        <v>1511</v>
      </c>
      <c r="C2708" s="165" t="s">
        <v>5225</v>
      </c>
      <c r="D2708" s="164">
        <v>1206</v>
      </c>
      <c r="E2708" s="164">
        <v>1395</v>
      </c>
      <c r="F2708" s="164" t="s">
        <v>3404</v>
      </c>
      <c r="G2708" s="164">
        <v>2024</v>
      </c>
      <c r="H2708" s="175">
        <v>45421</v>
      </c>
      <c r="I2708" s="175">
        <v>45421</v>
      </c>
      <c r="J2708" s="168" t="s">
        <v>7500</v>
      </c>
      <c r="K2708" s="174">
        <v>45427</v>
      </c>
      <c r="L2708" s="129" t="s">
        <v>3532</v>
      </c>
      <c r="M2708" s="129"/>
      <c r="N2708" s="129"/>
      <c r="O2708" s="129" t="s">
        <v>3406</v>
      </c>
      <c r="P2708" s="146"/>
      <c r="Q2708" s="170"/>
      <c r="R2708" s="171"/>
      <c r="S2708" s="172"/>
    </row>
    <row r="2709" spans="1:19" ht="42.75">
      <c r="A2709" s="164" t="s">
        <v>779</v>
      </c>
      <c r="B2709" s="165" t="s">
        <v>1511</v>
      </c>
      <c r="C2709" s="165" t="s">
        <v>6200</v>
      </c>
      <c r="D2709" s="164">
        <v>926</v>
      </c>
      <c r="E2709" s="164">
        <v>1135</v>
      </c>
      <c r="F2709" s="164" t="s">
        <v>3955</v>
      </c>
      <c r="G2709" s="164"/>
      <c r="H2709" s="167"/>
      <c r="I2709" s="167"/>
      <c r="J2709" s="167"/>
      <c r="K2709" s="169"/>
      <c r="L2709" s="129"/>
      <c r="M2709" s="129"/>
      <c r="N2709" s="129"/>
      <c r="O2709" s="129"/>
      <c r="P2709" s="146"/>
      <c r="Q2709" s="170"/>
      <c r="R2709" s="171"/>
      <c r="S2709" s="172"/>
    </row>
    <row r="2710" spans="1:19" ht="42.75">
      <c r="A2710" s="164" t="s">
        <v>779</v>
      </c>
      <c r="B2710" s="165" t="s">
        <v>1511</v>
      </c>
      <c r="C2710" s="165" t="s">
        <v>6189</v>
      </c>
      <c r="D2710" s="164">
        <v>1266</v>
      </c>
      <c r="E2710" s="164">
        <v>1418</v>
      </c>
      <c r="F2710" s="164" t="s">
        <v>3955</v>
      </c>
      <c r="G2710" s="164"/>
      <c r="H2710" s="167"/>
      <c r="I2710" s="167"/>
      <c r="J2710" s="167"/>
      <c r="K2710" s="169"/>
      <c r="L2710" s="129"/>
      <c r="M2710" s="129"/>
      <c r="N2710" s="129"/>
      <c r="O2710" s="129"/>
      <c r="P2710" s="146"/>
      <c r="Q2710" s="170"/>
      <c r="R2710" s="171"/>
      <c r="S2710" s="172"/>
    </row>
    <row r="2711" spans="1:19" ht="42.75">
      <c r="A2711" s="164" t="s">
        <v>779</v>
      </c>
      <c r="B2711" s="165" t="s">
        <v>1511</v>
      </c>
      <c r="C2711" s="165" t="s">
        <v>1056</v>
      </c>
      <c r="D2711" s="164">
        <v>1417</v>
      </c>
      <c r="E2711" s="164">
        <v>1549</v>
      </c>
      <c r="F2711" s="164" t="s">
        <v>3955</v>
      </c>
      <c r="G2711" s="164"/>
      <c r="H2711" s="167"/>
      <c r="I2711" s="167"/>
      <c r="J2711" s="167"/>
      <c r="K2711" s="169"/>
      <c r="L2711" s="129"/>
      <c r="M2711" s="129"/>
      <c r="N2711" s="129"/>
      <c r="O2711" s="129"/>
      <c r="P2711" s="146"/>
      <c r="Q2711" s="170"/>
      <c r="R2711" s="171"/>
      <c r="S2711" s="172"/>
    </row>
    <row r="2712" spans="1:19" ht="42.75">
      <c r="A2712" s="164" t="s">
        <v>779</v>
      </c>
      <c r="B2712" s="165" t="s">
        <v>1511</v>
      </c>
      <c r="C2712" s="165" t="s">
        <v>6192</v>
      </c>
      <c r="D2712" s="164">
        <v>2368</v>
      </c>
      <c r="E2712" s="164">
        <v>2420</v>
      </c>
      <c r="F2712" s="164" t="s">
        <v>3955</v>
      </c>
      <c r="G2712" s="164"/>
      <c r="H2712" s="167"/>
      <c r="I2712" s="167"/>
      <c r="J2712" s="167"/>
      <c r="K2712" s="169"/>
      <c r="L2712" s="129"/>
      <c r="M2712" s="129"/>
      <c r="N2712" s="129"/>
      <c r="O2712" s="129"/>
      <c r="P2712" s="146"/>
      <c r="Q2712" s="170"/>
      <c r="R2712" s="171"/>
      <c r="S2712" s="172"/>
    </row>
    <row r="2713" spans="1:19" ht="42.75">
      <c r="A2713" s="164" t="s">
        <v>779</v>
      </c>
      <c r="B2713" s="165" t="s">
        <v>1511</v>
      </c>
      <c r="C2713" s="165" t="s">
        <v>4126</v>
      </c>
      <c r="D2713" s="164">
        <v>1896</v>
      </c>
      <c r="E2713" s="164">
        <v>2238</v>
      </c>
      <c r="F2713" s="164" t="s">
        <v>3955</v>
      </c>
      <c r="G2713" s="164"/>
      <c r="H2713" s="167"/>
      <c r="I2713" s="167"/>
      <c r="J2713" s="167"/>
      <c r="K2713" s="169"/>
      <c r="L2713" s="129"/>
      <c r="M2713" s="129"/>
      <c r="N2713" s="129"/>
      <c r="O2713" s="129"/>
      <c r="P2713" s="146"/>
      <c r="Q2713" s="170"/>
      <c r="R2713" s="171"/>
      <c r="S2713" s="172"/>
    </row>
    <row r="2714" spans="1:19" ht="42.75">
      <c r="A2714" s="164" t="s">
        <v>779</v>
      </c>
      <c r="B2714" s="165" t="s">
        <v>1511</v>
      </c>
      <c r="C2714" s="165" t="s">
        <v>1225</v>
      </c>
      <c r="D2714" s="164">
        <v>2676</v>
      </c>
      <c r="E2714" s="164">
        <v>2930</v>
      </c>
      <c r="F2714" s="164" t="s">
        <v>3955</v>
      </c>
      <c r="G2714" s="164"/>
      <c r="H2714" s="167"/>
      <c r="I2714" s="167"/>
      <c r="J2714" s="167"/>
      <c r="K2714" s="169"/>
      <c r="L2714" s="129"/>
      <c r="M2714" s="129"/>
      <c r="N2714" s="129"/>
      <c r="O2714" s="129"/>
      <c r="P2714" s="146"/>
      <c r="Q2714" s="170"/>
      <c r="R2714" s="171"/>
      <c r="S2714" s="172"/>
    </row>
    <row r="2715" spans="1:19" ht="42.75">
      <c r="A2715" s="164" t="s">
        <v>779</v>
      </c>
      <c r="B2715" s="165" t="s">
        <v>1511</v>
      </c>
      <c r="C2715" s="165" t="s">
        <v>6194</v>
      </c>
      <c r="D2715" s="164">
        <v>1238</v>
      </c>
      <c r="E2715" s="164">
        <v>1304</v>
      </c>
      <c r="F2715" s="164" t="s">
        <v>3955</v>
      </c>
      <c r="G2715" s="164"/>
      <c r="H2715" s="167"/>
      <c r="I2715" s="167"/>
      <c r="J2715" s="167"/>
      <c r="K2715" s="169"/>
      <c r="L2715" s="129"/>
      <c r="M2715" s="129"/>
      <c r="N2715" s="129"/>
      <c r="O2715" s="129"/>
      <c r="P2715" s="146"/>
      <c r="Q2715" s="170"/>
      <c r="R2715" s="171"/>
      <c r="S2715" s="172"/>
    </row>
    <row r="2716" spans="1:19" ht="42.75">
      <c r="A2716" s="164" t="s">
        <v>779</v>
      </c>
      <c r="B2716" s="165" t="s">
        <v>1511</v>
      </c>
      <c r="C2716" s="165" t="s">
        <v>1151</v>
      </c>
      <c r="D2716" s="164">
        <v>2210</v>
      </c>
      <c r="E2716" s="164">
        <v>2447</v>
      </c>
      <c r="F2716" s="164" t="s">
        <v>3955</v>
      </c>
      <c r="G2716" s="164"/>
      <c r="H2716" s="167"/>
      <c r="I2716" s="167"/>
      <c r="J2716" s="167"/>
      <c r="K2716" s="169"/>
      <c r="L2716" s="129"/>
      <c r="M2716" s="129"/>
      <c r="N2716" s="129"/>
      <c r="O2716" s="129"/>
      <c r="P2716" s="146"/>
      <c r="Q2716" s="170"/>
      <c r="R2716" s="171"/>
      <c r="S2716" s="172"/>
    </row>
    <row r="2717" spans="1:19" ht="42.75">
      <c r="A2717" s="164" t="s">
        <v>779</v>
      </c>
      <c r="B2717" s="165" t="s">
        <v>1511</v>
      </c>
      <c r="C2717" s="165" t="s">
        <v>1233</v>
      </c>
      <c r="D2717" s="164">
        <v>1443</v>
      </c>
      <c r="E2717" s="164">
        <v>1638</v>
      </c>
      <c r="F2717" s="164" t="s">
        <v>3955</v>
      </c>
      <c r="G2717" s="164"/>
      <c r="H2717" s="167"/>
      <c r="I2717" s="167"/>
      <c r="J2717" s="167"/>
      <c r="K2717" s="169"/>
      <c r="L2717" s="129"/>
      <c r="M2717" s="129"/>
      <c r="N2717" s="129"/>
      <c r="O2717" s="129"/>
      <c r="P2717" s="146"/>
      <c r="Q2717" s="170"/>
      <c r="R2717" s="171"/>
      <c r="S2717" s="172"/>
    </row>
    <row r="2718" spans="1:19" ht="42.75">
      <c r="A2718" s="164" t="s">
        <v>779</v>
      </c>
      <c r="B2718" s="165" t="s">
        <v>1511</v>
      </c>
      <c r="C2718" s="165" t="s">
        <v>1166</v>
      </c>
      <c r="D2718" s="164">
        <v>1630</v>
      </c>
      <c r="E2718" s="164">
        <v>1939</v>
      </c>
      <c r="F2718" s="164" t="s">
        <v>3955</v>
      </c>
      <c r="G2718" s="164"/>
      <c r="H2718" s="167"/>
      <c r="I2718" s="167"/>
      <c r="J2718" s="167"/>
      <c r="K2718" s="169"/>
      <c r="L2718" s="129"/>
      <c r="M2718" s="129"/>
      <c r="N2718" s="129"/>
      <c r="O2718" s="129"/>
      <c r="P2718" s="146"/>
      <c r="Q2718" s="170"/>
      <c r="R2718" s="171"/>
      <c r="S2718" s="172"/>
    </row>
    <row r="2719" spans="1:19" ht="42.75">
      <c r="A2719" s="164" t="s">
        <v>779</v>
      </c>
      <c r="B2719" s="165" t="s">
        <v>1511</v>
      </c>
      <c r="C2719" s="165" t="s">
        <v>4950</v>
      </c>
      <c r="D2719" s="164">
        <v>1598</v>
      </c>
      <c r="E2719" s="164">
        <v>1644</v>
      </c>
      <c r="F2719" s="164" t="s">
        <v>3955</v>
      </c>
      <c r="G2719" s="164"/>
      <c r="H2719" s="167"/>
      <c r="I2719" s="167"/>
      <c r="J2719" s="167"/>
      <c r="K2719" s="169"/>
      <c r="L2719" s="129"/>
      <c r="M2719" s="129"/>
      <c r="N2719" s="129"/>
      <c r="O2719" s="129"/>
      <c r="P2719" s="146"/>
      <c r="Q2719" s="170"/>
      <c r="R2719" s="171"/>
      <c r="S2719" s="172"/>
    </row>
    <row r="2720" spans="1:19" ht="42.75">
      <c r="A2720" s="164" t="s">
        <v>779</v>
      </c>
      <c r="B2720" s="165" t="s">
        <v>6202</v>
      </c>
      <c r="C2720" s="165" t="s">
        <v>6203</v>
      </c>
      <c r="D2720" s="164">
        <v>2084</v>
      </c>
      <c r="E2720" s="164">
        <v>2162</v>
      </c>
      <c r="F2720" s="164" t="s">
        <v>3404</v>
      </c>
      <c r="G2720" s="164">
        <v>2024</v>
      </c>
      <c r="H2720" s="175">
        <v>45545</v>
      </c>
      <c r="I2720" s="175">
        <v>45546</v>
      </c>
      <c r="J2720" s="168" t="s">
        <v>7501</v>
      </c>
      <c r="K2720" s="174">
        <v>45552</v>
      </c>
      <c r="L2720" s="129" t="s">
        <v>3127</v>
      </c>
      <c r="M2720" s="129" t="s">
        <v>1078</v>
      </c>
      <c r="N2720" s="129" t="s">
        <v>50</v>
      </c>
      <c r="O2720" s="129" t="s">
        <v>3406</v>
      </c>
      <c r="P2720" s="146"/>
      <c r="Q2720" s="170">
        <v>45552</v>
      </c>
      <c r="R2720" s="171" t="s">
        <v>6643</v>
      </c>
      <c r="S2720" s="172"/>
    </row>
    <row r="2721" spans="1:19" ht="42.75">
      <c r="A2721" s="164" t="s">
        <v>779</v>
      </c>
      <c r="B2721" s="165" t="s">
        <v>6202</v>
      </c>
      <c r="C2721" s="165" t="s">
        <v>6204</v>
      </c>
      <c r="D2721" s="164">
        <v>1674</v>
      </c>
      <c r="E2721" s="164">
        <v>1682</v>
      </c>
      <c r="F2721" s="164" t="s">
        <v>3955</v>
      </c>
      <c r="G2721" s="164"/>
      <c r="H2721" s="167"/>
      <c r="I2721" s="167"/>
      <c r="J2721" s="167"/>
      <c r="K2721" s="169"/>
      <c r="L2721" s="129"/>
      <c r="M2721" s="129"/>
      <c r="N2721" s="129"/>
      <c r="O2721" s="129"/>
      <c r="P2721" s="146"/>
      <c r="Q2721" s="170"/>
      <c r="R2721" s="171"/>
      <c r="S2721" s="172"/>
    </row>
    <row r="2722" spans="1:19" ht="42.75">
      <c r="A2722" s="164" t="s">
        <v>779</v>
      </c>
      <c r="B2722" s="165" t="s">
        <v>6202</v>
      </c>
      <c r="C2722" s="165" t="s">
        <v>6205</v>
      </c>
      <c r="D2722" s="164">
        <v>1712</v>
      </c>
      <c r="E2722" s="164">
        <v>1868</v>
      </c>
      <c r="F2722" s="164" t="s">
        <v>3955</v>
      </c>
      <c r="G2722" s="164"/>
      <c r="H2722" s="167"/>
      <c r="I2722" s="167"/>
      <c r="J2722" s="167"/>
      <c r="K2722" s="169"/>
      <c r="L2722" s="129"/>
      <c r="M2722" s="129"/>
      <c r="N2722" s="129"/>
      <c r="O2722" s="129"/>
      <c r="P2722" s="146"/>
      <c r="Q2722" s="170"/>
      <c r="R2722" s="171"/>
      <c r="S2722" s="172"/>
    </row>
    <row r="2723" spans="1:19" ht="42.75">
      <c r="A2723" s="164" t="s">
        <v>779</v>
      </c>
      <c r="B2723" s="165" t="s">
        <v>6202</v>
      </c>
      <c r="C2723" s="165" t="s">
        <v>4849</v>
      </c>
      <c r="D2723" s="164">
        <v>1071</v>
      </c>
      <c r="E2723" s="164">
        <v>1237</v>
      </c>
      <c r="F2723" s="164" t="s">
        <v>3955</v>
      </c>
      <c r="G2723" s="164"/>
      <c r="H2723" s="167"/>
      <c r="I2723" s="167"/>
      <c r="J2723" s="167"/>
      <c r="K2723" s="169"/>
      <c r="L2723" s="129"/>
      <c r="M2723" s="129"/>
      <c r="N2723" s="129"/>
      <c r="O2723" s="129"/>
      <c r="P2723" s="146"/>
      <c r="Q2723" s="170"/>
      <c r="R2723" s="171"/>
      <c r="S2723" s="172"/>
    </row>
    <row r="2724" spans="1:19" ht="42.75">
      <c r="A2724" s="164" t="s">
        <v>779</v>
      </c>
      <c r="B2724" s="165" t="s">
        <v>6202</v>
      </c>
      <c r="C2724" s="165" t="s">
        <v>6208</v>
      </c>
      <c r="D2724" s="164">
        <v>1381</v>
      </c>
      <c r="E2724" s="164">
        <v>1540</v>
      </c>
      <c r="F2724" s="164" t="s">
        <v>3955</v>
      </c>
      <c r="G2724" s="164"/>
      <c r="H2724" s="167"/>
      <c r="I2724" s="167"/>
      <c r="J2724" s="167"/>
      <c r="K2724" s="169"/>
      <c r="L2724" s="129"/>
      <c r="M2724" s="129"/>
      <c r="N2724" s="129"/>
      <c r="O2724" s="129"/>
      <c r="P2724" s="146"/>
      <c r="Q2724" s="170"/>
      <c r="R2724" s="171"/>
      <c r="S2724" s="172"/>
    </row>
    <row r="2725" spans="1:19" ht="42.75">
      <c r="A2725" s="164" t="s">
        <v>779</v>
      </c>
      <c r="B2725" s="165" t="s">
        <v>6202</v>
      </c>
      <c r="C2725" s="165" t="s">
        <v>6210</v>
      </c>
      <c r="D2725" s="164">
        <v>763</v>
      </c>
      <c r="E2725" s="164">
        <v>777</v>
      </c>
      <c r="F2725" s="164" t="s">
        <v>3955</v>
      </c>
      <c r="G2725" s="164"/>
      <c r="H2725" s="167"/>
      <c r="I2725" s="167"/>
      <c r="J2725" s="167"/>
      <c r="K2725" s="169"/>
      <c r="L2725" s="129"/>
      <c r="M2725" s="129"/>
      <c r="N2725" s="129"/>
      <c r="O2725" s="129"/>
      <c r="P2725" s="146"/>
      <c r="Q2725" s="170"/>
      <c r="R2725" s="171"/>
      <c r="S2725" s="172"/>
    </row>
    <row r="2726" spans="1:19" ht="42.75">
      <c r="A2726" s="164" t="s">
        <v>779</v>
      </c>
      <c r="B2726" s="165" t="s">
        <v>6202</v>
      </c>
      <c r="C2726" s="165" t="s">
        <v>6211</v>
      </c>
      <c r="D2726" s="164">
        <v>1604</v>
      </c>
      <c r="E2726" s="164">
        <v>1662</v>
      </c>
      <c r="F2726" s="164" t="s">
        <v>3955</v>
      </c>
      <c r="G2726" s="164"/>
      <c r="H2726" s="167"/>
      <c r="I2726" s="167"/>
      <c r="J2726" s="167"/>
      <c r="K2726" s="169"/>
      <c r="L2726" s="129"/>
      <c r="M2726" s="129"/>
      <c r="N2726" s="129"/>
      <c r="O2726" s="129"/>
      <c r="P2726" s="146"/>
      <c r="Q2726" s="170"/>
      <c r="R2726" s="171"/>
      <c r="S2726" s="172"/>
    </row>
    <row r="2727" spans="1:19" ht="42.75">
      <c r="A2727" s="164" t="s">
        <v>779</v>
      </c>
      <c r="B2727" s="165" t="s">
        <v>6202</v>
      </c>
      <c r="C2727" s="165" t="s">
        <v>6213</v>
      </c>
      <c r="D2727" s="164">
        <v>706</v>
      </c>
      <c r="E2727" s="164">
        <v>707</v>
      </c>
      <c r="F2727" s="164" t="s">
        <v>3955</v>
      </c>
      <c r="G2727" s="164"/>
      <c r="H2727" s="167"/>
      <c r="I2727" s="167"/>
      <c r="J2727" s="167"/>
      <c r="K2727" s="169"/>
      <c r="L2727" s="129"/>
      <c r="M2727" s="129"/>
      <c r="N2727" s="129"/>
      <c r="O2727" s="129"/>
      <c r="P2727" s="146"/>
      <c r="Q2727" s="170"/>
      <c r="R2727" s="171"/>
      <c r="S2727" s="172"/>
    </row>
    <row r="2728" spans="1:19" ht="42.75">
      <c r="A2728" s="164" t="s">
        <v>779</v>
      </c>
      <c r="B2728" s="165" t="s">
        <v>6202</v>
      </c>
      <c r="C2728" s="165" t="s">
        <v>6044</v>
      </c>
      <c r="D2728" s="164">
        <v>2539</v>
      </c>
      <c r="E2728" s="164">
        <v>2700</v>
      </c>
      <c r="F2728" s="164" t="s">
        <v>3955</v>
      </c>
      <c r="G2728" s="164"/>
      <c r="H2728" s="167"/>
      <c r="I2728" s="167"/>
      <c r="J2728" s="167"/>
      <c r="K2728" s="169"/>
      <c r="L2728" s="129"/>
      <c r="M2728" s="129"/>
      <c r="N2728" s="129"/>
      <c r="O2728" s="129"/>
      <c r="P2728" s="146"/>
      <c r="Q2728" s="170"/>
      <c r="R2728" s="171"/>
      <c r="S2728" s="172"/>
    </row>
    <row r="2729" spans="1:19" ht="42.75">
      <c r="A2729" s="164" t="s">
        <v>779</v>
      </c>
      <c r="B2729" s="165" t="s">
        <v>6202</v>
      </c>
      <c r="C2729" s="165" t="s">
        <v>5982</v>
      </c>
      <c r="D2729" s="164">
        <v>3366</v>
      </c>
      <c r="E2729" s="164">
        <v>3524</v>
      </c>
      <c r="F2729" s="164" t="s">
        <v>3955</v>
      </c>
      <c r="G2729" s="164"/>
      <c r="H2729" s="167"/>
      <c r="I2729" s="167"/>
      <c r="J2729" s="167"/>
      <c r="K2729" s="169"/>
      <c r="L2729" s="129"/>
      <c r="M2729" s="129"/>
      <c r="N2729" s="129"/>
      <c r="O2729" s="129"/>
      <c r="P2729" s="146"/>
      <c r="Q2729" s="170"/>
      <c r="R2729" s="171"/>
      <c r="S2729" s="172"/>
    </row>
    <row r="2730" spans="1:19" ht="42.75">
      <c r="A2730" s="164" t="s">
        <v>779</v>
      </c>
      <c r="B2730" s="165" t="s">
        <v>6202</v>
      </c>
      <c r="C2730" s="165" t="s">
        <v>6217</v>
      </c>
      <c r="D2730" s="164">
        <v>2152</v>
      </c>
      <c r="E2730" s="164">
        <v>2222</v>
      </c>
      <c r="F2730" s="164" t="s">
        <v>3955</v>
      </c>
      <c r="G2730" s="164"/>
      <c r="H2730" s="167"/>
      <c r="I2730" s="167"/>
      <c r="J2730" s="167"/>
      <c r="K2730" s="169"/>
      <c r="L2730" s="129"/>
      <c r="M2730" s="129"/>
      <c r="N2730" s="129"/>
      <c r="O2730" s="129"/>
      <c r="P2730" s="146"/>
      <c r="Q2730" s="170"/>
      <c r="R2730" s="171"/>
      <c r="S2730" s="172"/>
    </row>
    <row r="2731" spans="1:19" ht="42.75">
      <c r="A2731" s="164" t="s">
        <v>779</v>
      </c>
      <c r="B2731" s="165" t="s">
        <v>6202</v>
      </c>
      <c r="C2731" s="165" t="s">
        <v>6218</v>
      </c>
      <c r="D2731" s="164">
        <v>1209</v>
      </c>
      <c r="E2731" s="164">
        <v>1340</v>
      </c>
      <c r="F2731" s="164" t="s">
        <v>3955</v>
      </c>
      <c r="G2731" s="164"/>
      <c r="H2731" s="167"/>
      <c r="I2731" s="167"/>
      <c r="J2731" s="167"/>
      <c r="K2731" s="169"/>
      <c r="L2731" s="129"/>
      <c r="M2731" s="129"/>
      <c r="N2731" s="129"/>
      <c r="O2731" s="129"/>
      <c r="P2731" s="146"/>
      <c r="Q2731" s="170"/>
      <c r="R2731" s="171"/>
      <c r="S2731" s="172"/>
    </row>
    <row r="2732" spans="1:19" ht="42.75">
      <c r="A2732" s="164" t="s">
        <v>779</v>
      </c>
      <c r="B2732" s="165" t="s">
        <v>6202</v>
      </c>
      <c r="C2732" s="165" t="s">
        <v>1286</v>
      </c>
      <c r="D2732" s="164">
        <v>3556</v>
      </c>
      <c r="E2732" s="164">
        <v>3846</v>
      </c>
      <c r="F2732" s="164" t="s">
        <v>3404</v>
      </c>
      <c r="G2732" s="164">
        <v>2024</v>
      </c>
      <c r="H2732" s="175">
        <v>45414</v>
      </c>
      <c r="I2732" s="175">
        <v>45416</v>
      </c>
      <c r="J2732" s="168" t="s">
        <v>7502</v>
      </c>
      <c r="K2732" s="174">
        <v>45420</v>
      </c>
      <c r="L2732" s="129" t="s">
        <v>3532</v>
      </c>
      <c r="M2732" s="129"/>
      <c r="N2732" s="129"/>
      <c r="O2732" s="129" t="s">
        <v>3406</v>
      </c>
      <c r="P2732" s="146"/>
      <c r="Q2732" s="170"/>
      <c r="R2732" s="171"/>
      <c r="S2732" s="172"/>
    </row>
    <row r="2733" spans="1:19" ht="42.75">
      <c r="A2733" s="164" t="s">
        <v>779</v>
      </c>
      <c r="B2733" s="165" t="s">
        <v>6202</v>
      </c>
      <c r="C2733" s="165" t="s">
        <v>4830</v>
      </c>
      <c r="D2733" s="164">
        <v>3714</v>
      </c>
      <c r="E2733" s="164">
        <v>4053</v>
      </c>
      <c r="F2733" s="164" t="s">
        <v>3404</v>
      </c>
      <c r="G2733" s="164">
        <v>2024</v>
      </c>
      <c r="H2733" s="175">
        <v>45506</v>
      </c>
      <c r="I2733" s="175">
        <v>45512</v>
      </c>
      <c r="J2733" s="168" t="s">
        <v>7503</v>
      </c>
      <c r="K2733" s="174">
        <v>45516</v>
      </c>
      <c r="L2733" s="129" t="s">
        <v>3126</v>
      </c>
      <c r="M2733" s="129" t="s">
        <v>1078</v>
      </c>
      <c r="N2733" s="129" t="s">
        <v>50</v>
      </c>
      <c r="O2733" s="129" t="s">
        <v>3406</v>
      </c>
      <c r="P2733" s="146"/>
      <c r="Q2733" s="170">
        <v>45517</v>
      </c>
      <c r="R2733" s="171" t="s">
        <v>6643</v>
      </c>
      <c r="S2733" s="172"/>
    </row>
    <row r="2734" spans="1:19" ht="42.75">
      <c r="A2734" s="164" t="s">
        <v>779</v>
      </c>
      <c r="B2734" s="165" t="s">
        <v>6202</v>
      </c>
      <c r="C2734" s="165" t="s">
        <v>6219</v>
      </c>
      <c r="D2734" s="164">
        <v>1870</v>
      </c>
      <c r="E2734" s="164">
        <v>2554</v>
      </c>
      <c r="F2734" s="164" t="s">
        <v>3955</v>
      </c>
      <c r="G2734" s="164"/>
      <c r="H2734" s="167"/>
      <c r="I2734" s="167"/>
      <c r="J2734" s="167"/>
      <c r="K2734" s="169"/>
      <c r="L2734" s="129"/>
      <c r="M2734" s="129"/>
      <c r="N2734" s="129"/>
      <c r="O2734" s="129"/>
      <c r="P2734" s="146"/>
      <c r="Q2734" s="170"/>
      <c r="R2734" s="171"/>
      <c r="S2734" s="172"/>
    </row>
    <row r="2735" spans="1:19" ht="42.75">
      <c r="A2735" s="164" t="s">
        <v>779</v>
      </c>
      <c r="B2735" s="165" t="s">
        <v>6202</v>
      </c>
      <c r="C2735" s="165" t="s">
        <v>4024</v>
      </c>
      <c r="D2735" s="164">
        <v>2318</v>
      </c>
      <c r="E2735" s="164">
        <v>2565</v>
      </c>
      <c r="F2735" s="164" t="s">
        <v>3955</v>
      </c>
      <c r="G2735" s="164"/>
      <c r="H2735" s="167"/>
      <c r="I2735" s="167"/>
      <c r="J2735" s="167"/>
      <c r="K2735" s="169"/>
      <c r="L2735" s="129"/>
      <c r="M2735" s="129"/>
      <c r="N2735" s="129"/>
      <c r="O2735" s="129"/>
      <c r="P2735" s="146"/>
      <c r="Q2735" s="170"/>
      <c r="R2735" s="171"/>
      <c r="S2735" s="172"/>
    </row>
    <row r="2736" spans="1:19" ht="42.75">
      <c r="A2736" s="164" t="s">
        <v>779</v>
      </c>
      <c r="B2736" s="165" t="s">
        <v>6202</v>
      </c>
      <c r="C2736" s="165" t="s">
        <v>6220</v>
      </c>
      <c r="D2736" s="164">
        <v>957</v>
      </c>
      <c r="E2736" s="164">
        <v>1083</v>
      </c>
      <c r="F2736" s="164" t="s">
        <v>3955</v>
      </c>
      <c r="G2736" s="164"/>
      <c r="H2736" s="167"/>
      <c r="I2736" s="167"/>
      <c r="J2736" s="167"/>
      <c r="K2736" s="169"/>
      <c r="L2736" s="129"/>
      <c r="M2736" s="129"/>
      <c r="N2736" s="129"/>
      <c r="O2736" s="129"/>
      <c r="P2736" s="146"/>
      <c r="Q2736" s="170"/>
      <c r="R2736" s="171"/>
      <c r="S2736" s="172"/>
    </row>
    <row r="2737" spans="1:19" ht="42.75">
      <c r="A2737" s="164" t="s">
        <v>779</v>
      </c>
      <c r="B2737" s="165" t="s">
        <v>6202</v>
      </c>
      <c r="C2737" s="165" t="s">
        <v>1166</v>
      </c>
      <c r="D2737" s="164">
        <v>2394</v>
      </c>
      <c r="E2737" s="164">
        <v>2574</v>
      </c>
      <c r="F2737" s="164" t="s">
        <v>3404</v>
      </c>
      <c r="G2737" s="164">
        <v>2024</v>
      </c>
      <c r="H2737" s="175">
        <v>45506</v>
      </c>
      <c r="I2737" s="175">
        <v>45512</v>
      </c>
      <c r="J2737" s="168" t="s">
        <v>7504</v>
      </c>
      <c r="K2737" s="174">
        <v>45516</v>
      </c>
      <c r="L2737" s="129" t="s">
        <v>3126</v>
      </c>
      <c r="M2737" s="129" t="s">
        <v>1078</v>
      </c>
      <c r="N2737" s="129" t="s">
        <v>50</v>
      </c>
      <c r="O2737" s="129" t="s">
        <v>3406</v>
      </c>
      <c r="P2737" s="146"/>
      <c r="Q2737" s="170">
        <v>45517</v>
      </c>
      <c r="R2737" s="171" t="s">
        <v>6643</v>
      </c>
      <c r="S2737" s="172"/>
    </row>
    <row r="2738" spans="1:19" ht="42.75">
      <c r="A2738" s="164" t="s">
        <v>779</v>
      </c>
      <c r="B2738" s="165" t="s">
        <v>6202</v>
      </c>
      <c r="C2738" s="165" t="s">
        <v>6221</v>
      </c>
      <c r="D2738" s="164">
        <v>2298</v>
      </c>
      <c r="E2738" s="164">
        <v>2303</v>
      </c>
      <c r="F2738" s="164" t="s">
        <v>3955</v>
      </c>
      <c r="G2738" s="164"/>
      <c r="H2738" s="167"/>
      <c r="I2738" s="167"/>
      <c r="J2738" s="167"/>
      <c r="K2738" s="169"/>
      <c r="L2738" s="129"/>
      <c r="M2738" s="129"/>
      <c r="N2738" s="129"/>
      <c r="O2738" s="129"/>
      <c r="P2738" s="146"/>
      <c r="Q2738" s="170"/>
      <c r="R2738" s="171"/>
      <c r="S2738" s="172"/>
    </row>
    <row r="2739" spans="1:19" ht="42.75">
      <c r="A2739" s="164" t="s">
        <v>779</v>
      </c>
      <c r="B2739" s="165" t="s">
        <v>6202</v>
      </c>
      <c r="C2739" s="165" t="s">
        <v>6222</v>
      </c>
      <c r="D2739" s="164">
        <v>2446</v>
      </c>
      <c r="E2739" s="164">
        <v>2626</v>
      </c>
      <c r="F2739" s="164" t="s">
        <v>3404</v>
      </c>
      <c r="G2739" s="164">
        <v>2024</v>
      </c>
      <c r="H2739" s="175">
        <v>45454</v>
      </c>
      <c r="I2739" s="175">
        <v>45455</v>
      </c>
      <c r="J2739" s="168" t="s">
        <v>7504</v>
      </c>
      <c r="K2739" s="174">
        <v>45463</v>
      </c>
      <c r="L2739" s="129" t="s">
        <v>4334</v>
      </c>
      <c r="M2739" s="129" t="s">
        <v>4</v>
      </c>
      <c r="N2739" s="129" t="s">
        <v>50</v>
      </c>
      <c r="O2739" s="129" t="s">
        <v>3406</v>
      </c>
      <c r="P2739" s="146"/>
      <c r="Q2739" s="130">
        <v>45463</v>
      </c>
      <c r="R2739" s="171"/>
      <c r="S2739" s="172"/>
    </row>
    <row r="2740" spans="1:19" ht="42.75">
      <c r="A2740" s="164" t="s">
        <v>779</v>
      </c>
      <c r="B2740" s="165" t="s">
        <v>6202</v>
      </c>
      <c r="C2740" s="165" t="s">
        <v>6223</v>
      </c>
      <c r="D2740" s="164">
        <v>2063</v>
      </c>
      <c r="E2740" s="164">
        <v>2295</v>
      </c>
      <c r="F2740" s="164" t="s">
        <v>3955</v>
      </c>
      <c r="G2740" s="164"/>
      <c r="H2740" s="167"/>
      <c r="I2740" s="167"/>
      <c r="J2740" s="167"/>
      <c r="K2740" s="169"/>
      <c r="L2740" s="129"/>
      <c r="M2740" s="129"/>
      <c r="N2740" s="129"/>
      <c r="O2740" s="129"/>
      <c r="P2740" s="146"/>
      <c r="Q2740" s="170"/>
      <c r="R2740" s="171"/>
      <c r="S2740" s="172"/>
    </row>
    <row r="2741" spans="1:19" ht="42.75">
      <c r="A2741" s="164" t="s">
        <v>779</v>
      </c>
      <c r="B2741" s="165" t="s">
        <v>6202</v>
      </c>
      <c r="C2741" s="165" t="s">
        <v>6224</v>
      </c>
      <c r="D2741" s="164">
        <v>402</v>
      </c>
      <c r="E2741" s="164">
        <v>476</v>
      </c>
      <c r="F2741" s="164" t="s">
        <v>3955</v>
      </c>
      <c r="G2741" s="164"/>
      <c r="H2741" s="167"/>
      <c r="I2741" s="167"/>
      <c r="J2741" s="167"/>
      <c r="K2741" s="169"/>
      <c r="L2741" s="129"/>
      <c r="M2741" s="129"/>
      <c r="N2741" s="129"/>
      <c r="O2741" s="129"/>
      <c r="P2741" s="146"/>
      <c r="Q2741" s="170"/>
      <c r="R2741" s="171"/>
      <c r="S2741" s="172"/>
    </row>
    <row r="2742" spans="1:19" ht="42.75">
      <c r="A2742" s="164" t="s">
        <v>779</v>
      </c>
      <c r="B2742" s="165" t="s">
        <v>6202</v>
      </c>
      <c r="C2742" s="165" t="s">
        <v>6225</v>
      </c>
      <c r="D2742" s="164">
        <v>2325</v>
      </c>
      <c r="E2742" s="164">
        <v>2556</v>
      </c>
      <c r="F2742" s="164" t="s">
        <v>3404</v>
      </c>
      <c r="G2742" s="164">
        <v>2024</v>
      </c>
      <c r="H2742" s="175">
        <v>45506</v>
      </c>
      <c r="I2742" s="175">
        <v>45512</v>
      </c>
      <c r="J2742" s="168" t="s">
        <v>7505</v>
      </c>
      <c r="K2742" s="174">
        <v>45516</v>
      </c>
      <c r="L2742" s="129" t="s">
        <v>3126</v>
      </c>
      <c r="M2742" s="129" t="s">
        <v>4</v>
      </c>
      <c r="N2742" s="129" t="s">
        <v>50</v>
      </c>
      <c r="O2742" s="129" t="s">
        <v>3406</v>
      </c>
      <c r="P2742" s="146"/>
      <c r="Q2742" s="170">
        <v>45517</v>
      </c>
      <c r="R2742" s="171" t="s">
        <v>6643</v>
      </c>
      <c r="S2742" s="172"/>
    </row>
    <row r="2743" spans="1:19" ht="42.75">
      <c r="A2743" s="164" t="s">
        <v>779</v>
      </c>
      <c r="B2743" s="165" t="s">
        <v>6202</v>
      </c>
      <c r="C2743" s="165" t="s">
        <v>6226</v>
      </c>
      <c r="D2743" s="164">
        <v>2934</v>
      </c>
      <c r="E2743" s="164">
        <v>3274</v>
      </c>
      <c r="F2743" s="164" t="s">
        <v>3404</v>
      </c>
      <c r="G2743" s="164">
        <v>2024</v>
      </c>
      <c r="H2743" s="175">
        <v>45414</v>
      </c>
      <c r="I2743" s="175">
        <v>45416</v>
      </c>
      <c r="J2743" s="168" t="s">
        <v>7506</v>
      </c>
      <c r="K2743" s="174">
        <v>45420</v>
      </c>
      <c r="L2743" s="129" t="s">
        <v>3532</v>
      </c>
      <c r="M2743" s="129"/>
      <c r="N2743" s="129"/>
      <c r="O2743" s="129" t="s">
        <v>3406</v>
      </c>
      <c r="P2743" s="146"/>
      <c r="Q2743" s="170"/>
      <c r="R2743" s="171"/>
      <c r="S2743" s="172"/>
    </row>
    <row r="2744" spans="1:19" ht="42.75">
      <c r="A2744" s="164" t="s">
        <v>779</v>
      </c>
      <c r="B2744" s="165" t="s">
        <v>6227</v>
      </c>
      <c r="C2744" s="165" t="s">
        <v>6237</v>
      </c>
      <c r="D2744" s="164">
        <v>6893</v>
      </c>
      <c r="E2744" s="164">
        <v>7718</v>
      </c>
      <c r="F2744" s="164" t="s">
        <v>3955</v>
      </c>
      <c r="G2744" s="164"/>
      <c r="H2744" s="167"/>
      <c r="I2744" s="167"/>
      <c r="J2744" s="167"/>
      <c r="K2744" s="169"/>
      <c r="L2744" s="129"/>
      <c r="M2744" s="129"/>
      <c r="N2744" s="129"/>
      <c r="O2744" s="129"/>
      <c r="P2744" s="146"/>
      <c r="Q2744" s="170"/>
      <c r="R2744" s="171"/>
      <c r="S2744" s="172"/>
    </row>
    <row r="2745" spans="1:19" ht="42.75">
      <c r="A2745" s="164" t="s">
        <v>779</v>
      </c>
      <c r="B2745" s="165" t="s">
        <v>6227</v>
      </c>
      <c r="C2745" s="165" t="s">
        <v>6238</v>
      </c>
      <c r="D2745" s="164">
        <v>1573</v>
      </c>
      <c r="E2745" s="164">
        <v>1926</v>
      </c>
      <c r="F2745" s="164" t="s">
        <v>3955</v>
      </c>
      <c r="G2745" s="164"/>
      <c r="H2745" s="167"/>
      <c r="I2745" s="167"/>
      <c r="J2745" s="167"/>
      <c r="K2745" s="169"/>
      <c r="L2745" s="129"/>
      <c r="M2745" s="129"/>
      <c r="N2745" s="129"/>
      <c r="O2745" s="129"/>
      <c r="P2745" s="146"/>
      <c r="Q2745" s="170"/>
      <c r="R2745" s="171"/>
      <c r="S2745" s="172"/>
    </row>
    <row r="2746" spans="1:19" ht="42.75">
      <c r="A2746" s="164" t="s">
        <v>779</v>
      </c>
      <c r="B2746" s="165" t="s">
        <v>6227</v>
      </c>
      <c r="C2746" s="165" t="s">
        <v>6239</v>
      </c>
      <c r="D2746" s="164">
        <v>2220</v>
      </c>
      <c r="E2746" s="164">
        <v>2660</v>
      </c>
      <c r="F2746" s="164" t="s">
        <v>3955</v>
      </c>
      <c r="G2746" s="164"/>
      <c r="H2746" s="167"/>
      <c r="I2746" s="167"/>
      <c r="J2746" s="167"/>
      <c r="K2746" s="169"/>
      <c r="L2746" s="129"/>
      <c r="M2746" s="129"/>
      <c r="N2746" s="129"/>
      <c r="O2746" s="129"/>
      <c r="P2746" s="146"/>
      <c r="Q2746" s="170"/>
      <c r="R2746" s="171"/>
      <c r="S2746" s="172"/>
    </row>
    <row r="2747" spans="1:19" ht="42.75">
      <c r="A2747" s="164" t="s">
        <v>779</v>
      </c>
      <c r="B2747" s="165" t="s">
        <v>6227</v>
      </c>
      <c r="C2747" s="165" t="s">
        <v>6240</v>
      </c>
      <c r="D2747" s="164">
        <v>4985</v>
      </c>
      <c r="E2747" s="164">
        <v>5608</v>
      </c>
      <c r="F2747" s="164" t="s">
        <v>3955</v>
      </c>
      <c r="G2747" s="164"/>
      <c r="H2747" s="167"/>
      <c r="I2747" s="167"/>
      <c r="J2747" s="167"/>
      <c r="K2747" s="169"/>
      <c r="L2747" s="129"/>
      <c r="M2747" s="129"/>
      <c r="N2747" s="129"/>
      <c r="O2747" s="129"/>
      <c r="P2747" s="146"/>
      <c r="Q2747" s="170"/>
      <c r="R2747" s="171"/>
      <c r="S2747" s="172"/>
    </row>
    <row r="2748" spans="1:19" ht="42.75">
      <c r="A2748" s="164" t="s">
        <v>779</v>
      </c>
      <c r="B2748" s="165" t="s">
        <v>6227</v>
      </c>
      <c r="C2748" s="165" t="s">
        <v>6241</v>
      </c>
      <c r="D2748" s="164">
        <v>1771</v>
      </c>
      <c r="E2748" s="164">
        <v>1815</v>
      </c>
      <c r="F2748" s="164" t="s">
        <v>3955</v>
      </c>
      <c r="G2748" s="164"/>
      <c r="H2748" s="167"/>
      <c r="I2748" s="167"/>
      <c r="J2748" s="167"/>
      <c r="K2748" s="169"/>
      <c r="L2748" s="129"/>
      <c r="M2748" s="129"/>
      <c r="N2748" s="129"/>
      <c r="O2748" s="129"/>
      <c r="P2748" s="146"/>
      <c r="Q2748" s="170"/>
      <c r="R2748" s="171"/>
      <c r="S2748" s="172"/>
    </row>
    <row r="2749" spans="1:19" ht="42.75">
      <c r="A2749" s="164" t="s">
        <v>779</v>
      </c>
      <c r="B2749" s="165" t="s">
        <v>6227</v>
      </c>
      <c r="C2749" s="165" t="s">
        <v>6242</v>
      </c>
      <c r="D2749" s="164">
        <v>2232</v>
      </c>
      <c r="E2749" s="164">
        <v>2560</v>
      </c>
      <c r="F2749" s="164" t="s">
        <v>3955</v>
      </c>
      <c r="G2749" s="164"/>
      <c r="H2749" s="167"/>
      <c r="I2749" s="167"/>
      <c r="J2749" s="167"/>
      <c r="K2749" s="169"/>
      <c r="L2749" s="129"/>
      <c r="M2749" s="129"/>
      <c r="N2749" s="129"/>
      <c r="O2749" s="129"/>
      <c r="P2749" s="146"/>
      <c r="Q2749" s="170"/>
      <c r="R2749" s="171"/>
      <c r="S2749" s="172"/>
    </row>
    <row r="2750" spans="1:19" ht="42.75">
      <c r="A2750" s="164" t="s">
        <v>779</v>
      </c>
      <c r="B2750" s="165" t="s">
        <v>6227</v>
      </c>
      <c r="C2750" s="165" t="s">
        <v>6243</v>
      </c>
      <c r="D2750" s="164">
        <v>1725</v>
      </c>
      <c r="E2750" s="164">
        <v>1961</v>
      </c>
      <c r="F2750" s="164" t="s">
        <v>3955</v>
      </c>
      <c r="G2750" s="164"/>
      <c r="H2750" s="167"/>
      <c r="I2750" s="167"/>
      <c r="J2750" s="167"/>
      <c r="K2750" s="169"/>
      <c r="L2750" s="129"/>
      <c r="M2750" s="129"/>
      <c r="N2750" s="129"/>
      <c r="O2750" s="129"/>
      <c r="P2750" s="146"/>
      <c r="Q2750" s="170"/>
      <c r="R2750" s="171"/>
      <c r="S2750" s="172"/>
    </row>
    <row r="2751" spans="1:19" ht="42.75">
      <c r="A2751" s="164" t="s">
        <v>779</v>
      </c>
      <c r="B2751" s="165" t="s">
        <v>6227</v>
      </c>
      <c r="C2751" s="165" t="s">
        <v>6244</v>
      </c>
      <c r="D2751" s="164">
        <v>4684</v>
      </c>
      <c r="E2751" s="164">
        <v>5445</v>
      </c>
      <c r="F2751" s="164" t="s">
        <v>3955</v>
      </c>
      <c r="G2751" s="164"/>
      <c r="H2751" s="167"/>
      <c r="I2751" s="167"/>
      <c r="J2751" s="167"/>
      <c r="K2751" s="169"/>
      <c r="L2751" s="129"/>
      <c r="M2751" s="129"/>
      <c r="N2751" s="129"/>
      <c r="O2751" s="129"/>
      <c r="P2751" s="146"/>
      <c r="Q2751" s="170"/>
      <c r="R2751" s="171"/>
      <c r="S2751" s="172"/>
    </row>
    <row r="2752" spans="1:19" ht="42.75">
      <c r="A2752" s="164" t="s">
        <v>779</v>
      </c>
      <c r="B2752" s="165" t="s">
        <v>6227</v>
      </c>
      <c r="C2752" s="165" t="s">
        <v>6245</v>
      </c>
      <c r="D2752" s="164">
        <v>2208</v>
      </c>
      <c r="E2752" s="164">
        <v>2118</v>
      </c>
      <c r="F2752" s="164" t="s">
        <v>3955</v>
      </c>
      <c r="G2752" s="164"/>
      <c r="H2752" s="167"/>
      <c r="I2752" s="167"/>
      <c r="J2752" s="167"/>
      <c r="K2752" s="169"/>
      <c r="L2752" s="129"/>
      <c r="M2752" s="129"/>
      <c r="N2752" s="129"/>
      <c r="O2752" s="129"/>
      <c r="P2752" s="146"/>
      <c r="Q2752" s="170"/>
      <c r="R2752" s="171"/>
      <c r="S2752" s="172"/>
    </row>
    <row r="2753" spans="1:19" ht="42.75">
      <c r="A2753" s="164" t="s">
        <v>779</v>
      </c>
      <c r="B2753" s="165" t="s">
        <v>6227</v>
      </c>
      <c r="C2753" s="165" t="s">
        <v>6247</v>
      </c>
      <c r="D2753" s="164">
        <v>3533</v>
      </c>
      <c r="E2753" s="164">
        <v>4180</v>
      </c>
      <c r="F2753" s="164" t="s">
        <v>3955</v>
      </c>
      <c r="G2753" s="164"/>
      <c r="H2753" s="167"/>
      <c r="I2753" s="167"/>
      <c r="J2753" s="167"/>
      <c r="K2753" s="169"/>
      <c r="L2753" s="129"/>
      <c r="M2753" s="129"/>
      <c r="N2753" s="129"/>
      <c r="O2753" s="129"/>
      <c r="P2753" s="146"/>
      <c r="Q2753" s="170"/>
      <c r="R2753" s="171"/>
      <c r="S2753" s="172"/>
    </row>
    <row r="2754" spans="1:19" ht="42.75">
      <c r="A2754" s="164" t="s">
        <v>779</v>
      </c>
      <c r="B2754" s="165" t="s">
        <v>6227</v>
      </c>
      <c r="C2754" s="165" t="s">
        <v>6248</v>
      </c>
      <c r="D2754" s="164">
        <v>5962</v>
      </c>
      <c r="E2754" s="164">
        <v>6769</v>
      </c>
      <c r="F2754" s="164" t="s">
        <v>3955</v>
      </c>
      <c r="G2754" s="164"/>
      <c r="H2754" s="167"/>
      <c r="I2754" s="167"/>
      <c r="J2754" s="167"/>
      <c r="K2754" s="169"/>
      <c r="L2754" s="129"/>
      <c r="M2754" s="129"/>
      <c r="N2754" s="129"/>
      <c r="O2754" s="129"/>
      <c r="P2754" s="146"/>
      <c r="Q2754" s="170"/>
      <c r="R2754" s="171"/>
      <c r="S2754" s="172"/>
    </row>
    <row r="2755" spans="1:19" ht="42.75">
      <c r="A2755" s="164" t="s">
        <v>779</v>
      </c>
      <c r="B2755" s="165" t="s">
        <v>6227</v>
      </c>
      <c r="C2755" s="165" t="s">
        <v>5803</v>
      </c>
      <c r="D2755" s="164">
        <v>1048</v>
      </c>
      <c r="E2755" s="164">
        <v>1245</v>
      </c>
      <c r="F2755" s="164" t="s">
        <v>3955</v>
      </c>
      <c r="G2755" s="164"/>
      <c r="H2755" s="167"/>
      <c r="I2755" s="167"/>
      <c r="J2755" s="167"/>
      <c r="K2755" s="169"/>
      <c r="L2755" s="129"/>
      <c r="M2755" s="129"/>
      <c r="N2755" s="129"/>
      <c r="O2755" s="129"/>
      <c r="P2755" s="146"/>
      <c r="Q2755" s="170"/>
      <c r="R2755" s="171"/>
      <c r="S2755" s="172"/>
    </row>
    <row r="2756" spans="1:19" ht="42.75">
      <c r="A2756" s="164" t="s">
        <v>779</v>
      </c>
      <c r="B2756" s="165" t="s">
        <v>6227</v>
      </c>
      <c r="C2756" s="165" t="s">
        <v>1475</v>
      </c>
      <c r="D2756" s="164">
        <v>2192</v>
      </c>
      <c r="E2756" s="164">
        <v>2410</v>
      </c>
      <c r="F2756" s="164" t="s">
        <v>3955</v>
      </c>
      <c r="G2756" s="164"/>
      <c r="H2756" s="167"/>
      <c r="I2756" s="167"/>
      <c r="J2756" s="167"/>
      <c r="K2756" s="169"/>
      <c r="L2756" s="129"/>
      <c r="M2756" s="129"/>
      <c r="N2756" s="129"/>
      <c r="O2756" s="129"/>
      <c r="P2756" s="146"/>
      <c r="Q2756" s="170"/>
      <c r="R2756" s="171"/>
      <c r="S2756" s="172"/>
    </row>
    <row r="2757" spans="1:19" ht="42.75">
      <c r="A2757" s="164" t="s">
        <v>779</v>
      </c>
      <c r="B2757" s="165" t="s">
        <v>6227</v>
      </c>
      <c r="C2757" s="165" t="s">
        <v>6249</v>
      </c>
      <c r="D2757" s="164">
        <v>4338</v>
      </c>
      <c r="E2757" s="164">
        <v>5173</v>
      </c>
      <c r="F2757" s="164" t="s">
        <v>3955</v>
      </c>
      <c r="G2757" s="164"/>
      <c r="H2757" s="167"/>
      <c r="I2757" s="167"/>
      <c r="J2757" s="167"/>
      <c r="K2757" s="169"/>
      <c r="L2757" s="129"/>
      <c r="M2757" s="129"/>
      <c r="N2757" s="129"/>
      <c r="O2757" s="129"/>
      <c r="P2757" s="146"/>
      <c r="Q2757" s="170"/>
      <c r="R2757" s="171"/>
      <c r="S2757" s="172"/>
    </row>
    <row r="2758" spans="1:19" ht="42.75">
      <c r="A2758" s="164" t="s">
        <v>779</v>
      </c>
      <c r="B2758" s="165" t="s">
        <v>6227</v>
      </c>
      <c r="C2758" s="165" t="s">
        <v>6250</v>
      </c>
      <c r="D2758" s="164">
        <v>1666</v>
      </c>
      <c r="E2758" s="164">
        <v>2258</v>
      </c>
      <c r="F2758" s="164" t="s">
        <v>3955</v>
      </c>
      <c r="G2758" s="164"/>
      <c r="H2758" s="167"/>
      <c r="I2758" s="167"/>
      <c r="J2758" s="167"/>
      <c r="K2758" s="169"/>
      <c r="L2758" s="129"/>
      <c r="M2758" s="129"/>
      <c r="N2758" s="129"/>
      <c r="O2758" s="129"/>
      <c r="P2758" s="146"/>
      <c r="Q2758" s="170"/>
      <c r="R2758" s="171"/>
      <c r="S2758" s="172"/>
    </row>
    <row r="2759" spans="1:19" ht="42.75">
      <c r="A2759" s="164" t="s">
        <v>779</v>
      </c>
      <c r="B2759" s="165" t="s">
        <v>6227</v>
      </c>
      <c r="C2759" s="165" t="s">
        <v>6251</v>
      </c>
      <c r="D2759" s="164">
        <v>4498</v>
      </c>
      <c r="E2759" s="164">
        <v>5791</v>
      </c>
      <c r="F2759" s="164" t="s">
        <v>3955</v>
      </c>
      <c r="G2759" s="164"/>
      <c r="H2759" s="167"/>
      <c r="I2759" s="167"/>
      <c r="J2759" s="167"/>
      <c r="K2759" s="169"/>
      <c r="L2759" s="129"/>
      <c r="M2759" s="129"/>
      <c r="N2759" s="129"/>
      <c r="O2759" s="129"/>
      <c r="P2759" s="146"/>
      <c r="Q2759" s="170"/>
      <c r="R2759" s="171"/>
      <c r="S2759" s="172"/>
    </row>
    <row r="2760" spans="1:19" ht="42.75">
      <c r="A2760" s="164" t="s">
        <v>779</v>
      </c>
      <c r="B2760" s="165" t="s">
        <v>6227</v>
      </c>
      <c r="C2760" s="165" t="s">
        <v>6252</v>
      </c>
      <c r="D2760" s="164">
        <v>1708</v>
      </c>
      <c r="E2760" s="164">
        <v>2083</v>
      </c>
      <c r="F2760" s="164" t="s">
        <v>3955</v>
      </c>
      <c r="G2760" s="164"/>
      <c r="H2760" s="167"/>
      <c r="I2760" s="167"/>
      <c r="J2760" s="167"/>
      <c r="K2760" s="169"/>
      <c r="L2760" s="129"/>
      <c r="M2760" s="129"/>
      <c r="N2760" s="129"/>
      <c r="O2760" s="129"/>
      <c r="P2760" s="146"/>
      <c r="Q2760" s="170"/>
      <c r="R2760" s="171"/>
      <c r="S2760" s="172"/>
    </row>
    <row r="2761" spans="1:19" ht="42.75">
      <c r="A2761" s="164" t="s">
        <v>779</v>
      </c>
      <c r="B2761" s="165" t="s">
        <v>6227</v>
      </c>
      <c r="C2761" s="165" t="s">
        <v>3508</v>
      </c>
      <c r="D2761" s="164">
        <v>1249</v>
      </c>
      <c r="E2761" s="164">
        <v>1517</v>
      </c>
      <c r="F2761" s="164" t="s">
        <v>3955</v>
      </c>
      <c r="G2761" s="164"/>
      <c r="H2761" s="167"/>
      <c r="I2761" s="167"/>
      <c r="J2761" s="167"/>
      <c r="K2761" s="169"/>
      <c r="L2761" s="129"/>
      <c r="M2761" s="129"/>
      <c r="N2761" s="129"/>
      <c r="O2761" s="129"/>
      <c r="P2761" s="146"/>
      <c r="Q2761" s="170"/>
      <c r="R2761" s="171"/>
      <c r="S2761" s="172"/>
    </row>
    <row r="2762" spans="1:19" ht="42.75">
      <c r="A2762" s="164" t="s">
        <v>779</v>
      </c>
      <c r="B2762" s="165" t="s">
        <v>6227</v>
      </c>
      <c r="C2762" s="165" t="s">
        <v>6253</v>
      </c>
      <c r="D2762" s="164">
        <v>1771</v>
      </c>
      <c r="E2762" s="164">
        <v>2109</v>
      </c>
      <c r="F2762" s="164" t="s">
        <v>3955</v>
      </c>
      <c r="G2762" s="164"/>
      <c r="H2762" s="167"/>
      <c r="I2762" s="167"/>
      <c r="J2762" s="167"/>
      <c r="K2762" s="169"/>
      <c r="L2762" s="129"/>
      <c r="M2762" s="129"/>
      <c r="N2762" s="129"/>
      <c r="O2762" s="129"/>
      <c r="P2762" s="146"/>
      <c r="Q2762" s="170"/>
      <c r="R2762" s="171"/>
      <c r="S2762" s="172"/>
    </row>
    <row r="2763" spans="1:19" ht="42.75">
      <c r="A2763" s="164" t="s">
        <v>779</v>
      </c>
      <c r="B2763" s="165" t="s">
        <v>6227</v>
      </c>
      <c r="C2763" s="165" t="s">
        <v>6254</v>
      </c>
      <c r="D2763" s="164">
        <v>6105</v>
      </c>
      <c r="E2763" s="164">
        <v>7682</v>
      </c>
      <c r="F2763" s="164" t="s">
        <v>3955</v>
      </c>
      <c r="G2763" s="164"/>
      <c r="H2763" s="167"/>
      <c r="I2763" s="167"/>
      <c r="J2763" s="167"/>
      <c r="K2763" s="169"/>
      <c r="L2763" s="129"/>
      <c r="M2763" s="129"/>
      <c r="N2763" s="129"/>
      <c r="O2763" s="129"/>
      <c r="P2763" s="146"/>
      <c r="Q2763" s="170"/>
      <c r="R2763" s="171"/>
      <c r="S2763" s="172"/>
    </row>
    <row r="2764" spans="1:19" ht="42.75">
      <c r="A2764" s="164" t="s">
        <v>779</v>
      </c>
      <c r="B2764" s="165" t="s">
        <v>6227</v>
      </c>
      <c r="C2764" s="165" t="s">
        <v>6256</v>
      </c>
      <c r="D2764" s="164">
        <v>3353</v>
      </c>
      <c r="E2764" s="164">
        <v>3679</v>
      </c>
      <c r="F2764" s="164" t="s">
        <v>3955</v>
      </c>
      <c r="G2764" s="164"/>
      <c r="H2764" s="167"/>
      <c r="I2764" s="167"/>
      <c r="J2764" s="167"/>
      <c r="K2764" s="169"/>
      <c r="L2764" s="129"/>
      <c r="M2764" s="129"/>
      <c r="N2764" s="129"/>
      <c r="O2764" s="129"/>
      <c r="P2764" s="146"/>
      <c r="Q2764" s="170"/>
      <c r="R2764" s="171"/>
      <c r="S2764" s="172"/>
    </row>
    <row r="2765" spans="1:19" ht="42.75">
      <c r="A2765" s="164" t="s">
        <v>779</v>
      </c>
      <c r="B2765" s="165" t="s">
        <v>6227</v>
      </c>
      <c r="C2765" s="165" t="s">
        <v>6257</v>
      </c>
      <c r="D2765" s="164">
        <v>1834</v>
      </c>
      <c r="E2765" s="164">
        <v>2239</v>
      </c>
      <c r="F2765" s="164" t="s">
        <v>3955</v>
      </c>
      <c r="G2765" s="164"/>
      <c r="H2765" s="167"/>
      <c r="I2765" s="167"/>
      <c r="J2765" s="167"/>
      <c r="K2765" s="169"/>
      <c r="L2765" s="129"/>
      <c r="M2765" s="129"/>
      <c r="N2765" s="129"/>
      <c r="O2765" s="129"/>
      <c r="P2765" s="146"/>
      <c r="Q2765" s="170"/>
      <c r="R2765" s="171"/>
      <c r="S2765" s="172"/>
    </row>
    <row r="2766" spans="1:19" ht="42.75">
      <c r="A2766" s="164" t="s">
        <v>779</v>
      </c>
      <c r="B2766" s="165" t="s">
        <v>6227</v>
      </c>
      <c r="C2766" s="165" t="s">
        <v>6258</v>
      </c>
      <c r="D2766" s="164">
        <v>9919</v>
      </c>
      <c r="E2766" s="164">
        <v>10195</v>
      </c>
      <c r="F2766" s="164" t="s">
        <v>3955</v>
      </c>
      <c r="G2766" s="164"/>
      <c r="H2766" s="167"/>
      <c r="I2766" s="167"/>
      <c r="J2766" s="167"/>
      <c r="K2766" s="169"/>
      <c r="L2766" s="129"/>
      <c r="M2766" s="129"/>
      <c r="N2766" s="129"/>
      <c r="O2766" s="129"/>
      <c r="P2766" s="146"/>
      <c r="Q2766" s="170"/>
      <c r="R2766" s="171"/>
      <c r="S2766" s="172"/>
    </row>
    <row r="2767" spans="1:19" ht="42.75">
      <c r="A2767" s="164" t="s">
        <v>779</v>
      </c>
      <c r="B2767" s="165" t="s">
        <v>6227</v>
      </c>
      <c r="C2767" s="165" t="s">
        <v>3630</v>
      </c>
      <c r="D2767" s="164">
        <v>4127</v>
      </c>
      <c r="E2767" s="164">
        <v>4008</v>
      </c>
      <c r="F2767" s="164" t="s">
        <v>3955</v>
      </c>
      <c r="G2767" s="164"/>
      <c r="H2767" s="167"/>
      <c r="I2767" s="167"/>
      <c r="J2767" s="167"/>
      <c r="K2767" s="169"/>
      <c r="L2767" s="129"/>
      <c r="M2767" s="129"/>
      <c r="N2767" s="129"/>
      <c r="O2767" s="129"/>
      <c r="P2767" s="146"/>
      <c r="Q2767" s="170"/>
      <c r="R2767" s="171"/>
      <c r="S2767" s="172"/>
    </row>
    <row r="2768" spans="1:19" ht="42.75">
      <c r="A2768" s="164" t="s">
        <v>779</v>
      </c>
      <c r="B2768" s="165" t="s">
        <v>6227</v>
      </c>
      <c r="C2768" s="165" t="s">
        <v>6259</v>
      </c>
      <c r="D2768" s="164">
        <v>1898</v>
      </c>
      <c r="E2768" s="164">
        <v>2764</v>
      </c>
      <c r="F2768" s="164" t="s">
        <v>3955</v>
      </c>
      <c r="G2768" s="164"/>
      <c r="H2768" s="167"/>
      <c r="I2768" s="167"/>
      <c r="J2768" s="167"/>
      <c r="K2768" s="169"/>
      <c r="L2768" s="129"/>
      <c r="M2768" s="129"/>
      <c r="N2768" s="129"/>
      <c r="O2768" s="129"/>
      <c r="P2768" s="146"/>
      <c r="Q2768" s="170"/>
      <c r="R2768" s="171"/>
      <c r="S2768" s="172"/>
    </row>
    <row r="2769" spans="1:19" ht="42.75">
      <c r="A2769" s="164" t="s">
        <v>779</v>
      </c>
      <c r="B2769" s="165" t="s">
        <v>6227</v>
      </c>
      <c r="C2769" s="165" t="s">
        <v>6260</v>
      </c>
      <c r="D2769" s="164">
        <v>400</v>
      </c>
      <c r="E2769" s="164">
        <v>456</v>
      </c>
      <c r="F2769" s="164" t="s">
        <v>3955</v>
      </c>
      <c r="G2769" s="164"/>
      <c r="H2769" s="167"/>
      <c r="I2769" s="167"/>
      <c r="J2769" s="167"/>
      <c r="K2769" s="169"/>
      <c r="L2769" s="129"/>
      <c r="M2769" s="129"/>
      <c r="N2769" s="129"/>
      <c r="O2769" s="129"/>
      <c r="P2769" s="146"/>
      <c r="Q2769" s="170"/>
      <c r="R2769" s="171"/>
      <c r="S2769" s="172"/>
    </row>
    <row r="2770" spans="1:19" ht="42.75">
      <c r="A2770" s="164" t="s">
        <v>779</v>
      </c>
      <c r="B2770" s="165" t="s">
        <v>6227</v>
      </c>
      <c r="C2770" s="165" t="s">
        <v>6230</v>
      </c>
      <c r="D2770" s="164">
        <v>7211</v>
      </c>
      <c r="E2770" s="164">
        <v>8250</v>
      </c>
      <c r="F2770" s="164" t="s">
        <v>3955</v>
      </c>
      <c r="G2770" s="164"/>
      <c r="H2770" s="167"/>
      <c r="I2770" s="167"/>
      <c r="J2770" s="167"/>
      <c r="K2770" s="169"/>
      <c r="L2770" s="129"/>
      <c r="M2770" s="129"/>
      <c r="N2770" s="129"/>
      <c r="O2770" s="129"/>
      <c r="P2770" s="146"/>
      <c r="Q2770" s="170"/>
      <c r="R2770" s="171"/>
      <c r="S2770" s="172"/>
    </row>
    <row r="2771" spans="1:19" ht="42.75">
      <c r="A2771" s="164" t="s">
        <v>779</v>
      </c>
      <c r="B2771" s="165" t="s">
        <v>6227</v>
      </c>
      <c r="C2771" s="165" t="s">
        <v>5456</v>
      </c>
      <c r="D2771" s="164">
        <v>3401</v>
      </c>
      <c r="E2771" s="164">
        <v>3912</v>
      </c>
      <c r="F2771" s="164" t="s">
        <v>3955</v>
      </c>
      <c r="G2771" s="164"/>
      <c r="H2771" s="167"/>
      <c r="I2771" s="167"/>
      <c r="J2771" s="167"/>
      <c r="K2771" s="169"/>
      <c r="L2771" s="129"/>
      <c r="M2771" s="129"/>
      <c r="N2771" s="129"/>
      <c r="O2771" s="129"/>
      <c r="P2771" s="146"/>
      <c r="Q2771" s="170"/>
      <c r="R2771" s="171"/>
      <c r="S2771" s="172"/>
    </row>
    <row r="2772" spans="1:19" ht="42.75">
      <c r="A2772" s="164" t="s">
        <v>779</v>
      </c>
      <c r="B2772" s="165" t="s">
        <v>6227</v>
      </c>
      <c r="C2772" s="165" t="s">
        <v>6261</v>
      </c>
      <c r="D2772" s="164">
        <v>2856</v>
      </c>
      <c r="E2772" s="164">
        <v>3410</v>
      </c>
      <c r="F2772" s="164" t="s">
        <v>3955</v>
      </c>
      <c r="G2772" s="164"/>
      <c r="H2772" s="167"/>
      <c r="I2772" s="167"/>
      <c r="J2772" s="167"/>
      <c r="K2772" s="169"/>
      <c r="L2772" s="129"/>
      <c r="M2772" s="129"/>
      <c r="N2772" s="129"/>
      <c r="O2772" s="129"/>
      <c r="P2772" s="146"/>
      <c r="Q2772" s="170"/>
      <c r="R2772" s="171"/>
      <c r="S2772" s="172"/>
    </row>
    <row r="2773" spans="1:19" ht="42.75">
      <c r="A2773" s="164" t="s">
        <v>779</v>
      </c>
      <c r="B2773" s="165" t="s">
        <v>6227</v>
      </c>
      <c r="C2773" s="165" t="s">
        <v>5197</v>
      </c>
      <c r="D2773" s="164">
        <v>3248</v>
      </c>
      <c r="E2773" s="164">
        <v>3972</v>
      </c>
      <c r="F2773" s="164" t="s">
        <v>3955</v>
      </c>
      <c r="G2773" s="164">
        <v>2025</v>
      </c>
      <c r="H2773" s="167"/>
      <c r="I2773" s="167"/>
      <c r="J2773" s="167"/>
      <c r="K2773" s="169"/>
      <c r="L2773" s="129" t="s">
        <v>3424</v>
      </c>
      <c r="M2773" s="129"/>
      <c r="N2773" s="129"/>
      <c r="O2773" s="129"/>
      <c r="P2773" s="146"/>
      <c r="Q2773" s="170"/>
      <c r="R2773" s="171"/>
      <c r="S2773" s="172"/>
    </row>
    <row r="2774" spans="1:19" ht="42.75">
      <c r="A2774" s="164" t="s">
        <v>779</v>
      </c>
      <c r="B2774" s="165" t="s">
        <v>6227</v>
      </c>
      <c r="C2774" s="165" t="s">
        <v>6231</v>
      </c>
      <c r="D2774" s="164">
        <v>3053</v>
      </c>
      <c r="E2774" s="164">
        <v>3277</v>
      </c>
      <c r="F2774" s="164" t="s">
        <v>3955</v>
      </c>
      <c r="G2774" s="164"/>
      <c r="H2774" s="167"/>
      <c r="I2774" s="167"/>
      <c r="J2774" s="167"/>
      <c r="K2774" s="169"/>
      <c r="L2774" s="129"/>
      <c r="M2774" s="129"/>
      <c r="N2774" s="129"/>
      <c r="O2774" s="129"/>
      <c r="P2774" s="146"/>
      <c r="Q2774" s="170"/>
      <c r="R2774" s="171"/>
      <c r="S2774" s="172"/>
    </row>
    <row r="2775" spans="1:19" ht="42.75">
      <c r="A2775" s="164" t="s">
        <v>779</v>
      </c>
      <c r="B2775" s="165" t="s">
        <v>6227</v>
      </c>
      <c r="C2775" s="165" t="s">
        <v>6263</v>
      </c>
      <c r="D2775" s="164">
        <v>2596</v>
      </c>
      <c r="E2775" s="164">
        <v>2376</v>
      </c>
      <c r="F2775" s="164" t="s">
        <v>3955</v>
      </c>
      <c r="G2775" s="164"/>
      <c r="H2775" s="167"/>
      <c r="I2775" s="167"/>
      <c r="J2775" s="167"/>
      <c r="K2775" s="169"/>
      <c r="L2775" s="129"/>
      <c r="M2775" s="129"/>
      <c r="N2775" s="129"/>
      <c r="O2775" s="129"/>
      <c r="P2775" s="146"/>
      <c r="Q2775" s="170"/>
      <c r="R2775" s="171"/>
      <c r="S2775" s="172"/>
    </row>
    <row r="2776" spans="1:19" ht="42.75">
      <c r="A2776" s="164" t="s">
        <v>779</v>
      </c>
      <c r="B2776" s="165" t="s">
        <v>6227</v>
      </c>
      <c r="C2776" s="165" t="s">
        <v>4613</v>
      </c>
      <c r="D2776" s="164">
        <v>2649</v>
      </c>
      <c r="E2776" s="164">
        <v>2888</v>
      </c>
      <c r="F2776" s="164" t="s">
        <v>3955</v>
      </c>
      <c r="G2776" s="164"/>
      <c r="H2776" s="167"/>
      <c r="I2776" s="167"/>
      <c r="J2776" s="167"/>
      <c r="K2776" s="169"/>
      <c r="L2776" s="129"/>
      <c r="M2776" s="129"/>
      <c r="N2776" s="129"/>
      <c r="O2776" s="129"/>
      <c r="P2776" s="146"/>
      <c r="Q2776" s="170"/>
      <c r="R2776" s="171"/>
      <c r="S2776" s="172"/>
    </row>
    <row r="2777" spans="1:19" ht="42.75">
      <c r="A2777" s="164" t="s">
        <v>779</v>
      </c>
      <c r="B2777" s="165" t="s">
        <v>6227</v>
      </c>
      <c r="C2777" s="165" t="s">
        <v>4969</v>
      </c>
      <c r="D2777" s="164">
        <v>628</v>
      </c>
      <c r="E2777" s="164">
        <v>851</v>
      </c>
      <c r="F2777" s="164" t="s">
        <v>3955</v>
      </c>
      <c r="G2777" s="164"/>
      <c r="H2777" s="167"/>
      <c r="I2777" s="167"/>
      <c r="J2777" s="167"/>
      <c r="K2777" s="169"/>
      <c r="L2777" s="129"/>
      <c r="M2777" s="129"/>
      <c r="N2777" s="129"/>
      <c r="O2777" s="129"/>
      <c r="P2777" s="146"/>
      <c r="Q2777" s="170"/>
      <c r="R2777" s="171"/>
      <c r="S2777" s="172"/>
    </row>
    <row r="2778" spans="1:19" ht="42.75">
      <c r="A2778" s="164" t="s">
        <v>779</v>
      </c>
      <c r="B2778" s="165" t="s">
        <v>6227</v>
      </c>
      <c r="C2778" s="165" t="s">
        <v>1245</v>
      </c>
      <c r="D2778" s="164">
        <v>3615</v>
      </c>
      <c r="E2778" s="164">
        <v>4152</v>
      </c>
      <c r="F2778" s="164" t="s">
        <v>3955</v>
      </c>
      <c r="G2778" s="164"/>
      <c r="H2778" s="167"/>
      <c r="I2778" s="167"/>
      <c r="J2778" s="167"/>
      <c r="K2778" s="169"/>
      <c r="L2778" s="129"/>
      <c r="M2778" s="129"/>
      <c r="N2778" s="129"/>
      <c r="O2778" s="129"/>
      <c r="P2778" s="146"/>
      <c r="Q2778" s="170"/>
      <c r="R2778" s="171"/>
      <c r="S2778" s="172"/>
    </row>
    <row r="2779" spans="1:19" ht="42.75">
      <c r="A2779" s="164" t="s">
        <v>779</v>
      </c>
      <c r="B2779" s="165" t="s">
        <v>6227</v>
      </c>
      <c r="C2779" s="165" t="s">
        <v>2193</v>
      </c>
      <c r="D2779" s="164">
        <v>11891</v>
      </c>
      <c r="E2779" s="164">
        <v>16106</v>
      </c>
      <c r="F2779" s="164" t="s">
        <v>3955</v>
      </c>
      <c r="G2779" s="164"/>
      <c r="H2779" s="167"/>
      <c r="I2779" s="167"/>
      <c r="J2779" s="167"/>
      <c r="K2779" s="169"/>
      <c r="L2779" s="129"/>
      <c r="M2779" s="129"/>
      <c r="N2779" s="129"/>
      <c r="O2779" s="129"/>
      <c r="P2779" s="146"/>
      <c r="Q2779" s="170"/>
      <c r="R2779" s="171"/>
      <c r="S2779" s="172"/>
    </row>
    <row r="2780" spans="1:19" ht="42.75">
      <c r="A2780" s="164" t="s">
        <v>779</v>
      </c>
      <c r="B2780" s="165" t="s">
        <v>6227</v>
      </c>
      <c r="C2780" s="165" t="s">
        <v>6264</v>
      </c>
      <c r="D2780" s="164">
        <v>5252</v>
      </c>
      <c r="E2780" s="164">
        <v>5922</v>
      </c>
      <c r="F2780" s="164" t="s">
        <v>3955</v>
      </c>
      <c r="G2780" s="164"/>
      <c r="H2780" s="167"/>
      <c r="I2780" s="167"/>
      <c r="J2780" s="167"/>
      <c r="K2780" s="169"/>
      <c r="L2780" s="129"/>
      <c r="M2780" s="129"/>
      <c r="N2780" s="129"/>
      <c r="O2780" s="129"/>
      <c r="P2780" s="146"/>
      <c r="Q2780" s="170"/>
      <c r="R2780" s="171"/>
      <c r="S2780" s="172"/>
    </row>
    <row r="2781" spans="1:19" ht="42.75">
      <c r="A2781" s="164" t="s">
        <v>779</v>
      </c>
      <c r="B2781" s="165" t="s">
        <v>6227</v>
      </c>
      <c r="C2781" s="165" t="s">
        <v>3474</v>
      </c>
      <c r="D2781" s="164">
        <v>612</v>
      </c>
      <c r="E2781" s="164">
        <v>678</v>
      </c>
      <c r="F2781" s="164" t="s">
        <v>3955</v>
      </c>
      <c r="G2781" s="164"/>
      <c r="H2781" s="167"/>
      <c r="I2781" s="167"/>
      <c r="J2781" s="167"/>
      <c r="K2781" s="169"/>
      <c r="L2781" s="129"/>
      <c r="M2781" s="129"/>
      <c r="N2781" s="129"/>
      <c r="O2781" s="129"/>
      <c r="P2781" s="146"/>
      <c r="Q2781" s="170"/>
      <c r="R2781" s="171"/>
      <c r="S2781" s="172"/>
    </row>
    <row r="2782" spans="1:19" ht="42.75">
      <c r="A2782" s="164" t="s">
        <v>779</v>
      </c>
      <c r="B2782" s="165" t="s">
        <v>6227</v>
      </c>
      <c r="C2782" s="165" t="s">
        <v>6267</v>
      </c>
      <c r="D2782" s="164">
        <v>24140</v>
      </c>
      <c r="E2782" s="164">
        <v>24944</v>
      </c>
      <c r="F2782" s="164" t="s">
        <v>3955</v>
      </c>
      <c r="G2782" s="164"/>
      <c r="H2782" s="167"/>
      <c r="I2782" s="167"/>
      <c r="J2782" s="167"/>
      <c r="K2782" s="169"/>
      <c r="L2782" s="129"/>
      <c r="M2782" s="129"/>
      <c r="N2782" s="129"/>
      <c r="O2782" s="129"/>
      <c r="P2782" s="146"/>
      <c r="Q2782" s="170"/>
      <c r="R2782" s="171"/>
      <c r="S2782" s="172"/>
    </row>
    <row r="2783" spans="1:19" ht="42.75">
      <c r="A2783" s="164" t="s">
        <v>779</v>
      </c>
      <c r="B2783" s="165" t="s">
        <v>6227</v>
      </c>
      <c r="C2783" s="165" t="s">
        <v>6268</v>
      </c>
      <c r="D2783" s="164">
        <v>3439</v>
      </c>
      <c r="E2783" s="164">
        <v>3435</v>
      </c>
      <c r="F2783" s="164" t="s">
        <v>3955</v>
      </c>
      <c r="G2783" s="164"/>
      <c r="H2783" s="167"/>
      <c r="I2783" s="167"/>
      <c r="J2783" s="167"/>
      <c r="K2783" s="169"/>
      <c r="L2783" s="129"/>
      <c r="M2783" s="129"/>
      <c r="N2783" s="129"/>
      <c r="O2783" s="129"/>
      <c r="P2783" s="146"/>
      <c r="Q2783" s="170"/>
      <c r="R2783" s="171"/>
      <c r="S2783" s="172"/>
    </row>
    <row r="2784" spans="1:19" ht="42.75">
      <c r="A2784" s="164" t="s">
        <v>779</v>
      </c>
      <c r="B2784" s="165" t="s">
        <v>6227</v>
      </c>
      <c r="C2784" s="165" t="s">
        <v>1056</v>
      </c>
      <c r="D2784" s="164">
        <v>313</v>
      </c>
      <c r="E2784" s="164">
        <v>329</v>
      </c>
      <c r="F2784" s="164" t="s">
        <v>3955</v>
      </c>
      <c r="G2784" s="164"/>
      <c r="H2784" s="167"/>
      <c r="I2784" s="167"/>
      <c r="J2784" s="167"/>
      <c r="K2784" s="169"/>
      <c r="L2784" s="129"/>
      <c r="M2784" s="129"/>
      <c r="N2784" s="129"/>
      <c r="O2784" s="129"/>
      <c r="P2784" s="146"/>
      <c r="Q2784" s="170"/>
      <c r="R2784" s="171"/>
      <c r="S2784" s="172"/>
    </row>
    <row r="2785" spans="1:19" ht="42.75">
      <c r="A2785" s="164" t="s">
        <v>779</v>
      </c>
      <c r="B2785" s="165" t="s">
        <v>6227</v>
      </c>
      <c r="C2785" s="165" t="s">
        <v>3809</v>
      </c>
      <c r="D2785" s="164">
        <v>1660</v>
      </c>
      <c r="E2785" s="164">
        <v>1703</v>
      </c>
      <c r="F2785" s="164" t="s">
        <v>3955</v>
      </c>
      <c r="G2785" s="164"/>
      <c r="H2785" s="167"/>
      <c r="I2785" s="167"/>
      <c r="J2785" s="167"/>
      <c r="K2785" s="169"/>
      <c r="L2785" s="129"/>
      <c r="M2785" s="129"/>
      <c r="N2785" s="129"/>
      <c r="O2785" s="129"/>
      <c r="P2785" s="146"/>
      <c r="Q2785" s="170"/>
      <c r="R2785" s="171"/>
      <c r="S2785" s="172"/>
    </row>
    <row r="2786" spans="1:19" ht="42.75">
      <c r="A2786" s="164" t="s">
        <v>779</v>
      </c>
      <c r="B2786" s="165" t="s">
        <v>6227</v>
      </c>
      <c r="C2786" s="165" t="s">
        <v>4024</v>
      </c>
      <c r="D2786" s="164">
        <v>2650</v>
      </c>
      <c r="E2786" s="164">
        <v>2880</v>
      </c>
      <c r="F2786" s="164" t="s">
        <v>3955</v>
      </c>
      <c r="G2786" s="164"/>
      <c r="H2786" s="167"/>
      <c r="I2786" s="167"/>
      <c r="J2786" s="167"/>
      <c r="K2786" s="169"/>
      <c r="L2786" s="129"/>
      <c r="M2786" s="129"/>
      <c r="N2786" s="129"/>
      <c r="O2786" s="129"/>
      <c r="P2786" s="146"/>
      <c r="Q2786" s="170"/>
      <c r="R2786" s="171"/>
      <c r="S2786" s="172"/>
    </row>
    <row r="2787" spans="1:19" ht="42.75">
      <c r="A2787" s="164" t="s">
        <v>779</v>
      </c>
      <c r="B2787" s="165" t="s">
        <v>6227</v>
      </c>
      <c r="C2787" s="165" t="s">
        <v>1180</v>
      </c>
      <c r="D2787" s="164">
        <v>12555</v>
      </c>
      <c r="E2787" s="164">
        <v>14614</v>
      </c>
      <c r="F2787" s="164" t="s">
        <v>3404</v>
      </c>
      <c r="G2787" s="164">
        <v>2024</v>
      </c>
      <c r="H2787" s="175">
        <v>45545</v>
      </c>
      <c r="I2787" s="175">
        <v>45552</v>
      </c>
      <c r="J2787" s="168" t="s">
        <v>7507</v>
      </c>
      <c r="K2787" s="174">
        <v>45552</v>
      </c>
      <c r="L2787" s="129" t="s">
        <v>3127</v>
      </c>
      <c r="M2787" s="129" t="s">
        <v>4</v>
      </c>
      <c r="N2787" s="129" t="s">
        <v>50</v>
      </c>
      <c r="O2787" s="129" t="s">
        <v>3406</v>
      </c>
      <c r="P2787" s="146"/>
      <c r="Q2787" s="170">
        <v>45553</v>
      </c>
      <c r="R2787" s="171" t="s">
        <v>7058</v>
      </c>
      <c r="S2787" s="172"/>
    </row>
    <row r="2788" spans="1:19" ht="42.75">
      <c r="A2788" s="164" t="s">
        <v>779</v>
      </c>
      <c r="B2788" s="165" t="s">
        <v>6227</v>
      </c>
      <c r="C2788" s="165" t="s">
        <v>858</v>
      </c>
      <c r="D2788" s="164">
        <v>6974</v>
      </c>
      <c r="E2788" s="164">
        <v>9606</v>
      </c>
      <c r="F2788" s="164" t="s">
        <v>3404</v>
      </c>
      <c r="G2788" s="164">
        <v>2024</v>
      </c>
      <c r="H2788" s="175">
        <v>45575</v>
      </c>
      <c r="I2788" s="175">
        <v>45576</v>
      </c>
      <c r="J2788" s="168" t="s">
        <v>7508</v>
      </c>
      <c r="K2788" s="174">
        <v>45582</v>
      </c>
      <c r="L2788" s="129" t="s">
        <v>3128</v>
      </c>
      <c r="M2788" s="129" t="s">
        <v>4</v>
      </c>
      <c r="N2788" s="129" t="s">
        <v>50</v>
      </c>
      <c r="O2788" s="129" t="s">
        <v>3406</v>
      </c>
      <c r="P2788" s="146"/>
      <c r="Q2788" s="170">
        <v>45580</v>
      </c>
      <c r="R2788" s="171" t="s">
        <v>150</v>
      </c>
      <c r="S2788" s="172"/>
    </row>
    <row r="2789" spans="1:19" ht="42.75">
      <c r="A2789" s="164" t="s">
        <v>779</v>
      </c>
      <c r="B2789" s="165" t="s">
        <v>6227</v>
      </c>
      <c r="C2789" s="165" t="s">
        <v>6270</v>
      </c>
      <c r="D2789" s="164">
        <v>1996</v>
      </c>
      <c r="E2789" s="164">
        <v>2441</v>
      </c>
      <c r="F2789" s="164" t="s">
        <v>3955</v>
      </c>
      <c r="G2789" s="164"/>
      <c r="H2789" s="167"/>
      <c r="I2789" s="167"/>
      <c r="J2789" s="167"/>
      <c r="K2789" s="169"/>
      <c r="L2789" s="129"/>
      <c r="M2789" s="129"/>
      <c r="N2789" s="129"/>
      <c r="O2789" s="129"/>
      <c r="P2789" s="146"/>
      <c r="Q2789" s="170"/>
      <c r="R2789" s="171"/>
      <c r="S2789" s="172"/>
    </row>
    <row r="2790" spans="1:19" ht="42.75">
      <c r="A2790" s="164" t="s">
        <v>779</v>
      </c>
      <c r="B2790" s="165" t="s">
        <v>6227</v>
      </c>
      <c r="C2790" s="165" t="s">
        <v>6271</v>
      </c>
      <c r="D2790" s="164">
        <v>3890</v>
      </c>
      <c r="E2790" s="164">
        <v>4412</v>
      </c>
      <c r="F2790" s="164" t="s">
        <v>3404</v>
      </c>
      <c r="G2790" s="164">
        <v>2024</v>
      </c>
      <c r="H2790" s="175">
        <v>45478</v>
      </c>
      <c r="I2790" s="175">
        <v>45478</v>
      </c>
      <c r="J2790" s="168" t="s">
        <v>7509</v>
      </c>
      <c r="K2790" s="174">
        <v>45488</v>
      </c>
      <c r="L2790" s="129" t="s">
        <v>3125</v>
      </c>
      <c r="M2790" s="129" t="s">
        <v>1078</v>
      </c>
      <c r="N2790" s="129" t="s">
        <v>50</v>
      </c>
      <c r="O2790" s="129" t="s">
        <v>3406</v>
      </c>
      <c r="P2790" s="146"/>
      <c r="Q2790" s="170">
        <v>45489</v>
      </c>
      <c r="R2790" s="171"/>
      <c r="S2790" s="172"/>
    </row>
    <row r="2791" spans="1:19" ht="42.75">
      <c r="A2791" s="164" t="s">
        <v>779</v>
      </c>
      <c r="B2791" s="165" t="s">
        <v>6227</v>
      </c>
      <c r="C2791" s="165" t="s">
        <v>992</v>
      </c>
      <c r="D2791" s="164">
        <v>3144</v>
      </c>
      <c r="E2791" s="164">
        <v>3383</v>
      </c>
      <c r="F2791" s="164" t="s">
        <v>3955</v>
      </c>
      <c r="G2791" s="164"/>
      <c r="H2791" s="167"/>
      <c r="I2791" s="167"/>
      <c r="J2791" s="167"/>
      <c r="K2791" s="169"/>
      <c r="L2791" s="129"/>
      <c r="M2791" s="129"/>
      <c r="N2791" s="129"/>
      <c r="O2791" s="129"/>
      <c r="P2791" s="146"/>
      <c r="Q2791" s="170"/>
      <c r="R2791" s="171"/>
      <c r="S2791" s="172"/>
    </row>
    <row r="2792" spans="1:19" ht="42.75">
      <c r="A2792" s="164" t="s">
        <v>779</v>
      </c>
      <c r="B2792" s="165" t="s">
        <v>6227</v>
      </c>
      <c r="C2792" s="165" t="s">
        <v>1511</v>
      </c>
      <c r="D2792" s="164">
        <v>6344</v>
      </c>
      <c r="E2792" s="164">
        <v>7930</v>
      </c>
      <c r="F2792" s="164" t="s">
        <v>3955</v>
      </c>
      <c r="G2792" s="164"/>
      <c r="H2792" s="167"/>
      <c r="I2792" s="167"/>
      <c r="J2792" s="167"/>
      <c r="K2792" s="169"/>
      <c r="L2792" s="129"/>
      <c r="M2792" s="129"/>
      <c r="N2792" s="129"/>
      <c r="O2792" s="129"/>
      <c r="P2792" s="146"/>
      <c r="Q2792" s="170"/>
      <c r="R2792" s="171"/>
      <c r="S2792" s="172"/>
    </row>
    <row r="2793" spans="1:19" ht="42.75">
      <c r="A2793" s="164" t="s">
        <v>779</v>
      </c>
      <c r="B2793" s="165" t="s">
        <v>6227</v>
      </c>
      <c r="C2793" s="165" t="s">
        <v>1151</v>
      </c>
      <c r="D2793" s="164">
        <v>8620</v>
      </c>
      <c r="E2793" s="164">
        <v>8515</v>
      </c>
      <c r="F2793" s="164" t="s">
        <v>3955</v>
      </c>
      <c r="G2793" s="164"/>
      <c r="H2793" s="167"/>
      <c r="I2793" s="167"/>
      <c r="J2793" s="167"/>
      <c r="K2793" s="169"/>
      <c r="L2793" s="129"/>
      <c r="M2793" s="129"/>
      <c r="N2793" s="129"/>
      <c r="O2793" s="129"/>
      <c r="P2793" s="146"/>
      <c r="Q2793" s="170"/>
      <c r="R2793" s="171"/>
      <c r="S2793" s="172"/>
    </row>
    <row r="2794" spans="1:19" ht="42.75">
      <c r="A2794" s="164" t="s">
        <v>779</v>
      </c>
      <c r="B2794" s="165" t="s">
        <v>6227</v>
      </c>
      <c r="C2794" s="165" t="s">
        <v>1439</v>
      </c>
      <c r="D2794" s="164">
        <v>7103</v>
      </c>
      <c r="E2794" s="164">
        <v>6807</v>
      </c>
      <c r="F2794" s="164" t="s">
        <v>3955</v>
      </c>
      <c r="G2794" s="164"/>
      <c r="H2794" s="167"/>
      <c r="I2794" s="167"/>
      <c r="J2794" s="167"/>
      <c r="K2794" s="169"/>
      <c r="L2794" s="129"/>
      <c r="M2794" s="129"/>
      <c r="N2794" s="129"/>
      <c r="O2794" s="129"/>
      <c r="P2794" s="146"/>
      <c r="Q2794" s="170"/>
      <c r="R2794" s="171"/>
      <c r="S2794" s="172"/>
    </row>
    <row r="2795" spans="1:19" ht="42.75">
      <c r="A2795" s="164" t="s">
        <v>779</v>
      </c>
      <c r="B2795" s="165" t="s">
        <v>6227</v>
      </c>
      <c r="C2795" s="165" t="s">
        <v>3723</v>
      </c>
      <c r="D2795" s="164">
        <v>4582</v>
      </c>
      <c r="E2795" s="164">
        <v>4792</v>
      </c>
      <c r="F2795" s="164" t="s">
        <v>3955</v>
      </c>
      <c r="G2795" s="164"/>
      <c r="H2795" s="167"/>
      <c r="I2795" s="167"/>
      <c r="J2795" s="167"/>
      <c r="K2795" s="169"/>
      <c r="L2795" s="129"/>
      <c r="M2795" s="129"/>
      <c r="N2795" s="129"/>
      <c r="O2795" s="129"/>
      <c r="P2795" s="146"/>
      <c r="Q2795" s="170"/>
      <c r="R2795" s="171"/>
      <c r="S2795" s="172"/>
    </row>
    <row r="2796" spans="1:19" ht="42.75">
      <c r="A2796" s="164" t="s">
        <v>779</v>
      </c>
      <c r="B2796" s="165" t="s">
        <v>6227</v>
      </c>
      <c r="C2796" s="165" t="s">
        <v>1234</v>
      </c>
      <c r="D2796" s="164">
        <v>3080</v>
      </c>
      <c r="E2796" s="164">
        <v>3568</v>
      </c>
      <c r="F2796" s="164" t="s">
        <v>3955</v>
      </c>
      <c r="G2796" s="164"/>
      <c r="H2796" s="167"/>
      <c r="I2796" s="167"/>
      <c r="J2796" s="167"/>
      <c r="K2796" s="169"/>
      <c r="L2796" s="129"/>
      <c r="M2796" s="129"/>
      <c r="N2796" s="129"/>
      <c r="O2796" s="129"/>
      <c r="P2796" s="146"/>
      <c r="Q2796" s="170"/>
      <c r="R2796" s="171"/>
      <c r="S2796" s="172"/>
    </row>
    <row r="2797" spans="1:19" ht="42.75">
      <c r="A2797" s="164" t="s">
        <v>779</v>
      </c>
      <c r="B2797" s="165" t="s">
        <v>6227</v>
      </c>
      <c r="C2797" s="165" t="s">
        <v>1155</v>
      </c>
      <c r="D2797" s="164">
        <v>14341</v>
      </c>
      <c r="E2797" s="164">
        <v>20999</v>
      </c>
      <c r="F2797" s="164" t="s">
        <v>3955</v>
      </c>
      <c r="G2797" s="164"/>
      <c r="H2797" s="167"/>
      <c r="I2797" s="167"/>
      <c r="J2797" s="167"/>
      <c r="K2797" s="169"/>
      <c r="L2797" s="129"/>
      <c r="M2797" s="129"/>
      <c r="N2797" s="129"/>
      <c r="O2797" s="129"/>
      <c r="P2797" s="146"/>
      <c r="Q2797" s="170"/>
      <c r="R2797" s="171"/>
      <c r="S2797" s="172"/>
    </row>
    <row r="2798" spans="1:19" ht="42.75">
      <c r="A2798" s="164" t="s">
        <v>779</v>
      </c>
      <c r="B2798" s="165" t="s">
        <v>6227</v>
      </c>
      <c r="C2798" s="165" t="s">
        <v>3974</v>
      </c>
      <c r="D2798" s="164">
        <v>6514</v>
      </c>
      <c r="E2798" s="164">
        <v>6008</v>
      </c>
      <c r="F2798" s="164" t="s">
        <v>3955</v>
      </c>
      <c r="G2798" s="164"/>
      <c r="H2798" s="167"/>
      <c r="I2798" s="167"/>
      <c r="J2798" s="167"/>
      <c r="K2798" s="169"/>
      <c r="L2798" s="129"/>
      <c r="M2798" s="129"/>
      <c r="N2798" s="129"/>
      <c r="O2798" s="129"/>
      <c r="P2798" s="146"/>
      <c r="Q2798" s="170"/>
      <c r="R2798" s="171"/>
      <c r="S2798" s="172"/>
    </row>
    <row r="2799" spans="1:19" ht="42.75">
      <c r="A2799" s="164" t="s">
        <v>779</v>
      </c>
      <c r="B2799" s="165" t="s">
        <v>6227</v>
      </c>
      <c r="C2799" s="165" t="s">
        <v>4258</v>
      </c>
      <c r="D2799" s="164">
        <v>3654</v>
      </c>
      <c r="E2799" s="164">
        <v>4231</v>
      </c>
      <c r="F2799" s="164" t="s">
        <v>3955</v>
      </c>
      <c r="G2799" s="164"/>
      <c r="H2799" s="167"/>
      <c r="I2799" s="167"/>
      <c r="J2799" s="167"/>
      <c r="K2799" s="169"/>
      <c r="L2799" s="129"/>
      <c r="M2799" s="129"/>
      <c r="N2799" s="129"/>
      <c r="O2799" s="129"/>
      <c r="P2799" s="146"/>
      <c r="Q2799" s="170"/>
      <c r="R2799" s="171"/>
      <c r="S2799" s="172"/>
    </row>
    <row r="2800" spans="1:19" ht="42.75">
      <c r="A2800" s="164" t="s">
        <v>779</v>
      </c>
      <c r="B2800" s="165" t="s">
        <v>6227</v>
      </c>
      <c r="C2800" s="165" t="s">
        <v>1166</v>
      </c>
      <c r="D2800" s="164">
        <v>19040</v>
      </c>
      <c r="E2800" s="164">
        <v>18105</v>
      </c>
      <c r="F2800" s="164" t="s">
        <v>3955</v>
      </c>
      <c r="G2800" s="164"/>
      <c r="H2800" s="167"/>
      <c r="I2800" s="167"/>
      <c r="J2800" s="167"/>
      <c r="K2800" s="169"/>
      <c r="L2800" s="129"/>
      <c r="M2800" s="129"/>
      <c r="N2800" s="129"/>
      <c r="O2800" s="129"/>
      <c r="P2800" s="146"/>
      <c r="Q2800" s="170"/>
      <c r="R2800" s="171"/>
      <c r="S2800" s="172"/>
    </row>
    <row r="2801" spans="1:19" ht="42.75">
      <c r="A2801" s="164" t="s">
        <v>779</v>
      </c>
      <c r="B2801" s="165" t="s">
        <v>6227</v>
      </c>
      <c r="C2801" s="165" t="s">
        <v>1899</v>
      </c>
      <c r="D2801" s="164">
        <v>3918</v>
      </c>
      <c r="E2801" s="164">
        <v>4265</v>
      </c>
      <c r="F2801" s="164" t="s">
        <v>3955</v>
      </c>
      <c r="G2801" s="164"/>
      <c r="H2801" s="167"/>
      <c r="I2801" s="167"/>
      <c r="J2801" s="167"/>
      <c r="K2801" s="169"/>
      <c r="L2801" s="129"/>
      <c r="M2801" s="129"/>
      <c r="N2801" s="129"/>
      <c r="O2801" s="129"/>
      <c r="P2801" s="146"/>
      <c r="Q2801" s="170"/>
      <c r="R2801" s="171"/>
      <c r="S2801" s="172"/>
    </row>
    <row r="2802" spans="1:19" ht="42.75">
      <c r="A2802" s="164" t="s">
        <v>779</v>
      </c>
      <c r="B2802" s="165" t="s">
        <v>6227</v>
      </c>
      <c r="C2802" s="165" t="s">
        <v>4950</v>
      </c>
      <c r="D2802" s="164">
        <v>1254</v>
      </c>
      <c r="E2802" s="164">
        <v>1256</v>
      </c>
      <c r="F2802" s="164" t="s">
        <v>3955</v>
      </c>
      <c r="G2802" s="164"/>
      <c r="H2802" s="167"/>
      <c r="I2802" s="167"/>
      <c r="J2802" s="167"/>
      <c r="K2802" s="169"/>
      <c r="L2802" s="129"/>
      <c r="M2802" s="129"/>
      <c r="N2802" s="129"/>
      <c r="O2802" s="129"/>
      <c r="P2802" s="146"/>
      <c r="Q2802" s="170"/>
      <c r="R2802" s="171"/>
      <c r="S2802" s="172"/>
    </row>
    <row r="2803" spans="1:19" ht="42.75">
      <c r="A2803" s="164" t="s">
        <v>779</v>
      </c>
      <c r="B2803" s="165" t="s">
        <v>6227</v>
      </c>
      <c r="C2803" s="165" t="s">
        <v>3977</v>
      </c>
      <c r="D2803" s="164">
        <v>2983</v>
      </c>
      <c r="E2803" s="164">
        <v>2888</v>
      </c>
      <c r="F2803" s="164" t="s">
        <v>3955</v>
      </c>
      <c r="G2803" s="164"/>
      <c r="H2803" s="167"/>
      <c r="I2803" s="167"/>
      <c r="J2803" s="167"/>
      <c r="K2803" s="169"/>
      <c r="L2803" s="129"/>
      <c r="M2803" s="129"/>
      <c r="N2803" s="129"/>
      <c r="O2803" s="129"/>
      <c r="P2803" s="146"/>
      <c r="Q2803" s="170"/>
      <c r="R2803" s="171"/>
      <c r="S2803" s="172"/>
    </row>
    <row r="2804" spans="1:19" ht="42.75">
      <c r="A2804" s="164" t="s">
        <v>779</v>
      </c>
      <c r="B2804" s="165" t="s">
        <v>6227</v>
      </c>
      <c r="C2804" s="165" t="s">
        <v>3133</v>
      </c>
      <c r="D2804" s="164">
        <v>1156</v>
      </c>
      <c r="E2804" s="164">
        <v>1319</v>
      </c>
      <c r="F2804" s="164" t="s">
        <v>3955</v>
      </c>
      <c r="G2804" s="164"/>
      <c r="H2804" s="167"/>
      <c r="I2804" s="167"/>
      <c r="J2804" s="167"/>
      <c r="K2804" s="169"/>
      <c r="L2804" s="129"/>
      <c r="M2804" s="129"/>
      <c r="N2804" s="129"/>
      <c r="O2804" s="129"/>
      <c r="P2804" s="146"/>
      <c r="Q2804" s="170"/>
      <c r="R2804" s="171"/>
      <c r="S2804" s="172"/>
    </row>
    <row r="2805" spans="1:19" ht="42.75">
      <c r="A2805" s="164" t="s">
        <v>779</v>
      </c>
      <c r="B2805" s="165" t="s">
        <v>6227</v>
      </c>
      <c r="C2805" s="165" t="s">
        <v>3727</v>
      </c>
      <c r="D2805" s="164">
        <v>653</v>
      </c>
      <c r="E2805" s="164">
        <v>720</v>
      </c>
      <c r="F2805" s="164" t="s">
        <v>3955</v>
      </c>
      <c r="G2805" s="164"/>
      <c r="H2805" s="167"/>
      <c r="I2805" s="167"/>
      <c r="J2805" s="167"/>
      <c r="K2805" s="169"/>
      <c r="L2805" s="129"/>
      <c r="M2805" s="129"/>
      <c r="N2805" s="129"/>
      <c r="O2805" s="129"/>
      <c r="P2805" s="146"/>
      <c r="Q2805" s="170"/>
      <c r="R2805" s="171"/>
      <c r="S2805" s="172"/>
    </row>
    <row r="2806" spans="1:19" ht="42.75">
      <c r="A2806" s="164" t="s">
        <v>779</v>
      </c>
      <c r="B2806" s="165" t="s">
        <v>6227</v>
      </c>
      <c r="C2806" s="165" t="s">
        <v>6279</v>
      </c>
      <c r="D2806" s="164">
        <v>10682</v>
      </c>
      <c r="E2806" s="164">
        <v>12307</v>
      </c>
      <c r="F2806" s="164" t="s">
        <v>3955</v>
      </c>
      <c r="G2806" s="164"/>
      <c r="H2806" s="167"/>
      <c r="I2806" s="167"/>
      <c r="J2806" s="167"/>
      <c r="K2806" s="169"/>
      <c r="L2806" s="129"/>
      <c r="M2806" s="129"/>
      <c r="N2806" s="129"/>
      <c r="O2806" s="129"/>
      <c r="P2806" s="146"/>
      <c r="Q2806" s="170"/>
      <c r="R2806" s="171"/>
      <c r="S2806" s="172"/>
    </row>
    <row r="2807" spans="1:19" ht="42.75">
      <c r="A2807" s="164" t="s">
        <v>779</v>
      </c>
      <c r="B2807" s="165" t="s">
        <v>6227</v>
      </c>
      <c r="C2807" s="165" t="s">
        <v>6280</v>
      </c>
      <c r="D2807" s="164">
        <v>5550</v>
      </c>
      <c r="E2807" s="164">
        <v>5226</v>
      </c>
      <c r="F2807" s="164" t="s">
        <v>3955</v>
      </c>
      <c r="G2807" s="164"/>
      <c r="H2807" s="167"/>
      <c r="I2807" s="167"/>
      <c r="J2807" s="167"/>
      <c r="K2807" s="169"/>
      <c r="L2807" s="129"/>
      <c r="M2807" s="129"/>
      <c r="N2807" s="129"/>
      <c r="O2807" s="129"/>
      <c r="P2807" s="146"/>
      <c r="Q2807" s="170"/>
      <c r="R2807" s="171"/>
      <c r="S2807" s="172"/>
    </row>
    <row r="2808" spans="1:19" ht="42.75">
      <c r="A2808" s="164" t="s">
        <v>779</v>
      </c>
      <c r="B2808" s="165" t="s">
        <v>6227</v>
      </c>
      <c r="C2808" s="165" t="s">
        <v>6281</v>
      </c>
      <c r="D2808" s="164">
        <v>4817</v>
      </c>
      <c r="E2808" s="164">
        <v>4817</v>
      </c>
      <c r="F2808" s="164" t="s">
        <v>3955</v>
      </c>
      <c r="G2808" s="164"/>
      <c r="H2808" s="167"/>
      <c r="I2808" s="167"/>
      <c r="J2808" s="167"/>
      <c r="K2808" s="169"/>
      <c r="L2808" s="129"/>
      <c r="M2808" s="129"/>
      <c r="N2808" s="129"/>
      <c r="O2808" s="129"/>
      <c r="P2808" s="146"/>
      <c r="Q2808" s="170"/>
      <c r="R2808" s="171"/>
      <c r="S2808" s="172"/>
    </row>
    <row r="2809" spans="1:19" ht="42.75">
      <c r="A2809" s="164" t="s">
        <v>779</v>
      </c>
      <c r="B2809" s="165" t="s">
        <v>6227</v>
      </c>
      <c r="C2809" s="165" t="s">
        <v>6282</v>
      </c>
      <c r="D2809" s="164">
        <v>2234</v>
      </c>
      <c r="E2809" s="164">
        <v>2533</v>
      </c>
      <c r="F2809" s="164" t="s">
        <v>3955</v>
      </c>
      <c r="G2809" s="164"/>
      <c r="H2809" s="167"/>
      <c r="I2809" s="167"/>
      <c r="J2809" s="167"/>
      <c r="K2809" s="169"/>
      <c r="L2809" s="129"/>
      <c r="M2809" s="129"/>
      <c r="N2809" s="129"/>
      <c r="O2809" s="129"/>
      <c r="P2809" s="146"/>
      <c r="Q2809" s="170"/>
      <c r="R2809" s="171"/>
      <c r="S2809" s="172"/>
    </row>
    <row r="2810" spans="1:19" ht="42.75">
      <c r="A2810" s="164" t="s">
        <v>779</v>
      </c>
      <c r="B2810" s="165" t="s">
        <v>6227</v>
      </c>
      <c r="C2810" s="165" t="s">
        <v>6283</v>
      </c>
      <c r="D2810" s="164">
        <v>4276</v>
      </c>
      <c r="E2810" s="164">
        <v>3967</v>
      </c>
      <c r="F2810" s="164" t="s">
        <v>3955</v>
      </c>
      <c r="G2810" s="164"/>
      <c r="H2810" s="167"/>
      <c r="I2810" s="167"/>
      <c r="J2810" s="167"/>
      <c r="K2810" s="169"/>
      <c r="L2810" s="129"/>
      <c r="M2810" s="129"/>
      <c r="N2810" s="129"/>
      <c r="O2810" s="129"/>
      <c r="P2810" s="146"/>
      <c r="Q2810" s="170"/>
      <c r="R2810" s="171"/>
      <c r="S2810" s="172"/>
    </row>
    <row r="2811" spans="1:19" ht="42.75">
      <c r="A2811" s="164" t="s">
        <v>779</v>
      </c>
      <c r="B2811" s="165" t="s">
        <v>6227</v>
      </c>
      <c r="C2811" s="165" t="s">
        <v>6235</v>
      </c>
      <c r="D2811" s="164">
        <v>2723</v>
      </c>
      <c r="E2811" s="164">
        <v>3076</v>
      </c>
      <c r="F2811" s="164" t="s">
        <v>3955</v>
      </c>
      <c r="G2811" s="164"/>
      <c r="H2811" s="167"/>
      <c r="I2811" s="167"/>
      <c r="J2811" s="167"/>
      <c r="K2811" s="169"/>
      <c r="L2811" s="129"/>
      <c r="M2811" s="129"/>
      <c r="N2811" s="129"/>
      <c r="O2811" s="129"/>
      <c r="P2811" s="146"/>
      <c r="Q2811" s="170"/>
      <c r="R2811" s="171"/>
      <c r="S2811" s="172"/>
    </row>
    <row r="2812" spans="1:19" ht="42.75">
      <c r="A2812" s="164" t="s">
        <v>779</v>
      </c>
      <c r="B2812" s="165" t="s">
        <v>6227</v>
      </c>
      <c r="C2812" s="165" t="s">
        <v>1462</v>
      </c>
      <c r="D2812" s="164">
        <v>16328</v>
      </c>
      <c r="E2812" s="164">
        <v>17800</v>
      </c>
      <c r="F2812" s="164" t="s">
        <v>3955</v>
      </c>
      <c r="G2812" s="164"/>
      <c r="H2812" s="167"/>
      <c r="I2812" s="167"/>
      <c r="J2812" s="167"/>
      <c r="K2812" s="169"/>
      <c r="L2812" s="129"/>
      <c r="M2812" s="129"/>
      <c r="N2812" s="129"/>
      <c r="O2812" s="129"/>
      <c r="P2812" s="146"/>
      <c r="Q2812" s="170"/>
      <c r="R2812" s="171"/>
      <c r="S2812" s="172"/>
    </row>
    <row r="2813" spans="1:19" ht="42.75">
      <c r="A2813" s="164" t="s">
        <v>779</v>
      </c>
      <c r="B2813" s="165" t="s">
        <v>6227</v>
      </c>
      <c r="C2813" s="165" t="s">
        <v>4044</v>
      </c>
      <c r="D2813" s="164">
        <v>5459</v>
      </c>
      <c r="E2813" s="164">
        <v>6486</v>
      </c>
      <c r="F2813" s="164" t="s">
        <v>3955</v>
      </c>
      <c r="G2813" s="164"/>
      <c r="H2813" s="167"/>
      <c r="I2813" s="167"/>
      <c r="J2813" s="167"/>
      <c r="K2813" s="169"/>
      <c r="L2813" s="129"/>
      <c r="M2813" s="129"/>
      <c r="N2813" s="129"/>
      <c r="O2813" s="129"/>
      <c r="P2813" s="146"/>
      <c r="Q2813" s="170"/>
      <c r="R2813" s="171"/>
      <c r="S2813" s="172"/>
    </row>
    <row r="2814" spans="1:19" ht="42.75">
      <c r="A2814" s="164" t="s">
        <v>779</v>
      </c>
      <c r="B2814" s="165" t="s">
        <v>6227</v>
      </c>
      <c r="C2814" s="165" t="s">
        <v>6284</v>
      </c>
      <c r="D2814" s="164">
        <v>1516</v>
      </c>
      <c r="E2814" s="164">
        <v>2095</v>
      </c>
      <c r="F2814" s="164" t="s">
        <v>3955</v>
      </c>
      <c r="G2814" s="164"/>
      <c r="H2814" s="167"/>
      <c r="I2814" s="167"/>
      <c r="J2814" s="167"/>
      <c r="K2814" s="169"/>
      <c r="L2814" s="129"/>
      <c r="M2814" s="129"/>
      <c r="N2814" s="129"/>
      <c r="O2814" s="129"/>
      <c r="P2814" s="146"/>
      <c r="Q2814" s="170"/>
      <c r="R2814" s="171"/>
      <c r="S2814" s="172"/>
    </row>
    <row r="2815" spans="1:19" ht="42.75">
      <c r="A2815" s="164" t="s">
        <v>779</v>
      </c>
      <c r="B2815" s="165" t="s">
        <v>6227</v>
      </c>
      <c r="C2815" s="165" t="s">
        <v>6285</v>
      </c>
      <c r="D2815" s="164">
        <v>3343</v>
      </c>
      <c r="E2815" s="164">
        <v>4006</v>
      </c>
      <c r="F2815" s="164" t="s">
        <v>3955</v>
      </c>
      <c r="G2815" s="164"/>
      <c r="H2815" s="167"/>
      <c r="I2815" s="167"/>
      <c r="J2815" s="167"/>
      <c r="K2815" s="169"/>
      <c r="L2815" s="129"/>
      <c r="M2815" s="129"/>
      <c r="N2815" s="129"/>
      <c r="O2815" s="129"/>
      <c r="P2815" s="146"/>
      <c r="Q2815" s="170"/>
      <c r="R2815" s="171"/>
      <c r="S2815" s="172"/>
    </row>
    <row r="2816" spans="1:19" ht="42.75">
      <c r="A2816" s="164" t="s">
        <v>779</v>
      </c>
      <c r="B2816" s="165" t="s">
        <v>6227</v>
      </c>
      <c r="C2816" s="165" t="s">
        <v>6266</v>
      </c>
      <c r="D2816" s="164">
        <v>2330</v>
      </c>
      <c r="E2816" s="164">
        <v>2184</v>
      </c>
      <c r="F2816" s="164" t="s">
        <v>3955</v>
      </c>
      <c r="G2816" s="164"/>
      <c r="H2816" s="167"/>
      <c r="I2816" s="167"/>
      <c r="J2816" s="167"/>
      <c r="K2816" s="169"/>
      <c r="L2816" s="129"/>
      <c r="M2816" s="129"/>
      <c r="N2816" s="129"/>
      <c r="O2816" s="129"/>
      <c r="P2816" s="146"/>
      <c r="Q2816" s="170"/>
      <c r="R2816" s="171"/>
      <c r="S2816" s="172"/>
    </row>
    <row r="2817" spans="1:19" ht="42.75">
      <c r="A2817" s="164" t="s">
        <v>779</v>
      </c>
      <c r="B2817" s="165" t="s">
        <v>6227</v>
      </c>
      <c r="C2817" s="165" t="s">
        <v>4475</v>
      </c>
      <c r="D2817" s="164">
        <v>1740</v>
      </c>
      <c r="E2817" s="164">
        <v>2015</v>
      </c>
      <c r="F2817" s="164" t="s">
        <v>3955</v>
      </c>
      <c r="G2817" s="164"/>
      <c r="H2817" s="167"/>
      <c r="I2817" s="167"/>
      <c r="J2817" s="167"/>
      <c r="K2817" s="169"/>
      <c r="L2817" s="129"/>
      <c r="M2817" s="129"/>
      <c r="N2817" s="129"/>
      <c r="O2817" s="129"/>
      <c r="P2817" s="146"/>
      <c r="Q2817" s="170"/>
      <c r="R2817" s="171"/>
      <c r="S2817" s="172"/>
    </row>
    <row r="2818" spans="1:19" ht="42.75">
      <c r="A2818" s="164" t="s">
        <v>779</v>
      </c>
      <c r="B2818" s="165" t="s">
        <v>6227</v>
      </c>
      <c r="C2818" s="165" t="s">
        <v>6286</v>
      </c>
      <c r="D2818" s="164">
        <v>2123</v>
      </c>
      <c r="E2818" s="164">
        <v>2447</v>
      </c>
      <c r="F2818" s="164" t="s">
        <v>3955</v>
      </c>
      <c r="G2818" s="164"/>
      <c r="H2818" s="167"/>
      <c r="I2818" s="167"/>
      <c r="J2818" s="167"/>
      <c r="K2818" s="169"/>
      <c r="L2818" s="129"/>
      <c r="M2818" s="129"/>
      <c r="N2818" s="129"/>
      <c r="O2818" s="129"/>
      <c r="P2818" s="146"/>
      <c r="Q2818" s="170"/>
      <c r="R2818" s="171"/>
      <c r="S2818" s="172"/>
    </row>
    <row r="2819" spans="1:19" ht="42.75">
      <c r="A2819" s="164" t="s">
        <v>779</v>
      </c>
      <c r="B2819" s="165" t="s">
        <v>6227</v>
      </c>
      <c r="C2819" s="165" t="s">
        <v>6228</v>
      </c>
      <c r="D2819" s="164">
        <v>4465</v>
      </c>
      <c r="E2819" s="164">
        <v>5126</v>
      </c>
      <c r="F2819" s="164" t="s">
        <v>3955</v>
      </c>
      <c r="G2819" s="164"/>
      <c r="H2819" s="167"/>
      <c r="I2819" s="167"/>
      <c r="J2819" s="167"/>
      <c r="K2819" s="169"/>
      <c r="L2819" s="129"/>
      <c r="M2819" s="129"/>
      <c r="N2819" s="129"/>
      <c r="O2819" s="129"/>
      <c r="P2819" s="146"/>
      <c r="Q2819" s="170"/>
      <c r="R2819" s="171"/>
      <c r="S2819" s="172"/>
    </row>
    <row r="2820" spans="1:19" ht="42.75">
      <c r="A2820" s="164" t="s">
        <v>779</v>
      </c>
      <c r="B2820" s="165" t="s">
        <v>1474</v>
      </c>
      <c r="C2820" s="165" t="s">
        <v>6289</v>
      </c>
      <c r="D2820" s="164">
        <v>4087</v>
      </c>
      <c r="E2820" s="164">
        <v>4325</v>
      </c>
      <c r="F2820" s="164" t="s">
        <v>3955</v>
      </c>
      <c r="G2820" s="164"/>
      <c r="H2820" s="167"/>
      <c r="I2820" s="167"/>
      <c r="J2820" s="167"/>
      <c r="K2820" s="169"/>
      <c r="L2820" s="129"/>
      <c r="M2820" s="129"/>
      <c r="N2820" s="129"/>
      <c r="O2820" s="129"/>
      <c r="P2820" s="146"/>
      <c r="Q2820" s="170"/>
      <c r="R2820" s="171"/>
      <c r="S2820" s="172"/>
    </row>
    <row r="2821" spans="1:19" ht="42.75">
      <c r="A2821" s="164" t="s">
        <v>779</v>
      </c>
      <c r="B2821" s="165" t="s">
        <v>1474</v>
      </c>
      <c r="C2821" s="165" t="s">
        <v>6291</v>
      </c>
      <c r="D2821" s="164">
        <v>3257</v>
      </c>
      <c r="E2821" s="164">
        <v>3713</v>
      </c>
      <c r="F2821" s="164" t="s">
        <v>3404</v>
      </c>
      <c r="G2821" s="164">
        <v>2024</v>
      </c>
      <c r="H2821" s="175">
        <v>45566</v>
      </c>
      <c r="I2821" s="175">
        <v>45567</v>
      </c>
      <c r="J2821" s="168" t="s">
        <v>7510</v>
      </c>
      <c r="K2821" s="174">
        <v>45574</v>
      </c>
      <c r="L2821" s="129" t="s">
        <v>3128</v>
      </c>
      <c r="M2821" s="129" t="s">
        <v>1078</v>
      </c>
      <c r="N2821" s="129" t="s">
        <v>50</v>
      </c>
      <c r="O2821" s="129" t="s">
        <v>3406</v>
      </c>
      <c r="P2821" s="146"/>
      <c r="Q2821" s="189">
        <v>45575</v>
      </c>
      <c r="R2821" s="115" t="s">
        <v>150</v>
      </c>
      <c r="S2821" s="163"/>
    </row>
    <row r="2822" spans="1:19" ht="42.75">
      <c r="A2822" s="164" t="s">
        <v>779</v>
      </c>
      <c r="B2822" s="165" t="s">
        <v>1474</v>
      </c>
      <c r="C2822" s="165" t="s">
        <v>6292</v>
      </c>
      <c r="D2822" s="164">
        <v>1942</v>
      </c>
      <c r="E2822" s="164">
        <v>2211</v>
      </c>
      <c r="F2822" s="164" t="s">
        <v>3955</v>
      </c>
      <c r="G2822" s="164"/>
      <c r="H2822" s="167"/>
      <c r="I2822" s="167"/>
      <c r="J2822" s="167"/>
      <c r="K2822" s="169"/>
      <c r="L2822" s="129"/>
      <c r="M2822" s="129"/>
      <c r="N2822" s="129"/>
      <c r="O2822" s="129"/>
      <c r="P2822" s="146"/>
      <c r="Q2822" s="170"/>
      <c r="R2822" s="171"/>
      <c r="S2822" s="172"/>
    </row>
    <row r="2823" spans="1:19" ht="42.75">
      <c r="A2823" s="164" t="s">
        <v>779</v>
      </c>
      <c r="B2823" s="165" t="s">
        <v>1474</v>
      </c>
      <c r="C2823" s="165" t="s">
        <v>6294</v>
      </c>
      <c r="D2823" s="164">
        <v>2255</v>
      </c>
      <c r="E2823" s="164">
        <v>2648</v>
      </c>
      <c r="F2823" s="164" t="s">
        <v>3955</v>
      </c>
      <c r="G2823" s="164"/>
      <c r="H2823" s="167"/>
      <c r="I2823" s="167"/>
      <c r="J2823" s="167"/>
      <c r="K2823" s="169"/>
      <c r="L2823" s="129"/>
      <c r="M2823" s="129"/>
      <c r="N2823" s="129"/>
      <c r="O2823" s="129"/>
      <c r="P2823" s="146"/>
      <c r="Q2823" s="170"/>
      <c r="R2823" s="171"/>
      <c r="S2823" s="172"/>
    </row>
    <row r="2824" spans="1:19" ht="42.75">
      <c r="A2824" s="164" t="s">
        <v>779</v>
      </c>
      <c r="B2824" s="165" t="s">
        <v>1474</v>
      </c>
      <c r="C2824" s="165" t="s">
        <v>1475</v>
      </c>
      <c r="D2824" s="164">
        <v>2207</v>
      </c>
      <c r="E2824" s="164">
        <v>2430</v>
      </c>
      <c r="F2824" s="164" t="s">
        <v>3404</v>
      </c>
      <c r="G2824" s="164">
        <v>2024</v>
      </c>
      <c r="H2824" s="175">
        <v>45539</v>
      </c>
      <c r="I2824" s="175">
        <v>45539</v>
      </c>
      <c r="J2824" s="168" t="s">
        <v>7511</v>
      </c>
      <c r="K2824" s="174">
        <v>45544</v>
      </c>
      <c r="L2824" s="129" t="s">
        <v>3127</v>
      </c>
      <c r="M2824" s="129" t="s">
        <v>1078</v>
      </c>
      <c r="N2824" s="129" t="s">
        <v>50</v>
      </c>
      <c r="O2824" s="129" t="s">
        <v>3406</v>
      </c>
      <c r="P2824" s="146"/>
      <c r="Q2824" s="170">
        <v>45545</v>
      </c>
      <c r="R2824" s="171" t="s">
        <v>150</v>
      </c>
      <c r="S2824" s="172"/>
    </row>
    <row r="2825" spans="1:19" ht="42.75">
      <c r="A2825" s="164" t="s">
        <v>779</v>
      </c>
      <c r="B2825" s="165" t="s">
        <v>1474</v>
      </c>
      <c r="C2825" s="165" t="s">
        <v>6296</v>
      </c>
      <c r="D2825" s="164">
        <v>1380</v>
      </c>
      <c r="E2825" s="164">
        <v>1510</v>
      </c>
      <c r="F2825" s="164" t="s">
        <v>3404</v>
      </c>
      <c r="G2825" s="164">
        <v>2024</v>
      </c>
      <c r="H2825" s="175">
        <v>45566</v>
      </c>
      <c r="I2825" s="175">
        <v>45567</v>
      </c>
      <c r="J2825" s="168" t="s">
        <v>7512</v>
      </c>
      <c r="K2825" s="174">
        <v>45574</v>
      </c>
      <c r="L2825" s="129" t="s">
        <v>3128</v>
      </c>
      <c r="M2825" s="129" t="s">
        <v>1078</v>
      </c>
      <c r="N2825" s="129" t="s">
        <v>50</v>
      </c>
      <c r="O2825" s="129" t="s">
        <v>3406</v>
      </c>
      <c r="P2825" s="146"/>
      <c r="Q2825" s="189">
        <v>45575</v>
      </c>
      <c r="R2825" s="115" t="s">
        <v>150</v>
      </c>
      <c r="S2825" s="163"/>
    </row>
    <row r="2826" spans="1:19" ht="42.75">
      <c r="A2826" s="164" t="s">
        <v>779</v>
      </c>
      <c r="B2826" s="165" t="s">
        <v>1474</v>
      </c>
      <c r="C2826" s="165" t="s">
        <v>6297</v>
      </c>
      <c r="D2826" s="164">
        <v>2428</v>
      </c>
      <c r="E2826" s="164">
        <v>3031</v>
      </c>
      <c r="F2826" s="164" t="s">
        <v>3955</v>
      </c>
      <c r="G2826" s="164"/>
      <c r="H2826" s="167"/>
      <c r="I2826" s="167"/>
      <c r="J2826" s="167"/>
      <c r="K2826" s="169"/>
      <c r="L2826" s="129"/>
      <c r="M2826" s="129"/>
      <c r="N2826" s="129"/>
      <c r="O2826" s="129"/>
      <c r="P2826" s="146"/>
      <c r="Q2826" s="170"/>
      <c r="R2826" s="171"/>
      <c r="S2826" s="172"/>
    </row>
    <row r="2827" spans="1:19" ht="42.75">
      <c r="A2827" s="164" t="s">
        <v>779</v>
      </c>
      <c r="B2827" s="165" t="s">
        <v>1474</v>
      </c>
      <c r="C2827" s="165" t="s">
        <v>6299</v>
      </c>
      <c r="D2827" s="164">
        <v>1339</v>
      </c>
      <c r="E2827" s="164">
        <v>1498</v>
      </c>
      <c r="F2827" s="164" t="s">
        <v>3955</v>
      </c>
      <c r="G2827" s="164"/>
      <c r="H2827" s="167"/>
      <c r="I2827" s="167"/>
      <c r="J2827" s="167"/>
      <c r="K2827" s="169"/>
      <c r="L2827" s="129"/>
      <c r="M2827" s="129"/>
      <c r="N2827" s="129"/>
      <c r="O2827" s="129"/>
      <c r="P2827" s="146"/>
      <c r="Q2827" s="170"/>
      <c r="R2827" s="171"/>
      <c r="S2827" s="172"/>
    </row>
    <row r="2828" spans="1:19" ht="42.75">
      <c r="A2828" s="164" t="s">
        <v>779</v>
      </c>
      <c r="B2828" s="165" t="s">
        <v>1474</v>
      </c>
      <c r="C2828" s="165" t="s">
        <v>6301</v>
      </c>
      <c r="D2828" s="164">
        <v>2363</v>
      </c>
      <c r="E2828" s="164">
        <v>2569</v>
      </c>
      <c r="F2828" s="164" t="s">
        <v>3404</v>
      </c>
      <c r="G2828" s="164">
        <v>2024</v>
      </c>
      <c r="H2828" s="175">
        <v>45393</v>
      </c>
      <c r="I2828" s="175">
        <v>45398</v>
      </c>
      <c r="J2828" s="168" t="s">
        <v>7513</v>
      </c>
      <c r="K2828" s="174">
        <v>45399</v>
      </c>
      <c r="L2828" s="129" t="s">
        <v>3470</v>
      </c>
      <c r="M2828" s="129"/>
      <c r="N2828" s="129"/>
      <c r="O2828" s="129" t="s">
        <v>3406</v>
      </c>
      <c r="P2828" s="146"/>
      <c r="Q2828" s="170"/>
      <c r="R2828" s="171"/>
      <c r="S2828" s="172"/>
    </row>
    <row r="2829" spans="1:19" ht="42.75">
      <c r="A2829" s="164" t="s">
        <v>779</v>
      </c>
      <c r="B2829" s="165" t="s">
        <v>1474</v>
      </c>
      <c r="C2829" s="165" t="s">
        <v>6302</v>
      </c>
      <c r="D2829" s="164">
        <v>2181</v>
      </c>
      <c r="E2829" s="164">
        <v>2401</v>
      </c>
      <c r="F2829" s="164" t="s">
        <v>3955</v>
      </c>
      <c r="G2829" s="164"/>
      <c r="H2829" s="167"/>
      <c r="I2829" s="167"/>
      <c r="J2829" s="167"/>
      <c r="K2829" s="169"/>
      <c r="L2829" s="129"/>
      <c r="M2829" s="129"/>
      <c r="N2829" s="129"/>
      <c r="O2829" s="129"/>
      <c r="P2829" s="146"/>
      <c r="Q2829" s="170"/>
      <c r="R2829" s="171"/>
      <c r="S2829" s="172"/>
    </row>
    <row r="2830" spans="1:19" ht="42.75">
      <c r="A2830" s="164" t="s">
        <v>779</v>
      </c>
      <c r="B2830" s="165" t="s">
        <v>1474</v>
      </c>
      <c r="C2830" s="165" t="s">
        <v>4538</v>
      </c>
      <c r="D2830" s="164">
        <v>1869</v>
      </c>
      <c r="E2830" s="164">
        <v>1934</v>
      </c>
      <c r="F2830" s="164" t="s">
        <v>3955</v>
      </c>
      <c r="G2830" s="164"/>
      <c r="H2830" s="167"/>
      <c r="I2830" s="167"/>
      <c r="J2830" s="167"/>
      <c r="K2830" s="169"/>
      <c r="L2830" s="129"/>
      <c r="M2830" s="129"/>
      <c r="N2830" s="129"/>
      <c r="O2830" s="129"/>
      <c r="P2830" s="146"/>
      <c r="Q2830" s="170"/>
      <c r="R2830" s="171"/>
      <c r="S2830" s="172"/>
    </row>
    <row r="2831" spans="1:19" ht="42.75">
      <c r="A2831" s="164" t="s">
        <v>779</v>
      </c>
      <c r="B2831" s="165" t="s">
        <v>1474</v>
      </c>
      <c r="C2831" s="165" t="s">
        <v>6305</v>
      </c>
      <c r="D2831" s="164">
        <v>2221</v>
      </c>
      <c r="E2831" s="164">
        <v>2428</v>
      </c>
      <c r="F2831" s="164" t="s">
        <v>3955</v>
      </c>
      <c r="G2831" s="164"/>
      <c r="H2831" s="167"/>
      <c r="I2831" s="167"/>
      <c r="J2831" s="167"/>
      <c r="K2831" s="169"/>
      <c r="L2831" s="129"/>
      <c r="M2831" s="129"/>
      <c r="N2831" s="129"/>
      <c r="O2831" s="129"/>
      <c r="P2831" s="146"/>
      <c r="Q2831" s="170"/>
      <c r="R2831" s="171"/>
      <c r="S2831" s="172"/>
    </row>
    <row r="2832" spans="1:19" ht="42.75">
      <c r="A2832" s="164" t="s">
        <v>779</v>
      </c>
      <c r="B2832" s="165" t="s">
        <v>1474</v>
      </c>
      <c r="C2832" s="165" t="s">
        <v>6307</v>
      </c>
      <c r="D2832" s="164">
        <v>3081</v>
      </c>
      <c r="E2832" s="164">
        <v>3193</v>
      </c>
      <c r="F2832" s="164" t="s">
        <v>3404</v>
      </c>
      <c r="G2832" s="164">
        <v>2024</v>
      </c>
      <c r="H2832" s="175">
        <v>45546</v>
      </c>
      <c r="I2832" s="175">
        <v>45546</v>
      </c>
      <c r="J2832" s="168" t="s">
        <v>7514</v>
      </c>
      <c r="K2832" s="169"/>
      <c r="L2832" s="129" t="s">
        <v>3127</v>
      </c>
      <c r="M2832" s="129" t="s">
        <v>1078</v>
      </c>
      <c r="N2832" s="129" t="s">
        <v>50</v>
      </c>
      <c r="O2832" s="129" t="s">
        <v>3406</v>
      </c>
      <c r="P2832" s="146"/>
      <c r="Q2832" s="170">
        <v>45552</v>
      </c>
      <c r="R2832" s="171" t="s">
        <v>150</v>
      </c>
      <c r="S2832" s="172"/>
    </row>
    <row r="2833" spans="1:19" ht="42.75">
      <c r="A2833" s="164" t="s">
        <v>779</v>
      </c>
      <c r="B2833" s="165" t="s">
        <v>1474</v>
      </c>
      <c r="C2833" s="165" t="s">
        <v>6308</v>
      </c>
      <c r="D2833" s="164">
        <v>2477</v>
      </c>
      <c r="E2833" s="164">
        <v>2702</v>
      </c>
      <c r="F2833" s="164" t="s">
        <v>3955</v>
      </c>
      <c r="G2833" s="164"/>
      <c r="H2833" s="167"/>
      <c r="I2833" s="167"/>
      <c r="J2833" s="167"/>
      <c r="K2833" s="169"/>
      <c r="L2833" s="129"/>
      <c r="M2833" s="129"/>
      <c r="N2833" s="129"/>
      <c r="O2833" s="129"/>
      <c r="P2833" s="146"/>
      <c r="Q2833" s="170"/>
      <c r="R2833" s="171"/>
      <c r="S2833" s="172"/>
    </row>
    <row r="2834" spans="1:19" ht="42.75">
      <c r="A2834" s="164" t="s">
        <v>779</v>
      </c>
      <c r="B2834" s="165" t="s">
        <v>1474</v>
      </c>
      <c r="C2834" s="165" t="s">
        <v>6310</v>
      </c>
      <c r="D2834" s="164">
        <v>1691</v>
      </c>
      <c r="E2834" s="164">
        <v>1849</v>
      </c>
      <c r="F2834" s="164" t="s">
        <v>3955</v>
      </c>
      <c r="G2834" s="164"/>
      <c r="H2834" s="167"/>
      <c r="I2834" s="167"/>
      <c r="J2834" s="167"/>
      <c r="K2834" s="169"/>
      <c r="L2834" s="129"/>
      <c r="M2834" s="129"/>
      <c r="N2834" s="129"/>
      <c r="O2834" s="129"/>
      <c r="P2834" s="146"/>
      <c r="Q2834" s="170"/>
      <c r="R2834" s="171"/>
      <c r="S2834" s="172"/>
    </row>
    <row r="2835" spans="1:19" ht="42.75">
      <c r="A2835" s="164" t="s">
        <v>779</v>
      </c>
      <c r="B2835" s="165" t="s">
        <v>1474</v>
      </c>
      <c r="C2835" s="165" t="s">
        <v>1520</v>
      </c>
      <c r="D2835" s="164">
        <v>1672</v>
      </c>
      <c r="E2835" s="164">
        <v>1774</v>
      </c>
      <c r="F2835" s="164" t="s">
        <v>3955</v>
      </c>
      <c r="G2835" s="164"/>
      <c r="H2835" s="167"/>
      <c r="I2835" s="167"/>
      <c r="J2835" s="167"/>
      <c r="K2835" s="169"/>
      <c r="L2835" s="129"/>
      <c r="M2835" s="129"/>
      <c r="N2835" s="129"/>
      <c r="O2835" s="129"/>
      <c r="P2835" s="146"/>
      <c r="Q2835" s="170"/>
      <c r="R2835" s="171"/>
      <c r="S2835" s="172"/>
    </row>
    <row r="2836" spans="1:19" ht="42.75">
      <c r="A2836" s="164" t="s">
        <v>779</v>
      </c>
      <c r="B2836" s="165" t="s">
        <v>1474</v>
      </c>
      <c r="C2836" s="165" t="s">
        <v>4126</v>
      </c>
      <c r="D2836" s="164">
        <v>3204</v>
      </c>
      <c r="E2836" s="164">
        <v>3587</v>
      </c>
      <c r="F2836" s="164" t="s">
        <v>3955</v>
      </c>
      <c r="G2836" s="164"/>
      <c r="H2836" s="167"/>
      <c r="I2836" s="167"/>
      <c r="J2836" s="167"/>
      <c r="K2836" s="169"/>
      <c r="L2836" s="129"/>
      <c r="M2836" s="129"/>
      <c r="N2836" s="129"/>
      <c r="O2836" s="129"/>
      <c r="P2836" s="146"/>
      <c r="Q2836" s="170"/>
      <c r="R2836" s="171"/>
      <c r="S2836" s="172"/>
    </row>
    <row r="2837" spans="1:19" ht="42.75">
      <c r="A2837" s="164" t="s">
        <v>779</v>
      </c>
      <c r="B2837" s="165" t="s">
        <v>1474</v>
      </c>
      <c r="C2837" s="165" t="s">
        <v>4882</v>
      </c>
      <c r="D2837" s="164">
        <v>2211</v>
      </c>
      <c r="E2837" s="164">
        <v>2489</v>
      </c>
      <c r="F2837" s="164" t="s">
        <v>3955</v>
      </c>
      <c r="G2837" s="164"/>
      <c r="H2837" s="167"/>
      <c r="I2837" s="167"/>
      <c r="J2837" s="167"/>
      <c r="K2837" s="169"/>
      <c r="L2837" s="129"/>
      <c r="M2837" s="129"/>
      <c r="N2837" s="129"/>
      <c r="O2837" s="129"/>
      <c r="P2837" s="146"/>
      <c r="Q2837" s="170"/>
      <c r="R2837" s="171"/>
      <c r="S2837" s="172"/>
    </row>
    <row r="2838" spans="1:19" ht="42.75">
      <c r="A2838" s="164" t="s">
        <v>779</v>
      </c>
      <c r="B2838" s="165" t="s">
        <v>1474</v>
      </c>
      <c r="C2838" s="165" t="s">
        <v>6314</v>
      </c>
      <c r="D2838" s="164">
        <v>3098</v>
      </c>
      <c r="E2838" s="164">
        <v>3329</v>
      </c>
      <c r="F2838" s="164" t="s">
        <v>3955</v>
      </c>
      <c r="G2838" s="164"/>
      <c r="H2838" s="167"/>
      <c r="I2838" s="167"/>
      <c r="J2838" s="167"/>
      <c r="K2838" s="174"/>
      <c r="L2838" s="129"/>
      <c r="M2838" s="129"/>
      <c r="N2838" s="129"/>
      <c r="O2838" s="129"/>
      <c r="P2838" s="146"/>
      <c r="Q2838" s="170"/>
      <c r="R2838" s="171"/>
      <c r="S2838" s="172"/>
    </row>
    <row r="2839" spans="1:19" ht="42.75">
      <c r="A2839" s="164" t="s">
        <v>779</v>
      </c>
      <c r="B2839" s="165" t="s">
        <v>1474</v>
      </c>
      <c r="C2839" s="165" t="s">
        <v>4024</v>
      </c>
      <c r="D2839" s="164">
        <v>1603</v>
      </c>
      <c r="E2839" s="164">
        <v>1828</v>
      </c>
      <c r="F2839" s="164" t="s">
        <v>3404</v>
      </c>
      <c r="G2839" s="164">
        <v>2024</v>
      </c>
      <c r="H2839" s="175">
        <v>45611</v>
      </c>
      <c r="I2839" s="175">
        <v>45614</v>
      </c>
      <c r="J2839" s="168" t="s">
        <v>7515</v>
      </c>
      <c r="K2839" s="174">
        <v>45616</v>
      </c>
      <c r="L2839" s="129" t="s">
        <v>3129</v>
      </c>
      <c r="M2839" s="129" t="s">
        <v>1078</v>
      </c>
      <c r="N2839" s="129" t="s">
        <v>50</v>
      </c>
      <c r="O2839" s="129" t="s">
        <v>3406</v>
      </c>
      <c r="P2839" s="146"/>
      <c r="Q2839" s="170">
        <v>45618</v>
      </c>
      <c r="R2839" s="171" t="s">
        <v>150</v>
      </c>
      <c r="S2839" s="172"/>
    </row>
    <row r="2840" spans="1:19" ht="42.75">
      <c r="A2840" s="164" t="s">
        <v>779</v>
      </c>
      <c r="B2840" s="165" t="s">
        <v>1474</v>
      </c>
      <c r="C2840" s="165" t="s">
        <v>6316</v>
      </c>
      <c r="D2840" s="164">
        <v>2268</v>
      </c>
      <c r="E2840" s="164">
        <v>2232</v>
      </c>
      <c r="F2840" s="164" t="s">
        <v>3955</v>
      </c>
      <c r="G2840" s="164"/>
      <c r="H2840" s="167"/>
      <c r="I2840" s="167"/>
      <c r="J2840" s="167"/>
      <c r="K2840" s="169"/>
      <c r="L2840" s="129"/>
      <c r="M2840" s="129"/>
      <c r="N2840" s="129"/>
      <c r="O2840" s="129"/>
      <c r="P2840" s="146"/>
      <c r="Q2840" s="170"/>
      <c r="R2840" s="171"/>
      <c r="S2840" s="172"/>
    </row>
    <row r="2841" spans="1:19" ht="42.75">
      <c r="A2841" s="164" t="s">
        <v>779</v>
      </c>
      <c r="B2841" s="165" t="s">
        <v>1474</v>
      </c>
      <c r="C2841" s="165" t="s">
        <v>6194</v>
      </c>
      <c r="D2841" s="164">
        <v>3248</v>
      </c>
      <c r="E2841" s="164">
        <v>3332</v>
      </c>
      <c r="F2841" s="164" t="s">
        <v>3955</v>
      </c>
      <c r="G2841" s="164"/>
      <c r="H2841" s="167"/>
      <c r="I2841" s="167"/>
      <c r="J2841" s="167"/>
      <c r="K2841" s="169"/>
      <c r="L2841" s="129"/>
      <c r="M2841" s="129"/>
      <c r="N2841" s="129"/>
      <c r="O2841" s="129"/>
      <c r="P2841" s="146"/>
      <c r="Q2841" s="170"/>
      <c r="R2841" s="171"/>
      <c r="S2841" s="172"/>
    </row>
    <row r="2842" spans="1:19" ht="42.75">
      <c r="A2842" s="164" t="s">
        <v>779</v>
      </c>
      <c r="B2842" s="165" t="s">
        <v>1474</v>
      </c>
      <c r="C2842" s="165" t="s">
        <v>5659</v>
      </c>
      <c r="D2842" s="164">
        <v>2739</v>
      </c>
      <c r="E2842" s="164">
        <v>2756</v>
      </c>
      <c r="F2842" s="164" t="s">
        <v>3955</v>
      </c>
      <c r="G2842" s="164"/>
      <c r="H2842" s="167"/>
      <c r="I2842" s="167"/>
      <c r="J2842" s="167"/>
      <c r="K2842" s="169"/>
      <c r="L2842" s="129"/>
      <c r="M2842" s="129"/>
      <c r="N2842" s="129"/>
      <c r="O2842" s="129"/>
      <c r="P2842" s="146"/>
      <c r="Q2842" s="170"/>
      <c r="R2842" s="171"/>
      <c r="S2842" s="172"/>
    </row>
    <row r="2843" spans="1:19" ht="42.75">
      <c r="A2843" s="164" t="s">
        <v>779</v>
      </c>
      <c r="B2843" s="165" t="s">
        <v>1474</v>
      </c>
      <c r="C2843" s="165" t="s">
        <v>1166</v>
      </c>
      <c r="D2843" s="164">
        <v>2103</v>
      </c>
      <c r="E2843" s="164">
        <v>2192</v>
      </c>
      <c r="F2843" s="164" t="s">
        <v>3955</v>
      </c>
      <c r="G2843" s="164"/>
      <c r="H2843" s="167"/>
      <c r="I2843" s="167"/>
      <c r="J2843" s="167"/>
      <c r="K2843" s="169"/>
      <c r="L2843" s="129"/>
      <c r="M2843" s="129"/>
      <c r="N2843" s="129"/>
      <c r="O2843" s="129"/>
      <c r="P2843" s="146"/>
      <c r="Q2843" s="170"/>
      <c r="R2843" s="171"/>
      <c r="S2843" s="172"/>
    </row>
    <row r="2844" spans="1:19" ht="42.75">
      <c r="A2844" s="164" t="s">
        <v>779</v>
      </c>
      <c r="B2844" s="165" t="s">
        <v>1474</v>
      </c>
      <c r="C2844" s="165" t="s">
        <v>3975</v>
      </c>
      <c r="D2844" s="164">
        <v>5230</v>
      </c>
      <c r="E2844" s="164">
        <v>5837</v>
      </c>
      <c r="F2844" s="164" t="s">
        <v>3404</v>
      </c>
      <c r="G2844" s="164">
        <v>2024</v>
      </c>
      <c r="H2844" s="175">
        <v>45567</v>
      </c>
      <c r="I2844" s="175">
        <v>45567</v>
      </c>
      <c r="J2844" s="168" t="s">
        <v>7516</v>
      </c>
      <c r="K2844" s="174">
        <v>45574</v>
      </c>
      <c r="L2844" s="129" t="s">
        <v>3128</v>
      </c>
      <c r="M2844" s="129" t="s">
        <v>4</v>
      </c>
      <c r="N2844" s="129" t="s">
        <v>50</v>
      </c>
      <c r="O2844" s="129" t="s">
        <v>3406</v>
      </c>
      <c r="P2844" s="146"/>
      <c r="Q2844" s="189">
        <v>45575</v>
      </c>
      <c r="R2844" s="115" t="s">
        <v>150</v>
      </c>
      <c r="S2844" s="163"/>
    </row>
    <row r="2845" spans="1:19" ht="42.75">
      <c r="A2845" s="164" t="s">
        <v>779</v>
      </c>
      <c r="B2845" s="165" t="s">
        <v>1474</v>
      </c>
      <c r="C2845" s="165" t="s">
        <v>5583</v>
      </c>
      <c r="D2845" s="164">
        <v>1561</v>
      </c>
      <c r="E2845" s="164">
        <v>1572</v>
      </c>
      <c r="F2845" s="164" t="s">
        <v>3955</v>
      </c>
      <c r="G2845" s="164"/>
      <c r="H2845" s="167"/>
      <c r="I2845" s="167"/>
      <c r="J2845" s="167"/>
      <c r="K2845" s="169"/>
      <c r="L2845" s="129"/>
      <c r="M2845" s="129"/>
      <c r="N2845" s="129"/>
      <c r="O2845" s="129"/>
      <c r="P2845" s="146"/>
      <c r="Q2845" s="170"/>
      <c r="R2845" s="171"/>
      <c r="S2845" s="172"/>
    </row>
    <row r="2846" spans="1:19" ht="42.75">
      <c r="A2846" s="164" t="s">
        <v>779</v>
      </c>
      <c r="B2846" s="165" t="s">
        <v>858</v>
      </c>
      <c r="C2846" s="165" t="s">
        <v>1490</v>
      </c>
      <c r="D2846" s="164">
        <v>2972</v>
      </c>
      <c r="E2846" s="164">
        <v>3172</v>
      </c>
      <c r="F2846" s="164" t="s">
        <v>3955</v>
      </c>
      <c r="G2846" s="164"/>
      <c r="H2846" s="167"/>
      <c r="I2846" s="167"/>
      <c r="J2846" s="167"/>
      <c r="K2846" s="169"/>
      <c r="L2846" s="129"/>
      <c r="M2846" s="129"/>
      <c r="N2846" s="129"/>
      <c r="O2846" s="129"/>
      <c r="P2846" s="146"/>
      <c r="Q2846" s="170"/>
      <c r="R2846" s="171"/>
      <c r="S2846" s="172"/>
    </row>
    <row r="2847" spans="1:19" ht="42.75">
      <c r="A2847" s="164" t="s">
        <v>779</v>
      </c>
      <c r="B2847" s="165" t="s">
        <v>858</v>
      </c>
      <c r="C2847" s="165" t="s">
        <v>6176</v>
      </c>
      <c r="D2847" s="164">
        <v>1579</v>
      </c>
      <c r="E2847" s="164">
        <v>1749</v>
      </c>
      <c r="F2847" s="164" t="s">
        <v>3955</v>
      </c>
      <c r="G2847" s="164"/>
      <c r="H2847" s="167"/>
      <c r="I2847" s="167"/>
      <c r="J2847" s="167"/>
      <c r="K2847" s="169"/>
      <c r="L2847" s="129"/>
      <c r="M2847" s="129"/>
      <c r="N2847" s="129"/>
      <c r="O2847" s="129"/>
      <c r="P2847" s="146"/>
      <c r="Q2847" s="170"/>
      <c r="R2847" s="171"/>
      <c r="S2847" s="172"/>
    </row>
    <row r="2848" spans="1:19" ht="42.75">
      <c r="A2848" s="164" t="s">
        <v>779</v>
      </c>
      <c r="B2848" s="165" t="s">
        <v>858</v>
      </c>
      <c r="C2848" s="165" t="s">
        <v>1539</v>
      </c>
      <c r="D2848" s="164">
        <v>4983</v>
      </c>
      <c r="E2848" s="164">
        <v>5598</v>
      </c>
      <c r="F2848" s="164" t="s">
        <v>3404</v>
      </c>
      <c r="G2848" s="164">
        <v>2024</v>
      </c>
      <c r="H2848" s="175">
        <v>45421</v>
      </c>
      <c r="I2848" s="175">
        <v>45422</v>
      </c>
      <c r="J2848" s="168" t="s">
        <v>7517</v>
      </c>
      <c r="K2848" s="174">
        <v>45427</v>
      </c>
      <c r="L2848" s="129" t="s">
        <v>3532</v>
      </c>
      <c r="M2848" s="129"/>
      <c r="N2848" s="129"/>
      <c r="O2848" s="129" t="s">
        <v>3406</v>
      </c>
      <c r="P2848" s="146"/>
      <c r="Q2848" s="170"/>
      <c r="R2848" s="171"/>
      <c r="S2848" s="172"/>
    </row>
    <row r="2849" spans="1:19" ht="42.75">
      <c r="A2849" s="164" t="s">
        <v>779</v>
      </c>
      <c r="B2849" s="165" t="s">
        <v>858</v>
      </c>
      <c r="C2849" s="165" t="s">
        <v>5219</v>
      </c>
      <c r="D2849" s="164">
        <v>1878</v>
      </c>
      <c r="E2849" s="164">
        <v>2073</v>
      </c>
      <c r="F2849" s="164" t="s">
        <v>3404</v>
      </c>
      <c r="G2849" s="164">
        <v>2024</v>
      </c>
      <c r="H2849" s="175">
        <v>45603</v>
      </c>
      <c r="I2849" s="175">
        <v>45606</v>
      </c>
      <c r="J2849" s="168" t="s">
        <v>7518</v>
      </c>
      <c r="K2849" s="174">
        <v>45613</v>
      </c>
      <c r="L2849" s="129" t="s">
        <v>3129</v>
      </c>
      <c r="M2849" s="129" t="s">
        <v>1078</v>
      </c>
      <c r="N2849" s="129" t="s">
        <v>50</v>
      </c>
      <c r="O2849" s="129" t="s">
        <v>3406</v>
      </c>
      <c r="P2849" s="146"/>
      <c r="Q2849" s="170">
        <v>45614</v>
      </c>
      <c r="R2849" s="171" t="s">
        <v>150</v>
      </c>
      <c r="S2849" s="172"/>
    </row>
    <row r="2850" spans="1:19" ht="42.75">
      <c r="A2850" s="164" t="s">
        <v>779</v>
      </c>
      <c r="B2850" s="165" t="s">
        <v>858</v>
      </c>
      <c r="C2850" s="165" t="s">
        <v>1199</v>
      </c>
      <c r="D2850" s="164">
        <v>1209</v>
      </c>
      <c r="E2850" s="164">
        <v>1371</v>
      </c>
      <c r="F2850" s="164" t="s">
        <v>3404</v>
      </c>
      <c r="G2850" s="164">
        <v>2024</v>
      </c>
      <c r="H2850" s="175">
        <v>45603</v>
      </c>
      <c r="I2850" s="175">
        <v>45606</v>
      </c>
      <c r="J2850" s="168" t="s">
        <v>7519</v>
      </c>
      <c r="K2850" s="174">
        <v>45613</v>
      </c>
      <c r="L2850" s="129" t="s">
        <v>3129</v>
      </c>
      <c r="M2850" s="129" t="s">
        <v>4</v>
      </c>
      <c r="N2850" s="129" t="s">
        <v>50</v>
      </c>
      <c r="O2850" s="129" t="s">
        <v>3406</v>
      </c>
      <c r="P2850" s="146"/>
      <c r="Q2850" s="170">
        <v>45614</v>
      </c>
      <c r="R2850" s="171" t="s">
        <v>150</v>
      </c>
      <c r="S2850" s="172"/>
    </row>
    <row r="2851" spans="1:19" ht="42.75">
      <c r="A2851" s="164" t="s">
        <v>779</v>
      </c>
      <c r="B2851" s="165" t="s">
        <v>858</v>
      </c>
      <c r="C2851" s="165" t="s">
        <v>6178</v>
      </c>
      <c r="D2851" s="164">
        <v>1421</v>
      </c>
      <c r="E2851" s="164">
        <v>1709</v>
      </c>
      <c r="F2851" s="164" t="s">
        <v>3955</v>
      </c>
      <c r="G2851" s="164"/>
      <c r="H2851" s="167"/>
      <c r="I2851" s="167"/>
      <c r="J2851" s="167"/>
      <c r="K2851" s="169"/>
      <c r="L2851" s="129"/>
      <c r="M2851" s="129"/>
      <c r="N2851" s="129"/>
      <c r="O2851" s="129"/>
      <c r="P2851" s="146"/>
      <c r="Q2851" s="170"/>
      <c r="R2851" s="171"/>
      <c r="S2851" s="172"/>
    </row>
    <row r="2852" spans="1:19" ht="42.75">
      <c r="A2852" s="164" t="s">
        <v>779</v>
      </c>
      <c r="B2852" s="165" t="s">
        <v>858</v>
      </c>
      <c r="C2852" s="165" t="s">
        <v>6180</v>
      </c>
      <c r="D2852" s="164">
        <v>2726</v>
      </c>
      <c r="E2852" s="164">
        <v>2627</v>
      </c>
      <c r="F2852" s="164" t="s">
        <v>3955</v>
      </c>
      <c r="G2852" s="164"/>
      <c r="H2852" s="167"/>
      <c r="I2852" s="167"/>
      <c r="J2852" s="167"/>
      <c r="K2852" s="169"/>
      <c r="L2852" s="129"/>
      <c r="M2852" s="129"/>
      <c r="N2852" s="129"/>
      <c r="O2852" s="129"/>
      <c r="P2852" s="146"/>
      <c r="Q2852" s="170"/>
      <c r="R2852" s="171"/>
      <c r="S2852" s="172"/>
    </row>
    <row r="2853" spans="1:19" ht="42.75">
      <c r="A2853" s="164" t="s">
        <v>779</v>
      </c>
      <c r="B2853" s="165" t="s">
        <v>858</v>
      </c>
      <c r="C2853" s="165" t="s">
        <v>6181</v>
      </c>
      <c r="D2853" s="164">
        <v>3919</v>
      </c>
      <c r="E2853" s="164">
        <v>4404</v>
      </c>
      <c r="F2853" s="164" t="s">
        <v>3404</v>
      </c>
      <c r="G2853" s="164">
        <v>2024</v>
      </c>
      <c r="H2853" s="175">
        <v>45540</v>
      </c>
      <c r="I2853" s="175">
        <v>45541</v>
      </c>
      <c r="J2853" s="168" t="s">
        <v>7520</v>
      </c>
      <c r="K2853" s="174">
        <v>45552</v>
      </c>
      <c r="L2853" s="129" t="s">
        <v>3127</v>
      </c>
      <c r="M2853" s="129" t="s">
        <v>4</v>
      </c>
      <c r="N2853" s="129" t="s">
        <v>50</v>
      </c>
      <c r="O2853" s="129" t="s">
        <v>3406</v>
      </c>
      <c r="P2853" s="146"/>
      <c r="Q2853" s="170">
        <v>45552</v>
      </c>
      <c r="R2853" s="171" t="s">
        <v>150</v>
      </c>
      <c r="S2853" s="172"/>
    </row>
    <row r="2854" spans="1:19" ht="42.75">
      <c r="A2854" s="164" t="s">
        <v>779</v>
      </c>
      <c r="B2854" s="165" t="s">
        <v>858</v>
      </c>
      <c r="C2854" s="165" t="s">
        <v>6182</v>
      </c>
      <c r="D2854" s="164">
        <v>3705</v>
      </c>
      <c r="E2854" s="164">
        <v>4401</v>
      </c>
      <c r="F2854" s="164" t="s">
        <v>3955</v>
      </c>
      <c r="G2854" s="164"/>
      <c r="H2854" s="167"/>
      <c r="I2854" s="167"/>
      <c r="J2854" s="167"/>
      <c r="K2854" s="169"/>
      <c r="L2854" s="129"/>
      <c r="M2854" s="129"/>
      <c r="N2854" s="129"/>
      <c r="O2854" s="129"/>
      <c r="P2854" s="146"/>
      <c r="Q2854" s="170"/>
      <c r="R2854" s="171"/>
      <c r="S2854" s="172"/>
    </row>
    <row r="2855" spans="1:19" ht="42.75">
      <c r="A2855" s="164" t="s">
        <v>779</v>
      </c>
      <c r="B2855" s="165" t="s">
        <v>858</v>
      </c>
      <c r="C2855" s="165" t="s">
        <v>6183</v>
      </c>
      <c r="D2855" s="164">
        <v>1709</v>
      </c>
      <c r="E2855" s="164">
        <v>1737</v>
      </c>
      <c r="F2855" s="164" t="s">
        <v>3955</v>
      </c>
      <c r="G2855" s="164"/>
      <c r="H2855" s="167"/>
      <c r="I2855" s="167"/>
      <c r="J2855" s="167"/>
      <c r="K2855" s="169"/>
      <c r="L2855" s="129"/>
      <c r="M2855" s="129"/>
      <c r="N2855" s="129"/>
      <c r="O2855" s="129"/>
      <c r="P2855" s="146"/>
      <c r="Q2855" s="170"/>
      <c r="R2855" s="171"/>
      <c r="S2855" s="172"/>
    </row>
    <row r="2856" spans="1:19" ht="42.75">
      <c r="A2856" s="164" t="s">
        <v>779</v>
      </c>
      <c r="B2856" s="165" t="s">
        <v>858</v>
      </c>
      <c r="C2856" s="165" t="s">
        <v>6184</v>
      </c>
      <c r="D2856" s="164">
        <v>1546</v>
      </c>
      <c r="E2856" s="164">
        <v>1572</v>
      </c>
      <c r="F2856" s="164" t="s">
        <v>3955</v>
      </c>
      <c r="G2856" s="164"/>
      <c r="H2856" s="167"/>
      <c r="I2856" s="167"/>
      <c r="J2856" s="167"/>
      <c r="K2856" s="169"/>
      <c r="L2856" s="129"/>
      <c r="M2856" s="129"/>
      <c r="N2856" s="129"/>
      <c r="O2856" s="129"/>
      <c r="P2856" s="146"/>
      <c r="Q2856" s="170"/>
      <c r="R2856" s="171"/>
      <c r="S2856" s="172"/>
    </row>
    <row r="2857" spans="1:19" ht="42.75">
      <c r="A2857" s="164" t="s">
        <v>779</v>
      </c>
      <c r="B2857" s="165" t="s">
        <v>858</v>
      </c>
      <c r="C2857" s="165" t="s">
        <v>6186</v>
      </c>
      <c r="D2857" s="164">
        <v>3682</v>
      </c>
      <c r="E2857" s="164">
        <v>5122</v>
      </c>
      <c r="F2857" s="164" t="s">
        <v>3955</v>
      </c>
      <c r="G2857" s="164"/>
      <c r="H2857" s="167"/>
      <c r="I2857" s="167"/>
      <c r="J2857" s="167"/>
      <c r="K2857" s="169"/>
      <c r="L2857" s="129"/>
      <c r="M2857" s="129"/>
      <c r="N2857" s="129"/>
      <c r="O2857" s="129"/>
      <c r="P2857" s="146"/>
      <c r="Q2857" s="170"/>
      <c r="R2857" s="171"/>
      <c r="S2857" s="172"/>
    </row>
    <row r="2858" spans="1:19" ht="42.75">
      <c r="A2858" s="164" t="s">
        <v>779</v>
      </c>
      <c r="B2858" s="165" t="s">
        <v>858</v>
      </c>
      <c r="C2858" s="165" t="s">
        <v>6187</v>
      </c>
      <c r="D2858" s="164">
        <v>4924</v>
      </c>
      <c r="E2858" s="164">
        <v>5647</v>
      </c>
      <c r="F2858" s="164" t="s">
        <v>3955</v>
      </c>
      <c r="G2858" s="164"/>
      <c r="H2858" s="167"/>
      <c r="I2858" s="167"/>
      <c r="J2858" s="167"/>
      <c r="K2858" s="169"/>
      <c r="L2858" s="129"/>
      <c r="M2858" s="129"/>
      <c r="N2858" s="129"/>
      <c r="O2858" s="129"/>
      <c r="P2858" s="146"/>
      <c r="Q2858" s="170"/>
      <c r="R2858" s="171"/>
      <c r="S2858" s="172"/>
    </row>
    <row r="2859" spans="1:19" ht="42.75">
      <c r="A2859" s="164" t="s">
        <v>780</v>
      </c>
      <c r="B2859" s="165" t="s">
        <v>1210</v>
      </c>
      <c r="C2859" s="165" t="s">
        <v>6320</v>
      </c>
      <c r="D2859" s="164">
        <v>1327</v>
      </c>
      <c r="E2859" s="164">
        <v>1444</v>
      </c>
      <c r="F2859" s="164" t="s">
        <v>3955</v>
      </c>
      <c r="G2859" s="164"/>
      <c r="H2859" s="258"/>
      <c r="I2859" s="168"/>
      <c r="J2859" s="168"/>
      <c r="K2859" s="181"/>
      <c r="L2859" s="169"/>
      <c r="M2859" s="129"/>
      <c r="N2859" s="129"/>
      <c r="O2859" s="129"/>
      <c r="P2859" s="146"/>
      <c r="Q2859" s="170"/>
      <c r="R2859" s="171"/>
      <c r="S2859" s="172"/>
    </row>
    <row r="2860" spans="1:19" ht="42.75">
      <c r="A2860" s="164" t="s">
        <v>780</v>
      </c>
      <c r="B2860" s="165" t="s">
        <v>1210</v>
      </c>
      <c r="C2860" s="165" t="s">
        <v>6322</v>
      </c>
      <c r="D2860" s="164">
        <v>1092</v>
      </c>
      <c r="E2860" s="164">
        <v>1455</v>
      </c>
      <c r="F2860" s="164" t="s">
        <v>3955</v>
      </c>
      <c r="G2860" s="164"/>
      <c r="H2860" s="258"/>
      <c r="I2860" s="168"/>
      <c r="J2860" s="168"/>
      <c r="K2860" s="181"/>
      <c r="L2860" s="169"/>
      <c r="M2860" s="129"/>
      <c r="N2860" s="129"/>
      <c r="O2860" s="129"/>
      <c r="P2860" s="146"/>
      <c r="Q2860" s="170"/>
      <c r="R2860" s="171"/>
      <c r="S2860" s="172"/>
    </row>
    <row r="2861" spans="1:19" ht="42.75">
      <c r="A2861" s="164" t="s">
        <v>780</v>
      </c>
      <c r="B2861" s="165" t="s">
        <v>1210</v>
      </c>
      <c r="C2861" s="165" t="s">
        <v>6326</v>
      </c>
      <c r="D2861" s="164">
        <v>1575</v>
      </c>
      <c r="E2861" s="164">
        <v>1969</v>
      </c>
      <c r="F2861" s="164" t="s">
        <v>3955</v>
      </c>
      <c r="G2861" s="164"/>
      <c r="H2861" s="258"/>
      <c r="I2861" s="168"/>
      <c r="J2861" s="168"/>
      <c r="K2861" s="181"/>
      <c r="L2861" s="169"/>
      <c r="M2861" s="129"/>
      <c r="N2861" s="129"/>
      <c r="O2861" s="129"/>
      <c r="P2861" s="146"/>
      <c r="Q2861" s="170"/>
      <c r="R2861" s="171"/>
      <c r="S2861" s="172"/>
    </row>
    <row r="2862" spans="1:19" ht="42.75">
      <c r="A2862" s="164" t="s">
        <v>780</v>
      </c>
      <c r="B2862" s="165" t="s">
        <v>1210</v>
      </c>
      <c r="C2862" s="165" t="s">
        <v>6332</v>
      </c>
      <c r="D2862" s="164">
        <v>1010</v>
      </c>
      <c r="E2862" s="164">
        <v>1187</v>
      </c>
      <c r="F2862" s="164" t="s">
        <v>3955</v>
      </c>
      <c r="G2862" s="164"/>
      <c r="H2862" s="258"/>
      <c r="I2862" s="168"/>
      <c r="J2862" s="168"/>
      <c r="K2862" s="181"/>
      <c r="L2862" s="169"/>
      <c r="M2862" s="129"/>
      <c r="N2862" s="129"/>
      <c r="O2862" s="129"/>
      <c r="P2862" s="146"/>
      <c r="Q2862" s="170"/>
      <c r="R2862" s="171"/>
      <c r="S2862" s="172"/>
    </row>
    <row r="2863" spans="1:19" ht="42.75">
      <c r="A2863" s="164" t="s">
        <v>780</v>
      </c>
      <c r="B2863" s="165" t="s">
        <v>1210</v>
      </c>
      <c r="C2863" s="165" t="s">
        <v>1525</v>
      </c>
      <c r="D2863" s="164">
        <v>2057</v>
      </c>
      <c r="E2863" s="164">
        <v>2405</v>
      </c>
      <c r="F2863" s="164" t="s">
        <v>3955</v>
      </c>
      <c r="G2863" s="164"/>
      <c r="H2863" s="258"/>
      <c r="I2863" s="168"/>
      <c r="J2863" s="168"/>
      <c r="K2863" s="181"/>
      <c r="L2863" s="169"/>
      <c r="M2863" s="129"/>
      <c r="N2863" s="129"/>
      <c r="O2863" s="129"/>
      <c r="P2863" s="146"/>
      <c r="Q2863" s="170"/>
      <c r="R2863" s="171"/>
      <c r="S2863" s="172"/>
    </row>
    <row r="2864" spans="1:19" ht="42.75">
      <c r="A2864" s="164" t="s">
        <v>780</v>
      </c>
      <c r="B2864" s="165" t="s">
        <v>1210</v>
      </c>
      <c r="C2864" s="165" t="s">
        <v>6335</v>
      </c>
      <c r="D2864" s="164">
        <v>2970</v>
      </c>
      <c r="E2864" s="164">
        <v>3053</v>
      </c>
      <c r="F2864" s="164" t="s">
        <v>3955</v>
      </c>
      <c r="G2864" s="164"/>
      <c r="H2864" s="258"/>
      <c r="I2864" s="168"/>
      <c r="J2864" s="168"/>
      <c r="K2864" s="181"/>
      <c r="L2864" s="169"/>
      <c r="M2864" s="129"/>
      <c r="N2864" s="129"/>
      <c r="O2864" s="129"/>
      <c r="P2864" s="146"/>
      <c r="Q2864" s="170"/>
      <c r="R2864" s="171"/>
      <c r="S2864" s="172"/>
    </row>
    <row r="2865" spans="1:19" ht="42.75">
      <c r="A2865" s="164" t="s">
        <v>780</v>
      </c>
      <c r="B2865" s="165" t="s">
        <v>1210</v>
      </c>
      <c r="C2865" s="165" t="s">
        <v>6337</v>
      </c>
      <c r="D2865" s="164">
        <v>664</v>
      </c>
      <c r="E2865" s="164">
        <v>598</v>
      </c>
      <c r="F2865" s="164" t="s">
        <v>3955</v>
      </c>
      <c r="G2865" s="164"/>
      <c r="H2865" s="258"/>
      <c r="I2865" s="168"/>
      <c r="J2865" s="168"/>
      <c r="K2865" s="181"/>
      <c r="L2865" s="169"/>
      <c r="M2865" s="129"/>
      <c r="N2865" s="129"/>
      <c r="O2865" s="129"/>
      <c r="P2865" s="146"/>
      <c r="Q2865" s="170"/>
      <c r="R2865" s="171"/>
      <c r="S2865" s="172"/>
    </row>
    <row r="2866" spans="1:19" ht="42.75">
      <c r="A2866" s="164" t="s">
        <v>780</v>
      </c>
      <c r="B2866" s="165" t="s">
        <v>1210</v>
      </c>
      <c r="C2866" s="165" t="s">
        <v>885</v>
      </c>
      <c r="D2866" s="164">
        <v>4145</v>
      </c>
      <c r="E2866" s="164">
        <v>4524</v>
      </c>
      <c r="F2866" s="164" t="s">
        <v>3955</v>
      </c>
      <c r="G2866" s="164"/>
      <c r="H2866" s="258"/>
      <c r="I2866" s="168"/>
      <c r="J2866" s="168"/>
      <c r="K2866" s="181"/>
      <c r="L2866" s="169"/>
      <c r="M2866" s="129"/>
      <c r="N2866" s="129"/>
      <c r="O2866" s="129"/>
      <c r="P2866" s="146"/>
      <c r="Q2866" s="170"/>
      <c r="R2866" s="171"/>
      <c r="S2866" s="172"/>
    </row>
    <row r="2867" spans="1:19" ht="42.75">
      <c r="A2867" s="164" t="s">
        <v>780</v>
      </c>
      <c r="B2867" s="165" t="s">
        <v>1210</v>
      </c>
      <c r="C2867" s="165" t="s">
        <v>6342</v>
      </c>
      <c r="D2867" s="164">
        <v>501</v>
      </c>
      <c r="E2867" s="164">
        <v>453</v>
      </c>
      <c r="F2867" s="164" t="s">
        <v>3955</v>
      </c>
      <c r="G2867" s="164"/>
      <c r="H2867" s="258"/>
      <c r="I2867" s="168"/>
      <c r="J2867" s="168"/>
      <c r="K2867" s="181"/>
      <c r="L2867" s="169"/>
      <c r="M2867" s="129"/>
      <c r="N2867" s="129"/>
      <c r="O2867" s="129"/>
      <c r="P2867" s="146"/>
      <c r="Q2867" s="170"/>
      <c r="R2867" s="171"/>
      <c r="S2867" s="172"/>
    </row>
    <row r="2868" spans="1:19" ht="42.75">
      <c r="A2868" s="164" t="s">
        <v>780</v>
      </c>
      <c r="B2868" s="165" t="s">
        <v>1210</v>
      </c>
      <c r="C2868" s="165" t="s">
        <v>6348</v>
      </c>
      <c r="D2868" s="164">
        <v>1598</v>
      </c>
      <c r="E2868" s="164">
        <v>1935</v>
      </c>
      <c r="F2868" s="164" t="s">
        <v>3404</v>
      </c>
      <c r="G2868" s="164">
        <v>2024</v>
      </c>
      <c r="H2868" s="258">
        <v>45602</v>
      </c>
      <c r="I2868" s="258">
        <v>45610</v>
      </c>
      <c r="J2868" s="259" t="s">
        <v>7521</v>
      </c>
      <c r="K2868" s="260">
        <v>45616</v>
      </c>
      <c r="L2868" s="169" t="s">
        <v>3129</v>
      </c>
      <c r="M2868" s="129" t="s">
        <v>4</v>
      </c>
      <c r="N2868" s="129" t="s">
        <v>50</v>
      </c>
      <c r="O2868" s="129" t="s">
        <v>3406</v>
      </c>
      <c r="P2868" s="146"/>
      <c r="Q2868" s="170">
        <v>45618</v>
      </c>
      <c r="R2868" s="171" t="s">
        <v>150</v>
      </c>
      <c r="S2868" s="172"/>
    </row>
    <row r="2869" spans="1:19" ht="42.75">
      <c r="A2869" s="164" t="s">
        <v>780</v>
      </c>
      <c r="B2869" s="165" t="s">
        <v>1210</v>
      </c>
      <c r="C2869" s="165" t="s">
        <v>1211</v>
      </c>
      <c r="D2869" s="164">
        <v>2728</v>
      </c>
      <c r="E2869" s="164">
        <v>2926</v>
      </c>
      <c r="F2869" s="164" t="s">
        <v>3955</v>
      </c>
      <c r="G2869" s="164"/>
      <c r="H2869" s="258"/>
      <c r="I2869" s="168"/>
      <c r="J2869" s="168"/>
      <c r="K2869" s="181"/>
      <c r="L2869" s="169"/>
      <c r="M2869" s="129"/>
      <c r="N2869" s="129"/>
      <c r="O2869" s="129"/>
      <c r="P2869" s="146"/>
      <c r="Q2869" s="170"/>
      <c r="R2869" s="171"/>
      <c r="S2869" s="172"/>
    </row>
    <row r="2870" spans="1:19" ht="42.75">
      <c r="A2870" s="164" t="s">
        <v>780</v>
      </c>
      <c r="B2870" s="165" t="s">
        <v>1210</v>
      </c>
      <c r="C2870" s="165" t="s">
        <v>6352</v>
      </c>
      <c r="D2870" s="164">
        <v>1091</v>
      </c>
      <c r="E2870" s="164">
        <v>1257</v>
      </c>
      <c r="F2870" s="164" t="s">
        <v>3955</v>
      </c>
      <c r="G2870" s="164"/>
      <c r="H2870" s="258"/>
      <c r="I2870" s="168"/>
      <c r="J2870" s="168"/>
      <c r="K2870" s="181"/>
      <c r="L2870" s="169"/>
      <c r="M2870" s="129"/>
      <c r="N2870" s="129"/>
      <c r="O2870" s="129"/>
      <c r="P2870" s="146"/>
      <c r="Q2870" s="170"/>
      <c r="R2870" s="171"/>
      <c r="S2870" s="172"/>
    </row>
    <row r="2871" spans="1:19" ht="42.75">
      <c r="A2871" s="164" t="s">
        <v>780</v>
      </c>
      <c r="B2871" s="165" t="s">
        <v>1210</v>
      </c>
      <c r="C2871" s="165" t="s">
        <v>6354</v>
      </c>
      <c r="D2871" s="164">
        <v>860</v>
      </c>
      <c r="E2871" s="164">
        <v>946</v>
      </c>
      <c r="F2871" s="164" t="s">
        <v>3404</v>
      </c>
      <c r="G2871" s="164">
        <v>2024</v>
      </c>
      <c r="H2871" s="258">
        <v>45602</v>
      </c>
      <c r="I2871" s="258">
        <v>45610</v>
      </c>
      <c r="J2871" s="259" t="s">
        <v>7522</v>
      </c>
      <c r="K2871" s="260">
        <v>45616</v>
      </c>
      <c r="L2871" s="169" t="s">
        <v>3129</v>
      </c>
      <c r="M2871" s="129" t="s">
        <v>4</v>
      </c>
      <c r="N2871" s="129" t="s">
        <v>50</v>
      </c>
      <c r="O2871" s="129" t="s">
        <v>3406</v>
      </c>
      <c r="P2871" s="146"/>
      <c r="Q2871" s="170">
        <v>45618</v>
      </c>
      <c r="R2871" s="171" t="s">
        <v>150</v>
      </c>
      <c r="S2871" s="172"/>
    </row>
    <row r="2872" spans="1:19" ht="42.75">
      <c r="A2872" s="164" t="s">
        <v>780</v>
      </c>
      <c r="B2872" s="165" t="s">
        <v>1210</v>
      </c>
      <c r="C2872" s="165" t="s">
        <v>6355</v>
      </c>
      <c r="D2872" s="164">
        <v>998</v>
      </c>
      <c r="E2872" s="164">
        <v>1333</v>
      </c>
      <c r="F2872" s="164" t="s">
        <v>3955</v>
      </c>
      <c r="G2872" s="164"/>
      <c r="H2872" s="258"/>
      <c r="I2872" s="168"/>
      <c r="J2872" s="168"/>
      <c r="K2872" s="181"/>
      <c r="L2872" s="169"/>
      <c r="M2872" s="129"/>
      <c r="N2872" s="129"/>
      <c r="O2872" s="129"/>
      <c r="P2872" s="146"/>
      <c r="Q2872" s="170"/>
      <c r="R2872" s="171"/>
      <c r="S2872" s="172"/>
    </row>
    <row r="2873" spans="1:19" ht="42.75">
      <c r="A2873" s="164" t="s">
        <v>780</v>
      </c>
      <c r="B2873" s="165" t="s">
        <v>1210</v>
      </c>
      <c r="C2873" s="165" t="s">
        <v>1415</v>
      </c>
      <c r="D2873" s="164">
        <v>3306</v>
      </c>
      <c r="E2873" s="164">
        <v>3579</v>
      </c>
      <c r="F2873" s="164" t="s">
        <v>3955</v>
      </c>
      <c r="G2873" s="164"/>
      <c r="H2873" s="258"/>
      <c r="I2873" s="168"/>
      <c r="J2873" s="168"/>
      <c r="K2873" s="181"/>
      <c r="L2873" s="169"/>
      <c r="M2873" s="129"/>
      <c r="N2873" s="129"/>
      <c r="O2873" s="129"/>
      <c r="P2873" s="146"/>
      <c r="Q2873" s="170"/>
      <c r="R2873" s="171"/>
      <c r="S2873" s="172"/>
    </row>
    <row r="2874" spans="1:19" ht="42.75">
      <c r="A2874" s="164" t="s">
        <v>780</v>
      </c>
      <c r="B2874" s="165" t="s">
        <v>1210</v>
      </c>
      <c r="C2874" s="165" t="s">
        <v>1180</v>
      </c>
      <c r="D2874" s="164">
        <v>1533</v>
      </c>
      <c r="E2874" s="164">
        <v>1802</v>
      </c>
      <c r="F2874" s="164" t="s">
        <v>3404</v>
      </c>
      <c r="G2874" s="164">
        <v>2024</v>
      </c>
      <c r="H2874" s="258">
        <v>45602</v>
      </c>
      <c r="I2874" s="258">
        <v>45610</v>
      </c>
      <c r="J2874" s="259" t="s">
        <v>7523</v>
      </c>
      <c r="K2874" s="260">
        <v>45616</v>
      </c>
      <c r="L2874" s="169" t="s">
        <v>3129</v>
      </c>
      <c r="M2874" s="129" t="s">
        <v>4</v>
      </c>
      <c r="N2874" s="129" t="s">
        <v>50</v>
      </c>
      <c r="O2874" s="129" t="s">
        <v>3406</v>
      </c>
      <c r="P2874" s="146"/>
      <c r="Q2874" s="170">
        <v>45616</v>
      </c>
      <c r="R2874" s="171" t="s">
        <v>150</v>
      </c>
      <c r="S2874" s="172"/>
    </row>
    <row r="2875" spans="1:19" ht="42.75">
      <c r="A2875" s="164" t="s">
        <v>780</v>
      </c>
      <c r="B2875" s="165" t="s">
        <v>1210</v>
      </c>
      <c r="C2875" s="165" t="s">
        <v>918</v>
      </c>
      <c r="D2875" s="164">
        <v>7002</v>
      </c>
      <c r="E2875" s="164">
        <v>8856</v>
      </c>
      <c r="F2875" s="164" t="s">
        <v>3404</v>
      </c>
      <c r="G2875" s="164">
        <v>2024</v>
      </c>
      <c r="H2875" s="258">
        <v>45602</v>
      </c>
      <c r="I2875" s="258">
        <v>45611</v>
      </c>
      <c r="J2875" s="261" t="s">
        <v>7524</v>
      </c>
      <c r="K2875" s="260">
        <v>45616</v>
      </c>
      <c r="L2875" s="169" t="s">
        <v>3129</v>
      </c>
      <c r="M2875" s="129" t="s">
        <v>4</v>
      </c>
      <c r="N2875" s="129" t="s">
        <v>50</v>
      </c>
      <c r="O2875" s="129" t="s">
        <v>3406</v>
      </c>
      <c r="P2875" s="146"/>
      <c r="Q2875" s="170">
        <v>45616</v>
      </c>
      <c r="R2875" s="171" t="s">
        <v>150</v>
      </c>
      <c r="S2875" s="172"/>
    </row>
    <row r="2876" spans="1:19" ht="42.75">
      <c r="A2876" s="164" t="s">
        <v>780</v>
      </c>
      <c r="B2876" s="165" t="s">
        <v>1210</v>
      </c>
      <c r="C2876" s="165" t="s">
        <v>1151</v>
      </c>
      <c r="D2876" s="164">
        <v>1355</v>
      </c>
      <c r="E2876" s="164">
        <v>1518</v>
      </c>
      <c r="F2876" s="164" t="s">
        <v>3404</v>
      </c>
      <c r="G2876" s="164">
        <v>2024</v>
      </c>
      <c r="H2876" s="258">
        <v>45602</v>
      </c>
      <c r="I2876" s="258">
        <v>45611</v>
      </c>
      <c r="J2876" s="261" t="s">
        <v>7525</v>
      </c>
      <c r="K2876" s="260">
        <v>45616</v>
      </c>
      <c r="L2876" s="169" t="s">
        <v>3129</v>
      </c>
      <c r="M2876" s="129" t="s">
        <v>4</v>
      </c>
      <c r="N2876" s="129" t="s">
        <v>50</v>
      </c>
      <c r="O2876" s="129" t="s">
        <v>3406</v>
      </c>
      <c r="P2876" s="146"/>
      <c r="Q2876" s="170">
        <v>45616</v>
      </c>
      <c r="R2876" s="171" t="s">
        <v>150</v>
      </c>
      <c r="S2876" s="172"/>
    </row>
    <row r="2877" spans="1:19" ht="42.75">
      <c r="A2877" s="164" t="s">
        <v>780</v>
      </c>
      <c r="B2877" s="165" t="s">
        <v>1210</v>
      </c>
      <c r="C2877" s="165" t="s">
        <v>1170</v>
      </c>
      <c r="D2877" s="164">
        <v>2025</v>
      </c>
      <c r="E2877" s="164">
        <v>2331</v>
      </c>
      <c r="F2877" s="164" t="s">
        <v>3955</v>
      </c>
      <c r="G2877" s="164"/>
      <c r="H2877" s="258"/>
      <c r="I2877" s="168"/>
      <c r="J2877" s="168"/>
      <c r="K2877" s="181"/>
      <c r="L2877" s="169"/>
      <c r="M2877" s="129"/>
      <c r="N2877" s="129"/>
      <c r="O2877" s="129"/>
      <c r="P2877" s="146"/>
      <c r="Q2877" s="170"/>
      <c r="R2877" s="171"/>
      <c r="S2877" s="172"/>
    </row>
    <row r="2878" spans="1:19" ht="42.75">
      <c r="A2878" s="164" t="s">
        <v>780</v>
      </c>
      <c r="B2878" s="165" t="s">
        <v>1210</v>
      </c>
      <c r="C2878" s="165" t="s">
        <v>6359</v>
      </c>
      <c r="D2878" s="164">
        <v>1733</v>
      </c>
      <c r="E2878" s="164">
        <v>1827</v>
      </c>
      <c r="F2878" s="164" t="s">
        <v>3955</v>
      </c>
      <c r="G2878" s="164"/>
      <c r="H2878" s="258"/>
      <c r="I2878" s="191"/>
      <c r="J2878" s="191"/>
      <c r="K2878" s="181"/>
      <c r="L2878" s="169"/>
      <c r="M2878" s="129"/>
      <c r="N2878" s="129"/>
      <c r="O2878" s="129"/>
      <c r="P2878" s="146"/>
      <c r="Q2878" s="170"/>
      <c r="R2878" s="171"/>
      <c r="S2878" s="172"/>
    </row>
    <row r="2879" spans="1:19" ht="42.75">
      <c r="A2879" s="164" t="s">
        <v>780</v>
      </c>
      <c r="B2879" s="165" t="s">
        <v>1210</v>
      </c>
      <c r="C2879" s="165" t="s">
        <v>2042</v>
      </c>
      <c r="D2879" s="164">
        <v>11393</v>
      </c>
      <c r="E2879" s="164">
        <v>14122</v>
      </c>
      <c r="F2879" s="164" t="s">
        <v>3404</v>
      </c>
      <c r="G2879" s="164">
        <v>2024</v>
      </c>
      <c r="H2879" s="262">
        <v>45539</v>
      </c>
      <c r="I2879" s="260">
        <v>45544</v>
      </c>
      <c r="J2879" s="263" t="s">
        <v>7526</v>
      </c>
      <c r="K2879" s="264">
        <v>45552</v>
      </c>
      <c r="L2879" s="169" t="s">
        <v>3127</v>
      </c>
      <c r="M2879" s="129" t="s">
        <v>4</v>
      </c>
      <c r="N2879" s="129" t="s">
        <v>50</v>
      </c>
      <c r="O2879" s="129" t="s">
        <v>3406</v>
      </c>
      <c r="P2879" s="146"/>
      <c r="Q2879" s="170">
        <v>45552</v>
      </c>
      <c r="R2879" s="171" t="s">
        <v>150</v>
      </c>
      <c r="S2879" s="172"/>
    </row>
    <row r="2880" spans="1:19" ht="42.75">
      <c r="A2880" s="164" t="s">
        <v>780</v>
      </c>
      <c r="B2880" s="165" t="s">
        <v>1210</v>
      </c>
      <c r="C2880" s="165" t="s">
        <v>6361</v>
      </c>
      <c r="D2880" s="164">
        <v>1007</v>
      </c>
      <c r="E2880" s="164">
        <v>669</v>
      </c>
      <c r="F2880" s="164" t="s">
        <v>3955</v>
      </c>
      <c r="G2880" s="202"/>
      <c r="H2880" s="262"/>
      <c r="I2880" s="181"/>
      <c r="J2880" s="181"/>
      <c r="K2880" s="265"/>
      <c r="L2880" s="169"/>
      <c r="M2880" s="129"/>
      <c r="N2880" s="129"/>
      <c r="O2880" s="129"/>
      <c r="P2880" s="146"/>
      <c r="Q2880" s="170"/>
      <c r="R2880" s="171"/>
      <c r="S2880" s="172"/>
    </row>
    <row r="2881" spans="1:19" ht="42.75">
      <c r="A2881" s="164" t="s">
        <v>780</v>
      </c>
      <c r="B2881" s="165" t="s">
        <v>1210</v>
      </c>
      <c r="C2881" s="165" t="s">
        <v>4143</v>
      </c>
      <c r="D2881" s="164">
        <v>1142</v>
      </c>
      <c r="E2881" s="164">
        <v>1146</v>
      </c>
      <c r="F2881" s="164" t="s">
        <v>3404</v>
      </c>
      <c r="G2881" s="164">
        <v>2024</v>
      </c>
      <c r="H2881" s="262">
        <v>45602</v>
      </c>
      <c r="I2881" s="260">
        <v>45610</v>
      </c>
      <c r="J2881" s="266" t="s">
        <v>7527</v>
      </c>
      <c r="K2881" s="264">
        <v>45616</v>
      </c>
      <c r="L2881" s="169" t="s">
        <v>3129</v>
      </c>
      <c r="M2881" s="129" t="s">
        <v>4</v>
      </c>
      <c r="N2881" s="129" t="s">
        <v>50</v>
      </c>
      <c r="O2881" s="129" t="s">
        <v>3406</v>
      </c>
      <c r="P2881" s="146"/>
      <c r="Q2881" s="170">
        <v>45616</v>
      </c>
      <c r="R2881" s="171" t="s">
        <v>7058</v>
      </c>
      <c r="S2881" s="172"/>
    </row>
    <row r="2882" spans="1:19" ht="42.75">
      <c r="A2882" s="164" t="s">
        <v>780</v>
      </c>
      <c r="B2882" s="165" t="s">
        <v>1210</v>
      </c>
      <c r="C2882" s="165" t="s">
        <v>6324</v>
      </c>
      <c r="D2882" s="164">
        <v>372</v>
      </c>
      <c r="E2882" s="164">
        <v>376</v>
      </c>
      <c r="F2882" s="164" t="s">
        <v>3955</v>
      </c>
      <c r="G2882" s="202"/>
      <c r="H2882" s="262"/>
      <c r="I2882" s="181"/>
      <c r="J2882" s="181"/>
      <c r="K2882" s="265"/>
      <c r="L2882" s="169"/>
      <c r="M2882" s="129"/>
      <c r="N2882" s="129"/>
      <c r="O2882" s="129"/>
      <c r="P2882" s="146"/>
      <c r="Q2882" s="170"/>
      <c r="R2882" s="171"/>
      <c r="S2882" s="172"/>
    </row>
    <row r="2883" spans="1:19" ht="42.75">
      <c r="A2883" s="164" t="s">
        <v>780</v>
      </c>
      <c r="B2883" s="165" t="s">
        <v>1210</v>
      </c>
      <c r="C2883" s="165" t="s">
        <v>6328</v>
      </c>
      <c r="D2883" s="164">
        <v>1126</v>
      </c>
      <c r="E2883" s="164">
        <v>1239</v>
      </c>
      <c r="F2883" s="164" t="s">
        <v>3955</v>
      </c>
      <c r="G2883" s="202"/>
      <c r="H2883" s="262"/>
      <c r="I2883" s="181"/>
      <c r="J2883" s="181"/>
      <c r="K2883" s="265"/>
      <c r="L2883" s="169"/>
      <c r="M2883" s="129"/>
      <c r="N2883" s="129"/>
      <c r="O2883" s="129"/>
      <c r="P2883" s="146"/>
      <c r="Q2883" s="170"/>
      <c r="R2883" s="171"/>
      <c r="S2883" s="172"/>
    </row>
    <row r="2884" spans="1:19" ht="42.75">
      <c r="A2884" s="164" t="s">
        <v>780</v>
      </c>
      <c r="B2884" s="165" t="s">
        <v>1210</v>
      </c>
      <c r="C2884" s="165" t="s">
        <v>1490</v>
      </c>
      <c r="D2884" s="164">
        <v>650</v>
      </c>
      <c r="E2884" s="164">
        <v>741</v>
      </c>
      <c r="F2884" s="164" t="s">
        <v>3955</v>
      </c>
      <c r="G2884" s="164"/>
      <c r="H2884" s="258"/>
      <c r="I2884" s="168"/>
      <c r="J2884" s="168"/>
      <c r="K2884" s="181"/>
      <c r="L2884" s="169"/>
      <c r="M2884" s="129"/>
      <c r="N2884" s="129"/>
      <c r="O2884" s="129"/>
      <c r="P2884" s="146"/>
      <c r="Q2884" s="170"/>
      <c r="R2884" s="171"/>
      <c r="S2884" s="172"/>
    </row>
    <row r="2885" spans="1:19" ht="42.75">
      <c r="A2885" s="164" t="s">
        <v>780</v>
      </c>
      <c r="B2885" s="165" t="s">
        <v>1210</v>
      </c>
      <c r="C2885" s="165" t="s">
        <v>4753</v>
      </c>
      <c r="D2885" s="164">
        <v>507</v>
      </c>
      <c r="E2885" s="164">
        <v>814</v>
      </c>
      <c r="F2885" s="164" t="s">
        <v>3955</v>
      </c>
      <c r="G2885" s="164"/>
      <c r="H2885" s="258"/>
      <c r="I2885" s="168"/>
      <c r="J2885" s="168"/>
      <c r="K2885" s="181"/>
      <c r="L2885" s="169"/>
      <c r="M2885" s="129"/>
      <c r="N2885" s="129"/>
      <c r="O2885" s="129"/>
      <c r="P2885" s="146"/>
      <c r="Q2885" s="170"/>
      <c r="R2885" s="171"/>
      <c r="S2885" s="172"/>
    </row>
    <row r="2886" spans="1:19" ht="42.75">
      <c r="A2886" s="164" t="s">
        <v>780</v>
      </c>
      <c r="B2886" s="165" t="s">
        <v>1210</v>
      </c>
      <c r="C2886" s="165" t="s">
        <v>6339</v>
      </c>
      <c r="D2886" s="164">
        <v>276</v>
      </c>
      <c r="E2886" s="164">
        <v>864</v>
      </c>
      <c r="F2886" s="164" t="s">
        <v>3955</v>
      </c>
      <c r="G2886" s="164"/>
      <c r="H2886" s="258"/>
      <c r="I2886" s="168"/>
      <c r="J2886" s="168"/>
      <c r="K2886" s="181"/>
      <c r="L2886" s="169"/>
      <c r="M2886" s="129"/>
      <c r="N2886" s="129"/>
      <c r="O2886" s="129"/>
      <c r="P2886" s="146"/>
      <c r="Q2886" s="170"/>
      <c r="R2886" s="171"/>
      <c r="S2886" s="172"/>
    </row>
    <row r="2887" spans="1:19" ht="42.75">
      <c r="A2887" s="164" t="s">
        <v>780</v>
      </c>
      <c r="B2887" s="165" t="s">
        <v>1210</v>
      </c>
      <c r="C2887" s="165" t="s">
        <v>6344</v>
      </c>
      <c r="D2887" s="164">
        <v>776</v>
      </c>
      <c r="E2887" s="164">
        <v>495</v>
      </c>
      <c r="F2887" s="164" t="s">
        <v>3955</v>
      </c>
      <c r="G2887" s="164"/>
      <c r="H2887" s="258"/>
      <c r="I2887" s="168"/>
      <c r="J2887" s="168"/>
      <c r="K2887" s="181"/>
      <c r="L2887" s="169"/>
      <c r="M2887" s="129"/>
      <c r="N2887" s="129"/>
      <c r="O2887" s="129"/>
      <c r="P2887" s="146"/>
      <c r="Q2887" s="170"/>
      <c r="R2887" s="171"/>
      <c r="S2887" s="172"/>
    </row>
    <row r="2888" spans="1:19" ht="42.75">
      <c r="A2888" s="164" t="s">
        <v>780</v>
      </c>
      <c r="B2888" s="165" t="s">
        <v>1210</v>
      </c>
      <c r="C2888" s="165" t="s">
        <v>6346</v>
      </c>
      <c r="D2888" s="164">
        <v>479</v>
      </c>
      <c r="E2888" s="164">
        <v>420</v>
      </c>
      <c r="F2888" s="164" t="s">
        <v>3955</v>
      </c>
      <c r="G2888" s="164"/>
      <c r="H2888" s="258"/>
      <c r="I2888" s="168"/>
      <c r="J2888" s="168"/>
      <c r="K2888" s="181"/>
      <c r="L2888" s="169"/>
      <c r="M2888" s="129"/>
      <c r="N2888" s="129"/>
      <c r="O2888" s="129"/>
      <c r="P2888" s="146"/>
      <c r="Q2888" s="170"/>
      <c r="R2888" s="171"/>
      <c r="S2888" s="172"/>
    </row>
    <row r="2889" spans="1:19" ht="42.75">
      <c r="A2889" s="164" t="s">
        <v>780</v>
      </c>
      <c r="B2889" s="165" t="s">
        <v>1210</v>
      </c>
      <c r="C2889" s="165" t="s">
        <v>6349</v>
      </c>
      <c r="D2889" s="164">
        <v>409</v>
      </c>
      <c r="E2889" s="164">
        <v>455</v>
      </c>
      <c r="F2889" s="164" t="s">
        <v>3955</v>
      </c>
      <c r="G2889" s="164"/>
      <c r="H2889" s="258"/>
      <c r="I2889" s="168"/>
      <c r="J2889" s="168"/>
      <c r="K2889" s="181"/>
      <c r="L2889" s="169"/>
      <c r="M2889" s="129"/>
      <c r="N2889" s="129"/>
      <c r="O2889" s="129"/>
      <c r="P2889" s="146"/>
      <c r="Q2889" s="170"/>
      <c r="R2889" s="171"/>
      <c r="S2889" s="172"/>
    </row>
    <row r="2890" spans="1:19" ht="42.75">
      <c r="A2890" s="164" t="s">
        <v>780</v>
      </c>
      <c r="B2890" s="165" t="s">
        <v>1526</v>
      </c>
      <c r="C2890" s="165" t="s">
        <v>6363</v>
      </c>
      <c r="D2890" s="164">
        <v>890</v>
      </c>
      <c r="E2890" s="164">
        <v>937</v>
      </c>
      <c r="F2890" s="164" t="s">
        <v>3955</v>
      </c>
      <c r="G2890" s="164"/>
      <c r="H2890" s="168"/>
      <c r="I2890" s="168"/>
      <c r="J2890" s="168"/>
      <c r="K2890" s="181"/>
      <c r="L2890" s="169"/>
      <c r="M2890" s="129"/>
      <c r="N2890" s="129"/>
      <c r="O2890" s="129"/>
      <c r="P2890" s="146"/>
      <c r="Q2890" s="170"/>
      <c r="R2890" s="171"/>
      <c r="S2890" s="172"/>
    </row>
    <row r="2891" spans="1:19" ht="42.75">
      <c r="A2891" s="164" t="s">
        <v>780</v>
      </c>
      <c r="B2891" s="165" t="s">
        <v>1526</v>
      </c>
      <c r="C2891" s="165" t="s">
        <v>6365</v>
      </c>
      <c r="D2891" s="164">
        <v>658</v>
      </c>
      <c r="E2891" s="164">
        <v>651</v>
      </c>
      <c r="F2891" s="164" t="s">
        <v>3404</v>
      </c>
      <c r="G2891" s="164">
        <v>2024</v>
      </c>
      <c r="H2891" s="258">
        <v>45582</v>
      </c>
      <c r="I2891" s="258">
        <v>45583</v>
      </c>
      <c r="J2891" s="259" t="s">
        <v>7528</v>
      </c>
      <c r="K2891" s="260">
        <v>45584</v>
      </c>
      <c r="L2891" s="169" t="s">
        <v>3128</v>
      </c>
      <c r="M2891" s="129" t="s">
        <v>4</v>
      </c>
      <c r="N2891" s="129" t="s">
        <v>50</v>
      </c>
      <c r="O2891" s="129" t="s">
        <v>3406</v>
      </c>
      <c r="P2891" s="146"/>
      <c r="Q2891" s="170">
        <v>45586</v>
      </c>
      <c r="R2891" s="171" t="s">
        <v>7058</v>
      </c>
      <c r="S2891" s="172"/>
    </row>
    <row r="2892" spans="1:19" ht="42.75">
      <c r="A2892" s="164" t="s">
        <v>780</v>
      </c>
      <c r="B2892" s="165" t="s">
        <v>1526</v>
      </c>
      <c r="C2892" s="165" t="s">
        <v>6366</v>
      </c>
      <c r="D2892" s="164">
        <v>1049</v>
      </c>
      <c r="E2892" s="164">
        <v>1239</v>
      </c>
      <c r="F2892" s="164" t="s">
        <v>3955</v>
      </c>
      <c r="G2892" s="164"/>
      <c r="H2892" s="168"/>
      <c r="I2892" s="168"/>
      <c r="J2892" s="168"/>
      <c r="K2892" s="181"/>
      <c r="L2892" s="169"/>
      <c r="M2892" s="129"/>
      <c r="N2892" s="129"/>
      <c r="O2892" s="129"/>
      <c r="P2892" s="146"/>
      <c r="Q2892" s="170"/>
      <c r="R2892" s="171"/>
      <c r="S2892" s="172"/>
    </row>
    <row r="2893" spans="1:19" ht="42.75">
      <c r="A2893" s="164" t="s">
        <v>780</v>
      </c>
      <c r="B2893" s="165" t="s">
        <v>1526</v>
      </c>
      <c r="C2893" s="165" t="s">
        <v>6368</v>
      </c>
      <c r="D2893" s="164">
        <v>275</v>
      </c>
      <c r="E2893" s="164">
        <v>329</v>
      </c>
      <c r="F2893" s="164" t="s">
        <v>3404</v>
      </c>
      <c r="G2893" s="164">
        <v>2024</v>
      </c>
      <c r="H2893" s="258">
        <v>45484</v>
      </c>
      <c r="I2893" s="258">
        <v>45486</v>
      </c>
      <c r="J2893" s="261" t="s">
        <v>7529</v>
      </c>
      <c r="K2893" s="260">
        <v>45490</v>
      </c>
      <c r="L2893" s="169" t="s">
        <v>3125</v>
      </c>
      <c r="M2893" s="129" t="s">
        <v>4</v>
      </c>
      <c r="N2893" s="129" t="s">
        <v>50</v>
      </c>
      <c r="O2893" s="129" t="s">
        <v>3406</v>
      </c>
      <c r="P2893" s="146"/>
      <c r="Q2893" s="170">
        <v>45491</v>
      </c>
      <c r="R2893" s="171"/>
      <c r="S2893" s="172"/>
    </row>
    <row r="2894" spans="1:19" ht="42.75">
      <c r="A2894" s="164" t="s">
        <v>780</v>
      </c>
      <c r="B2894" s="165" t="s">
        <v>1526</v>
      </c>
      <c r="C2894" s="165" t="s">
        <v>6369</v>
      </c>
      <c r="D2894" s="164">
        <v>2005</v>
      </c>
      <c r="E2894" s="164">
        <v>2427</v>
      </c>
      <c r="F2894" s="164" t="s">
        <v>3955</v>
      </c>
      <c r="G2894" s="164"/>
      <c r="H2894" s="168"/>
      <c r="I2894" s="168"/>
      <c r="J2894" s="168"/>
      <c r="K2894" s="181"/>
      <c r="L2894" s="169"/>
      <c r="M2894" s="129"/>
      <c r="N2894" s="129"/>
      <c r="O2894" s="129"/>
      <c r="P2894" s="146"/>
      <c r="Q2894" s="170"/>
      <c r="R2894" s="171"/>
      <c r="S2894" s="172"/>
    </row>
    <row r="2895" spans="1:19" ht="42.75">
      <c r="A2895" s="164" t="s">
        <v>780</v>
      </c>
      <c r="B2895" s="165" t="s">
        <v>1526</v>
      </c>
      <c r="C2895" s="165" t="s">
        <v>1469</v>
      </c>
      <c r="D2895" s="164">
        <v>1582</v>
      </c>
      <c r="E2895" s="164">
        <v>1685</v>
      </c>
      <c r="F2895" s="164" t="s">
        <v>3955</v>
      </c>
      <c r="G2895" s="164"/>
      <c r="H2895" s="168"/>
      <c r="I2895" s="168"/>
      <c r="J2895" s="168"/>
      <c r="K2895" s="181"/>
      <c r="L2895" s="169"/>
      <c r="M2895" s="129"/>
      <c r="N2895" s="129"/>
      <c r="O2895" s="129"/>
      <c r="P2895" s="146"/>
      <c r="Q2895" s="170"/>
      <c r="R2895" s="171"/>
      <c r="S2895" s="172"/>
    </row>
    <row r="2896" spans="1:19" ht="42.75">
      <c r="A2896" s="164" t="s">
        <v>780</v>
      </c>
      <c r="B2896" s="165" t="s">
        <v>1526</v>
      </c>
      <c r="C2896" s="165" t="s">
        <v>6372</v>
      </c>
      <c r="D2896" s="164">
        <v>604</v>
      </c>
      <c r="E2896" s="164">
        <v>703</v>
      </c>
      <c r="F2896" s="164" t="s">
        <v>3955</v>
      </c>
      <c r="G2896" s="164"/>
      <c r="H2896" s="168"/>
      <c r="I2896" s="168"/>
      <c r="J2896" s="168"/>
      <c r="K2896" s="181"/>
      <c r="L2896" s="169"/>
      <c r="M2896" s="129"/>
      <c r="N2896" s="129"/>
      <c r="O2896" s="129"/>
      <c r="P2896" s="146"/>
      <c r="Q2896" s="170"/>
      <c r="R2896" s="171"/>
      <c r="S2896" s="172"/>
    </row>
    <row r="2897" spans="1:19" ht="42.75">
      <c r="A2897" s="164" t="s">
        <v>780</v>
      </c>
      <c r="B2897" s="165" t="s">
        <v>1526</v>
      </c>
      <c r="C2897" s="165" t="s">
        <v>6376</v>
      </c>
      <c r="D2897" s="164">
        <v>1219</v>
      </c>
      <c r="E2897" s="164">
        <v>1310</v>
      </c>
      <c r="F2897" s="164" t="s">
        <v>3955</v>
      </c>
      <c r="G2897" s="164"/>
      <c r="H2897" s="168"/>
      <c r="I2897" s="168"/>
      <c r="J2897" s="168"/>
      <c r="K2897" s="181"/>
      <c r="L2897" s="169"/>
      <c r="M2897" s="129"/>
      <c r="N2897" s="129"/>
      <c r="O2897" s="129"/>
      <c r="P2897" s="146"/>
      <c r="Q2897" s="170"/>
      <c r="R2897" s="171"/>
      <c r="S2897" s="172"/>
    </row>
    <row r="2898" spans="1:19" ht="42.75">
      <c r="A2898" s="164" t="s">
        <v>780</v>
      </c>
      <c r="B2898" s="165" t="s">
        <v>1526</v>
      </c>
      <c r="C2898" s="165" t="s">
        <v>6374</v>
      </c>
      <c r="D2898" s="164">
        <v>392</v>
      </c>
      <c r="E2898" s="164">
        <v>379</v>
      </c>
      <c r="F2898" s="164" t="s">
        <v>3955</v>
      </c>
      <c r="G2898" s="164"/>
      <c r="H2898" s="168"/>
      <c r="I2898" s="168"/>
      <c r="J2898" s="168"/>
      <c r="K2898" s="181"/>
      <c r="L2898" s="169"/>
      <c r="M2898" s="129"/>
      <c r="N2898" s="129"/>
      <c r="O2898" s="129"/>
      <c r="P2898" s="146"/>
      <c r="Q2898" s="170"/>
      <c r="R2898" s="171"/>
      <c r="S2898" s="172"/>
    </row>
    <row r="2899" spans="1:19" ht="42.75">
      <c r="A2899" s="164" t="s">
        <v>780</v>
      </c>
      <c r="B2899" s="165" t="s">
        <v>1526</v>
      </c>
      <c r="C2899" s="165" t="s">
        <v>6380</v>
      </c>
      <c r="D2899" s="164">
        <v>1224</v>
      </c>
      <c r="E2899" s="164">
        <v>1458</v>
      </c>
      <c r="F2899" s="164" t="s">
        <v>3955</v>
      </c>
      <c r="G2899" s="164"/>
      <c r="H2899" s="168"/>
      <c r="I2899" s="168"/>
      <c r="J2899" s="168"/>
      <c r="K2899" s="181"/>
      <c r="L2899" s="169"/>
      <c r="M2899" s="129"/>
      <c r="N2899" s="129"/>
      <c r="O2899" s="129"/>
      <c r="P2899" s="146"/>
      <c r="Q2899" s="170"/>
      <c r="R2899" s="171"/>
      <c r="S2899" s="172"/>
    </row>
    <row r="2900" spans="1:19" ht="42.75">
      <c r="A2900" s="164" t="s">
        <v>780</v>
      </c>
      <c r="B2900" s="165" t="s">
        <v>1526</v>
      </c>
      <c r="C2900" s="165" t="s">
        <v>5278</v>
      </c>
      <c r="D2900" s="164">
        <v>641</v>
      </c>
      <c r="E2900" s="164">
        <v>779</v>
      </c>
      <c r="F2900" s="164" t="s">
        <v>3955</v>
      </c>
      <c r="G2900" s="164"/>
      <c r="H2900" s="168"/>
      <c r="I2900" s="168"/>
      <c r="J2900" s="191"/>
      <c r="K2900" s="181"/>
      <c r="L2900" s="169"/>
      <c r="M2900" s="129"/>
      <c r="N2900" s="129"/>
      <c r="O2900" s="129"/>
      <c r="P2900" s="146"/>
      <c r="Q2900" s="170"/>
      <c r="R2900" s="171"/>
      <c r="S2900" s="172"/>
    </row>
    <row r="2901" spans="1:19" ht="42.75">
      <c r="A2901" s="164" t="s">
        <v>780</v>
      </c>
      <c r="B2901" s="165" t="s">
        <v>1526</v>
      </c>
      <c r="C2901" s="165" t="s">
        <v>1831</v>
      </c>
      <c r="D2901" s="164">
        <v>1052</v>
      </c>
      <c r="E2901" s="164">
        <v>1192</v>
      </c>
      <c r="F2901" s="164" t="s">
        <v>3404</v>
      </c>
      <c r="G2901" s="164">
        <v>2024</v>
      </c>
      <c r="H2901" s="258">
        <v>45540</v>
      </c>
      <c r="I2901" s="262">
        <v>45544</v>
      </c>
      <c r="J2901" s="263" t="s">
        <v>7530</v>
      </c>
      <c r="K2901" s="264">
        <v>45552</v>
      </c>
      <c r="L2901" s="169" t="s">
        <v>3127</v>
      </c>
      <c r="M2901" s="129" t="s">
        <v>4</v>
      </c>
      <c r="N2901" s="129" t="s">
        <v>50</v>
      </c>
      <c r="O2901" s="129" t="s">
        <v>3406</v>
      </c>
      <c r="P2901" s="146"/>
      <c r="Q2901" s="170">
        <v>45552</v>
      </c>
      <c r="R2901" s="171" t="s">
        <v>7058</v>
      </c>
      <c r="S2901" s="172"/>
    </row>
    <row r="2902" spans="1:19" ht="42.75">
      <c r="A2902" s="164" t="s">
        <v>780</v>
      </c>
      <c r="B2902" s="165" t="s">
        <v>1526</v>
      </c>
      <c r="C2902" s="165" t="s">
        <v>6383</v>
      </c>
      <c r="D2902" s="164">
        <v>1991</v>
      </c>
      <c r="E2902" s="164">
        <v>2098</v>
      </c>
      <c r="F2902" s="164" t="s">
        <v>3955</v>
      </c>
      <c r="G2902" s="164"/>
      <c r="H2902" s="168"/>
      <c r="I2902" s="267"/>
      <c r="J2902" s="181"/>
      <c r="K2902" s="265"/>
      <c r="L2902" s="169"/>
      <c r="M2902" s="129"/>
      <c r="N2902" s="129"/>
      <c r="O2902" s="129"/>
      <c r="P2902" s="146"/>
      <c r="Q2902" s="170"/>
      <c r="R2902" s="171"/>
      <c r="S2902" s="172"/>
    </row>
    <row r="2903" spans="1:19" ht="42.75">
      <c r="A2903" s="164" t="s">
        <v>780</v>
      </c>
      <c r="B2903" s="165" t="s">
        <v>1526</v>
      </c>
      <c r="C2903" s="165" t="s">
        <v>6385</v>
      </c>
      <c r="D2903" s="164">
        <v>1533</v>
      </c>
      <c r="E2903" s="164">
        <v>1848</v>
      </c>
      <c r="F2903" s="164" t="s">
        <v>3955</v>
      </c>
      <c r="G2903" s="164"/>
      <c r="H2903" s="168"/>
      <c r="I2903" s="168"/>
      <c r="J2903" s="168"/>
      <c r="K2903" s="181"/>
      <c r="L2903" s="169"/>
      <c r="M2903" s="129"/>
      <c r="N2903" s="129"/>
      <c r="O2903" s="129"/>
      <c r="P2903" s="146"/>
      <c r="Q2903" s="170"/>
      <c r="R2903" s="171"/>
      <c r="S2903" s="172"/>
    </row>
    <row r="2904" spans="1:19" ht="42.75">
      <c r="A2904" s="164" t="s">
        <v>780</v>
      </c>
      <c r="B2904" s="165" t="s">
        <v>1526</v>
      </c>
      <c r="C2904" s="165" t="s">
        <v>914</v>
      </c>
      <c r="D2904" s="164">
        <v>742</v>
      </c>
      <c r="E2904" s="164">
        <v>788</v>
      </c>
      <c r="F2904" s="164" t="s">
        <v>3404</v>
      </c>
      <c r="G2904" s="164">
        <v>2024</v>
      </c>
      <c r="H2904" s="258">
        <v>45484</v>
      </c>
      <c r="I2904" s="258">
        <v>45486</v>
      </c>
      <c r="J2904" s="261" t="s">
        <v>7531</v>
      </c>
      <c r="K2904" s="260">
        <v>45490</v>
      </c>
      <c r="L2904" s="169" t="s">
        <v>3125</v>
      </c>
      <c r="M2904" s="129" t="s">
        <v>4</v>
      </c>
      <c r="N2904" s="129" t="s">
        <v>50</v>
      </c>
      <c r="O2904" s="129" t="s">
        <v>3406</v>
      </c>
      <c r="P2904" s="146"/>
      <c r="Q2904" s="170">
        <v>45491</v>
      </c>
      <c r="R2904" s="171"/>
      <c r="S2904" s="172"/>
    </row>
    <row r="2905" spans="1:19" ht="42.75">
      <c r="A2905" s="164" t="s">
        <v>780</v>
      </c>
      <c r="B2905" s="165" t="s">
        <v>1526</v>
      </c>
      <c r="C2905" s="165" t="s">
        <v>1180</v>
      </c>
      <c r="D2905" s="164">
        <v>2180</v>
      </c>
      <c r="E2905" s="164">
        <v>2321</v>
      </c>
      <c r="F2905" s="164" t="s">
        <v>3955</v>
      </c>
      <c r="G2905" s="164"/>
      <c r="H2905" s="168"/>
      <c r="I2905" s="168"/>
      <c r="J2905" s="168"/>
      <c r="K2905" s="181"/>
      <c r="L2905" s="169"/>
      <c r="M2905" s="129"/>
      <c r="N2905" s="129"/>
      <c r="O2905" s="129"/>
      <c r="P2905" s="146"/>
      <c r="Q2905" s="170"/>
      <c r="R2905" s="171"/>
      <c r="S2905" s="172"/>
    </row>
    <row r="2906" spans="1:19" ht="42.75">
      <c r="A2906" s="164" t="s">
        <v>780</v>
      </c>
      <c r="B2906" s="165" t="s">
        <v>1526</v>
      </c>
      <c r="C2906" s="165" t="s">
        <v>3913</v>
      </c>
      <c r="D2906" s="164">
        <v>1655</v>
      </c>
      <c r="E2906" s="164">
        <v>1671</v>
      </c>
      <c r="F2906" s="164" t="s">
        <v>3955</v>
      </c>
      <c r="G2906" s="164"/>
      <c r="H2906" s="168"/>
      <c r="I2906" s="168"/>
      <c r="J2906" s="168"/>
      <c r="K2906" s="181"/>
      <c r="L2906" s="169"/>
      <c r="M2906" s="129"/>
      <c r="N2906" s="129"/>
      <c r="O2906" s="129"/>
      <c r="P2906" s="146"/>
      <c r="Q2906" s="170"/>
      <c r="R2906" s="171"/>
      <c r="S2906" s="172"/>
    </row>
    <row r="2907" spans="1:19" ht="42.75">
      <c r="A2907" s="164" t="s">
        <v>780</v>
      </c>
      <c r="B2907" s="165" t="s">
        <v>1526</v>
      </c>
      <c r="C2907" s="165" t="s">
        <v>1155</v>
      </c>
      <c r="D2907" s="164">
        <v>932</v>
      </c>
      <c r="E2907" s="164">
        <v>1097</v>
      </c>
      <c r="F2907" s="164" t="s">
        <v>3955</v>
      </c>
      <c r="G2907" s="164"/>
      <c r="H2907" s="258"/>
      <c r="I2907" s="258"/>
      <c r="J2907" s="168"/>
      <c r="K2907" s="181"/>
      <c r="L2907" s="169"/>
      <c r="M2907" s="129"/>
      <c r="N2907" s="129"/>
      <c r="O2907" s="129"/>
      <c r="P2907" s="146"/>
      <c r="Q2907" s="170"/>
      <c r="R2907" s="171"/>
      <c r="S2907" s="172"/>
    </row>
    <row r="2908" spans="1:19" ht="42.75">
      <c r="A2908" s="164" t="s">
        <v>780</v>
      </c>
      <c r="B2908" s="165" t="s">
        <v>1526</v>
      </c>
      <c r="C2908" s="165" t="s">
        <v>4242</v>
      </c>
      <c r="D2908" s="164">
        <v>1944</v>
      </c>
      <c r="E2908" s="164">
        <v>2130</v>
      </c>
      <c r="F2908" s="164" t="s">
        <v>3404</v>
      </c>
      <c r="G2908" s="164">
        <v>2024</v>
      </c>
      <c r="H2908" s="258">
        <v>45484</v>
      </c>
      <c r="I2908" s="258">
        <v>45486</v>
      </c>
      <c r="J2908" s="268" t="s">
        <v>7532</v>
      </c>
      <c r="K2908" s="260">
        <v>45490</v>
      </c>
      <c r="L2908" s="169" t="s">
        <v>3125</v>
      </c>
      <c r="M2908" s="129" t="s">
        <v>4</v>
      </c>
      <c r="N2908" s="129" t="s">
        <v>50</v>
      </c>
      <c r="O2908" s="129" t="s">
        <v>3406</v>
      </c>
      <c r="P2908" s="146"/>
      <c r="Q2908" s="170">
        <v>45491</v>
      </c>
      <c r="R2908" s="171"/>
      <c r="S2908" s="172"/>
    </row>
    <row r="2909" spans="1:19" ht="42.75">
      <c r="A2909" s="164" t="s">
        <v>780</v>
      </c>
      <c r="B2909" s="165" t="s">
        <v>1526</v>
      </c>
      <c r="C2909" s="165" t="s">
        <v>3727</v>
      </c>
      <c r="D2909" s="164">
        <v>996</v>
      </c>
      <c r="E2909" s="164">
        <v>1185</v>
      </c>
      <c r="F2909" s="164" t="s">
        <v>3404</v>
      </c>
      <c r="G2909" s="164">
        <v>2024</v>
      </c>
      <c r="H2909" s="258">
        <v>45582</v>
      </c>
      <c r="I2909" s="258">
        <v>45583</v>
      </c>
      <c r="J2909" s="269" t="s">
        <v>7533</v>
      </c>
      <c r="K2909" s="260">
        <v>45593</v>
      </c>
      <c r="L2909" s="169" t="s">
        <v>3128</v>
      </c>
      <c r="M2909" s="129" t="s">
        <v>4</v>
      </c>
      <c r="N2909" s="129" t="s">
        <v>50</v>
      </c>
      <c r="O2909" s="129" t="s">
        <v>3406</v>
      </c>
      <c r="P2909" s="146"/>
      <c r="Q2909" s="170">
        <v>45593</v>
      </c>
      <c r="R2909" s="171" t="s">
        <v>150</v>
      </c>
      <c r="S2909" s="172"/>
    </row>
    <row r="2910" spans="1:19" ht="42.75">
      <c r="A2910" s="164" t="s">
        <v>780</v>
      </c>
      <c r="B2910" s="165" t="s">
        <v>1526</v>
      </c>
      <c r="C2910" s="165" t="s">
        <v>6390</v>
      </c>
      <c r="D2910" s="164">
        <v>1100</v>
      </c>
      <c r="E2910" s="164">
        <v>1279</v>
      </c>
      <c r="F2910" s="164" t="s">
        <v>3955</v>
      </c>
      <c r="G2910" s="164"/>
      <c r="H2910" s="168"/>
      <c r="I2910" s="168"/>
      <c r="J2910" s="168"/>
      <c r="K2910" s="181"/>
      <c r="L2910" s="169"/>
      <c r="M2910" s="129"/>
      <c r="N2910" s="129"/>
      <c r="O2910" s="129"/>
      <c r="P2910" s="146"/>
      <c r="Q2910" s="170"/>
      <c r="R2910" s="171"/>
      <c r="S2910" s="172"/>
    </row>
    <row r="2911" spans="1:19" ht="42.75">
      <c r="A2911" s="164" t="s">
        <v>780</v>
      </c>
      <c r="B2911" s="165" t="s">
        <v>1526</v>
      </c>
      <c r="C2911" s="165" t="s">
        <v>6378</v>
      </c>
      <c r="D2911" s="164">
        <v>499</v>
      </c>
      <c r="E2911" s="164">
        <v>612</v>
      </c>
      <c r="F2911" s="164" t="s">
        <v>3955</v>
      </c>
      <c r="G2911" s="164"/>
      <c r="H2911" s="168"/>
      <c r="I2911" s="168"/>
      <c r="J2911" s="168"/>
      <c r="K2911" s="181"/>
      <c r="L2911" s="169"/>
      <c r="M2911" s="129"/>
      <c r="N2911" s="129"/>
      <c r="O2911" s="129"/>
      <c r="P2911" s="146"/>
      <c r="Q2911" s="170"/>
      <c r="R2911" s="171"/>
      <c r="S2911" s="172"/>
    </row>
    <row r="2912" spans="1:19" ht="42.75">
      <c r="A2912" s="164" t="s">
        <v>780</v>
      </c>
      <c r="B2912" s="165" t="s">
        <v>1531</v>
      </c>
      <c r="C2912" s="165" t="s">
        <v>6392</v>
      </c>
      <c r="D2912" s="164">
        <v>1769</v>
      </c>
      <c r="E2912" s="164">
        <v>1987</v>
      </c>
      <c r="F2912" s="164" t="s">
        <v>3955</v>
      </c>
      <c r="G2912" s="164"/>
      <c r="H2912" s="270"/>
      <c r="I2912" s="168"/>
      <c r="J2912" s="168"/>
      <c r="K2912" s="181"/>
      <c r="L2912" s="169"/>
      <c r="M2912" s="129"/>
      <c r="N2912" s="129"/>
      <c r="O2912" s="129"/>
      <c r="P2912" s="146"/>
      <c r="Q2912" s="170"/>
      <c r="R2912" s="171"/>
      <c r="S2912" s="172"/>
    </row>
    <row r="2913" spans="1:19" ht="42.75">
      <c r="A2913" s="164" t="s">
        <v>780</v>
      </c>
      <c r="B2913" s="165" t="s">
        <v>1531</v>
      </c>
      <c r="C2913" s="165" t="s">
        <v>6394</v>
      </c>
      <c r="D2913" s="164">
        <v>1951</v>
      </c>
      <c r="E2913" s="164">
        <v>2302</v>
      </c>
      <c r="F2913" s="164" t="s">
        <v>3404</v>
      </c>
      <c r="G2913" s="164">
        <v>2024</v>
      </c>
      <c r="H2913" s="258">
        <v>45484</v>
      </c>
      <c r="I2913" s="258">
        <v>45484</v>
      </c>
      <c r="J2913" s="261" t="s">
        <v>7534</v>
      </c>
      <c r="K2913" s="260">
        <v>45491</v>
      </c>
      <c r="L2913" s="169" t="s">
        <v>3125</v>
      </c>
      <c r="M2913" s="129" t="s">
        <v>4</v>
      </c>
      <c r="N2913" s="129" t="s">
        <v>50</v>
      </c>
      <c r="O2913" s="129" t="s">
        <v>3406</v>
      </c>
      <c r="P2913" s="146"/>
      <c r="Q2913" s="170">
        <v>45492</v>
      </c>
      <c r="R2913" s="171"/>
      <c r="S2913" s="172"/>
    </row>
    <row r="2914" spans="1:19" ht="42.75">
      <c r="A2914" s="164" t="s">
        <v>780</v>
      </c>
      <c r="B2914" s="165" t="s">
        <v>1531</v>
      </c>
      <c r="C2914" s="165" t="s">
        <v>6395</v>
      </c>
      <c r="D2914" s="164">
        <v>1344</v>
      </c>
      <c r="E2914" s="164">
        <v>1286</v>
      </c>
      <c r="F2914" s="164" t="s">
        <v>3404</v>
      </c>
      <c r="G2914" s="164">
        <v>2024</v>
      </c>
      <c r="H2914" s="258">
        <v>45484</v>
      </c>
      <c r="I2914" s="258">
        <v>45484</v>
      </c>
      <c r="J2914" s="261" t="s">
        <v>7535</v>
      </c>
      <c r="K2914" s="260">
        <v>45491</v>
      </c>
      <c r="L2914" s="169" t="s">
        <v>3125</v>
      </c>
      <c r="M2914" s="129" t="s">
        <v>4</v>
      </c>
      <c r="N2914" s="129" t="s">
        <v>50</v>
      </c>
      <c r="O2914" s="129" t="s">
        <v>3406</v>
      </c>
      <c r="P2914" s="146"/>
      <c r="Q2914" s="130">
        <v>45491</v>
      </c>
      <c r="R2914" s="171"/>
      <c r="S2914" s="172"/>
    </row>
    <row r="2915" spans="1:19" ht="42.75">
      <c r="A2915" s="164" t="s">
        <v>780</v>
      </c>
      <c r="B2915" s="165" t="s">
        <v>1531</v>
      </c>
      <c r="C2915" s="165" t="s">
        <v>6396</v>
      </c>
      <c r="D2915" s="164">
        <v>927</v>
      </c>
      <c r="E2915" s="164">
        <v>963</v>
      </c>
      <c r="F2915" s="164" t="s">
        <v>3955</v>
      </c>
      <c r="G2915" s="164"/>
      <c r="H2915" s="270"/>
      <c r="I2915" s="168"/>
      <c r="J2915" s="168"/>
      <c r="K2915" s="181"/>
      <c r="L2915" s="169"/>
      <c r="M2915" s="129"/>
      <c r="N2915" s="129"/>
      <c r="O2915" s="129"/>
      <c r="P2915" s="146"/>
      <c r="Q2915" s="170"/>
      <c r="R2915" s="171"/>
      <c r="S2915" s="172"/>
    </row>
    <row r="2916" spans="1:19" ht="42.75">
      <c r="A2916" s="164" t="s">
        <v>780</v>
      </c>
      <c r="B2916" s="165" t="s">
        <v>1531</v>
      </c>
      <c r="C2916" s="165" t="s">
        <v>6398</v>
      </c>
      <c r="D2916" s="164">
        <v>1894</v>
      </c>
      <c r="E2916" s="164">
        <v>2133</v>
      </c>
      <c r="F2916" s="164" t="s">
        <v>3404</v>
      </c>
      <c r="G2916" s="164">
        <v>2024</v>
      </c>
      <c r="H2916" s="258">
        <v>45484</v>
      </c>
      <c r="I2916" s="258">
        <v>45484</v>
      </c>
      <c r="J2916" s="261" t="s">
        <v>7536</v>
      </c>
      <c r="K2916" s="260">
        <v>45491</v>
      </c>
      <c r="L2916" s="169" t="s">
        <v>3125</v>
      </c>
      <c r="M2916" s="129" t="s">
        <v>4</v>
      </c>
      <c r="N2916" s="129" t="s">
        <v>50</v>
      </c>
      <c r="O2916" s="129" t="s">
        <v>3406</v>
      </c>
      <c r="P2916" s="146"/>
      <c r="Q2916" s="130">
        <v>45491</v>
      </c>
      <c r="R2916" s="171"/>
      <c r="S2916" s="172"/>
    </row>
    <row r="2917" spans="1:19" ht="42.75">
      <c r="A2917" s="164" t="s">
        <v>780</v>
      </c>
      <c r="B2917" s="165" t="s">
        <v>1531</v>
      </c>
      <c r="C2917" s="165" t="s">
        <v>6399</v>
      </c>
      <c r="D2917" s="164">
        <v>1360</v>
      </c>
      <c r="E2917" s="164">
        <v>1416</v>
      </c>
      <c r="F2917" s="164" t="s">
        <v>3955</v>
      </c>
      <c r="G2917" s="164"/>
      <c r="H2917" s="270"/>
      <c r="I2917" s="168"/>
      <c r="J2917" s="191"/>
      <c r="K2917" s="181"/>
      <c r="L2917" s="169"/>
      <c r="M2917" s="129"/>
      <c r="N2917" s="129"/>
      <c r="O2917" s="129"/>
      <c r="P2917" s="146"/>
      <c r="Q2917" s="170"/>
      <c r="R2917" s="171"/>
      <c r="S2917" s="172"/>
    </row>
    <row r="2918" spans="1:19" ht="42.75">
      <c r="A2918" s="164" t="s">
        <v>780</v>
      </c>
      <c r="B2918" s="165" t="s">
        <v>1531</v>
      </c>
      <c r="C2918" s="165" t="s">
        <v>6401</v>
      </c>
      <c r="D2918" s="164">
        <v>2627</v>
      </c>
      <c r="E2918" s="164">
        <v>3175</v>
      </c>
      <c r="F2918" s="164" t="s">
        <v>3404</v>
      </c>
      <c r="G2918" s="164">
        <v>2024</v>
      </c>
      <c r="H2918" s="270">
        <v>45610</v>
      </c>
      <c r="I2918" s="262">
        <v>45614</v>
      </c>
      <c r="J2918" s="271" t="s">
        <v>7537</v>
      </c>
      <c r="K2918" s="264">
        <v>45621</v>
      </c>
      <c r="L2918" s="169" t="s">
        <v>3129</v>
      </c>
      <c r="M2918" s="129" t="s">
        <v>4</v>
      </c>
      <c r="N2918" s="129" t="s">
        <v>50</v>
      </c>
      <c r="O2918" s="129" t="s">
        <v>3406</v>
      </c>
      <c r="P2918" s="146"/>
      <c r="Q2918" s="170">
        <v>45622</v>
      </c>
      <c r="R2918" s="171" t="s">
        <v>150</v>
      </c>
      <c r="S2918" s="172"/>
    </row>
    <row r="2919" spans="1:19" ht="42.75">
      <c r="A2919" s="164" t="s">
        <v>780</v>
      </c>
      <c r="B2919" s="165" t="s">
        <v>1531</v>
      </c>
      <c r="C2919" s="165" t="s">
        <v>6403</v>
      </c>
      <c r="D2919" s="164">
        <v>1148</v>
      </c>
      <c r="E2919" s="164">
        <v>1228</v>
      </c>
      <c r="F2919" s="164" t="s">
        <v>3404</v>
      </c>
      <c r="G2919" s="164">
        <v>2024</v>
      </c>
      <c r="H2919" s="270">
        <v>45610</v>
      </c>
      <c r="I2919" s="262">
        <v>45614</v>
      </c>
      <c r="J2919" s="266" t="s">
        <v>7538</v>
      </c>
      <c r="K2919" s="264">
        <v>45621</v>
      </c>
      <c r="L2919" s="169" t="s">
        <v>3129</v>
      </c>
      <c r="M2919" s="129" t="s">
        <v>4</v>
      </c>
      <c r="N2919" s="129" t="s">
        <v>50</v>
      </c>
      <c r="O2919" s="129" t="s">
        <v>3406</v>
      </c>
      <c r="P2919" s="146"/>
      <c r="Q2919" s="170">
        <v>45622</v>
      </c>
      <c r="R2919" s="171" t="s">
        <v>150</v>
      </c>
      <c r="S2919" s="172"/>
    </row>
    <row r="2920" spans="1:19" ht="42.75">
      <c r="A2920" s="164" t="s">
        <v>780</v>
      </c>
      <c r="B2920" s="165" t="s">
        <v>1531</v>
      </c>
      <c r="C2920" s="165" t="s">
        <v>6404</v>
      </c>
      <c r="D2920" s="164">
        <v>1316</v>
      </c>
      <c r="E2920" s="164">
        <v>1431</v>
      </c>
      <c r="F2920" s="164" t="s">
        <v>3404</v>
      </c>
      <c r="G2920" s="164">
        <v>2024</v>
      </c>
      <c r="H2920" s="258">
        <v>45484</v>
      </c>
      <c r="I2920" s="262">
        <v>45484</v>
      </c>
      <c r="J2920" s="266" t="s">
        <v>7539</v>
      </c>
      <c r="K2920" s="264">
        <v>45491</v>
      </c>
      <c r="L2920" s="169" t="s">
        <v>3125</v>
      </c>
      <c r="M2920" s="129" t="s">
        <v>4</v>
      </c>
      <c r="N2920" s="129" t="s">
        <v>50</v>
      </c>
      <c r="O2920" s="129" t="s">
        <v>3406</v>
      </c>
      <c r="P2920" s="146"/>
      <c r="Q2920" s="130">
        <v>45491</v>
      </c>
      <c r="R2920" s="171"/>
      <c r="S2920" s="172"/>
    </row>
    <row r="2921" spans="1:19" ht="42.75">
      <c r="A2921" s="164" t="s">
        <v>780</v>
      </c>
      <c r="B2921" s="165" t="s">
        <v>1531</v>
      </c>
      <c r="C2921" s="165" t="s">
        <v>6405</v>
      </c>
      <c r="D2921" s="164">
        <v>1067</v>
      </c>
      <c r="E2921" s="164">
        <v>1216</v>
      </c>
      <c r="F2921" s="164" t="s">
        <v>3955</v>
      </c>
      <c r="G2921" s="164"/>
      <c r="H2921" s="270"/>
      <c r="I2921" s="191"/>
      <c r="J2921" s="191"/>
      <c r="K2921" s="272"/>
      <c r="L2921" s="169"/>
      <c r="M2921" s="129"/>
      <c r="N2921" s="129"/>
      <c r="O2921" s="129"/>
      <c r="P2921" s="146"/>
      <c r="Q2921" s="170"/>
      <c r="R2921" s="171"/>
      <c r="S2921" s="172"/>
    </row>
    <row r="2922" spans="1:19" ht="42.75">
      <c r="A2922" s="164" t="s">
        <v>780</v>
      </c>
      <c r="B2922" s="165" t="s">
        <v>1531</v>
      </c>
      <c r="C2922" s="165" t="s">
        <v>1532</v>
      </c>
      <c r="D2922" s="164">
        <v>1183</v>
      </c>
      <c r="E2922" s="164">
        <v>1441</v>
      </c>
      <c r="F2922" s="164" t="s">
        <v>3955</v>
      </c>
      <c r="G2922" s="202"/>
      <c r="H2922" s="273"/>
      <c r="I2922" s="181"/>
      <c r="J2922" s="181"/>
      <c r="K2922" s="181"/>
      <c r="L2922" s="237"/>
      <c r="M2922" s="129"/>
      <c r="N2922" s="129"/>
      <c r="O2922" s="129"/>
      <c r="P2922" s="146"/>
      <c r="Q2922" s="170"/>
      <c r="R2922" s="171"/>
      <c r="S2922" s="172"/>
    </row>
    <row r="2923" spans="1:19" ht="42.75">
      <c r="A2923" s="164" t="s">
        <v>780</v>
      </c>
      <c r="B2923" s="165" t="s">
        <v>1531</v>
      </c>
      <c r="C2923" s="165" t="s">
        <v>1056</v>
      </c>
      <c r="D2923" s="164">
        <v>1093</v>
      </c>
      <c r="E2923" s="164">
        <v>1240</v>
      </c>
      <c r="F2923" s="164" t="s">
        <v>3955</v>
      </c>
      <c r="G2923" s="202"/>
      <c r="H2923" s="273"/>
      <c r="I2923" s="181"/>
      <c r="J2923" s="181"/>
      <c r="K2923" s="181"/>
      <c r="L2923" s="237"/>
      <c r="M2923" s="129"/>
      <c r="N2923" s="129"/>
      <c r="O2923" s="129"/>
      <c r="P2923" s="146"/>
      <c r="Q2923" s="170"/>
      <c r="R2923" s="171"/>
      <c r="S2923" s="172"/>
    </row>
    <row r="2924" spans="1:19" ht="42.75">
      <c r="A2924" s="164" t="s">
        <v>780</v>
      </c>
      <c r="B2924" s="165" t="s">
        <v>1531</v>
      </c>
      <c r="C2924" s="165" t="s">
        <v>6409</v>
      </c>
      <c r="D2924" s="164">
        <v>3563</v>
      </c>
      <c r="E2924" s="164">
        <v>3906</v>
      </c>
      <c r="F2924" s="164" t="s">
        <v>3404</v>
      </c>
      <c r="G2924" s="164">
        <v>2024</v>
      </c>
      <c r="H2924" s="273">
        <v>45610</v>
      </c>
      <c r="I2924" s="260">
        <v>45614</v>
      </c>
      <c r="J2924" s="274" t="s">
        <v>7540</v>
      </c>
      <c r="K2924" s="260">
        <v>45621</v>
      </c>
      <c r="L2924" s="237" t="s">
        <v>3129</v>
      </c>
      <c r="M2924" s="129" t="s">
        <v>4</v>
      </c>
      <c r="N2924" s="129" t="s">
        <v>50</v>
      </c>
      <c r="O2924" s="129" t="s">
        <v>3406</v>
      </c>
      <c r="P2924" s="146"/>
      <c r="Q2924" s="170">
        <v>45621</v>
      </c>
      <c r="R2924" s="171" t="s">
        <v>150</v>
      </c>
      <c r="S2924" s="172"/>
    </row>
    <row r="2925" spans="1:19" ht="42.75">
      <c r="A2925" s="164" t="s">
        <v>780</v>
      </c>
      <c r="B2925" s="165" t="s">
        <v>1531</v>
      </c>
      <c r="C2925" s="165" t="s">
        <v>6410</v>
      </c>
      <c r="D2925" s="164">
        <v>1088</v>
      </c>
      <c r="E2925" s="164">
        <v>1164</v>
      </c>
      <c r="F2925" s="164" t="s">
        <v>3955</v>
      </c>
      <c r="G2925" s="202"/>
      <c r="H2925" s="273"/>
      <c r="I2925" s="181"/>
      <c r="J2925" s="181"/>
      <c r="K2925" s="181"/>
      <c r="L2925" s="237"/>
      <c r="M2925" s="129"/>
      <c r="N2925" s="129"/>
      <c r="O2925" s="129"/>
      <c r="P2925" s="146"/>
      <c r="Q2925" s="170"/>
      <c r="R2925" s="171"/>
      <c r="S2925" s="172"/>
    </row>
    <row r="2926" spans="1:19" ht="42.75">
      <c r="A2926" s="164" t="s">
        <v>780</v>
      </c>
      <c r="B2926" s="165" t="s">
        <v>1531</v>
      </c>
      <c r="C2926" s="165" t="s">
        <v>6412</v>
      </c>
      <c r="D2926" s="164">
        <v>3471</v>
      </c>
      <c r="E2926" s="164">
        <v>3851</v>
      </c>
      <c r="F2926" s="164" t="s">
        <v>3404</v>
      </c>
      <c r="G2926" s="164">
        <v>2024</v>
      </c>
      <c r="H2926" s="273">
        <v>45610</v>
      </c>
      <c r="I2926" s="260">
        <v>45614</v>
      </c>
      <c r="J2926" s="266" t="s">
        <v>7541</v>
      </c>
      <c r="K2926" s="260">
        <v>45621</v>
      </c>
      <c r="L2926" s="237" t="s">
        <v>3129</v>
      </c>
      <c r="M2926" s="129" t="s">
        <v>4</v>
      </c>
      <c r="N2926" s="129" t="s">
        <v>50</v>
      </c>
      <c r="O2926" s="129" t="s">
        <v>3406</v>
      </c>
      <c r="P2926" s="146"/>
      <c r="Q2926" s="170">
        <v>45621</v>
      </c>
      <c r="R2926" s="171" t="s">
        <v>150</v>
      </c>
      <c r="S2926" s="172"/>
    </row>
    <row r="2927" spans="1:19" ht="42.75">
      <c r="A2927" s="164" t="s">
        <v>780</v>
      </c>
      <c r="B2927" s="165" t="s">
        <v>1531</v>
      </c>
      <c r="C2927" s="165" t="s">
        <v>6413</v>
      </c>
      <c r="D2927" s="164">
        <v>1373</v>
      </c>
      <c r="E2927" s="164">
        <v>1524</v>
      </c>
      <c r="F2927" s="164" t="s">
        <v>3404</v>
      </c>
      <c r="G2927" s="164">
        <v>2024</v>
      </c>
      <c r="H2927" s="262">
        <v>45484</v>
      </c>
      <c r="I2927" s="260">
        <v>45484</v>
      </c>
      <c r="J2927" s="266" t="s">
        <v>7542</v>
      </c>
      <c r="K2927" s="260">
        <v>45491</v>
      </c>
      <c r="L2927" s="237" t="s">
        <v>3125</v>
      </c>
      <c r="M2927" s="129" t="s">
        <v>4</v>
      </c>
      <c r="N2927" s="129" t="s">
        <v>57</v>
      </c>
      <c r="O2927" s="129" t="s">
        <v>3406</v>
      </c>
      <c r="P2927" s="146"/>
      <c r="Q2927" s="130">
        <v>45491</v>
      </c>
      <c r="R2927" s="171"/>
      <c r="S2927" s="172"/>
    </row>
    <row r="2928" spans="1:19" ht="42.75">
      <c r="A2928" s="164" t="s">
        <v>780</v>
      </c>
      <c r="B2928" s="165" t="s">
        <v>1215</v>
      </c>
      <c r="C2928" s="165" t="s">
        <v>6414</v>
      </c>
      <c r="D2928" s="164">
        <v>11064</v>
      </c>
      <c r="E2928" s="164">
        <v>10127</v>
      </c>
      <c r="F2928" s="164" t="s">
        <v>3955</v>
      </c>
      <c r="G2928" s="202"/>
      <c r="H2928" s="267"/>
      <c r="I2928" s="181"/>
      <c r="J2928" s="181"/>
      <c r="K2928" s="181"/>
      <c r="L2928" s="237"/>
      <c r="M2928" s="129"/>
      <c r="N2928" s="129"/>
      <c r="O2928" s="129"/>
      <c r="P2928" s="146"/>
      <c r="Q2928" s="170"/>
      <c r="R2928" s="171"/>
      <c r="S2928" s="172"/>
    </row>
    <row r="2929" spans="1:19" ht="42.75">
      <c r="A2929" s="164" t="s">
        <v>780</v>
      </c>
      <c r="B2929" s="165" t="s">
        <v>1215</v>
      </c>
      <c r="C2929" s="165" t="s">
        <v>3508</v>
      </c>
      <c r="D2929" s="164">
        <v>850</v>
      </c>
      <c r="E2929" s="164">
        <v>851</v>
      </c>
      <c r="F2929" s="164" t="s">
        <v>3955</v>
      </c>
      <c r="G2929" s="202"/>
      <c r="H2929" s="267"/>
      <c r="I2929" s="272"/>
      <c r="J2929" s="272"/>
      <c r="K2929" s="272"/>
      <c r="L2929" s="237"/>
      <c r="M2929" s="129"/>
      <c r="N2929" s="129"/>
      <c r="O2929" s="129"/>
      <c r="P2929" s="146"/>
      <c r="Q2929" s="170"/>
      <c r="R2929" s="171"/>
      <c r="S2929" s="172"/>
    </row>
    <row r="2930" spans="1:19" ht="42.75">
      <c r="A2930" s="164" t="s">
        <v>780</v>
      </c>
      <c r="B2930" s="165" t="s">
        <v>1215</v>
      </c>
      <c r="C2930" s="165" t="s">
        <v>5063</v>
      </c>
      <c r="D2930" s="164">
        <v>9115</v>
      </c>
      <c r="E2930" s="164">
        <v>12139</v>
      </c>
      <c r="F2930" s="164" t="s">
        <v>3404</v>
      </c>
      <c r="G2930" s="164">
        <v>2024</v>
      </c>
      <c r="H2930" s="262">
        <v>45568</v>
      </c>
      <c r="I2930" s="260">
        <v>45569</v>
      </c>
      <c r="J2930" s="266" t="s">
        <v>7543</v>
      </c>
      <c r="K2930" s="260">
        <v>45574</v>
      </c>
      <c r="L2930" s="237" t="s">
        <v>3128</v>
      </c>
      <c r="M2930" s="129" t="s">
        <v>4</v>
      </c>
      <c r="N2930" s="129" t="s">
        <v>50</v>
      </c>
      <c r="O2930" s="129" t="s">
        <v>3406</v>
      </c>
      <c r="P2930" s="146"/>
      <c r="Q2930" s="189">
        <v>45574</v>
      </c>
      <c r="R2930" s="115" t="s">
        <v>150</v>
      </c>
      <c r="S2930" s="163"/>
    </row>
    <row r="2931" spans="1:19" ht="42.75">
      <c r="A2931" s="164" t="s">
        <v>780</v>
      </c>
      <c r="B2931" s="165" t="s">
        <v>1215</v>
      </c>
      <c r="C2931" s="165" t="s">
        <v>6417</v>
      </c>
      <c r="D2931" s="164">
        <v>1954</v>
      </c>
      <c r="E2931" s="164">
        <v>1967</v>
      </c>
      <c r="F2931" s="164" t="s">
        <v>3955</v>
      </c>
      <c r="G2931" s="202"/>
      <c r="H2931" s="267"/>
      <c r="I2931" s="240"/>
      <c r="J2931" s="240"/>
      <c r="K2931" s="240"/>
      <c r="L2931" s="237"/>
      <c r="M2931" s="129"/>
      <c r="N2931" s="129"/>
      <c r="O2931" s="129"/>
      <c r="P2931" s="146"/>
      <c r="Q2931" s="170"/>
      <c r="R2931" s="171"/>
      <c r="S2931" s="172"/>
    </row>
    <row r="2932" spans="1:19" ht="42.75">
      <c r="A2932" s="164" t="s">
        <v>780</v>
      </c>
      <c r="B2932" s="165" t="s">
        <v>1215</v>
      </c>
      <c r="C2932" s="165" t="s">
        <v>3699</v>
      </c>
      <c r="D2932" s="164">
        <v>3466</v>
      </c>
      <c r="E2932" s="164">
        <v>3673</v>
      </c>
      <c r="F2932" s="164" t="s">
        <v>3955</v>
      </c>
      <c r="G2932" s="202"/>
      <c r="H2932" s="267"/>
      <c r="I2932" s="181"/>
      <c r="J2932" s="181"/>
      <c r="K2932" s="181"/>
      <c r="L2932" s="237"/>
      <c r="M2932" s="129"/>
      <c r="N2932" s="129"/>
      <c r="O2932" s="129"/>
      <c r="P2932" s="146"/>
      <c r="Q2932" s="170"/>
      <c r="R2932" s="171"/>
      <c r="S2932" s="172"/>
    </row>
    <row r="2933" spans="1:19" ht="42.75">
      <c r="A2933" s="164" t="s">
        <v>780</v>
      </c>
      <c r="B2933" s="165" t="s">
        <v>1215</v>
      </c>
      <c r="C2933" s="165" t="s">
        <v>1216</v>
      </c>
      <c r="D2933" s="164">
        <v>2978</v>
      </c>
      <c r="E2933" s="164">
        <v>3602</v>
      </c>
      <c r="F2933" s="164" t="s">
        <v>3404</v>
      </c>
      <c r="G2933" s="164">
        <v>2024</v>
      </c>
      <c r="H2933" s="262">
        <v>45610</v>
      </c>
      <c r="I2933" s="260">
        <v>45614</v>
      </c>
      <c r="J2933" s="266" t="s">
        <v>7544</v>
      </c>
      <c r="K2933" s="260">
        <v>45621</v>
      </c>
      <c r="L2933" s="237" t="s">
        <v>3129</v>
      </c>
      <c r="M2933" s="129" t="s">
        <v>4</v>
      </c>
      <c r="N2933" s="129" t="s">
        <v>50</v>
      </c>
      <c r="O2933" s="129" t="s">
        <v>3406</v>
      </c>
      <c r="P2933" s="146"/>
      <c r="Q2933" s="170">
        <v>45622</v>
      </c>
      <c r="R2933" s="171" t="s">
        <v>150</v>
      </c>
      <c r="S2933" s="172"/>
    </row>
    <row r="2934" spans="1:19" ht="42.75">
      <c r="A2934" s="164" t="s">
        <v>780</v>
      </c>
      <c r="B2934" s="165" t="s">
        <v>1215</v>
      </c>
      <c r="C2934" s="165" t="s">
        <v>6420</v>
      </c>
      <c r="D2934" s="164">
        <v>6202</v>
      </c>
      <c r="E2934" s="164">
        <v>6962</v>
      </c>
      <c r="F2934" s="164" t="s">
        <v>3404</v>
      </c>
      <c r="G2934" s="164">
        <v>2024</v>
      </c>
      <c r="H2934" s="262">
        <v>45610</v>
      </c>
      <c r="I2934" s="260">
        <v>45614</v>
      </c>
      <c r="J2934" s="266" t="s">
        <v>7545</v>
      </c>
      <c r="K2934" s="260">
        <v>45618</v>
      </c>
      <c r="L2934" s="237" t="s">
        <v>3129</v>
      </c>
      <c r="M2934" s="129" t="s">
        <v>4</v>
      </c>
      <c r="N2934" s="129" t="s">
        <v>50</v>
      </c>
      <c r="O2934" s="129" t="s">
        <v>3406</v>
      </c>
      <c r="P2934" s="146"/>
      <c r="Q2934" s="170">
        <v>45618</v>
      </c>
      <c r="R2934" s="171" t="s">
        <v>150</v>
      </c>
      <c r="S2934" s="172"/>
    </row>
    <row r="2935" spans="1:19" ht="42.75">
      <c r="A2935" s="164" t="s">
        <v>780</v>
      </c>
      <c r="B2935" s="165" t="s">
        <v>1215</v>
      </c>
      <c r="C2935" s="165" t="s">
        <v>4126</v>
      </c>
      <c r="D2935" s="164">
        <v>4545</v>
      </c>
      <c r="E2935" s="164">
        <v>4827</v>
      </c>
      <c r="F2935" s="164" t="s">
        <v>3404</v>
      </c>
      <c r="G2935" s="164">
        <v>2025</v>
      </c>
      <c r="H2935" s="262"/>
      <c r="I2935" s="260"/>
      <c r="J2935" s="275"/>
      <c r="K2935" s="260"/>
      <c r="L2935" s="129" t="s">
        <v>3424</v>
      </c>
      <c r="M2935" s="129"/>
      <c r="N2935" s="129"/>
      <c r="O2935" s="129"/>
      <c r="P2935" s="146"/>
      <c r="Q2935" s="170"/>
      <c r="R2935" s="171"/>
      <c r="S2935" s="172"/>
    </row>
    <row r="2936" spans="1:19" ht="42.75">
      <c r="A2936" s="164" t="s">
        <v>780</v>
      </c>
      <c r="B2936" s="165" t="s">
        <v>1215</v>
      </c>
      <c r="C2936" s="165" t="s">
        <v>4025</v>
      </c>
      <c r="D2936" s="164">
        <v>3589</v>
      </c>
      <c r="E2936" s="164">
        <v>3792</v>
      </c>
      <c r="F2936" s="164" t="s">
        <v>3404</v>
      </c>
      <c r="G2936" s="164">
        <v>2024</v>
      </c>
      <c r="H2936" s="262">
        <v>45610</v>
      </c>
      <c r="I2936" s="276">
        <v>45614</v>
      </c>
      <c r="J2936" s="277" t="s">
        <v>7546</v>
      </c>
      <c r="K2936" s="278">
        <v>45618</v>
      </c>
      <c r="L2936" s="237" t="s">
        <v>3129</v>
      </c>
      <c r="M2936" s="129" t="s">
        <v>4</v>
      </c>
      <c r="N2936" s="129" t="s">
        <v>50</v>
      </c>
      <c r="O2936" s="129" t="s">
        <v>3406</v>
      </c>
      <c r="P2936" s="146"/>
      <c r="Q2936" s="170">
        <v>45618</v>
      </c>
      <c r="R2936" s="171" t="s">
        <v>150</v>
      </c>
      <c r="S2936" s="172"/>
    </row>
    <row r="2937" spans="1:19" ht="42.75">
      <c r="A2937" s="164" t="s">
        <v>780</v>
      </c>
      <c r="B2937" s="165" t="s">
        <v>1215</v>
      </c>
      <c r="C2937" s="165" t="s">
        <v>3913</v>
      </c>
      <c r="D2937" s="164">
        <v>991</v>
      </c>
      <c r="E2937" s="164">
        <v>989</v>
      </c>
      <c r="F2937" s="164" t="s">
        <v>3404</v>
      </c>
      <c r="G2937" s="164">
        <v>2024</v>
      </c>
      <c r="H2937" s="262">
        <v>45568</v>
      </c>
      <c r="I2937" s="279">
        <v>45569</v>
      </c>
      <c r="J2937" s="266" t="s">
        <v>7547</v>
      </c>
      <c r="K2937" s="264">
        <v>45574</v>
      </c>
      <c r="L2937" s="237" t="s">
        <v>3128</v>
      </c>
      <c r="M2937" s="129" t="s">
        <v>4</v>
      </c>
      <c r="N2937" s="129" t="s">
        <v>50</v>
      </c>
      <c r="O2937" s="129" t="s">
        <v>3406</v>
      </c>
      <c r="P2937" s="146"/>
      <c r="Q2937" s="189">
        <v>45575</v>
      </c>
      <c r="R2937" s="115" t="s">
        <v>150</v>
      </c>
      <c r="S2937" s="163"/>
    </row>
    <row r="2938" spans="1:19" ht="42.75">
      <c r="A2938" s="164" t="s">
        <v>780</v>
      </c>
      <c r="B2938" s="165" t="s">
        <v>1215</v>
      </c>
      <c r="C2938" s="165" t="s">
        <v>1439</v>
      </c>
      <c r="D2938" s="164">
        <v>4893</v>
      </c>
      <c r="E2938" s="164">
        <v>4388</v>
      </c>
      <c r="F2938" s="164" t="s">
        <v>3404</v>
      </c>
      <c r="G2938" s="164">
        <v>2024</v>
      </c>
      <c r="H2938" s="262">
        <v>45610</v>
      </c>
      <c r="I2938" s="280">
        <v>45614</v>
      </c>
      <c r="J2938" s="281" t="s">
        <v>7548</v>
      </c>
      <c r="K2938" s="282">
        <v>45616</v>
      </c>
      <c r="L2938" s="237" t="s">
        <v>3129</v>
      </c>
      <c r="M2938" s="129" t="s">
        <v>4</v>
      </c>
      <c r="N2938" s="129" t="s">
        <v>50</v>
      </c>
      <c r="O2938" s="129" t="s">
        <v>3406</v>
      </c>
      <c r="P2938" s="146"/>
      <c r="Q2938" s="170">
        <v>45618</v>
      </c>
      <c r="R2938" s="171" t="s">
        <v>150</v>
      </c>
      <c r="S2938" s="172"/>
    </row>
    <row r="2939" spans="1:19" ht="42.75">
      <c r="A2939" s="164" t="s">
        <v>780</v>
      </c>
      <c r="B2939" s="165" t="s">
        <v>1215</v>
      </c>
      <c r="C2939" s="165" t="s">
        <v>5638</v>
      </c>
      <c r="D2939" s="164">
        <v>11579</v>
      </c>
      <c r="E2939" s="164">
        <v>11139</v>
      </c>
      <c r="F2939" s="164" t="s">
        <v>3404</v>
      </c>
      <c r="G2939" s="164">
        <v>2024</v>
      </c>
      <c r="H2939" s="283">
        <v>45568</v>
      </c>
      <c r="I2939" s="279">
        <v>45569</v>
      </c>
      <c r="J2939" s="266" t="s">
        <v>7549</v>
      </c>
      <c r="K2939" s="264">
        <v>45574</v>
      </c>
      <c r="L2939" s="284" t="s">
        <v>3128</v>
      </c>
      <c r="M2939" s="129" t="s">
        <v>4</v>
      </c>
      <c r="N2939" s="129" t="s">
        <v>50</v>
      </c>
      <c r="O2939" s="129" t="s">
        <v>3406</v>
      </c>
      <c r="P2939" s="146"/>
      <c r="Q2939" s="189">
        <v>45574</v>
      </c>
      <c r="R2939" s="115" t="s">
        <v>150</v>
      </c>
      <c r="S2939" s="163"/>
    </row>
    <row r="2940" spans="1:19" ht="42.75">
      <c r="A2940" s="164" t="s">
        <v>780</v>
      </c>
      <c r="B2940" s="165" t="s">
        <v>1215</v>
      </c>
      <c r="C2940" s="165" t="s">
        <v>3974</v>
      </c>
      <c r="D2940" s="164">
        <v>1571</v>
      </c>
      <c r="E2940" s="164">
        <v>1422</v>
      </c>
      <c r="F2940" s="164" t="s">
        <v>3404</v>
      </c>
      <c r="G2940" s="164">
        <v>2024</v>
      </c>
      <c r="H2940" s="279">
        <v>45568</v>
      </c>
      <c r="I2940" s="279">
        <v>45568</v>
      </c>
      <c r="J2940" s="285" t="s">
        <v>7550</v>
      </c>
      <c r="K2940" s="264">
        <v>45574</v>
      </c>
      <c r="L2940" s="237" t="s">
        <v>3128</v>
      </c>
      <c r="M2940" s="232" t="s">
        <v>4</v>
      </c>
      <c r="N2940" s="129" t="s">
        <v>50</v>
      </c>
      <c r="O2940" s="129" t="s">
        <v>3406</v>
      </c>
      <c r="P2940" s="146"/>
      <c r="Q2940" s="189">
        <v>45575</v>
      </c>
      <c r="R2940" s="115" t="s">
        <v>150</v>
      </c>
      <c r="S2940" s="163"/>
    </row>
    <row r="2941" spans="1:19" ht="42.75">
      <c r="A2941" s="164" t="s">
        <v>780</v>
      </c>
      <c r="B2941" s="165" t="s">
        <v>1215</v>
      </c>
      <c r="C2941" s="165" t="s">
        <v>4950</v>
      </c>
      <c r="D2941" s="164">
        <v>2044</v>
      </c>
      <c r="E2941" s="164">
        <v>2011</v>
      </c>
      <c r="F2941" s="164" t="s">
        <v>3404</v>
      </c>
      <c r="G2941" s="164">
        <v>2024</v>
      </c>
      <c r="H2941" s="262">
        <v>45428</v>
      </c>
      <c r="I2941" s="286">
        <v>45429</v>
      </c>
      <c r="J2941" s="287" t="s">
        <v>7551</v>
      </c>
      <c r="K2941" s="258">
        <v>45429</v>
      </c>
      <c r="L2941" s="167" t="s">
        <v>3532</v>
      </c>
      <c r="M2941" s="129" t="s">
        <v>4</v>
      </c>
      <c r="N2941" s="129" t="s">
        <v>50</v>
      </c>
      <c r="O2941" s="129" t="s">
        <v>3406</v>
      </c>
      <c r="P2941" s="146"/>
      <c r="Q2941" s="170">
        <v>45432</v>
      </c>
      <c r="R2941" s="171"/>
      <c r="S2941" s="172"/>
    </row>
    <row r="2942" spans="1:19" ht="42.75">
      <c r="A2942" s="164" t="s">
        <v>780</v>
      </c>
      <c r="B2942" s="165" t="s">
        <v>6422</v>
      </c>
      <c r="C2942" s="165" t="s">
        <v>1540</v>
      </c>
      <c r="D2942" s="164">
        <v>9017</v>
      </c>
      <c r="E2942" s="164">
        <v>10714</v>
      </c>
      <c r="F2942" s="164" t="s">
        <v>3404</v>
      </c>
      <c r="G2942" s="164">
        <v>2024</v>
      </c>
      <c r="H2942" s="288">
        <v>45427</v>
      </c>
      <c r="I2942" s="289">
        <v>45429</v>
      </c>
      <c r="J2942" s="266" t="s">
        <v>7552</v>
      </c>
      <c r="K2942" s="290">
        <v>45429</v>
      </c>
      <c r="L2942" s="291" t="s">
        <v>3532</v>
      </c>
      <c r="M2942" s="181" t="s">
        <v>4</v>
      </c>
      <c r="N2942" s="129" t="s">
        <v>50</v>
      </c>
      <c r="O2942" s="129" t="s">
        <v>3406</v>
      </c>
      <c r="P2942" s="146"/>
      <c r="Q2942" s="170">
        <v>45432</v>
      </c>
      <c r="R2942" s="171"/>
      <c r="S2942" s="172"/>
    </row>
    <row r="2943" spans="1:19" ht="42.75">
      <c r="A2943" s="164" t="s">
        <v>780</v>
      </c>
      <c r="B2943" s="165" t="s">
        <v>6422</v>
      </c>
      <c r="C2943" s="165" t="s">
        <v>6426</v>
      </c>
      <c r="D2943" s="164">
        <v>860</v>
      </c>
      <c r="E2943" s="164">
        <v>755</v>
      </c>
      <c r="F2943" s="164" t="s">
        <v>3404</v>
      </c>
      <c r="G2943" s="164">
        <v>2024</v>
      </c>
      <c r="H2943" s="288">
        <v>45581</v>
      </c>
      <c r="I2943" s="289">
        <v>45583</v>
      </c>
      <c r="J2943" s="292" t="s">
        <v>7553</v>
      </c>
      <c r="K2943" s="290">
        <v>45584</v>
      </c>
      <c r="L2943" s="291" t="s">
        <v>3128</v>
      </c>
      <c r="M2943" s="181" t="s">
        <v>1078</v>
      </c>
      <c r="N2943" s="129" t="s">
        <v>50</v>
      </c>
      <c r="O2943" s="129" t="s">
        <v>3406</v>
      </c>
      <c r="P2943" s="146"/>
      <c r="Q2943" s="170">
        <v>45586</v>
      </c>
      <c r="R2943" s="171" t="s">
        <v>150</v>
      </c>
      <c r="S2943" s="172"/>
    </row>
    <row r="2944" spans="1:19" ht="42.75">
      <c r="A2944" s="164" t="s">
        <v>780</v>
      </c>
      <c r="B2944" s="165" t="s">
        <v>6422</v>
      </c>
      <c r="C2944" s="165" t="s">
        <v>6429</v>
      </c>
      <c r="D2944" s="164">
        <v>1611</v>
      </c>
      <c r="E2944" s="164">
        <v>1407</v>
      </c>
      <c r="F2944" s="164" t="s">
        <v>3404</v>
      </c>
      <c r="G2944" s="164">
        <v>2024</v>
      </c>
      <c r="H2944" s="288">
        <v>45581</v>
      </c>
      <c r="I2944" s="289">
        <v>45583</v>
      </c>
      <c r="J2944" s="292" t="s">
        <v>7554</v>
      </c>
      <c r="K2944" s="290">
        <v>45593</v>
      </c>
      <c r="L2944" s="291" t="s">
        <v>3128</v>
      </c>
      <c r="M2944" s="181" t="s">
        <v>1078</v>
      </c>
      <c r="N2944" s="129" t="s">
        <v>50</v>
      </c>
      <c r="O2944" s="129" t="s">
        <v>3406</v>
      </c>
      <c r="P2944" s="146"/>
      <c r="Q2944" s="170">
        <v>45593</v>
      </c>
      <c r="R2944" s="171" t="s">
        <v>150</v>
      </c>
      <c r="S2944" s="172"/>
    </row>
    <row r="2945" spans="1:19" ht="42.75">
      <c r="A2945" s="164" t="s">
        <v>780</v>
      </c>
      <c r="B2945" s="165" t="s">
        <v>6422</v>
      </c>
      <c r="C2945" s="165" t="s">
        <v>2177</v>
      </c>
      <c r="D2945" s="164">
        <v>4759</v>
      </c>
      <c r="E2945" s="164">
        <v>5188</v>
      </c>
      <c r="F2945" s="164" t="s">
        <v>3404</v>
      </c>
      <c r="G2945" s="164">
        <v>2024</v>
      </c>
      <c r="H2945" s="288">
        <v>45489</v>
      </c>
      <c r="I2945" s="289">
        <v>45490</v>
      </c>
      <c r="J2945" s="292" t="s">
        <v>7555</v>
      </c>
      <c r="K2945" s="290">
        <v>45491</v>
      </c>
      <c r="L2945" s="291" t="s">
        <v>3125</v>
      </c>
      <c r="M2945" s="181" t="s">
        <v>4</v>
      </c>
      <c r="N2945" s="129" t="s">
        <v>50</v>
      </c>
      <c r="O2945" s="129" t="s">
        <v>3406</v>
      </c>
      <c r="P2945" s="146"/>
      <c r="Q2945" s="170">
        <v>45492</v>
      </c>
      <c r="R2945" s="171"/>
      <c r="S2945" s="172"/>
    </row>
    <row r="2946" spans="1:19" ht="42.75">
      <c r="A2946" s="164" t="s">
        <v>780</v>
      </c>
      <c r="B2946" s="165" t="s">
        <v>6422</v>
      </c>
      <c r="C2946" s="165" t="s">
        <v>6430</v>
      </c>
      <c r="D2946" s="164">
        <v>690</v>
      </c>
      <c r="E2946" s="164">
        <v>787</v>
      </c>
      <c r="F2946" s="164" t="s">
        <v>3404</v>
      </c>
      <c r="G2946" s="164">
        <v>2024</v>
      </c>
      <c r="H2946" s="288">
        <v>45427</v>
      </c>
      <c r="I2946" s="289">
        <v>45429</v>
      </c>
      <c r="J2946" s="293" t="s">
        <v>7556</v>
      </c>
      <c r="K2946" s="290">
        <v>45429</v>
      </c>
      <c r="L2946" s="291" t="s">
        <v>3532</v>
      </c>
      <c r="M2946" s="181" t="s">
        <v>4</v>
      </c>
      <c r="N2946" s="129" t="s">
        <v>50</v>
      </c>
      <c r="O2946" s="129" t="s">
        <v>3406</v>
      </c>
      <c r="P2946" s="146"/>
      <c r="Q2946" s="170">
        <v>45432</v>
      </c>
      <c r="R2946" s="171"/>
      <c r="S2946" s="172"/>
    </row>
    <row r="2947" spans="1:19" ht="42.75">
      <c r="A2947" s="164" t="s">
        <v>780</v>
      </c>
      <c r="B2947" s="165" t="s">
        <v>6422</v>
      </c>
      <c r="C2947" s="165" t="s">
        <v>6427</v>
      </c>
      <c r="D2947" s="164">
        <v>415</v>
      </c>
      <c r="E2947" s="164">
        <v>549</v>
      </c>
      <c r="F2947" s="164" t="s">
        <v>3404</v>
      </c>
      <c r="G2947" s="164">
        <v>2024</v>
      </c>
      <c r="H2947" s="288">
        <v>45581</v>
      </c>
      <c r="I2947" s="289">
        <v>45582</v>
      </c>
      <c r="J2947" s="294" t="s">
        <v>7557</v>
      </c>
      <c r="K2947" s="290">
        <v>45584</v>
      </c>
      <c r="L2947" s="291" t="s">
        <v>3128</v>
      </c>
      <c r="M2947" s="181" t="s">
        <v>1078</v>
      </c>
      <c r="N2947" s="129" t="s">
        <v>50</v>
      </c>
      <c r="O2947" s="129" t="s">
        <v>3406</v>
      </c>
      <c r="P2947" s="146"/>
      <c r="Q2947" s="170">
        <v>45586</v>
      </c>
      <c r="R2947" s="171" t="s">
        <v>150</v>
      </c>
      <c r="S2947" s="172"/>
    </row>
    <row r="2948" spans="1:19" ht="42.75">
      <c r="A2948" s="164" t="s">
        <v>780</v>
      </c>
      <c r="B2948" s="165" t="s">
        <v>6422</v>
      </c>
      <c r="C2948" s="165" t="s">
        <v>2051</v>
      </c>
      <c r="D2948" s="164">
        <v>3162</v>
      </c>
      <c r="E2948" s="164">
        <v>3763</v>
      </c>
      <c r="F2948" s="164" t="s">
        <v>3404</v>
      </c>
      <c r="G2948" s="164">
        <v>2024</v>
      </c>
      <c r="H2948" s="288">
        <v>45427</v>
      </c>
      <c r="I2948" s="289">
        <v>45429</v>
      </c>
      <c r="J2948" s="293" t="s">
        <v>7557</v>
      </c>
      <c r="K2948" s="290">
        <v>45429</v>
      </c>
      <c r="L2948" s="291" t="s">
        <v>3532</v>
      </c>
      <c r="M2948" s="181" t="s">
        <v>4</v>
      </c>
      <c r="N2948" s="129" t="s">
        <v>50</v>
      </c>
      <c r="O2948" s="129" t="s">
        <v>3406</v>
      </c>
      <c r="P2948" s="146"/>
      <c r="Q2948" s="170">
        <v>45432</v>
      </c>
      <c r="R2948" s="171"/>
      <c r="S2948" s="172"/>
    </row>
    <row r="2949" spans="1:19" ht="42.75">
      <c r="A2949" s="164" t="s">
        <v>780</v>
      </c>
      <c r="B2949" s="165" t="s">
        <v>6422</v>
      </c>
      <c r="C2949" s="165" t="s">
        <v>6425</v>
      </c>
      <c r="D2949" s="164">
        <v>2136</v>
      </c>
      <c r="E2949" s="164">
        <v>2403</v>
      </c>
      <c r="F2949" s="164" t="s">
        <v>3404</v>
      </c>
      <c r="G2949" s="164">
        <v>2024</v>
      </c>
      <c r="H2949" s="288">
        <v>45552</v>
      </c>
      <c r="I2949" s="289">
        <v>45553</v>
      </c>
      <c r="J2949" s="295" t="s">
        <v>7558</v>
      </c>
      <c r="K2949" s="290">
        <v>45553</v>
      </c>
      <c r="L2949" s="291" t="s">
        <v>3127</v>
      </c>
      <c r="M2949" s="181" t="s">
        <v>6701</v>
      </c>
      <c r="N2949" s="129" t="s">
        <v>3528</v>
      </c>
      <c r="O2949" s="129" t="s">
        <v>3406</v>
      </c>
      <c r="P2949" s="146"/>
      <c r="Q2949" s="170">
        <v>45554</v>
      </c>
      <c r="R2949" s="171" t="s">
        <v>150</v>
      </c>
      <c r="S2949" s="172"/>
    </row>
    <row r="2950" spans="1:19" ht="42.75">
      <c r="A2950" s="164" t="s">
        <v>780</v>
      </c>
      <c r="B2950" s="165" t="s">
        <v>6422</v>
      </c>
      <c r="C2950" s="165" t="s">
        <v>6423</v>
      </c>
      <c r="D2950" s="164">
        <v>2987</v>
      </c>
      <c r="E2950" s="164">
        <v>3406</v>
      </c>
      <c r="F2950" s="164" t="s">
        <v>3404</v>
      </c>
      <c r="G2950" s="164">
        <v>2024</v>
      </c>
      <c r="H2950" s="288">
        <v>45489</v>
      </c>
      <c r="I2950" s="289">
        <v>45490</v>
      </c>
      <c r="J2950" s="292" t="s">
        <v>7559</v>
      </c>
      <c r="K2950" s="290">
        <v>45491</v>
      </c>
      <c r="L2950" s="291" t="s">
        <v>3125</v>
      </c>
      <c r="M2950" s="181" t="s">
        <v>6701</v>
      </c>
      <c r="N2950" s="129" t="s">
        <v>3528</v>
      </c>
      <c r="O2950" s="129" t="s">
        <v>3406</v>
      </c>
      <c r="P2950" s="146"/>
      <c r="Q2950" s="170">
        <v>45492</v>
      </c>
      <c r="R2950" s="171"/>
      <c r="S2950" s="172"/>
    </row>
    <row r="2951" spans="1:19" ht="42.75">
      <c r="A2951" s="164" t="s">
        <v>780</v>
      </c>
      <c r="B2951" s="165" t="s">
        <v>6422</v>
      </c>
      <c r="C2951" s="165" t="s">
        <v>6424</v>
      </c>
      <c r="D2951" s="164">
        <v>10413</v>
      </c>
      <c r="E2951" s="164">
        <v>10973</v>
      </c>
      <c r="F2951" s="164" t="s">
        <v>3404</v>
      </c>
      <c r="G2951" s="164">
        <v>2024</v>
      </c>
      <c r="H2951" s="288">
        <v>45489</v>
      </c>
      <c r="I2951" s="289">
        <v>45490</v>
      </c>
      <c r="J2951" s="296" t="s">
        <v>7560</v>
      </c>
      <c r="K2951" s="290">
        <v>45491</v>
      </c>
      <c r="L2951" s="291" t="s">
        <v>3125</v>
      </c>
      <c r="M2951" s="181" t="s">
        <v>6701</v>
      </c>
      <c r="N2951" s="129" t="s">
        <v>3528</v>
      </c>
      <c r="O2951" s="129" t="s">
        <v>3406</v>
      </c>
      <c r="P2951" s="146"/>
      <c r="Q2951" s="170">
        <v>45492</v>
      </c>
      <c r="R2951" s="171"/>
      <c r="S2951" s="172"/>
    </row>
    <row r="2952" spans="1:19" ht="42.75">
      <c r="A2952" s="164" t="s">
        <v>780</v>
      </c>
      <c r="B2952" s="165" t="s">
        <v>6422</v>
      </c>
      <c r="C2952" s="165" t="s">
        <v>6428</v>
      </c>
      <c r="D2952" s="164">
        <v>523</v>
      </c>
      <c r="E2952" s="164">
        <v>443</v>
      </c>
      <c r="F2952" s="164" t="s">
        <v>3404</v>
      </c>
      <c r="G2952" s="164">
        <v>2024</v>
      </c>
      <c r="H2952" s="288">
        <v>45581</v>
      </c>
      <c r="I2952" s="289">
        <v>45582</v>
      </c>
      <c r="J2952" s="295" t="s">
        <v>7561</v>
      </c>
      <c r="K2952" s="297">
        <v>45584</v>
      </c>
      <c r="L2952" s="266" t="s">
        <v>3128</v>
      </c>
      <c r="M2952" s="181" t="s">
        <v>1078</v>
      </c>
      <c r="N2952" s="129" t="s">
        <v>50</v>
      </c>
      <c r="O2952" s="129" t="s">
        <v>3406</v>
      </c>
      <c r="P2952" s="146"/>
      <c r="Q2952" s="170">
        <v>45586</v>
      </c>
      <c r="R2952" s="171" t="s">
        <v>150</v>
      </c>
      <c r="S2952" s="172"/>
    </row>
    <row r="2953" spans="1:19" ht="42.75">
      <c r="A2953" s="164" t="s">
        <v>780</v>
      </c>
      <c r="B2953" s="165" t="s">
        <v>6422</v>
      </c>
      <c r="C2953" s="165" t="s">
        <v>4126</v>
      </c>
      <c r="D2953" s="164">
        <v>5609</v>
      </c>
      <c r="E2953" s="164">
        <v>6301</v>
      </c>
      <c r="F2953" s="164" t="s">
        <v>3404</v>
      </c>
      <c r="G2953" s="164">
        <v>2024</v>
      </c>
      <c r="H2953" s="297">
        <v>45489</v>
      </c>
      <c r="I2953" s="288">
        <v>45490</v>
      </c>
      <c r="J2953" s="292" t="s">
        <v>7562</v>
      </c>
      <c r="K2953" s="290">
        <v>45491</v>
      </c>
      <c r="L2953" s="266" t="s">
        <v>3125</v>
      </c>
      <c r="M2953" s="181" t="s">
        <v>4</v>
      </c>
      <c r="N2953" s="129" t="s">
        <v>50</v>
      </c>
      <c r="O2953" s="129" t="s">
        <v>3406</v>
      </c>
      <c r="P2953" s="146"/>
      <c r="Q2953" s="170">
        <v>45492</v>
      </c>
      <c r="R2953" s="171"/>
      <c r="S2953" s="172"/>
    </row>
    <row r="2954" spans="1:19" ht="42.75">
      <c r="A2954" s="164" t="s">
        <v>780</v>
      </c>
      <c r="B2954" s="165" t="s">
        <v>6422</v>
      </c>
      <c r="C2954" s="165" t="s">
        <v>3975</v>
      </c>
      <c r="D2954" s="164">
        <v>4345</v>
      </c>
      <c r="E2954" s="164">
        <v>4526</v>
      </c>
      <c r="F2954" s="164" t="s">
        <v>3404</v>
      </c>
      <c r="G2954" s="164">
        <v>2024</v>
      </c>
      <c r="H2954" s="297">
        <v>45427</v>
      </c>
      <c r="I2954" s="288">
        <v>45429</v>
      </c>
      <c r="J2954" s="293" t="s">
        <v>7563</v>
      </c>
      <c r="K2954" s="290">
        <v>45429</v>
      </c>
      <c r="L2954" s="266" t="s">
        <v>3532</v>
      </c>
      <c r="M2954" s="181" t="s">
        <v>4</v>
      </c>
      <c r="N2954" s="129" t="s">
        <v>50</v>
      </c>
      <c r="O2954" s="129" t="s">
        <v>3406</v>
      </c>
      <c r="P2954" s="146"/>
      <c r="Q2954" s="170">
        <v>45432</v>
      </c>
      <c r="R2954" s="171"/>
      <c r="S2954" s="172"/>
    </row>
    <row r="2955" spans="1:19" ht="42.75">
      <c r="A2955" s="164" t="s">
        <v>780</v>
      </c>
      <c r="B2955" s="165" t="s">
        <v>6422</v>
      </c>
      <c r="C2955" s="165" t="s">
        <v>4261</v>
      </c>
      <c r="D2955" s="164">
        <v>3979</v>
      </c>
      <c r="E2955" s="164">
        <v>4366</v>
      </c>
      <c r="F2955" s="164" t="s">
        <v>3404</v>
      </c>
      <c r="G2955" s="164">
        <v>2024</v>
      </c>
      <c r="H2955" s="297">
        <v>45552</v>
      </c>
      <c r="I2955" s="288">
        <v>45553</v>
      </c>
      <c r="J2955" s="295" t="s">
        <v>7564</v>
      </c>
      <c r="K2955" s="290">
        <v>45553</v>
      </c>
      <c r="L2955" s="266" t="s">
        <v>3127</v>
      </c>
      <c r="M2955" s="181" t="s">
        <v>6701</v>
      </c>
      <c r="N2955" s="129" t="s">
        <v>3528</v>
      </c>
      <c r="O2955" s="129" t="s">
        <v>3406</v>
      </c>
      <c r="P2955" s="146"/>
      <c r="Q2955" s="170">
        <v>45554</v>
      </c>
      <c r="R2955" s="171" t="s">
        <v>150</v>
      </c>
      <c r="S2955" s="172"/>
    </row>
    <row r="2956" spans="1:19" ht="42.75">
      <c r="A2956" s="164" t="s">
        <v>780</v>
      </c>
      <c r="B2956" s="165" t="s">
        <v>942</v>
      </c>
      <c r="C2956" s="165" t="s">
        <v>1543</v>
      </c>
      <c r="D2956" s="164">
        <v>6783</v>
      </c>
      <c r="E2956" s="164">
        <v>7786</v>
      </c>
      <c r="F2956" s="164" t="s">
        <v>3955</v>
      </c>
      <c r="G2956" s="164"/>
      <c r="H2956" s="168"/>
      <c r="I2956" s="168"/>
      <c r="J2956" s="168"/>
      <c r="K2956" s="181"/>
      <c r="L2956" s="169"/>
      <c r="M2956" s="129"/>
      <c r="N2956" s="129"/>
      <c r="O2956" s="129"/>
      <c r="P2956" s="146"/>
      <c r="Q2956" s="170"/>
      <c r="R2956" s="171"/>
      <c r="S2956" s="172"/>
    </row>
    <row r="2957" spans="1:19" ht="42.75">
      <c r="A2957" s="164" t="s">
        <v>780</v>
      </c>
      <c r="B2957" s="165" t="s">
        <v>942</v>
      </c>
      <c r="C2957" s="165" t="s">
        <v>1445</v>
      </c>
      <c r="D2957" s="164">
        <v>2429</v>
      </c>
      <c r="E2957" s="164">
        <v>2666</v>
      </c>
      <c r="F2957" s="164" t="s">
        <v>3955</v>
      </c>
      <c r="G2957" s="164"/>
      <c r="H2957" s="168"/>
      <c r="I2957" s="168"/>
      <c r="J2957" s="282"/>
      <c r="K2957" s="181"/>
      <c r="L2957" s="169"/>
      <c r="M2957" s="129"/>
      <c r="N2957" s="129"/>
      <c r="O2957" s="129"/>
      <c r="P2957" s="146"/>
      <c r="Q2957" s="170"/>
      <c r="R2957" s="171"/>
      <c r="S2957" s="172"/>
    </row>
    <row r="2958" spans="1:19" ht="42.75">
      <c r="A2958" s="164" t="s">
        <v>780</v>
      </c>
      <c r="B2958" s="165" t="s">
        <v>942</v>
      </c>
      <c r="C2958" s="165" t="s">
        <v>943</v>
      </c>
      <c r="D2958" s="164">
        <v>3972</v>
      </c>
      <c r="E2958" s="164">
        <v>5818</v>
      </c>
      <c r="F2958" s="164" t="s">
        <v>3404</v>
      </c>
      <c r="G2958" s="164">
        <v>2024</v>
      </c>
      <c r="H2958" s="258">
        <v>45513</v>
      </c>
      <c r="I2958" s="262">
        <v>45520</v>
      </c>
      <c r="J2958" s="298" t="s">
        <v>7565</v>
      </c>
      <c r="K2958" s="264">
        <v>45523</v>
      </c>
      <c r="L2958" s="169" t="s">
        <v>3126</v>
      </c>
      <c r="M2958" s="129" t="s">
        <v>4</v>
      </c>
      <c r="N2958" s="129" t="s">
        <v>50</v>
      </c>
      <c r="O2958" s="129" t="s">
        <v>3406</v>
      </c>
      <c r="P2958" s="146"/>
      <c r="Q2958" s="170">
        <v>45531</v>
      </c>
      <c r="R2958" s="171" t="s">
        <v>150</v>
      </c>
      <c r="S2958" s="172"/>
    </row>
    <row r="2959" spans="1:19" ht="42.75">
      <c r="A2959" s="164" t="s">
        <v>780</v>
      </c>
      <c r="B2959" s="165" t="s">
        <v>942</v>
      </c>
      <c r="C2959" s="165" t="s">
        <v>6433</v>
      </c>
      <c r="D2959" s="164">
        <v>2781</v>
      </c>
      <c r="E2959" s="164">
        <v>3184</v>
      </c>
      <c r="F2959" s="164" t="s">
        <v>3955</v>
      </c>
      <c r="G2959" s="164"/>
      <c r="H2959" s="168"/>
      <c r="I2959" s="168"/>
      <c r="J2959" s="258"/>
      <c r="K2959" s="181"/>
      <c r="L2959" s="169"/>
      <c r="M2959" s="129"/>
      <c r="N2959" s="129"/>
      <c r="O2959" s="129"/>
      <c r="P2959" s="146"/>
      <c r="Q2959" s="170"/>
      <c r="R2959" s="171"/>
      <c r="S2959" s="172"/>
    </row>
    <row r="2960" spans="1:19" ht="42.75">
      <c r="A2960" s="164" t="s">
        <v>780</v>
      </c>
      <c r="B2960" s="165" t="s">
        <v>942</v>
      </c>
      <c r="C2960" s="165" t="s">
        <v>6435</v>
      </c>
      <c r="D2960" s="164">
        <v>8409</v>
      </c>
      <c r="E2960" s="164">
        <v>9799</v>
      </c>
      <c r="F2960" s="164" t="s">
        <v>3955</v>
      </c>
      <c r="G2960" s="164"/>
      <c r="H2960" s="168"/>
      <c r="I2960" s="168"/>
      <c r="J2960" s="282"/>
      <c r="K2960" s="181"/>
      <c r="L2960" s="169"/>
      <c r="M2960" s="129"/>
      <c r="N2960" s="129"/>
      <c r="O2960" s="129"/>
      <c r="P2960" s="146"/>
      <c r="Q2960" s="170"/>
      <c r="R2960" s="171"/>
      <c r="S2960" s="172"/>
    </row>
    <row r="2961" spans="1:19" ht="42.75">
      <c r="A2961" s="164" t="s">
        <v>780</v>
      </c>
      <c r="B2961" s="165" t="s">
        <v>942</v>
      </c>
      <c r="C2961" s="165" t="s">
        <v>947</v>
      </c>
      <c r="D2961" s="164">
        <v>1681</v>
      </c>
      <c r="E2961" s="164">
        <v>1672</v>
      </c>
      <c r="F2961" s="164" t="s">
        <v>3404</v>
      </c>
      <c r="G2961" s="164">
        <v>2024</v>
      </c>
      <c r="H2961" s="258">
        <v>45513</v>
      </c>
      <c r="I2961" s="262">
        <v>45520</v>
      </c>
      <c r="J2961" s="298" t="s">
        <v>7566</v>
      </c>
      <c r="K2961" s="264">
        <v>45523</v>
      </c>
      <c r="L2961" s="169" t="s">
        <v>3126</v>
      </c>
      <c r="M2961" s="129" t="s">
        <v>4</v>
      </c>
      <c r="N2961" s="129" t="s">
        <v>50</v>
      </c>
      <c r="O2961" s="129" t="s">
        <v>3406</v>
      </c>
      <c r="P2961" s="146"/>
      <c r="Q2961" s="170">
        <v>45531</v>
      </c>
      <c r="R2961" s="171" t="s">
        <v>150</v>
      </c>
      <c r="S2961" s="172"/>
    </row>
    <row r="2962" spans="1:19" ht="42.75">
      <c r="A2962" s="164" t="s">
        <v>780</v>
      </c>
      <c r="B2962" s="165" t="s">
        <v>942</v>
      </c>
      <c r="C2962" s="165" t="s">
        <v>950</v>
      </c>
      <c r="D2962" s="164">
        <v>3151</v>
      </c>
      <c r="E2962" s="164">
        <v>3359</v>
      </c>
      <c r="F2962" s="164" t="s">
        <v>3404</v>
      </c>
      <c r="G2962" s="164">
        <v>2024</v>
      </c>
      <c r="H2962" s="258">
        <v>45513</v>
      </c>
      <c r="I2962" s="262">
        <v>45520</v>
      </c>
      <c r="J2962" s="298" t="s">
        <v>7567</v>
      </c>
      <c r="K2962" s="264">
        <v>45523</v>
      </c>
      <c r="L2962" s="169" t="s">
        <v>3126</v>
      </c>
      <c r="M2962" s="129" t="s">
        <v>4</v>
      </c>
      <c r="N2962" s="129" t="s">
        <v>50</v>
      </c>
      <c r="O2962" s="129" t="s">
        <v>3406</v>
      </c>
      <c r="P2962" s="146"/>
      <c r="Q2962" s="170">
        <v>45531</v>
      </c>
      <c r="R2962" s="171" t="s">
        <v>150</v>
      </c>
      <c r="S2962" s="172"/>
    </row>
    <row r="2963" spans="1:19" ht="42.75">
      <c r="A2963" s="164" t="s">
        <v>780</v>
      </c>
      <c r="B2963" s="165" t="s">
        <v>942</v>
      </c>
      <c r="C2963" s="165" t="s">
        <v>6437</v>
      </c>
      <c r="D2963" s="164">
        <v>2214</v>
      </c>
      <c r="E2963" s="164">
        <v>2544</v>
      </c>
      <c r="F2963" s="164" t="s">
        <v>3955</v>
      </c>
      <c r="G2963" s="164"/>
      <c r="H2963" s="168"/>
      <c r="I2963" s="168"/>
      <c r="J2963" s="258"/>
      <c r="K2963" s="181"/>
      <c r="L2963" s="169"/>
      <c r="M2963" s="129"/>
      <c r="N2963" s="129"/>
      <c r="O2963" s="129"/>
      <c r="P2963" s="146"/>
      <c r="Q2963" s="170"/>
      <c r="R2963" s="171"/>
      <c r="S2963" s="172"/>
    </row>
    <row r="2964" spans="1:19" ht="42.75">
      <c r="A2964" s="164" t="s">
        <v>780</v>
      </c>
      <c r="B2964" s="165" t="s">
        <v>942</v>
      </c>
      <c r="C2964" s="165" t="s">
        <v>4242</v>
      </c>
      <c r="D2964" s="164">
        <v>2840</v>
      </c>
      <c r="E2964" s="164">
        <v>3097</v>
      </c>
      <c r="F2964" s="164" t="s">
        <v>3404</v>
      </c>
      <c r="G2964" s="164">
        <v>2024</v>
      </c>
      <c r="H2964" s="258">
        <v>45513</v>
      </c>
      <c r="I2964" s="258">
        <v>45520</v>
      </c>
      <c r="J2964" s="299" t="s">
        <v>7568</v>
      </c>
      <c r="K2964" s="260">
        <v>45523</v>
      </c>
      <c r="L2964" s="169" t="s">
        <v>3126</v>
      </c>
      <c r="M2964" s="129" t="s">
        <v>4</v>
      </c>
      <c r="N2964" s="129" t="s">
        <v>57</v>
      </c>
      <c r="O2964" s="129" t="s">
        <v>3406</v>
      </c>
      <c r="P2964" s="146"/>
      <c r="Q2964" s="170">
        <v>45531</v>
      </c>
      <c r="R2964" s="171" t="s">
        <v>150</v>
      </c>
      <c r="S2964" s="172"/>
    </row>
    <row r="2965" spans="1:19" ht="42.75">
      <c r="A2965" s="164" t="s">
        <v>780</v>
      </c>
      <c r="B2965" s="165" t="s">
        <v>942</v>
      </c>
      <c r="C2965" s="165" t="s">
        <v>4261</v>
      </c>
      <c r="D2965" s="164">
        <v>2102</v>
      </c>
      <c r="E2965" s="164">
        <v>2307</v>
      </c>
      <c r="F2965" s="164" t="s">
        <v>3955</v>
      </c>
      <c r="G2965" s="164"/>
      <c r="H2965" s="168"/>
      <c r="I2965" s="168"/>
      <c r="J2965" s="258"/>
      <c r="K2965" s="181"/>
      <c r="L2965" s="169"/>
      <c r="M2965" s="129"/>
      <c r="N2965" s="129"/>
      <c r="O2965" s="129"/>
      <c r="P2965" s="146"/>
      <c r="Q2965" s="170"/>
      <c r="R2965" s="171"/>
      <c r="S2965" s="172"/>
    </row>
    <row r="2966" spans="1:19" ht="42.75">
      <c r="A2966" s="164" t="s">
        <v>780</v>
      </c>
      <c r="B2966" s="165" t="s">
        <v>942</v>
      </c>
      <c r="C2966" s="165" t="s">
        <v>954</v>
      </c>
      <c r="D2966" s="164">
        <v>4112</v>
      </c>
      <c r="E2966" s="164">
        <v>4403</v>
      </c>
      <c r="F2966" s="164" t="s">
        <v>3404</v>
      </c>
      <c r="G2966" s="164">
        <v>2024</v>
      </c>
      <c r="H2966" s="258">
        <v>45513</v>
      </c>
      <c r="I2966" s="258">
        <v>45520</v>
      </c>
      <c r="J2966" s="299" t="s">
        <v>7569</v>
      </c>
      <c r="K2966" s="260">
        <v>45523</v>
      </c>
      <c r="L2966" s="169" t="s">
        <v>3126</v>
      </c>
      <c r="M2966" s="129" t="s">
        <v>4</v>
      </c>
      <c r="N2966" s="129" t="s">
        <v>50</v>
      </c>
      <c r="O2966" s="129" t="s">
        <v>3406</v>
      </c>
      <c r="P2966" s="146"/>
      <c r="Q2966" s="170">
        <v>45531</v>
      </c>
      <c r="R2966" s="171" t="s">
        <v>150</v>
      </c>
      <c r="S2966" s="172"/>
    </row>
    <row r="2967" spans="1:19" ht="42.75">
      <c r="A2967" s="164" t="s">
        <v>780</v>
      </c>
      <c r="B2967" s="165" t="s">
        <v>942</v>
      </c>
      <c r="C2967" s="165" t="s">
        <v>960</v>
      </c>
      <c r="D2967" s="164">
        <v>4541</v>
      </c>
      <c r="E2967" s="164">
        <v>4807</v>
      </c>
      <c r="F2967" s="164" t="s">
        <v>3404</v>
      </c>
      <c r="G2967" s="164">
        <v>2024</v>
      </c>
      <c r="H2967" s="258">
        <v>45513</v>
      </c>
      <c r="I2967" s="258">
        <v>45520</v>
      </c>
      <c r="J2967" s="299" t="s">
        <v>7570</v>
      </c>
      <c r="K2967" s="260">
        <v>45523</v>
      </c>
      <c r="L2967" s="169" t="s">
        <v>3126</v>
      </c>
      <c r="M2967" s="129" t="s">
        <v>4</v>
      </c>
      <c r="N2967" s="129" t="s">
        <v>50</v>
      </c>
      <c r="O2967" s="129" t="s">
        <v>3406</v>
      </c>
      <c r="P2967" s="146"/>
      <c r="Q2967" s="170">
        <v>45531</v>
      </c>
      <c r="R2967" s="171" t="s">
        <v>150</v>
      </c>
      <c r="S2967" s="172"/>
    </row>
    <row r="2968" spans="1:19" ht="42.75">
      <c r="A2968" s="164" t="s">
        <v>780</v>
      </c>
      <c r="B2968" s="165" t="s">
        <v>942</v>
      </c>
      <c r="C2968" s="165" t="s">
        <v>963</v>
      </c>
      <c r="D2968" s="164">
        <v>2704</v>
      </c>
      <c r="E2968" s="164">
        <v>3087</v>
      </c>
      <c r="F2968" s="164" t="s">
        <v>3404</v>
      </c>
      <c r="G2968" s="164">
        <v>2024</v>
      </c>
      <c r="H2968" s="258">
        <v>45513</v>
      </c>
      <c r="I2968" s="258">
        <v>45520</v>
      </c>
      <c r="J2968" s="299" t="s">
        <v>7571</v>
      </c>
      <c r="K2968" s="260">
        <v>45523</v>
      </c>
      <c r="L2968" s="169" t="s">
        <v>3126</v>
      </c>
      <c r="M2968" s="129" t="s">
        <v>4</v>
      </c>
      <c r="N2968" s="129" t="s">
        <v>57</v>
      </c>
      <c r="O2968" s="129" t="s">
        <v>3406</v>
      </c>
      <c r="P2968" s="146"/>
      <c r="Q2968" s="170">
        <v>45531</v>
      </c>
      <c r="R2968" s="171" t="s">
        <v>150</v>
      </c>
      <c r="S2968" s="172"/>
    </row>
    <row r="2969" spans="1:19" ht="42.75">
      <c r="A2969" s="164" t="s">
        <v>780</v>
      </c>
      <c r="B2969" s="165" t="s">
        <v>1546</v>
      </c>
      <c r="C2969" s="165" t="s">
        <v>2072</v>
      </c>
      <c r="D2969" s="164">
        <v>3445</v>
      </c>
      <c r="E2969" s="164">
        <v>3485</v>
      </c>
      <c r="F2969" s="164" t="s">
        <v>3955</v>
      </c>
      <c r="G2969" s="164"/>
      <c r="H2969" s="168"/>
      <c r="I2969" s="168"/>
      <c r="J2969" s="168"/>
      <c r="K2969" s="181"/>
      <c r="L2969" s="169"/>
      <c r="M2969" s="129"/>
      <c r="N2969" s="129"/>
      <c r="O2969" s="129"/>
      <c r="P2969" s="146"/>
      <c r="Q2969" s="170"/>
      <c r="R2969" s="171"/>
      <c r="S2969" s="172"/>
    </row>
    <row r="2970" spans="1:19" ht="42.75">
      <c r="A2970" s="164" t="s">
        <v>780</v>
      </c>
      <c r="B2970" s="165" t="s">
        <v>1546</v>
      </c>
      <c r="C2970" s="165" t="s">
        <v>6440</v>
      </c>
      <c r="D2970" s="164">
        <v>6851</v>
      </c>
      <c r="E2970" s="164">
        <v>7563</v>
      </c>
      <c r="F2970" s="164" t="s">
        <v>3955</v>
      </c>
      <c r="G2970" s="164"/>
      <c r="H2970" s="168"/>
      <c r="I2970" s="168"/>
      <c r="J2970" s="168"/>
      <c r="K2970" s="181"/>
      <c r="L2970" s="169"/>
      <c r="M2970" s="129"/>
      <c r="N2970" s="129"/>
      <c r="O2970" s="129"/>
      <c r="P2970" s="146"/>
      <c r="Q2970" s="170"/>
      <c r="R2970" s="171"/>
      <c r="S2970" s="172"/>
    </row>
    <row r="2971" spans="1:19" ht="42.75">
      <c r="A2971" s="164" t="s">
        <v>780</v>
      </c>
      <c r="B2971" s="165" t="s">
        <v>1546</v>
      </c>
      <c r="C2971" s="165" t="s">
        <v>6442</v>
      </c>
      <c r="D2971" s="164">
        <v>19340</v>
      </c>
      <c r="E2971" s="164">
        <v>21794</v>
      </c>
      <c r="F2971" s="164" t="s">
        <v>3955</v>
      </c>
      <c r="G2971" s="164"/>
      <c r="H2971" s="168"/>
      <c r="I2971" s="168"/>
      <c r="J2971" s="168"/>
      <c r="K2971" s="181"/>
      <c r="L2971" s="169"/>
      <c r="M2971" s="129"/>
      <c r="N2971" s="129"/>
      <c r="O2971" s="129"/>
      <c r="P2971" s="146"/>
      <c r="Q2971" s="170"/>
      <c r="R2971" s="171"/>
      <c r="S2971" s="172"/>
    </row>
    <row r="2972" spans="1:19" ht="42.75">
      <c r="A2972" s="164" t="s">
        <v>780</v>
      </c>
      <c r="B2972" s="165" t="s">
        <v>1546</v>
      </c>
      <c r="C2972" s="165" t="s">
        <v>6443</v>
      </c>
      <c r="D2972" s="164">
        <v>17165</v>
      </c>
      <c r="E2972" s="164">
        <v>19387</v>
      </c>
      <c r="F2972" s="164" t="s">
        <v>3955</v>
      </c>
      <c r="G2972" s="164"/>
      <c r="H2972" s="168"/>
      <c r="I2972" s="168"/>
      <c r="J2972" s="168"/>
      <c r="K2972" s="181"/>
      <c r="L2972" s="169"/>
      <c r="M2972" s="129"/>
      <c r="N2972" s="129"/>
      <c r="O2972" s="129"/>
      <c r="P2972" s="146"/>
      <c r="Q2972" s="170"/>
      <c r="R2972" s="171"/>
      <c r="S2972" s="172"/>
    </row>
    <row r="2973" spans="1:19" ht="42.75">
      <c r="A2973" s="164" t="s">
        <v>780</v>
      </c>
      <c r="B2973" s="165" t="s">
        <v>1546</v>
      </c>
      <c r="C2973" s="165" t="s">
        <v>6445</v>
      </c>
      <c r="D2973" s="164">
        <v>9253</v>
      </c>
      <c r="E2973" s="164">
        <v>9952</v>
      </c>
      <c r="F2973" s="164" t="s">
        <v>3955</v>
      </c>
      <c r="G2973" s="164"/>
      <c r="H2973" s="168"/>
      <c r="I2973" s="168"/>
      <c r="J2973" s="168"/>
      <c r="K2973" s="181"/>
      <c r="L2973" s="169"/>
      <c r="M2973" s="129"/>
      <c r="N2973" s="129"/>
      <c r="O2973" s="129"/>
      <c r="P2973" s="146"/>
      <c r="Q2973" s="170"/>
      <c r="R2973" s="171"/>
      <c r="S2973" s="172"/>
    </row>
    <row r="2974" spans="1:19" ht="42.75">
      <c r="A2974" s="164" t="s">
        <v>780</v>
      </c>
      <c r="B2974" s="165" t="s">
        <v>1546</v>
      </c>
      <c r="C2974" s="165" t="s">
        <v>6447</v>
      </c>
      <c r="D2974" s="164">
        <v>27874</v>
      </c>
      <c r="E2974" s="164">
        <v>30729</v>
      </c>
      <c r="F2974" s="164" t="s">
        <v>3955</v>
      </c>
      <c r="G2974" s="164"/>
      <c r="H2974" s="168"/>
      <c r="I2974" s="168"/>
      <c r="J2974" s="168"/>
      <c r="K2974" s="181"/>
      <c r="L2974" s="169"/>
      <c r="M2974" s="129"/>
      <c r="N2974" s="129"/>
      <c r="O2974" s="129"/>
      <c r="P2974" s="146"/>
      <c r="Q2974" s="170"/>
      <c r="R2974" s="171"/>
      <c r="S2974" s="172"/>
    </row>
    <row r="2975" spans="1:19" ht="42.75">
      <c r="A2975" s="164" t="s">
        <v>780</v>
      </c>
      <c r="B2975" s="165" t="s">
        <v>1546</v>
      </c>
      <c r="C2975" s="165" t="s">
        <v>6448</v>
      </c>
      <c r="D2975" s="164">
        <v>13137</v>
      </c>
      <c r="E2975" s="164">
        <v>14703</v>
      </c>
      <c r="F2975" s="164" t="s">
        <v>3955</v>
      </c>
      <c r="G2975" s="164"/>
      <c r="H2975" s="168"/>
      <c r="I2975" s="168"/>
      <c r="J2975" s="168"/>
      <c r="K2975" s="181"/>
      <c r="L2975" s="169"/>
      <c r="M2975" s="129"/>
      <c r="N2975" s="129"/>
      <c r="O2975" s="129"/>
      <c r="P2975" s="146"/>
      <c r="Q2975" s="170"/>
      <c r="R2975" s="171"/>
      <c r="S2975" s="172"/>
    </row>
    <row r="2976" spans="1:19" ht="42.75">
      <c r="A2976" s="164" t="s">
        <v>780</v>
      </c>
      <c r="B2976" s="165" t="s">
        <v>1546</v>
      </c>
      <c r="C2976" s="165" t="s">
        <v>6454</v>
      </c>
      <c r="D2976" s="164">
        <v>9808</v>
      </c>
      <c r="E2976" s="164">
        <v>10296</v>
      </c>
      <c r="F2976" s="164" t="s">
        <v>3955</v>
      </c>
      <c r="G2976" s="164"/>
      <c r="H2976" s="168"/>
      <c r="I2976" s="168"/>
      <c r="J2976" s="168"/>
      <c r="K2976" s="181"/>
      <c r="L2976" s="169"/>
      <c r="M2976" s="129"/>
      <c r="N2976" s="129"/>
      <c r="O2976" s="129"/>
      <c r="P2976" s="146"/>
      <c r="Q2976" s="170"/>
      <c r="R2976" s="171"/>
      <c r="S2976" s="172"/>
    </row>
    <row r="2977" spans="1:19" ht="42.75">
      <c r="A2977" s="164" t="s">
        <v>780</v>
      </c>
      <c r="B2977" s="165" t="s">
        <v>1546</v>
      </c>
      <c r="C2977" s="165" t="s">
        <v>6449</v>
      </c>
      <c r="D2977" s="164">
        <v>10622</v>
      </c>
      <c r="E2977" s="164">
        <v>12436</v>
      </c>
      <c r="F2977" s="164" t="s">
        <v>3955</v>
      </c>
      <c r="G2977" s="164"/>
      <c r="H2977" s="168"/>
      <c r="I2977" s="168"/>
      <c r="J2977" s="168"/>
      <c r="K2977" s="181"/>
      <c r="L2977" s="169"/>
      <c r="M2977" s="129"/>
      <c r="N2977" s="129"/>
      <c r="O2977" s="129"/>
      <c r="P2977" s="146"/>
      <c r="Q2977" s="170"/>
      <c r="R2977" s="171"/>
      <c r="S2977" s="172"/>
    </row>
    <row r="2978" spans="1:19" ht="42.75">
      <c r="A2978" s="164" t="s">
        <v>780</v>
      </c>
      <c r="B2978" s="165" t="s">
        <v>1546</v>
      </c>
      <c r="C2978" s="165" t="s">
        <v>1547</v>
      </c>
      <c r="D2978" s="164">
        <v>27714</v>
      </c>
      <c r="E2978" s="164">
        <v>33349</v>
      </c>
      <c r="F2978" s="164" t="s">
        <v>3955</v>
      </c>
      <c r="G2978" s="164"/>
      <c r="H2978" s="168"/>
      <c r="I2978" s="168"/>
      <c r="J2978" s="168"/>
      <c r="K2978" s="181"/>
      <c r="L2978" s="169"/>
      <c r="M2978" s="129"/>
      <c r="N2978" s="129"/>
      <c r="O2978" s="129"/>
      <c r="P2978" s="146"/>
      <c r="Q2978" s="170"/>
      <c r="R2978" s="171"/>
      <c r="S2978" s="172"/>
    </row>
    <row r="2979" spans="1:19" ht="42.75">
      <c r="A2979" s="164" t="s">
        <v>780</v>
      </c>
      <c r="B2979" s="165" t="s">
        <v>1546</v>
      </c>
      <c r="C2979" s="165" t="s">
        <v>6450</v>
      </c>
      <c r="D2979" s="164">
        <v>1518</v>
      </c>
      <c r="E2979" s="164">
        <v>1561</v>
      </c>
      <c r="F2979" s="164" t="s">
        <v>3955</v>
      </c>
      <c r="G2979" s="164"/>
      <c r="H2979" s="168"/>
      <c r="I2979" s="168"/>
      <c r="J2979" s="168"/>
      <c r="K2979" s="181"/>
      <c r="L2979" s="169"/>
      <c r="M2979" s="129"/>
      <c r="N2979" s="129"/>
      <c r="O2979" s="129"/>
      <c r="P2979" s="146"/>
      <c r="Q2979" s="170"/>
      <c r="R2979" s="171"/>
      <c r="S2979" s="172"/>
    </row>
    <row r="2980" spans="1:19" ht="42.75">
      <c r="A2980" s="164" t="s">
        <v>780</v>
      </c>
      <c r="B2980" s="165" t="s">
        <v>1546</v>
      </c>
      <c r="C2980" s="165" t="s">
        <v>6452</v>
      </c>
      <c r="D2980" s="164">
        <v>2404</v>
      </c>
      <c r="E2980" s="164">
        <v>2422</v>
      </c>
      <c r="F2980" s="164" t="s">
        <v>3955</v>
      </c>
      <c r="G2980" s="164"/>
      <c r="H2980" s="168"/>
      <c r="I2980" s="168"/>
      <c r="J2980" s="168"/>
      <c r="K2980" s="181"/>
      <c r="L2980" s="169"/>
      <c r="M2980" s="129"/>
      <c r="N2980" s="129"/>
      <c r="O2980" s="129"/>
      <c r="P2980" s="146"/>
      <c r="Q2980" s="170"/>
      <c r="R2980" s="171"/>
      <c r="S2980" s="172"/>
    </row>
    <row r="2981" spans="1:19" ht="42.75">
      <c r="A2981" s="164" t="s">
        <v>780</v>
      </c>
      <c r="B2981" s="165" t="s">
        <v>1546</v>
      </c>
      <c r="C2981" s="165" t="s">
        <v>892</v>
      </c>
      <c r="D2981" s="164">
        <v>6070</v>
      </c>
      <c r="E2981" s="164">
        <v>6593</v>
      </c>
      <c r="F2981" s="164" t="s">
        <v>3955</v>
      </c>
      <c r="G2981" s="164"/>
      <c r="H2981" s="168"/>
      <c r="I2981" s="168"/>
      <c r="J2981" s="168"/>
      <c r="K2981" s="181"/>
      <c r="L2981" s="169"/>
      <c r="M2981" s="129"/>
      <c r="N2981" s="129"/>
      <c r="O2981" s="129"/>
      <c r="P2981" s="146"/>
      <c r="Q2981" s="170"/>
      <c r="R2981" s="171"/>
      <c r="S2981" s="172"/>
    </row>
    <row r="2982" spans="1:19" ht="42.75">
      <c r="A2982" s="164" t="s">
        <v>780</v>
      </c>
      <c r="B2982" s="165" t="s">
        <v>1546</v>
      </c>
      <c r="C2982" s="165" t="s">
        <v>4242</v>
      </c>
      <c r="D2982" s="164">
        <v>43632</v>
      </c>
      <c r="E2982" s="164">
        <v>47034</v>
      </c>
      <c r="F2982" s="164" t="s">
        <v>3955</v>
      </c>
      <c r="G2982" s="164"/>
      <c r="H2982" s="168"/>
      <c r="I2982" s="168"/>
      <c r="J2982" s="168"/>
      <c r="K2982" s="181"/>
      <c r="L2982" s="169"/>
      <c r="M2982" s="129"/>
      <c r="N2982" s="129"/>
      <c r="O2982" s="129"/>
      <c r="P2982" s="146"/>
      <c r="Q2982" s="170"/>
      <c r="R2982" s="171"/>
      <c r="S2982" s="172"/>
    </row>
    <row r="2983" spans="1:19" ht="42.75">
      <c r="A2983" s="164" t="s">
        <v>780</v>
      </c>
      <c r="B2983" s="165" t="s">
        <v>1546</v>
      </c>
      <c r="C2983" s="165" t="s">
        <v>6458</v>
      </c>
      <c r="D2983" s="164">
        <v>8007</v>
      </c>
      <c r="E2983" s="164">
        <v>8433</v>
      </c>
      <c r="F2983" s="164" t="s">
        <v>3955</v>
      </c>
      <c r="G2983" s="164"/>
      <c r="H2983" s="168"/>
      <c r="I2983" s="168"/>
      <c r="J2983" s="168"/>
      <c r="K2983" s="181"/>
      <c r="L2983" s="169"/>
      <c r="M2983" s="129"/>
      <c r="N2983" s="129"/>
      <c r="O2983" s="129"/>
      <c r="P2983" s="146"/>
      <c r="Q2983" s="170"/>
      <c r="R2983" s="171"/>
      <c r="S2983" s="172"/>
    </row>
    <row r="2984" spans="1:19" ht="42.75">
      <c r="A2984" s="164" t="s">
        <v>780</v>
      </c>
      <c r="B2984" s="165" t="s">
        <v>1546</v>
      </c>
      <c r="C2984" s="165" t="s">
        <v>6460</v>
      </c>
      <c r="D2984" s="164">
        <v>6926</v>
      </c>
      <c r="E2984" s="164">
        <v>7179</v>
      </c>
      <c r="F2984" s="164" t="s">
        <v>3955</v>
      </c>
      <c r="G2984" s="164"/>
      <c r="H2984" s="168"/>
      <c r="I2984" s="168"/>
      <c r="J2984" s="168"/>
      <c r="K2984" s="181"/>
      <c r="L2984" s="169"/>
      <c r="M2984" s="129"/>
      <c r="N2984" s="129"/>
      <c r="O2984" s="129"/>
      <c r="P2984" s="146"/>
      <c r="Q2984" s="170"/>
      <c r="R2984" s="171"/>
      <c r="S2984" s="172"/>
    </row>
    <row r="2985" spans="1:19" ht="42.75">
      <c r="A2985" s="164" t="s">
        <v>780</v>
      </c>
      <c r="B2985" s="165" t="s">
        <v>1546</v>
      </c>
      <c r="C2985" s="165" t="s">
        <v>6456</v>
      </c>
      <c r="D2985" s="164">
        <v>19274</v>
      </c>
      <c r="E2985" s="164">
        <v>23401</v>
      </c>
      <c r="F2985" s="164" t="s">
        <v>3955</v>
      </c>
      <c r="G2985" s="164"/>
      <c r="H2985" s="168"/>
      <c r="I2985" s="168"/>
      <c r="J2985" s="168"/>
      <c r="K2985" s="181"/>
      <c r="L2985" s="169"/>
      <c r="M2985" s="129"/>
      <c r="N2985" s="129"/>
      <c r="O2985" s="129"/>
      <c r="P2985" s="146"/>
      <c r="Q2985" s="170"/>
      <c r="R2985" s="171"/>
      <c r="S2985" s="172"/>
    </row>
    <row r="2986" spans="1:19" ht="60">
      <c r="A2986" s="164" t="s">
        <v>780</v>
      </c>
      <c r="B2986" s="165" t="s">
        <v>1221</v>
      </c>
      <c r="C2986" s="165" t="s">
        <v>6462</v>
      </c>
      <c r="D2986" s="164">
        <v>672</v>
      </c>
      <c r="E2986" s="164">
        <v>820</v>
      </c>
      <c r="F2986" s="164" t="s">
        <v>3404</v>
      </c>
      <c r="G2986" s="164">
        <v>2024</v>
      </c>
      <c r="H2986" s="258">
        <v>45447</v>
      </c>
      <c r="I2986" s="258">
        <v>45457</v>
      </c>
      <c r="J2986" s="261" t="s">
        <v>7572</v>
      </c>
      <c r="K2986" s="260">
        <v>45462</v>
      </c>
      <c r="L2986" s="169" t="s">
        <v>3689</v>
      </c>
      <c r="M2986" s="129" t="s">
        <v>1078</v>
      </c>
      <c r="N2986" s="129" t="s">
        <v>57</v>
      </c>
      <c r="O2986" s="129" t="s">
        <v>3406</v>
      </c>
      <c r="P2986" s="146"/>
      <c r="Q2986" s="130">
        <v>45462</v>
      </c>
      <c r="R2986" s="171" t="s">
        <v>7573</v>
      </c>
      <c r="S2986" s="172"/>
    </row>
    <row r="2987" spans="1:19" ht="42.75">
      <c r="A2987" s="164" t="s">
        <v>780</v>
      </c>
      <c r="B2987" s="165" t="s">
        <v>1221</v>
      </c>
      <c r="C2987" s="165" t="s">
        <v>6463</v>
      </c>
      <c r="D2987" s="164">
        <v>1912</v>
      </c>
      <c r="E2987" s="164">
        <v>2010</v>
      </c>
      <c r="F2987" s="164" t="s">
        <v>3404</v>
      </c>
      <c r="G2987" s="164">
        <v>2024</v>
      </c>
      <c r="H2987" s="258">
        <v>45447</v>
      </c>
      <c r="I2987" s="258">
        <v>45457</v>
      </c>
      <c r="J2987" s="261" t="s">
        <v>7574</v>
      </c>
      <c r="K2987" s="260">
        <v>45462</v>
      </c>
      <c r="L2987" s="169" t="s">
        <v>3689</v>
      </c>
      <c r="M2987" s="129" t="s">
        <v>6701</v>
      </c>
      <c r="N2987" s="129" t="s">
        <v>3528</v>
      </c>
      <c r="O2987" s="129" t="s">
        <v>3406</v>
      </c>
      <c r="P2987" s="146"/>
      <c r="Q2987" s="130">
        <v>45462</v>
      </c>
      <c r="R2987" s="171"/>
      <c r="S2987" s="172"/>
    </row>
    <row r="2988" spans="1:19" ht="42.75">
      <c r="A2988" s="164" t="s">
        <v>780</v>
      </c>
      <c r="B2988" s="165" t="s">
        <v>1221</v>
      </c>
      <c r="C2988" s="165" t="s">
        <v>6464</v>
      </c>
      <c r="D2988" s="164">
        <v>4939</v>
      </c>
      <c r="E2988" s="164">
        <v>5284</v>
      </c>
      <c r="F2988" s="164" t="s">
        <v>3955</v>
      </c>
      <c r="G2988" s="164">
        <v>2025</v>
      </c>
      <c r="H2988" s="168"/>
      <c r="I2988" s="168"/>
      <c r="J2988" s="168"/>
      <c r="K2988" s="181"/>
      <c r="L2988" s="129" t="s">
        <v>3424</v>
      </c>
      <c r="M2988" s="129"/>
      <c r="N2988" s="129"/>
      <c r="O2988" s="129"/>
      <c r="P2988" s="146"/>
      <c r="Q2988" s="170"/>
      <c r="R2988" s="171"/>
      <c r="S2988" s="172"/>
    </row>
    <row r="2989" spans="1:19" ht="42.75">
      <c r="A2989" s="164" t="s">
        <v>780</v>
      </c>
      <c r="B2989" s="165" t="s">
        <v>1221</v>
      </c>
      <c r="C2989" s="165" t="s">
        <v>6466</v>
      </c>
      <c r="D2989" s="164">
        <v>1081</v>
      </c>
      <c r="E2989" s="164">
        <v>1142</v>
      </c>
      <c r="F2989" s="164" t="s">
        <v>3404</v>
      </c>
      <c r="G2989" s="164">
        <v>2024</v>
      </c>
      <c r="H2989" s="258">
        <v>45616</v>
      </c>
      <c r="I2989" s="258">
        <v>45619</v>
      </c>
      <c r="J2989" s="274" t="s">
        <v>7575</v>
      </c>
      <c r="K2989" s="260">
        <v>45621</v>
      </c>
      <c r="L2989" s="169" t="s">
        <v>7576</v>
      </c>
      <c r="M2989" s="129" t="s">
        <v>4</v>
      </c>
      <c r="N2989" s="129" t="s">
        <v>50</v>
      </c>
      <c r="O2989" s="129" t="s">
        <v>3406</v>
      </c>
      <c r="P2989" s="146"/>
      <c r="Q2989" s="170">
        <v>45622</v>
      </c>
      <c r="R2989" s="171" t="s">
        <v>150</v>
      </c>
      <c r="S2989" s="172"/>
    </row>
    <row r="2990" spans="1:19" ht="42.75">
      <c r="A2990" s="164" t="s">
        <v>780</v>
      </c>
      <c r="B2990" s="165" t="s">
        <v>1221</v>
      </c>
      <c r="C2990" s="165" t="s">
        <v>6468</v>
      </c>
      <c r="D2990" s="164">
        <v>1369</v>
      </c>
      <c r="E2990" s="164">
        <v>1461</v>
      </c>
      <c r="F2990" s="164" t="s">
        <v>3404</v>
      </c>
      <c r="G2990" s="164">
        <v>2024</v>
      </c>
      <c r="H2990" s="258">
        <v>45616</v>
      </c>
      <c r="I2990" s="258">
        <v>45619</v>
      </c>
      <c r="J2990" s="261" t="s">
        <v>7577</v>
      </c>
      <c r="K2990" s="260">
        <v>45621</v>
      </c>
      <c r="L2990" s="169" t="s">
        <v>7576</v>
      </c>
      <c r="M2990" s="129" t="s">
        <v>6701</v>
      </c>
      <c r="N2990" s="129" t="s">
        <v>3528</v>
      </c>
      <c r="O2990" s="129" t="s">
        <v>3406</v>
      </c>
      <c r="P2990" s="146"/>
      <c r="Q2990" s="170">
        <v>45622</v>
      </c>
      <c r="R2990" s="171" t="s">
        <v>150</v>
      </c>
      <c r="S2990" s="172"/>
    </row>
    <row r="2991" spans="1:19" ht="42.75">
      <c r="A2991" s="164" t="s">
        <v>780</v>
      </c>
      <c r="B2991" s="165" t="s">
        <v>1221</v>
      </c>
      <c r="C2991" s="165" t="s">
        <v>6469</v>
      </c>
      <c r="D2991" s="164">
        <v>740</v>
      </c>
      <c r="E2991" s="164">
        <v>896</v>
      </c>
      <c r="F2991" s="164" t="s">
        <v>3404</v>
      </c>
      <c r="G2991" s="164">
        <v>2024</v>
      </c>
      <c r="H2991" s="258">
        <v>45539</v>
      </c>
      <c r="I2991" s="258">
        <v>45546</v>
      </c>
      <c r="J2991" s="300" t="s">
        <v>7578</v>
      </c>
      <c r="K2991" s="260">
        <v>45552</v>
      </c>
      <c r="L2991" s="169" t="s">
        <v>3127</v>
      </c>
      <c r="M2991" s="129" t="s">
        <v>1078</v>
      </c>
      <c r="N2991" s="129" t="s">
        <v>50</v>
      </c>
      <c r="O2991" s="129" t="s">
        <v>3406</v>
      </c>
      <c r="P2991" s="146"/>
      <c r="Q2991" s="170">
        <v>45552</v>
      </c>
      <c r="R2991" s="171" t="s">
        <v>150</v>
      </c>
      <c r="S2991" s="172"/>
    </row>
    <row r="2992" spans="1:19" ht="42.75">
      <c r="A2992" s="164" t="s">
        <v>780</v>
      </c>
      <c r="B2992" s="165" t="s">
        <v>1221</v>
      </c>
      <c r="C2992" s="165" t="s">
        <v>6470</v>
      </c>
      <c r="D2992" s="164">
        <v>3435</v>
      </c>
      <c r="E2992" s="164">
        <v>3613</v>
      </c>
      <c r="F2992" s="164" t="s">
        <v>3955</v>
      </c>
      <c r="G2992" s="164"/>
      <c r="H2992" s="168"/>
      <c r="I2992" s="168"/>
      <c r="J2992" s="168"/>
      <c r="K2992" s="181"/>
      <c r="L2992" s="169"/>
      <c r="M2992" s="129"/>
      <c r="N2992" s="129"/>
      <c r="O2992" s="129"/>
      <c r="P2992" s="146"/>
      <c r="Q2992" s="170"/>
      <c r="R2992" s="171"/>
      <c r="S2992" s="172"/>
    </row>
    <row r="2993" spans="1:19" ht="42.75">
      <c r="A2993" s="164" t="s">
        <v>780</v>
      </c>
      <c r="B2993" s="165" t="s">
        <v>1221</v>
      </c>
      <c r="C2993" s="165" t="s">
        <v>6472</v>
      </c>
      <c r="D2993" s="164">
        <v>2707</v>
      </c>
      <c r="E2993" s="164">
        <v>2906</v>
      </c>
      <c r="F2993" s="164" t="s">
        <v>3955</v>
      </c>
      <c r="G2993" s="164"/>
      <c r="H2993" s="168"/>
      <c r="I2993" s="168"/>
      <c r="J2993" s="168"/>
      <c r="K2993" s="181"/>
      <c r="L2993" s="169"/>
      <c r="M2993" s="129"/>
      <c r="N2993" s="129"/>
      <c r="O2993" s="129"/>
      <c r="P2993" s="146"/>
      <c r="Q2993" s="170"/>
      <c r="R2993" s="171"/>
      <c r="S2993" s="172"/>
    </row>
    <row r="2994" spans="1:19" ht="42.75">
      <c r="A2994" s="164" t="s">
        <v>780</v>
      </c>
      <c r="B2994" s="165" t="s">
        <v>1221</v>
      </c>
      <c r="C2994" s="165" t="s">
        <v>6474</v>
      </c>
      <c r="D2994" s="164">
        <v>1597</v>
      </c>
      <c r="E2994" s="164">
        <v>1938</v>
      </c>
      <c r="F2994" s="164" t="s">
        <v>3955</v>
      </c>
      <c r="G2994" s="164"/>
      <c r="H2994" s="168"/>
      <c r="I2994" s="168"/>
      <c r="J2994" s="168"/>
      <c r="K2994" s="181"/>
      <c r="L2994" s="169"/>
      <c r="M2994" s="129"/>
      <c r="N2994" s="129"/>
      <c r="O2994" s="129"/>
      <c r="P2994" s="146"/>
      <c r="Q2994" s="170"/>
      <c r="R2994" s="171"/>
      <c r="S2994" s="172"/>
    </row>
    <row r="2995" spans="1:19" ht="60">
      <c r="A2995" s="164" t="s">
        <v>780</v>
      </c>
      <c r="B2995" s="165" t="s">
        <v>1221</v>
      </c>
      <c r="C2995" s="165" t="s">
        <v>6476</v>
      </c>
      <c r="D2995" s="164">
        <v>1545</v>
      </c>
      <c r="E2995" s="164">
        <v>1746</v>
      </c>
      <c r="F2995" s="164" t="s">
        <v>3404</v>
      </c>
      <c r="G2995" s="164">
        <v>2024</v>
      </c>
      <c r="H2995" s="258">
        <v>45447</v>
      </c>
      <c r="I2995" s="258">
        <v>45457</v>
      </c>
      <c r="J2995" s="261" t="s">
        <v>7579</v>
      </c>
      <c r="K2995" s="260">
        <v>45462</v>
      </c>
      <c r="L2995" s="169" t="s">
        <v>3689</v>
      </c>
      <c r="M2995" s="129" t="s">
        <v>1078</v>
      </c>
      <c r="N2995" s="129" t="s">
        <v>57</v>
      </c>
      <c r="O2995" s="129" t="s">
        <v>3406</v>
      </c>
      <c r="P2995" s="146"/>
      <c r="Q2995" s="170">
        <v>45462</v>
      </c>
      <c r="R2995" s="171" t="s">
        <v>7580</v>
      </c>
      <c r="S2995" s="172"/>
    </row>
    <row r="2996" spans="1:19" ht="42.75">
      <c r="A2996" s="164" t="s">
        <v>780</v>
      </c>
      <c r="B2996" s="165" t="s">
        <v>1221</v>
      </c>
      <c r="C2996" s="165" t="s">
        <v>6477</v>
      </c>
      <c r="D2996" s="164">
        <v>373</v>
      </c>
      <c r="E2996" s="164">
        <v>419</v>
      </c>
      <c r="F2996" s="164" t="s">
        <v>3955</v>
      </c>
      <c r="G2996" s="164"/>
      <c r="H2996" s="168"/>
      <c r="I2996" s="168"/>
      <c r="J2996" s="191"/>
      <c r="K2996" s="181"/>
      <c r="L2996" s="169"/>
      <c r="M2996" s="129"/>
      <c r="N2996" s="129"/>
      <c r="O2996" s="129"/>
      <c r="P2996" s="146"/>
      <c r="Q2996" s="170"/>
      <c r="R2996" s="171"/>
      <c r="S2996" s="172"/>
    </row>
    <row r="2997" spans="1:19" ht="42.75">
      <c r="A2997" s="164" t="s">
        <v>780</v>
      </c>
      <c r="B2997" s="165" t="s">
        <v>1221</v>
      </c>
      <c r="C2997" s="165" t="s">
        <v>6478</v>
      </c>
      <c r="D2997" s="164">
        <v>1791</v>
      </c>
      <c r="E2997" s="164">
        <v>2430</v>
      </c>
      <c r="F2997" s="164" t="s">
        <v>3404</v>
      </c>
      <c r="G2997" s="164">
        <v>2024</v>
      </c>
      <c r="H2997" s="258">
        <v>45539</v>
      </c>
      <c r="I2997" s="262">
        <v>45544</v>
      </c>
      <c r="J2997" s="266" t="s">
        <v>7581</v>
      </c>
      <c r="K2997" s="264">
        <v>45552</v>
      </c>
      <c r="L2997" s="169" t="s">
        <v>3127</v>
      </c>
      <c r="M2997" s="129" t="s">
        <v>1078</v>
      </c>
      <c r="N2997" s="129" t="s">
        <v>50</v>
      </c>
      <c r="O2997" s="129" t="s">
        <v>3406</v>
      </c>
      <c r="P2997" s="146"/>
      <c r="Q2997" s="170">
        <v>45553</v>
      </c>
      <c r="R2997" s="171" t="s">
        <v>150</v>
      </c>
      <c r="S2997" s="172"/>
    </row>
    <row r="2998" spans="1:19" ht="42.75">
      <c r="A2998" s="164" t="s">
        <v>780</v>
      </c>
      <c r="B2998" s="165" t="s">
        <v>1221</v>
      </c>
      <c r="C2998" s="165" t="s">
        <v>6467</v>
      </c>
      <c r="D2998" s="164">
        <v>1641</v>
      </c>
      <c r="E2998" s="164">
        <v>1778</v>
      </c>
      <c r="F2998" s="164" t="s">
        <v>3404</v>
      </c>
      <c r="G2998" s="164">
        <v>2024</v>
      </c>
      <c r="H2998" s="258">
        <v>45539</v>
      </c>
      <c r="I2998" s="262">
        <v>45546</v>
      </c>
      <c r="J2998" s="266" t="s">
        <v>7582</v>
      </c>
      <c r="K2998" s="264">
        <v>45552</v>
      </c>
      <c r="L2998" s="169" t="s">
        <v>3127</v>
      </c>
      <c r="M2998" s="129" t="s">
        <v>1078</v>
      </c>
      <c r="N2998" s="129" t="s">
        <v>50</v>
      </c>
      <c r="O2998" s="129" t="s">
        <v>3406</v>
      </c>
      <c r="P2998" s="146"/>
      <c r="Q2998" s="170">
        <v>45552</v>
      </c>
      <c r="R2998" s="171" t="s">
        <v>150</v>
      </c>
      <c r="S2998" s="172"/>
    </row>
    <row r="2999" spans="1:19" ht="42.75">
      <c r="A2999" s="164" t="s">
        <v>780</v>
      </c>
      <c r="B2999" s="165" t="s">
        <v>1221</v>
      </c>
      <c r="C2999" s="165" t="s">
        <v>5018</v>
      </c>
      <c r="D2999" s="164">
        <v>1101</v>
      </c>
      <c r="E2999" s="164">
        <v>1182</v>
      </c>
      <c r="F2999" s="164" t="s">
        <v>3404</v>
      </c>
      <c r="G2999" s="164">
        <v>2024</v>
      </c>
      <c r="H2999" s="258">
        <v>45616</v>
      </c>
      <c r="I2999" s="262">
        <v>45619</v>
      </c>
      <c r="J2999" s="266" t="s">
        <v>7583</v>
      </c>
      <c r="K2999" s="264">
        <v>45621</v>
      </c>
      <c r="L2999" s="169" t="s">
        <v>7576</v>
      </c>
      <c r="M2999" s="129" t="s">
        <v>6701</v>
      </c>
      <c r="N2999" s="129" t="s">
        <v>3528</v>
      </c>
      <c r="O2999" s="129" t="s">
        <v>3406</v>
      </c>
      <c r="P2999" s="146"/>
      <c r="Q2999" s="170">
        <v>45622</v>
      </c>
      <c r="R2999" s="171" t="s">
        <v>150</v>
      </c>
      <c r="S2999" s="172"/>
    </row>
    <row r="3000" spans="1:19" ht="42.75">
      <c r="A3000" s="164" t="s">
        <v>780</v>
      </c>
      <c r="B3000" s="165" t="s">
        <v>1221</v>
      </c>
      <c r="C3000" s="165" t="s">
        <v>1222</v>
      </c>
      <c r="D3000" s="164">
        <v>4126</v>
      </c>
      <c r="E3000" s="164">
        <v>5130</v>
      </c>
      <c r="F3000" s="164" t="s">
        <v>3404</v>
      </c>
      <c r="G3000" s="164">
        <v>2024</v>
      </c>
      <c r="H3000" s="258">
        <v>45539</v>
      </c>
      <c r="I3000" s="262">
        <v>45544</v>
      </c>
      <c r="J3000" s="266" t="s">
        <v>7584</v>
      </c>
      <c r="K3000" s="264">
        <v>45552</v>
      </c>
      <c r="L3000" s="169" t="s">
        <v>3127</v>
      </c>
      <c r="M3000" s="129" t="s">
        <v>1078</v>
      </c>
      <c r="N3000" s="129" t="s">
        <v>50</v>
      </c>
      <c r="O3000" s="129" t="s">
        <v>3406</v>
      </c>
      <c r="P3000" s="146"/>
      <c r="Q3000" s="170">
        <v>45552</v>
      </c>
      <c r="R3000" s="171" t="s">
        <v>150</v>
      </c>
      <c r="S3000" s="172"/>
    </row>
    <row r="3001" spans="1:19" ht="42.75">
      <c r="A3001" s="164" t="s">
        <v>780</v>
      </c>
      <c r="B3001" s="165" t="s">
        <v>1221</v>
      </c>
      <c r="C3001" s="165" t="s">
        <v>918</v>
      </c>
      <c r="D3001" s="164">
        <v>1209</v>
      </c>
      <c r="E3001" s="164">
        <v>1352</v>
      </c>
      <c r="F3001" s="164" t="s">
        <v>3404</v>
      </c>
      <c r="G3001" s="164">
        <v>2024</v>
      </c>
      <c r="H3001" s="258">
        <v>45539</v>
      </c>
      <c r="I3001" s="262">
        <v>45546</v>
      </c>
      <c r="J3001" s="263" t="s">
        <v>7585</v>
      </c>
      <c r="K3001" s="264">
        <v>45552</v>
      </c>
      <c r="L3001" s="169" t="s">
        <v>3127</v>
      </c>
      <c r="M3001" s="129" t="s">
        <v>1078</v>
      </c>
      <c r="N3001" s="129" t="s">
        <v>50</v>
      </c>
      <c r="O3001" s="129" t="s">
        <v>3406</v>
      </c>
      <c r="P3001" s="146"/>
      <c r="Q3001" s="170">
        <v>45552</v>
      </c>
      <c r="R3001" s="171" t="s">
        <v>150</v>
      </c>
      <c r="S3001" s="172"/>
    </row>
    <row r="3002" spans="1:19" ht="42.75">
      <c r="A3002" s="164" t="s">
        <v>780</v>
      </c>
      <c r="B3002" s="165" t="s">
        <v>1221</v>
      </c>
      <c r="C3002" s="165" t="s">
        <v>3727</v>
      </c>
      <c r="D3002" s="164">
        <v>1739</v>
      </c>
      <c r="E3002" s="164">
        <v>2075</v>
      </c>
      <c r="F3002" s="164" t="s">
        <v>3955</v>
      </c>
      <c r="G3002" s="164"/>
      <c r="H3002" s="168"/>
      <c r="I3002" s="267"/>
      <c r="J3002" s="181"/>
      <c r="K3002" s="265"/>
      <c r="L3002" s="169"/>
      <c r="M3002" s="129"/>
      <c r="N3002" s="129"/>
      <c r="O3002" s="129"/>
      <c r="P3002" s="146"/>
      <c r="Q3002" s="170"/>
      <c r="R3002" s="171"/>
      <c r="S3002" s="172"/>
    </row>
    <row r="3003" spans="1:19" ht="42.75">
      <c r="A3003" s="164" t="s">
        <v>780</v>
      </c>
      <c r="B3003" s="165" t="s">
        <v>1221</v>
      </c>
      <c r="C3003" s="165" t="s">
        <v>3566</v>
      </c>
      <c r="D3003" s="164">
        <v>1384</v>
      </c>
      <c r="E3003" s="164">
        <v>1744</v>
      </c>
      <c r="F3003" s="164" t="s">
        <v>3404</v>
      </c>
      <c r="G3003" s="164">
        <v>2024</v>
      </c>
      <c r="H3003" s="258">
        <v>45447</v>
      </c>
      <c r="I3003" s="262">
        <v>45457</v>
      </c>
      <c r="J3003" s="266" t="s">
        <v>7586</v>
      </c>
      <c r="K3003" s="264">
        <v>45462</v>
      </c>
      <c r="L3003" s="169" t="s">
        <v>3689</v>
      </c>
      <c r="M3003" s="129" t="s">
        <v>4</v>
      </c>
      <c r="N3003" s="129" t="s">
        <v>57</v>
      </c>
      <c r="O3003" s="129" t="s">
        <v>3406</v>
      </c>
      <c r="P3003" s="146"/>
      <c r="Q3003" s="130">
        <v>45462</v>
      </c>
      <c r="R3003" s="171"/>
      <c r="S3003" s="172"/>
    </row>
    <row r="3004" spans="1:19" ht="42.75">
      <c r="A3004" s="164" t="s">
        <v>780</v>
      </c>
      <c r="B3004" s="165" t="s">
        <v>1221</v>
      </c>
      <c r="C3004" s="165" t="s">
        <v>7587</v>
      </c>
      <c r="D3004" s="164">
        <v>1586</v>
      </c>
      <c r="E3004" s="164">
        <v>1858</v>
      </c>
      <c r="F3004" s="164" t="s">
        <v>3955</v>
      </c>
      <c r="G3004" s="164"/>
      <c r="H3004" s="168"/>
      <c r="I3004" s="168"/>
      <c r="J3004" s="168"/>
      <c r="K3004" s="181"/>
      <c r="L3004" s="169"/>
      <c r="M3004" s="129"/>
      <c r="N3004" s="129"/>
      <c r="O3004" s="129"/>
      <c r="P3004" s="146"/>
      <c r="Q3004" s="170"/>
      <c r="R3004" s="171"/>
      <c r="S3004" s="172"/>
    </row>
    <row r="3005" spans="1:19" ht="42.75">
      <c r="A3005" s="164" t="s">
        <v>780</v>
      </c>
      <c r="B3005" s="165" t="s">
        <v>914</v>
      </c>
      <c r="C3005" s="165" t="s">
        <v>1916</v>
      </c>
      <c r="D3005" s="164">
        <v>1854</v>
      </c>
      <c r="E3005" s="164">
        <v>2136</v>
      </c>
      <c r="F3005" s="164" t="s">
        <v>3955</v>
      </c>
      <c r="G3005" s="164"/>
      <c r="H3005" s="168"/>
      <c r="I3005" s="168"/>
      <c r="J3005" s="168"/>
      <c r="K3005" s="181"/>
      <c r="L3005" s="169"/>
      <c r="M3005" s="129"/>
      <c r="N3005" s="129"/>
      <c r="O3005" s="129"/>
      <c r="P3005" s="146"/>
      <c r="Q3005" s="170"/>
      <c r="R3005" s="171"/>
      <c r="S3005" s="172"/>
    </row>
    <row r="3006" spans="1:19" ht="42.75">
      <c r="A3006" s="164" t="s">
        <v>780</v>
      </c>
      <c r="B3006" s="165" t="s">
        <v>914</v>
      </c>
      <c r="C3006" s="165" t="s">
        <v>6483</v>
      </c>
      <c r="D3006" s="164">
        <v>1765</v>
      </c>
      <c r="E3006" s="164">
        <v>1940</v>
      </c>
      <c r="F3006" s="164" t="s">
        <v>3955</v>
      </c>
      <c r="G3006" s="164"/>
      <c r="H3006" s="168"/>
      <c r="I3006" s="191"/>
      <c r="J3006" s="191"/>
      <c r="K3006" s="272"/>
      <c r="L3006" s="169"/>
      <c r="M3006" s="129"/>
      <c r="N3006" s="129"/>
      <c r="O3006" s="129"/>
      <c r="P3006" s="146"/>
      <c r="Q3006" s="170"/>
      <c r="R3006" s="171"/>
      <c r="S3006" s="172"/>
    </row>
    <row r="3007" spans="1:19" ht="42.75">
      <c r="A3007" s="164" t="s">
        <v>780</v>
      </c>
      <c r="B3007" s="165" t="s">
        <v>914</v>
      </c>
      <c r="C3007" s="165" t="s">
        <v>3674</v>
      </c>
      <c r="D3007" s="164">
        <v>5215</v>
      </c>
      <c r="E3007" s="164">
        <v>5898</v>
      </c>
      <c r="F3007" s="164" t="s">
        <v>3404</v>
      </c>
      <c r="G3007" s="164">
        <v>2024</v>
      </c>
      <c r="H3007" s="262">
        <v>45569</v>
      </c>
      <c r="I3007" s="260">
        <v>45569</v>
      </c>
      <c r="J3007" s="266" t="s">
        <v>7588</v>
      </c>
      <c r="K3007" s="260">
        <v>45574</v>
      </c>
      <c r="L3007" s="237" t="s">
        <v>3970</v>
      </c>
      <c r="M3007" s="129" t="s">
        <v>4</v>
      </c>
      <c r="N3007" s="129" t="s">
        <v>50</v>
      </c>
      <c r="O3007" s="129" t="s">
        <v>3406</v>
      </c>
      <c r="P3007" s="146"/>
      <c r="Q3007" s="189">
        <v>45575</v>
      </c>
      <c r="R3007" s="115" t="s">
        <v>150</v>
      </c>
      <c r="S3007" s="163"/>
    </row>
    <row r="3008" spans="1:19" ht="42.75">
      <c r="A3008" s="164" t="s">
        <v>780</v>
      </c>
      <c r="B3008" s="165" t="s">
        <v>914</v>
      </c>
      <c r="C3008" s="165" t="s">
        <v>6493</v>
      </c>
      <c r="D3008" s="164">
        <v>3147</v>
      </c>
      <c r="E3008" s="164">
        <v>3845</v>
      </c>
      <c r="F3008" s="164" t="s">
        <v>3404</v>
      </c>
      <c r="G3008" s="164">
        <v>2024</v>
      </c>
      <c r="H3008" s="262">
        <v>45569</v>
      </c>
      <c r="I3008" s="260">
        <v>45569</v>
      </c>
      <c r="J3008" s="301" t="s">
        <v>7589</v>
      </c>
      <c r="K3008" s="260">
        <v>45574</v>
      </c>
      <c r="L3008" s="237" t="s">
        <v>3970</v>
      </c>
      <c r="M3008" s="129" t="s">
        <v>4</v>
      </c>
      <c r="N3008" s="129" t="s">
        <v>50</v>
      </c>
      <c r="O3008" s="129" t="s">
        <v>3406</v>
      </c>
      <c r="P3008" s="146"/>
      <c r="Q3008" s="189">
        <v>45575</v>
      </c>
      <c r="R3008" s="115" t="s">
        <v>150</v>
      </c>
      <c r="S3008" s="163"/>
    </row>
    <row r="3009" spans="1:19" ht="42.75">
      <c r="A3009" s="164" t="s">
        <v>780</v>
      </c>
      <c r="B3009" s="165" t="s">
        <v>914</v>
      </c>
      <c r="C3009" s="165" t="s">
        <v>6485</v>
      </c>
      <c r="D3009" s="164">
        <v>3573</v>
      </c>
      <c r="E3009" s="164">
        <v>3852</v>
      </c>
      <c r="F3009" s="164" t="s">
        <v>3404</v>
      </c>
      <c r="G3009" s="164">
        <v>2024</v>
      </c>
      <c r="H3009" s="262">
        <v>45569</v>
      </c>
      <c r="I3009" s="260">
        <v>45569</v>
      </c>
      <c r="J3009" s="301" t="s">
        <v>7590</v>
      </c>
      <c r="K3009" s="260">
        <v>45574</v>
      </c>
      <c r="L3009" s="237" t="s">
        <v>3128</v>
      </c>
      <c r="M3009" s="129" t="s">
        <v>4</v>
      </c>
      <c r="N3009" s="129" t="s">
        <v>50</v>
      </c>
      <c r="O3009" s="129" t="s">
        <v>3406</v>
      </c>
      <c r="P3009" s="146"/>
      <c r="Q3009" s="189">
        <v>45575</v>
      </c>
      <c r="R3009" s="115" t="s">
        <v>150</v>
      </c>
      <c r="S3009" s="163"/>
    </row>
    <row r="3010" spans="1:19" ht="42.75">
      <c r="A3010" s="164" t="s">
        <v>780</v>
      </c>
      <c r="B3010" s="165" t="s">
        <v>914</v>
      </c>
      <c r="C3010" s="165" t="s">
        <v>6487</v>
      </c>
      <c r="D3010" s="164">
        <v>2792</v>
      </c>
      <c r="E3010" s="164">
        <v>2675</v>
      </c>
      <c r="F3010" s="164" t="s">
        <v>3955</v>
      </c>
      <c r="G3010" s="164"/>
      <c r="H3010" s="168"/>
      <c r="I3010" s="168"/>
      <c r="J3010" s="168"/>
      <c r="K3010" s="240"/>
      <c r="L3010" s="169"/>
      <c r="M3010" s="129"/>
      <c r="N3010" s="129"/>
      <c r="O3010" s="129"/>
      <c r="P3010" s="146"/>
      <c r="Q3010" s="170"/>
      <c r="R3010" s="171"/>
      <c r="S3010" s="172"/>
    </row>
    <row r="3011" spans="1:19" ht="42.75">
      <c r="A3011" s="164" t="s">
        <v>780</v>
      </c>
      <c r="B3011" s="165" t="s">
        <v>914</v>
      </c>
      <c r="C3011" s="165" t="s">
        <v>1550</v>
      </c>
      <c r="D3011" s="164">
        <v>2878</v>
      </c>
      <c r="E3011" s="164">
        <v>3476</v>
      </c>
      <c r="F3011" s="164" t="s">
        <v>3404</v>
      </c>
      <c r="G3011" s="164">
        <v>2024</v>
      </c>
      <c r="H3011" s="258">
        <v>45427</v>
      </c>
      <c r="I3011" s="258">
        <v>45429</v>
      </c>
      <c r="J3011" s="261" t="s">
        <v>7591</v>
      </c>
      <c r="K3011" s="260">
        <v>45429</v>
      </c>
      <c r="L3011" s="169" t="s">
        <v>3532</v>
      </c>
      <c r="M3011" s="129" t="s">
        <v>4</v>
      </c>
      <c r="N3011" s="129" t="s">
        <v>50</v>
      </c>
      <c r="O3011" s="129" t="s">
        <v>3406</v>
      </c>
      <c r="P3011" s="146"/>
      <c r="Q3011" s="170">
        <v>45432</v>
      </c>
      <c r="R3011" s="171"/>
      <c r="S3011" s="172"/>
    </row>
    <row r="3012" spans="1:19" ht="42.75">
      <c r="A3012" s="164" t="s">
        <v>780</v>
      </c>
      <c r="B3012" s="165" t="s">
        <v>914</v>
      </c>
      <c r="C3012" s="165" t="s">
        <v>5065</v>
      </c>
      <c r="D3012" s="164">
        <v>1525</v>
      </c>
      <c r="E3012" s="164">
        <v>1671</v>
      </c>
      <c r="F3012" s="164" t="s">
        <v>3955</v>
      </c>
      <c r="G3012" s="164"/>
      <c r="H3012" s="168"/>
      <c r="I3012" s="168"/>
      <c r="J3012" s="168"/>
      <c r="K3012" s="181"/>
      <c r="L3012" s="169"/>
      <c r="M3012" s="129"/>
      <c r="N3012" s="129"/>
      <c r="O3012" s="129"/>
      <c r="P3012" s="146"/>
      <c r="Q3012" s="170"/>
      <c r="R3012" s="171"/>
      <c r="S3012" s="172"/>
    </row>
    <row r="3013" spans="1:19" ht="42.75">
      <c r="A3013" s="164" t="s">
        <v>780</v>
      </c>
      <c r="B3013" s="165" t="s">
        <v>914</v>
      </c>
      <c r="C3013" s="165" t="s">
        <v>6490</v>
      </c>
      <c r="D3013" s="164">
        <v>931</v>
      </c>
      <c r="E3013" s="164">
        <v>1013</v>
      </c>
      <c r="F3013" s="164" t="s">
        <v>3955</v>
      </c>
      <c r="G3013" s="164"/>
      <c r="H3013" s="168"/>
      <c r="I3013" s="168"/>
      <c r="J3013" s="168"/>
      <c r="K3013" s="181"/>
      <c r="L3013" s="169"/>
      <c r="M3013" s="129"/>
      <c r="N3013" s="129"/>
      <c r="O3013" s="129"/>
      <c r="P3013" s="146"/>
      <c r="Q3013" s="170"/>
      <c r="R3013" s="171"/>
      <c r="S3013" s="172"/>
    </row>
    <row r="3014" spans="1:19" ht="42.75">
      <c r="A3014" s="164" t="s">
        <v>780</v>
      </c>
      <c r="B3014" s="165" t="s">
        <v>914</v>
      </c>
      <c r="C3014" s="165" t="s">
        <v>3913</v>
      </c>
      <c r="D3014" s="164">
        <v>1645</v>
      </c>
      <c r="E3014" s="164">
        <v>1634</v>
      </c>
      <c r="F3014" s="164" t="s">
        <v>3404</v>
      </c>
      <c r="G3014" s="164">
        <v>2024</v>
      </c>
      <c r="H3014" s="258">
        <v>45611</v>
      </c>
      <c r="I3014" s="258">
        <v>45614</v>
      </c>
      <c r="J3014" s="274" t="s">
        <v>7592</v>
      </c>
      <c r="K3014" s="260">
        <v>45621</v>
      </c>
      <c r="L3014" s="169" t="s">
        <v>7576</v>
      </c>
      <c r="M3014" s="129" t="s">
        <v>4</v>
      </c>
      <c r="N3014" s="129" t="s">
        <v>50</v>
      </c>
      <c r="O3014" s="129" t="s">
        <v>3406</v>
      </c>
      <c r="P3014" s="146"/>
      <c r="Q3014" s="170">
        <v>45622</v>
      </c>
      <c r="R3014" s="171" t="s">
        <v>150</v>
      </c>
      <c r="S3014" s="172"/>
    </row>
    <row r="3015" spans="1:19" ht="42.75">
      <c r="A3015" s="164" t="s">
        <v>780</v>
      </c>
      <c r="B3015" s="165" t="s">
        <v>914</v>
      </c>
      <c r="C3015" s="165" t="s">
        <v>1151</v>
      </c>
      <c r="D3015" s="164">
        <v>4322</v>
      </c>
      <c r="E3015" s="164">
        <v>4079</v>
      </c>
      <c r="F3015" s="164" t="s">
        <v>3404</v>
      </c>
      <c r="G3015" s="164">
        <v>2024</v>
      </c>
      <c r="H3015" s="258">
        <v>45602</v>
      </c>
      <c r="I3015" s="258">
        <v>45605</v>
      </c>
      <c r="J3015" s="261" t="s">
        <v>7525</v>
      </c>
      <c r="K3015" s="260">
        <v>45616</v>
      </c>
      <c r="L3015" s="169" t="s">
        <v>3129</v>
      </c>
      <c r="M3015" s="129" t="s">
        <v>4</v>
      </c>
      <c r="N3015" s="129" t="s">
        <v>50</v>
      </c>
      <c r="O3015" s="129" t="s">
        <v>3406</v>
      </c>
      <c r="P3015" s="146"/>
      <c r="Q3015" s="170"/>
      <c r="R3015" s="171"/>
      <c r="S3015" s="172"/>
    </row>
    <row r="3016" spans="1:19" ht="42.75">
      <c r="A3016" s="164" t="s">
        <v>780</v>
      </c>
      <c r="B3016" s="165" t="s">
        <v>914</v>
      </c>
      <c r="C3016" s="165" t="s">
        <v>5659</v>
      </c>
      <c r="D3016" s="164">
        <v>2933</v>
      </c>
      <c r="E3016" s="164">
        <v>3223</v>
      </c>
      <c r="F3016" s="164" t="s">
        <v>3955</v>
      </c>
      <c r="G3016" s="164"/>
      <c r="H3016" s="168"/>
      <c r="I3016" s="168"/>
      <c r="J3016" s="168"/>
      <c r="K3016" s="181"/>
      <c r="L3016" s="169"/>
      <c r="M3016" s="129"/>
      <c r="N3016" s="129"/>
      <c r="O3016" s="129"/>
      <c r="P3016" s="146"/>
      <c r="Q3016" s="170"/>
      <c r="R3016" s="171"/>
      <c r="S3016" s="172"/>
    </row>
    <row r="3017" spans="1:19" ht="42.75">
      <c r="A3017" s="164" t="s">
        <v>780</v>
      </c>
      <c r="B3017" s="165" t="s">
        <v>914</v>
      </c>
      <c r="C3017" s="165" t="s">
        <v>1170</v>
      </c>
      <c r="D3017" s="164">
        <v>1513</v>
      </c>
      <c r="E3017" s="164">
        <v>1552</v>
      </c>
      <c r="F3017" s="164" t="s">
        <v>3955</v>
      </c>
      <c r="G3017" s="164"/>
      <c r="H3017" s="168"/>
      <c r="I3017" s="168"/>
      <c r="J3017" s="168"/>
      <c r="K3017" s="181"/>
      <c r="L3017" s="169"/>
      <c r="M3017" s="129"/>
      <c r="N3017" s="129"/>
      <c r="O3017" s="129"/>
      <c r="P3017" s="146"/>
      <c r="Q3017" s="170"/>
      <c r="R3017" s="171"/>
      <c r="S3017" s="172"/>
    </row>
    <row r="3018" spans="1:19" ht="42.75">
      <c r="A3018" s="164" t="s">
        <v>780</v>
      </c>
      <c r="B3018" s="165" t="s">
        <v>914</v>
      </c>
      <c r="C3018" s="165" t="s">
        <v>1299</v>
      </c>
      <c r="D3018" s="164">
        <v>568</v>
      </c>
      <c r="E3018" s="164">
        <v>456</v>
      </c>
      <c r="F3018" s="164" t="s">
        <v>3404</v>
      </c>
      <c r="G3018" s="164">
        <v>2024</v>
      </c>
      <c r="H3018" s="258">
        <v>45427</v>
      </c>
      <c r="I3018" s="258">
        <v>45429</v>
      </c>
      <c r="J3018" s="261" t="s">
        <v>7593</v>
      </c>
      <c r="K3018" s="260">
        <v>45429</v>
      </c>
      <c r="L3018" s="169" t="s">
        <v>3532</v>
      </c>
      <c r="M3018" s="129" t="s">
        <v>4</v>
      </c>
      <c r="N3018" s="129" t="s">
        <v>50</v>
      </c>
      <c r="O3018" s="129" t="s">
        <v>3406</v>
      </c>
      <c r="P3018" s="146"/>
      <c r="Q3018" s="170">
        <v>45432</v>
      </c>
      <c r="R3018" s="171"/>
      <c r="S3018" s="172"/>
    </row>
    <row r="3019" spans="1:19" ht="42.75">
      <c r="A3019" s="164" t="s">
        <v>780</v>
      </c>
      <c r="B3019" s="165" t="s">
        <v>1225</v>
      </c>
      <c r="C3019" s="165" t="s">
        <v>6494</v>
      </c>
      <c r="D3019" s="164">
        <v>1259</v>
      </c>
      <c r="E3019" s="164">
        <v>1282</v>
      </c>
      <c r="F3019" s="164" t="s">
        <v>3955</v>
      </c>
      <c r="G3019" s="164"/>
      <c r="H3019" s="168"/>
      <c r="I3019" s="168"/>
      <c r="J3019" s="168"/>
      <c r="K3019" s="181"/>
      <c r="L3019" s="169"/>
      <c r="M3019" s="129"/>
      <c r="N3019" s="129"/>
      <c r="O3019" s="129"/>
      <c r="P3019" s="146"/>
      <c r="Q3019" s="170"/>
      <c r="R3019" s="171"/>
      <c r="S3019" s="172"/>
    </row>
    <row r="3020" spans="1:19" ht="42.75">
      <c r="A3020" s="164" t="s">
        <v>780</v>
      </c>
      <c r="B3020" s="165" t="s">
        <v>1225</v>
      </c>
      <c r="C3020" s="165" t="s">
        <v>6496</v>
      </c>
      <c r="D3020" s="164">
        <v>1832</v>
      </c>
      <c r="E3020" s="164">
        <v>1974</v>
      </c>
      <c r="F3020" s="164" t="s">
        <v>3955</v>
      </c>
      <c r="G3020" s="164"/>
      <c r="H3020" s="168"/>
      <c r="I3020" s="168"/>
      <c r="J3020" s="168"/>
      <c r="K3020" s="181"/>
      <c r="L3020" s="169"/>
      <c r="M3020" s="129"/>
      <c r="N3020" s="129"/>
      <c r="O3020" s="129"/>
      <c r="P3020" s="146"/>
      <c r="Q3020" s="170"/>
      <c r="R3020" s="171"/>
      <c r="S3020" s="172"/>
    </row>
    <row r="3021" spans="1:19" ht="42.75">
      <c r="A3021" s="164" t="s">
        <v>780</v>
      </c>
      <c r="B3021" s="165" t="s">
        <v>1225</v>
      </c>
      <c r="C3021" s="165" t="s">
        <v>6498</v>
      </c>
      <c r="D3021" s="164">
        <v>1027</v>
      </c>
      <c r="E3021" s="164">
        <v>1178</v>
      </c>
      <c r="F3021" s="164" t="s">
        <v>3955</v>
      </c>
      <c r="G3021" s="164"/>
      <c r="H3021" s="168"/>
      <c r="I3021" s="168"/>
      <c r="J3021" s="168"/>
      <c r="K3021" s="181"/>
      <c r="L3021" s="169"/>
      <c r="M3021" s="129"/>
      <c r="N3021" s="129"/>
      <c r="O3021" s="129"/>
      <c r="P3021" s="146"/>
      <c r="Q3021" s="170"/>
      <c r="R3021" s="171"/>
      <c r="S3021" s="172"/>
    </row>
    <row r="3022" spans="1:19" ht="42.75">
      <c r="A3022" s="164" t="s">
        <v>780</v>
      </c>
      <c r="B3022" s="165" t="s">
        <v>1225</v>
      </c>
      <c r="C3022" s="165" t="s">
        <v>6500</v>
      </c>
      <c r="D3022" s="164">
        <v>1672</v>
      </c>
      <c r="E3022" s="164">
        <v>1824</v>
      </c>
      <c r="F3022" s="164" t="s">
        <v>3404</v>
      </c>
      <c r="G3022" s="164">
        <v>2024</v>
      </c>
      <c r="H3022" s="258">
        <v>45457</v>
      </c>
      <c r="I3022" s="258">
        <v>45461</v>
      </c>
      <c r="J3022" s="261" t="s">
        <v>7594</v>
      </c>
      <c r="K3022" s="260">
        <v>45463</v>
      </c>
      <c r="L3022" s="169" t="s">
        <v>3689</v>
      </c>
      <c r="M3022" s="129" t="s">
        <v>4</v>
      </c>
      <c r="N3022" s="129" t="s">
        <v>50</v>
      </c>
      <c r="O3022" s="129" t="s">
        <v>3406</v>
      </c>
      <c r="P3022" s="146"/>
      <c r="Q3022" s="170">
        <v>45464</v>
      </c>
      <c r="R3022" s="171"/>
      <c r="S3022" s="172"/>
    </row>
    <row r="3023" spans="1:19" ht="42.75">
      <c r="A3023" s="164" t="s">
        <v>780</v>
      </c>
      <c r="B3023" s="165" t="s">
        <v>1225</v>
      </c>
      <c r="C3023" s="165" t="s">
        <v>6501</v>
      </c>
      <c r="D3023" s="164">
        <v>974</v>
      </c>
      <c r="E3023" s="164">
        <v>1093</v>
      </c>
      <c r="F3023" s="164" t="s">
        <v>3955</v>
      </c>
      <c r="G3023" s="164"/>
      <c r="H3023" s="168"/>
      <c r="I3023" s="168"/>
      <c r="J3023" s="168"/>
      <c r="K3023" s="181"/>
      <c r="L3023" s="169"/>
      <c r="M3023" s="129"/>
      <c r="N3023" s="129"/>
      <c r="O3023" s="129"/>
      <c r="P3023" s="146"/>
      <c r="Q3023" s="170"/>
      <c r="R3023" s="171"/>
      <c r="S3023" s="172"/>
    </row>
    <row r="3024" spans="1:19" ht="42.75">
      <c r="A3024" s="164" t="s">
        <v>780</v>
      </c>
      <c r="B3024" s="165" t="s">
        <v>1225</v>
      </c>
      <c r="C3024" s="165" t="s">
        <v>6503</v>
      </c>
      <c r="D3024" s="164">
        <v>5290</v>
      </c>
      <c r="E3024" s="164">
        <v>6048</v>
      </c>
      <c r="F3024" s="164" t="s">
        <v>3404</v>
      </c>
      <c r="G3024" s="164">
        <v>2024</v>
      </c>
      <c r="H3024" s="258">
        <v>45457</v>
      </c>
      <c r="I3024" s="258">
        <v>45461</v>
      </c>
      <c r="J3024" s="261" t="s">
        <v>7595</v>
      </c>
      <c r="K3024" s="260">
        <v>45463</v>
      </c>
      <c r="L3024" s="169" t="s">
        <v>3689</v>
      </c>
      <c r="M3024" s="129" t="s">
        <v>4</v>
      </c>
      <c r="N3024" s="129" t="s">
        <v>50</v>
      </c>
      <c r="O3024" s="129" t="s">
        <v>3406</v>
      </c>
      <c r="P3024" s="146"/>
      <c r="Q3024" s="170">
        <v>45464</v>
      </c>
      <c r="R3024" s="171"/>
      <c r="S3024" s="172"/>
    </row>
    <row r="3025" spans="1:19" ht="42.75">
      <c r="A3025" s="164" t="s">
        <v>780</v>
      </c>
      <c r="B3025" s="165" t="s">
        <v>1225</v>
      </c>
      <c r="C3025" s="165" t="s">
        <v>6504</v>
      </c>
      <c r="D3025" s="164">
        <v>1723</v>
      </c>
      <c r="E3025" s="164">
        <v>1742</v>
      </c>
      <c r="F3025" s="164" t="s">
        <v>3955</v>
      </c>
      <c r="G3025" s="164"/>
      <c r="H3025" s="168"/>
      <c r="I3025" s="168"/>
      <c r="J3025" s="168"/>
      <c r="K3025" s="181"/>
      <c r="L3025" s="169"/>
      <c r="M3025" s="129"/>
      <c r="N3025" s="129"/>
      <c r="O3025" s="129"/>
      <c r="P3025" s="146"/>
      <c r="Q3025" s="170"/>
      <c r="R3025" s="171"/>
      <c r="S3025" s="172"/>
    </row>
    <row r="3026" spans="1:19" ht="42.75">
      <c r="A3026" s="164" t="s">
        <v>780</v>
      </c>
      <c r="B3026" s="165" t="s">
        <v>1225</v>
      </c>
      <c r="C3026" s="165" t="s">
        <v>6507</v>
      </c>
      <c r="D3026" s="164">
        <v>1520</v>
      </c>
      <c r="E3026" s="164">
        <v>1509</v>
      </c>
      <c r="F3026" s="164" t="s">
        <v>3404</v>
      </c>
      <c r="G3026" s="164">
        <v>2024</v>
      </c>
      <c r="H3026" s="258">
        <v>45457</v>
      </c>
      <c r="I3026" s="258">
        <v>45461</v>
      </c>
      <c r="J3026" s="261" t="s">
        <v>7596</v>
      </c>
      <c r="K3026" s="260">
        <v>45463</v>
      </c>
      <c r="L3026" s="169" t="s">
        <v>3689</v>
      </c>
      <c r="M3026" s="129" t="s">
        <v>4</v>
      </c>
      <c r="N3026" s="129" t="s">
        <v>3528</v>
      </c>
      <c r="O3026" s="129" t="s">
        <v>3406</v>
      </c>
      <c r="P3026" s="146"/>
      <c r="Q3026" s="170">
        <v>45464</v>
      </c>
      <c r="R3026" s="171" t="s">
        <v>7597</v>
      </c>
      <c r="S3026" s="172"/>
    </row>
    <row r="3027" spans="1:19" ht="42.75">
      <c r="A3027" s="164" t="s">
        <v>780</v>
      </c>
      <c r="B3027" s="165" t="s">
        <v>1225</v>
      </c>
      <c r="C3027" s="165" t="s">
        <v>1155</v>
      </c>
      <c r="D3027" s="164">
        <v>1296</v>
      </c>
      <c r="E3027" s="164">
        <v>1167</v>
      </c>
      <c r="F3027" s="164" t="s">
        <v>3955</v>
      </c>
      <c r="G3027" s="164"/>
      <c r="H3027" s="168"/>
      <c r="I3027" s="168"/>
      <c r="J3027" s="168"/>
      <c r="K3027" s="181"/>
      <c r="L3027" s="169"/>
      <c r="M3027" s="129"/>
      <c r="N3027" s="129"/>
      <c r="O3027" s="129"/>
      <c r="P3027" s="146"/>
      <c r="Q3027" s="170"/>
      <c r="R3027" s="171"/>
      <c r="S3027" s="172"/>
    </row>
    <row r="3028" spans="1:19" ht="42.75">
      <c r="A3028" s="164" t="s">
        <v>780</v>
      </c>
      <c r="B3028" s="165" t="s">
        <v>1225</v>
      </c>
      <c r="C3028" s="165" t="s">
        <v>3727</v>
      </c>
      <c r="D3028" s="164">
        <v>4307</v>
      </c>
      <c r="E3028" s="164">
        <v>4896</v>
      </c>
      <c r="F3028" s="164" t="s">
        <v>3955</v>
      </c>
      <c r="G3028" s="164"/>
      <c r="H3028" s="168"/>
      <c r="I3028" s="168"/>
      <c r="J3028" s="168"/>
      <c r="K3028" s="181"/>
      <c r="L3028" s="169"/>
      <c r="M3028" s="129"/>
      <c r="N3028" s="129"/>
      <c r="O3028" s="129"/>
      <c r="P3028" s="146"/>
      <c r="Q3028" s="170"/>
      <c r="R3028" s="171"/>
      <c r="S3028" s="172"/>
    </row>
    <row r="3029" spans="1:19" ht="42.75">
      <c r="A3029" s="164" t="s">
        <v>780</v>
      </c>
      <c r="B3029" s="165" t="s">
        <v>1225</v>
      </c>
      <c r="C3029" s="165" t="s">
        <v>6510</v>
      </c>
      <c r="D3029" s="164">
        <v>2283</v>
      </c>
      <c r="E3029" s="164">
        <v>2320</v>
      </c>
      <c r="F3029" s="164" t="s">
        <v>3955</v>
      </c>
      <c r="G3029" s="164"/>
      <c r="H3029" s="168"/>
      <c r="I3029" s="168"/>
      <c r="J3029" s="168"/>
      <c r="K3029" s="181"/>
      <c r="L3029" s="169"/>
      <c r="M3029" s="129"/>
      <c r="N3029" s="129"/>
      <c r="O3029" s="129"/>
      <c r="P3029" s="146"/>
      <c r="Q3029" s="170"/>
      <c r="R3029" s="171"/>
      <c r="S3029" s="172"/>
    </row>
    <row r="3030" spans="1:19" ht="42.75">
      <c r="A3030" s="164" t="s">
        <v>780</v>
      </c>
      <c r="B3030" s="165" t="s">
        <v>1556</v>
      </c>
      <c r="C3030" s="165" t="s">
        <v>6512</v>
      </c>
      <c r="D3030" s="164">
        <v>1939</v>
      </c>
      <c r="E3030" s="164">
        <v>2380</v>
      </c>
      <c r="F3030" s="164" t="s">
        <v>3404</v>
      </c>
      <c r="G3030" s="164">
        <v>2024</v>
      </c>
      <c r="H3030" s="258">
        <v>45454</v>
      </c>
      <c r="I3030" s="258">
        <v>45460</v>
      </c>
      <c r="J3030" s="302" t="s">
        <v>7598</v>
      </c>
      <c r="K3030" s="260">
        <v>45463</v>
      </c>
      <c r="L3030" s="169" t="s">
        <v>3689</v>
      </c>
      <c r="M3030" s="129" t="s">
        <v>4</v>
      </c>
      <c r="N3030" s="129" t="s">
        <v>50</v>
      </c>
      <c r="O3030" s="129" t="s">
        <v>3406</v>
      </c>
      <c r="P3030" s="146"/>
      <c r="Q3030" s="170">
        <v>45464</v>
      </c>
      <c r="R3030" s="171"/>
      <c r="S3030" s="172"/>
    </row>
    <row r="3031" spans="1:19" ht="42.75">
      <c r="A3031" s="164" t="s">
        <v>780</v>
      </c>
      <c r="B3031" s="165" t="s">
        <v>1556</v>
      </c>
      <c r="C3031" s="165" t="s">
        <v>6513</v>
      </c>
      <c r="D3031" s="164">
        <v>2803</v>
      </c>
      <c r="E3031" s="164">
        <v>3256</v>
      </c>
      <c r="F3031" s="164" t="s">
        <v>3404</v>
      </c>
      <c r="G3031" s="164">
        <v>2024</v>
      </c>
      <c r="H3031" s="258">
        <v>45448</v>
      </c>
      <c r="I3031" s="282">
        <v>45449</v>
      </c>
      <c r="J3031" s="303" t="s">
        <v>7599</v>
      </c>
      <c r="K3031" s="304">
        <v>45461</v>
      </c>
      <c r="L3031" s="169" t="s">
        <v>3689</v>
      </c>
      <c r="M3031" s="129" t="s">
        <v>4</v>
      </c>
      <c r="N3031" s="129" t="s">
        <v>50</v>
      </c>
      <c r="O3031" s="129" t="s">
        <v>3406</v>
      </c>
      <c r="P3031" s="146"/>
      <c r="Q3031" s="170">
        <v>45462</v>
      </c>
      <c r="R3031" s="171"/>
      <c r="S3031" s="172"/>
    </row>
    <row r="3032" spans="1:19" ht="42.75">
      <c r="A3032" s="164" t="s">
        <v>780</v>
      </c>
      <c r="B3032" s="165" t="s">
        <v>1556</v>
      </c>
      <c r="C3032" s="165" t="s">
        <v>3674</v>
      </c>
      <c r="D3032" s="164">
        <v>2060</v>
      </c>
      <c r="E3032" s="164">
        <v>2155</v>
      </c>
      <c r="F3032" s="164" t="s">
        <v>3404</v>
      </c>
      <c r="G3032" s="164">
        <v>2024</v>
      </c>
      <c r="H3032" s="262">
        <v>45569</v>
      </c>
      <c r="I3032" s="260">
        <v>45569</v>
      </c>
      <c r="J3032" s="301" t="s">
        <v>7600</v>
      </c>
      <c r="K3032" s="260">
        <v>45574</v>
      </c>
      <c r="L3032" s="237" t="s">
        <v>3128</v>
      </c>
      <c r="M3032" s="129" t="s">
        <v>4</v>
      </c>
      <c r="N3032" s="129" t="s">
        <v>50</v>
      </c>
      <c r="O3032" s="129" t="s">
        <v>3406</v>
      </c>
      <c r="P3032" s="146"/>
      <c r="Q3032" s="189">
        <v>45575</v>
      </c>
      <c r="R3032" s="115" t="s">
        <v>150</v>
      </c>
      <c r="S3032" s="163"/>
    </row>
    <row r="3033" spans="1:19" ht="42.75">
      <c r="A3033" s="164" t="s">
        <v>780</v>
      </c>
      <c r="B3033" s="165" t="s">
        <v>1556</v>
      </c>
      <c r="C3033" s="165" t="s">
        <v>6516</v>
      </c>
      <c r="D3033" s="164">
        <v>2013</v>
      </c>
      <c r="E3033" s="164">
        <v>2025</v>
      </c>
      <c r="F3033" s="164" t="s">
        <v>3404</v>
      </c>
      <c r="G3033" s="164">
        <v>2024</v>
      </c>
      <c r="H3033" s="262">
        <v>45569</v>
      </c>
      <c r="I3033" s="260">
        <v>45569</v>
      </c>
      <c r="J3033" s="266" t="s">
        <v>7601</v>
      </c>
      <c r="K3033" s="260">
        <v>45574</v>
      </c>
      <c r="L3033" s="237" t="s">
        <v>3128</v>
      </c>
      <c r="M3033" s="129" t="s">
        <v>4</v>
      </c>
      <c r="N3033" s="129" t="s">
        <v>50</v>
      </c>
      <c r="O3033" s="129" t="s">
        <v>3406</v>
      </c>
      <c r="P3033" s="146"/>
      <c r="Q3033" s="189">
        <v>45575</v>
      </c>
      <c r="R3033" s="115" t="s">
        <v>150</v>
      </c>
      <c r="S3033" s="163"/>
    </row>
    <row r="3034" spans="1:19" ht="42.75">
      <c r="A3034" s="164" t="s">
        <v>780</v>
      </c>
      <c r="B3034" s="165" t="s">
        <v>1556</v>
      </c>
      <c r="C3034" s="165" t="s">
        <v>6517</v>
      </c>
      <c r="D3034" s="164">
        <v>1931</v>
      </c>
      <c r="E3034" s="164">
        <v>2053</v>
      </c>
      <c r="F3034" s="164" t="s">
        <v>3955</v>
      </c>
      <c r="G3034" s="164"/>
      <c r="H3034" s="168"/>
      <c r="I3034" s="168"/>
      <c r="J3034" s="168"/>
      <c r="K3034" s="240"/>
      <c r="L3034" s="169"/>
      <c r="M3034" s="129"/>
      <c r="N3034" s="129"/>
      <c r="O3034" s="129"/>
      <c r="P3034" s="146"/>
      <c r="Q3034" s="170"/>
      <c r="R3034" s="171"/>
      <c r="S3034" s="172"/>
    </row>
    <row r="3035" spans="1:19" ht="42.75">
      <c r="A3035" s="164" t="s">
        <v>780</v>
      </c>
      <c r="B3035" s="165" t="s">
        <v>1556</v>
      </c>
      <c r="C3035" s="165" t="s">
        <v>6519</v>
      </c>
      <c r="D3035" s="164">
        <v>1236</v>
      </c>
      <c r="E3035" s="164">
        <v>1428</v>
      </c>
      <c r="F3035" s="164" t="s">
        <v>3955</v>
      </c>
      <c r="G3035" s="164"/>
      <c r="H3035" s="168"/>
      <c r="I3035" s="168"/>
      <c r="J3035" s="168"/>
      <c r="K3035" s="181"/>
      <c r="L3035" s="169"/>
      <c r="M3035" s="129"/>
      <c r="N3035" s="129"/>
      <c r="O3035" s="129"/>
      <c r="P3035" s="146"/>
      <c r="Q3035" s="170"/>
      <c r="R3035" s="171"/>
      <c r="S3035" s="172"/>
    </row>
    <row r="3036" spans="1:19" ht="42.75">
      <c r="A3036" s="164" t="s">
        <v>780</v>
      </c>
      <c r="B3036" s="165" t="s">
        <v>1556</v>
      </c>
      <c r="C3036" s="165" t="s">
        <v>6380</v>
      </c>
      <c r="D3036" s="164">
        <v>2900</v>
      </c>
      <c r="E3036" s="164">
        <v>3210</v>
      </c>
      <c r="F3036" s="164" t="s">
        <v>3955</v>
      </c>
      <c r="G3036" s="164"/>
      <c r="H3036" s="168"/>
      <c r="I3036" s="168"/>
      <c r="J3036" s="168"/>
      <c r="K3036" s="181"/>
      <c r="L3036" s="169"/>
      <c r="M3036" s="129"/>
      <c r="N3036" s="129"/>
      <c r="O3036" s="129"/>
      <c r="P3036" s="146"/>
      <c r="Q3036" s="170"/>
      <c r="R3036" s="171"/>
      <c r="S3036" s="172"/>
    </row>
    <row r="3037" spans="1:19" ht="42.75">
      <c r="A3037" s="164" t="s">
        <v>780</v>
      </c>
      <c r="B3037" s="165" t="s">
        <v>1556</v>
      </c>
      <c r="C3037" s="165" t="s">
        <v>1557</v>
      </c>
      <c r="D3037" s="164">
        <v>2544</v>
      </c>
      <c r="E3037" s="164">
        <v>3066</v>
      </c>
      <c r="F3037" s="164" t="s">
        <v>3955</v>
      </c>
      <c r="G3037" s="164"/>
      <c r="H3037" s="168"/>
      <c r="I3037" s="168"/>
      <c r="J3037" s="168"/>
      <c r="K3037" s="181"/>
      <c r="L3037" s="169"/>
      <c r="M3037" s="129"/>
      <c r="N3037" s="129"/>
      <c r="O3037" s="129"/>
      <c r="P3037" s="146"/>
      <c r="Q3037" s="170"/>
      <c r="R3037" s="171"/>
      <c r="S3037" s="172"/>
    </row>
    <row r="3038" spans="1:19" ht="42.75">
      <c r="A3038" s="164" t="s">
        <v>780</v>
      </c>
      <c r="B3038" s="165" t="s">
        <v>1556</v>
      </c>
      <c r="C3038" s="165" t="s">
        <v>6523</v>
      </c>
      <c r="D3038" s="164">
        <v>1654</v>
      </c>
      <c r="E3038" s="164">
        <v>1686</v>
      </c>
      <c r="F3038" s="164" t="s">
        <v>3955</v>
      </c>
      <c r="G3038" s="164"/>
      <c r="H3038" s="168"/>
      <c r="I3038" s="168"/>
      <c r="J3038" s="168"/>
      <c r="K3038" s="181"/>
      <c r="L3038" s="169"/>
      <c r="M3038" s="129"/>
      <c r="N3038" s="129"/>
      <c r="O3038" s="129"/>
      <c r="P3038" s="146"/>
      <c r="Q3038" s="170"/>
      <c r="R3038" s="171"/>
      <c r="S3038" s="172"/>
    </row>
    <row r="3039" spans="1:19" ht="42.75">
      <c r="A3039" s="164" t="s">
        <v>780</v>
      </c>
      <c r="B3039" s="165" t="s">
        <v>1556</v>
      </c>
      <c r="C3039" s="165" t="s">
        <v>6525</v>
      </c>
      <c r="D3039" s="164">
        <v>1617</v>
      </c>
      <c r="E3039" s="164">
        <v>1745</v>
      </c>
      <c r="F3039" s="164" t="s">
        <v>3955</v>
      </c>
      <c r="G3039" s="164"/>
      <c r="H3039" s="168"/>
      <c r="I3039" s="168"/>
      <c r="J3039" s="168"/>
      <c r="K3039" s="181"/>
      <c r="L3039" s="169"/>
      <c r="M3039" s="129"/>
      <c r="N3039" s="129"/>
      <c r="O3039" s="129"/>
      <c r="P3039" s="146"/>
      <c r="Q3039" s="170"/>
      <c r="R3039" s="171"/>
      <c r="S3039" s="172"/>
    </row>
    <row r="3040" spans="1:19" ht="42.75">
      <c r="A3040" s="164" t="s">
        <v>780</v>
      </c>
      <c r="B3040" s="165" t="s">
        <v>1556</v>
      </c>
      <c r="C3040" s="165" t="s">
        <v>6420</v>
      </c>
      <c r="D3040" s="164">
        <v>2129</v>
      </c>
      <c r="E3040" s="164">
        <v>2425</v>
      </c>
      <c r="F3040" s="164" t="s">
        <v>3404</v>
      </c>
      <c r="G3040" s="164">
        <v>2024</v>
      </c>
      <c r="H3040" s="258">
        <v>45611</v>
      </c>
      <c r="I3040" s="258">
        <v>45614</v>
      </c>
      <c r="J3040" s="259" t="s">
        <v>7602</v>
      </c>
      <c r="K3040" s="260">
        <v>45616</v>
      </c>
      <c r="L3040" s="169" t="s">
        <v>3129</v>
      </c>
      <c r="M3040" s="129" t="s">
        <v>4</v>
      </c>
      <c r="N3040" s="129" t="s">
        <v>50</v>
      </c>
      <c r="O3040" s="129" t="s">
        <v>3406</v>
      </c>
      <c r="P3040" s="146"/>
      <c r="Q3040" s="170">
        <v>45618</v>
      </c>
      <c r="R3040" s="171" t="s">
        <v>150</v>
      </c>
      <c r="S3040" s="172"/>
    </row>
    <row r="3041" spans="1:19" ht="42.75">
      <c r="A3041" s="164" t="s">
        <v>780</v>
      </c>
      <c r="B3041" s="165" t="s">
        <v>1556</v>
      </c>
      <c r="C3041" s="165" t="s">
        <v>3713</v>
      </c>
      <c r="D3041" s="164">
        <v>910</v>
      </c>
      <c r="E3041" s="164">
        <v>1115</v>
      </c>
      <c r="F3041" s="164" t="s">
        <v>3404</v>
      </c>
      <c r="G3041" s="164">
        <v>2024</v>
      </c>
      <c r="H3041" s="258">
        <v>45611</v>
      </c>
      <c r="I3041" s="258">
        <v>45614</v>
      </c>
      <c r="J3041" s="261" t="s">
        <v>7603</v>
      </c>
      <c r="K3041" s="260">
        <v>45616</v>
      </c>
      <c r="L3041" s="169" t="s">
        <v>3129</v>
      </c>
      <c r="M3041" s="129" t="s">
        <v>4</v>
      </c>
      <c r="N3041" s="129" t="s">
        <v>50</v>
      </c>
      <c r="O3041" s="129" t="s">
        <v>3406</v>
      </c>
      <c r="P3041" s="146"/>
      <c r="Q3041" s="170">
        <v>45618</v>
      </c>
      <c r="R3041" s="171" t="s">
        <v>150</v>
      </c>
      <c r="S3041" s="172"/>
    </row>
    <row r="3042" spans="1:19" ht="42.75">
      <c r="A3042" s="164" t="s">
        <v>780</v>
      </c>
      <c r="B3042" s="165" t="s">
        <v>1556</v>
      </c>
      <c r="C3042" s="165" t="s">
        <v>6530</v>
      </c>
      <c r="D3042" s="164">
        <v>883</v>
      </c>
      <c r="E3042" s="164">
        <v>716</v>
      </c>
      <c r="F3042" s="164" t="s">
        <v>3955</v>
      </c>
      <c r="G3042" s="164"/>
      <c r="H3042" s="168"/>
      <c r="I3042" s="168"/>
      <c r="J3042" s="168"/>
      <c r="K3042" s="181"/>
      <c r="L3042" s="169"/>
      <c r="M3042" s="129"/>
      <c r="N3042" s="129"/>
      <c r="O3042" s="129"/>
      <c r="P3042" s="146"/>
      <c r="Q3042" s="170"/>
      <c r="R3042" s="171"/>
      <c r="S3042" s="172"/>
    </row>
    <row r="3043" spans="1:19" ht="42.75">
      <c r="A3043" s="164" t="s">
        <v>780</v>
      </c>
      <c r="B3043" s="165" t="s">
        <v>1556</v>
      </c>
      <c r="C3043" s="165" t="s">
        <v>3721</v>
      </c>
      <c r="D3043" s="164">
        <v>1931</v>
      </c>
      <c r="E3043" s="164">
        <v>2095</v>
      </c>
      <c r="F3043" s="164" t="s">
        <v>3404</v>
      </c>
      <c r="G3043" s="164">
        <v>2024</v>
      </c>
      <c r="H3043" s="258">
        <v>45456</v>
      </c>
      <c r="I3043" s="258">
        <v>45461</v>
      </c>
      <c r="J3043" s="261" t="s">
        <v>7604</v>
      </c>
      <c r="K3043" s="260">
        <v>45463</v>
      </c>
      <c r="L3043" s="169" t="s">
        <v>3689</v>
      </c>
      <c r="M3043" s="129" t="s">
        <v>4</v>
      </c>
      <c r="N3043" s="129" t="s">
        <v>50</v>
      </c>
      <c r="O3043" s="129" t="s">
        <v>3406</v>
      </c>
      <c r="P3043" s="146"/>
      <c r="Q3043" s="170">
        <v>45464</v>
      </c>
      <c r="R3043" s="171"/>
      <c r="S3043" s="172"/>
    </row>
    <row r="3044" spans="1:19" ht="42.75">
      <c r="A3044" s="164" t="s">
        <v>780</v>
      </c>
      <c r="B3044" s="165" t="s">
        <v>1556</v>
      </c>
      <c r="C3044" s="165" t="s">
        <v>1155</v>
      </c>
      <c r="D3044" s="164">
        <v>2480</v>
      </c>
      <c r="E3044" s="164">
        <v>2924</v>
      </c>
      <c r="F3044" s="164" t="s">
        <v>3404</v>
      </c>
      <c r="G3044" s="164">
        <v>2024</v>
      </c>
      <c r="H3044" s="258">
        <v>45461</v>
      </c>
      <c r="I3044" s="258">
        <v>45461</v>
      </c>
      <c r="J3044" s="261" t="s">
        <v>7605</v>
      </c>
      <c r="K3044" s="260">
        <v>45463</v>
      </c>
      <c r="L3044" s="169" t="s">
        <v>3689</v>
      </c>
      <c r="M3044" s="129" t="s">
        <v>4</v>
      </c>
      <c r="N3044" s="129" t="s">
        <v>50</v>
      </c>
      <c r="O3044" s="129" t="s">
        <v>3406</v>
      </c>
      <c r="P3044" s="146"/>
      <c r="Q3044" s="170">
        <v>45464</v>
      </c>
      <c r="R3044" s="171"/>
      <c r="S3044" s="172"/>
    </row>
    <row r="3045" spans="1:19" ht="42.75">
      <c r="A3045" s="164" t="s">
        <v>780</v>
      </c>
      <c r="B3045" s="165" t="s">
        <v>1556</v>
      </c>
      <c r="C3045" s="165" t="s">
        <v>6532</v>
      </c>
      <c r="D3045" s="164">
        <v>1839</v>
      </c>
      <c r="E3045" s="164">
        <v>2128</v>
      </c>
      <c r="F3045" s="164" t="s">
        <v>3955</v>
      </c>
      <c r="G3045" s="164"/>
      <c r="H3045" s="168"/>
      <c r="I3045" s="168"/>
      <c r="J3045" s="168"/>
      <c r="K3045" s="181"/>
      <c r="L3045" s="169"/>
      <c r="M3045" s="129"/>
      <c r="N3045" s="129"/>
      <c r="O3045" s="129"/>
      <c r="P3045" s="146"/>
      <c r="Q3045" s="170"/>
      <c r="R3045" s="171"/>
      <c r="S3045" s="172"/>
    </row>
    <row r="3046" spans="1:19" ht="42.75">
      <c r="A3046" s="164" t="s">
        <v>780</v>
      </c>
      <c r="B3046" s="165" t="s">
        <v>1556</v>
      </c>
      <c r="C3046" s="165" t="s">
        <v>6514</v>
      </c>
      <c r="D3046" s="164">
        <v>761</v>
      </c>
      <c r="E3046" s="164">
        <v>694</v>
      </c>
      <c r="F3046" s="164" t="s">
        <v>3955</v>
      </c>
      <c r="G3046" s="164"/>
      <c r="H3046" s="168"/>
      <c r="I3046" s="168"/>
      <c r="J3046" s="168"/>
      <c r="K3046" s="181"/>
      <c r="L3046" s="169"/>
      <c r="M3046" s="129"/>
      <c r="N3046" s="129"/>
      <c r="O3046" s="129"/>
      <c r="P3046" s="146"/>
      <c r="Q3046" s="170"/>
      <c r="R3046" s="171"/>
      <c r="S3046" s="172"/>
    </row>
    <row r="3047" spans="1:19" ht="42.75">
      <c r="A3047" s="164" t="s">
        <v>780</v>
      </c>
      <c r="B3047" s="165" t="s">
        <v>1556</v>
      </c>
      <c r="C3047" s="165" t="s">
        <v>6527</v>
      </c>
      <c r="D3047" s="164">
        <v>2035</v>
      </c>
      <c r="E3047" s="164">
        <v>2618</v>
      </c>
      <c r="F3047" s="164" t="s">
        <v>3955</v>
      </c>
      <c r="G3047" s="164"/>
      <c r="H3047" s="168"/>
      <c r="I3047" s="168"/>
      <c r="J3047" s="168"/>
      <c r="K3047" s="181"/>
      <c r="L3047" s="169"/>
      <c r="M3047" s="129"/>
      <c r="N3047" s="129"/>
      <c r="O3047" s="129"/>
      <c r="P3047" s="146"/>
      <c r="Q3047" s="170"/>
      <c r="R3047" s="171"/>
      <c r="S3047" s="172"/>
    </row>
    <row r="3048" spans="1:19" ht="42.75">
      <c r="A3048" s="164" t="s">
        <v>780</v>
      </c>
      <c r="B3048" s="165" t="s">
        <v>1233</v>
      </c>
      <c r="C3048" s="165" t="s">
        <v>6534</v>
      </c>
      <c r="D3048" s="164">
        <v>1450</v>
      </c>
      <c r="E3048" s="164">
        <v>1484</v>
      </c>
      <c r="F3048" s="164" t="s">
        <v>3955</v>
      </c>
      <c r="G3048" s="164"/>
      <c r="H3048" s="168"/>
      <c r="I3048" s="168"/>
      <c r="J3048" s="168"/>
      <c r="K3048" s="181"/>
      <c r="L3048" s="169"/>
      <c r="M3048" s="129"/>
      <c r="N3048" s="129"/>
      <c r="O3048" s="129"/>
      <c r="P3048" s="146"/>
      <c r="Q3048" s="170"/>
      <c r="R3048" s="171"/>
      <c r="S3048" s="172"/>
    </row>
    <row r="3049" spans="1:19" ht="42.75">
      <c r="A3049" s="164" t="s">
        <v>780</v>
      </c>
      <c r="B3049" s="165" t="s">
        <v>1233</v>
      </c>
      <c r="C3049" s="165" t="s">
        <v>6536</v>
      </c>
      <c r="D3049" s="164">
        <v>3293</v>
      </c>
      <c r="E3049" s="164">
        <v>3251</v>
      </c>
      <c r="F3049" s="164" t="s">
        <v>3404</v>
      </c>
      <c r="G3049" s="164">
        <v>2024</v>
      </c>
      <c r="H3049" s="258">
        <v>45511</v>
      </c>
      <c r="I3049" s="258">
        <v>45518</v>
      </c>
      <c r="J3049" s="261" t="s">
        <v>7606</v>
      </c>
      <c r="K3049" s="260">
        <v>45523</v>
      </c>
      <c r="L3049" s="169" t="s">
        <v>3126</v>
      </c>
      <c r="M3049" s="129" t="s">
        <v>4</v>
      </c>
      <c r="N3049" s="129" t="s">
        <v>50</v>
      </c>
      <c r="O3049" s="129" t="s">
        <v>3406</v>
      </c>
      <c r="P3049" s="146"/>
      <c r="Q3049" s="170">
        <v>45531</v>
      </c>
      <c r="R3049" s="171" t="s">
        <v>150</v>
      </c>
      <c r="S3049" s="172"/>
    </row>
    <row r="3050" spans="1:19" ht="42.75">
      <c r="A3050" s="164" t="s">
        <v>780</v>
      </c>
      <c r="B3050" s="165" t="s">
        <v>1233</v>
      </c>
      <c r="C3050" s="165" t="s">
        <v>6537</v>
      </c>
      <c r="D3050" s="164">
        <v>831</v>
      </c>
      <c r="E3050" s="164">
        <v>845</v>
      </c>
      <c r="F3050" s="164" t="s">
        <v>3955</v>
      </c>
      <c r="G3050" s="164"/>
      <c r="H3050" s="168"/>
      <c r="I3050" s="168"/>
      <c r="J3050" s="168"/>
      <c r="K3050" s="181"/>
      <c r="L3050" s="169"/>
      <c r="M3050" s="129"/>
      <c r="N3050" s="129"/>
      <c r="O3050" s="129"/>
      <c r="P3050" s="146"/>
      <c r="Q3050" s="170"/>
      <c r="R3050" s="171"/>
      <c r="S3050" s="172"/>
    </row>
    <row r="3051" spans="1:19" ht="42.75">
      <c r="A3051" s="164" t="s">
        <v>780</v>
      </c>
      <c r="B3051" s="165" t="s">
        <v>1233</v>
      </c>
      <c r="C3051" s="165" t="s">
        <v>6539</v>
      </c>
      <c r="D3051" s="164">
        <v>1061</v>
      </c>
      <c r="E3051" s="164">
        <v>1016</v>
      </c>
      <c r="F3051" s="164" t="s">
        <v>3404</v>
      </c>
      <c r="G3051" s="164">
        <v>2024</v>
      </c>
      <c r="H3051" s="258">
        <v>45511</v>
      </c>
      <c r="I3051" s="258">
        <v>45518</v>
      </c>
      <c r="J3051" s="261" t="s">
        <v>7607</v>
      </c>
      <c r="K3051" s="260">
        <v>45523</v>
      </c>
      <c r="L3051" s="169" t="s">
        <v>3126</v>
      </c>
      <c r="M3051" s="129" t="s">
        <v>4</v>
      </c>
      <c r="N3051" s="129" t="s">
        <v>50</v>
      </c>
      <c r="O3051" s="129" t="s">
        <v>3406</v>
      </c>
      <c r="P3051" s="146"/>
      <c r="Q3051" s="170"/>
      <c r="R3051" s="171"/>
      <c r="S3051" s="172"/>
    </row>
    <row r="3052" spans="1:19" ht="42.75">
      <c r="A3052" s="164" t="s">
        <v>780</v>
      </c>
      <c r="B3052" s="165" t="s">
        <v>1233</v>
      </c>
      <c r="C3052" s="165" t="s">
        <v>6540</v>
      </c>
      <c r="D3052" s="164">
        <v>1749</v>
      </c>
      <c r="E3052" s="164">
        <v>1891</v>
      </c>
      <c r="F3052" s="164" t="s">
        <v>3404</v>
      </c>
      <c r="G3052" s="164">
        <v>2024</v>
      </c>
      <c r="H3052" s="258">
        <v>45511</v>
      </c>
      <c r="I3052" s="258">
        <v>45518</v>
      </c>
      <c r="J3052" s="261" t="s">
        <v>7608</v>
      </c>
      <c r="K3052" s="260">
        <v>45523</v>
      </c>
      <c r="L3052" s="169" t="s">
        <v>3126</v>
      </c>
      <c r="M3052" s="129" t="s">
        <v>4</v>
      </c>
      <c r="N3052" s="129" t="s">
        <v>50</v>
      </c>
      <c r="O3052" s="129" t="s">
        <v>3406</v>
      </c>
      <c r="P3052" s="146"/>
      <c r="Q3052" s="170">
        <v>45531</v>
      </c>
      <c r="R3052" s="171" t="s">
        <v>150</v>
      </c>
      <c r="S3052" s="172"/>
    </row>
    <row r="3053" spans="1:19" ht="42.75">
      <c r="A3053" s="164" t="s">
        <v>780</v>
      </c>
      <c r="B3053" s="165" t="s">
        <v>1233</v>
      </c>
      <c r="C3053" s="165" t="s">
        <v>5396</v>
      </c>
      <c r="D3053" s="164">
        <v>3836</v>
      </c>
      <c r="E3053" s="164">
        <v>4322</v>
      </c>
      <c r="F3053" s="164" t="s">
        <v>3404</v>
      </c>
      <c r="G3053" s="164">
        <v>2024</v>
      </c>
      <c r="H3053" s="258">
        <v>45511</v>
      </c>
      <c r="I3053" s="258">
        <v>45518</v>
      </c>
      <c r="J3053" s="261" t="s">
        <v>7609</v>
      </c>
      <c r="K3053" s="260">
        <v>45523</v>
      </c>
      <c r="L3053" s="169" t="s">
        <v>3126</v>
      </c>
      <c r="M3053" s="129" t="s">
        <v>4</v>
      </c>
      <c r="N3053" s="129" t="s">
        <v>50</v>
      </c>
      <c r="O3053" s="129" t="s">
        <v>3406</v>
      </c>
      <c r="P3053" s="146"/>
      <c r="Q3053" s="170">
        <v>45531</v>
      </c>
      <c r="R3053" s="171" t="s">
        <v>150</v>
      </c>
      <c r="S3053" s="172"/>
    </row>
    <row r="3054" spans="1:19" ht="42.75">
      <c r="A3054" s="164" t="s">
        <v>780</v>
      </c>
      <c r="B3054" s="165" t="s">
        <v>1233</v>
      </c>
      <c r="C3054" s="165" t="s">
        <v>6541</v>
      </c>
      <c r="D3054" s="164">
        <v>489</v>
      </c>
      <c r="E3054" s="164">
        <v>548</v>
      </c>
      <c r="F3054" s="164" t="s">
        <v>3955</v>
      </c>
      <c r="G3054" s="164"/>
      <c r="H3054" s="168"/>
      <c r="I3054" s="168"/>
      <c r="J3054" s="168"/>
      <c r="K3054" s="181"/>
      <c r="L3054" s="169"/>
      <c r="M3054" s="129"/>
      <c r="N3054" s="129"/>
      <c r="O3054" s="129"/>
      <c r="P3054" s="146"/>
      <c r="Q3054" s="170"/>
      <c r="R3054" s="171"/>
      <c r="S3054" s="172"/>
    </row>
    <row r="3055" spans="1:19" ht="42.75">
      <c r="A3055" s="164" t="s">
        <v>780</v>
      </c>
      <c r="B3055" s="165" t="s">
        <v>1233</v>
      </c>
      <c r="C3055" s="165" t="s">
        <v>6543</v>
      </c>
      <c r="D3055" s="164">
        <v>1808</v>
      </c>
      <c r="E3055" s="164">
        <v>1867</v>
      </c>
      <c r="F3055" s="164" t="s">
        <v>3404</v>
      </c>
      <c r="G3055" s="164">
        <v>2024</v>
      </c>
      <c r="H3055" s="258">
        <v>45511</v>
      </c>
      <c r="I3055" s="258">
        <v>45518</v>
      </c>
      <c r="J3055" s="261" t="s">
        <v>7610</v>
      </c>
      <c r="K3055" s="260">
        <v>45523</v>
      </c>
      <c r="L3055" s="169" t="s">
        <v>3126</v>
      </c>
      <c r="M3055" s="129" t="s">
        <v>4</v>
      </c>
      <c r="N3055" s="129" t="s">
        <v>50</v>
      </c>
      <c r="O3055" s="129" t="s">
        <v>3406</v>
      </c>
      <c r="P3055" s="146"/>
      <c r="Q3055" s="170">
        <v>45531</v>
      </c>
      <c r="R3055" s="171" t="s">
        <v>150</v>
      </c>
      <c r="S3055" s="172"/>
    </row>
    <row r="3056" spans="1:19" ht="42.75">
      <c r="A3056" s="164" t="s">
        <v>780</v>
      </c>
      <c r="B3056" s="165" t="s">
        <v>1233</v>
      </c>
      <c r="C3056" s="165" t="s">
        <v>6544</v>
      </c>
      <c r="D3056" s="164">
        <v>3278</v>
      </c>
      <c r="E3056" s="164">
        <v>4237</v>
      </c>
      <c r="F3056" s="164" t="s">
        <v>3955</v>
      </c>
      <c r="G3056" s="164"/>
      <c r="H3056" s="168"/>
      <c r="I3056" s="168"/>
      <c r="J3056" s="168"/>
      <c r="K3056" s="181"/>
      <c r="L3056" s="169"/>
      <c r="M3056" s="129"/>
      <c r="N3056" s="129"/>
      <c r="O3056" s="129"/>
      <c r="P3056" s="146"/>
      <c r="Q3056" s="170"/>
      <c r="R3056" s="171"/>
      <c r="S3056" s="172"/>
    </row>
    <row r="3057" spans="1:19" ht="42.75">
      <c r="A3057" s="164" t="s">
        <v>780</v>
      </c>
      <c r="B3057" s="165" t="s">
        <v>1233</v>
      </c>
      <c r="C3057" s="165" t="s">
        <v>6547</v>
      </c>
      <c r="D3057" s="164">
        <v>653</v>
      </c>
      <c r="E3057" s="164">
        <v>762</v>
      </c>
      <c r="F3057" s="164" t="s">
        <v>3404</v>
      </c>
      <c r="G3057" s="164">
        <v>2024</v>
      </c>
      <c r="H3057" s="258">
        <v>45511</v>
      </c>
      <c r="I3057" s="258">
        <v>45518</v>
      </c>
      <c r="J3057" s="261" t="s">
        <v>7611</v>
      </c>
      <c r="K3057" s="260">
        <v>45523</v>
      </c>
      <c r="L3057" s="169" t="s">
        <v>3126</v>
      </c>
      <c r="M3057" s="129" t="s">
        <v>4</v>
      </c>
      <c r="N3057" s="129" t="s">
        <v>50</v>
      </c>
      <c r="O3057" s="129" t="s">
        <v>3406</v>
      </c>
      <c r="P3057" s="146"/>
      <c r="Q3057" s="170">
        <v>45531</v>
      </c>
      <c r="R3057" s="171" t="s">
        <v>150</v>
      </c>
      <c r="S3057" s="172"/>
    </row>
    <row r="3058" spans="1:19" ht="42.75">
      <c r="A3058" s="164" t="s">
        <v>780</v>
      </c>
      <c r="B3058" s="165" t="s">
        <v>1233</v>
      </c>
      <c r="C3058" s="165" t="s">
        <v>6548</v>
      </c>
      <c r="D3058" s="164">
        <v>2291</v>
      </c>
      <c r="E3058" s="164">
        <v>2313</v>
      </c>
      <c r="F3058" s="164" t="s">
        <v>3955</v>
      </c>
      <c r="G3058" s="164"/>
      <c r="H3058" s="168"/>
      <c r="I3058" s="168"/>
      <c r="J3058" s="168"/>
      <c r="K3058" s="181"/>
      <c r="L3058" s="169"/>
      <c r="M3058" s="129"/>
      <c r="N3058" s="129"/>
      <c r="O3058" s="129"/>
      <c r="P3058" s="146"/>
      <c r="Q3058" s="170"/>
      <c r="R3058" s="171"/>
      <c r="S3058" s="172"/>
    </row>
    <row r="3059" spans="1:19" ht="42.75">
      <c r="A3059" s="164" t="s">
        <v>780</v>
      </c>
      <c r="B3059" s="165" t="s">
        <v>1233</v>
      </c>
      <c r="C3059" s="165" t="s">
        <v>4025</v>
      </c>
      <c r="D3059" s="164">
        <v>542</v>
      </c>
      <c r="E3059" s="164">
        <v>581</v>
      </c>
      <c r="F3059" s="164" t="s">
        <v>3955</v>
      </c>
      <c r="G3059" s="164"/>
      <c r="H3059" s="168"/>
      <c r="I3059" s="168"/>
      <c r="J3059" s="168"/>
      <c r="K3059" s="181"/>
      <c r="L3059" s="169"/>
      <c r="M3059" s="129"/>
      <c r="N3059" s="129"/>
      <c r="O3059" s="129"/>
      <c r="P3059" s="146"/>
      <c r="Q3059" s="170"/>
      <c r="R3059" s="171"/>
      <c r="S3059" s="172"/>
    </row>
    <row r="3060" spans="1:19" ht="42.75">
      <c r="A3060" s="164" t="s">
        <v>780</v>
      </c>
      <c r="B3060" s="165" t="s">
        <v>1233</v>
      </c>
      <c r="C3060" s="165" t="s">
        <v>3913</v>
      </c>
      <c r="D3060" s="164">
        <v>1476</v>
      </c>
      <c r="E3060" s="164">
        <v>1516</v>
      </c>
      <c r="F3060" s="164" t="s">
        <v>3955</v>
      </c>
      <c r="G3060" s="164"/>
      <c r="H3060" s="168"/>
      <c r="I3060" s="168"/>
      <c r="J3060" s="168"/>
      <c r="K3060" s="181"/>
      <c r="L3060" s="169"/>
      <c r="M3060" s="129"/>
      <c r="N3060" s="129"/>
      <c r="O3060" s="129"/>
      <c r="P3060" s="146"/>
      <c r="Q3060" s="170"/>
      <c r="R3060" s="171"/>
      <c r="S3060" s="172"/>
    </row>
    <row r="3061" spans="1:19" ht="42.75">
      <c r="A3061" s="164" t="s">
        <v>780</v>
      </c>
      <c r="B3061" s="165" t="s">
        <v>1233</v>
      </c>
      <c r="C3061" s="165" t="s">
        <v>6552</v>
      </c>
      <c r="D3061" s="164">
        <v>1874</v>
      </c>
      <c r="E3061" s="164">
        <v>1956</v>
      </c>
      <c r="F3061" s="164" t="s">
        <v>3955</v>
      </c>
      <c r="G3061" s="164"/>
      <c r="H3061" s="168"/>
      <c r="I3061" s="168"/>
      <c r="J3061" s="168"/>
      <c r="K3061" s="181"/>
      <c r="L3061" s="169"/>
      <c r="M3061" s="129"/>
      <c r="N3061" s="129"/>
      <c r="O3061" s="129"/>
      <c r="P3061" s="146"/>
      <c r="Q3061" s="170"/>
      <c r="R3061" s="171"/>
      <c r="S3061" s="172"/>
    </row>
    <row r="3062" spans="1:19" ht="42.75">
      <c r="A3062" s="164" t="s">
        <v>780</v>
      </c>
      <c r="B3062" s="165" t="s">
        <v>1233</v>
      </c>
      <c r="C3062" s="165" t="s">
        <v>6554</v>
      </c>
      <c r="D3062" s="164">
        <v>1297</v>
      </c>
      <c r="E3062" s="164">
        <v>1302</v>
      </c>
      <c r="F3062" s="164" t="s">
        <v>3955</v>
      </c>
      <c r="G3062" s="164"/>
      <c r="H3062" s="168"/>
      <c r="I3062" s="168"/>
      <c r="J3062" s="168"/>
      <c r="K3062" s="181"/>
      <c r="L3062" s="169"/>
      <c r="M3062" s="129"/>
      <c r="N3062" s="129"/>
      <c r="O3062" s="129"/>
      <c r="P3062" s="146"/>
      <c r="Q3062" s="170"/>
      <c r="R3062" s="171"/>
      <c r="S3062" s="172"/>
    </row>
    <row r="3063" spans="1:19" ht="42.75">
      <c r="A3063" s="164" t="s">
        <v>780</v>
      </c>
      <c r="B3063" s="165" t="s">
        <v>1233</v>
      </c>
      <c r="C3063" s="165" t="s">
        <v>6556</v>
      </c>
      <c r="D3063" s="164">
        <v>1822</v>
      </c>
      <c r="E3063" s="164">
        <v>2257</v>
      </c>
      <c r="F3063" s="164" t="s">
        <v>3404</v>
      </c>
      <c r="G3063" s="164">
        <v>2024</v>
      </c>
      <c r="H3063" s="258">
        <v>45511</v>
      </c>
      <c r="I3063" s="258">
        <v>45518</v>
      </c>
      <c r="J3063" s="261" t="s">
        <v>7612</v>
      </c>
      <c r="K3063" s="260">
        <v>45523</v>
      </c>
      <c r="L3063" s="169" t="s">
        <v>3126</v>
      </c>
      <c r="M3063" s="129" t="s">
        <v>4</v>
      </c>
      <c r="N3063" s="129" t="s">
        <v>50</v>
      </c>
      <c r="O3063" s="129" t="s">
        <v>3406</v>
      </c>
      <c r="P3063" s="146"/>
      <c r="Q3063" s="305">
        <v>45531</v>
      </c>
      <c r="R3063" s="171" t="s">
        <v>150</v>
      </c>
      <c r="S3063" s="172"/>
    </row>
    <row r="3064" spans="1:19" ht="42.75">
      <c r="A3064" s="164" t="s">
        <v>780</v>
      </c>
      <c r="B3064" s="165" t="s">
        <v>1233</v>
      </c>
      <c r="C3064" s="165" t="s">
        <v>6546</v>
      </c>
      <c r="D3064" s="164">
        <v>610</v>
      </c>
      <c r="E3064" s="164">
        <v>611</v>
      </c>
      <c r="F3064" s="164" t="s">
        <v>3404</v>
      </c>
      <c r="G3064" s="164">
        <v>2024</v>
      </c>
      <c r="H3064" s="258">
        <v>45511</v>
      </c>
      <c r="I3064" s="258">
        <v>45518</v>
      </c>
      <c r="J3064" s="261" t="s">
        <v>7613</v>
      </c>
      <c r="K3064" s="260">
        <v>45523</v>
      </c>
      <c r="L3064" s="169" t="s">
        <v>3126</v>
      </c>
      <c r="M3064" s="129" t="s">
        <v>4</v>
      </c>
      <c r="N3064" s="129" t="s">
        <v>50</v>
      </c>
      <c r="O3064" s="129" t="s">
        <v>3406</v>
      </c>
      <c r="P3064" s="146"/>
      <c r="Q3064" s="170">
        <v>45525</v>
      </c>
      <c r="R3064" s="171"/>
      <c r="S3064" s="172"/>
    </row>
    <row r="3065" spans="1:19" ht="42.75">
      <c r="A3065" s="164" t="s">
        <v>780</v>
      </c>
      <c r="B3065" s="165" t="s">
        <v>1240</v>
      </c>
      <c r="C3065" s="165" t="s">
        <v>6557</v>
      </c>
      <c r="D3065" s="164">
        <v>523</v>
      </c>
      <c r="E3065" s="164">
        <v>555</v>
      </c>
      <c r="F3065" s="164" t="s">
        <v>3955</v>
      </c>
      <c r="G3065" s="164"/>
      <c r="H3065" s="258"/>
      <c r="I3065" s="258"/>
      <c r="J3065" s="168"/>
      <c r="K3065" s="260"/>
      <c r="L3065" s="169"/>
      <c r="M3065" s="129"/>
      <c r="N3065" s="129"/>
      <c r="O3065" s="129" t="s">
        <v>3406</v>
      </c>
      <c r="P3065" s="146"/>
      <c r="Q3065" s="306"/>
      <c r="R3065" s="171"/>
      <c r="S3065" s="172"/>
    </row>
    <row r="3066" spans="1:19" ht="42.75">
      <c r="A3066" s="164" t="s">
        <v>780</v>
      </c>
      <c r="B3066" s="165" t="s">
        <v>1240</v>
      </c>
      <c r="C3066" s="165" t="s">
        <v>6562</v>
      </c>
      <c r="D3066" s="164">
        <v>3375</v>
      </c>
      <c r="E3066" s="164">
        <v>3648</v>
      </c>
      <c r="F3066" s="164" t="s">
        <v>3955</v>
      </c>
      <c r="G3066" s="164"/>
      <c r="H3066" s="258"/>
      <c r="I3066" s="258"/>
      <c r="J3066" s="168"/>
      <c r="K3066" s="260"/>
      <c r="L3066" s="169"/>
      <c r="M3066" s="129"/>
      <c r="N3066" s="129"/>
      <c r="O3066" s="129" t="s">
        <v>3406</v>
      </c>
      <c r="P3066" s="146"/>
      <c r="Q3066" s="170"/>
      <c r="R3066" s="171"/>
      <c r="S3066" s="172"/>
    </row>
    <row r="3067" spans="1:19" ht="42.75">
      <c r="A3067" s="164" t="s">
        <v>780</v>
      </c>
      <c r="B3067" s="165" t="s">
        <v>1240</v>
      </c>
      <c r="C3067" s="165" t="s">
        <v>6558</v>
      </c>
      <c r="D3067" s="164">
        <v>925</v>
      </c>
      <c r="E3067" s="164">
        <v>1029</v>
      </c>
      <c r="F3067" s="164" t="s">
        <v>3404</v>
      </c>
      <c r="G3067" s="164">
        <v>2024</v>
      </c>
      <c r="H3067" s="258">
        <v>45581</v>
      </c>
      <c r="I3067" s="258">
        <v>45583</v>
      </c>
      <c r="J3067" s="261" t="s">
        <v>7614</v>
      </c>
      <c r="K3067" s="260">
        <v>45593</v>
      </c>
      <c r="L3067" s="169" t="s">
        <v>3128</v>
      </c>
      <c r="M3067" s="129" t="s">
        <v>1078</v>
      </c>
      <c r="N3067" s="129" t="s">
        <v>50</v>
      </c>
      <c r="O3067" s="129" t="s">
        <v>3406</v>
      </c>
      <c r="P3067" s="146"/>
      <c r="Q3067" s="170">
        <v>45593</v>
      </c>
      <c r="R3067" s="171" t="s">
        <v>150</v>
      </c>
      <c r="S3067" s="172"/>
    </row>
    <row r="3068" spans="1:19" ht="42.75">
      <c r="A3068" s="164" t="s">
        <v>780</v>
      </c>
      <c r="B3068" s="165" t="s">
        <v>1240</v>
      </c>
      <c r="C3068" s="165" t="s">
        <v>6559</v>
      </c>
      <c r="D3068" s="164">
        <v>3925</v>
      </c>
      <c r="E3068" s="164">
        <v>4116</v>
      </c>
      <c r="F3068" s="164" t="s">
        <v>3955</v>
      </c>
      <c r="G3068" s="164"/>
      <c r="H3068" s="258"/>
      <c r="I3068" s="258"/>
      <c r="J3068" s="168"/>
      <c r="K3068" s="260"/>
      <c r="L3068" s="169"/>
      <c r="M3068" s="129"/>
      <c r="N3068" s="129"/>
      <c r="O3068" s="129" t="s">
        <v>3406</v>
      </c>
      <c r="P3068" s="146"/>
      <c r="Q3068" s="170"/>
      <c r="R3068" s="171"/>
      <c r="S3068" s="172"/>
    </row>
    <row r="3069" spans="1:19" ht="42.75">
      <c r="A3069" s="176" t="s">
        <v>780</v>
      </c>
      <c r="B3069" s="176" t="s">
        <v>1240</v>
      </c>
      <c r="C3069" s="176" t="s">
        <v>6561</v>
      </c>
      <c r="D3069" s="176">
        <v>2379</v>
      </c>
      <c r="E3069" s="176">
        <v>2645</v>
      </c>
      <c r="F3069" s="164" t="s">
        <v>3404</v>
      </c>
      <c r="G3069" s="164">
        <v>2024</v>
      </c>
      <c r="H3069" s="307">
        <v>45428</v>
      </c>
      <c r="I3069" s="307">
        <v>45428</v>
      </c>
      <c r="J3069" s="308" t="s">
        <v>7615</v>
      </c>
      <c r="K3069" s="309">
        <v>45429</v>
      </c>
      <c r="L3069" s="310" t="s">
        <v>3532</v>
      </c>
      <c r="M3069" s="311" t="s">
        <v>1078</v>
      </c>
      <c r="N3069" s="311" t="s">
        <v>50</v>
      </c>
      <c r="O3069" s="311" t="s">
        <v>3406</v>
      </c>
      <c r="P3069" s="312"/>
      <c r="Q3069" s="313">
        <v>45432</v>
      </c>
      <c r="R3069" s="314"/>
      <c r="S3069" s="315"/>
    </row>
    <row r="3070" spans="1:19" ht="42.75">
      <c r="A3070" s="164" t="s">
        <v>780</v>
      </c>
      <c r="B3070" s="165" t="s">
        <v>1240</v>
      </c>
      <c r="C3070" s="165" t="s">
        <v>6565</v>
      </c>
      <c r="D3070" s="164">
        <v>1225</v>
      </c>
      <c r="E3070" s="164">
        <v>1180</v>
      </c>
      <c r="F3070" s="164" t="s">
        <v>3955</v>
      </c>
      <c r="G3070" s="164"/>
      <c r="H3070" s="258"/>
      <c r="I3070" s="258"/>
      <c r="J3070" s="168"/>
      <c r="K3070" s="260"/>
      <c r="L3070" s="169"/>
      <c r="M3070" s="129"/>
      <c r="N3070" s="129"/>
      <c r="O3070" s="129" t="s">
        <v>3406</v>
      </c>
      <c r="P3070" s="146"/>
      <c r="Q3070" s="170"/>
      <c r="R3070" s="171"/>
      <c r="S3070" s="172"/>
    </row>
    <row r="3071" spans="1:19" ht="42.75">
      <c r="A3071" s="164" t="s">
        <v>780</v>
      </c>
      <c r="B3071" s="165" t="s">
        <v>1240</v>
      </c>
      <c r="C3071" s="165" t="s">
        <v>6567</v>
      </c>
      <c r="D3071" s="164">
        <v>2025</v>
      </c>
      <c r="E3071" s="164">
        <v>2102</v>
      </c>
      <c r="F3071" s="164" t="s">
        <v>3955</v>
      </c>
      <c r="G3071" s="164"/>
      <c r="H3071" s="258"/>
      <c r="I3071" s="258"/>
      <c r="J3071" s="168"/>
      <c r="K3071" s="260"/>
      <c r="L3071" s="169"/>
      <c r="M3071" s="129"/>
      <c r="N3071" s="129"/>
      <c r="O3071" s="129" t="s">
        <v>3406</v>
      </c>
      <c r="P3071" s="146"/>
      <c r="Q3071" s="170"/>
      <c r="R3071" s="171"/>
      <c r="S3071" s="172"/>
    </row>
    <row r="3072" spans="1:19" ht="42.75">
      <c r="A3072" s="164" t="s">
        <v>780</v>
      </c>
      <c r="B3072" s="165" t="s">
        <v>1240</v>
      </c>
      <c r="C3072" s="165" t="s">
        <v>6569</v>
      </c>
      <c r="D3072" s="164">
        <v>1351</v>
      </c>
      <c r="E3072" s="164">
        <v>1657</v>
      </c>
      <c r="F3072" s="164" t="s">
        <v>3955</v>
      </c>
      <c r="G3072" s="164"/>
      <c r="H3072" s="258"/>
      <c r="I3072" s="258"/>
      <c r="J3072" s="168"/>
      <c r="K3072" s="260"/>
      <c r="L3072" s="169"/>
      <c r="M3072" s="129"/>
      <c r="N3072" s="129"/>
      <c r="O3072" s="129" t="s">
        <v>3406</v>
      </c>
      <c r="P3072" s="146"/>
      <c r="Q3072" s="170"/>
      <c r="R3072" s="171"/>
      <c r="S3072" s="172"/>
    </row>
    <row r="3073" spans="1:19" ht="42.75">
      <c r="A3073" s="164" t="s">
        <v>780</v>
      </c>
      <c r="B3073" s="165" t="s">
        <v>1240</v>
      </c>
      <c r="C3073" s="165" t="s">
        <v>6571</v>
      </c>
      <c r="D3073" s="164">
        <v>3356</v>
      </c>
      <c r="E3073" s="164">
        <v>3418</v>
      </c>
      <c r="F3073" s="164" t="s">
        <v>3955</v>
      </c>
      <c r="G3073" s="164"/>
      <c r="H3073" s="258"/>
      <c r="I3073" s="258"/>
      <c r="J3073" s="168"/>
      <c r="K3073" s="260"/>
      <c r="L3073" s="169"/>
      <c r="M3073" s="129"/>
      <c r="N3073" s="129"/>
      <c r="O3073" s="129" t="s">
        <v>3406</v>
      </c>
      <c r="P3073" s="146"/>
      <c r="Q3073" s="170"/>
      <c r="R3073" s="171"/>
      <c r="S3073" s="172"/>
    </row>
    <row r="3074" spans="1:19" ht="42.75">
      <c r="A3074" s="164" t="s">
        <v>780</v>
      </c>
      <c r="B3074" s="165" t="s">
        <v>1240</v>
      </c>
      <c r="C3074" s="165" t="s">
        <v>6472</v>
      </c>
      <c r="D3074" s="164">
        <v>6190</v>
      </c>
      <c r="E3074" s="164">
        <v>6446</v>
      </c>
      <c r="F3074" s="164" t="s">
        <v>3955</v>
      </c>
      <c r="G3074" s="164"/>
      <c r="H3074" s="258"/>
      <c r="I3074" s="258"/>
      <c r="J3074" s="168"/>
      <c r="K3074" s="260"/>
      <c r="L3074" s="169"/>
      <c r="M3074" s="129"/>
      <c r="N3074" s="129"/>
      <c r="O3074" s="129" t="s">
        <v>3406</v>
      </c>
      <c r="P3074" s="146"/>
      <c r="Q3074" s="170"/>
      <c r="R3074" s="171"/>
      <c r="S3074" s="172"/>
    </row>
    <row r="3075" spans="1:19" ht="42.75">
      <c r="A3075" s="164" t="s">
        <v>780</v>
      </c>
      <c r="B3075" s="165" t="s">
        <v>1240</v>
      </c>
      <c r="C3075" s="165" t="s">
        <v>5278</v>
      </c>
      <c r="D3075" s="164">
        <v>1553</v>
      </c>
      <c r="E3075" s="164">
        <v>1801</v>
      </c>
      <c r="F3075" s="164" t="s">
        <v>3955</v>
      </c>
      <c r="G3075" s="164"/>
      <c r="H3075" s="258"/>
      <c r="I3075" s="258"/>
      <c r="J3075" s="168"/>
      <c r="K3075" s="260"/>
      <c r="L3075" s="169"/>
      <c r="M3075" s="129"/>
      <c r="N3075" s="129"/>
      <c r="O3075" s="129" t="s">
        <v>3406</v>
      </c>
      <c r="P3075" s="146"/>
      <c r="Q3075" s="170"/>
      <c r="R3075" s="171"/>
      <c r="S3075" s="172"/>
    </row>
    <row r="3076" spans="1:19" ht="42.75">
      <c r="A3076" s="176" t="s">
        <v>780</v>
      </c>
      <c r="B3076" s="176" t="s">
        <v>1240</v>
      </c>
      <c r="C3076" s="176" t="s">
        <v>6575</v>
      </c>
      <c r="D3076" s="176">
        <v>2521</v>
      </c>
      <c r="E3076" s="176">
        <v>2657</v>
      </c>
      <c r="F3076" s="164" t="s">
        <v>3404</v>
      </c>
      <c r="G3076" s="164">
        <v>2024</v>
      </c>
      <c r="H3076" s="307">
        <v>45428</v>
      </c>
      <c r="I3076" s="307">
        <v>45428</v>
      </c>
      <c r="J3076" s="308" t="s">
        <v>7616</v>
      </c>
      <c r="K3076" s="309">
        <v>45429</v>
      </c>
      <c r="L3076" s="310" t="s">
        <v>3532</v>
      </c>
      <c r="M3076" s="311" t="s">
        <v>1078</v>
      </c>
      <c r="N3076" s="311" t="s">
        <v>50</v>
      </c>
      <c r="O3076" s="311" t="s">
        <v>3406</v>
      </c>
      <c r="P3076" s="312"/>
      <c r="Q3076" s="313">
        <v>45429</v>
      </c>
      <c r="R3076" s="314"/>
      <c r="S3076" s="315"/>
    </row>
    <row r="3077" spans="1:19" ht="42.75">
      <c r="A3077" s="176" t="s">
        <v>780</v>
      </c>
      <c r="B3077" s="176" t="s">
        <v>1240</v>
      </c>
      <c r="C3077" s="176" t="s">
        <v>6576</v>
      </c>
      <c r="D3077" s="176">
        <v>3941</v>
      </c>
      <c r="E3077" s="176">
        <v>4284</v>
      </c>
      <c r="F3077" s="164" t="s">
        <v>3404</v>
      </c>
      <c r="G3077" s="164">
        <v>2024</v>
      </c>
      <c r="H3077" s="307">
        <v>45428</v>
      </c>
      <c r="I3077" s="307">
        <v>45428</v>
      </c>
      <c r="J3077" s="308" t="s">
        <v>7617</v>
      </c>
      <c r="K3077" s="309">
        <v>45429</v>
      </c>
      <c r="L3077" s="310" t="s">
        <v>3532</v>
      </c>
      <c r="M3077" s="311" t="s">
        <v>1078</v>
      </c>
      <c r="N3077" s="311" t="s">
        <v>50</v>
      </c>
      <c r="O3077" s="311" t="s">
        <v>3406</v>
      </c>
      <c r="P3077" s="312"/>
      <c r="Q3077" s="313">
        <v>45429</v>
      </c>
      <c r="R3077" s="314"/>
      <c r="S3077" s="315"/>
    </row>
    <row r="3078" spans="1:19" ht="42.75">
      <c r="A3078" s="164" t="s">
        <v>780</v>
      </c>
      <c r="B3078" s="165" t="s">
        <v>1240</v>
      </c>
      <c r="C3078" s="165" t="s">
        <v>6577</v>
      </c>
      <c r="D3078" s="164">
        <v>2299</v>
      </c>
      <c r="E3078" s="164">
        <v>2781</v>
      </c>
      <c r="F3078" s="164" t="s">
        <v>3404</v>
      </c>
      <c r="G3078" s="164">
        <v>2024</v>
      </c>
      <c r="H3078" s="258">
        <v>45581</v>
      </c>
      <c r="I3078" s="258">
        <v>45583</v>
      </c>
      <c r="J3078" s="303" t="s">
        <v>7618</v>
      </c>
      <c r="K3078" s="260">
        <v>45584</v>
      </c>
      <c r="L3078" s="169" t="s">
        <v>3128</v>
      </c>
      <c r="M3078" s="129" t="s">
        <v>6701</v>
      </c>
      <c r="N3078" s="129" t="s">
        <v>3528</v>
      </c>
      <c r="O3078" s="129" t="s">
        <v>3406</v>
      </c>
      <c r="P3078" s="146"/>
      <c r="Q3078" s="170">
        <v>45586</v>
      </c>
      <c r="R3078" s="171" t="s">
        <v>150</v>
      </c>
      <c r="S3078" s="172"/>
    </row>
    <row r="3079" spans="1:19" ht="42.75">
      <c r="A3079" s="164" t="s">
        <v>780</v>
      </c>
      <c r="B3079" s="165" t="s">
        <v>1240</v>
      </c>
      <c r="C3079" s="165" t="s">
        <v>6578</v>
      </c>
      <c r="D3079" s="164">
        <v>2021</v>
      </c>
      <c r="E3079" s="164">
        <v>2524</v>
      </c>
      <c r="F3079" s="164" t="s">
        <v>3404</v>
      </c>
      <c r="G3079" s="164">
        <v>2024</v>
      </c>
      <c r="H3079" s="258">
        <v>45428</v>
      </c>
      <c r="I3079" s="262">
        <v>45428</v>
      </c>
      <c r="J3079" s="266" t="s">
        <v>7619</v>
      </c>
      <c r="K3079" s="264">
        <v>45429</v>
      </c>
      <c r="L3079" s="169" t="s">
        <v>3532</v>
      </c>
      <c r="M3079" s="129" t="s">
        <v>1078</v>
      </c>
      <c r="N3079" s="129" t="s">
        <v>50</v>
      </c>
      <c r="O3079" s="129" t="s">
        <v>3406</v>
      </c>
      <c r="P3079" s="146"/>
      <c r="Q3079" s="170">
        <v>45432</v>
      </c>
      <c r="R3079" s="171"/>
      <c r="S3079" s="172"/>
    </row>
    <row r="3080" spans="1:19" ht="42.75">
      <c r="A3080" s="164" t="s">
        <v>780</v>
      </c>
      <c r="B3080" s="165" t="s">
        <v>1240</v>
      </c>
      <c r="C3080" s="165" t="s">
        <v>4991</v>
      </c>
      <c r="D3080" s="164">
        <v>3033</v>
      </c>
      <c r="E3080" s="164">
        <v>3163</v>
      </c>
      <c r="F3080" s="164" t="s">
        <v>3404</v>
      </c>
      <c r="G3080" s="164">
        <v>2024</v>
      </c>
      <c r="H3080" s="258">
        <v>45581</v>
      </c>
      <c r="I3080" s="262">
        <v>45583</v>
      </c>
      <c r="J3080" s="266" t="s">
        <v>7620</v>
      </c>
      <c r="K3080" s="264">
        <v>45584</v>
      </c>
      <c r="L3080" s="169" t="s">
        <v>3128</v>
      </c>
      <c r="M3080" s="129" t="s">
        <v>6701</v>
      </c>
      <c r="N3080" s="129" t="s">
        <v>3528</v>
      </c>
      <c r="O3080" s="129" t="s">
        <v>3406</v>
      </c>
      <c r="P3080" s="146"/>
      <c r="Q3080" s="170">
        <v>45586</v>
      </c>
      <c r="R3080" s="171" t="s">
        <v>150</v>
      </c>
      <c r="S3080" s="172"/>
    </row>
    <row r="3081" spans="1:19" ht="42.75">
      <c r="A3081" s="164" t="s">
        <v>780</v>
      </c>
      <c r="B3081" s="165" t="s">
        <v>1240</v>
      </c>
      <c r="C3081" s="165" t="s">
        <v>6579</v>
      </c>
      <c r="D3081" s="164">
        <v>3101</v>
      </c>
      <c r="E3081" s="164">
        <v>3560</v>
      </c>
      <c r="F3081" s="164" t="s">
        <v>3404</v>
      </c>
      <c r="G3081" s="164">
        <v>2024</v>
      </c>
      <c r="H3081" s="258">
        <v>45581</v>
      </c>
      <c r="I3081" s="262">
        <v>45583</v>
      </c>
      <c r="J3081" s="266" t="s">
        <v>7621</v>
      </c>
      <c r="K3081" s="264">
        <v>45584</v>
      </c>
      <c r="L3081" s="169" t="s">
        <v>3128</v>
      </c>
      <c r="M3081" s="129" t="s">
        <v>6701</v>
      </c>
      <c r="N3081" s="129" t="s">
        <v>3528</v>
      </c>
      <c r="O3081" s="129" t="s">
        <v>3406</v>
      </c>
      <c r="P3081" s="146"/>
      <c r="Q3081" s="170">
        <v>45586</v>
      </c>
      <c r="R3081" s="171" t="s">
        <v>150</v>
      </c>
      <c r="S3081" s="172"/>
    </row>
    <row r="3082" spans="1:19" ht="42.75">
      <c r="A3082" s="164" t="s">
        <v>780</v>
      </c>
      <c r="B3082" s="165" t="s">
        <v>1240</v>
      </c>
      <c r="C3082" s="165" t="s">
        <v>6580</v>
      </c>
      <c r="D3082" s="164">
        <v>1193</v>
      </c>
      <c r="E3082" s="164">
        <v>1261</v>
      </c>
      <c r="F3082" s="164" t="s">
        <v>3955</v>
      </c>
      <c r="G3082" s="164"/>
      <c r="H3082" s="258"/>
      <c r="I3082" s="258"/>
      <c r="J3082" s="168"/>
      <c r="K3082" s="260"/>
      <c r="L3082" s="169"/>
      <c r="M3082" s="129"/>
      <c r="N3082" s="129"/>
      <c r="O3082" s="129" t="s">
        <v>3406</v>
      </c>
      <c r="P3082" s="146"/>
      <c r="Q3082" s="170"/>
      <c r="R3082" s="171"/>
      <c r="S3082" s="172"/>
    </row>
    <row r="3083" spans="1:19" ht="42.75">
      <c r="A3083" s="164" t="s">
        <v>780</v>
      </c>
      <c r="B3083" s="165" t="s">
        <v>1240</v>
      </c>
      <c r="C3083" s="165" t="s">
        <v>1241</v>
      </c>
      <c r="D3083" s="164">
        <v>1138</v>
      </c>
      <c r="E3083" s="164">
        <v>1410</v>
      </c>
      <c r="F3083" s="164" t="s">
        <v>3955</v>
      </c>
      <c r="G3083" s="164"/>
      <c r="H3083" s="258"/>
      <c r="I3083" s="258"/>
      <c r="J3083" s="168"/>
      <c r="K3083" s="260"/>
      <c r="L3083" s="169"/>
      <c r="M3083" s="129"/>
      <c r="N3083" s="129"/>
      <c r="O3083" s="129" t="s">
        <v>3406</v>
      </c>
      <c r="P3083" s="146"/>
      <c r="Q3083" s="170"/>
      <c r="R3083" s="171"/>
      <c r="S3083" s="172"/>
    </row>
    <row r="3084" spans="1:19" ht="42.75">
      <c r="A3084" s="164" t="s">
        <v>780</v>
      </c>
      <c r="B3084" s="165" t="s">
        <v>1240</v>
      </c>
      <c r="C3084" s="165" t="s">
        <v>1953</v>
      </c>
      <c r="D3084" s="164">
        <v>2227</v>
      </c>
      <c r="E3084" s="164">
        <v>2597</v>
      </c>
      <c r="F3084" s="164" t="s">
        <v>3955</v>
      </c>
      <c r="G3084" s="164"/>
      <c r="H3084" s="258"/>
      <c r="I3084" s="258"/>
      <c r="J3084" s="168"/>
      <c r="K3084" s="260"/>
      <c r="L3084" s="169"/>
      <c r="M3084" s="129"/>
      <c r="N3084" s="129"/>
      <c r="O3084" s="129" t="s">
        <v>3406</v>
      </c>
      <c r="P3084" s="146"/>
      <c r="Q3084" s="170"/>
      <c r="R3084" s="171"/>
      <c r="S3084" s="172"/>
    </row>
    <row r="3085" spans="1:19" ht="42.75">
      <c r="A3085" s="164" t="s">
        <v>780</v>
      </c>
      <c r="B3085" s="165" t="s">
        <v>1240</v>
      </c>
      <c r="C3085" s="165" t="s">
        <v>2068</v>
      </c>
      <c r="D3085" s="164">
        <v>3437</v>
      </c>
      <c r="E3085" s="164">
        <v>3705</v>
      </c>
      <c r="F3085" s="164" t="s">
        <v>3955</v>
      </c>
      <c r="G3085" s="164"/>
      <c r="H3085" s="258"/>
      <c r="I3085" s="258"/>
      <c r="J3085" s="168"/>
      <c r="K3085" s="260"/>
      <c r="L3085" s="169"/>
      <c r="M3085" s="129"/>
      <c r="N3085" s="129"/>
      <c r="O3085" s="129" t="s">
        <v>3406</v>
      </c>
      <c r="P3085" s="146"/>
      <c r="Q3085" s="170"/>
      <c r="R3085" s="171"/>
      <c r="S3085" s="172"/>
    </row>
    <row r="3086" spans="1:19" ht="42.75">
      <c r="A3086" s="164" t="s">
        <v>780</v>
      </c>
      <c r="B3086" s="165" t="s">
        <v>1240</v>
      </c>
      <c r="C3086" s="165" t="s">
        <v>6585</v>
      </c>
      <c r="D3086" s="164">
        <v>593</v>
      </c>
      <c r="E3086" s="164">
        <v>601</v>
      </c>
      <c r="F3086" s="164" t="s">
        <v>3955</v>
      </c>
      <c r="G3086" s="164"/>
      <c r="H3086" s="258"/>
      <c r="I3086" s="258"/>
      <c r="J3086" s="168"/>
      <c r="K3086" s="260"/>
      <c r="L3086" s="169"/>
      <c r="M3086" s="129"/>
      <c r="N3086" s="129"/>
      <c r="O3086" s="129" t="s">
        <v>3406</v>
      </c>
      <c r="P3086" s="146"/>
      <c r="Q3086" s="170"/>
      <c r="R3086" s="171"/>
      <c r="S3086" s="172"/>
    </row>
    <row r="3087" spans="1:19" ht="42.75">
      <c r="A3087" s="164" t="s">
        <v>780</v>
      </c>
      <c r="B3087" s="165" t="s">
        <v>1240</v>
      </c>
      <c r="C3087" s="165" t="s">
        <v>6587</v>
      </c>
      <c r="D3087" s="164">
        <v>2514</v>
      </c>
      <c r="E3087" s="164">
        <v>2839</v>
      </c>
      <c r="F3087" s="164" t="s">
        <v>3955</v>
      </c>
      <c r="G3087" s="164"/>
      <c r="H3087" s="258"/>
      <c r="I3087" s="258"/>
      <c r="J3087" s="168"/>
      <c r="K3087" s="260"/>
      <c r="L3087" s="169"/>
      <c r="M3087" s="129"/>
      <c r="N3087" s="129"/>
      <c r="O3087" s="129" t="s">
        <v>3406</v>
      </c>
      <c r="P3087" s="146"/>
      <c r="Q3087" s="170"/>
      <c r="R3087" s="171"/>
      <c r="S3087" s="172"/>
    </row>
    <row r="3088" spans="1:19" ht="42.75">
      <c r="A3088" s="164" t="s">
        <v>780</v>
      </c>
      <c r="B3088" s="165" t="s">
        <v>1240</v>
      </c>
      <c r="C3088" s="165" t="s">
        <v>6589</v>
      </c>
      <c r="D3088" s="164">
        <v>2062</v>
      </c>
      <c r="E3088" s="164">
        <v>2419</v>
      </c>
      <c r="F3088" s="164" t="s">
        <v>3955</v>
      </c>
      <c r="G3088" s="164"/>
      <c r="H3088" s="258"/>
      <c r="I3088" s="258"/>
      <c r="J3088" s="191"/>
      <c r="K3088" s="260"/>
      <c r="L3088" s="169"/>
      <c r="M3088" s="129"/>
      <c r="N3088" s="129"/>
      <c r="O3088" s="129" t="s">
        <v>3406</v>
      </c>
      <c r="P3088" s="146"/>
      <c r="Q3088" s="170"/>
      <c r="R3088" s="171"/>
      <c r="S3088" s="172"/>
    </row>
    <row r="3089" spans="1:19" ht="42.75">
      <c r="A3089" s="164" t="s">
        <v>780</v>
      </c>
      <c r="B3089" s="165" t="s">
        <v>1240</v>
      </c>
      <c r="C3089" s="165" t="s">
        <v>6564</v>
      </c>
      <c r="D3089" s="164">
        <v>1244</v>
      </c>
      <c r="E3089" s="164">
        <v>1441</v>
      </c>
      <c r="F3089" s="164" t="s">
        <v>3404</v>
      </c>
      <c r="G3089" s="164">
        <v>2024</v>
      </c>
      <c r="H3089" s="258">
        <v>45581</v>
      </c>
      <c r="I3089" s="262">
        <v>45583</v>
      </c>
      <c r="J3089" s="266" t="s">
        <v>7622</v>
      </c>
      <c r="K3089" s="264">
        <v>45593</v>
      </c>
      <c r="L3089" s="169" t="s">
        <v>3128</v>
      </c>
      <c r="M3089" s="129" t="s">
        <v>4</v>
      </c>
      <c r="N3089" s="129" t="s">
        <v>50</v>
      </c>
      <c r="O3089" s="129" t="s">
        <v>3406</v>
      </c>
      <c r="P3089" s="146"/>
      <c r="Q3089" s="170">
        <v>45593</v>
      </c>
      <c r="R3089" s="171" t="s">
        <v>150</v>
      </c>
      <c r="S3089" s="172"/>
    </row>
    <row r="3090" spans="1:19" ht="42.75">
      <c r="A3090" s="164" t="s">
        <v>780</v>
      </c>
      <c r="B3090" s="165" t="s">
        <v>2071</v>
      </c>
      <c r="C3090" s="165" t="s">
        <v>6591</v>
      </c>
      <c r="D3090" s="164">
        <v>5357</v>
      </c>
      <c r="E3090" s="164">
        <v>5676</v>
      </c>
      <c r="F3090" s="164" t="s">
        <v>3404</v>
      </c>
      <c r="G3090" s="164">
        <v>2024</v>
      </c>
      <c r="H3090" s="258">
        <v>45545</v>
      </c>
      <c r="I3090" s="262">
        <v>45551</v>
      </c>
      <c r="J3090" s="266" t="s">
        <v>7623</v>
      </c>
      <c r="K3090" s="264">
        <v>45552</v>
      </c>
      <c r="L3090" s="169" t="s">
        <v>3127</v>
      </c>
      <c r="M3090" s="129" t="s">
        <v>4</v>
      </c>
      <c r="N3090" s="129" t="s">
        <v>50</v>
      </c>
      <c r="O3090" s="129" t="s">
        <v>3406</v>
      </c>
      <c r="P3090" s="146"/>
      <c r="Q3090" s="170">
        <v>45552</v>
      </c>
      <c r="R3090" s="171" t="s">
        <v>150</v>
      </c>
      <c r="S3090" s="172"/>
    </row>
    <row r="3091" spans="1:19" ht="42.75">
      <c r="A3091" s="164" t="s">
        <v>780</v>
      </c>
      <c r="B3091" s="165" t="s">
        <v>2071</v>
      </c>
      <c r="C3091" s="165" t="s">
        <v>6592</v>
      </c>
      <c r="D3091" s="164">
        <v>1212</v>
      </c>
      <c r="E3091" s="164">
        <v>1072</v>
      </c>
      <c r="F3091" s="164" t="s">
        <v>3955</v>
      </c>
      <c r="G3091" s="164"/>
      <c r="H3091" s="168"/>
      <c r="I3091" s="168"/>
      <c r="J3091" s="168"/>
      <c r="K3091" s="181"/>
      <c r="L3091" s="169"/>
      <c r="M3091" s="129"/>
      <c r="N3091" s="129"/>
      <c r="O3091" s="129"/>
      <c r="P3091" s="146"/>
      <c r="Q3091" s="170"/>
      <c r="R3091" s="171"/>
      <c r="S3091" s="172"/>
    </row>
    <row r="3092" spans="1:19" ht="42.75">
      <c r="A3092" s="164" t="s">
        <v>780</v>
      </c>
      <c r="B3092" s="165" t="s">
        <v>2071</v>
      </c>
      <c r="C3092" s="165" t="s">
        <v>6594</v>
      </c>
      <c r="D3092" s="164">
        <v>7855</v>
      </c>
      <c r="E3092" s="164">
        <v>9049</v>
      </c>
      <c r="F3092" s="164" t="s">
        <v>3955</v>
      </c>
      <c r="G3092" s="164"/>
      <c r="H3092" s="168"/>
      <c r="I3092" s="168"/>
      <c r="J3092" s="168"/>
      <c r="K3092" s="181"/>
      <c r="L3092" s="169"/>
      <c r="M3092" s="129"/>
      <c r="N3092" s="129"/>
      <c r="O3092" s="129"/>
      <c r="P3092" s="146"/>
      <c r="Q3092" s="170"/>
      <c r="R3092" s="171"/>
      <c r="S3092" s="172"/>
    </row>
    <row r="3093" spans="1:19" ht="42.75">
      <c r="A3093" s="164" t="s">
        <v>780</v>
      </c>
      <c r="B3093" s="165" t="s">
        <v>2071</v>
      </c>
      <c r="C3093" s="165" t="s">
        <v>6596</v>
      </c>
      <c r="D3093" s="164">
        <v>3596</v>
      </c>
      <c r="E3093" s="164">
        <v>3369</v>
      </c>
      <c r="F3093" s="164" t="s">
        <v>3955</v>
      </c>
      <c r="G3093" s="164"/>
      <c r="H3093" s="168"/>
      <c r="I3093" s="168"/>
      <c r="J3093" s="168"/>
      <c r="K3093" s="181"/>
      <c r="L3093" s="169"/>
      <c r="M3093" s="129"/>
      <c r="N3093" s="129"/>
      <c r="O3093" s="129"/>
      <c r="P3093" s="146"/>
      <c r="Q3093" s="170"/>
      <c r="R3093" s="171"/>
      <c r="S3093" s="172"/>
    </row>
    <row r="3094" spans="1:19" ht="42.75">
      <c r="A3094" s="164" t="s">
        <v>780</v>
      </c>
      <c r="B3094" s="165" t="s">
        <v>2071</v>
      </c>
      <c r="C3094" s="165" t="s">
        <v>6598</v>
      </c>
      <c r="D3094" s="164">
        <v>1310</v>
      </c>
      <c r="E3094" s="164">
        <v>1389</v>
      </c>
      <c r="F3094" s="164" t="s">
        <v>3955</v>
      </c>
      <c r="G3094" s="164"/>
      <c r="H3094" s="168"/>
      <c r="I3094" s="168"/>
      <c r="J3094" s="168"/>
      <c r="K3094" s="181"/>
      <c r="L3094" s="169"/>
      <c r="M3094" s="129"/>
      <c r="N3094" s="129"/>
      <c r="O3094" s="129"/>
      <c r="P3094" s="146"/>
      <c r="Q3094" s="170"/>
      <c r="R3094" s="171"/>
      <c r="S3094" s="172"/>
    </row>
    <row r="3095" spans="1:19" ht="42.75">
      <c r="A3095" s="164" t="s">
        <v>780</v>
      </c>
      <c r="B3095" s="165" t="s">
        <v>2071</v>
      </c>
      <c r="C3095" s="165" t="s">
        <v>6599</v>
      </c>
      <c r="D3095" s="164">
        <v>14307</v>
      </c>
      <c r="E3095" s="164">
        <v>15626</v>
      </c>
      <c r="F3095" s="164" t="s">
        <v>3955</v>
      </c>
      <c r="G3095" s="164"/>
      <c r="H3095" s="168"/>
      <c r="I3095" s="168"/>
      <c r="J3095" s="168"/>
      <c r="K3095" s="181"/>
      <c r="L3095" s="169"/>
      <c r="M3095" s="129"/>
      <c r="N3095" s="129"/>
      <c r="O3095" s="129"/>
      <c r="P3095" s="146"/>
      <c r="Q3095" s="170"/>
      <c r="R3095" s="171"/>
      <c r="S3095" s="172"/>
    </row>
    <row r="3096" spans="1:19" ht="42.75">
      <c r="A3096" s="164" t="s">
        <v>780</v>
      </c>
      <c r="B3096" s="165" t="s">
        <v>2071</v>
      </c>
      <c r="C3096" s="165" t="s">
        <v>6601</v>
      </c>
      <c r="D3096" s="164">
        <v>9684</v>
      </c>
      <c r="E3096" s="164">
        <v>10343</v>
      </c>
      <c r="F3096" s="164" t="s">
        <v>3955</v>
      </c>
      <c r="G3096" s="164"/>
      <c r="H3096" s="168"/>
      <c r="I3096" s="168"/>
      <c r="J3096" s="168"/>
      <c r="K3096" s="181"/>
      <c r="L3096" s="169"/>
      <c r="M3096" s="129"/>
      <c r="N3096" s="129"/>
      <c r="O3096" s="129"/>
      <c r="P3096" s="146"/>
      <c r="Q3096" s="170"/>
      <c r="R3096" s="171"/>
      <c r="S3096" s="172"/>
    </row>
    <row r="3097" spans="1:19" ht="42.75">
      <c r="A3097" s="164" t="s">
        <v>780</v>
      </c>
      <c r="B3097" s="165" t="s">
        <v>2071</v>
      </c>
      <c r="C3097" s="165" t="s">
        <v>6603</v>
      </c>
      <c r="D3097" s="164">
        <v>15956</v>
      </c>
      <c r="E3097" s="164">
        <v>16982</v>
      </c>
      <c r="F3097" s="164" t="s">
        <v>3955</v>
      </c>
      <c r="G3097" s="164"/>
      <c r="H3097" s="168"/>
      <c r="I3097" s="168"/>
      <c r="J3097" s="168"/>
      <c r="K3097" s="181"/>
      <c r="L3097" s="169"/>
      <c r="M3097" s="129"/>
      <c r="N3097" s="129"/>
      <c r="O3097" s="129"/>
      <c r="P3097" s="146"/>
      <c r="Q3097" s="170"/>
      <c r="R3097" s="171"/>
      <c r="S3097" s="172"/>
    </row>
    <row r="3098" spans="1:19" ht="42.75">
      <c r="A3098" s="164" t="s">
        <v>780</v>
      </c>
      <c r="B3098" s="165" t="s">
        <v>2071</v>
      </c>
      <c r="C3098" s="165" t="s">
        <v>6605</v>
      </c>
      <c r="D3098" s="164">
        <v>3226</v>
      </c>
      <c r="E3098" s="164">
        <v>2953</v>
      </c>
      <c r="F3098" s="164" t="s">
        <v>3955</v>
      </c>
      <c r="G3098" s="164"/>
      <c r="H3098" s="168"/>
      <c r="I3098" s="168"/>
      <c r="J3098" s="168"/>
      <c r="K3098" s="181"/>
      <c r="L3098" s="169"/>
      <c r="M3098" s="129"/>
      <c r="N3098" s="129"/>
      <c r="O3098" s="129"/>
      <c r="P3098" s="146"/>
      <c r="Q3098" s="170"/>
      <c r="R3098" s="171"/>
      <c r="S3098" s="172"/>
    </row>
    <row r="3099" spans="1:19" ht="42.75">
      <c r="A3099" s="164" t="s">
        <v>780</v>
      </c>
      <c r="B3099" s="165" t="s">
        <v>2071</v>
      </c>
      <c r="C3099" s="165" t="s">
        <v>6607</v>
      </c>
      <c r="D3099" s="164">
        <v>11557</v>
      </c>
      <c r="E3099" s="164">
        <v>13563</v>
      </c>
      <c r="F3099" s="164" t="s">
        <v>3955</v>
      </c>
      <c r="G3099" s="164"/>
      <c r="H3099" s="168"/>
      <c r="I3099" s="168"/>
      <c r="J3099" s="168"/>
      <c r="K3099" s="181"/>
      <c r="L3099" s="169"/>
      <c r="M3099" s="129"/>
      <c r="N3099" s="129"/>
      <c r="O3099" s="129"/>
      <c r="P3099" s="146"/>
      <c r="Q3099" s="170"/>
      <c r="R3099" s="171"/>
      <c r="S3099" s="172"/>
    </row>
    <row r="3100" spans="1:19" ht="42.75">
      <c r="A3100" s="164" t="s">
        <v>780</v>
      </c>
      <c r="B3100" s="165" t="s">
        <v>2071</v>
      </c>
      <c r="C3100" s="165" t="s">
        <v>6609</v>
      </c>
      <c r="D3100" s="164">
        <v>8275</v>
      </c>
      <c r="E3100" s="164">
        <v>8230</v>
      </c>
      <c r="F3100" s="164" t="s">
        <v>3955</v>
      </c>
      <c r="G3100" s="164"/>
      <c r="H3100" s="168"/>
      <c r="I3100" s="168"/>
      <c r="J3100" s="191"/>
      <c r="K3100" s="181"/>
      <c r="L3100" s="169"/>
      <c r="M3100" s="129"/>
      <c r="N3100" s="129"/>
      <c r="O3100" s="129"/>
      <c r="P3100" s="146"/>
      <c r="Q3100" s="170"/>
      <c r="R3100" s="171"/>
      <c r="S3100" s="172"/>
    </row>
    <row r="3101" spans="1:19" ht="42.75">
      <c r="A3101" s="164" t="s">
        <v>780</v>
      </c>
      <c r="B3101" s="165" t="s">
        <v>2071</v>
      </c>
      <c r="C3101" s="165" t="s">
        <v>2122</v>
      </c>
      <c r="D3101" s="164">
        <v>2704</v>
      </c>
      <c r="E3101" s="164">
        <v>3257</v>
      </c>
      <c r="F3101" s="164" t="s">
        <v>3404</v>
      </c>
      <c r="G3101" s="164">
        <v>2024</v>
      </c>
      <c r="H3101" s="258">
        <v>45545</v>
      </c>
      <c r="I3101" s="262">
        <v>45551</v>
      </c>
      <c r="J3101" s="266" t="s">
        <v>7624</v>
      </c>
      <c r="K3101" s="264">
        <v>45552</v>
      </c>
      <c r="L3101" s="169" t="s">
        <v>3127</v>
      </c>
      <c r="M3101" s="129" t="s">
        <v>4</v>
      </c>
      <c r="N3101" s="129" t="s">
        <v>50</v>
      </c>
      <c r="O3101" s="129" t="s">
        <v>3406</v>
      </c>
      <c r="P3101" s="146"/>
      <c r="Q3101" s="170">
        <v>45552</v>
      </c>
      <c r="R3101" s="171" t="s">
        <v>150</v>
      </c>
      <c r="S3101" s="172"/>
    </row>
    <row r="3102" spans="1:19" ht="42.75">
      <c r="A3102" s="164" t="s">
        <v>780</v>
      </c>
      <c r="B3102" s="165" t="s">
        <v>2071</v>
      </c>
      <c r="C3102" s="165" t="s">
        <v>6611</v>
      </c>
      <c r="D3102" s="164">
        <v>4292</v>
      </c>
      <c r="E3102" s="164">
        <v>4923</v>
      </c>
      <c r="F3102" s="164" t="s">
        <v>3404</v>
      </c>
      <c r="G3102" s="164">
        <v>2024</v>
      </c>
      <c r="H3102" s="258">
        <v>45545</v>
      </c>
      <c r="I3102" s="262">
        <v>45551</v>
      </c>
      <c r="J3102" s="266" t="s">
        <v>7625</v>
      </c>
      <c r="K3102" s="264">
        <v>45552</v>
      </c>
      <c r="L3102" s="169" t="s">
        <v>3127</v>
      </c>
      <c r="M3102" s="129" t="s">
        <v>4</v>
      </c>
      <c r="N3102" s="129" t="s">
        <v>50</v>
      </c>
      <c r="O3102" s="129" t="s">
        <v>3406</v>
      </c>
      <c r="P3102" s="146"/>
      <c r="Q3102" s="170">
        <v>45552</v>
      </c>
      <c r="R3102" s="171" t="s">
        <v>150</v>
      </c>
      <c r="S3102" s="172"/>
    </row>
    <row r="3103" spans="1:19" ht="42.75">
      <c r="A3103" s="164" t="s">
        <v>780</v>
      </c>
      <c r="B3103" s="165" t="s">
        <v>2071</v>
      </c>
      <c r="C3103" s="165" t="s">
        <v>1180</v>
      </c>
      <c r="D3103" s="164">
        <v>7869</v>
      </c>
      <c r="E3103" s="164">
        <v>8709</v>
      </c>
      <c r="F3103" s="164" t="s">
        <v>3404</v>
      </c>
      <c r="G3103" s="164">
        <v>2024</v>
      </c>
      <c r="H3103" s="258">
        <v>45545</v>
      </c>
      <c r="I3103" s="262">
        <v>45551</v>
      </c>
      <c r="J3103" s="266" t="s">
        <v>7626</v>
      </c>
      <c r="K3103" s="264">
        <v>45552</v>
      </c>
      <c r="L3103" s="169" t="s">
        <v>3127</v>
      </c>
      <c r="M3103" s="129" t="s">
        <v>4</v>
      </c>
      <c r="N3103" s="129" t="s">
        <v>50</v>
      </c>
      <c r="O3103" s="129" t="s">
        <v>3406</v>
      </c>
      <c r="P3103" s="146"/>
      <c r="Q3103" s="170">
        <v>45552</v>
      </c>
      <c r="R3103" s="171" t="s">
        <v>150</v>
      </c>
      <c r="S3103" s="172"/>
    </row>
    <row r="3104" spans="1:19" ht="42.75">
      <c r="A3104" s="164" t="s">
        <v>780</v>
      </c>
      <c r="B3104" s="165" t="s">
        <v>2071</v>
      </c>
      <c r="C3104" s="165" t="s">
        <v>3566</v>
      </c>
      <c r="D3104" s="164">
        <v>5481</v>
      </c>
      <c r="E3104" s="164">
        <v>5427</v>
      </c>
      <c r="F3104" s="164" t="s">
        <v>3404</v>
      </c>
      <c r="G3104" s="164">
        <v>2024</v>
      </c>
      <c r="H3104" s="258">
        <v>45545</v>
      </c>
      <c r="I3104" s="262">
        <v>45551</v>
      </c>
      <c r="J3104" s="263" t="s">
        <v>7627</v>
      </c>
      <c r="K3104" s="264">
        <v>45552</v>
      </c>
      <c r="L3104" s="169" t="s">
        <v>3127</v>
      </c>
      <c r="M3104" s="129" t="s">
        <v>4</v>
      </c>
      <c r="N3104" s="129" t="s">
        <v>50</v>
      </c>
      <c r="O3104" s="129" t="s">
        <v>3406</v>
      </c>
      <c r="P3104" s="146"/>
      <c r="Q3104" s="170">
        <v>45552</v>
      </c>
      <c r="R3104" s="171" t="s">
        <v>150</v>
      </c>
      <c r="S3104" s="172"/>
    </row>
    <row r="3105" spans="1:19" ht="42.75">
      <c r="A3105" s="164" t="s">
        <v>780</v>
      </c>
      <c r="B3105" s="165" t="s">
        <v>2071</v>
      </c>
      <c r="C3105" s="165" t="s">
        <v>6612</v>
      </c>
      <c r="D3105" s="164">
        <v>2090</v>
      </c>
      <c r="E3105" s="164">
        <v>1344</v>
      </c>
      <c r="F3105" s="164" t="s">
        <v>3955</v>
      </c>
      <c r="G3105" s="164"/>
      <c r="H3105" s="167"/>
      <c r="I3105" s="167"/>
      <c r="J3105" s="167"/>
      <c r="K3105" s="169"/>
      <c r="L3105" s="129"/>
      <c r="M3105" s="129"/>
      <c r="N3105" s="129"/>
      <c r="O3105" s="129"/>
      <c r="P3105" s="146"/>
      <c r="Q3105" s="170"/>
      <c r="R3105" s="171"/>
      <c r="S3105" s="172"/>
    </row>
  </sheetData>
  <dataValidations count="1">
    <dataValidation allowBlank="1" showInputMessage="1" showErrorMessage="1" sqref="G2:G3105" xr:uid="{A6235686-B89D-484B-8568-D0CD3B38A45E}"/>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868A8-AC93-4B69-BEFA-C0DC9B6181BA}">
  <sheetPr codeName="Sheet15">
    <tabColor rgb="FF00B050"/>
  </sheetPr>
  <dimension ref="A1:AN3105"/>
  <sheetViews>
    <sheetView workbookViewId="0">
      <pane xSplit="3" ySplit="1" topLeftCell="D2" activePane="bottomRight" state="frozen"/>
      <selection pane="topRight"/>
      <selection pane="bottomLeft"/>
      <selection pane="bottomRight" activeCell="G17" sqref="G17"/>
    </sheetView>
  </sheetViews>
  <sheetFormatPr defaultColWidth="9.140625" defaultRowHeight="14.25" customHeight="1"/>
  <cols>
    <col min="1" max="1" width="17.7109375" style="683" customWidth="1"/>
    <col min="2" max="2" width="25.28515625" style="683" bestFit="1" customWidth="1"/>
    <col min="3" max="3" width="32.5703125" style="683" bestFit="1" customWidth="1"/>
    <col min="4" max="4" width="32.5703125" style="321" customWidth="1"/>
    <col min="5" max="6" width="18" style="683" bestFit="1" customWidth="1"/>
    <col min="7" max="11" width="23.28515625" style="683" customWidth="1"/>
    <col min="12" max="12" width="22.7109375" style="321" customWidth="1"/>
    <col min="13" max="22" width="22.7109375" style="683" customWidth="1"/>
    <col min="23" max="23" width="41.42578125" style="684" customWidth="1"/>
    <col min="24" max="24" width="24.85546875" style="683" customWidth="1"/>
    <col min="25" max="26" width="24.85546875" style="685" customWidth="1"/>
    <col min="27" max="27" width="41.42578125" style="683" customWidth="1"/>
    <col min="28" max="28" width="44.7109375" style="683" customWidth="1"/>
    <col min="29" max="29" width="21.5703125" style="683" bestFit="1" customWidth="1"/>
    <col min="30" max="16384" width="9.140625" style="683"/>
  </cols>
  <sheetData>
    <row r="1" spans="1:40" s="474" customFormat="1" ht="42.75">
      <c r="A1" s="125" t="s">
        <v>85</v>
      </c>
      <c r="B1" s="125" t="s">
        <v>86</v>
      </c>
      <c r="C1" s="125" t="s">
        <v>782</v>
      </c>
      <c r="D1" s="125" t="s">
        <v>143</v>
      </c>
      <c r="E1" s="125" t="s">
        <v>3392</v>
      </c>
      <c r="F1" s="125" t="s">
        <v>3393</v>
      </c>
      <c r="G1" s="125" t="s">
        <v>3395</v>
      </c>
      <c r="H1" s="125" t="s">
        <v>99</v>
      </c>
      <c r="I1" s="125" t="s">
        <v>100</v>
      </c>
      <c r="J1" s="125" t="s">
        <v>101</v>
      </c>
      <c r="K1" s="125" t="s">
        <v>102</v>
      </c>
      <c r="L1" s="125" t="s">
        <v>103</v>
      </c>
      <c r="M1" s="125" t="s">
        <v>7628</v>
      </c>
      <c r="N1" s="125" t="s">
        <v>3397</v>
      </c>
      <c r="O1" s="125" t="s">
        <v>106</v>
      </c>
      <c r="P1" s="125" t="s">
        <v>107</v>
      </c>
      <c r="Q1" s="125" t="s">
        <v>108</v>
      </c>
      <c r="R1" s="125" t="s">
        <v>109</v>
      </c>
      <c r="S1" s="125" t="s">
        <v>1576</v>
      </c>
      <c r="T1" s="125" t="s">
        <v>111</v>
      </c>
      <c r="U1" s="125" t="s">
        <v>112</v>
      </c>
      <c r="V1" s="472" t="s">
        <v>1729</v>
      </c>
      <c r="W1" s="125" t="s">
        <v>3398</v>
      </c>
      <c r="X1" s="125" t="s">
        <v>3399</v>
      </c>
      <c r="Y1" s="473" t="s">
        <v>7629</v>
      </c>
      <c r="Z1" s="473" t="s">
        <v>7630</v>
      </c>
      <c r="AA1" s="125" t="s">
        <v>2550</v>
      </c>
      <c r="AB1" s="125" t="s">
        <v>127</v>
      </c>
    </row>
    <row r="2" spans="1:40" s="2" customFormat="1" ht="15">
      <c r="A2" s="61" t="s">
        <v>773</v>
      </c>
      <c r="B2" s="61" t="s">
        <v>3402</v>
      </c>
      <c r="C2" s="61" t="s">
        <v>3403</v>
      </c>
      <c r="D2" s="61" t="s">
        <v>159</v>
      </c>
      <c r="E2" s="61">
        <v>587</v>
      </c>
      <c r="F2" s="61">
        <v>514</v>
      </c>
      <c r="G2" s="61">
        <v>2025</v>
      </c>
      <c r="H2" s="61" t="s">
        <v>3125</v>
      </c>
      <c r="I2" s="61" t="s">
        <v>172</v>
      </c>
      <c r="J2" s="61"/>
      <c r="K2" s="61" t="s">
        <v>163</v>
      </c>
      <c r="L2" s="61" t="s">
        <v>7631</v>
      </c>
      <c r="M2" s="475">
        <v>45848</v>
      </c>
      <c r="N2" s="475">
        <v>45856</v>
      </c>
      <c r="O2" s="475"/>
      <c r="P2" s="475">
        <v>45856</v>
      </c>
      <c r="Q2" s="475">
        <v>45856</v>
      </c>
      <c r="R2" s="61">
        <f t="shared" ref="R2:R65" si="0">IF(
    OR(ISBLANK(M2), ISBLANK(N2)),
    "",
    MAX(1, IF(
        NETWORKDAYS(M2, N2) &lt;= 0,
        1,
        NETWORKDAYS(M2, N2) - IF(M2 = N2, 0, 1)
    ))
)</f>
        <v>6</v>
      </c>
      <c r="S2" s="61" t="str">
        <f t="shared" ref="S2:S65" si="1">IF(
    OR(ISBLANK(N2), ISBLANK(O2)),
    "",
    MAX(1, IF(
        NETWORKDAYS(N2, O2) &lt;= 0,
        1,
        NETWORKDAYS(N2, O2) - IF(N2 = O2, 0, 1)
    ))
)</f>
        <v/>
      </c>
      <c r="T2" s="61">
        <f>IF(
  OR(A2 = "Nueva_Ecija", A2 = "Zambales", A2 = "Bulacan"),
  IF(
    OR(ISBLANK(O2), ISBLANK(P2)),
    "",
    MAX(1, IF(
      NETWORKDAYS(O2, P2) &lt;= 0,
      1,
      NETWORKDAYS(O2, P2) - IF(O2 = P2, 0, 1)
    ))
  ),
  IF(
    OR(ISBLANK(N2), ISBLANK(P2)),
    "",
    MAX(1, IF(
      NETWORKDAYS(N2, P2) &lt;= 0,
      1,
      NETWORKDAYS(N2, P2) - IF(N2 = P2, 0, 1)
    ))
  )
)</f>
        <v>1</v>
      </c>
      <c r="U2" s="61">
        <f t="shared" ref="U2:U65" si="2">IF(
    OR(ISBLANK(P2), ISBLANK(Q2)),
    "",
    MAX(1, IF(
        NETWORKDAYS(P2, Q2) &lt;= 0,
        1,
        NETWORKDAYS(P2, Q2) - IF(P2 = Q2, 0, 1)
    ))
)</f>
        <v>1</v>
      </c>
      <c r="V2" s="61" t="s">
        <v>150</v>
      </c>
      <c r="W2" s="61" t="s">
        <v>1078</v>
      </c>
      <c r="X2" s="61" t="s">
        <v>50</v>
      </c>
      <c r="Y2" s="61">
        <v>15.7601</v>
      </c>
      <c r="Z2" s="61">
        <v>121.5613</v>
      </c>
      <c r="AA2" s="61"/>
      <c r="AB2" s="61"/>
    </row>
    <row r="3" spans="1:40" s="2" customFormat="1" ht="15">
      <c r="A3" s="61" t="s">
        <v>773</v>
      </c>
      <c r="B3" s="61" t="s">
        <v>3402</v>
      </c>
      <c r="C3" s="61" t="s">
        <v>3407</v>
      </c>
      <c r="D3" s="61" t="s">
        <v>159</v>
      </c>
      <c r="E3" s="61">
        <v>312</v>
      </c>
      <c r="F3" s="61">
        <v>346</v>
      </c>
      <c r="G3" s="61">
        <v>2025</v>
      </c>
      <c r="H3" s="61" t="s">
        <v>3126</v>
      </c>
      <c r="I3" s="61" t="s">
        <v>172</v>
      </c>
      <c r="J3" s="61"/>
      <c r="K3" s="61" t="s">
        <v>163</v>
      </c>
      <c r="L3" s="61" t="s">
        <v>7632</v>
      </c>
      <c r="M3" s="475">
        <v>45874</v>
      </c>
      <c r="N3" s="475">
        <v>45880</v>
      </c>
      <c r="O3" s="61"/>
      <c r="P3" s="475">
        <v>45882</v>
      </c>
      <c r="Q3" s="475">
        <v>45882</v>
      </c>
      <c r="R3" s="61">
        <f t="shared" si="0"/>
        <v>4</v>
      </c>
      <c r="S3" s="61" t="str">
        <f t="shared" si="1"/>
        <v/>
      </c>
      <c r="T3" s="61">
        <f t="shared" ref="T3:T66" si="3">IF(
  OR(A3 = "Nueva_Ecija", A3 = "Zambales"),
  IF(
    OR(ISBLANK(O3), ISBLANK(P3)),
    "",
    MAX(1, IF(
      NETWORKDAYS(O3, P3) &lt;= 0,
      1,
      NETWORKDAYS(O3, P3) - IF(O3 = P3, 0, 1)
    ))
  ),
  IF(
    OR(ISBLANK(N3), ISBLANK(P3)),
    "",
    MAX(1, IF(
      NETWORKDAYS(N3, P3) &lt;= 0,
      1,
      NETWORKDAYS(N3, P3) - IF(N3 = P3, 0, 1)
    ))
  )
)</f>
        <v>2</v>
      </c>
      <c r="U3" s="61">
        <f t="shared" si="2"/>
        <v>1</v>
      </c>
      <c r="V3" s="61" t="s">
        <v>150</v>
      </c>
      <c r="W3" s="61" t="s">
        <v>1078</v>
      </c>
      <c r="X3" s="61" t="s">
        <v>57</v>
      </c>
      <c r="Y3" s="61">
        <v>15.7578</v>
      </c>
      <c r="Z3" s="61">
        <v>15.7578</v>
      </c>
      <c r="AA3" s="61" t="s">
        <v>330</v>
      </c>
      <c r="AB3" s="61"/>
    </row>
    <row r="4" spans="1:40" s="2" customFormat="1" ht="28.5">
      <c r="A4" s="61" t="s">
        <v>773</v>
      </c>
      <c r="B4" s="61" t="s">
        <v>3402</v>
      </c>
      <c r="C4" s="61" t="s">
        <v>3409</v>
      </c>
      <c r="D4" s="61" t="s">
        <v>159</v>
      </c>
      <c r="E4" s="61">
        <v>357</v>
      </c>
      <c r="F4" s="61">
        <v>375</v>
      </c>
      <c r="G4" s="61">
        <v>2025</v>
      </c>
      <c r="H4" s="61" t="s">
        <v>3689</v>
      </c>
      <c r="I4" s="61" t="s">
        <v>172</v>
      </c>
      <c r="J4" s="61"/>
      <c r="K4" s="61" t="s">
        <v>163</v>
      </c>
      <c r="L4" s="61" t="s">
        <v>7633</v>
      </c>
      <c r="M4" s="475">
        <v>45821</v>
      </c>
      <c r="N4" s="475">
        <v>45823</v>
      </c>
      <c r="O4" s="61"/>
      <c r="P4" s="475">
        <v>45825</v>
      </c>
      <c r="Q4" s="475">
        <v>45825</v>
      </c>
      <c r="R4" s="61">
        <f t="shared" si="0"/>
        <v>1</v>
      </c>
      <c r="S4" s="61" t="str">
        <f t="shared" si="1"/>
        <v/>
      </c>
      <c r="T4" s="61">
        <f t="shared" si="3"/>
        <v>1</v>
      </c>
      <c r="U4" s="61">
        <f t="shared" si="2"/>
        <v>1</v>
      </c>
      <c r="V4" s="61" t="s">
        <v>150</v>
      </c>
      <c r="W4" s="61" t="s">
        <v>1078</v>
      </c>
      <c r="X4" s="61" t="s">
        <v>57</v>
      </c>
      <c r="Y4" s="61">
        <v>15.758100000000001</v>
      </c>
      <c r="Z4" s="61">
        <v>121.5613</v>
      </c>
      <c r="AA4" s="61" t="s">
        <v>330</v>
      </c>
      <c r="AB4" s="61" t="s">
        <v>7634</v>
      </c>
    </row>
    <row r="5" spans="1:40" s="2" customFormat="1" ht="15">
      <c r="A5" s="61" t="s">
        <v>773</v>
      </c>
      <c r="B5" s="61" t="s">
        <v>3402</v>
      </c>
      <c r="C5" s="61" t="s">
        <v>3410</v>
      </c>
      <c r="D5" s="61" t="s">
        <v>159</v>
      </c>
      <c r="E5" s="61">
        <v>363</v>
      </c>
      <c r="F5" s="61">
        <v>324</v>
      </c>
      <c r="G5" s="61"/>
      <c r="H5" s="61"/>
      <c r="I5" s="61" t="s">
        <v>172</v>
      </c>
      <c r="J5" s="61"/>
      <c r="K5" s="61" t="s">
        <v>163</v>
      </c>
      <c r="L5" s="61"/>
      <c r="M5" s="61"/>
      <c r="N5" s="61"/>
      <c r="O5" s="61"/>
      <c r="P5" s="61"/>
      <c r="Q5" s="61"/>
      <c r="R5" s="61" t="str">
        <f t="shared" si="0"/>
        <v/>
      </c>
      <c r="S5" s="61" t="str">
        <f t="shared" si="1"/>
        <v/>
      </c>
      <c r="T5" s="61" t="str">
        <f t="shared" si="3"/>
        <v/>
      </c>
      <c r="U5" s="61" t="str">
        <f t="shared" si="2"/>
        <v/>
      </c>
      <c r="V5" s="61"/>
      <c r="W5" s="61"/>
      <c r="X5" s="61"/>
      <c r="Y5" s="61"/>
      <c r="Z5" s="61"/>
      <c r="AA5" s="61"/>
      <c r="AB5" s="61"/>
    </row>
    <row r="6" spans="1:40" s="2" customFormat="1" ht="28.5">
      <c r="A6" s="61" t="s">
        <v>773</v>
      </c>
      <c r="B6" s="61" t="s">
        <v>3402</v>
      </c>
      <c r="C6" s="61" t="s">
        <v>3411</v>
      </c>
      <c r="D6" s="61" t="s">
        <v>159</v>
      </c>
      <c r="E6" s="61">
        <v>1718</v>
      </c>
      <c r="F6" s="61">
        <v>1647</v>
      </c>
      <c r="G6" s="61">
        <v>2025</v>
      </c>
      <c r="H6" s="61" t="s">
        <v>3689</v>
      </c>
      <c r="I6" s="61" t="s">
        <v>172</v>
      </c>
      <c r="J6" s="61"/>
      <c r="K6" s="61" t="s">
        <v>163</v>
      </c>
      <c r="L6" s="61" t="s">
        <v>7635</v>
      </c>
      <c r="M6" s="475">
        <v>45821</v>
      </c>
      <c r="N6" s="475">
        <v>45823</v>
      </c>
      <c r="O6" s="61"/>
      <c r="P6" s="475">
        <v>45825</v>
      </c>
      <c r="Q6" s="475">
        <v>45825</v>
      </c>
      <c r="R6" s="61">
        <f t="shared" si="0"/>
        <v>1</v>
      </c>
      <c r="S6" s="61" t="str">
        <f t="shared" si="1"/>
        <v/>
      </c>
      <c r="T6" s="61">
        <f t="shared" si="3"/>
        <v>1</v>
      </c>
      <c r="U6" s="61">
        <f t="shared" si="2"/>
        <v>1</v>
      </c>
      <c r="V6" s="61" t="s">
        <v>150</v>
      </c>
      <c r="W6" s="61" t="s">
        <v>4</v>
      </c>
      <c r="X6" s="61" t="s">
        <v>57</v>
      </c>
      <c r="Y6" s="61">
        <v>15.759399999999999</v>
      </c>
      <c r="Z6" s="61">
        <v>121.5654</v>
      </c>
      <c r="AA6" s="61" t="s">
        <v>330</v>
      </c>
      <c r="AB6" s="61" t="s">
        <v>7634</v>
      </c>
    </row>
    <row r="7" spans="1:40" s="2" customFormat="1" ht="28.5">
      <c r="A7" s="61" t="s">
        <v>773</v>
      </c>
      <c r="B7" s="61" t="s">
        <v>3402</v>
      </c>
      <c r="C7" s="61" t="s">
        <v>811</v>
      </c>
      <c r="D7" s="61" t="s">
        <v>159</v>
      </c>
      <c r="E7" s="61">
        <v>5310</v>
      </c>
      <c r="F7" s="61">
        <v>5985</v>
      </c>
      <c r="G7" s="61">
        <v>2025</v>
      </c>
      <c r="H7" s="61" t="s">
        <v>3126</v>
      </c>
      <c r="I7" s="61" t="s">
        <v>172</v>
      </c>
      <c r="J7" s="61"/>
      <c r="K7" s="61" t="s">
        <v>163</v>
      </c>
      <c r="L7" s="61" t="s">
        <v>7636</v>
      </c>
      <c r="M7" s="475">
        <v>45882</v>
      </c>
      <c r="N7" s="475">
        <v>45887</v>
      </c>
      <c r="O7" s="61"/>
      <c r="P7" s="475">
        <v>45887</v>
      </c>
      <c r="Q7" s="475">
        <v>45887</v>
      </c>
      <c r="R7" s="61">
        <f t="shared" si="0"/>
        <v>3</v>
      </c>
      <c r="S7" s="61" t="str">
        <f t="shared" si="1"/>
        <v/>
      </c>
      <c r="T7" s="61">
        <f t="shared" si="3"/>
        <v>1</v>
      </c>
      <c r="U7" s="61">
        <f t="shared" si="2"/>
        <v>1</v>
      </c>
      <c r="V7" s="61" t="s">
        <v>150</v>
      </c>
      <c r="W7" s="61" t="s">
        <v>4</v>
      </c>
      <c r="X7" s="61" t="s">
        <v>50</v>
      </c>
      <c r="Y7" s="61">
        <v>15.7311</v>
      </c>
      <c r="Z7" s="61">
        <v>121.5137</v>
      </c>
      <c r="AA7" s="61" t="s">
        <v>330</v>
      </c>
      <c r="AB7" s="61" t="s">
        <v>7634</v>
      </c>
    </row>
    <row r="8" spans="1:40" s="2" customFormat="1" ht="15">
      <c r="A8" s="61" t="s">
        <v>773</v>
      </c>
      <c r="B8" s="61" t="s">
        <v>3402</v>
      </c>
      <c r="C8" s="61" t="s">
        <v>1972</v>
      </c>
      <c r="D8" s="61" t="s">
        <v>159</v>
      </c>
      <c r="E8" s="61">
        <v>3895</v>
      </c>
      <c r="F8" s="61">
        <v>5536</v>
      </c>
      <c r="G8" s="61">
        <v>2025</v>
      </c>
      <c r="H8" s="61" t="s">
        <v>3125</v>
      </c>
      <c r="I8" s="61" t="s">
        <v>172</v>
      </c>
      <c r="J8" s="61"/>
      <c r="K8" s="61" t="s">
        <v>163</v>
      </c>
      <c r="L8" s="61" t="s">
        <v>7637</v>
      </c>
      <c r="M8" s="475">
        <v>45848</v>
      </c>
      <c r="N8" s="475">
        <v>45849</v>
      </c>
      <c r="O8" s="61"/>
      <c r="P8" s="475">
        <v>45854</v>
      </c>
      <c r="Q8" s="475">
        <v>45854</v>
      </c>
      <c r="R8" s="61">
        <f t="shared" si="0"/>
        <v>1</v>
      </c>
      <c r="S8" s="61" t="str">
        <f t="shared" si="1"/>
        <v/>
      </c>
      <c r="T8" s="61">
        <f t="shared" si="3"/>
        <v>3</v>
      </c>
      <c r="U8" s="61">
        <f t="shared" si="2"/>
        <v>1</v>
      </c>
      <c r="V8" s="61" t="s">
        <v>150</v>
      </c>
      <c r="W8" s="61" t="s">
        <v>3527</v>
      </c>
      <c r="X8" s="61" t="s">
        <v>3528</v>
      </c>
      <c r="Y8" s="61">
        <v>15.7493</v>
      </c>
      <c r="Z8" s="61">
        <v>121.509</v>
      </c>
      <c r="AA8" s="61"/>
      <c r="AB8" s="61"/>
    </row>
    <row r="9" spans="1:40" s="2" customFormat="1" ht="15">
      <c r="A9" s="61" t="s">
        <v>773</v>
      </c>
      <c r="B9" s="61" t="s">
        <v>3402</v>
      </c>
      <c r="C9" s="61" t="s">
        <v>3414</v>
      </c>
      <c r="D9" s="61" t="s">
        <v>159</v>
      </c>
      <c r="E9" s="61">
        <v>1215</v>
      </c>
      <c r="F9" s="61">
        <v>1392</v>
      </c>
      <c r="G9" s="61">
        <v>2025</v>
      </c>
      <c r="H9" s="61" t="s">
        <v>3458</v>
      </c>
      <c r="I9" s="61" t="s">
        <v>172</v>
      </c>
      <c r="J9" s="61"/>
      <c r="K9" s="61" t="s">
        <v>163</v>
      </c>
      <c r="L9" s="61" t="s">
        <v>7638</v>
      </c>
      <c r="M9" s="475">
        <v>45699</v>
      </c>
      <c r="N9" s="475">
        <v>45700</v>
      </c>
      <c r="O9" s="61"/>
      <c r="P9" s="475">
        <v>45702</v>
      </c>
      <c r="Q9" s="475">
        <v>45702</v>
      </c>
      <c r="R9" s="61">
        <f t="shared" si="0"/>
        <v>1</v>
      </c>
      <c r="S9" s="61" t="str">
        <f t="shared" si="1"/>
        <v/>
      </c>
      <c r="T9" s="61">
        <f t="shared" si="3"/>
        <v>2</v>
      </c>
      <c r="U9" s="61">
        <f t="shared" si="2"/>
        <v>1</v>
      </c>
      <c r="V9" s="61" t="s">
        <v>150</v>
      </c>
      <c r="W9" s="61" t="s">
        <v>4</v>
      </c>
      <c r="X9" s="61" t="s">
        <v>57</v>
      </c>
      <c r="Y9" s="61"/>
      <c r="Z9" s="61"/>
      <c r="AA9" s="61" t="s">
        <v>9</v>
      </c>
      <c r="AB9" s="61"/>
    </row>
    <row r="10" spans="1:40" s="2" customFormat="1" ht="28.5">
      <c r="A10" s="61" t="s">
        <v>773</v>
      </c>
      <c r="B10" s="61" t="s">
        <v>3402</v>
      </c>
      <c r="C10" s="61" t="s">
        <v>966</v>
      </c>
      <c r="D10" s="61" t="s">
        <v>159</v>
      </c>
      <c r="E10" s="61">
        <v>5913</v>
      </c>
      <c r="F10" s="61">
        <v>6563</v>
      </c>
      <c r="G10" s="61">
        <v>2025</v>
      </c>
      <c r="H10" s="61" t="s">
        <v>3532</v>
      </c>
      <c r="I10" s="61" t="s">
        <v>172</v>
      </c>
      <c r="J10" s="61"/>
      <c r="K10" s="61" t="s">
        <v>163</v>
      </c>
      <c r="L10" s="61" t="s">
        <v>7639</v>
      </c>
      <c r="M10" s="475">
        <v>45793</v>
      </c>
      <c r="N10" s="475">
        <v>45796</v>
      </c>
      <c r="O10" s="61"/>
      <c r="P10" s="475">
        <v>45796</v>
      </c>
      <c r="Q10" s="475">
        <v>45797</v>
      </c>
      <c r="R10" s="61">
        <f t="shared" si="0"/>
        <v>1</v>
      </c>
      <c r="S10" s="61" t="str">
        <f t="shared" si="1"/>
        <v/>
      </c>
      <c r="T10" s="61">
        <f t="shared" si="3"/>
        <v>1</v>
      </c>
      <c r="U10" s="61">
        <f t="shared" si="2"/>
        <v>1</v>
      </c>
      <c r="V10" s="61" t="s">
        <v>150</v>
      </c>
      <c r="W10" s="61" t="s">
        <v>4</v>
      </c>
      <c r="X10" s="61" t="s">
        <v>50</v>
      </c>
      <c r="Y10" s="61">
        <v>15.7402</v>
      </c>
      <c r="Z10" s="61">
        <v>121.5556</v>
      </c>
      <c r="AA10" s="61" t="s">
        <v>330</v>
      </c>
      <c r="AB10" s="61" t="s">
        <v>7634</v>
      </c>
    </row>
    <row r="11" spans="1:40" s="2" customFormat="1" ht="28.5">
      <c r="A11" s="61" t="s">
        <v>773</v>
      </c>
      <c r="B11" s="61" t="s">
        <v>3402</v>
      </c>
      <c r="C11" s="61" t="s">
        <v>3421</v>
      </c>
      <c r="D11" s="61" t="s">
        <v>159</v>
      </c>
      <c r="E11" s="61">
        <v>4580</v>
      </c>
      <c r="F11" s="61">
        <v>5158</v>
      </c>
      <c r="G11" s="61">
        <v>2025</v>
      </c>
      <c r="H11" s="61" t="s">
        <v>3458</v>
      </c>
      <c r="I11" s="61" t="s">
        <v>172</v>
      </c>
      <c r="J11" s="61"/>
      <c r="K11" s="61" t="s">
        <v>163</v>
      </c>
      <c r="L11" s="61" t="s">
        <v>7640</v>
      </c>
      <c r="M11" s="475">
        <v>45695</v>
      </c>
      <c r="N11" s="475">
        <v>45697</v>
      </c>
      <c r="O11" s="61"/>
      <c r="P11" s="475">
        <v>45698</v>
      </c>
      <c r="Q11" s="475">
        <v>45698</v>
      </c>
      <c r="R11" s="61">
        <f t="shared" si="0"/>
        <v>1</v>
      </c>
      <c r="S11" s="61" t="str">
        <f t="shared" si="1"/>
        <v/>
      </c>
      <c r="T11" s="61">
        <f t="shared" si="3"/>
        <v>1</v>
      </c>
      <c r="U11" s="61">
        <f t="shared" si="2"/>
        <v>1</v>
      </c>
      <c r="V11" s="61" t="s">
        <v>150</v>
      </c>
      <c r="W11" s="61" t="s">
        <v>1078</v>
      </c>
      <c r="X11" s="61" t="s">
        <v>57</v>
      </c>
      <c r="Y11" s="61"/>
      <c r="Z11" s="61"/>
      <c r="AA11" s="61" t="s">
        <v>9</v>
      </c>
      <c r="AB11" s="61" t="s">
        <v>7634</v>
      </c>
      <c r="AN11" s="11" t="s">
        <v>1643</v>
      </c>
    </row>
    <row r="12" spans="1:40" s="2" customFormat="1" ht="15">
      <c r="A12" s="61" t="s">
        <v>773</v>
      </c>
      <c r="B12" s="61" t="s">
        <v>3402</v>
      </c>
      <c r="C12" s="61" t="s">
        <v>1241</v>
      </c>
      <c r="D12" s="61" t="s">
        <v>159</v>
      </c>
      <c r="E12" s="61">
        <v>4833</v>
      </c>
      <c r="F12" s="61">
        <v>4423</v>
      </c>
      <c r="G12" s="61">
        <v>2025</v>
      </c>
      <c r="H12" s="61" t="s">
        <v>3128</v>
      </c>
      <c r="I12" s="61" t="s">
        <v>172</v>
      </c>
      <c r="J12" s="61"/>
      <c r="K12" s="61" t="s">
        <v>163</v>
      </c>
      <c r="L12" s="61" t="s">
        <v>7641</v>
      </c>
      <c r="M12" s="475">
        <v>45947</v>
      </c>
      <c r="N12" s="475">
        <v>45947</v>
      </c>
      <c r="O12" s="61"/>
      <c r="P12" s="475">
        <v>45950</v>
      </c>
      <c r="Q12" s="475">
        <v>45950</v>
      </c>
      <c r="R12" s="61">
        <f t="shared" si="0"/>
        <v>1</v>
      </c>
      <c r="S12" s="61" t="str">
        <f t="shared" si="1"/>
        <v/>
      </c>
      <c r="T12" s="61">
        <f t="shared" si="3"/>
        <v>1</v>
      </c>
      <c r="U12" s="61">
        <f t="shared" si="2"/>
        <v>1</v>
      </c>
      <c r="V12" s="61" t="s">
        <v>150</v>
      </c>
      <c r="W12" s="61" t="s">
        <v>4</v>
      </c>
      <c r="X12" s="61" t="s">
        <v>50</v>
      </c>
      <c r="Y12" s="61">
        <v>15.760999999999999</v>
      </c>
      <c r="Z12" s="61">
        <v>121.5656</v>
      </c>
      <c r="AA12" s="61" t="s">
        <v>330</v>
      </c>
      <c r="AB12" s="61"/>
    </row>
    <row r="13" spans="1:40" s="2" customFormat="1" ht="15">
      <c r="A13" s="61" t="s">
        <v>773</v>
      </c>
      <c r="B13" s="61" t="s">
        <v>3402</v>
      </c>
      <c r="C13" s="61" t="s">
        <v>3423</v>
      </c>
      <c r="D13" s="61" t="s">
        <v>159</v>
      </c>
      <c r="E13" s="61">
        <v>6341</v>
      </c>
      <c r="F13" s="61">
        <v>6573</v>
      </c>
      <c r="G13" s="61"/>
      <c r="H13" s="61"/>
      <c r="I13" s="61" t="s">
        <v>172</v>
      </c>
      <c r="J13" s="61"/>
      <c r="K13" s="61" t="s">
        <v>163</v>
      </c>
      <c r="L13" s="61"/>
      <c r="M13" s="61"/>
      <c r="N13" s="475"/>
      <c r="O13" s="61"/>
      <c r="P13" s="475"/>
      <c r="Q13" s="475"/>
      <c r="R13" s="61" t="str">
        <f t="shared" si="0"/>
        <v/>
      </c>
      <c r="S13" s="61" t="str">
        <f t="shared" si="1"/>
        <v/>
      </c>
      <c r="T13" s="61" t="str">
        <f t="shared" si="3"/>
        <v/>
      </c>
      <c r="U13" s="61" t="str">
        <f t="shared" si="2"/>
        <v/>
      </c>
      <c r="V13" s="61"/>
      <c r="W13" s="61"/>
      <c r="X13" s="61"/>
      <c r="Y13" s="61"/>
      <c r="Z13" s="61"/>
      <c r="AA13" s="61"/>
      <c r="AB13" s="61"/>
    </row>
    <row r="14" spans="1:40" s="2" customFormat="1" ht="156.75">
      <c r="A14" s="61" t="s">
        <v>773</v>
      </c>
      <c r="B14" s="61" t="s">
        <v>3402</v>
      </c>
      <c r="C14" s="61" t="s">
        <v>821</v>
      </c>
      <c r="D14" s="61" t="s">
        <v>159</v>
      </c>
      <c r="E14" s="61">
        <v>4138</v>
      </c>
      <c r="F14" s="61">
        <v>4949</v>
      </c>
      <c r="G14" s="61">
        <v>2025</v>
      </c>
      <c r="H14" s="61" t="s">
        <v>3126</v>
      </c>
      <c r="I14" s="61" t="s">
        <v>172</v>
      </c>
      <c r="J14" s="61"/>
      <c r="K14" s="61" t="s">
        <v>163</v>
      </c>
      <c r="L14" s="61" t="s">
        <v>7642</v>
      </c>
      <c r="M14" s="475">
        <v>45877</v>
      </c>
      <c r="N14" s="475">
        <v>45880</v>
      </c>
      <c r="O14" s="61"/>
      <c r="P14" s="475">
        <v>45882</v>
      </c>
      <c r="Q14" s="475">
        <v>45882</v>
      </c>
      <c r="R14" s="61">
        <f t="shared" si="0"/>
        <v>1</v>
      </c>
      <c r="S14" s="61" t="str">
        <f t="shared" si="1"/>
        <v/>
      </c>
      <c r="T14" s="61">
        <f t="shared" si="3"/>
        <v>2</v>
      </c>
      <c r="U14" s="61">
        <f t="shared" si="2"/>
        <v>1</v>
      </c>
      <c r="V14" s="61" t="s">
        <v>150</v>
      </c>
      <c r="W14" s="61" t="s">
        <v>3527</v>
      </c>
      <c r="X14" s="61" t="s">
        <v>3528</v>
      </c>
      <c r="Y14" s="61" t="s">
        <v>69</v>
      </c>
      <c r="Z14" s="61" t="s">
        <v>69</v>
      </c>
      <c r="AA14" s="61" t="s">
        <v>330</v>
      </c>
      <c r="AB14" s="61" t="s">
        <v>7643</v>
      </c>
    </row>
    <row r="15" spans="1:40" s="2" customFormat="1" ht="15">
      <c r="A15" s="61" t="s">
        <v>773</v>
      </c>
      <c r="B15" s="61" t="s">
        <v>969</v>
      </c>
      <c r="C15" s="61" t="s">
        <v>3427</v>
      </c>
      <c r="D15" s="61" t="s">
        <v>159</v>
      </c>
      <c r="E15" s="61">
        <v>790</v>
      </c>
      <c r="F15" s="61">
        <v>808</v>
      </c>
      <c r="G15" s="61">
        <v>2025</v>
      </c>
      <c r="H15" s="61" t="s">
        <v>3458</v>
      </c>
      <c r="I15" s="61" t="s">
        <v>3426</v>
      </c>
      <c r="J15" s="61"/>
      <c r="K15" s="61" t="s">
        <v>163</v>
      </c>
      <c r="L15" s="61" t="s">
        <v>7644</v>
      </c>
      <c r="M15" s="475">
        <v>45692</v>
      </c>
      <c r="N15" s="475">
        <v>45693</v>
      </c>
      <c r="O15" s="475"/>
      <c r="P15" s="475">
        <v>45693</v>
      </c>
      <c r="Q15" s="475">
        <v>45693</v>
      </c>
      <c r="R15" s="61">
        <f t="shared" si="0"/>
        <v>1</v>
      </c>
      <c r="S15" s="61" t="str">
        <f t="shared" si="1"/>
        <v/>
      </c>
      <c r="T15" s="61">
        <f t="shared" si="3"/>
        <v>1</v>
      </c>
      <c r="U15" s="61">
        <f t="shared" si="2"/>
        <v>1</v>
      </c>
      <c r="V15" s="61" t="s">
        <v>150</v>
      </c>
      <c r="W15" s="61" t="s">
        <v>4</v>
      </c>
      <c r="X15" s="61" t="s">
        <v>50</v>
      </c>
      <c r="Y15" s="61"/>
      <c r="Z15" s="61"/>
      <c r="AA15" s="61" t="s">
        <v>9</v>
      </c>
      <c r="AB15" s="61" t="s">
        <v>7645</v>
      </c>
    </row>
    <row r="16" spans="1:40" s="2" customFormat="1" ht="15">
      <c r="A16" s="61" t="s">
        <v>773</v>
      </c>
      <c r="B16" s="61" t="s">
        <v>969</v>
      </c>
      <c r="C16" s="61" t="s">
        <v>3429</v>
      </c>
      <c r="D16" s="61" t="s">
        <v>159</v>
      </c>
      <c r="E16" s="61">
        <v>665</v>
      </c>
      <c r="F16" s="61">
        <v>655</v>
      </c>
      <c r="G16" s="61">
        <v>2025</v>
      </c>
      <c r="H16" s="61" t="s">
        <v>3458</v>
      </c>
      <c r="I16" s="61" t="s">
        <v>3426</v>
      </c>
      <c r="J16" s="61"/>
      <c r="K16" s="61" t="s">
        <v>163</v>
      </c>
      <c r="L16" s="61" t="s">
        <v>7646</v>
      </c>
      <c r="M16" s="475">
        <v>45692</v>
      </c>
      <c r="N16" s="475">
        <v>45693</v>
      </c>
      <c r="O16" s="475"/>
      <c r="P16" s="475">
        <v>45693</v>
      </c>
      <c r="Q16" s="475">
        <v>45693</v>
      </c>
      <c r="R16" s="61">
        <f t="shared" si="0"/>
        <v>1</v>
      </c>
      <c r="S16" s="61" t="str">
        <f t="shared" si="1"/>
        <v/>
      </c>
      <c r="T16" s="61">
        <f t="shared" si="3"/>
        <v>1</v>
      </c>
      <c r="U16" s="61">
        <f t="shared" si="2"/>
        <v>1</v>
      </c>
      <c r="V16" s="61" t="s">
        <v>150</v>
      </c>
      <c r="W16" s="61" t="s">
        <v>4</v>
      </c>
      <c r="X16" s="61" t="s">
        <v>50</v>
      </c>
      <c r="Y16" s="61"/>
      <c r="Z16" s="61"/>
      <c r="AA16" s="61" t="s">
        <v>9</v>
      </c>
      <c r="AB16" s="61" t="s">
        <v>7645</v>
      </c>
    </row>
    <row r="17" spans="1:28" s="2" customFormat="1" ht="15">
      <c r="A17" s="61" t="s">
        <v>773</v>
      </c>
      <c r="B17" s="61" t="s">
        <v>969</v>
      </c>
      <c r="C17" s="61" t="s">
        <v>3430</v>
      </c>
      <c r="D17" s="61" t="s">
        <v>159</v>
      </c>
      <c r="E17" s="61">
        <v>235</v>
      </c>
      <c r="F17" s="61">
        <v>239</v>
      </c>
      <c r="G17" s="61">
        <v>2025</v>
      </c>
      <c r="H17" s="61" t="s">
        <v>3126</v>
      </c>
      <c r="I17" s="61" t="s">
        <v>3426</v>
      </c>
      <c r="J17" s="61"/>
      <c r="K17" s="61" t="s">
        <v>163</v>
      </c>
      <c r="L17" s="61" t="s">
        <v>7647</v>
      </c>
      <c r="M17" s="475">
        <v>45875</v>
      </c>
      <c r="N17" s="475">
        <v>45875</v>
      </c>
      <c r="O17" s="61"/>
      <c r="P17" s="475">
        <v>45882</v>
      </c>
      <c r="Q17" s="475">
        <v>45882</v>
      </c>
      <c r="R17" s="61">
        <f t="shared" si="0"/>
        <v>1</v>
      </c>
      <c r="S17" s="61" t="str">
        <f t="shared" si="1"/>
        <v/>
      </c>
      <c r="T17" s="61">
        <f t="shared" si="3"/>
        <v>5</v>
      </c>
      <c r="U17" s="61">
        <f t="shared" si="2"/>
        <v>1</v>
      </c>
      <c r="V17" s="61" t="s">
        <v>150</v>
      </c>
      <c r="W17" s="61" t="s">
        <v>4</v>
      </c>
      <c r="X17" s="61" t="s">
        <v>50</v>
      </c>
      <c r="Y17" s="61" t="s">
        <v>7648</v>
      </c>
      <c r="Z17" s="61" t="s">
        <v>7649</v>
      </c>
      <c r="AA17" s="61" t="s">
        <v>182</v>
      </c>
      <c r="AB17" s="61"/>
    </row>
    <row r="18" spans="1:28" s="2" customFormat="1" ht="15">
      <c r="A18" s="61" t="s">
        <v>773</v>
      </c>
      <c r="B18" s="61" t="s">
        <v>969</v>
      </c>
      <c r="C18" s="61" t="s">
        <v>3432</v>
      </c>
      <c r="D18" s="61" t="s">
        <v>159</v>
      </c>
      <c r="E18" s="61">
        <v>307</v>
      </c>
      <c r="F18" s="61">
        <v>313</v>
      </c>
      <c r="G18" s="61">
        <v>2025</v>
      </c>
      <c r="H18" s="61" t="s">
        <v>3127</v>
      </c>
      <c r="I18" s="61" t="s">
        <v>3426</v>
      </c>
      <c r="J18" s="61"/>
      <c r="K18" s="61" t="s">
        <v>163</v>
      </c>
      <c r="L18" s="61" t="s">
        <v>7650</v>
      </c>
      <c r="M18" s="475">
        <v>45903</v>
      </c>
      <c r="N18" s="475">
        <v>45908</v>
      </c>
      <c r="O18" s="61"/>
      <c r="P18" s="475">
        <v>45909</v>
      </c>
      <c r="Q18" s="475">
        <v>45909</v>
      </c>
      <c r="R18" s="61">
        <f t="shared" si="0"/>
        <v>3</v>
      </c>
      <c r="S18" s="61" t="str">
        <f t="shared" si="1"/>
        <v/>
      </c>
      <c r="T18" s="61">
        <f t="shared" si="3"/>
        <v>1</v>
      </c>
      <c r="U18" s="61">
        <f t="shared" si="2"/>
        <v>1</v>
      </c>
      <c r="V18" s="61" t="s">
        <v>150</v>
      </c>
      <c r="W18" s="61" t="s">
        <v>4</v>
      </c>
      <c r="X18" s="61" t="s">
        <v>50</v>
      </c>
      <c r="Y18" s="61" t="s">
        <v>7651</v>
      </c>
      <c r="Z18" s="61" t="s">
        <v>7652</v>
      </c>
      <c r="AA18" s="61" t="s">
        <v>182</v>
      </c>
      <c r="AB18" s="61"/>
    </row>
    <row r="19" spans="1:28" s="2" customFormat="1" ht="15">
      <c r="A19" s="61" t="s">
        <v>773</v>
      </c>
      <c r="B19" s="61" t="s">
        <v>969</v>
      </c>
      <c r="C19" s="61" t="s">
        <v>3433</v>
      </c>
      <c r="D19" s="61" t="s">
        <v>159</v>
      </c>
      <c r="E19" s="61">
        <v>439</v>
      </c>
      <c r="F19" s="61">
        <v>438</v>
      </c>
      <c r="G19" s="61">
        <v>2025</v>
      </c>
      <c r="H19" s="61" t="s">
        <v>3416</v>
      </c>
      <c r="I19" s="61" t="s">
        <v>3426</v>
      </c>
      <c r="J19" s="61"/>
      <c r="K19" s="61" t="s">
        <v>163</v>
      </c>
      <c r="L19" s="61" t="s">
        <v>7653</v>
      </c>
      <c r="M19" s="475">
        <v>45721</v>
      </c>
      <c r="N19" s="475">
        <v>45721</v>
      </c>
      <c r="O19" s="61"/>
      <c r="P19" s="475">
        <v>45726</v>
      </c>
      <c r="Q19" s="475">
        <v>45727</v>
      </c>
      <c r="R19" s="61">
        <f t="shared" si="0"/>
        <v>1</v>
      </c>
      <c r="S19" s="61" t="str">
        <f t="shared" si="1"/>
        <v/>
      </c>
      <c r="T19" s="61">
        <f t="shared" si="3"/>
        <v>3</v>
      </c>
      <c r="U19" s="61">
        <f t="shared" si="2"/>
        <v>1</v>
      </c>
      <c r="V19" s="61" t="s">
        <v>150</v>
      </c>
      <c r="W19" s="61" t="s">
        <v>4</v>
      </c>
      <c r="X19" s="61" t="s">
        <v>50</v>
      </c>
      <c r="Y19" s="61">
        <v>16.278300000000002</v>
      </c>
      <c r="Z19" s="61">
        <v>122.1264</v>
      </c>
      <c r="AA19" s="61" t="s">
        <v>182</v>
      </c>
      <c r="AB19" s="61"/>
    </row>
    <row r="20" spans="1:28" s="2" customFormat="1" ht="15">
      <c r="A20" s="61" t="s">
        <v>773</v>
      </c>
      <c r="B20" s="61" t="s">
        <v>969</v>
      </c>
      <c r="C20" s="61" t="s">
        <v>3434</v>
      </c>
      <c r="D20" s="61" t="s">
        <v>159</v>
      </c>
      <c r="E20" s="61">
        <v>325</v>
      </c>
      <c r="F20" s="61">
        <v>254</v>
      </c>
      <c r="G20" s="61">
        <v>2025</v>
      </c>
      <c r="H20" s="61" t="s">
        <v>3127</v>
      </c>
      <c r="I20" s="61" t="s">
        <v>3426</v>
      </c>
      <c r="J20" s="61"/>
      <c r="K20" s="61" t="s">
        <v>163</v>
      </c>
      <c r="L20" s="61" t="s">
        <v>7654</v>
      </c>
      <c r="M20" s="475">
        <v>45903</v>
      </c>
      <c r="N20" s="475">
        <v>45908</v>
      </c>
      <c r="O20" s="61"/>
      <c r="P20" s="475">
        <v>45909</v>
      </c>
      <c r="Q20" s="475">
        <v>45909</v>
      </c>
      <c r="R20" s="61">
        <f t="shared" si="0"/>
        <v>3</v>
      </c>
      <c r="S20" s="61" t="str">
        <f t="shared" si="1"/>
        <v/>
      </c>
      <c r="T20" s="61">
        <f t="shared" si="3"/>
        <v>1</v>
      </c>
      <c r="U20" s="61">
        <f t="shared" si="2"/>
        <v>1</v>
      </c>
      <c r="V20" s="61" t="s">
        <v>150</v>
      </c>
      <c r="W20" s="61" t="s">
        <v>4</v>
      </c>
      <c r="X20" s="61" t="s">
        <v>50</v>
      </c>
      <c r="Y20" s="61" t="s">
        <v>7655</v>
      </c>
      <c r="Z20" s="61" t="s">
        <v>7656</v>
      </c>
      <c r="AA20" s="61" t="s">
        <v>182</v>
      </c>
      <c r="AB20" s="61"/>
    </row>
    <row r="21" spans="1:28" s="2" customFormat="1" ht="15">
      <c r="A21" s="61" t="s">
        <v>773</v>
      </c>
      <c r="B21" s="61" t="s">
        <v>969</v>
      </c>
      <c r="C21" s="61" t="s">
        <v>3435</v>
      </c>
      <c r="D21" s="61" t="s">
        <v>159</v>
      </c>
      <c r="E21" s="61">
        <v>288</v>
      </c>
      <c r="F21" s="61">
        <v>438</v>
      </c>
      <c r="G21" s="61">
        <v>2025</v>
      </c>
      <c r="H21" s="61" t="s">
        <v>3126</v>
      </c>
      <c r="I21" s="61" t="s">
        <v>3426</v>
      </c>
      <c r="J21" s="61"/>
      <c r="K21" s="61" t="s">
        <v>163</v>
      </c>
      <c r="L21" s="61" t="s">
        <v>7657</v>
      </c>
      <c r="M21" s="475">
        <v>45875</v>
      </c>
      <c r="N21" s="475">
        <v>45875</v>
      </c>
      <c r="O21" s="61"/>
      <c r="P21" s="475">
        <v>45882</v>
      </c>
      <c r="Q21" s="475">
        <v>45882</v>
      </c>
      <c r="R21" s="61">
        <f t="shared" si="0"/>
        <v>1</v>
      </c>
      <c r="S21" s="61" t="str">
        <f t="shared" si="1"/>
        <v/>
      </c>
      <c r="T21" s="61">
        <f t="shared" si="3"/>
        <v>5</v>
      </c>
      <c r="U21" s="61">
        <f t="shared" si="2"/>
        <v>1</v>
      </c>
      <c r="V21" s="61" t="s">
        <v>150</v>
      </c>
      <c r="W21" s="61" t="s">
        <v>4</v>
      </c>
      <c r="X21" s="61" t="s">
        <v>50</v>
      </c>
      <c r="Y21" s="61" t="s">
        <v>7658</v>
      </c>
      <c r="Z21" s="61" t="s">
        <v>7659</v>
      </c>
      <c r="AA21" s="61" t="s">
        <v>182</v>
      </c>
      <c r="AB21" s="61"/>
    </row>
    <row r="22" spans="1:28" s="2" customFormat="1" ht="15">
      <c r="A22" s="61" t="s">
        <v>773</v>
      </c>
      <c r="B22" s="61" t="s">
        <v>969</v>
      </c>
      <c r="C22" s="61" t="s">
        <v>3436</v>
      </c>
      <c r="D22" s="61" t="s">
        <v>159</v>
      </c>
      <c r="E22" s="61">
        <v>612</v>
      </c>
      <c r="F22" s="61">
        <v>600</v>
      </c>
      <c r="G22" s="61">
        <v>2025</v>
      </c>
      <c r="H22" s="61" t="s">
        <v>3532</v>
      </c>
      <c r="I22" s="61" t="s">
        <v>3426</v>
      </c>
      <c r="J22" s="61"/>
      <c r="K22" s="61" t="s">
        <v>163</v>
      </c>
      <c r="L22" s="61" t="s">
        <v>7660</v>
      </c>
      <c r="M22" s="475">
        <v>45784</v>
      </c>
      <c r="N22" s="475">
        <v>45784</v>
      </c>
      <c r="O22" s="61"/>
      <c r="P22" s="475">
        <v>45790</v>
      </c>
      <c r="Q22" s="475">
        <v>45791</v>
      </c>
      <c r="R22" s="61">
        <f t="shared" si="0"/>
        <v>1</v>
      </c>
      <c r="S22" s="61" t="str">
        <f t="shared" si="1"/>
        <v/>
      </c>
      <c r="T22" s="61">
        <f t="shared" si="3"/>
        <v>4</v>
      </c>
      <c r="U22" s="61">
        <f t="shared" si="2"/>
        <v>1</v>
      </c>
      <c r="V22" s="61" t="s">
        <v>150</v>
      </c>
      <c r="W22" s="61" t="s">
        <v>4</v>
      </c>
      <c r="X22" s="61" t="s">
        <v>50</v>
      </c>
      <c r="Y22" s="61">
        <v>16.273900000000001</v>
      </c>
      <c r="Z22" s="61">
        <v>122.1233</v>
      </c>
      <c r="AA22" s="61" t="s">
        <v>182</v>
      </c>
      <c r="AB22" s="61"/>
    </row>
    <row r="23" spans="1:28" s="2" customFormat="1" ht="15">
      <c r="A23" s="61" t="s">
        <v>773</v>
      </c>
      <c r="B23" s="61" t="s">
        <v>969</v>
      </c>
      <c r="C23" s="61" t="s">
        <v>3437</v>
      </c>
      <c r="D23" s="61" t="s">
        <v>159</v>
      </c>
      <c r="E23" s="61">
        <v>3443</v>
      </c>
      <c r="F23" s="61">
        <v>3770</v>
      </c>
      <c r="G23" s="61">
        <v>2025</v>
      </c>
      <c r="H23" s="61" t="s">
        <v>3128</v>
      </c>
      <c r="I23" s="61" t="s">
        <v>3426</v>
      </c>
      <c r="J23" s="61"/>
      <c r="K23" s="61" t="s">
        <v>163</v>
      </c>
      <c r="L23" s="61" t="s">
        <v>7661</v>
      </c>
      <c r="M23" s="475">
        <v>45937</v>
      </c>
      <c r="N23" s="475">
        <v>45937</v>
      </c>
      <c r="O23" s="61"/>
      <c r="P23" s="475">
        <v>45939</v>
      </c>
      <c r="Q23" s="475">
        <v>45940</v>
      </c>
      <c r="R23" s="61">
        <f t="shared" si="0"/>
        <v>1</v>
      </c>
      <c r="S23" s="61" t="str">
        <f t="shared" si="1"/>
        <v/>
      </c>
      <c r="T23" s="61">
        <f t="shared" si="3"/>
        <v>2</v>
      </c>
      <c r="U23" s="61">
        <f t="shared" si="2"/>
        <v>1</v>
      </c>
      <c r="V23" s="61" t="s">
        <v>150</v>
      </c>
      <c r="W23" s="61" t="s">
        <v>4</v>
      </c>
      <c r="X23" s="61" t="s">
        <v>50</v>
      </c>
      <c r="Y23" s="61" t="s">
        <v>7662</v>
      </c>
      <c r="Z23" s="61" t="s">
        <v>7663</v>
      </c>
      <c r="AA23" s="61" t="s">
        <v>182</v>
      </c>
      <c r="AB23" s="61"/>
    </row>
    <row r="24" spans="1:28" s="2" customFormat="1" ht="15">
      <c r="A24" s="61" t="s">
        <v>773</v>
      </c>
      <c r="B24" s="61" t="s">
        <v>969</v>
      </c>
      <c r="C24" s="61" t="s">
        <v>3438</v>
      </c>
      <c r="D24" s="61" t="s">
        <v>159</v>
      </c>
      <c r="E24" s="61">
        <v>652</v>
      </c>
      <c r="F24" s="61">
        <v>736</v>
      </c>
      <c r="G24" s="61">
        <v>2025</v>
      </c>
      <c r="H24" s="61" t="s">
        <v>3127</v>
      </c>
      <c r="I24" s="61" t="s">
        <v>3426</v>
      </c>
      <c r="J24" s="61"/>
      <c r="K24" s="61" t="s">
        <v>163</v>
      </c>
      <c r="L24" s="61" t="s">
        <v>7664</v>
      </c>
      <c r="M24" s="475">
        <v>45910</v>
      </c>
      <c r="N24" s="475">
        <v>45911</v>
      </c>
      <c r="O24" s="61"/>
      <c r="P24" s="475">
        <v>45916</v>
      </c>
      <c r="Q24" s="475">
        <v>45917</v>
      </c>
      <c r="R24" s="61">
        <f t="shared" si="0"/>
        <v>1</v>
      </c>
      <c r="S24" s="61" t="str">
        <f t="shared" si="1"/>
        <v/>
      </c>
      <c r="T24" s="61">
        <f t="shared" si="3"/>
        <v>3</v>
      </c>
      <c r="U24" s="61">
        <f t="shared" si="2"/>
        <v>1</v>
      </c>
      <c r="V24" s="61" t="s">
        <v>150</v>
      </c>
      <c r="W24" s="61" t="s">
        <v>1078</v>
      </c>
      <c r="X24" s="61" t="s">
        <v>50</v>
      </c>
      <c r="Y24" s="61" t="s">
        <v>7665</v>
      </c>
      <c r="Z24" s="61" t="s">
        <v>7665</v>
      </c>
      <c r="AA24" s="61" t="s">
        <v>182</v>
      </c>
      <c r="AB24" s="61"/>
    </row>
    <row r="25" spans="1:28" s="2" customFormat="1" ht="15">
      <c r="A25" s="61" t="s">
        <v>773</v>
      </c>
      <c r="B25" s="61" t="s">
        <v>969</v>
      </c>
      <c r="C25" s="61" t="s">
        <v>3440</v>
      </c>
      <c r="D25" s="61" t="s">
        <v>159</v>
      </c>
      <c r="E25" s="61">
        <v>1104</v>
      </c>
      <c r="F25" s="61">
        <v>1150</v>
      </c>
      <c r="G25" s="61">
        <v>2025</v>
      </c>
      <c r="H25" s="61" t="s">
        <v>3125</v>
      </c>
      <c r="I25" s="61" t="s">
        <v>3426</v>
      </c>
      <c r="J25" s="61"/>
      <c r="K25" s="61" t="s">
        <v>163</v>
      </c>
      <c r="L25" s="61" t="s">
        <v>7666</v>
      </c>
      <c r="M25" s="475">
        <v>45840</v>
      </c>
      <c r="N25" s="475">
        <v>45840</v>
      </c>
      <c r="O25" s="61"/>
      <c r="P25" s="475">
        <v>45845</v>
      </c>
      <c r="Q25" s="475">
        <v>45846</v>
      </c>
      <c r="R25" s="61">
        <f t="shared" si="0"/>
        <v>1</v>
      </c>
      <c r="S25" s="61" t="str">
        <f t="shared" si="1"/>
        <v/>
      </c>
      <c r="T25" s="61">
        <f t="shared" si="3"/>
        <v>3</v>
      </c>
      <c r="U25" s="61">
        <f t="shared" si="2"/>
        <v>1</v>
      </c>
      <c r="V25" s="61" t="s">
        <v>150</v>
      </c>
      <c r="W25" s="61" t="s">
        <v>4</v>
      </c>
      <c r="X25" s="61" t="s">
        <v>50</v>
      </c>
      <c r="Y25" s="61">
        <v>16.270800000000001</v>
      </c>
      <c r="Z25" s="61">
        <v>122.1041</v>
      </c>
      <c r="AA25" s="61" t="s">
        <v>182</v>
      </c>
      <c r="AB25" s="61"/>
    </row>
    <row r="26" spans="1:28" s="2" customFormat="1" ht="15">
      <c r="A26" s="61" t="s">
        <v>773</v>
      </c>
      <c r="B26" s="61" t="s">
        <v>969</v>
      </c>
      <c r="C26" s="61" t="s">
        <v>970</v>
      </c>
      <c r="D26" s="61" t="s">
        <v>159</v>
      </c>
      <c r="E26" s="61">
        <v>1916</v>
      </c>
      <c r="F26" s="61">
        <v>1982</v>
      </c>
      <c r="G26" s="61">
        <v>2025</v>
      </c>
      <c r="H26" s="61" t="s">
        <v>3470</v>
      </c>
      <c r="I26" s="61" t="s">
        <v>3426</v>
      </c>
      <c r="J26" s="61"/>
      <c r="K26" s="61" t="s">
        <v>163</v>
      </c>
      <c r="L26" s="61" t="s">
        <v>7667</v>
      </c>
      <c r="M26" s="475">
        <v>45750</v>
      </c>
      <c r="N26" s="475">
        <v>45750</v>
      </c>
      <c r="O26" s="61"/>
      <c r="P26" s="475">
        <v>45751</v>
      </c>
      <c r="Q26" s="475">
        <v>45751</v>
      </c>
      <c r="R26" s="61">
        <f t="shared" si="0"/>
        <v>1</v>
      </c>
      <c r="S26" s="61" t="str">
        <f t="shared" si="1"/>
        <v/>
      </c>
      <c r="T26" s="61">
        <f t="shared" si="3"/>
        <v>1</v>
      </c>
      <c r="U26" s="61">
        <f t="shared" si="2"/>
        <v>1</v>
      </c>
      <c r="V26" s="61" t="s">
        <v>150</v>
      </c>
      <c r="W26" s="61" t="s">
        <v>1078</v>
      </c>
      <c r="X26" s="61" t="s">
        <v>50</v>
      </c>
      <c r="Y26" s="61">
        <v>16.281199999999998</v>
      </c>
      <c r="Z26" s="61">
        <v>122.1228</v>
      </c>
      <c r="AA26" s="61" t="s">
        <v>182</v>
      </c>
      <c r="AB26" s="61"/>
    </row>
    <row r="27" spans="1:28" s="424" customFormat="1" ht="15">
      <c r="A27" s="671" t="s">
        <v>773</v>
      </c>
      <c r="B27" s="671" t="s">
        <v>969</v>
      </c>
      <c r="C27" s="671" t="s">
        <v>3441</v>
      </c>
      <c r="D27" s="671" t="s">
        <v>159</v>
      </c>
      <c r="E27" s="671">
        <v>1637</v>
      </c>
      <c r="F27" s="671">
        <v>1929</v>
      </c>
      <c r="G27" s="671">
        <v>2025</v>
      </c>
      <c r="H27" s="671" t="s">
        <v>3126</v>
      </c>
      <c r="I27" s="671" t="s">
        <v>3426</v>
      </c>
      <c r="J27" s="671"/>
      <c r="K27" s="671" t="s">
        <v>163</v>
      </c>
      <c r="L27" s="671" t="s">
        <v>7668</v>
      </c>
      <c r="M27" s="686">
        <v>45870</v>
      </c>
      <c r="N27" s="686">
        <v>45873</v>
      </c>
      <c r="O27" s="671"/>
      <c r="P27" s="686">
        <v>45876</v>
      </c>
      <c r="Q27" s="686">
        <v>45876</v>
      </c>
      <c r="R27" s="671">
        <f t="shared" si="0"/>
        <v>1</v>
      </c>
      <c r="S27" s="671" t="str">
        <f t="shared" si="1"/>
        <v/>
      </c>
      <c r="T27" s="671">
        <f t="shared" si="3"/>
        <v>3</v>
      </c>
      <c r="U27" s="671">
        <f t="shared" si="2"/>
        <v>1</v>
      </c>
      <c r="V27" s="671" t="s">
        <v>150</v>
      </c>
      <c r="W27" s="671" t="s">
        <v>4</v>
      </c>
      <c r="X27" s="671" t="s">
        <v>50</v>
      </c>
      <c r="Y27" s="671">
        <v>16.2361</v>
      </c>
      <c r="Z27" s="671">
        <v>122.1356</v>
      </c>
      <c r="AA27" s="671" t="s">
        <v>182</v>
      </c>
      <c r="AB27" s="671"/>
    </row>
    <row r="28" spans="1:28" s="2" customFormat="1" ht="15">
      <c r="A28" s="671" t="s">
        <v>773</v>
      </c>
      <c r="B28" s="671" t="s">
        <v>969</v>
      </c>
      <c r="C28" s="671" t="s">
        <v>3442</v>
      </c>
      <c r="D28" s="61" t="s">
        <v>159</v>
      </c>
      <c r="E28" s="61">
        <v>776</v>
      </c>
      <c r="F28" s="61">
        <v>1074</v>
      </c>
      <c r="G28" s="61">
        <v>2025</v>
      </c>
      <c r="H28" s="61" t="s">
        <v>3128</v>
      </c>
      <c r="I28" s="61" t="s">
        <v>3426</v>
      </c>
      <c r="J28" s="61"/>
      <c r="K28" s="61" t="s">
        <v>163</v>
      </c>
      <c r="L28" s="61" t="s">
        <v>7669</v>
      </c>
      <c r="M28" s="475">
        <v>45946</v>
      </c>
      <c r="N28" s="475">
        <v>45946</v>
      </c>
      <c r="O28" s="61"/>
      <c r="P28" s="475">
        <v>45946</v>
      </c>
      <c r="Q28" s="475">
        <v>45947</v>
      </c>
      <c r="R28" s="61">
        <f t="shared" si="0"/>
        <v>1</v>
      </c>
      <c r="S28" s="61" t="str">
        <f t="shared" si="1"/>
        <v/>
      </c>
      <c r="T28" s="61">
        <f t="shared" si="3"/>
        <v>1</v>
      </c>
      <c r="U28" s="61">
        <f t="shared" si="2"/>
        <v>1</v>
      </c>
      <c r="V28" s="61" t="s">
        <v>150</v>
      </c>
      <c r="W28" s="61" t="s">
        <v>4</v>
      </c>
      <c r="X28" s="61" t="s">
        <v>50</v>
      </c>
      <c r="Y28" s="61" t="s">
        <v>7670</v>
      </c>
      <c r="Z28" s="61" t="s">
        <v>7671</v>
      </c>
      <c r="AA28" s="61" t="s">
        <v>182</v>
      </c>
      <c r="AB28" s="61"/>
    </row>
    <row r="29" spans="1:28" s="2" customFormat="1" ht="15">
      <c r="A29" s="61" t="s">
        <v>773</v>
      </c>
      <c r="B29" s="61" t="s">
        <v>969</v>
      </c>
      <c r="C29" s="61" t="s">
        <v>3443</v>
      </c>
      <c r="D29" s="61" t="s">
        <v>159</v>
      </c>
      <c r="E29" s="61">
        <v>1954</v>
      </c>
      <c r="F29" s="61">
        <v>2192</v>
      </c>
      <c r="G29" s="61"/>
      <c r="H29" s="61"/>
      <c r="I29" s="61" t="s">
        <v>3426</v>
      </c>
      <c r="J29" s="61"/>
      <c r="K29" s="61" t="s">
        <v>163</v>
      </c>
      <c r="L29" s="61"/>
      <c r="M29" s="61"/>
      <c r="N29" s="61"/>
      <c r="O29" s="61"/>
      <c r="P29" s="61"/>
      <c r="Q29" s="61"/>
      <c r="R29" s="61" t="str">
        <f t="shared" si="0"/>
        <v/>
      </c>
      <c r="S29" s="61" t="str">
        <f t="shared" si="1"/>
        <v/>
      </c>
      <c r="T29" s="61" t="str">
        <f t="shared" si="3"/>
        <v/>
      </c>
      <c r="U29" s="61" t="str">
        <f t="shared" si="2"/>
        <v/>
      </c>
      <c r="V29" s="61"/>
      <c r="W29" s="61"/>
      <c r="X29" s="61"/>
      <c r="Y29" s="61"/>
      <c r="Z29" s="61"/>
      <c r="AA29" s="61"/>
      <c r="AB29" s="61"/>
    </row>
    <row r="30" spans="1:28" s="688" customFormat="1" ht="15">
      <c r="A30" s="672" t="s">
        <v>773</v>
      </c>
      <c r="B30" s="672" t="s">
        <v>969</v>
      </c>
      <c r="C30" s="672" t="s">
        <v>3444</v>
      </c>
      <c r="D30" s="672" t="s">
        <v>159</v>
      </c>
      <c r="E30" s="672">
        <v>973</v>
      </c>
      <c r="F30" s="672">
        <v>1147</v>
      </c>
      <c r="G30" s="672">
        <v>2025</v>
      </c>
      <c r="H30" s="672" t="s">
        <v>3128</v>
      </c>
      <c r="I30" s="672" t="s">
        <v>3426</v>
      </c>
      <c r="J30" s="672"/>
      <c r="K30" s="672" t="s">
        <v>163</v>
      </c>
      <c r="L30" s="672" t="s">
        <v>7672</v>
      </c>
      <c r="M30" s="687">
        <v>45946</v>
      </c>
      <c r="N30" s="687">
        <v>45946</v>
      </c>
      <c r="O30" s="672"/>
      <c r="P30" s="687">
        <v>45946</v>
      </c>
      <c r="Q30" s="687">
        <v>45947</v>
      </c>
      <c r="R30" s="672">
        <f t="shared" si="0"/>
        <v>1</v>
      </c>
      <c r="S30" s="672" t="str">
        <f t="shared" si="1"/>
        <v/>
      </c>
      <c r="T30" s="672">
        <f t="shared" si="3"/>
        <v>1</v>
      </c>
      <c r="U30" s="672">
        <f t="shared" si="2"/>
        <v>1</v>
      </c>
      <c r="V30" s="672" t="s">
        <v>150</v>
      </c>
      <c r="W30" s="672" t="s">
        <v>4</v>
      </c>
      <c r="X30" s="672" t="s">
        <v>50</v>
      </c>
      <c r="Y30" s="672" t="s">
        <v>7673</v>
      </c>
      <c r="Z30" s="672" t="s">
        <v>7674</v>
      </c>
      <c r="AA30" s="672" t="s">
        <v>182</v>
      </c>
      <c r="AB30" s="672"/>
    </row>
    <row r="31" spans="1:28" s="2" customFormat="1" ht="15">
      <c r="A31" s="61" t="s">
        <v>773</v>
      </c>
      <c r="B31" s="61" t="s">
        <v>969</v>
      </c>
      <c r="C31" s="61" t="s">
        <v>3445</v>
      </c>
      <c r="D31" s="61" t="s">
        <v>159</v>
      </c>
      <c r="E31" s="61">
        <v>591</v>
      </c>
      <c r="F31" s="61">
        <v>546</v>
      </c>
      <c r="G31" s="61">
        <v>2025</v>
      </c>
      <c r="H31" s="61" t="s">
        <v>3127</v>
      </c>
      <c r="I31" s="61" t="s">
        <v>3426</v>
      </c>
      <c r="J31" s="61"/>
      <c r="K31" s="61" t="s">
        <v>163</v>
      </c>
      <c r="L31" s="61" t="s">
        <v>7675</v>
      </c>
      <c r="M31" s="475">
        <v>45910</v>
      </c>
      <c r="N31" s="475">
        <v>45911</v>
      </c>
      <c r="O31" s="61"/>
      <c r="P31" s="475">
        <v>45912</v>
      </c>
      <c r="Q31" s="475">
        <v>45917</v>
      </c>
      <c r="R31" s="61">
        <f t="shared" si="0"/>
        <v>1</v>
      </c>
      <c r="S31" s="61" t="str">
        <f t="shared" si="1"/>
        <v/>
      </c>
      <c r="T31" s="61">
        <f t="shared" si="3"/>
        <v>1</v>
      </c>
      <c r="U31" s="61">
        <f t="shared" si="2"/>
        <v>3</v>
      </c>
      <c r="V31" s="61" t="s">
        <v>150</v>
      </c>
      <c r="W31" s="61" t="s">
        <v>4</v>
      </c>
      <c r="X31" s="61" t="s">
        <v>50</v>
      </c>
      <c r="Y31" s="61" t="s">
        <v>7676</v>
      </c>
      <c r="Z31" s="61" t="s">
        <v>7677</v>
      </c>
      <c r="AA31" s="61" t="s">
        <v>182</v>
      </c>
      <c r="AB31" s="61"/>
    </row>
    <row r="32" spans="1:28" s="2" customFormat="1" ht="15">
      <c r="A32" s="61" t="s">
        <v>773</v>
      </c>
      <c r="B32" s="61" t="s">
        <v>969</v>
      </c>
      <c r="C32" s="61" t="s">
        <v>3446</v>
      </c>
      <c r="D32" s="61" t="s">
        <v>159</v>
      </c>
      <c r="E32" s="61">
        <v>502</v>
      </c>
      <c r="F32" s="61">
        <v>594</v>
      </c>
      <c r="G32" s="61"/>
      <c r="H32" s="61"/>
      <c r="I32" s="61" t="s">
        <v>3426</v>
      </c>
      <c r="J32" s="61"/>
      <c r="K32" s="61" t="s">
        <v>163</v>
      </c>
      <c r="L32" s="61"/>
      <c r="M32" s="61"/>
      <c r="N32" s="61"/>
      <c r="O32" s="61"/>
      <c r="P32" s="61"/>
      <c r="Q32" s="61"/>
      <c r="R32" s="61" t="str">
        <f t="shared" si="0"/>
        <v/>
      </c>
      <c r="S32" s="61" t="str">
        <f t="shared" si="1"/>
        <v/>
      </c>
      <c r="T32" s="61" t="str">
        <f t="shared" si="3"/>
        <v/>
      </c>
      <c r="U32" s="61" t="str">
        <f t="shared" si="2"/>
        <v/>
      </c>
      <c r="V32" s="61"/>
      <c r="W32" s="61"/>
      <c r="X32" s="61"/>
      <c r="Y32" s="61"/>
      <c r="Z32" s="61"/>
      <c r="AA32" s="61"/>
      <c r="AB32" s="61"/>
    </row>
    <row r="33" spans="1:28" s="2" customFormat="1" ht="15">
      <c r="A33" s="61" t="s">
        <v>773</v>
      </c>
      <c r="B33" s="61" t="s">
        <v>969</v>
      </c>
      <c r="C33" s="61" t="s">
        <v>3447</v>
      </c>
      <c r="D33" s="61" t="s">
        <v>159</v>
      </c>
      <c r="E33" s="61">
        <v>1793</v>
      </c>
      <c r="F33" s="61">
        <v>1895</v>
      </c>
      <c r="G33" s="61">
        <v>2025</v>
      </c>
      <c r="H33" s="61" t="s">
        <v>3128</v>
      </c>
      <c r="I33" s="61" t="s">
        <v>3426</v>
      </c>
      <c r="J33" s="61"/>
      <c r="K33" s="61" t="s">
        <v>163</v>
      </c>
      <c r="L33" s="61" t="s">
        <v>7678</v>
      </c>
      <c r="M33" s="475">
        <v>45937</v>
      </c>
      <c r="N33" s="475">
        <v>45937</v>
      </c>
      <c r="O33" s="61"/>
      <c r="P33" s="475">
        <v>45939</v>
      </c>
      <c r="Q33" s="475">
        <v>45940</v>
      </c>
      <c r="R33" s="61">
        <f t="shared" si="0"/>
        <v>1</v>
      </c>
      <c r="S33" s="61" t="str">
        <f t="shared" si="1"/>
        <v/>
      </c>
      <c r="T33" s="61">
        <f t="shared" si="3"/>
        <v>2</v>
      </c>
      <c r="U33" s="61">
        <f t="shared" si="2"/>
        <v>1</v>
      </c>
      <c r="V33" s="61" t="s">
        <v>150</v>
      </c>
      <c r="W33" s="61" t="s">
        <v>1078</v>
      </c>
      <c r="X33" s="61" t="s">
        <v>50</v>
      </c>
      <c r="Y33" s="61" t="s">
        <v>7679</v>
      </c>
      <c r="Z33" s="61" t="s">
        <v>7680</v>
      </c>
      <c r="AA33" s="61" t="s">
        <v>182</v>
      </c>
      <c r="AB33" s="61"/>
    </row>
    <row r="34" spans="1:28" s="2" customFormat="1" ht="15">
      <c r="A34" s="61" t="s">
        <v>773</v>
      </c>
      <c r="B34" s="61" t="s">
        <v>969</v>
      </c>
      <c r="C34" s="61" t="s">
        <v>3448</v>
      </c>
      <c r="D34" s="61" t="s">
        <v>159</v>
      </c>
      <c r="E34" s="61">
        <v>1588</v>
      </c>
      <c r="F34" s="61">
        <v>1661</v>
      </c>
      <c r="G34" s="61">
        <v>2025</v>
      </c>
      <c r="H34" s="61" t="s">
        <v>3128</v>
      </c>
      <c r="I34" s="61" t="s">
        <v>3426</v>
      </c>
      <c r="J34" s="61"/>
      <c r="K34" s="61" t="s">
        <v>163</v>
      </c>
      <c r="L34" s="61" t="s">
        <v>7681</v>
      </c>
      <c r="M34" s="475">
        <v>45940</v>
      </c>
      <c r="N34" s="475">
        <v>45940</v>
      </c>
      <c r="O34" s="61"/>
      <c r="P34" s="475">
        <v>45944</v>
      </c>
      <c r="Q34" s="475">
        <v>45945</v>
      </c>
      <c r="R34" s="61">
        <f t="shared" si="0"/>
        <v>1</v>
      </c>
      <c r="S34" s="61" t="str">
        <f t="shared" si="1"/>
        <v/>
      </c>
      <c r="T34" s="61">
        <f t="shared" si="3"/>
        <v>2</v>
      </c>
      <c r="U34" s="61">
        <f t="shared" si="2"/>
        <v>1</v>
      </c>
      <c r="V34" s="61" t="s">
        <v>150</v>
      </c>
      <c r="W34" s="61" t="s">
        <v>4</v>
      </c>
      <c r="X34" s="61" t="s">
        <v>50</v>
      </c>
      <c r="Y34" s="61">
        <v>16.269100000000002</v>
      </c>
      <c r="Z34" s="61">
        <v>122.127</v>
      </c>
      <c r="AA34" s="61" t="s">
        <v>182</v>
      </c>
      <c r="AB34" s="61"/>
    </row>
    <row r="35" spans="1:28" s="2" customFormat="1" ht="15">
      <c r="A35" s="61" t="s">
        <v>773</v>
      </c>
      <c r="B35" s="61" t="s">
        <v>969</v>
      </c>
      <c r="C35" s="61" t="s">
        <v>3454</v>
      </c>
      <c r="D35" s="61" t="s">
        <v>159</v>
      </c>
      <c r="E35" s="61">
        <v>735</v>
      </c>
      <c r="F35" s="61">
        <v>964</v>
      </c>
      <c r="G35" s="61">
        <v>2025</v>
      </c>
      <c r="H35" s="61" t="s">
        <v>3416</v>
      </c>
      <c r="I35" s="61" t="s">
        <v>3426</v>
      </c>
      <c r="J35" s="61"/>
      <c r="K35" s="61" t="s">
        <v>163</v>
      </c>
      <c r="L35" s="61" t="s">
        <v>7682</v>
      </c>
      <c r="M35" s="475">
        <v>45721</v>
      </c>
      <c r="N35" s="475">
        <v>45721</v>
      </c>
      <c r="O35" s="475"/>
      <c r="P35" s="475">
        <v>45726</v>
      </c>
      <c r="Q35" s="475">
        <v>45727</v>
      </c>
      <c r="R35" s="61">
        <f t="shared" si="0"/>
        <v>1</v>
      </c>
      <c r="S35" s="61" t="str">
        <f t="shared" si="1"/>
        <v/>
      </c>
      <c r="T35" s="61">
        <f t="shared" si="3"/>
        <v>3</v>
      </c>
      <c r="U35" s="61">
        <f t="shared" si="2"/>
        <v>1</v>
      </c>
      <c r="V35" s="61" t="s">
        <v>150</v>
      </c>
      <c r="W35" s="61" t="s">
        <v>1078</v>
      </c>
      <c r="X35" s="61" t="s">
        <v>50</v>
      </c>
      <c r="Y35" s="61">
        <v>16.2712</v>
      </c>
      <c r="Z35" s="61">
        <v>122.1249</v>
      </c>
      <c r="AA35" s="61" t="s">
        <v>182</v>
      </c>
      <c r="AB35" s="61"/>
    </row>
    <row r="36" spans="1:28" s="2" customFormat="1" ht="15">
      <c r="A36" s="61" t="s">
        <v>773</v>
      </c>
      <c r="B36" s="61" t="s">
        <v>969</v>
      </c>
      <c r="C36" s="61" t="s">
        <v>1148</v>
      </c>
      <c r="D36" s="61" t="s">
        <v>159</v>
      </c>
      <c r="E36" s="61">
        <v>1115</v>
      </c>
      <c r="F36" s="61">
        <v>1118</v>
      </c>
      <c r="G36" s="61">
        <v>2025</v>
      </c>
      <c r="H36" s="61" t="s">
        <v>3126</v>
      </c>
      <c r="I36" s="61" t="s">
        <v>3426</v>
      </c>
      <c r="J36" s="61"/>
      <c r="K36" s="61" t="s">
        <v>163</v>
      </c>
      <c r="L36" s="61" t="s">
        <v>7683</v>
      </c>
      <c r="M36" s="475">
        <v>45870</v>
      </c>
      <c r="N36" s="475">
        <v>45873</v>
      </c>
      <c r="O36" s="61"/>
      <c r="P36" s="475">
        <v>45876</v>
      </c>
      <c r="Q36" s="475">
        <v>45876</v>
      </c>
      <c r="R36" s="61">
        <f t="shared" si="0"/>
        <v>1</v>
      </c>
      <c r="S36" s="61" t="str">
        <f t="shared" si="1"/>
        <v/>
      </c>
      <c r="T36" s="61">
        <f t="shared" si="3"/>
        <v>3</v>
      </c>
      <c r="U36" s="61">
        <f t="shared" si="2"/>
        <v>1</v>
      </c>
      <c r="V36" s="61" t="s">
        <v>150</v>
      </c>
      <c r="W36" s="61" t="s">
        <v>4</v>
      </c>
      <c r="X36" s="61" t="s">
        <v>50</v>
      </c>
      <c r="Y36" s="61" t="s">
        <v>7684</v>
      </c>
      <c r="Z36" s="61" t="s">
        <v>7685</v>
      </c>
      <c r="AA36" s="61" t="s">
        <v>182</v>
      </c>
      <c r="AB36" s="61"/>
    </row>
    <row r="37" spans="1:28" s="2" customFormat="1" ht="15">
      <c r="A37" s="61" t="s">
        <v>773</v>
      </c>
      <c r="B37" s="61" t="s">
        <v>969</v>
      </c>
      <c r="C37" s="61" t="s">
        <v>3455</v>
      </c>
      <c r="D37" s="61" t="s">
        <v>159</v>
      </c>
      <c r="E37" s="61">
        <v>1043</v>
      </c>
      <c r="F37" s="61">
        <v>1199</v>
      </c>
      <c r="G37" s="61">
        <v>2025</v>
      </c>
      <c r="H37" s="61" t="s">
        <v>3128</v>
      </c>
      <c r="I37" s="61" t="s">
        <v>3426</v>
      </c>
      <c r="J37" s="61"/>
      <c r="K37" s="61" t="s">
        <v>163</v>
      </c>
      <c r="L37" s="61" t="s">
        <v>7686</v>
      </c>
      <c r="M37" s="475">
        <v>45940</v>
      </c>
      <c r="N37" s="475">
        <v>45940</v>
      </c>
      <c r="O37" s="61"/>
      <c r="P37" s="475">
        <v>45944</v>
      </c>
      <c r="Q37" s="475">
        <v>45945</v>
      </c>
      <c r="R37" s="61">
        <f t="shared" si="0"/>
        <v>1</v>
      </c>
      <c r="S37" s="61" t="str">
        <f t="shared" si="1"/>
        <v/>
      </c>
      <c r="T37" s="61">
        <f t="shared" si="3"/>
        <v>2</v>
      </c>
      <c r="U37" s="61">
        <f t="shared" si="2"/>
        <v>1</v>
      </c>
      <c r="V37" s="61" t="s">
        <v>150</v>
      </c>
      <c r="W37" s="61" t="s">
        <v>4</v>
      </c>
      <c r="X37" s="61" t="s">
        <v>50</v>
      </c>
      <c r="Y37" s="61">
        <v>16.277999999999999</v>
      </c>
      <c r="Z37" s="61">
        <v>122.12090000000001</v>
      </c>
      <c r="AA37" s="61" t="s">
        <v>182</v>
      </c>
      <c r="AB37" s="61"/>
    </row>
    <row r="38" spans="1:28" s="2" customFormat="1" ht="15">
      <c r="A38" s="61" t="s">
        <v>773</v>
      </c>
      <c r="B38" s="61" t="s">
        <v>969</v>
      </c>
      <c r="C38" s="61" t="s">
        <v>3456</v>
      </c>
      <c r="D38" s="61" t="s">
        <v>159</v>
      </c>
      <c r="E38" s="61">
        <v>830</v>
      </c>
      <c r="F38" s="61">
        <v>862</v>
      </c>
      <c r="G38" s="61"/>
      <c r="H38" s="61"/>
      <c r="I38" s="61" t="s">
        <v>3426</v>
      </c>
      <c r="J38" s="61"/>
      <c r="K38" s="61" t="s">
        <v>163</v>
      </c>
      <c r="L38" s="61"/>
      <c r="M38" s="61"/>
      <c r="N38" s="61"/>
      <c r="O38" s="61"/>
      <c r="P38" s="61"/>
      <c r="Q38" s="61"/>
      <c r="R38" s="61" t="str">
        <f t="shared" si="0"/>
        <v/>
      </c>
      <c r="S38" s="61" t="str">
        <f t="shared" si="1"/>
        <v/>
      </c>
      <c r="T38" s="61" t="str">
        <f t="shared" si="3"/>
        <v/>
      </c>
      <c r="U38" s="61" t="str">
        <f t="shared" si="2"/>
        <v/>
      </c>
      <c r="V38" s="61"/>
      <c r="W38" s="61"/>
      <c r="X38" s="61"/>
      <c r="Y38" s="61"/>
      <c r="Z38" s="61"/>
      <c r="AA38" s="61"/>
      <c r="AB38" s="61"/>
    </row>
    <row r="39" spans="1:28" s="2" customFormat="1" ht="15">
      <c r="A39" s="61" t="s">
        <v>773</v>
      </c>
      <c r="B39" s="61" t="s">
        <v>1244</v>
      </c>
      <c r="C39" s="61" t="s">
        <v>3457</v>
      </c>
      <c r="D39" s="61" t="s">
        <v>159</v>
      </c>
      <c r="E39" s="61">
        <v>2418</v>
      </c>
      <c r="F39" s="61">
        <v>2579</v>
      </c>
      <c r="G39" s="61">
        <v>2025</v>
      </c>
      <c r="H39" s="61" t="s">
        <v>3458</v>
      </c>
      <c r="I39" s="61" t="s">
        <v>3426</v>
      </c>
      <c r="J39" s="61"/>
      <c r="K39" s="61" t="s">
        <v>163</v>
      </c>
      <c r="L39" s="61" t="s">
        <v>7687</v>
      </c>
      <c r="M39" s="475">
        <v>45693</v>
      </c>
      <c r="N39" s="475">
        <v>45693</v>
      </c>
      <c r="O39" s="475"/>
      <c r="P39" s="475">
        <v>45695</v>
      </c>
      <c r="Q39" s="475">
        <v>45695</v>
      </c>
      <c r="R39" s="61">
        <f t="shared" si="0"/>
        <v>1</v>
      </c>
      <c r="S39" s="61" t="str">
        <f t="shared" si="1"/>
        <v/>
      </c>
      <c r="T39" s="61">
        <f t="shared" si="3"/>
        <v>2</v>
      </c>
      <c r="U39" s="61">
        <f t="shared" si="2"/>
        <v>1</v>
      </c>
      <c r="V39" s="61" t="s">
        <v>150</v>
      </c>
      <c r="W39" s="61" t="s">
        <v>1078</v>
      </c>
      <c r="X39" s="61" t="s">
        <v>50</v>
      </c>
      <c r="Y39" s="61"/>
      <c r="Z39" s="61"/>
      <c r="AA39" s="61" t="s">
        <v>9</v>
      </c>
      <c r="AB39" s="61"/>
    </row>
    <row r="40" spans="1:28" s="2" customFormat="1" ht="15">
      <c r="A40" s="61" t="s">
        <v>773</v>
      </c>
      <c r="B40" s="61" t="s">
        <v>1244</v>
      </c>
      <c r="C40" s="61" t="s">
        <v>3460</v>
      </c>
      <c r="D40" s="61" t="s">
        <v>159</v>
      </c>
      <c r="E40" s="61">
        <v>734</v>
      </c>
      <c r="F40" s="61">
        <v>776</v>
      </c>
      <c r="G40" s="61">
        <v>2025</v>
      </c>
      <c r="H40" s="61" t="s">
        <v>3129</v>
      </c>
      <c r="I40" s="61" t="s">
        <v>3426</v>
      </c>
      <c r="J40" s="61"/>
      <c r="K40" s="61" t="s">
        <v>163</v>
      </c>
      <c r="L40" s="61" t="s">
        <v>7688</v>
      </c>
      <c r="M40" s="475">
        <v>45965</v>
      </c>
      <c r="N40" s="475">
        <v>45966</v>
      </c>
      <c r="O40" s="61"/>
      <c r="P40" s="475">
        <v>45968</v>
      </c>
      <c r="Q40" s="475">
        <v>45968</v>
      </c>
      <c r="R40" s="61">
        <f t="shared" si="0"/>
        <v>1</v>
      </c>
      <c r="S40" s="61" t="str">
        <f t="shared" si="1"/>
        <v/>
      </c>
      <c r="T40" s="61">
        <f t="shared" si="3"/>
        <v>2</v>
      </c>
      <c r="U40" s="61">
        <f t="shared" si="2"/>
        <v>1</v>
      </c>
      <c r="V40" s="61" t="s">
        <v>150</v>
      </c>
      <c r="W40" s="61" t="s">
        <v>1078</v>
      </c>
      <c r="X40" s="61" t="s">
        <v>50</v>
      </c>
      <c r="Y40" s="61" t="s">
        <v>7689</v>
      </c>
      <c r="Z40" s="61" t="s">
        <v>7690</v>
      </c>
      <c r="AA40" s="61" t="s">
        <v>182</v>
      </c>
      <c r="AB40" s="61"/>
    </row>
    <row r="41" spans="1:28" s="2" customFormat="1" ht="15">
      <c r="A41" s="61" t="s">
        <v>773</v>
      </c>
      <c r="B41" s="61" t="s">
        <v>1244</v>
      </c>
      <c r="C41" s="61" t="s">
        <v>3461</v>
      </c>
      <c r="D41" s="61" t="s">
        <v>159</v>
      </c>
      <c r="E41" s="61">
        <v>915</v>
      </c>
      <c r="F41" s="61">
        <v>920</v>
      </c>
      <c r="G41" s="61">
        <v>2025</v>
      </c>
      <c r="H41" s="61" t="s">
        <v>3127</v>
      </c>
      <c r="I41" s="61" t="s">
        <v>3426</v>
      </c>
      <c r="J41" s="61"/>
      <c r="K41" s="61" t="s">
        <v>163</v>
      </c>
      <c r="L41" s="61" t="s">
        <v>7691</v>
      </c>
      <c r="M41" s="475">
        <v>45904</v>
      </c>
      <c r="N41" s="475">
        <v>45908</v>
      </c>
      <c r="O41" s="61"/>
      <c r="P41" s="475">
        <v>45909</v>
      </c>
      <c r="Q41" s="475">
        <v>45909</v>
      </c>
      <c r="R41" s="61">
        <f t="shared" si="0"/>
        <v>2</v>
      </c>
      <c r="S41" s="61" t="str">
        <f t="shared" si="1"/>
        <v/>
      </c>
      <c r="T41" s="61">
        <f t="shared" si="3"/>
        <v>1</v>
      </c>
      <c r="U41" s="61">
        <f t="shared" si="2"/>
        <v>1</v>
      </c>
      <c r="V41" s="61" t="s">
        <v>150</v>
      </c>
      <c r="W41" s="61" t="s">
        <v>1078</v>
      </c>
      <c r="X41" s="61" t="s">
        <v>50</v>
      </c>
      <c r="Y41" s="61" t="s">
        <v>7692</v>
      </c>
      <c r="Z41" s="61" t="s">
        <v>7693</v>
      </c>
      <c r="AA41" s="61" t="s">
        <v>182</v>
      </c>
      <c r="AB41" s="61"/>
    </row>
    <row r="42" spans="1:28" s="2" customFormat="1" ht="15">
      <c r="A42" s="61" t="s">
        <v>773</v>
      </c>
      <c r="B42" s="61" t="s">
        <v>1244</v>
      </c>
      <c r="C42" s="61" t="s">
        <v>3462</v>
      </c>
      <c r="D42" s="61" t="s">
        <v>159</v>
      </c>
      <c r="E42" s="61">
        <v>1420</v>
      </c>
      <c r="F42" s="61">
        <v>1466</v>
      </c>
      <c r="G42" s="61">
        <v>2025</v>
      </c>
      <c r="H42" s="61" t="s">
        <v>3458</v>
      </c>
      <c r="I42" s="61" t="s">
        <v>3426</v>
      </c>
      <c r="J42" s="61"/>
      <c r="K42" s="61" t="s">
        <v>163</v>
      </c>
      <c r="L42" s="61" t="s">
        <v>7694</v>
      </c>
      <c r="M42" s="475">
        <v>45694</v>
      </c>
      <c r="N42" s="475">
        <v>45694</v>
      </c>
      <c r="O42" s="61"/>
      <c r="P42" s="475">
        <v>45695</v>
      </c>
      <c r="Q42" s="475">
        <v>45695</v>
      </c>
      <c r="R42" s="61">
        <f t="shared" si="0"/>
        <v>1</v>
      </c>
      <c r="S42" s="61" t="str">
        <f t="shared" si="1"/>
        <v/>
      </c>
      <c r="T42" s="61">
        <f t="shared" si="3"/>
        <v>1</v>
      </c>
      <c r="U42" s="61">
        <f t="shared" si="2"/>
        <v>1</v>
      </c>
      <c r="V42" s="61" t="s">
        <v>150</v>
      </c>
      <c r="W42" s="61" t="s">
        <v>1078</v>
      </c>
      <c r="X42" s="61" t="s">
        <v>50</v>
      </c>
      <c r="Y42" s="61"/>
      <c r="Z42" s="61"/>
      <c r="AA42" s="61" t="s">
        <v>9</v>
      </c>
      <c r="AB42" s="61"/>
    </row>
    <row r="43" spans="1:28" s="2" customFormat="1" ht="15">
      <c r="A43" s="61" t="s">
        <v>773</v>
      </c>
      <c r="B43" s="61" t="s">
        <v>1244</v>
      </c>
      <c r="C43" s="61" t="s">
        <v>3463</v>
      </c>
      <c r="D43" s="61" t="s">
        <v>159</v>
      </c>
      <c r="E43" s="61">
        <v>2485</v>
      </c>
      <c r="F43" s="61">
        <v>2726</v>
      </c>
      <c r="G43" s="61">
        <v>2025</v>
      </c>
      <c r="H43" s="61" t="s">
        <v>3126</v>
      </c>
      <c r="I43" s="61" t="s">
        <v>3426</v>
      </c>
      <c r="J43" s="61"/>
      <c r="K43" s="61" t="s">
        <v>163</v>
      </c>
      <c r="L43" s="61" t="s">
        <v>7695</v>
      </c>
      <c r="M43" s="475">
        <v>45876</v>
      </c>
      <c r="N43" s="475">
        <v>45876</v>
      </c>
      <c r="O43" s="61"/>
      <c r="P43" s="475">
        <v>45882</v>
      </c>
      <c r="Q43" s="475">
        <v>45882</v>
      </c>
      <c r="R43" s="61">
        <f t="shared" si="0"/>
        <v>1</v>
      </c>
      <c r="S43" s="61" t="str">
        <f t="shared" si="1"/>
        <v/>
      </c>
      <c r="T43" s="61">
        <f t="shared" si="3"/>
        <v>4</v>
      </c>
      <c r="U43" s="61">
        <f t="shared" si="2"/>
        <v>1</v>
      </c>
      <c r="V43" s="61" t="s">
        <v>150</v>
      </c>
      <c r="W43" s="61" t="s">
        <v>1078</v>
      </c>
      <c r="X43" s="61" t="s">
        <v>50</v>
      </c>
      <c r="Y43" s="61">
        <v>16.357800000000001</v>
      </c>
      <c r="Z43" s="61" t="s">
        <v>7696</v>
      </c>
      <c r="AA43" s="61" t="s">
        <v>182</v>
      </c>
      <c r="AB43" s="61"/>
    </row>
    <row r="44" spans="1:28" s="2" customFormat="1" ht="15">
      <c r="A44" s="61" t="s">
        <v>773</v>
      </c>
      <c r="B44" s="61" t="s">
        <v>1244</v>
      </c>
      <c r="C44" s="61" t="s">
        <v>3446</v>
      </c>
      <c r="D44" s="61" t="s">
        <v>159</v>
      </c>
      <c r="E44" s="61">
        <v>1266</v>
      </c>
      <c r="F44" s="61">
        <v>1407</v>
      </c>
      <c r="G44" s="61">
        <v>2025</v>
      </c>
      <c r="H44" s="61" t="s">
        <v>3416</v>
      </c>
      <c r="I44" s="61" t="s">
        <v>3426</v>
      </c>
      <c r="J44" s="61"/>
      <c r="K44" s="61" t="s">
        <v>163</v>
      </c>
      <c r="L44" s="61" t="s">
        <v>7697</v>
      </c>
      <c r="M44" s="475">
        <v>45722</v>
      </c>
      <c r="N44" s="475">
        <v>45722</v>
      </c>
      <c r="O44" s="61"/>
      <c r="P44" s="475">
        <v>45726</v>
      </c>
      <c r="Q44" s="475">
        <v>45727</v>
      </c>
      <c r="R44" s="61">
        <f t="shared" si="0"/>
        <v>1</v>
      </c>
      <c r="S44" s="61" t="str">
        <f t="shared" si="1"/>
        <v/>
      </c>
      <c r="T44" s="61">
        <f t="shared" si="3"/>
        <v>2</v>
      </c>
      <c r="U44" s="61">
        <f t="shared" si="2"/>
        <v>1</v>
      </c>
      <c r="V44" s="61" t="s">
        <v>150</v>
      </c>
      <c r="W44" s="61" t="s">
        <v>1078</v>
      </c>
      <c r="X44" s="61" t="s">
        <v>50</v>
      </c>
      <c r="Y44" s="61">
        <v>16.336400000000001</v>
      </c>
      <c r="Z44" s="61">
        <v>122.1408</v>
      </c>
      <c r="AA44" s="61" t="s">
        <v>9</v>
      </c>
      <c r="AB44" s="61"/>
    </row>
    <row r="45" spans="1:28" s="2" customFormat="1" ht="15">
      <c r="A45" s="61" t="s">
        <v>773</v>
      </c>
      <c r="B45" s="61" t="s">
        <v>1244</v>
      </c>
      <c r="C45" s="61" t="s">
        <v>3464</v>
      </c>
      <c r="D45" s="61" t="s">
        <v>159</v>
      </c>
      <c r="E45" s="61">
        <v>511</v>
      </c>
      <c r="F45" s="61">
        <v>473</v>
      </c>
      <c r="G45" s="61"/>
      <c r="H45" s="61"/>
      <c r="I45" s="61" t="s">
        <v>3426</v>
      </c>
      <c r="J45" s="61"/>
      <c r="K45" s="61" t="s">
        <v>163</v>
      </c>
      <c r="L45" s="61"/>
      <c r="M45" s="61"/>
      <c r="N45" s="61"/>
      <c r="O45" s="61"/>
      <c r="P45" s="61"/>
      <c r="Q45" s="61"/>
      <c r="R45" s="61" t="str">
        <f t="shared" si="0"/>
        <v/>
      </c>
      <c r="S45" s="61" t="str">
        <f t="shared" si="1"/>
        <v/>
      </c>
      <c r="T45" s="61" t="str">
        <f t="shared" si="3"/>
        <v/>
      </c>
      <c r="U45" s="61" t="str">
        <f t="shared" si="2"/>
        <v/>
      </c>
      <c r="V45" s="61"/>
      <c r="W45" s="61"/>
      <c r="X45" s="61"/>
      <c r="Y45" s="61"/>
      <c r="Z45" s="61"/>
      <c r="AA45" s="61"/>
      <c r="AB45" s="61"/>
    </row>
    <row r="46" spans="1:28" s="2" customFormat="1" ht="15">
      <c r="A46" s="61" t="s">
        <v>773</v>
      </c>
      <c r="B46" s="61" t="s">
        <v>1244</v>
      </c>
      <c r="C46" s="61" t="s">
        <v>3466</v>
      </c>
      <c r="D46" s="61" t="s">
        <v>159</v>
      </c>
      <c r="E46" s="61">
        <v>1869</v>
      </c>
      <c r="F46" s="61">
        <v>1915</v>
      </c>
      <c r="G46" s="61">
        <v>2025</v>
      </c>
      <c r="H46" s="61" t="s">
        <v>3127</v>
      </c>
      <c r="I46" s="61" t="s">
        <v>3426</v>
      </c>
      <c r="J46" s="61"/>
      <c r="K46" s="61" t="s">
        <v>163</v>
      </c>
      <c r="L46" s="61" t="s">
        <v>7698</v>
      </c>
      <c r="M46" s="475">
        <v>45909</v>
      </c>
      <c r="N46" s="475">
        <v>45911</v>
      </c>
      <c r="O46" s="61"/>
      <c r="P46" s="475">
        <v>45912</v>
      </c>
      <c r="Q46" s="475">
        <v>45917</v>
      </c>
      <c r="R46" s="61">
        <f t="shared" si="0"/>
        <v>2</v>
      </c>
      <c r="S46" s="61" t="str">
        <f t="shared" si="1"/>
        <v/>
      </c>
      <c r="T46" s="61">
        <f t="shared" si="3"/>
        <v>1</v>
      </c>
      <c r="U46" s="61">
        <f t="shared" si="2"/>
        <v>3</v>
      </c>
      <c r="V46" s="61" t="s">
        <v>150</v>
      </c>
      <c r="W46" s="61" t="s">
        <v>4</v>
      </c>
      <c r="X46" s="61" t="s">
        <v>50</v>
      </c>
      <c r="Y46" s="61" t="s">
        <v>7699</v>
      </c>
      <c r="Z46" s="61" t="s">
        <v>7700</v>
      </c>
      <c r="AA46" s="61" t="s">
        <v>182</v>
      </c>
      <c r="AB46" s="61"/>
    </row>
    <row r="47" spans="1:28" s="2" customFormat="1" ht="15">
      <c r="A47" s="61" t="s">
        <v>773</v>
      </c>
      <c r="B47" s="61" t="s">
        <v>1244</v>
      </c>
      <c r="C47" s="61" t="s">
        <v>3467</v>
      </c>
      <c r="D47" s="61" t="s">
        <v>159</v>
      </c>
      <c r="E47" s="61">
        <v>1742</v>
      </c>
      <c r="F47" s="61">
        <v>1841</v>
      </c>
      <c r="G47" s="61">
        <v>2025</v>
      </c>
      <c r="H47" s="61" t="s">
        <v>3416</v>
      </c>
      <c r="I47" s="61" t="s">
        <v>3426</v>
      </c>
      <c r="J47" s="61"/>
      <c r="K47" s="61" t="s">
        <v>163</v>
      </c>
      <c r="L47" s="61" t="s">
        <v>7701</v>
      </c>
      <c r="M47" s="475">
        <v>45722</v>
      </c>
      <c r="N47" s="475">
        <v>45722</v>
      </c>
      <c r="O47" s="61"/>
      <c r="P47" s="475">
        <v>45726</v>
      </c>
      <c r="Q47" s="475">
        <v>45727</v>
      </c>
      <c r="R47" s="61">
        <f t="shared" si="0"/>
        <v>1</v>
      </c>
      <c r="S47" s="61" t="str">
        <f t="shared" si="1"/>
        <v/>
      </c>
      <c r="T47" s="61">
        <f t="shared" si="3"/>
        <v>2</v>
      </c>
      <c r="U47" s="61">
        <f t="shared" si="2"/>
        <v>1</v>
      </c>
      <c r="V47" s="61" t="s">
        <v>150</v>
      </c>
      <c r="W47" s="61" t="s">
        <v>1078</v>
      </c>
      <c r="X47" s="61" t="s">
        <v>50</v>
      </c>
      <c r="Y47" s="61">
        <v>16.347300000000001</v>
      </c>
      <c r="Z47" s="61">
        <v>122.139</v>
      </c>
      <c r="AA47" s="61" t="s">
        <v>9</v>
      </c>
      <c r="AB47" s="61"/>
    </row>
    <row r="48" spans="1:28" s="2" customFormat="1" ht="15">
      <c r="A48" s="61" t="s">
        <v>773</v>
      </c>
      <c r="B48" s="61" t="s">
        <v>1244</v>
      </c>
      <c r="C48" s="61" t="s">
        <v>3468</v>
      </c>
      <c r="D48" s="61" t="s">
        <v>159</v>
      </c>
      <c r="E48" s="61">
        <v>1841</v>
      </c>
      <c r="F48" s="61">
        <v>2280</v>
      </c>
      <c r="G48" s="61">
        <v>2025</v>
      </c>
      <c r="H48" s="61" t="s">
        <v>3126</v>
      </c>
      <c r="I48" s="61" t="s">
        <v>3426</v>
      </c>
      <c r="J48" s="61"/>
      <c r="K48" s="61" t="s">
        <v>163</v>
      </c>
      <c r="L48" s="61" t="s">
        <v>7702</v>
      </c>
      <c r="M48" s="475">
        <v>45876</v>
      </c>
      <c r="N48" s="475">
        <v>45880</v>
      </c>
      <c r="O48" s="61"/>
      <c r="P48" s="475">
        <v>45882</v>
      </c>
      <c r="Q48" s="475">
        <v>45882</v>
      </c>
      <c r="R48" s="61">
        <f t="shared" si="0"/>
        <v>2</v>
      </c>
      <c r="S48" s="61" t="str">
        <f t="shared" si="1"/>
        <v/>
      </c>
      <c r="T48" s="61">
        <f t="shared" si="3"/>
        <v>2</v>
      </c>
      <c r="U48" s="61">
        <f t="shared" si="2"/>
        <v>1</v>
      </c>
      <c r="V48" s="61" t="s">
        <v>150</v>
      </c>
      <c r="W48" s="61" t="s">
        <v>1078</v>
      </c>
      <c r="X48" s="61" t="s">
        <v>50</v>
      </c>
      <c r="Y48" s="61" t="s">
        <v>7703</v>
      </c>
      <c r="Z48" s="61" t="s">
        <v>7704</v>
      </c>
      <c r="AA48" s="61" t="s">
        <v>182</v>
      </c>
      <c r="AB48" s="61"/>
    </row>
    <row r="49" spans="1:28" s="2" customFormat="1" ht="15">
      <c r="A49" s="61" t="s">
        <v>773</v>
      </c>
      <c r="B49" s="61" t="s">
        <v>1244</v>
      </c>
      <c r="C49" s="61" t="s">
        <v>3469</v>
      </c>
      <c r="D49" s="61" t="s">
        <v>159</v>
      </c>
      <c r="E49" s="61">
        <v>634</v>
      </c>
      <c r="F49" s="61">
        <v>719</v>
      </c>
      <c r="G49" s="61"/>
      <c r="H49" s="61"/>
      <c r="I49" s="61" t="s">
        <v>3426</v>
      </c>
      <c r="J49" s="61"/>
      <c r="K49" s="61" t="s">
        <v>163</v>
      </c>
      <c r="L49" s="61"/>
      <c r="M49" s="61"/>
      <c r="N49" s="61"/>
      <c r="O49" s="61"/>
      <c r="P49" s="61"/>
      <c r="Q49" s="61"/>
      <c r="R49" s="61" t="str">
        <f t="shared" si="0"/>
        <v/>
      </c>
      <c r="S49" s="61" t="str">
        <f t="shared" si="1"/>
        <v/>
      </c>
      <c r="T49" s="61" t="str">
        <f t="shared" si="3"/>
        <v/>
      </c>
      <c r="U49" s="61" t="str">
        <f t="shared" si="2"/>
        <v/>
      </c>
      <c r="V49" s="61"/>
      <c r="W49" s="61"/>
      <c r="X49" s="61"/>
      <c r="Y49" s="61"/>
      <c r="Z49" s="61"/>
      <c r="AA49" s="61"/>
      <c r="AB49" s="61"/>
    </row>
    <row r="50" spans="1:28" s="2" customFormat="1" ht="15">
      <c r="A50" s="61" t="s">
        <v>773</v>
      </c>
      <c r="B50" s="61" t="s">
        <v>974</v>
      </c>
      <c r="C50" s="61" t="s">
        <v>3472</v>
      </c>
      <c r="D50" s="61" t="s">
        <v>159</v>
      </c>
      <c r="E50" s="61">
        <v>1236</v>
      </c>
      <c r="F50" s="61">
        <v>1293</v>
      </c>
      <c r="G50" s="61"/>
      <c r="H50" s="61"/>
      <c r="I50" s="61" t="s">
        <v>3426</v>
      </c>
      <c r="J50" s="61"/>
      <c r="K50" s="61" t="s">
        <v>163</v>
      </c>
      <c r="L50" s="61"/>
      <c r="M50" s="61"/>
      <c r="N50" s="61"/>
      <c r="O50" s="61"/>
      <c r="P50" s="61"/>
      <c r="Q50" s="61"/>
      <c r="R50" s="61" t="str">
        <f t="shared" si="0"/>
        <v/>
      </c>
      <c r="S50" s="61" t="str">
        <f t="shared" si="1"/>
        <v/>
      </c>
      <c r="T50" s="61" t="str">
        <f t="shared" si="3"/>
        <v/>
      </c>
      <c r="U50" s="61" t="str">
        <f t="shared" si="2"/>
        <v/>
      </c>
      <c r="V50" s="61"/>
      <c r="W50" s="61"/>
      <c r="X50" s="61"/>
      <c r="Y50" s="61"/>
      <c r="Z50" s="61"/>
      <c r="AA50" s="61"/>
      <c r="AB50" s="61"/>
    </row>
    <row r="51" spans="1:28" s="2" customFormat="1" ht="15">
      <c r="A51" s="61" t="s">
        <v>773</v>
      </c>
      <c r="B51" s="61" t="s">
        <v>974</v>
      </c>
      <c r="C51" s="61" t="s">
        <v>1746</v>
      </c>
      <c r="D51" s="61" t="s">
        <v>159</v>
      </c>
      <c r="E51" s="61">
        <v>1292</v>
      </c>
      <c r="F51" s="61">
        <v>1682</v>
      </c>
      <c r="G51" s="61">
        <v>2025</v>
      </c>
      <c r="H51" s="61" t="s">
        <v>3416</v>
      </c>
      <c r="I51" s="61" t="s">
        <v>3426</v>
      </c>
      <c r="J51" s="61"/>
      <c r="K51" s="61" t="s">
        <v>163</v>
      </c>
      <c r="L51" s="61" t="s">
        <v>7705</v>
      </c>
      <c r="M51" s="475">
        <v>45723</v>
      </c>
      <c r="N51" s="475">
        <v>45723</v>
      </c>
      <c r="O51" s="475"/>
      <c r="P51" s="475">
        <v>45727</v>
      </c>
      <c r="Q51" s="475">
        <v>45728</v>
      </c>
      <c r="R51" s="61">
        <f t="shared" si="0"/>
        <v>1</v>
      </c>
      <c r="S51" s="61" t="str">
        <f t="shared" si="1"/>
        <v/>
      </c>
      <c r="T51" s="61">
        <f t="shared" si="3"/>
        <v>2</v>
      </c>
      <c r="U51" s="61">
        <f t="shared" si="2"/>
        <v>1</v>
      </c>
      <c r="V51" s="61" t="s">
        <v>150</v>
      </c>
      <c r="W51" s="61" t="s">
        <v>1078</v>
      </c>
      <c r="X51" s="61" t="s">
        <v>50</v>
      </c>
      <c r="Y51" s="61">
        <v>16.137599999999999</v>
      </c>
      <c r="Z51" s="61">
        <v>121.94329999999999</v>
      </c>
      <c r="AA51" s="61" t="s">
        <v>404</v>
      </c>
      <c r="AB51" s="61"/>
    </row>
    <row r="52" spans="1:28" s="2" customFormat="1" ht="15">
      <c r="A52" s="61" t="s">
        <v>773</v>
      </c>
      <c r="B52" s="61" t="s">
        <v>974</v>
      </c>
      <c r="C52" s="61" t="s">
        <v>3473</v>
      </c>
      <c r="D52" s="61" t="s">
        <v>159</v>
      </c>
      <c r="E52" s="61">
        <v>659</v>
      </c>
      <c r="F52" s="61">
        <v>777</v>
      </c>
      <c r="G52" s="61">
        <v>2025</v>
      </c>
      <c r="H52" s="61" t="s">
        <v>3128</v>
      </c>
      <c r="I52" s="61" t="s">
        <v>3426</v>
      </c>
      <c r="J52" s="61"/>
      <c r="K52" s="61" t="s">
        <v>163</v>
      </c>
      <c r="L52" s="61" t="s">
        <v>7706</v>
      </c>
      <c r="M52" s="475">
        <v>45939</v>
      </c>
      <c r="N52" s="475">
        <v>45940</v>
      </c>
      <c r="O52" s="61"/>
      <c r="P52" s="475">
        <v>45944</v>
      </c>
      <c r="Q52" s="475">
        <v>45945</v>
      </c>
      <c r="R52" s="61">
        <f t="shared" si="0"/>
        <v>1</v>
      </c>
      <c r="S52" s="61" t="str">
        <f t="shared" si="1"/>
        <v/>
      </c>
      <c r="T52" s="61">
        <f t="shared" si="3"/>
        <v>2</v>
      </c>
      <c r="U52" s="61">
        <f t="shared" si="2"/>
        <v>1</v>
      </c>
      <c r="V52" s="61" t="s">
        <v>150</v>
      </c>
      <c r="W52" s="61" t="s">
        <v>1078</v>
      </c>
      <c r="X52" s="61" t="s">
        <v>50</v>
      </c>
      <c r="Y52" s="61">
        <v>16.087900000000001</v>
      </c>
      <c r="Z52" s="61">
        <v>121.8167</v>
      </c>
      <c r="AA52" s="61" t="s">
        <v>404</v>
      </c>
      <c r="AB52" s="61"/>
    </row>
    <row r="53" spans="1:28" s="2" customFormat="1" ht="15">
      <c r="A53" s="61" t="s">
        <v>773</v>
      </c>
      <c r="B53" s="61" t="s">
        <v>974</v>
      </c>
      <c r="C53" s="61" t="s">
        <v>3474</v>
      </c>
      <c r="D53" s="61" t="s">
        <v>159</v>
      </c>
      <c r="E53" s="61">
        <v>763</v>
      </c>
      <c r="F53" s="61">
        <v>952</v>
      </c>
      <c r="G53" s="61">
        <v>2025</v>
      </c>
      <c r="H53" s="61" t="s">
        <v>3470</v>
      </c>
      <c r="I53" s="61" t="s">
        <v>3426</v>
      </c>
      <c r="J53" s="61"/>
      <c r="K53" s="61" t="s">
        <v>163</v>
      </c>
      <c r="L53" s="61" t="s">
        <v>7707</v>
      </c>
      <c r="M53" s="475">
        <v>45751</v>
      </c>
      <c r="N53" s="475">
        <v>45751</v>
      </c>
      <c r="O53" s="61"/>
      <c r="P53" s="475">
        <v>45755</v>
      </c>
      <c r="Q53" s="475">
        <v>45755</v>
      </c>
      <c r="R53" s="61">
        <f t="shared" si="0"/>
        <v>1</v>
      </c>
      <c r="S53" s="61" t="str">
        <f t="shared" si="1"/>
        <v/>
      </c>
      <c r="T53" s="61">
        <f t="shared" si="3"/>
        <v>2</v>
      </c>
      <c r="U53" s="61">
        <f t="shared" si="2"/>
        <v>1</v>
      </c>
      <c r="V53" s="61" t="s">
        <v>150</v>
      </c>
      <c r="W53" s="61" t="s">
        <v>4</v>
      </c>
      <c r="X53" s="61" t="s">
        <v>50</v>
      </c>
      <c r="Y53" s="61" t="s">
        <v>7708</v>
      </c>
      <c r="Z53" s="61" t="s">
        <v>7709</v>
      </c>
      <c r="AA53" s="61" t="s">
        <v>404</v>
      </c>
      <c r="AB53" s="61"/>
    </row>
    <row r="54" spans="1:28" s="2" customFormat="1" ht="28.5">
      <c r="A54" s="61" t="s">
        <v>773</v>
      </c>
      <c r="B54" s="61" t="s">
        <v>974</v>
      </c>
      <c r="C54" s="61" t="s">
        <v>3475</v>
      </c>
      <c r="D54" s="61" t="s">
        <v>159</v>
      </c>
      <c r="E54" s="61">
        <v>905</v>
      </c>
      <c r="F54" s="61">
        <v>1355</v>
      </c>
      <c r="G54" s="61">
        <v>2025</v>
      </c>
      <c r="H54" s="61" t="s">
        <v>3127</v>
      </c>
      <c r="I54" s="61" t="s">
        <v>3426</v>
      </c>
      <c r="J54" s="61"/>
      <c r="K54" s="61" t="s">
        <v>163</v>
      </c>
      <c r="L54" s="61" t="s">
        <v>7710</v>
      </c>
      <c r="M54" s="475">
        <v>45874</v>
      </c>
      <c r="N54" s="475">
        <v>45874</v>
      </c>
      <c r="O54" s="61"/>
      <c r="P54" s="475">
        <v>45876</v>
      </c>
      <c r="Q54" s="475">
        <v>45876</v>
      </c>
      <c r="R54" s="61">
        <f t="shared" si="0"/>
        <v>1</v>
      </c>
      <c r="S54" s="61" t="str">
        <f t="shared" si="1"/>
        <v/>
      </c>
      <c r="T54" s="61">
        <f t="shared" si="3"/>
        <v>2</v>
      </c>
      <c r="U54" s="61">
        <f t="shared" si="2"/>
        <v>1</v>
      </c>
      <c r="V54" s="61" t="s">
        <v>150</v>
      </c>
      <c r="W54" s="61" t="s">
        <v>1078</v>
      </c>
      <c r="X54" s="61" t="s">
        <v>50</v>
      </c>
      <c r="Y54" s="61" t="s">
        <v>7711</v>
      </c>
      <c r="Z54" s="61" t="s">
        <v>7712</v>
      </c>
      <c r="AA54" s="61" t="s">
        <v>7713</v>
      </c>
      <c r="AB54" s="61"/>
    </row>
    <row r="55" spans="1:28" s="2" customFormat="1" ht="28.5">
      <c r="A55" s="61" t="s">
        <v>773</v>
      </c>
      <c r="B55" s="61" t="s">
        <v>974</v>
      </c>
      <c r="C55" s="61" t="s">
        <v>3480</v>
      </c>
      <c r="D55" s="61" t="s">
        <v>159</v>
      </c>
      <c r="E55" s="61">
        <v>1203</v>
      </c>
      <c r="F55" s="61">
        <v>1298</v>
      </c>
      <c r="G55" s="61">
        <v>2025</v>
      </c>
      <c r="H55" s="61" t="s">
        <v>3126</v>
      </c>
      <c r="I55" s="61" t="s">
        <v>3426</v>
      </c>
      <c r="J55" s="61"/>
      <c r="K55" s="61" t="s">
        <v>163</v>
      </c>
      <c r="L55" s="61" t="s">
        <v>7714</v>
      </c>
      <c r="M55" s="475">
        <v>45874</v>
      </c>
      <c r="N55" s="475">
        <v>45874</v>
      </c>
      <c r="O55" s="61"/>
      <c r="P55" s="475">
        <v>45876</v>
      </c>
      <c r="Q55" s="475">
        <v>45876</v>
      </c>
      <c r="R55" s="61">
        <f t="shared" si="0"/>
        <v>1</v>
      </c>
      <c r="S55" s="61" t="str">
        <f t="shared" si="1"/>
        <v/>
      </c>
      <c r="T55" s="61">
        <f t="shared" si="3"/>
        <v>2</v>
      </c>
      <c r="U55" s="61">
        <f t="shared" si="2"/>
        <v>1</v>
      </c>
      <c r="V55" s="61" t="s">
        <v>150</v>
      </c>
      <c r="W55" s="61" t="s">
        <v>4</v>
      </c>
      <c r="X55" s="61" t="s">
        <v>50</v>
      </c>
      <c r="Y55" s="61">
        <v>16.154599999999999</v>
      </c>
      <c r="Z55" s="61">
        <v>121.9449</v>
      </c>
      <c r="AA55" s="61" t="s">
        <v>7713</v>
      </c>
      <c r="AB55" s="61"/>
    </row>
    <row r="56" spans="1:28" s="2" customFormat="1" ht="15">
      <c r="A56" s="61" t="s">
        <v>773</v>
      </c>
      <c r="B56" s="61" t="s">
        <v>974</v>
      </c>
      <c r="C56" s="61" t="s">
        <v>3484</v>
      </c>
      <c r="D56" s="61" t="s">
        <v>159</v>
      </c>
      <c r="E56" s="61">
        <v>1717</v>
      </c>
      <c r="F56" s="61">
        <v>1750</v>
      </c>
      <c r="G56" s="61">
        <v>2025</v>
      </c>
      <c r="H56" s="61" t="s">
        <v>3125</v>
      </c>
      <c r="I56" s="61" t="s">
        <v>3426</v>
      </c>
      <c r="J56" s="61"/>
      <c r="K56" s="61" t="s">
        <v>163</v>
      </c>
      <c r="L56" s="61" t="s">
        <v>7715</v>
      </c>
      <c r="M56" s="475">
        <v>45855</v>
      </c>
      <c r="N56" s="475">
        <v>45855</v>
      </c>
      <c r="O56" s="61"/>
      <c r="P56" s="475">
        <v>45856</v>
      </c>
      <c r="Q56" s="475">
        <v>45856</v>
      </c>
      <c r="R56" s="61">
        <f t="shared" si="0"/>
        <v>1</v>
      </c>
      <c r="S56" s="61" t="str">
        <f t="shared" si="1"/>
        <v/>
      </c>
      <c r="T56" s="61">
        <f t="shared" si="3"/>
        <v>1</v>
      </c>
      <c r="U56" s="61">
        <f t="shared" si="2"/>
        <v>1</v>
      </c>
      <c r="V56" s="61" t="s">
        <v>150</v>
      </c>
      <c r="W56" s="61" t="s">
        <v>4</v>
      </c>
      <c r="X56" s="61" t="s">
        <v>50</v>
      </c>
      <c r="Y56" s="61">
        <v>16.129000000000001</v>
      </c>
      <c r="Z56" s="61">
        <v>121.8904</v>
      </c>
      <c r="AA56" s="61" t="s">
        <v>404</v>
      </c>
      <c r="AB56" s="61"/>
    </row>
    <row r="57" spans="1:28" s="2" customFormat="1" ht="15">
      <c r="A57" s="61" t="s">
        <v>773</v>
      </c>
      <c r="B57" s="61" t="s">
        <v>974</v>
      </c>
      <c r="C57" s="61" t="s">
        <v>3485</v>
      </c>
      <c r="D57" s="61" t="s">
        <v>159</v>
      </c>
      <c r="E57" s="61">
        <v>1881</v>
      </c>
      <c r="F57" s="61">
        <v>1553</v>
      </c>
      <c r="G57" s="61">
        <v>2025</v>
      </c>
      <c r="H57" s="61" t="s">
        <v>3416</v>
      </c>
      <c r="I57" s="61" t="s">
        <v>3426</v>
      </c>
      <c r="J57" s="61"/>
      <c r="K57" s="61" t="s">
        <v>163</v>
      </c>
      <c r="L57" s="61" t="s">
        <v>7716</v>
      </c>
      <c r="M57" s="475">
        <v>45723</v>
      </c>
      <c r="N57" s="475">
        <v>45723</v>
      </c>
      <c r="O57" s="61"/>
      <c r="P57" s="475">
        <v>45727</v>
      </c>
      <c r="Q57" s="475">
        <v>45728</v>
      </c>
      <c r="R57" s="61">
        <f t="shared" si="0"/>
        <v>1</v>
      </c>
      <c r="S57" s="61" t="str">
        <f t="shared" si="1"/>
        <v/>
      </c>
      <c r="T57" s="61">
        <f t="shared" si="3"/>
        <v>2</v>
      </c>
      <c r="U57" s="61">
        <f t="shared" si="2"/>
        <v>1</v>
      </c>
      <c r="V57" s="61" t="s">
        <v>150</v>
      </c>
      <c r="W57" s="61" t="s">
        <v>1078</v>
      </c>
      <c r="X57" s="61" t="s">
        <v>50</v>
      </c>
      <c r="Y57" s="61">
        <v>16.136800000000001</v>
      </c>
      <c r="Z57" s="61">
        <v>121.9593</v>
      </c>
      <c r="AA57" s="61" t="s">
        <v>404</v>
      </c>
      <c r="AB57" s="61"/>
    </row>
    <row r="58" spans="1:28" s="2" customFormat="1" ht="15">
      <c r="A58" s="61" t="s">
        <v>773</v>
      </c>
      <c r="B58" s="61" t="s">
        <v>974</v>
      </c>
      <c r="C58" s="61" t="s">
        <v>3487</v>
      </c>
      <c r="D58" s="61" t="s">
        <v>159</v>
      </c>
      <c r="E58" s="61">
        <v>1666</v>
      </c>
      <c r="F58" s="61">
        <v>1848</v>
      </c>
      <c r="G58" s="61">
        <v>2025</v>
      </c>
      <c r="H58" s="61" t="s">
        <v>3458</v>
      </c>
      <c r="I58" s="61" t="s">
        <v>3426</v>
      </c>
      <c r="J58" s="61"/>
      <c r="K58" s="61" t="s">
        <v>163</v>
      </c>
      <c r="L58" s="61" t="s">
        <v>7717</v>
      </c>
      <c r="M58" s="475">
        <v>45699</v>
      </c>
      <c r="N58" s="475">
        <v>45700</v>
      </c>
      <c r="O58" s="475"/>
      <c r="P58" s="475">
        <v>45702</v>
      </c>
      <c r="Q58" s="475">
        <v>45702</v>
      </c>
      <c r="R58" s="61">
        <f t="shared" si="0"/>
        <v>1</v>
      </c>
      <c r="S58" s="61" t="str">
        <f t="shared" si="1"/>
        <v/>
      </c>
      <c r="T58" s="61">
        <f t="shared" si="3"/>
        <v>2</v>
      </c>
      <c r="U58" s="61">
        <f t="shared" si="2"/>
        <v>1</v>
      </c>
      <c r="V58" s="61" t="s">
        <v>150</v>
      </c>
      <c r="W58" s="61" t="s">
        <v>1078</v>
      </c>
      <c r="X58" s="61" t="s">
        <v>50</v>
      </c>
      <c r="Y58" s="61"/>
      <c r="Z58" s="61"/>
      <c r="AA58" s="61" t="s">
        <v>404</v>
      </c>
      <c r="AB58" s="61"/>
    </row>
    <row r="59" spans="1:28" s="2" customFormat="1" ht="15">
      <c r="A59" s="61" t="s">
        <v>773</v>
      </c>
      <c r="B59" s="61" t="s">
        <v>825</v>
      </c>
      <c r="C59" s="61" t="s">
        <v>3488</v>
      </c>
      <c r="D59" s="61" t="s">
        <v>159</v>
      </c>
      <c r="E59" s="61">
        <v>1802</v>
      </c>
      <c r="F59" s="61">
        <v>2148</v>
      </c>
      <c r="G59" s="61">
        <v>2025</v>
      </c>
      <c r="H59" s="61" t="s">
        <v>3128</v>
      </c>
      <c r="I59" s="61" t="s">
        <v>14</v>
      </c>
      <c r="J59" s="61"/>
      <c r="K59" s="61" t="s">
        <v>163</v>
      </c>
      <c r="L59" s="61" t="s">
        <v>7718</v>
      </c>
      <c r="M59" s="475">
        <v>45940</v>
      </c>
      <c r="N59" s="475">
        <v>45943</v>
      </c>
      <c r="O59" s="61"/>
      <c r="P59" s="475">
        <v>45944</v>
      </c>
      <c r="Q59" s="475">
        <v>45945</v>
      </c>
      <c r="R59" s="61">
        <f t="shared" si="0"/>
        <v>1</v>
      </c>
      <c r="S59" s="61" t="str">
        <f t="shared" si="1"/>
        <v/>
      </c>
      <c r="T59" s="61">
        <f t="shared" si="3"/>
        <v>1</v>
      </c>
      <c r="U59" s="61">
        <f t="shared" si="2"/>
        <v>1</v>
      </c>
      <c r="V59" s="61" t="s">
        <v>150</v>
      </c>
      <c r="W59" s="61" t="s">
        <v>4</v>
      </c>
      <c r="X59" s="61" t="s">
        <v>50</v>
      </c>
      <c r="Y59" s="61">
        <v>15.382637000000001</v>
      </c>
      <c r="Z59" s="61">
        <v>121.393208</v>
      </c>
      <c r="AA59" s="61" t="s">
        <v>7719</v>
      </c>
      <c r="AB59" s="61"/>
    </row>
    <row r="60" spans="1:28" s="2" customFormat="1" ht="15">
      <c r="A60" s="61" t="s">
        <v>773</v>
      </c>
      <c r="B60" s="61" t="s">
        <v>825</v>
      </c>
      <c r="C60" s="61" t="s">
        <v>3489</v>
      </c>
      <c r="D60" s="61" t="s">
        <v>159</v>
      </c>
      <c r="E60" s="61">
        <v>909</v>
      </c>
      <c r="F60" s="61">
        <v>996</v>
      </c>
      <c r="G60" s="61">
        <v>2025</v>
      </c>
      <c r="H60" s="61" t="s">
        <v>3416</v>
      </c>
      <c r="I60" s="61" t="s">
        <v>14</v>
      </c>
      <c r="J60" s="61"/>
      <c r="K60" s="61" t="s">
        <v>163</v>
      </c>
      <c r="L60" s="61" t="s">
        <v>7720</v>
      </c>
      <c r="M60" s="475">
        <v>45721</v>
      </c>
      <c r="N60" s="475">
        <v>45726</v>
      </c>
      <c r="O60" s="475"/>
      <c r="P60" s="475">
        <v>45728</v>
      </c>
      <c r="Q60" s="475">
        <v>45728</v>
      </c>
      <c r="R60" s="61">
        <f t="shared" si="0"/>
        <v>3</v>
      </c>
      <c r="S60" s="61" t="str">
        <f t="shared" si="1"/>
        <v/>
      </c>
      <c r="T60" s="61">
        <f t="shared" si="3"/>
        <v>2</v>
      </c>
      <c r="U60" s="61">
        <f t="shared" si="2"/>
        <v>1</v>
      </c>
      <c r="V60" s="61" t="s">
        <v>150</v>
      </c>
      <c r="W60" s="61" t="s">
        <v>4</v>
      </c>
      <c r="X60" s="61" t="s">
        <v>50</v>
      </c>
      <c r="Y60" s="61">
        <v>15.377052000000001</v>
      </c>
      <c r="Z60" s="61">
        <v>121.38742499999999</v>
      </c>
      <c r="AA60" s="61" t="s">
        <v>7719</v>
      </c>
      <c r="AB60" s="61"/>
    </row>
    <row r="61" spans="1:28" s="2" customFormat="1" ht="15">
      <c r="A61" s="61" t="s">
        <v>773</v>
      </c>
      <c r="B61" s="61" t="s">
        <v>825</v>
      </c>
      <c r="C61" s="61" t="s">
        <v>7721</v>
      </c>
      <c r="D61" s="61" t="s">
        <v>159</v>
      </c>
      <c r="E61" s="61">
        <v>3356</v>
      </c>
      <c r="F61" s="61">
        <v>3502</v>
      </c>
      <c r="G61" s="61">
        <v>2025</v>
      </c>
      <c r="H61" s="61" t="s">
        <v>3470</v>
      </c>
      <c r="I61" s="61" t="s">
        <v>14</v>
      </c>
      <c r="J61" s="61"/>
      <c r="K61" s="61" t="s">
        <v>163</v>
      </c>
      <c r="L61" s="61" t="s">
        <v>7722</v>
      </c>
      <c r="M61" s="475">
        <v>45757</v>
      </c>
      <c r="N61" s="475">
        <v>45759</v>
      </c>
      <c r="O61" s="61"/>
      <c r="P61" s="475">
        <v>45761</v>
      </c>
      <c r="Q61" s="475">
        <v>45761</v>
      </c>
      <c r="R61" s="61">
        <f t="shared" si="0"/>
        <v>1</v>
      </c>
      <c r="S61" s="61" t="str">
        <f t="shared" si="1"/>
        <v/>
      </c>
      <c r="T61" s="61">
        <f t="shared" si="3"/>
        <v>1</v>
      </c>
      <c r="U61" s="61">
        <f t="shared" si="2"/>
        <v>1</v>
      </c>
      <c r="V61" s="61" t="s">
        <v>150</v>
      </c>
      <c r="W61" s="61" t="s">
        <v>1078</v>
      </c>
      <c r="X61" s="61" t="s">
        <v>50</v>
      </c>
      <c r="Y61" s="61">
        <v>15.315524999999999</v>
      </c>
      <c r="Z61" s="61">
        <v>121.368945</v>
      </c>
      <c r="AA61" s="61" t="s">
        <v>7719</v>
      </c>
      <c r="AB61" s="61"/>
    </row>
    <row r="62" spans="1:28" s="2" customFormat="1" ht="15">
      <c r="A62" s="61" t="s">
        <v>773</v>
      </c>
      <c r="B62" s="61" t="s">
        <v>825</v>
      </c>
      <c r="C62" s="61" t="s">
        <v>1248</v>
      </c>
      <c r="D62" s="61" t="s">
        <v>159</v>
      </c>
      <c r="E62" s="61">
        <v>2992</v>
      </c>
      <c r="F62" s="61">
        <v>3502</v>
      </c>
      <c r="G62" s="61"/>
      <c r="H62" s="61"/>
      <c r="I62" s="61" t="s">
        <v>14</v>
      </c>
      <c r="J62" s="61"/>
      <c r="K62" s="61" t="s">
        <v>163</v>
      </c>
      <c r="L62" s="61"/>
      <c r="M62" s="61"/>
      <c r="N62" s="61"/>
      <c r="O62" s="61"/>
      <c r="P62" s="61"/>
      <c r="Q62" s="61"/>
      <c r="R62" s="61" t="str">
        <f t="shared" si="0"/>
        <v/>
      </c>
      <c r="S62" s="61" t="str">
        <f t="shared" si="1"/>
        <v/>
      </c>
      <c r="T62" s="61" t="str">
        <f t="shared" si="3"/>
        <v/>
      </c>
      <c r="U62" s="61" t="str">
        <f t="shared" si="2"/>
        <v/>
      </c>
      <c r="V62" s="61"/>
      <c r="W62" s="61"/>
      <c r="X62" s="61"/>
      <c r="Y62" s="61"/>
      <c r="Z62" s="61"/>
      <c r="AA62" s="61"/>
      <c r="AB62" s="61"/>
    </row>
    <row r="63" spans="1:28" s="2" customFormat="1" ht="15">
      <c r="A63" s="61" t="s">
        <v>773</v>
      </c>
      <c r="B63" s="61" t="s">
        <v>825</v>
      </c>
      <c r="C63" s="61" t="s">
        <v>3496</v>
      </c>
      <c r="D63" s="61" t="s">
        <v>159</v>
      </c>
      <c r="E63" s="61">
        <v>1036</v>
      </c>
      <c r="F63" s="61">
        <v>1064</v>
      </c>
      <c r="G63" s="61">
        <v>2025</v>
      </c>
      <c r="H63" s="61" t="s">
        <v>3416</v>
      </c>
      <c r="I63" s="61" t="s">
        <v>14</v>
      </c>
      <c r="J63" s="61"/>
      <c r="K63" s="61" t="s">
        <v>163</v>
      </c>
      <c r="L63" s="61" t="s">
        <v>7723</v>
      </c>
      <c r="M63" s="475">
        <v>45728</v>
      </c>
      <c r="N63" s="475">
        <v>45733</v>
      </c>
      <c r="O63" s="61"/>
      <c r="P63" s="475">
        <v>45733</v>
      </c>
      <c r="Q63" s="475">
        <v>45733</v>
      </c>
      <c r="R63" s="61">
        <f t="shared" si="0"/>
        <v>3</v>
      </c>
      <c r="S63" s="61" t="str">
        <f t="shared" si="1"/>
        <v/>
      </c>
      <c r="T63" s="61">
        <f t="shared" si="3"/>
        <v>1</v>
      </c>
      <c r="U63" s="61">
        <f t="shared" si="2"/>
        <v>1</v>
      </c>
      <c r="V63" s="61" t="s">
        <v>150</v>
      </c>
      <c r="W63" s="61" t="s">
        <v>4</v>
      </c>
      <c r="X63" s="61" t="s">
        <v>50</v>
      </c>
      <c r="Y63" s="61">
        <v>15.392545</v>
      </c>
      <c r="Z63" s="61">
        <v>121.390157</v>
      </c>
      <c r="AA63" s="61" t="s">
        <v>7719</v>
      </c>
      <c r="AB63" s="61"/>
    </row>
    <row r="64" spans="1:28" s="2" customFormat="1" ht="15">
      <c r="A64" s="61" t="s">
        <v>773</v>
      </c>
      <c r="B64" s="61" t="s">
        <v>825</v>
      </c>
      <c r="C64" s="61" t="s">
        <v>3498</v>
      </c>
      <c r="D64" s="61" t="s">
        <v>159</v>
      </c>
      <c r="E64" s="61">
        <v>404</v>
      </c>
      <c r="F64" s="61">
        <v>414</v>
      </c>
      <c r="G64" s="61"/>
      <c r="H64" s="61"/>
      <c r="I64" s="61" t="s">
        <v>14</v>
      </c>
      <c r="J64" s="61"/>
      <c r="K64" s="61" t="s">
        <v>163</v>
      </c>
      <c r="L64" s="61"/>
      <c r="M64" s="61"/>
      <c r="N64" s="61"/>
      <c r="O64" s="61"/>
      <c r="P64" s="61"/>
      <c r="Q64" s="61"/>
      <c r="R64" s="61" t="str">
        <f t="shared" si="0"/>
        <v/>
      </c>
      <c r="S64" s="61" t="str">
        <f t="shared" si="1"/>
        <v/>
      </c>
      <c r="T64" s="61" t="str">
        <f t="shared" si="3"/>
        <v/>
      </c>
      <c r="U64" s="61" t="str">
        <f t="shared" si="2"/>
        <v/>
      </c>
      <c r="V64" s="61"/>
      <c r="W64" s="61"/>
      <c r="X64" s="61"/>
      <c r="Y64" s="61"/>
      <c r="Z64" s="61"/>
      <c r="AA64" s="61"/>
      <c r="AB64" s="61"/>
    </row>
    <row r="65" spans="1:28" s="2" customFormat="1" ht="15">
      <c r="A65" s="61" t="s">
        <v>773</v>
      </c>
      <c r="B65" s="61" t="s">
        <v>825</v>
      </c>
      <c r="C65" s="61" t="s">
        <v>3500</v>
      </c>
      <c r="D65" s="61" t="s">
        <v>159</v>
      </c>
      <c r="E65" s="61">
        <v>3624</v>
      </c>
      <c r="F65" s="61">
        <v>3814</v>
      </c>
      <c r="G65" s="61">
        <v>2025</v>
      </c>
      <c r="H65" s="61" t="s">
        <v>3128</v>
      </c>
      <c r="I65" s="61" t="s">
        <v>14</v>
      </c>
      <c r="J65" s="61"/>
      <c r="K65" s="61" t="s">
        <v>163</v>
      </c>
      <c r="L65" s="61" t="s">
        <v>7724</v>
      </c>
      <c r="M65" s="475">
        <v>45940</v>
      </c>
      <c r="N65" s="475">
        <v>45943</v>
      </c>
      <c r="O65" s="61"/>
      <c r="P65" s="475">
        <v>45944</v>
      </c>
      <c r="Q65" s="475">
        <v>45945</v>
      </c>
      <c r="R65" s="61">
        <f t="shared" si="0"/>
        <v>1</v>
      </c>
      <c r="S65" s="61" t="str">
        <f t="shared" si="1"/>
        <v/>
      </c>
      <c r="T65" s="61">
        <f t="shared" si="3"/>
        <v>1</v>
      </c>
      <c r="U65" s="61">
        <f t="shared" si="2"/>
        <v>1</v>
      </c>
      <c r="V65" s="61" t="s">
        <v>150</v>
      </c>
      <c r="W65" s="61" t="s">
        <v>1078</v>
      </c>
      <c r="X65" s="61" t="s">
        <v>50</v>
      </c>
      <c r="Y65" s="61" t="s">
        <v>7725</v>
      </c>
      <c r="Z65" s="61" t="s">
        <v>7726</v>
      </c>
      <c r="AA65" s="61" t="s">
        <v>7719</v>
      </c>
      <c r="AB65" s="61"/>
    </row>
    <row r="66" spans="1:28" s="2" customFormat="1" ht="15">
      <c r="A66" s="61" t="s">
        <v>773</v>
      </c>
      <c r="B66" s="61" t="s">
        <v>825</v>
      </c>
      <c r="C66" s="61" t="s">
        <v>3501</v>
      </c>
      <c r="D66" s="61" t="s">
        <v>159</v>
      </c>
      <c r="E66" s="61">
        <v>5075</v>
      </c>
      <c r="F66" s="61">
        <v>5754</v>
      </c>
      <c r="G66" s="61"/>
      <c r="H66" s="61"/>
      <c r="I66" s="61" t="s">
        <v>14</v>
      </c>
      <c r="J66" s="61"/>
      <c r="K66" s="61" t="s">
        <v>163</v>
      </c>
      <c r="L66" s="61"/>
      <c r="M66" s="61"/>
      <c r="N66" s="61"/>
      <c r="O66" s="61"/>
      <c r="P66" s="61"/>
      <c r="Q66" s="61"/>
      <c r="R66" s="61" t="str">
        <f t="shared" ref="R66:R129" si="4">IF(
    OR(ISBLANK(M66), ISBLANK(N66)),
    "",
    MAX(1, IF(
        NETWORKDAYS(M66, N66) &lt;= 0,
        1,
        NETWORKDAYS(M66, N66) - IF(M66 = N66, 0, 1)
    ))
)</f>
        <v/>
      </c>
      <c r="S66" s="61" t="str">
        <f t="shared" ref="S66:S129" si="5">IF(
    OR(ISBLANK(N66), ISBLANK(O66)),
    "",
    MAX(1, IF(
        NETWORKDAYS(N66, O66) &lt;= 0,
        1,
        NETWORKDAYS(N66, O66) - IF(N66 = O66, 0, 1)
    ))
)</f>
        <v/>
      </c>
      <c r="T66" s="61" t="str">
        <f t="shared" si="3"/>
        <v/>
      </c>
      <c r="U66" s="61" t="str">
        <f t="shared" ref="U66:U129" si="6">IF(
    OR(ISBLANK(P66), ISBLANK(Q66)),
    "",
    MAX(1, IF(
        NETWORKDAYS(P66, Q66) &lt;= 0,
        1,
        NETWORKDAYS(P66, Q66) - IF(P66 = Q66, 0, 1)
    ))
)</f>
        <v/>
      </c>
      <c r="V66" s="61"/>
      <c r="W66" s="61"/>
      <c r="X66" s="61"/>
      <c r="Y66" s="61"/>
      <c r="Z66" s="61"/>
      <c r="AA66" s="61"/>
      <c r="AB66" s="61"/>
    </row>
    <row r="67" spans="1:28" s="2" customFormat="1" ht="15">
      <c r="A67" s="61" t="s">
        <v>773</v>
      </c>
      <c r="B67" s="61" t="s">
        <v>825</v>
      </c>
      <c r="C67" s="61" t="s">
        <v>1056</v>
      </c>
      <c r="D67" s="61" t="s">
        <v>159</v>
      </c>
      <c r="E67" s="61">
        <v>1084</v>
      </c>
      <c r="F67" s="61">
        <v>1092</v>
      </c>
      <c r="G67" s="61"/>
      <c r="H67" s="61"/>
      <c r="I67" s="61" t="s">
        <v>14</v>
      </c>
      <c r="J67" s="61"/>
      <c r="K67" s="61" t="s">
        <v>163</v>
      </c>
      <c r="L67" s="61"/>
      <c r="M67" s="61"/>
      <c r="N67" s="61"/>
      <c r="O67" s="61"/>
      <c r="P67" s="61"/>
      <c r="Q67" s="61"/>
      <c r="R67" s="61" t="str">
        <f t="shared" si="4"/>
        <v/>
      </c>
      <c r="S67" s="61" t="str">
        <f t="shared" si="5"/>
        <v/>
      </c>
      <c r="T67" s="61" t="str">
        <f t="shared" ref="T67:T130" si="7">IF(
  OR(A67 = "Nueva_Ecija", A67 = "Zambales"),
  IF(
    OR(ISBLANK(O67), ISBLANK(P67)),
    "",
    MAX(1, IF(
      NETWORKDAYS(O67, P67) &lt;= 0,
      1,
      NETWORKDAYS(O67, P67) - IF(O67 = P67, 0, 1)
    ))
  ),
  IF(
    OR(ISBLANK(N67), ISBLANK(P67)),
    "",
    MAX(1, IF(
      NETWORKDAYS(N67, P67) &lt;= 0,
      1,
      NETWORKDAYS(N67, P67) - IF(N67 = P67, 0, 1)
    ))
  )
)</f>
        <v/>
      </c>
      <c r="U67" s="61" t="str">
        <f t="shared" si="6"/>
        <v/>
      </c>
      <c r="V67" s="61"/>
      <c r="W67" s="61"/>
      <c r="X67" s="61"/>
      <c r="Y67" s="61"/>
      <c r="Z67" s="61"/>
      <c r="AA67" s="61"/>
      <c r="AB67" s="61"/>
    </row>
    <row r="68" spans="1:28" s="2" customFormat="1" ht="15">
      <c r="A68" s="61" t="s">
        <v>773</v>
      </c>
      <c r="B68" s="61" t="s">
        <v>825</v>
      </c>
      <c r="C68" s="61" t="s">
        <v>1819</v>
      </c>
      <c r="D68" s="61" t="s">
        <v>159</v>
      </c>
      <c r="E68" s="61">
        <v>820</v>
      </c>
      <c r="F68" s="61">
        <v>1039</v>
      </c>
      <c r="G68" s="61">
        <v>2025</v>
      </c>
      <c r="H68" s="61" t="s">
        <v>3128</v>
      </c>
      <c r="I68" s="61" t="s">
        <v>14</v>
      </c>
      <c r="J68" s="61"/>
      <c r="K68" s="61" t="s">
        <v>163</v>
      </c>
      <c r="L68" s="61" t="s">
        <v>7727</v>
      </c>
      <c r="M68" s="475">
        <v>45940</v>
      </c>
      <c r="N68" s="475">
        <v>45943</v>
      </c>
      <c r="O68" s="475"/>
      <c r="P68" s="475">
        <v>45944</v>
      </c>
      <c r="Q68" s="475">
        <v>45945</v>
      </c>
      <c r="R68" s="61">
        <f t="shared" si="4"/>
        <v>1</v>
      </c>
      <c r="S68" s="61" t="str">
        <f t="shared" si="5"/>
        <v/>
      </c>
      <c r="T68" s="61">
        <f t="shared" si="7"/>
        <v>1</v>
      </c>
      <c r="U68" s="61">
        <f t="shared" si="6"/>
        <v>1</v>
      </c>
      <c r="V68" s="61" t="s">
        <v>150</v>
      </c>
      <c r="W68" s="61" t="s">
        <v>4</v>
      </c>
      <c r="X68" s="61" t="s">
        <v>50</v>
      </c>
      <c r="Y68" s="61">
        <v>15.407645</v>
      </c>
      <c r="Z68" s="61">
        <v>121.376777</v>
      </c>
      <c r="AA68" s="61" t="s">
        <v>7719</v>
      </c>
      <c r="AB68" s="61"/>
    </row>
    <row r="69" spans="1:28" s="2" customFormat="1" ht="15">
      <c r="A69" s="61" t="s">
        <v>773</v>
      </c>
      <c r="B69" s="61" t="s">
        <v>825</v>
      </c>
      <c r="C69" s="61" t="s">
        <v>826</v>
      </c>
      <c r="D69" s="61" t="s">
        <v>159</v>
      </c>
      <c r="E69" s="61">
        <v>4380</v>
      </c>
      <c r="F69" s="61">
        <v>4553</v>
      </c>
      <c r="G69" s="61"/>
      <c r="H69" s="61"/>
      <c r="I69" s="61" t="s">
        <v>14</v>
      </c>
      <c r="J69" s="61"/>
      <c r="K69" s="61" t="s">
        <v>163</v>
      </c>
      <c r="L69" s="61"/>
      <c r="M69" s="61"/>
      <c r="N69" s="61"/>
      <c r="O69" s="61"/>
      <c r="P69" s="61"/>
      <c r="Q69" s="61"/>
      <c r="R69" s="61" t="str">
        <f t="shared" si="4"/>
        <v/>
      </c>
      <c r="S69" s="61" t="str">
        <f t="shared" si="5"/>
        <v/>
      </c>
      <c r="T69" s="61" t="str">
        <f t="shared" si="7"/>
        <v/>
      </c>
      <c r="U69" s="61" t="str">
        <f t="shared" si="6"/>
        <v/>
      </c>
      <c r="V69" s="61"/>
      <c r="W69" s="61"/>
      <c r="X69" s="61"/>
      <c r="Y69" s="61"/>
      <c r="Z69" s="61"/>
      <c r="AA69" s="61"/>
      <c r="AB69" s="61"/>
    </row>
    <row r="70" spans="1:28" s="2" customFormat="1" ht="15">
      <c r="A70" s="61" t="s">
        <v>773</v>
      </c>
      <c r="B70" s="61" t="s">
        <v>829</v>
      </c>
      <c r="C70" s="61" t="s">
        <v>3506</v>
      </c>
      <c r="D70" s="61" t="s">
        <v>159</v>
      </c>
      <c r="E70" s="61">
        <v>915</v>
      </c>
      <c r="F70" s="61">
        <v>929</v>
      </c>
      <c r="G70" s="61">
        <v>2025</v>
      </c>
      <c r="H70" s="61" t="s">
        <v>3129</v>
      </c>
      <c r="I70" s="61" t="s">
        <v>172</v>
      </c>
      <c r="J70" s="61"/>
      <c r="K70" s="61" t="s">
        <v>163</v>
      </c>
      <c r="L70" s="61" t="s">
        <v>7728</v>
      </c>
      <c r="M70" s="475">
        <v>45967</v>
      </c>
      <c r="N70" s="475">
        <v>45969</v>
      </c>
      <c r="O70" s="61"/>
      <c r="P70" s="475">
        <v>45972</v>
      </c>
      <c r="Q70" s="475">
        <v>45972</v>
      </c>
      <c r="R70" s="61">
        <f t="shared" si="4"/>
        <v>1</v>
      </c>
      <c r="S70" s="61" t="str">
        <f t="shared" si="5"/>
        <v/>
      </c>
      <c r="T70" s="61">
        <f t="shared" si="7"/>
        <v>1</v>
      </c>
      <c r="U70" s="61">
        <f t="shared" si="6"/>
        <v>1</v>
      </c>
      <c r="V70" s="61" t="s">
        <v>150</v>
      </c>
      <c r="W70" s="61" t="s">
        <v>1078</v>
      </c>
      <c r="X70" s="61" t="s">
        <v>50</v>
      </c>
      <c r="Y70" s="61">
        <v>15.826700000000001</v>
      </c>
      <c r="Z70" s="61">
        <v>121.5243</v>
      </c>
      <c r="AA70" s="61" t="s">
        <v>7719</v>
      </c>
      <c r="AB70" s="61"/>
    </row>
    <row r="71" spans="1:28" s="2" customFormat="1" ht="15">
      <c r="A71" s="61" t="s">
        <v>773</v>
      </c>
      <c r="B71" s="61" t="s">
        <v>829</v>
      </c>
      <c r="C71" s="61" t="s">
        <v>3507</v>
      </c>
      <c r="D71" s="61" t="s">
        <v>159</v>
      </c>
      <c r="E71" s="61">
        <v>2416</v>
      </c>
      <c r="F71" s="61">
        <v>2756</v>
      </c>
      <c r="G71" s="61"/>
      <c r="H71" s="61"/>
      <c r="I71" s="61" t="s">
        <v>172</v>
      </c>
      <c r="J71" s="61"/>
      <c r="K71" s="61" t="s">
        <v>163</v>
      </c>
      <c r="L71" s="61"/>
      <c r="M71" s="61"/>
      <c r="N71" s="61"/>
      <c r="O71" s="61"/>
      <c r="P71" s="61"/>
      <c r="Q71" s="61"/>
      <c r="R71" s="61" t="str">
        <f t="shared" si="4"/>
        <v/>
      </c>
      <c r="S71" s="61" t="str">
        <f t="shared" si="5"/>
        <v/>
      </c>
      <c r="T71" s="61" t="str">
        <f t="shared" si="7"/>
        <v/>
      </c>
      <c r="U71" s="61" t="str">
        <f t="shared" si="6"/>
        <v/>
      </c>
      <c r="V71" s="61"/>
      <c r="W71" s="61"/>
      <c r="X71" s="61"/>
      <c r="Y71" s="61"/>
      <c r="Z71" s="61"/>
      <c r="AA71" s="61"/>
      <c r="AB71" s="61"/>
    </row>
    <row r="72" spans="1:28" s="2" customFormat="1" ht="15">
      <c r="A72" s="61" t="s">
        <v>773</v>
      </c>
      <c r="B72" s="61" t="s">
        <v>829</v>
      </c>
      <c r="C72" s="61" t="s">
        <v>3508</v>
      </c>
      <c r="D72" s="61" t="s">
        <v>159</v>
      </c>
      <c r="E72" s="61">
        <v>569</v>
      </c>
      <c r="F72" s="61">
        <v>736</v>
      </c>
      <c r="G72" s="61"/>
      <c r="H72" s="61"/>
      <c r="I72" s="61" t="s">
        <v>172</v>
      </c>
      <c r="J72" s="61"/>
      <c r="K72" s="61" t="s">
        <v>163</v>
      </c>
      <c r="L72" s="61"/>
      <c r="M72" s="61"/>
      <c r="N72" s="61"/>
      <c r="O72" s="61"/>
      <c r="P72" s="61"/>
      <c r="Q72" s="61"/>
      <c r="R72" s="61" t="str">
        <f t="shared" si="4"/>
        <v/>
      </c>
      <c r="S72" s="61" t="str">
        <f t="shared" si="5"/>
        <v/>
      </c>
      <c r="T72" s="61" t="str">
        <f t="shared" si="7"/>
        <v/>
      </c>
      <c r="U72" s="61" t="str">
        <f t="shared" si="6"/>
        <v/>
      </c>
      <c r="V72" s="61"/>
      <c r="W72" s="61"/>
      <c r="X72" s="61"/>
      <c r="Y72" s="61"/>
      <c r="Z72" s="61"/>
      <c r="AA72" s="61"/>
      <c r="AB72" s="61"/>
    </row>
    <row r="73" spans="1:28" s="2" customFormat="1" ht="15">
      <c r="A73" s="61" t="s">
        <v>773</v>
      </c>
      <c r="B73" s="61" t="s">
        <v>829</v>
      </c>
      <c r="C73" s="61" t="s">
        <v>3509</v>
      </c>
      <c r="D73" s="61" t="s">
        <v>159</v>
      </c>
      <c r="E73" s="61">
        <v>816</v>
      </c>
      <c r="F73" s="61">
        <v>838</v>
      </c>
      <c r="G73" s="61">
        <v>2025</v>
      </c>
      <c r="H73" s="61" t="s">
        <v>3127</v>
      </c>
      <c r="I73" s="61" t="s">
        <v>172</v>
      </c>
      <c r="J73" s="61"/>
      <c r="K73" s="61" t="s">
        <v>163</v>
      </c>
      <c r="L73" s="61" t="s">
        <v>7729</v>
      </c>
      <c r="M73" s="475">
        <v>45895</v>
      </c>
      <c r="N73" s="475">
        <v>45901</v>
      </c>
      <c r="O73" s="61"/>
      <c r="P73" s="475">
        <v>45908</v>
      </c>
      <c r="Q73" s="475">
        <v>45908</v>
      </c>
      <c r="R73" s="61">
        <f t="shared" si="4"/>
        <v>4</v>
      </c>
      <c r="S73" s="61" t="str">
        <f t="shared" si="5"/>
        <v/>
      </c>
      <c r="T73" s="61">
        <f t="shared" si="7"/>
        <v>5</v>
      </c>
      <c r="U73" s="61">
        <f t="shared" si="6"/>
        <v>1</v>
      </c>
      <c r="V73" s="61" t="s">
        <v>150</v>
      </c>
      <c r="W73" s="61" t="s">
        <v>1078</v>
      </c>
      <c r="X73" s="61" t="s">
        <v>57</v>
      </c>
      <c r="Y73" s="61" t="s">
        <v>7730</v>
      </c>
      <c r="Z73" s="61">
        <v>121.7908</v>
      </c>
      <c r="AA73" s="61" t="s">
        <v>7719</v>
      </c>
      <c r="AB73" s="61"/>
    </row>
    <row r="74" spans="1:28" s="2" customFormat="1" ht="15">
      <c r="A74" s="61" t="s">
        <v>773</v>
      </c>
      <c r="B74" s="61" t="s">
        <v>829</v>
      </c>
      <c r="C74" s="61" t="s">
        <v>3534</v>
      </c>
      <c r="D74" s="61" t="s">
        <v>159</v>
      </c>
      <c r="E74" s="61">
        <v>331</v>
      </c>
      <c r="F74" s="61">
        <v>403</v>
      </c>
      <c r="G74" s="61">
        <v>2025</v>
      </c>
      <c r="H74" s="61" t="s">
        <v>3127</v>
      </c>
      <c r="I74" s="61" t="s">
        <v>172</v>
      </c>
      <c r="J74" s="61"/>
      <c r="K74" s="61" t="s">
        <v>163</v>
      </c>
      <c r="L74" s="61" t="s">
        <v>7731</v>
      </c>
      <c r="M74" s="475">
        <v>45902</v>
      </c>
      <c r="N74" s="475">
        <v>45904</v>
      </c>
      <c r="O74" s="61"/>
      <c r="P74" s="475">
        <v>45908</v>
      </c>
      <c r="Q74" s="475">
        <v>45908</v>
      </c>
      <c r="R74" s="61">
        <f t="shared" si="4"/>
        <v>2</v>
      </c>
      <c r="S74" s="61" t="str">
        <f t="shared" si="5"/>
        <v/>
      </c>
      <c r="T74" s="61">
        <f t="shared" si="7"/>
        <v>2</v>
      </c>
      <c r="U74" s="61">
        <f t="shared" si="6"/>
        <v>1</v>
      </c>
      <c r="V74" s="61" t="s">
        <v>150</v>
      </c>
      <c r="W74" s="61" t="s">
        <v>4</v>
      </c>
      <c r="X74" s="61" t="s">
        <v>50</v>
      </c>
      <c r="Y74" s="61">
        <v>15.889200000000001</v>
      </c>
      <c r="Z74" s="61">
        <v>121.5224</v>
      </c>
      <c r="AA74" s="61" t="s">
        <v>7719</v>
      </c>
      <c r="AB74" s="61"/>
    </row>
    <row r="75" spans="1:28" s="2" customFormat="1" ht="15">
      <c r="A75" s="61" t="s">
        <v>773</v>
      </c>
      <c r="B75" s="61" t="s">
        <v>829</v>
      </c>
      <c r="C75" s="61" t="s">
        <v>3510</v>
      </c>
      <c r="D75" s="61" t="s">
        <v>159</v>
      </c>
      <c r="E75" s="61">
        <v>722</v>
      </c>
      <c r="F75" s="61">
        <v>780</v>
      </c>
      <c r="G75" s="61">
        <v>2025</v>
      </c>
      <c r="H75" s="61" t="s">
        <v>3128</v>
      </c>
      <c r="I75" s="61" t="s">
        <v>172</v>
      </c>
      <c r="J75" s="61"/>
      <c r="K75" s="61" t="s">
        <v>163</v>
      </c>
      <c r="L75" s="61" t="s">
        <v>7732</v>
      </c>
      <c r="M75" s="475">
        <v>45944</v>
      </c>
      <c r="N75" s="475">
        <v>45945</v>
      </c>
      <c r="O75" s="61"/>
      <c r="P75" s="475">
        <v>45946</v>
      </c>
      <c r="Q75" s="475">
        <v>45946</v>
      </c>
      <c r="R75" s="61">
        <f t="shared" si="4"/>
        <v>1</v>
      </c>
      <c r="S75" s="61" t="str">
        <f t="shared" si="5"/>
        <v/>
      </c>
      <c r="T75" s="61">
        <f t="shared" si="7"/>
        <v>1</v>
      </c>
      <c r="U75" s="61">
        <f t="shared" si="6"/>
        <v>1</v>
      </c>
      <c r="V75" s="61" t="s">
        <v>150</v>
      </c>
      <c r="W75" s="61" t="s">
        <v>4</v>
      </c>
      <c r="X75" s="61" t="s">
        <v>50</v>
      </c>
      <c r="Y75" s="61">
        <v>16.007999999999999</v>
      </c>
      <c r="Z75" s="61">
        <v>121.6683</v>
      </c>
      <c r="AA75" s="61" t="s">
        <v>7719</v>
      </c>
      <c r="AB75" s="61"/>
    </row>
    <row r="76" spans="1:28" s="2" customFormat="1" ht="15">
      <c r="A76" s="61" t="s">
        <v>773</v>
      </c>
      <c r="B76" s="61" t="s">
        <v>829</v>
      </c>
      <c r="C76" s="61" t="s">
        <v>3511</v>
      </c>
      <c r="D76" s="61" t="s">
        <v>159</v>
      </c>
      <c r="E76" s="61">
        <v>1730</v>
      </c>
      <c r="F76" s="61">
        <v>1801</v>
      </c>
      <c r="G76" s="61"/>
      <c r="H76" s="61"/>
      <c r="I76" s="61" t="s">
        <v>172</v>
      </c>
      <c r="J76" s="61"/>
      <c r="K76" s="61" t="s">
        <v>163</v>
      </c>
      <c r="L76" s="61"/>
      <c r="M76" s="61"/>
      <c r="N76" s="61"/>
      <c r="O76" s="61"/>
      <c r="P76" s="61"/>
      <c r="Q76" s="61"/>
      <c r="R76" s="61" t="str">
        <f t="shared" si="4"/>
        <v/>
      </c>
      <c r="S76" s="61" t="str">
        <f t="shared" si="5"/>
        <v/>
      </c>
      <c r="T76" s="61" t="str">
        <f t="shared" si="7"/>
        <v/>
      </c>
      <c r="U76" s="61" t="str">
        <f t="shared" si="6"/>
        <v/>
      </c>
      <c r="V76" s="61"/>
      <c r="W76" s="61"/>
      <c r="X76" s="61"/>
      <c r="Y76" s="61"/>
      <c r="Z76" s="61"/>
      <c r="AA76" s="61"/>
      <c r="AB76" s="61"/>
    </row>
    <row r="77" spans="1:28" s="2" customFormat="1" ht="15">
      <c r="A77" s="61" t="s">
        <v>773</v>
      </c>
      <c r="B77" s="61" t="s">
        <v>829</v>
      </c>
      <c r="C77" s="61" t="s">
        <v>3512</v>
      </c>
      <c r="D77" s="61" t="s">
        <v>159</v>
      </c>
      <c r="E77" s="61">
        <v>860</v>
      </c>
      <c r="F77" s="61">
        <v>878</v>
      </c>
      <c r="G77" s="61"/>
      <c r="H77" s="61"/>
      <c r="I77" s="61" t="s">
        <v>172</v>
      </c>
      <c r="J77" s="61"/>
      <c r="K77" s="61" t="s">
        <v>163</v>
      </c>
      <c r="L77" s="61"/>
      <c r="M77" s="61"/>
      <c r="N77" s="61"/>
      <c r="O77" s="61"/>
      <c r="P77" s="61"/>
      <c r="Q77" s="61"/>
      <c r="R77" s="61" t="str">
        <f t="shared" si="4"/>
        <v/>
      </c>
      <c r="S77" s="61" t="str">
        <f t="shared" si="5"/>
        <v/>
      </c>
      <c r="T77" s="61" t="str">
        <f t="shared" si="7"/>
        <v/>
      </c>
      <c r="U77" s="61" t="str">
        <f t="shared" si="6"/>
        <v/>
      </c>
      <c r="V77" s="61"/>
      <c r="W77" s="61"/>
      <c r="X77" s="61"/>
      <c r="Y77" s="61"/>
      <c r="Z77" s="61"/>
      <c r="AA77" s="61"/>
      <c r="AB77" s="61"/>
    </row>
    <row r="78" spans="1:28" s="2" customFormat="1" ht="15">
      <c r="A78" s="61" t="s">
        <v>773</v>
      </c>
      <c r="B78" s="61" t="s">
        <v>829</v>
      </c>
      <c r="C78" s="61" t="s">
        <v>3513</v>
      </c>
      <c r="D78" s="61" t="s">
        <v>159</v>
      </c>
      <c r="E78" s="61">
        <v>1195</v>
      </c>
      <c r="F78" s="61">
        <v>1378</v>
      </c>
      <c r="G78" s="61"/>
      <c r="H78" s="61"/>
      <c r="I78" s="61" t="s">
        <v>172</v>
      </c>
      <c r="J78" s="61"/>
      <c r="K78" s="61" t="s">
        <v>163</v>
      </c>
      <c r="L78" s="61"/>
      <c r="M78" s="61"/>
      <c r="N78" s="61"/>
      <c r="O78" s="61"/>
      <c r="P78" s="61"/>
      <c r="Q78" s="61"/>
      <c r="R78" s="61" t="str">
        <f t="shared" si="4"/>
        <v/>
      </c>
      <c r="S78" s="61" t="str">
        <f t="shared" si="5"/>
        <v/>
      </c>
      <c r="T78" s="61" t="str">
        <f t="shared" si="7"/>
        <v/>
      </c>
      <c r="U78" s="61" t="str">
        <f t="shared" si="6"/>
        <v/>
      </c>
      <c r="V78" s="61"/>
      <c r="W78" s="61"/>
      <c r="X78" s="61"/>
      <c r="Y78" s="61"/>
      <c r="Z78" s="61"/>
      <c r="AA78" s="61"/>
      <c r="AB78" s="61"/>
    </row>
    <row r="79" spans="1:28" s="2" customFormat="1" ht="15">
      <c r="A79" s="61" t="s">
        <v>773</v>
      </c>
      <c r="B79" s="61" t="s">
        <v>829</v>
      </c>
      <c r="C79" s="61" t="s">
        <v>833</v>
      </c>
      <c r="D79" s="61" t="s">
        <v>159</v>
      </c>
      <c r="E79" s="61">
        <v>3733</v>
      </c>
      <c r="F79" s="61">
        <v>4344</v>
      </c>
      <c r="G79" s="61"/>
      <c r="H79" s="61"/>
      <c r="I79" s="61" t="s">
        <v>172</v>
      </c>
      <c r="J79" s="61"/>
      <c r="K79" s="61" t="s">
        <v>163</v>
      </c>
      <c r="L79" s="61"/>
      <c r="M79" s="61"/>
      <c r="N79" s="61"/>
      <c r="O79" s="61"/>
      <c r="P79" s="61"/>
      <c r="Q79" s="61"/>
      <c r="R79" s="61" t="str">
        <f t="shared" si="4"/>
        <v/>
      </c>
      <c r="S79" s="61" t="str">
        <f t="shared" si="5"/>
        <v/>
      </c>
      <c r="T79" s="61" t="str">
        <f t="shared" si="7"/>
        <v/>
      </c>
      <c r="U79" s="61" t="str">
        <f t="shared" si="6"/>
        <v/>
      </c>
      <c r="V79" s="61"/>
      <c r="W79" s="61"/>
      <c r="X79" s="61"/>
      <c r="Y79" s="61"/>
      <c r="Z79" s="61"/>
      <c r="AA79" s="61"/>
      <c r="AB79" s="61"/>
    </row>
    <row r="80" spans="1:28" s="2" customFormat="1" ht="15">
      <c r="A80" s="61" t="s">
        <v>773</v>
      </c>
      <c r="B80" s="61" t="s">
        <v>829</v>
      </c>
      <c r="C80" s="61" t="s">
        <v>3514</v>
      </c>
      <c r="D80" s="61" t="s">
        <v>159</v>
      </c>
      <c r="E80" s="61">
        <v>1398</v>
      </c>
      <c r="F80" s="61">
        <v>1651</v>
      </c>
      <c r="G80" s="61"/>
      <c r="H80" s="61"/>
      <c r="I80" s="61" t="s">
        <v>172</v>
      </c>
      <c r="J80" s="61"/>
      <c r="K80" s="61" t="s">
        <v>163</v>
      </c>
      <c r="L80" s="61"/>
      <c r="M80" s="61"/>
      <c r="N80" s="61"/>
      <c r="O80" s="61"/>
      <c r="P80" s="61"/>
      <c r="Q80" s="61"/>
      <c r="R80" s="61" t="str">
        <f t="shared" si="4"/>
        <v/>
      </c>
      <c r="S80" s="61" t="str">
        <f t="shared" si="5"/>
        <v/>
      </c>
      <c r="T80" s="61" t="str">
        <f t="shared" si="7"/>
        <v/>
      </c>
      <c r="U80" s="61" t="str">
        <f t="shared" si="6"/>
        <v/>
      </c>
      <c r="V80" s="61"/>
      <c r="W80" s="61"/>
      <c r="X80" s="61"/>
      <c r="Y80" s="61"/>
      <c r="Z80" s="61"/>
      <c r="AA80" s="61"/>
      <c r="AB80" s="61"/>
    </row>
    <row r="81" spans="1:28" s="2" customFormat="1" ht="15">
      <c r="A81" s="61" t="s">
        <v>773</v>
      </c>
      <c r="B81" s="61" t="s">
        <v>829</v>
      </c>
      <c r="C81" s="61" t="s">
        <v>835</v>
      </c>
      <c r="D81" s="61" t="s">
        <v>159</v>
      </c>
      <c r="E81" s="61">
        <v>1037</v>
      </c>
      <c r="F81" s="61">
        <v>1114</v>
      </c>
      <c r="G81" s="61">
        <v>2025</v>
      </c>
      <c r="H81" s="61" t="s">
        <v>3127</v>
      </c>
      <c r="I81" s="61" t="s">
        <v>172</v>
      </c>
      <c r="J81" s="61"/>
      <c r="K81" s="61" t="s">
        <v>163</v>
      </c>
      <c r="L81" s="61" t="s">
        <v>7733</v>
      </c>
      <c r="M81" s="475">
        <v>45911</v>
      </c>
      <c r="N81" s="475">
        <v>45911</v>
      </c>
      <c r="O81" s="61"/>
      <c r="P81" s="475">
        <v>45916</v>
      </c>
      <c r="Q81" s="475">
        <v>45917</v>
      </c>
      <c r="R81" s="61">
        <f t="shared" si="4"/>
        <v>1</v>
      </c>
      <c r="S81" s="61" t="str">
        <f t="shared" si="5"/>
        <v/>
      </c>
      <c r="T81" s="61">
        <f t="shared" si="7"/>
        <v>3</v>
      </c>
      <c r="U81" s="61">
        <f t="shared" si="6"/>
        <v>1</v>
      </c>
      <c r="V81" s="61" t="s">
        <v>150</v>
      </c>
      <c r="W81" s="61" t="s">
        <v>4</v>
      </c>
      <c r="X81" s="61" t="s">
        <v>50</v>
      </c>
      <c r="Y81" s="61">
        <v>15.8881</v>
      </c>
      <c r="Z81" s="61">
        <v>121.5508</v>
      </c>
      <c r="AA81" s="61" t="s">
        <v>7719</v>
      </c>
      <c r="AB81" s="61"/>
    </row>
    <row r="82" spans="1:28" s="2" customFormat="1" ht="15">
      <c r="A82" s="61" t="s">
        <v>773</v>
      </c>
      <c r="B82" s="61" t="s">
        <v>829</v>
      </c>
      <c r="C82" s="61" t="s">
        <v>3515</v>
      </c>
      <c r="D82" s="61" t="s">
        <v>159</v>
      </c>
      <c r="E82" s="61">
        <v>1154</v>
      </c>
      <c r="F82" s="61">
        <v>1272</v>
      </c>
      <c r="G82" s="61">
        <v>2025</v>
      </c>
      <c r="H82" s="61" t="s">
        <v>3458</v>
      </c>
      <c r="I82" s="61" t="s">
        <v>172</v>
      </c>
      <c r="J82" s="61"/>
      <c r="K82" s="61" t="s">
        <v>163</v>
      </c>
      <c r="L82" s="61" t="s">
        <v>7734</v>
      </c>
      <c r="M82" s="475">
        <v>45700</v>
      </c>
      <c r="N82" s="475">
        <v>45702</v>
      </c>
      <c r="O82" s="61"/>
      <c r="P82" s="475">
        <v>45704</v>
      </c>
      <c r="Q82" s="475">
        <v>45704</v>
      </c>
      <c r="R82" s="61">
        <f t="shared" si="4"/>
        <v>2</v>
      </c>
      <c r="S82" s="61" t="str">
        <f t="shared" si="5"/>
        <v/>
      </c>
      <c r="T82" s="61">
        <f t="shared" si="7"/>
        <v>1</v>
      </c>
      <c r="U82" s="61">
        <f t="shared" si="6"/>
        <v>1</v>
      </c>
      <c r="V82" s="61" t="s">
        <v>150</v>
      </c>
      <c r="W82" s="61" t="s">
        <v>1078</v>
      </c>
      <c r="X82" s="61" t="s">
        <v>57</v>
      </c>
      <c r="Y82" s="61"/>
      <c r="Z82" s="61"/>
      <c r="AA82" s="61" t="s">
        <v>7719</v>
      </c>
      <c r="AB82" s="61"/>
    </row>
    <row r="83" spans="1:28" s="2" customFormat="1" ht="15">
      <c r="A83" s="61" t="s">
        <v>773</v>
      </c>
      <c r="B83" s="61" t="s">
        <v>829</v>
      </c>
      <c r="C83" s="61" t="s">
        <v>3517</v>
      </c>
      <c r="D83" s="61" t="s">
        <v>159</v>
      </c>
      <c r="E83" s="61">
        <v>454</v>
      </c>
      <c r="F83" s="61">
        <v>515</v>
      </c>
      <c r="G83" s="61"/>
      <c r="H83" s="61"/>
      <c r="I83" s="61" t="s">
        <v>172</v>
      </c>
      <c r="J83" s="61"/>
      <c r="K83" s="61" t="s">
        <v>163</v>
      </c>
      <c r="L83" s="61"/>
      <c r="M83" s="61"/>
      <c r="N83" s="61"/>
      <c r="O83" s="61"/>
      <c r="P83" s="61"/>
      <c r="Q83" s="61"/>
      <c r="R83" s="61" t="str">
        <f t="shared" si="4"/>
        <v/>
      </c>
      <c r="S83" s="61" t="str">
        <f t="shared" si="5"/>
        <v/>
      </c>
      <c r="T83" s="61" t="str">
        <f t="shared" si="7"/>
        <v/>
      </c>
      <c r="U83" s="61" t="str">
        <f t="shared" si="6"/>
        <v/>
      </c>
      <c r="V83" s="61"/>
      <c r="W83" s="61"/>
      <c r="X83" s="61"/>
      <c r="Y83" s="61"/>
      <c r="Z83" s="61"/>
      <c r="AA83" s="61"/>
      <c r="AB83" s="61"/>
    </row>
    <row r="84" spans="1:28" s="2" customFormat="1" ht="15">
      <c r="A84" s="61" t="s">
        <v>773</v>
      </c>
      <c r="B84" s="61" t="s">
        <v>829</v>
      </c>
      <c r="C84" s="61" t="s">
        <v>3518</v>
      </c>
      <c r="D84" s="61" t="s">
        <v>159</v>
      </c>
      <c r="E84" s="61">
        <v>968</v>
      </c>
      <c r="F84" s="61">
        <v>1073</v>
      </c>
      <c r="G84" s="61">
        <v>2025</v>
      </c>
      <c r="H84" s="61" t="s">
        <v>3458</v>
      </c>
      <c r="I84" s="61" t="s">
        <v>172</v>
      </c>
      <c r="J84" s="61"/>
      <c r="K84" s="61" t="s">
        <v>163</v>
      </c>
      <c r="L84" s="61" t="s">
        <v>7735</v>
      </c>
      <c r="M84" s="475">
        <v>45700</v>
      </c>
      <c r="N84" s="475">
        <v>45702</v>
      </c>
      <c r="O84" s="61"/>
      <c r="P84" s="475">
        <v>45704</v>
      </c>
      <c r="Q84" s="475">
        <v>45704</v>
      </c>
      <c r="R84" s="61">
        <f t="shared" si="4"/>
        <v>2</v>
      </c>
      <c r="S84" s="61" t="str">
        <f t="shared" si="5"/>
        <v/>
      </c>
      <c r="T84" s="61">
        <f t="shared" si="7"/>
        <v>1</v>
      </c>
      <c r="U84" s="61">
        <f t="shared" si="6"/>
        <v>1</v>
      </c>
      <c r="V84" s="61" t="s">
        <v>150</v>
      </c>
      <c r="W84" s="61" t="s">
        <v>4</v>
      </c>
      <c r="X84" s="61" t="s">
        <v>57</v>
      </c>
      <c r="Y84" s="61"/>
      <c r="Z84" s="61"/>
      <c r="AA84" s="61" t="s">
        <v>7719</v>
      </c>
      <c r="AB84" s="61"/>
    </row>
    <row r="85" spans="1:28" s="2" customFormat="1" ht="15">
      <c r="A85" s="61" t="s">
        <v>773</v>
      </c>
      <c r="B85" s="61" t="s">
        <v>829</v>
      </c>
      <c r="C85" s="61" t="s">
        <v>3519</v>
      </c>
      <c r="D85" s="61" t="s">
        <v>159</v>
      </c>
      <c r="E85" s="61">
        <v>580</v>
      </c>
      <c r="F85" s="61">
        <v>622</v>
      </c>
      <c r="G85" s="61">
        <v>2025</v>
      </c>
      <c r="H85" s="61" t="s">
        <v>3128</v>
      </c>
      <c r="I85" s="61" t="s">
        <v>172</v>
      </c>
      <c r="J85" s="61"/>
      <c r="K85" s="61" t="s">
        <v>163</v>
      </c>
      <c r="L85" s="61" t="s">
        <v>7736</v>
      </c>
      <c r="M85" s="475">
        <v>45946</v>
      </c>
      <c r="N85" s="475">
        <v>45946</v>
      </c>
      <c r="O85" s="61"/>
      <c r="P85" s="475">
        <v>45946</v>
      </c>
      <c r="Q85" s="475">
        <v>45947</v>
      </c>
      <c r="R85" s="61">
        <f t="shared" si="4"/>
        <v>1</v>
      </c>
      <c r="S85" s="61" t="str">
        <f t="shared" si="5"/>
        <v/>
      </c>
      <c r="T85" s="61">
        <f t="shared" si="7"/>
        <v>1</v>
      </c>
      <c r="U85" s="61">
        <f t="shared" si="6"/>
        <v>1</v>
      </c>
      <c r="V85" s="61" t="s">
        <v>150</v>
      </c>
      <c r="W85" s="61" t="s">
        <v>4</v>
      </c>
      <c r="X85" s="61" t="s">
        <v>50</v>
      </c>
      <c r="Y85" s="61">
        <v>15.863300000000001</v>
      </c>
      <c r="Z85" s="61">
        <v>121.54443999999999</v>
      </c>
      <c r="AA85" s="61" t="s">
        <v>7719</v>
      </c>
      <c r="AB85" s="61"/>
    </row>
    <row r="86" spans="1:28" s="2" customFormat="1" ht="15">
      <c r="A86" s="61" t="s">
        <v>773</v>
      </c>
      <c r="B86" s="61" t="s">
        <v>829</v>
      </c>
      <c r="C86" s="61" t="s">
        <v>1245</v>
      </c>
      <c r="D86" s="61" t="s">
        <v>159</v>
      </c>
      <c r="E86" s="61">
        <v>665</v>
      </c>
      <c r="F86" s="61">
        <v>822</v>
      </c>
      <c r="G86" s="61">
        <v>2025</v>
      </c>
      <c r="H86" s="61" t="s">
        <v>3128</v>
      </c>
      <c r="I86" s="61" t="s">
        <v>172</v>
      </c>
      <c r="J86" s="61"/>
      <c r="K86" s="61" t="s">
        <v>163</v>
      </c>
      <c r="L86" s="61" t="s">
        <v>7737</v>
      </c>
      <c r="M86" s="475">
        <v>45931</v>
      </c>
      <c r="N86" s="475">
        <v>45932</v>
      </c>
      <c r="O86" s="61"/>
      <c r="P86" s="475">
        <v>45938</v>
      </c>
      <c r="Q86" s="475">
        <v>45940</v>
      </c>
      <c r="R86" s="61">
        <f t="shared" si="4"/>
        <v>1</v>
      </c>
      <c r="S86" s="61" t="str">
        <f t="shared" si="5"/>
        <v/>
      </c>
      <c r="T86" s="61">
        <f t="shared" si="7"/>
        <v>4</v>
      </c>
      <c r="U86" s="61">
        <f t="shared" si="6"/>
        <v>2</v>
      </c>
      <c r="V86" s="61" t="s">
        <v>150</v>
      </c>
      <c r="W86" s="61" t="s">
        <v>4</v>
      </c>
      <c r="X86" s="61" t="s">
        <v>50</v>
      </c>
      <c r="Y86" s="61">
        <v>15.818300000000001</v>
      </c>
      <c r="Z86" s="61">
        <v>121.50190000000001</v>
      </c>
      <c r="AA86" s="61" t="s">
        <v>7719</v>
      </c>
      <c r="AB86" s="61"/>
    </row>
    <row r="87" spans="1:28" s="2" customFormat="1" ht="15">
      <c r="A87" s="61" t="s">
        <v>773</v>
      </c>
      <c r="B87" s="61" t="s">
        <v>829</v>
      </c>
      <c r="C87" s="61" t="s">
        <v>3520</v>
      </c>
      <c r="D87" s="61" t="s">
        <v>159</v>
      </c>
      <c r="E87" s="61">
        <v>1134</v>
      </c>
      <c r="F87" s="61">
        <v>1240</v>
      </c>
      <c r="G87" s="61">
        <v>2025</v>
      </c>
      <c r="H87" s="61" t="s">
        <v>3127</v>
      </c>
      <c r="I87" s="61" t="s">
        <v>172</v>
      </c>
      <c r="J87" s="61"/>
      <c r="K87" s="61" t="s">
        <v>163</v>
      </c>
      <c r="L87" s="61" t="s">
        <v>7738</v>
      </c>
      <c r="M87" s="475">
        <v>45911</v>
      </c>
      <c r="N87" s="475">
        <v>45911</v>
      </c>
      <c r="O87" s="61"/>
      <c r="P87" s="475">
        <v>45916</v>
      </c>
      <c r="Q87" s="475">
        <v>45917</v>
      </c>
      <c r="R87" s="61">
        <f t="shared" si="4"/>
        <v>1</v>
      </c>
      <c r="S87" s="61" t="str">
        <f t="shared" si="5"/>
        <v/>
      </c>
      <c r="T87" s="61">
        <f t="shared" si="7"/>
        <v>3</v>
      </c>
      <c r="U87" s="61">
        <f t="shared" si="6"/>
        <v>1</v>
      </c>
      <c r="V87" s="61" t="s">
        <v>150</v>
      </c>
      <c r="W87" s="61" t="s">
        <v>4</v>
      </c>
      <c r="X87" s="61" t="s">
        <v>50</v>
      </c>
      <c r="Y87" s="61" t="s">
        <v>7739</v>
      </c>
      <c r="Z87" s="61" t="s">
        <v>7740</v>
      </c>
      <c r="AA87" s="61" t="s">
        <v>7719</v>
      </c>
      <c r="AB87" s="61"/>
    </row>
    <row r="88" spans="1:28" s="2" customFormat="1" ht="15">
      <c r="A88" s="61" t="s">
        <v>773</v>
      </c>
      <c r="B88" s="61" t="s">
        <v>829</v>
      </c>
      <c r="C88" s="61" t="s">
        <v>3521</v>
      </c>
      <c r="D88" s="61" t="s">
        <v>159</v>
      </c>
      <c r="E88" s="61">
        <v>1479</v>
      </c>
      <c r="F88" s="61">
        <v>1497</v>
      </c>
      <c r="G88" s="61">
        <v>2025</v>
      </c>
      <c r="H88" s="61" t="s">
        <v>3129</v>
      </c>
      <c r="I88" s="61" t="s">
        <v>172</v>
      </c>
      <c r="J88" s="61"/>
      <c r="K88" s="61" t="s">
        <v>163</v>
      </c>
      <c r="L88" s="61" t="s">
        <v>7741</v>
      </c>
      <c r="M88" s="475">
        <v>45946</v>
      </c>
      <c r="N88" s="475">
        <v>45946</v>
      </c>
      <c r="O88" s="61"/>
      <c r="P88" s="475">
        <v>45946</v>
      </c>
      <c r="Q88" s="475">
        <v>45947</v>
      </c>
      <c r="R88" s="61">
        <f t="shared" si="4"/>
        <v>1</v>
      </c>
      <c r="S88" s="61" t="str">
        <f t="shared" si="5"/>
        <v/>
      </c>
      <c r="T88" s="61">
        <f t="shared" si="7"/>
        <v>1</v>
      </c>
      <c r="U88" s="61">
        <f t="shared" si="6"/>
        <v>1</v>
      </c>
      <c r="V88" s="61" t="s">
        <v>150</v>
      </c>
      <c r="W88" s="61" t="s">
        <v>1078</v>
      </c>
      <c r="X88" s="61" t="s">
        <v>50</v>
      </c>
      <c r="Y88" s="61">
        <v>15.8233</v>
      </c>
      <c r="Z88" s="61">
        <v>121.51179999999999</v>
      </c>
      <c r="AA88" s="61" t="s">
        <v>7719</v>
      </c>
      <c r="AB88" s="61"/>
    </row>
    <row r="89" spans="1:28" s="2" customFormat="1" ht="15">
      <c r="A89" s="61" t="s">
        <v>773</v>
      </c>
      <c r="B89" s="61" t="s">
        <v>829</v>
      </c>
      <c r="C89" s="61" t="s">
        <v>947</v>
      </c>
      <c r="D89" s="61" t="s">
        <v>159</v>
      </c>
      <c r="E89" s="61">
        <v>2059</v>
      </c>
      <c r="F89" s="61">
        <v>2181</v>
      </c>
      <c r="G89" s="61"/>
      <c r="H89" s="61"/>
      <c r="I89" s="61" t="s">
        <v>172</v>
      </c>
      <c r="J89" s="61"/>
      <c r="K89" s="61" t="s">
        <v>163</v>
      </c>
      <c r="L89" s="61"/>
      <c r="M89" s="61"/>
      <c r="N89" s="61"/>
      <c r="O89" s="61"/>
      <c r="P89" s="61"/>
      <c r="Q89" s="61"/>
      <c r="R89" s="61" t="str">
        <f t="shared" si="4"/>
        <v/>
      </c>
      <c r="S89" s="61" t="str">
        <f t="shared" si="5"/>
        <v/>
      </c>
      <c r="T89" s="61" t="str">
        <f t="shared" si="7"/>
        <v/>
      </c>
      <c r="U89" s="61" t="str">
        <f t="shared" si="6"/>
        <v/>
      </c>
      <c r="V89" s="61"/>
      <c r="W89" s="61"/>
      <c r="X89" s="61"/>
      <c r="Y89" s="61"/>
      <c r="Z89" s="61"/>
      <c r="AA89" s="61"/>
      <c r="AB89" s="61"/>
    </row>
    <row r="90" spans="1:28" s="2" customFormat="1" ht="15">
      <c r="A90" s="61" t="s">
        <v>773</v>
      </c>
      <c r="B90" s="61" t="s">
        <v>829</v>
      </c>
      <c r="C90" s="61" t="s">
        <v>3529</v>
      </c>
      <c r="D90" s="61" t="s">
        <v>159</v>
      </c>
      <c r="E90" s="61">
        <v>1430</v>
      </c>
      <c r="F90" s="61">
        <v>1789</v>
      </c>
      <c r="G90" s="61"/>
      <c r="H90" s="61"/>
      <c r="I90" s="61" t="s">
        <v>172</v>
      </c>
      <c r="J90" s="61"/>
      <c r="K90" s="61" t="s">
        <v>163</v>
      </c>
      <c r="L90" s="61"/>
      <c r="M90" s="61"/>
      <c r="N90" s="61"/>
      <c r="O90" s="61"/>
      <c r="P90" s="61"/>
      <c r="Q90" s="61"/>
      <c r="R90" s="61" t="str">
        <f t="shared" si="4"/>
        <v/>
      </c>
      <c r="S90" s="61" t="str">
        <f t="shared" si="5"/>
        <v/>
      </c>
      <c r="T90" s="61" t="str">
        <f t="shared" si="7"/>
        <v/>
      </c>
      <c r="U90" s="61" t="str">
        <f t="shared" si="6"/>
        <v/>
      </c>
      <c r="V90" s="61"/>
      <c r="W90" s="61"/>
      <c r="X90" s="61"/>
      <c r="Y90" s="61"/>
      <c r="Z90" s="61"/>
      <c r="AA90" s="61"/>
      <c r="AB90" s="61"/>
    </row>
    <row r="91" spans="1:28" s="2" customFormat="1" ht="15">
      <c r="A91" s="61" t="s">
        <v>773</v>
      </c>
      <c r="B91" s="61" t="s">
        <v>829</v>
      </c>
      <c r="C91" s="61" t="s">
        <v>3530</v>
      </c>
      <c r="D91" s="61" t="s">
        <v>159</v>
      </c>
      <c r="E91" s="61">
        <v>1417</v>
      </c>
      <c r="F91" s="61">
        <v>1440</v>
      </c>
      <c r="G91" s="61"/>
      <c r="H91" s="61"/>
      <c r="I91" s="61" t="s">
        <v>172</v>
      </c>
      <c r="J91" s="61"/>
      <c r="K91" s="61" t="s">
        <v>163</v>
      </c>
      <c r="L91" s="61"/>
      <c r="M91" s="61"/>
      <c r="N91" s="61"/>
      <c r="O91" s="61"/>
      <c r="P91" s="61"/>
      <c r="Q91" s="61"/>
      <c r="R91" s="61" t="str">
        <f t="shared" si="4"/>
        <v/>
      </c>
      <c r="S91" s="61" t="str">
        <f t="shared" si="5"/>
        <v/>
      </c>
      <c r="T91" s="61" t="str">
        <f t="shared" si="7"/>
        <v/>
      </c>
      <c r="U91" s="61" t="str">
        <f t="shared" si="6"/>
        <v/>
      </c>
      <c r="V91" s="61"/>
      <c r="W91" s="61"/>
      <c r="X91" s="61"/>
      <c r="Y91" s="61"/>
      <c r="Z91" s="61"/>
      <c r="AA91" s="61"/>
      <c r="AB91" s="61"/>
    </row>
    <row r="92" spans="1:28" s="2" customFormat="1" ht="15">
      <c r="A92" s="61" t="s">
        <v>773</v>
      </c>
      <c r="B92" s="61" t="s">
        <v>829</v>
      </c>
      <c r="C92" s="61" t="s">
        <v>3531</v>
      </c>
      <c r="D92" s="61" t="s">
        <v>159</v>
      </c>
      <c r="E92" s="61">
        <v>405</v>
      </c>
      <c r="F92" s="61">
        <v>442</v>
      </c>
      <c r="G92" s="61"/>
      <c r="H92" s="61"/>
      <c r="I92" s="61" t="s">
        <v>172</v>
      </c>
      <c r="J92" s="61"/>
      <c r="K92" s="61" t="s">
        <v>163</v>
      </c>
      <c r="L92" s="61"/>
      <c r="M92" s="61"/>
      <c r="N92" s="61"/>
      <c r="O92" s="61"/>
      <c r="P92" s="61"/>
      <c r="Q92" s="61"/>
      <c r="R92" s="61" t="str">
        <f t="shared" si="4"/>
        <v/>
      </c>
      <c r="S92" s="61" t="str">
        <f t="shared" si="5"/>
        <v/>
      </c>
      <c r="T92" s="61" t="str">
        <f t="shared" si="7"/>
        <v/>
      </c>
      <c r="U92" s="61" t="str">
        <f t="shared" si="6"/>
        <v/>
      </c>
      <c r="V92" s="61"/>
      <c r="W92" s="61"/>
      <c r="X92" s="61"/>
      <c r="Y92" s="61"/>
      <c r="Z92" s="61"/>
      <c r="AA92" s="61"/>
      <c r="AB92" s="61"/>
    </row>
    <row r="93" spans="1:28" s="2" customFormat="1" ht="15">
      <c r="A93" s="61" t="s">
        <v>773</v>
      </c>
      <c r="B93" s="61" t="s">
        <v>829</v>
      </c>
      <c r="C93" s="61" t="s">
        <v>954</v>
      </c>
      <c r="D93" s="61" t="s">
        <v>159</v>
      </c>
      <c r="E93" s="61">
        <v>1693</v>
      </c>
      <c r="F93" s="61">
        <v>1924</v>
      </c>
      <c r="G93" s="61">
        <v>2025</v>
      </c>
      <c r="H93" s="61" t="s">
        <v>3458</v>
      </c>
      <c r="I93" s="61" t="s">
        <v>172</v>
      </c>
      <c r="J93" s="61"/>
      <c r="K93" s="61" t="s">
        <v>163</v>
      </c>
      <c r="L93" s="61" t="s">
        <v>7742</v>
      </c>
      <c r="M93" s="475">
        <v>45702</v>
      </c>
      <c r="N93" s="475">
        <v>45702</v>
      </c>
      <c r="O93" s="61"/>
      <c r="P93" s="475">
        <v>45704</v>
      </c>
      <c r="Q93" s="475">
        <v>45704</v>
      </c>
      <c r="R93" s="61">
        <f t="shared" si="4"/>
        <v>1</v>
      </c>
      <c r="S93" s="61" t="str">
        <f t="shared" si="5"/>
        <v/>
      </c>
      <c r="T93" s="61">
        <f t="shared" si="7"/>
        <v>1</v>
      </c>
      <c r="U93" s="61">
        <f t="shared" si="6"/>
        <v>1</v>
      </c>
      <c r="V93" s="61" t="s">
        <v>150</v>
      </c>
      <c r="W93" s="61" t="s">
        <v>3527</v>
      </c>
      <c r="X93" s="61" t="s">
        <v>3528</v>
      </c>
      <c r="Y93" s="61"/>
      <c r="Z93" s="61"/>
      <c r="AA93" s="61" t="s">
        <v>7719</v>
      </c>
      <c r="AB93" s="61"/>
    </row>
    <row r="94" spans="1:28" s="2" customFormat="1" ht="15">
      <c r="A94" s="61" t="s">
        <v>773</v>
      </c>
      <c r="B94" s="61" t="s">
        <v>829</v>
      </c>
      <c r="C94" s="61" t="s">
        <v>979</v>
      </c>
      <c r="D94" s="61" t="s">
        <v>159</v>
      </c>
      <c r="E94" s="61">
        <v>576</v>
      </c>
      <c r="F94" s="61">
        <v>706</v>
      </c>
      <c r="G94" s="61"/>
      <c r="H94" s="61"/>
      <c r="I94" s="61" t="s">
        <v>172</v>
      </c>
      <c r="J94" s="61"/>
      <c r="K94" s="61" t="s">
        <v>163</v>
      </c>
      <c r="L94" s="61"/>
      <c r="M94" s="61"/>
      <c r="N94" s="61"/>
      <c r="O94" s="61"/>
      <c r="P94" s="61"/>
      <c r="Q94" s="61"/>
      <c r="R94" s="61" t="str">
        <f t="shared" si="4"/>
        <v/>
      </c>
      <c r="S94" s="61" t="str">
        <f t="shared" si="5"/>
        <v/>
      </c>
      <c r="T94" s="61" t="str">
        <f t="shared" si="7"/>
        <v/>
      </c>
      <c r="U94" s="61" t="str">
        <f t="shared" si="6"/>
        <v/>
      </c>
      <c r="V94" s="61"/>
      <c r="W94" s="61"/>
      <c r="X94" s="61"/>
      <c r="Y94" s="61"/>
      <c r="Z94" s="61"/>
      <c r="AA94" s="61"/>
      <c r="AB94" s="61"/>
    </row>
    <row r="95" spans="1:28" s="2" customFormat="1" ht="15">
      <c r="A95" s="61" t="s">
        <v>773</v>
      </c>
      <c r="B95" s="61" t="s">
        <v>983</v>
      </c>
      <c r="C95" s="61" t="s">
        <v>3536</v>
      </c>
      <c r="D95" s="61" t="s">
        <v>159</v>
      </c>
      <c r="E95" s="61">
        <v>553</v>
      </c>
      <c r="F95" s="61">
        <v>613</v>
      </c>
      <c r="G95" s="61">
        <v>2025</v>
      </c>
      <c r="H95" s="61" t="s">
        <v>3470</v>
      </c>
      <c r="I95" s="61" t="s">
        <v>14</v>
      </c>
      <c r="J95" s="61"/>
      <c r="K95" s="61" t="s">
        <v>163</v>
      </c>
      <c r="L95" s="61" t="s">
        <v>7743</v>
      </c>
      <c r="M95" s="475">
        <v>45751</v>
      </c>
      <c r="N95" s="475">
        <v>45754</v>
      </c>
      <c r="O95" s="61"/>
      <c r="P95" s="475">
        <v>45755</v>
      </c>
      <c r="Q95" s="475">
        <v>45755</v>
      </c>
      <c r="R95" s="61">
        <f t="shared" si="4"/>
        <v>1</v>
      </c>
      <c r="S95" s="61" t="str">
        <f t="shared" si="5"/>
        <v/>
      </c>
      <c r="T95" s="61">
        <f t="shared" si="7"/>
        <v>1</v>
      </c>
      <c r="U95" s="61">
        <f t="shared" si="6"/>
        <v>1</v>
      </c>
      <c r="V95" s="61" t="s">
        <v>150</v>
      </c>
      <c r="W95" s="61" t="s">
        <v>4</v>
      </c>
      <c r="X95" s="61" t="s">
        <v>50</v>
      </c>
      <c r="Y95" s="61" t="s">
        <v>7744</v>
      </c>
      <c r="Z95" s="61" t="s">
        <v>7745</v>
      </c>
      <c r="AA95" s="61" t="s">
        <v>7746</v>
      </c>
      <c r="AB95" s="61"/>
    </row>
    <row r="96" spans="1:28" s="2" customFormat="1" ht="15">
      <c r="A96" s="61" t="s">
        <v>773</v>
      </c>
      <c r="B96" s="61" t="s">
        <v>983</v>
      </c>
      <c r="C96" s="61" t="s">
        <v>3537</v>
      </c>
      <c r="D96" s="61" t="s">
        <v>159</v>
      </c>
      <c r="E96" s="61">
        <v>779</v>
      </c>
      <c r="F96" s="61">
        <v>849</v>
      </c>
      <c r="G96" s="61">
        <v>2025</v>
      </c>
      <c r="H96" s="61" t="s">
        <v>3127</v>
      </c>
      <c r="I96" s="61" t="s">
        <v>14</v>
      </c>
      <c r="J96" s="61"/>
      <c r="K96" s="61" t="s">
        <v>163</v>
      </c>
      <c r="L96" s="61" t="s">
        <v>7747</v>
      </c>
      <c r="M96" s="475">
        <v>45870</v>
      </c>
      <c r="N96" s="475">
        <v>45873</v>
      </c>
      <c r="O96" s="61"/>
      <c r="P96" s="475">
        <v>45876</v>
      </c>
      <c r="Q96" s="475">
        <v>45876</v>
      </c>
      <c r="R96" s="61">
        <f t="shared" si="4"/>
        <v>1</v>
      </c>
      <c r="S96" s="61" t="str">
        <f t="shared" si="5"/>
        <v/>
      </c>
      <c r="T96" s="61">
        <f t="shared" si="7"/>
        <v>3</v>
      </c>
      <c r="U96" s="61">
        <f t="shared" si="6"/>
        <v>1</v>
      </c>
      <c r="V96" s="61" t="s">
        <v>150</v>
      </c>
      <c r="W96" s="61" t="s">
        <v>4</v>
      </c>
      <c r="X96" s="61" t="s">
        <v>50</v>
      </c>
      <c r="Y96" s="61" t="s">
        <v>7748</v>
      </c>
      <c r="Z96" s="61" t="s">
        <v>7749</v>
      </c>
      <c r="AA96" s="61" t="s">
        <v>7746</v>
      </c>
      <c r="AB96" s="61"/>
    </row>
    <row r="97" spans="1:28" s="2" customFormat="1" ht="15">
      <c r="A97" s="61" t="s">
        <v>773</v>
      </c>
      <c r="B97" s="61" t="s">
        <v>983</v>
      </c>
      <c r="C97" s="61" t="s">
        <v>3538</v>
      </c>
      <c r="D97" s="61" t="s">
        <v>159</v>
      </c>
      <c r="E97" s="61">
        <v>676</v>
      </c>
      <c r="F97" s="61">
        <v>766</v>
      </c>
      <c r="G97" s="61">
        <v>2025</v>
      </c>
      <c r="H97" s="61" t="s">
        <v>3126</v>
      </c>
      <c r="I97" s="61" t="s">
        <v>14</v>
      </c>
      <c r="J97" s="61"/>
      <c r="K97" s="61" t="s">
        <v>163</v>
      </c>
      <c r="L97" s="61" t="s">
        <v>7750</v>
      </c>
      <c r="M97" s="475">
        <v>45876</v>
      </c>
      <c r="N97" s="475">
        <v>45880</v>
      </c>
      <c r="O97" s="61"/>
      <c r="P97" s="475">
        <v>45882</v>
      </c>
      <c r="Q97" s="475">
        <v>45882</v>
      </c>
      <c r="R97" s="61">
        <f t="shared" si="4"/>
        <v>2</v>
      </c>
      <c r="S97" s="61" t="str">
        <f t="shared" si="5"/>
        <v/>
      </c>
      <c r="T97" s="61">
        <f t="shared" si="7"/>
        <v>2</v>
      </c>
      <c r="U97" s="61">
        <f t="shared" si="6"/>
        <v>1</v>
      </c>
      <c r="V97" s="61" t="s">
        <v>150</v>
      </c>
      <c r="W97" s="61" t="s">
        <v>4</v>
      </c>
      <c r="X97" s="61" t="s">
        <v>50</v>
      </c>
      <c r="Y97" s="61" t="s">
        <v>7751</v>
      </c>
      <c r="Z97" s="61" t="s">
        <v>7752</v>
      </c>
      <c r="AA97" s="61" t="s">
        <v>7746</v>
      </c>
      <c r="AB97" s="61"/>
    </row>
    <row r="98" spans="1:28" s="2" customFormat="1" ht="15">
      <c r="A98" s="61" t="s">
        <v>773</v>
      </c>
      <c r="B98" s="61" t="s">
        <v>983</v>
      </c>
      <c r="C98" s="61" t="s">
        <v>984</v>
      </c>
      <c r="D98" s="61" t="s">
        <v>159</v>
      </c>
      <c r="E98" s="61">
        <v>496</v>
      </c>
      <c r="F98" s="61">
        <v>603</v>
      </c>
      <c r="G98" s="61">
        <v>2025</v>
      </c>
      <c r="H98" s="61" t="s">
        <v>3127</v>
      </c>
      <c r="I98" s="61" t="s">
        <v>14</v>
      </c>
      <c r="J98" s="61"/>
      <c r="K98" s="61" t="s">
        <v>163</v>
      </c>
      <c r="L98" s="61" t="s">
        <v>7753</v>
      </c>
      <c r="M98" s="475">
        <v>45902</v>
      </c>
      <c r="N98" s="475">
        <v>45915</v>
      </c>
      <c r="O98" s="61"/>
      <c r="P98" s="475">
        <v>45916</v>
      </c>
      <c r="Q98" s="475">
        <v>45917</v>
      </c>
      <c r="R98" s="61">
        <f t="shared" si="4"/>
        <v>9</v>
      </c>
      <c r="S98" s="61" t="str">
        <f t="shared" si="5"/>
        <v/>
      </c>
      <c r="T98" s="61">
        <f t="shared" si="7"/>
        <v>1</v>
      </c>
      <c r="U98" s="61">
        <f t="shared" si="6"/>
        <v>1</v>
      </c>
      <c r="V98" s="61" t="s">
        <v>150</v>
      </c>
      <c r="W98" s="61" t="s">
        <v>1078</v>
      </c>
      <c r="X98" s="61" t="s">
        <v>50</v>
      </c>
      <c r="Y98" s="61" t="s">
        <v>7754</v>
      </c>
      <c r="Z98" s="61" t="s">
        <v>7755</v>
      </c>
      <c r="AA98" s="61" t="s">
        <v>7746</v>
      </c>
      <c r="AB98" s="61"/>
    </row>
    <row r="99" spans="1:28" s="2" customFormat="1" ht="15">
      <c r="A99" s="61" t="s">
        <v>773</v>
      </c>
      <c r="B99" s="61" t="s">
        <v>983</v>
      </c>
      <c r="C99" s="61" t="s">
        <v>3403</v>
      </c>
      <c r="D99" s="61" t="s">
        <v>159</v>
      </c>
      <c r="E99" s="61">
        <v>1356</v>
      </c>
      <c r="F99" s="61">
        <v>1327</v>
      </c>
      <c r="G99" s="61">
        <v>2025</v>
      </c>
      <c r="H99" s="61" t="s">
        <v>3532</v>
      </c>
      <c r="I99" s="61" t="s">
        <v>14</v>
      </c>
      <c r="J99" s="61"/>
      <c r="K99" s="61" t="s">
        <v>163</v>
      </c>
      <c r="L99" s="61" t="s">
        <v>7756</v>
      </c>
      <c r="M99" s="475">
        <v>45790</v>
      </c>
      <c r="N99" s="475">
        <v>45796</v>
      </c>
      <c r="O99" s="61"/>
      <c r="P99" s="475">
        <v>45797</v>
      </c>
      <c r="Q99" s="475">
        <v>45797</v>
      </c>
      <c r="R99" s="61">
        <f t="shared" si="4"/>
        <v>4</v>
      </c>
      <c r="S99" s="61" t="str">
        <f t="shared" si="5"/>
        <v/>
      </c>
      <c r="T99" s="61">
        <f t="shared" si="7"/>
        <v>1</v>
      </c>
      <c r="U99" s="61">
        <f t="shared" si="6"/>
        <v>1</v>
      </c>
      <c r="V99" s="61" t="s">
        <v>150</v>
      </c>
      <c r="W99" s="61" t="s">
        <v>4</v>
      </c>
      <c r="X99" s="61" t="s">
        <v>50</v>
      </c>
      <c r="Y99" s="61">
        <v>15.79448</v>
      </c>
      <c r="Z99" s="61">
        <v>121.472219</v>
      </c>
      <c r="AA99" s="61" t="s">
        <v>7746</v>
      </c>
      <c r="AB99" s="61"/>
    </row>
    <row r="100" spans="1:28" s="2" customFormat="1" ht="15">
      <c r="A100" s="61" t="s">
        <v>773</v>
      </c>
      <c r="B100" s="61" t="s">
        <v>983</v>
      </c>
      <c r="C100" s="61" t="s">
        <v>3407</v>
      </c>
      <c r="D100" s="61" t="s">
        <v>159</v>
      </c>
      <c r="E100" s="61">
        <v>1930</v>
      </c>
      <c r="F100" s="61">
        <v>2317</v>
      </c>
      <c r="G100" s="61">
        <v>2025</v>
      </c>
      <c r="H100" s="61" t="s">
        <v>3689</v>
      </c>
      <c r="I100" s="61" t="s">
        <v>14</v>
      </c>
      <c r="J100" s="61"/>
      <c r="K100" s="61" t="s">
        <v>163</v>
      </c>
      <c r="L100" s="61" t="s">
        <v>7757</v>
      </c>
      <c r="M100" s="475">
        <v>45825</v>
      </c>
      <c r="N100" s="475">
        <v>45825</v>
      </c>
      <c r="O100" s="61"/>
      <c r="P100" s="475">
        <v>45826</v>
      </c>
      <c r="Q100" s="475">
        <v>45826</v>
      </c>
      <c r="R100" s="61">
        <f t="shared" si="4"/>
        <v>1</v>
      </c>
      <c r="S100" s="61" t="str">
        <f t="shared" si="5"/>
        <v/>
      </c>
      <c r="T100" s="61">
        <f t="shared" si="7"/>
        <v>1</v>
      </c>
      <c r="U100" s="61">
        <f t="shared" si="6"/>
        <v>1</v>
      </c>
      <c r="V100" s="61" t="s">
        <v>150</v>
      </c>
      <c r="W100" s="61" t="s">
        <v>4</v>
      </c>
      <c r="X100" s="61" t="s">
        <v>50</v>
      </c>
      <c r="Y100" s="61" t="s">
        <v>7758</v>
      </c>
      <c r="Z100" s="61" t="s">
        <v>7759</v>
      </c>
      <c r="AA100" s="61" t="s">
        <v>7746</v>
      </c>
      <c r="AB100" s="61"/>
    </row>
    <row r="101" spans="1:28" s="2" customFormat="1" ht="15">
      <c r="A101" s="61" t="s">
        <v>773</v>
      </c>
      <c r="B101" s="61" t="s">
        <v>983</v>
      </c>
      <c r="C101" s="61" t="s">
        <v>3409</v>
      </c>
      <c r="D101" s="61" t="s">
        <v>159</v>
      </c>
      <c r="E101" s="61">
        <v>894</v>
      </c>
      <c r="F101" s="61">
        <v>1052</v>
      </c>
      <c r="G101" s="61">
        <v>2025</v>
      </c>
      <c r="H101" s="61" t="s">
        <v>3125</v>
      </c>
      <c r="I101" s="61" t="s">
        <v>14</v>
      </c>
      <c r="J101" s="61"/>
      <c r="K101" s="61" t="s">
        <v>163</v>
      </c>
      <c r="L101" s="61" t="s">
        <v>7760</v>
      </c>
      <c r="M101" s="475">
        <v>45841</v>
      </c>
      <c r="N101" s="475">
        <v>45845</v>
      </c>
      <c r="O101" s="61"/>
      <c r="P101" s="475">
        <v>45847</v>
      </c>
      <c r="Q101" s="475">
        <v>45847</v>
      </c>
      <c r="R101" s="61">
        <f t="shared" si="4"/>
        <v>2</v>
      </c>
      <c r="S101" s="61" t="str">
        <f t="shared" si="5"/>
        <v/>
      </c>
      <c r="T101" s="61">
        <f t="shared" si="7"/>
        <v>2</v>
      </c>
      <c r="U101" s="61">
        <f t="shared" si="6"/>
        <v>1</v>
      </c>
      <c r="V101" s="61" t="s">
        <v>150</v>
      </c>
      <c r="W101" s="61" t="s">
        <v>1078</v>
      </c>
      <c r="X101" s="61" t="s">
        <v>50</v>
      </c>
      <c r="Y101" s="61" t="s">
        <v>7761</v>
      </c>
      <c r="Z101" s="61" t="s">
        <v>7762</v>
      </c>
      <c r="AA101" s="61" t="s">
        <v>7746</v>
      </c>
      <c r="AB101" s="61"/>
    </row>
    <row r="102" spans="1:28" s="2" customFormat="1" ht="15">
      <c r="A102" s="61" t="s">
        <v>773</v>
      </c>
      <c r="B102" s="61" t="s">
        <v>983</v>
      </c>
      <c r="C102" s="61" t="s">
        <v>3410</v>
      </c>
      <c r="D102" s="61" t="s">
        <v>159</v>
      </c>
      <c r="E102" s="61">
        <v>2458</v>
      </c>
      <c r="F102" s="61">
        <v>2535</v>
      </c>
      <c r="G102" s="61">
        <v>2025</v>
      </c>
      <c r="H102" s="61" t="s">
        <v>3689</v>
      </c>
      <c r="I102" s="61" t="s">
        <v>14</v>
      </c>
      <c r="J102" s="61"/>
      <c r="K102" s="61" t="s">
        <v>163</v>
      </c>
      <c r="L102" s="61" t="s">
        <v>7763</v>
      </c>
      <c r="M102" s="475">
        <v>45825</v>
      </c>
      <c r="N102" s="475">
        <v>45825</v>
      </c>
      <c r="O102" s="61"/>
      <c r="P102" s="475">
        <v>45825</v>
      </c>
      <c r="Q102" s="475">
        <v>45826</v>
      </c>
      <c r="R102" s="61">
        <f t="shared" si="4"/>
        <v>1</v>
      </c>
      <c r="S102" s="61" t="str">
        <f t="shared" si="5"/>
        <v/>
      </c>
      <c r="T102" s="61">
        <f t="shared" si="7"/>
        <v>1</v>
      </c>
      <c r="U102" s="61">
        <f t="shared" si="6"/>
        <v>1</v>
      </c>
      <c r="V102" s="61" t="s">
        <v>150</v>
      </c>
      <c r="W102" s="61" t="s">
        <v>4</v>
      </c>
      <c r="X102" s="61" t="s">
        <v>50</v>
      </c>
      <c r="Y102" s="61" t="s">
        <v>7764</v>
      </c>
      <c r="Z102" s="61" t="s">
        <v>7765</v>
      </c>
      <c r="AA102" s="61" t="s">
        <v>7746</v>
      </c>
      <c r="AB102" s="61"/>
    </row>
    <row r="103" spans="1:28" s="2" customFormat="1" ht="15">
      <c r="A103" s="61" t="s">
        <v>773</v>
      </c>
      <c r="B103" s="61" t="s">
        <v>983</v>
      </c>
      <c r="C103" s="61" t="s">
        <v>3541</v>
      </c>
      <c r="D103" s="61" t="s">
        <v>159</v>
      </c>
      <c r="E103" s="61">
        <v>642</v>
      </c>
      <c r="F103" s="61">
        <v>683</v>
      </c>
      <c r="G103" s="61">
        <v>2025</v>
      </c>
      <c r="H103" s="61" t="s">
        <v>3532</v>
      </c>
      <c r="I103" s="61" t="s">
        <v>14</v>
      </c>
      <c r="J103" s="61"/>
      <c r="K103" s="61" t="s">
        <v>163</v>
      </c>
      <c r="L103" s="61" t="s">
        <v>7766</v>
      </c>
      <c r="M103" s="475">
        <v>45784</v>
      </c>
      <c r="N103" s="475">
        <v>45789</v>
      </c>
      <c r="O103" s="61"/>
      <c r="P103" s="475">
        <v>45791</v>
      </c>
      <c r="Q103" s="475">
        <v>45791</v>
      </c>
      <c r="R103" s="61">
        <f t="shared" si="4"/>
        <v>3</v>
      </c>
      <c r="S103" s="61" t="str">
        <f t="shared" si="5"/>
        <v/>
      </c>
      <c r="T103" s="61">
        <f t="shared" si="7"/>
        <v>2</v>
      </c>
      <c r="U103" s="61">
        <f t="shared" si="6"/>
        <v>1</v>
      </c>
      <c r="V103" s="61" t="s">
        <v>150</v>
      </c>
      <c r="W103" s="61" t="s">
        <v>4</v>
      </c>
      <c r="X103" s="61" t="s">
        <v>50</v>
      </c>
      <c r="Y103" s="61" t="s">
        <v>7767</v>
      </c>
      <c r="Z103" s="61" t="s">
        <v>7768</v>
      </c>
      <c r="AA103" s="61" t="s">
        <v>7746</v>
      </c>
      <c r="AB103" s="61"/>
    </row>
    <row r="104" spans="1:28" s="2" customFormat="1" ht="15">
      <c r="A104" s="61" t="s">
        <v>773</v>
      </c>
      <c r="B104" s="61" t="s">
        <v>983</v>
      </c>
      <c r="C104" s="61" t="s">
        <v>3542</v>
      </c>
      <c r="D104" s="61" t="s">
        <v>159</v>
      </c>
      <c r="E104" s="61">
        <v>1425</v>
      </c>
      <c r="F104" s="61">
        <v>1418</v>
      </c>
      <c r="G104" s="61">
        <v>2025</v>
      </c>
      <c r="H104" s="61" t="s">
        <v>3127</v>
      </c>
      <c r="I104" s="61" t="s">
        <v>14</v>
      </c>
      <c r="J104" s="61"/>
      <c r="K104" s="61" t="s">
        <v>163</v>
      </c>
      <c r="L104" s="61" t="s">
        <v>7769</v>
      </c>
      <c r="M104" s="475">
        <v>45902</v>
      </c>
      <c r="N104" s="475">
        <v>45915</v>
      </c>
      <c r="O104" s="61"/>
      <c r="P104" s="475">
        <v>45916</v>
      </c>
      <c r="Q104" s="475">
        <v>45917</v>
      </c>
      <c r="R104" s="61">
        <f t="shared" si="4"/>
        <v>9</v>
      </c>
      <c r="S104" s="61" t="str">
        <f t="shared" si="5"/>
        <v/>
      </c>
      <c r="T104" s="61">
        <f t="shared" si="7"/>
        <v>1</v>
      </c>
      <c r="U104" s="61">
        <f t="shared" si="6"/>
        <v>1</v>
      </c>
      <c r="V104" s="61" t="s">
        <v>150</v>
      </c>
      <c r="W104" s="61" t="s">
        <v>4</v>
      </c>
      <c r="X104" s="61" t="s">
        <v>50</v>
      </c>
      <c r="Y104" s="61" t="s">
        <v>7770</v>
      </c>
      <c r="Z104" s="61" t="s">
        <v>7770</v>
      </c>
      <c r="AA104" s="61" t="s">
        <v>7746</v>
      </c>
      <c r="AB104" s="61"/>
    </row>
    <row r="105" spans="1:28" s="2" customFormat="1" ht="15">
      <c r="A105" s="61" t="s">
        <v>773</v>
      </c>
      <c r="B105" s="61" t="s">
        <v>983</v>
      </c>
      <c r="C105" s="61" t="s">
        <v>3543</v>
      </c>
      <c r="D105" s="61" t="s">
        <v>159</v>
      </c>
      <c r="E105" s="61">
        <v>1368</v>
      </c>
      <c r="F105" s="61">
        <v>1538</v>
      </c>
      <c r="G105" s="61">
        <v>2025</v>
      </c>
      <c r="H105" s="61" t="s">
        <v>3125</v>
      </c>
      <c r="I105" s="61" t="s">
        <v>14</v>
      </c>
      <c r="J105" s="61"/>
      <c r="K105" s="61" t="s">
        <v>163</v>
      </c>
      <c r="L105" s="61" t="s">
        <v>7771</v>
      </c>
      <c r="M105" s="475">
        <v>45840</v>
      </c>
      <c r="N105" s="475">
        <v>45845</v>
      </c>
      <c r="O105" s="61"/>
      <c r="P105" s="475">
        <v>45847</v>
      </c>
      <c r="Q105" s="475">
        <v>45847</v>
      </c>
      <c r="R105" s="61">
        <f t="shared" si="4"/>
        <v>3</v>
      </c>
      <c r="S105" s="61" t="str">
        <f t="shared" si="5"/>
        <v/>
      </c>
      <c r="T105" s="61">
        <f t="shared" si="7"/>
        <v>2</v>
      </c>
      <c r="U105" s="61">
        <f t="shared" si="6"/>
        <v>1</v>
      </c>
      <c r="V105" s="61" t="s">
        <v>150</v>
      </c>
      <c r="W105" s="61" t="s">
        <v>4</v>
      </c>
      <c r="X105" s="61" t="s">
        <v>50</v>
      </c>
      <c r="Y105" s="61">
        <v>15.800212999999999</v>
      </c>
      <c r="Z105" s="61">
        <v>121.430008</v>
      </c>
      <c r="AA105" s="61" t="s">
        <v>7746</v>
      </c>
      <c r="AB105" s="61"/>
    </row>
    <row r="106" spans="1:28" s="2" customFormat="1" ht="15">
      <c r="A106" s="61" t="s">
        <v>773</v>
      </c>
      <c r="B106" s="61" t="s">
        <v>983</v>
      </c>
      <c r="C106" s="61" t="s">
        <v>3544</v>
      </c>
      <c r="D106" s="61" t="s">
        <v>159</v>
      </c>
      <c r="E106" s="61">
        <v>676</v>
      </c>
      <c r="F106" s="61">
        <v>679</v>
      </c>
      <c r="G106" s="61">
        <v>2025</v>
      </c>
      <c r="H106" s="61" t="s">
        <v>3127</v>
      </c>
      <c r="I106" s="61" t="s">
        <v>14</v>
      </c>
      <c r="J106" s="61"/>
      <c r="K106" s="61" t="s">
        <v>163</v>
      </c>
      <c r="L106" s="61" t="s">
        <v>7772</v>
      </c>
      <c r="M106" s="475">
        <v>45904</v>
      </c>
      <c r="N106" s="475">
        <v>45915</v>
      </c>
      <c r="O106" s="61"/>
      <c r="P106" s="475">
        <v>45916</v>
      </c>
      <c r="Q106" s="475">
        <v>45917</v>
      </c>
      <c r="R106" s="61">
        <f t="shared" si="4"/>
        <v>7</v>
      </c>
      <c r="S106" s="61" t="str">
        <f t="shared" si="5"/>
        <v/>
      </c>
      <c r="T106" s="61">
        <f t="shared" si="7"/>
        <v>1</v>
      </c>
      <c r="U106" s="61">
        <f t="shared" si="6"/>
        <v>1</v>
      </c>
      <c r="V106" s="61" t="s">
        <v>150</v>
      </c>
      <c r="W106" s="61" t="s">
        <v>4</v>
      </c>
      <c r="X106" s="61" t="s">
        <v>50</v>
      </c>
      <c r="Y106" s="61" t="s">
        <v>7773</v>
      </c>
      <c r="Z106" s="61" t="s">
        <v>7773</v>
      </c>
      <c r="AA106" s="61" t="s">
        <v>7746</v>
      </c>
      <c r="AB106" s="61"/>
    </row>
    <row r="107" spans="1:28" s="2" customFormat="1" ht="15">
      <c r="A107" s="61" t="s">
        <v>773</v>
      </c>
      <c r="B107" s="61" t="s">
        <v>983</v>
      </c>
      <c r="C107" s="61" t="s">
        <v>3545</v>
      </c>
      <c r="D107" s="61" t="s">
        <v>159</v>
      </c>
      <c r="E107" s="61">
        <v>534</v>
      </c>
      <c r="F107" s="61">
        <v>604</v>
      </c>
      <c r="G107" s="61">
        <v>2025</v>
      </c>
      <c r="H107" s="61" t="s">
        <v>3127</v>
      </c>
      <c r="I107" s="61" t="s">
        <v>14</v>
      </c>
      <c r="J107" s="61"/>
      <c r="K107" s="61" t="s">
        <v>163</v>
      </c>
      <c r="L107" s="61" t="s">
        <v>7774</v>
      </c>
      <c r="M107" s="475">
        <v>45904</v>
      </c>
      <c r="N107" s="475">
        <v>45915</v>
      </c>
      <c r="O107" s="61"/>
      <c r="P107" s="475">
        <v>45916</v>
      </c>
      <c r="Q107" s="475">
        <v>45917</v>
      </c>
      <c r="R107" s="61">
        <f t="shared" si="4"/>
        <v>7</v>
      </c>
      <c r="S107" s="61" t="str">
        <f t="shared" si="5"/>
        <v/>
      </c>
      <c r="T107" s="61">
        <f t="shared" si="7"/>
        <v>1</v>
      </c>
      <c r="U107" s="61">
        <f t="shared" si="6"/>
        <v>1</v>
      </c>
      <c r="V107" s="61" t="s">
        <v>150</v>
      </c>
      <c r="W107" s="61" t="s">
        <v>1078</v>
      </c>
      <c r="X107" s="61" t="s">
        <v>50</v>
      </c>
      <c r="Y107" s="61"/>
      <c r="Z107" s="61"/>
      <c r="AA107" s="61" t="s">
        <v>7746</v>
      </c>
      <c r="AB107" s="61"/>
    </row>
    <row r="108" spans="1:28" s="2" customFormat="1" ht="15">
      <c r="A108" s="61" t="s">
        <v>773</v>
      </c>
      <c r="B108" s="61" t="s">
        <v>983</v>
      </c>
      <c r="C108" s="61" t="s">
        <v>3546</v>
      </c>
      <c r="D108" s="61" t="s">
        <v>159</v>
      </c>
      <c r="E108" s="61">
        <v>1357</v>
      </c>
      <c r="F108" s="61">
        <v>1531</v>
      </c>
      <c r="G108" s="61">
        <v>2025</v>
      </c>
      <c r="H108" s="61" t="s">
        <v>3127</v>
      </c>
      <c r="I108" s="61" t="s">
        <v>14</v>
      </c>
      <c r="J108" s="61"/>
      <c r="K108" s="61" t="s">
        <v>163</v>
      </c>
      <c r="L108" s="61" t="s">
        <v>7775</v>
      </c>
      <c r="M108" s="475">
        <v>45909</v>
      </c>
      <c r="N108" s="475">
        <v>45915</v>
      </c>
      <c r="O108" s="61"/>
      <c r="P108" s="475">
        <v>45916</v>
      </c>
      <c r="Q108" s="475">
        <v>45917</v>
      </c>
      <c r="R108" s="61">
        <f t="shared" si="4"/>
        <v>4</v>
      </c>
      <c r="S108" s="61" t="str">
        <f t="shared" si="5"/>
        <v/>
      </c>
      <c r="T108" s="61">
        <f t="shared" si="7"/>
        <v>1</v>
      </c>
      <c r="U108" s="61">
        <f t="shared" si="6"/>
        <v>1</v>
      </c>
      <c r="V108" s="61" t="s">
        <v>150</v>
      </c>
      <c r="W108" s="61" t="s">
        <v>1078</v>
      </c>
      <c r="X108" s="61" t="s">
        <v>50</v>
      </c>
      <c r="Y108" s="61" t="s">
        <v>7776</v>
      </c>
      <c r="Z108" s="61" t="s">
        <v>7777</v>
      </c>
      <c r="AA108" s="61" t="s">
        <v>7746</v>
      </c>
      <c r="AB108" s="61"/>
    </row>
    <row r="109" spans="1:28" s="2" customFormat="1" ht="15">
      <c r="A109" s="61" t="s">
        <v>773</v>
      </c>
      <c r="B109" s="61" t="s">
        <v>983</v>
      </c>
      <c r="C109" s="61" t="s">
        <v>3547</v>
      </c>
      <c r="D109" s="61" t="s">
        <v>159</v>
      </c>
      <c r="E109" s="61">
        <v>1385</v>
      </c>
      <c r="F109" s="61">
        <v>1479</v>
      </c>
      <c r="G109" s="61">
        <v>2025</v>
      </c>
      <c r="H109" s="61" t="s">
        <v>3416</v>
      </c>
      <c r="I109" s="61" t="s">
        <v>14</v>
      </c>
      <c r="J109" s="61"/>
      <c r="K109" s="61" t="s">
        <v>163</v>
      </c>
      <c r="L109" s="61" t="s">
        <v>7778</v>
      </c>
      <c r="M109" s="475">
        <v>45722</v>
      </c>
      <c r="N109" s="475">
        <v>45726</v>
      </c>
      <c r="O109" s="475"/>
      <c r="P109" s="475">
        <v>45728</v>
      </c>
      <c r="Q109" s="475">
        <v>45728</v>
      </c>
      <c r="R109" s="61">
        <f t="shared" si="4"/>
        <v>2</v>
      </c>
      <c r="S109" s="61" t="str">
        <f t="shared" si="5"/>
        <v/>
      </c>
      <c r="T109" s="61">
        <f t="shared" si="7"/>
        <v>2</v>
      </c>
      <c r="U109" s="61">
        <f t="shared" si="6"/>
        <v>1</v>
      </c>
      <c r="V109" s="61" t="s">
        <v>150</v>
      </c>
      <c r="W109" s="61" t="s">
        <v>1078</v>
      </c>
      <c r="X109" s="61" t="s">
        <v>50</v>
      </c>
      <c r="Y109" s="61">
        <v>15.76394</v>
      </c>
      <c r="Z109" s="61">
        <v>121.460443</v>
      </c>
      <c r="AA109" s="61" t="s">
        <v>7746</v>
      </c>
      <c r="AB109" s="61"/>
    </row>
    <row r="110" spans="1:28" s="2" customFormat="1" ht="15">
      <c r="A110" s="61" t="s">
        <v>773</v>
      </c>
      <c r="B110" s="61" t="s">
        <v>983</v>
      </c>
      <c r="C110" s="61" t="s">
        <v>3548</v>
      </c>
      <c r="D110" s="61" t="s">
        <v>159</v>
      </c>
      <c r="E110" s="61">
        <v>472</v>
      </c>
      <c r="F110" s="61">
        <v>486</v>
      </c>
      <c r="G110" s="61">
        <v>2025</v>
      </c>
      <c r="H110" s="61" t="s">
        <v>3128</v>
      </c>
      <c r="I110" s="61" t="s">
        <v>14</v>
      </c>
      <c r="J110" s="61"/>
      <c r="K110" s="61" t="s">
        <v>163</v>
      </c>
      <c r="L110" s="61" t="s">
        <v>7779</v>
      </c>
      <c r="M110" s="475">
        <v>45938</v>
      </c>
      <c r="N110" s="475">
        <v>45943</v>
      </c>
      <c r="O110" s="61"/>
      <c r="P110" s="475">
        <v>45944</v>
      </c>
      <c r="Q110" s="475">
        <v>45826</v>
      </c>
      <c r="R110" s="61">
        <f t="shared" si="4"/>
        <v>3</v>
      </c>
      <c r="S110" s="61" t="str">
        <f t="shared" si="5"/>
        <v/>
      </c>
      <c r="T110" s="61">
        <f t="shared" si="7"/>
        <v>1</v>
      </c>
      <c r="U110" s="61">
        <f t="shared" si="6"/>
        <v>1</v>
      </c>
      <c r="V110" s="61" t="s">
        <v>150</v>
      </c>
      <c r="W110" s="61" t="s">
        <v>1078</v>
      </c>
      <c r="X110" s="61" t="s">
        <v>50</v>
      </c>
      <c r="Y110" s="61">
        <v>15.764393</v>
      </c>
      <c r="Z110" s="61">
        <v>121.317342</v>
      </c>
      <c r="AA110" s="61" t="s">
        <v>7746</v>
      </c>
      <c r="AB110" s="61"/>
    </row>
    <row r="111" spans="1:28" s="2" customFormat="1" ht="15">
      <c r="A111" s="61" t="s">
        <v>773</v>
      </c>
      <c r="B111" s="61" t="s">
        <v>983</v>
      </c>
      <c r="C111" s="61" t="s">
        <v>3549</v>
      </c>
      <c r="D111" s="61" t="s">
        <v>159</v>
      </c>
      <c r="E111" s="61">
        <v>879</v>
      </c>
      <c r="F111" s="61">
        <v>989</v>
      </c>
      <c r="G111" s="61">
        <v>2025</v>
      </c>
      <c r="H111" s="61" t="s">
        <v>3458</v>
      </c>
      <c r="I111" s="61" t="s">
        <v>14</v>
      </c>
      <c r="J111" s="61"/>
      <c r="K111" s="61" t="s">
        <v>163</v>
      </c>
      <c r="L111" s="61" t="s">
        <v>7780</v>
      </c>
      <c r="M111" s="475">
        <v>45700</v>
      </c>
      <c r="N111" s="475">
        <v>45705</v>
      </c>
      <c r="O111" s="61"/>
      <c r="P111" s="475">
        <v>45705</v>
      </c>
      <c r="Q111" s="475">
        <v>45705</v>
      </c>
      <c r="R111" s="61">
        <f t="shared" si="4"/>
        <v>3</v>
      </c>
      <c r="S111" s="61" t="str">
        <f t="shared" si="5"/>
        <v/>
      </c>
      <c r="T111" s="61">
        <f t="shared" si="7"/>
        <v>1</v>
      </c>
      <c r="U111" s="61">
        <f t="shared" si="6"/>
        <v>1</v>
      </c>
      <c r="V111" s="61" t="s">
        <v>150</v>
      </c>
      <c r="W111" s="61" t="s">
        <v>4</v>
      </c>
      <c r="X111" s="61" t="s">
        <v>50</v>
      </c>
      <c r="Y111" s="61"/>
      <c r="Z111" s="61"/>
      <c r="AA111" s="61" t="s">
        <v>7746</v>
      </c>
      <c r="AB111" s="61"/>
    </row>
    <row r="112" spans="1:28" s="2" customFormat="1" ht="15">
      <c r="A112" s="61" t="s">
        <v>773</v>
      </c>
      <c r="B112" s="61" t="s">
        <v>983</v>
      </c>
      <c r="C112" s="61" t="s">
        <v>3550</v>
      </c>
      <c r="D112" s="61" t="s">
        <v>159</v>
      </c>
      <c r="E112" s="61">
        <v>1528</v>
      </c>
      <c r="F112" s="61">
        <v>1576</v>
      </c>
      <c r="G112" s="61">
        <v>2025</v>
      </c>
      <c r="H112" s="61" t="s">
        <v>3127</v>
      </c>
      <c r="I112" s="61" t="s">
        <v>14</v>
      </c>
      <c r="J112" s="61"/>
      <c r="K112" s="61" t="s">
        <v>163</v>
      </c>
      <c r="L112" s="61" t="s">
        <v>7781</v>
      </c>
      <c r="M112" s="475">
        <v>45909</v>
      </c>
      <c r="N112" s="475">
        <v>45915</v>
      </c>
      <c r="O112" s="61"/>
      <c r="P112" s="475">
        <v>45916</v>
      </c>
      <c r="Q112" s="475">
        <v>45917</v>
      </c>
      <c r="R112" s="61">
        <f t="shared" si="4"/>
        <v>4</v>
      </c>
      <c r="S112" s="61" t="str">
        <f t="shared" si="5"/>
        <v/>
      </c>
      <c r="T112" s="61">
        <f t="shared" si="7"/>
        <v>1</v>
      </c>
      <c r="U112" s="61">
        <f t="shared" si="6"/>
        <v>1</v>
      </c>
      <c r="V112" s="61" t="s">
        <v>150</v>
      </c>
      <c r="W112" s="61" t="s">
        <v>4</v>
      </c>
      <c r="X112" s="61" t="s">
        <v>50</v>
      </c>
      <c r="Y112" s="61" t="s">
        <v>7782</v>
      </c>
      <c r="Z112" s="61" t="s">
        <v>7783</v>
      </c>
      <c r="AA112" s="61" t="s">
        <v>7746</v>
      </c>
      <c r="AB112" s="61"/>
    </row>
    <row r="113" spans="1:28" s="2" customFormat="1" ht="15">
      <c r="A113" s="61" t="s">
        <v>773</v>
      </c>
      <c r="B113" s="61" t="s">
        <v>983</v>
      </c>
      <c r="C113" s="61" t="s">
        <v>3551</v>
      </c>
      <c r="D113" s="61" t="s">
        <v>159</v>
      </c>
      <c r="E113" s="61">
        <v>198</v>
      </c>
      <c r="F113" s="61">
        <v>229</v>
      </c>
      <c r="G113" s="61">
        <v>2025</v>
      </c>
      <c r="H113" s="61" t="s">
        <v>3126</v>
      </c>
      <c r="I113" s="61" t="s">
        <v>14</v>
      </c>
      <c r="J113" s="61"/>
      <c r="K113" s="61" t="s">
        <v>163</v>
      </c>
      <c r="L113" s="61" t="s">
        <v>7784</v>
      </c>
      <c r="M113" s="475">
        <v>45884</v>
      </c>
      <c r="N113" s="475">
        <v>45887</v>
      </c>
      <c r="O113" s="61"/>
      <c r="P113" s="475">
        <v>45887</v>
      </c>
      <c r="Q113" s="475">
        <v>45887</v>
      </c>
      <c r="R113" s="61">
        <f t="shared" si="4"/>
        <v>1</v>
      </c>
      <c r="S113" s="61" t="str">
        <f t="shared" si="5"/>
        <v/>
      </c>
      <c r="T113" s="61">
        <f t="shared" si="7"/>
        <v>1</v>
      </c>
      <c r="U113" s="61">
        <f t="shared" si="6"/>
        <v>1</v>
      </c>
      <c r="V113" s="61" t="s">
        <v>150</v>
      </c>
      <c r="W113" s="61" t="s">
        <v>1078</v>
      </c>
      <c r="X113" s="61" t="s">
        <v>50</v>
      </c>
      <c r="Y113" s="61" t="s">
        <v>7785</v>
      </c>
      <c r="Z113" s="61" t="s">
        <v>7786</v>
      </c>
      <c r="AA113" s="61" t="s">
        <v>7746</v>
      </c>
      <c r="AB113" s="61"/>
    </row>
    <row r="114" spans="1:28" s="2" customFormat="1" ht="15">
      <c r="A114" s="61" t="s">
        <v>773</v>
      </c>
      <c r="B114" s="61" t="s">
        <v>983</v>
      </c>
      <c r="C114" s="61" t="s">
        <v>3552</v>
      </c>
      <c r="D114" s="61" t="s">
        <v>159</v>
      </c>
      <c r="E114" s="61">
        <v>257</v>
      </c>
      <c r="F114" s="61">
        <v>252</v>
      </c>
      <c r="G114" s="61">
        <v>2025</v>
      </c>
      <c r="H114" s="61" t="s">
        <v>3129</v>
      </c>
      <c r="I114" s="61" t="s">
        <v>14</v>
      </c>
      <c r="J114" s="61"/>
      <c r="K114" s="61" t="s">
        <v>163</v>
      </c>
      <c r="L114" s="61" t="s">
        <v>7787</v>
      </c>
      <c r="M114" s="475">
        <v>45959</v>
      </c>
      <c r="N114" s="475">
        <v>45966</v>
      </c>
      <c r="O114" s="61"/>
      <c r="P114" s="475">
        <v>45968</v>
      </c>
      <c r="Q114" s="475">
        <v>45968</v>
      </c>
      <c r="R114" s="61">
        <f t="shared" si="4"/>
        <v>5</v>
      </c>
      <c r="S114" s="61" t="str">
        <f t="shared" si="5"/>
        <v/>
      </c>
      <c r="T114" s="61">
        <f t="shared" si="7"/>
        <v>2</v>
      </c>
      <c r="U114" s="61">
        <f t="shared" si="6"/>
        <v>1</v>
      </c>
      <c r="V114" s="61" t="s">
        <v>150</v>
      </c>
      <c r="W114" s="61" t="s">
        <v>4</v>
      </c>
      <c r="X114" s="61" t="s">
        <v>50</v>
      </c>
      <c r="Y114" s="61" t="s">
        <v>7788</v>
      </c>
      <c r="Z114" s="61" t="s">
        <v>7789</v>
      </c>
      <c r="AA114" s="61" t="s">
        <v>7746</v>
      </c>
      <c r="AB114" s="61"/>
    </row>
    <row r="115" spans="1:28" s="2" customFormat="1" ht="15">
      <c r="A115" s="61" t="s">
        <v>773</v>
      </c>
      <c r="B115" s="61" t="s">
        <v>983</v>
      </c>
      <c r="C115" s="61" t="s">
        <v>3553</v>
      </c>
      <c r="D115" s="61" t="s">
        <v>159</v>
      </c>
      <c r="E115" s="61">
        <v>1191</v>
      </c>
      <c r="F115" s="61">
        <v>1343</v>
      </c>
      <c r="G115" s="61">
        <v>2025</v>
      </c>
      <c r="H115" s="61" t="s">
        <v>3129</v>
      </c>
      <c r="I115" s="61" t="s">
        <v>14</v>
      </c>
      <c r="J115" s="61"/>
      <c r="K115" s="61" t="s">
        <v>163</v>
      </c>
      <c r="L115" s="61" t="s">
        <v>7790</v>
      </c>
      <c r="M115" s="475">
        <v>45932</v>
      </c>
      <c r="N115" s="475">
        <v>45936</v>
      </c>
      <c r="O115" s="61"/>
      <c r="P115" s="475">
        <v>45938</v>
      </c>
      <c r="Q115" s="475">
        <v>45940</v>
      </c>
      <c r="R115" s="61">
        <f t="shared" si="4"/>
        <v>2</v>
      </c>
      <c r="S115" s="61" t="str">
        <f t="shared" si="5"/>
        <v/>
      </c>
      <c r="T115" s="61">
        <f t="shared" si="7"/>
        <v>2</v>
      </c>
      <c r="U115" s="61">
        <f t="shared" si="6"/>
        <v>2</v>
      </c>
      <c r="V115" s="61" t="s">
        <v>150</v>
      </c>
      <c r="W115" s="61" t="s">
        <v>1078</v>
      </c>
      <c r="X115" s="61" t="s">
        <v>50</v>
      </c>
      <c r="Y115" s="61" t="s">
        <v>7791</v>
      </c>
      <c r="Z115" s="61" t="s">
        <v>7792</v>
      </c>
      <c r="AA115" s="61" t="s">
        <v>7746</v>
      </c>
      <c r="AB115" s="61"/>
    </row>
    <row r="116" spans="1:28" s="2" customFormat="1" ht="15">
      <c r="A116" s="61" t="s">
        <v>773</v>
      </c>
      <c r="B116" s="61" t="s">
        <v>983</v>
      </c>
      <c r="C116" s="61" t="s">
        <v>3554</v>
      </c>
      <c r="D116" s="61" t="s">
        <v>159</v>
      </c>
      <c r="E116" s="61">
        <v>1019</v>
      </c>
      <c r="F116" s="61">
        <v>1208</v>
      </c>
      <c r="G116" s="61">
        <v>2025</v>
      </c>
      <c r="H116" s="61" t="s">
        <v>3458</v>
      </c>
      <c r="I116" s="61" t="s">
        <v>14</v>
      </c>
      <c r="J116" s="61"/>
      <c r="K116" s="61" t="s">
        <v>163</v>
      </c>
      <c r="L116" s="61" t="s">
        <v>7793</v>
      </c>
      <c r="M116" s="475">
        <v>45700</v>
      </c>
      <c r="N116" s="475">
        <v>45705</v>
      </c>
      <c r="O116" s="61"/>
      <c r="P116" s="475">
        <v>45705</v>
      </c>
      <c r="Q116" s="475">
        <v>45705</v>
      </c>
      <c r="R116" s="61">
        <f t="shared" si="4"/>
        <v>3</v>
      </c>
      <c r="S116" s="61" t="str">
        <f t="shared" si="5"/>
        <v/>
      </c>
      <c r="T116" s="61">
        <f t="shared" si="7"/>
        <v>1</v>
      </c>
      <c r="U116" s="61">
        <f t="shared" si="6"/>
        <v>1</v>
      </c>
      <c r="V116" s="61" t="s">
        <v>150</v>
      </c>
      <c r="W116" s="61" t="s">
        <v>4</v>
      </c>
      <c r="X116" s="61" t="s">
        <v>50</v>
      </c>
      <c r="Y116" s="61"/>
      <c r="Z116" s="61"/>
      <c r="AA116" s="61" t="s">
        <v>7746</v>
      </c>
      <c r="AB116" s="61"/>
    </row>
    <row r="117" spans="1:28" s="2" customFormat="1" ht="15">
      <c r="A117" s="61" t="s">
        <v>773</v>
      </c>
      <c r="B117" s="61" t="s">
        <v>983</v>
      </c>
      <c r="C117" s="61" t="s">
        <v>3555</v>
      </c>
      <c r="D117" s="61" t="s">
        <v>159</v>
      </c>
      <c r="E117" s="61">
        <v>1353</v>
      </c>
      <c r="F117" s="61">
        <v>1440</v>
      </c>
      <c r="G117" s="61">
        <v>2025</v>
      </c>
      <c r="H117" s="61" t="s">
        <v>3416</v>
      </c>
      <c r="I117" s="61" t="s">
        <v>14</v>
      </c>
      <c r="J117" s="61"/>
      <c r="K117" s="61" t="s">
        <v>163</v>
      </c>
      <c r="L117" s="61" t="s">
        <v>7794</v>
      </c>
      <c r="M117" s="475">
        <v>45723</v>
      </c>
      <c r="N117" s="475">
        <v>45726</v>
      </c>
      <c r="O117" s="61"/>
      <c r="P117" s="475">
        <v>45728</v>
      </c>
      <c r="Q117" s="475">
        <v>45728</v>
      </c>
      <c r="R117" s="61">
        <f t="shared" si="4"/>
        <v>1</v>
      </c>
      <c r="S117" s="61" t="str">
        <f t="shared" si="5"/>
        <v/>
      </c>
      <c r="T117" s="61">
        <f t="shared" si="7"/>
        <v>2</v>
      </c>
      <c r="U117" s="61">
        <f t="shared" si="6"/>
        <v>1</v>
      </c>
      <c r="V117" s="61" t="s">
        <v>150</v>
      </c>
      <c r="W117" s="61" t="s">
        <v>1078</v>
      </c>
      <c r="X117" s="61" t="s">
        <v>50</v>
      </c>
      <c r="Y117" s="61">
        <v>15.806093000000001</v>
      </c>
      <c r="Z117" s="61">
        <v>121.4944</v>
      </c>
      <c r="AA117" s="61" t="s">
        <v>7746</v>
      </c>
      <c r="AB117" s="61"/>
    </row>
    <row r="118" spans="1:28" s="2" customFormat="1" ht="15">
      <c r="A118" s="61" t="s">
        <v>773</v>
      </c>
      <c r="B118" s="61" t="s">
        <v>983</v>
      </c>
      <c r="C118" s="61" t="s">
        <v>3556</v>
      </c>
      <c r="D118" s="61" t="s">
        <v>159</v>
      </c>
      <c r="E118" s="61">
        <v>857</v>
      </c>
      <c r="F118" s="61">
        <v>872</v>
      </c>
      <c r="G118" s="61">
        <v>2025</v>
      </c>
      <c r="H118" s="61" t="s">
        <v>3470</v>
      </c>
      <c r="I118" s="61" t="s">
        <v>14</v>
      </c>
      <c r="J118" s="61"/>
      <c r="K118" s="61" t="s">
        <v>163</v>
      </c>
      <c r="L118" s="61" t="s">
        <v>7795</v>
      </c>
      <c r="M118" s="475">
        <v>45758</v>
      </c>
      <c r="N118" s="475">
        <v>45759</v>
      </c>
      <c r="O118" s="61"/>
      <c r="P118" s="475">
        <v>45761</v>
      </c>
      <c r="Q118" s="475">
        <v>45761</v>
      </c>
      <c r="R118" s="61">
        <f t="shared" si="4"/>
        <v>1</v>
      </c>
      <c r="S118" s="61" t="str">
        <f t="shared" si="5"/>
        <v/>
      </c>
      <c r="T118" s="61">
        <f t="shared" si="7"/>
        <v>1</v>
      </c>
      <c r="U118" s="61">
        <f t="shared" si="6"/>
        <v>1</v>
      </c>
      <c r="V118" s="61" t="s">
        <v>150</v>
      </c>
      <c r="W118" s="61" t="s">
        <v>4</v>
      </c>
      <c r="X118" s="61" t="s">
        <v>62</v>
      </c>
      <c r="Y118" s="61">
        <v>15.794855</v>
      </c>
      <c r="Z118" s="61">
        <v>121.45365200000001</v>
      </c>
      <c r="AA118" s="61" t="s">
        <v>7746</v>
      </c>
      <c r="AB118" s="61"/>
    </row>
    <row r="119" spans="1:28" s="2" customFormat="1" ht="15">
      <c r="A119" s="61" t="s">
        <v>773</v>
      </c>
      <c r="B119" s="61" t="s">
        <v>983</v>
      </c>
      <c r="C119" s="61" t="s">
        <v>3557</v>
      </c>
      <c r="D119" s="61" t="s">
        <v>159</v>
      </c>
      <c r="E119" s="61">
        <v>784</v>
      </c>
      <c r="F119" s="61">
        <v>900</v>
      </c>
      <c r="G119" s="61">
        <v>2025</v>
      </c>
      <c r="H119" s="61" t="s">
        <v>3127</v>
      </c>
      <c r="I119" s="61" t="s">
        <v>14</v>
      </c>
      <c r="J119" s="61"/>
      <c r="K119" s="61" t="s">
        <v>163</v>
      </c>
      <c r="L119" s="61" t="s">
        <v>7796</v>
      </c>
      <c r="M119" s="475">
        <v>45910</v>
      </c>
      <c r="N119" s="475">
        <v>45915</v>
      </c>
      <c r="O119" s="61"/>
      <c r="P119" s="475">
        <v>45916</v>
      </c>
      <c r="Q119" s="475">
        <v>45917</v>
      </c>
      <c r="R119" s="61">
        <f t="shared" si="4"/>
        <v>3</v>
      </c>
      <c r="S119" s="61" t="str">
        <f t="shared" si="5"/>
        <v/>
      </c>
      <c r="T119" s="61">
        <f t="shared" si="7"/>
        <v>1</v>
      </c>
      <c r="U119" s="61">
        <f t="shared" si="6"/>
        <v>1</v>
      </c>
      <c r="V119" s="61" t="s">
        <v>150</v>
      </c>
      <c r="W119" s="61" t="s">
        <v>1078</v>
      </c>
      <c r="X119" s="61" t="s">
        <v>50</v>
      </c>
      <c r="Y119" s="61" t="s">
        <v>7797</v>
      </c>
      <c r="Z119" s="61" t="s">
        <v>7798</v>
      </c>
      <c r="AA119" s="61" t="s">
        <v>7746</v>
      </c>
      <c r="AB119" s="61"/>
    </row>
    <row r="120" spans="1:28" s="2" customFormat="1" ht="15">
      <c r="A120" s="61" t="s">
        <v>773</v>
      </c>
      <c r="B120" s="61" t="s">
        <v>983</v>
      </c>
      <c r="C120" s="61" t="s">
        <v>3558</v>
      </c>
      <c r="D120" s="61" t="s">
        <v>159</v>
      </c>
      <c r="E120" s="61">
        <v>1825</v>
      </c>
      <c r="F120" s="61">
        <v>2210</v>
      </c>
      <c r="G120" s="61">
        <v>2025</v>
      </c>
      <c r="H120" s="61" t="s">
        <v>3416</v>
      </c>
      <c r="I120" s="61" t="s">
        <v>14</v>
      </c>
      <c r="J120" s="61"/>
      <c r="K120" s="61" t="s">
        <v>163</v>
      </c>
      <c r="L120" s="475" t="s">
        <v>7799</v>
      </c>
      <c r="M120" s="475">
        <v>45723</v>
      </c>
      <c r="N120" s="475">
        <v>45726</v>
      </c>
      <c r="O120" s="61"/>
      <c r="P120" s="475">
        <v>45728</v>
      </c>
      <c r="Q120" s="475">
        <v>45728</v>
      </c>
      <c r="R120" s="61">
        <f t="shared" si="4"/>
        <v>1</v>
      </c>
      <c r="S120" s="61" t="str">
        <f t="shared" si="5"/>
        <v/>
      </c>
      <c r="T120" s="61">
        <f t="shared" si="7"/>
        <v>2</v>
      </c>
      <c r="U120" s="61">
        <f t="shared" si="6"/>
        <v>1</v>
      </c>
      <c r="V120" s="61" t="s">
        <v>150</v>
      </c>
      <c r="W120" s="61" t="s">
        <v>4</v>
      </c>
      <c r="X120" s="61" t="s">
        <v>50</v>
      </c>
      <c r="Y120" s="61">
        <v>15.799562999999999</v>
      </c>
      <c r="Z120" s="61">
        <v>121.486228</v>
      </c>
      <c r="AA120" s="61" t="s">
        <v>7746</v>
      </c>
      <c r="AB120" s="61"/>
    </row>
    <row r="121" spans="1:28" s="2" customFormat="1" ht="15">
      <c r="A121" s="61" t="s">
        <v>773</v>
      </c>
      <c r="B121" s="61" t="s">
        <v>983</v>
      </c>
      <c r="C121" s="61" t="s">
        <v>3559</v>
      </c>
      <c r="D121" s="61" t="s">
        <v>159</v>
      </c>
      <c r="E121" s="61">
        <v>729</v>
      </c>
      <c r="F121" s="61">
        <v>974</v>
      </c>
      <c r="G121" s="61">
        <v>2025</v>
      </c>
      <c r="H121" s="61" t="s">
        <v>3128</v>
      </c>
      <c r="I121" s="61" t="s">
        <v>14</v>
      </c>
      <c r="J121" s="61"/>
      <c r="K121" s="61" t="s">
        <v>163</v>
      </c>
      <c r="L121" s="61" t="s">
        <v>7800</v>
      </c>
      <c r="M121" s="475">
        <v>45938</v>
      </c>
      <c r="N121" s="475">
        <v>45943</v>
      </c>
      <c r="O121" s="61"/>
      <c r="P121" s="475">
        <v>45944</v>
      </c>
      <c r="Q121" s="475">
        <v>45945</v>
      </c>
      <c r="R121" s="61">
        <f t="shared" si="4"/>
        <v>3</v>
      </c>
      <c r="S121" s="61" t="str">
        <f t="shared" si="5"/>
        <v/>
      </c>
      <c r="T121" s="61">
        <f t="shared" si="7"/>
        <v>1</v>
      </c>
      <c r="U121" s="61">
        <f t="shared" si="6"/>
        <v>1</v>
      </c>
      <c r="V121" s="61" t="s">
        <v>150</v>
      </c>
      <c r="W121" s="61" t="s">
        <v>1078</v>
      </c>
      <c r="X121" s="61" t="s">
        <v>50</v>
      </c>
      <c r="Y121" s="61">
        <v>15.789985</v>
      </c>
      <c r="Z121" s="61">
        <v>121.32068200000001</v>
      </c>
      <c r="AA121" s="61" t="s">
        <v>7746</v>
      </c>
      <c r="AB121" s="61"/>
    </row>
    <row r="122" spans="1:28" s="2" customFormat="1" ht="15">
      <c r="A122" s="61" t="s">
        <v>773</v>
      </c>
      <c r="B122" s="61" t="s">
        <v>983</v>
      </c>
      <c r="C122" s="61" t="s">
        <v>1867</v>
      </c>
      <c r="D122" s="61" t="s">
        <v>159</v>
      </c>
      <c r="E122" s="61">
        <v>654</v>
      </c>
      <c r="F122" s="61">
        <v>788</v>
      </c>
      <c r="G122" s="61">
        <v>2025</v>
      </c>
      <c r="H122" s="61" t="s">
        <v>3127</v>
      </c>
      <c r="I122" s="61" t="s">
        <v>14</v>
      </c>
      <c r="J122" s="61"/>
      <c r="K122" s="61" t="s">
        <v>163</v>
      </c>
      <c r="L122" s="61" t="s">
        <v>7801</v>
      </c>
      <c r="M122" s="475">
        <v>45910</v>
      </c>
      <c r="N122" s="475">
        <v>45915</v>
      </c>
      <c r="O122" s="61"/>
      <c r="P122" s="475">
        <v>45916</v>
      </c>
      <c r="Q122" s="475">
        <v>45917</v>
      </c>
      <c r="R122" s="61">
        <f t="shared" si="4"/>
        <v>3</v>
      </c>
      <c r="S122" s="61" t="str">
        <f t="shared" si="5"/>
        <v/>
      </c>
      <c r="T122" s="61">
        <f t="shared" si="7"/>
        <v>1</v>
      </c>
      <c r="U122" s="61">
        <f t="shared" si="6"/>
        <v>1</v>
      </c>
      <c r="V122" s="61" t="s">
        <v>150</v>
      </c>
      <c r="W122" s="61" t="s">
        <v>1078</v>
      </c>
      <c r="X122" s="61" t="s">
        <v>50</v>
      </c>
      <c r="Y122" s="61" t="s">
        <v>7802</v>
      </c>
      <c r="Z122" s="61" t="s">
        <v>7803</v>
      </c>
      <c r="AA122" s="61" t="s">
        <v>7746</v>
      </c>
      <c r="AB122" s="61"/>
    </row>
    <row r="123" spans="1:28" s="2" customFormat="1" ht="15">
      <c r="A123" s="61" t="s">
        <v>773</v>
      </c>
      <c r="B123" s="61" t="s">
        <v>983</v>
      </c>
      <c r="C123" s="61" t="s">
        <v>3560</v>
      </c>
      <c r="D123" s="61" t="s">
        <v>159</v>
      </c>
      <c r="E123" s="61">
        <v>466</v>
      </c>
      <c r="F123" s="61">
        <v>448</v>
      </c>
      <c r="G123" s="61"/>
      <c r="H123" s="61"/>
      <c r="I123" s="61" t="s">
        <v>14</v>
      </c>
      <c r="J123" s="61"/>
      <c r="K123" s="61" t="s">
        <v>163</v>
      </c>
      <c r="L123" s="61"/>
      <c r="M123" s="61"/>
      <c r="N123" s="61"/>
      <c r="O123" s="61"/>
      <c r="P123" s="61"/>
      <c r="Q123" s="61"/>
      <c r="R123" s="61" t="str">
        <f t="shared" si="4"/>
        <v/>
      </c>
      <c r="S123" s="61" t="str">
        <f t="shared" si="5"/>
        <v/>
      </c>
      <c r="T123" s="61" t="str">
        <f t="shared" si="7"/>
        <v/>
      </c>
      <c r="U123" s="61" t="str">
        <f t="shared" si="6"/>
        <v/>
      </c>
      <c r="V123" s="61"/>
      <c r="W123" s="61"/>
      <c r="X123" s="61"/>
      <c r="Y123" s="61"/>
      <c r="Z123" s="61"/>
      <c r="AA123" s="61"/>
      <c r="AB123" s="61"/>
    </row>
    <row r="124" spans="1:28" s="2" customFormat="1" ht="15">
      <c r="A124" s="61" t="s">
        <v>773</v>
      </c>
      <c r="B124" s="61" t="s">
        <v>983</v>
      </c>
      <c r="C124" s="61" t="s">
        <v>3562</v>
      </c>
      <c r="D124" s="61" t="s">
        <v>159</v>
      </c>
      <c r="E124" s="61">
        <v>1843</v>
      </c>
      <c r="F124" s="61">
        <v>1913</v>
      </c>
      <c r="G124" s="474">
        <v>2025</v>
      </c>
      <c r="H124" s="61" t="s">
        <v>3126</v>
      </c>
      <c r="I124" s="61" t="s">
        <v>14</v>
      </c>
      <c r="J124" s="474"/>
      <c r="K124" s="61" t="s">
        <v>163</v>
      </c>
      <c r="L124" s="61" t="s">
        <v>7804</v>
      </c>
      <c r="M124" s="477">
        <v>45877</v>
      </c>
      <c r="N124" s="477">
        <v>45880</v>
      </c>
      <c r="O124" s="474"/>
      <c r="P124" s="477">
        <v>45882</v>
      </c>
      <c r="Q124" s="477">
        <v>45882</v>
      </c>
      <c r="R124" s="61">
        <f t="shared" si="4"/>
        <v>1</v>
      </c>
      <c r="S124" s="61" t="str">
        <f t="shared" si="5"/>
        <v/>
      </c>
      <c r="T124" s="61">
        <f t="shared" si="7"/>
        <v>2</v>
      </c>
      <c r="U124" s="61">
        <f t="shared" si="6"/>
        <v>1</v>
      </c>
      <c r="V124" s="61" t="s">
        <v>150</v>
      </c>
      <c r="W124" s="61" t="s">
        <v>1078</v>
      </c>
      <c r="X124" s="61" t="s">
        <v>50</v>
      </c>
      <c r="Y124" s="61" t="s">
        <v>7805</v>
      </c>
      <c r="Z124" s="61" t="s">
        <v>7805</v>
      </c>
      <c r="AA124" s="61" t="s">
        <v>7746</v>
      </c>
      <c r="AB124" s="61"/>
    </row>
    <row r="125" spans="1:28" s="2" customFormat="1" ht="15">
      <c r="A125" s="61" t="s">
        <v>773</v>
      </c>
      <c r="B125" s="61" t="s">
        <v>983</v>
      </c>
      <c r="C125" s="61" t="s">
        <v>3563</v>
      </c>
      <c r="D125" s="61" t="s">
        <v>159</v>
      </c>
      <c r="E125" s="61">
        <v>1843</v>
      </c>
      <c r="F125" s="61">
        <v>1382</v>
      </c>
      <c r="G125" s="61">
        <v>2025</v>
      </c>
      <c r="H125" s="61" t="s">
        <v>3458</v>
      </c>
      <c r="I125" s="61" t="s">
        <v>14</v>
      </c>
      <c r="J125" s="61"/>
      <c r="K125" s="61" t="s">
        <v>163</v>
      </c>
      <c r="L125" s="61" t="s">
        <v>7806</v>
      </c>
      <c r="M125" s="475">
        <v>45695</v>
      </c>
      <c r="N125" s="475">
        <v>45698</v>
      </c>
      <c r="O125" s="475"/>
      <c r="P125" s="475">
        <v>45699</v>
      </c>
      <c r="Q125" s="475">
        <v>45699</v>
      </c>
      <c r="R125" s="61">
        <f t="shared" si="4"/>
        <v>1</v>
      </c>
      <c r="S125" s="61" t="str">
        <f t="shared" si="5"/>
        <v/>
      </c>
      <c r="T125" s="61">
        <f t="shared" si="7"/>
        <v>1</v>
      </c>
      <c r="U125" s="61">
        <f t="shared" si="6"/>
        <v>1</v>
      </c>
      <c r="V125" s="61" t="s">
        <v>150</v>
      </c>
      <c r="W125" s="61" t="s">
        <v>4</v>
      </c>
      <c r="X125" s="61" t="s">
        <v>50</v>
      </c>
      <c r="Y125" s="61"/>
      <c r="Z125" s="61"/>
      <c r="AA125" s="61" t="s">
        <v>7746</v>
      </c>
      <c r="AB125" s="61"/>
    </row>
    <row r="126" spans="1:28" s="2" customFormat="1" ht="15">
      <c r="A126" s="61" t="s">
        <v>773</v>
      </c>
      <c r="B126" s="61" t="s">
        <v>983</v>
      </c>
      <c r="C126" s="61" t="s">
        <v>987</v>
      </c>
      <c r="D126" s="61" t="s">
        <v>159</v>
      </c>
      <c r="E126" s="61">
        <v>1714</v>
      </c>
      <c r="F126" s="61">
        <v>2086</v>
      </c>
      <c r="G126" s="61">
        <v>2025</v>
      </c>
      <c r="H126" s="61" t="s">
        <v>3416</v>
      </c>
      <c r="I126" s="61" t="s">
        <v>14</v>
      </c>
      <c r="J126" s="61"/>
      <c r="K126" s="61" t="s">
        <v>163</v>
      </c>
      <c r="L126" s="61" t="s">
        <v>7807</v>
      </c>
      <c r="M126" s="475">
        <v>45729</v>
      </c>
      <c r="N126" s="475">
        <v>45733</v>
      </c>
      <c r="O126" s="61"/>
      <c r="P126" s="475">
        <v>45733</v>
      </c>
      <c r="Q126" s="475">
        <v>45733</v>
      </c>
      <c r="R126" s="61">
        <f t="shared" si="4"/>
        <v>2</v>
      </c>
      <c r="S126" s="61" t="str">
        <f t="shared" si="5"/>
        <v/>
      </c>
      <c r="T126" s="61">
        <f t="shared" si="7"/>
        <v>1</v>
      </c>
      <c r="U126" s="61">
        <f t="shared" si="6"/>
        <v>1</v>
      </c>
      <c r="V126" s="61" t="s">
        <v>150</v>
      </c>
      <c r="W126" s="61" t="s">
        <v>4</v>
      </c>
      <c r="X126" s="61" t="s">
        <v>50</v>
      </c>
      <c r="Y126" s="61">
        <v>15.802745</v>
      </c>
      <c r="Z126" s="61">
        <v>121.46454799999999</v>
      </c>
      <c r="AA126" s="61" t="s">
        <v>7746</v>
      </c>
      <c r="AB126" s="61"/>
    </row>
    <row r="127" spans="1:28" s="2" customFormat="1" ht="15">
      <c r="A127" s="61" t="s">
        <v>773</v>
      </c>
      <c r="B127" s="61" t="s">
        <v>983</v>
      </c>
      <c r="C127" s="61" t="s">
        <v>858</v>
      </c>
      <c r="D127" s="61" t="s">
        <v>159</v>
      </c>
      <c r="E127" s="61">
        <v>1677</v>
      </c>
      <c r="F127" s="61">
        <v>1773</v>
      </c>
      <c r="G127" s="61">
        <v>2025</v>
      </c>
      <c r="H127" s="61" t="s">
        <v>3129</v>
      </c>
      <c r="I127" s="61" t="s">
        <v>14</v>
      </c>
      <c r="J127" s="61"/>
      <c r="K127" s="61" t="s">
        <v>163</v>
      </c>
      <c r="L127" s="61" t="s">
        <v>7808</v>
      </c>
      <c r="M127" s="475">
        <v>45959</v>
      </c>
      <c r="N127" s="475">
        <v>45966</v>
      </c>
      <c r="O127" s="61"/>
      <c r="P127" s="475">
        <v>45968</v>
      </c>
      <c r="Q127" s="475">
        <v>45968</v>
      </c>
      <c r="R127" s="61">
        <f t="shared" si="4"/>
        <v>5</v>
      </c>
      <c r="S127" s="61" t="str">
        <f t="shared" si="5"/>
        <v/>
      </c>
      <c r="T127" s="61">
        <f t="shared" si="7"/>
        <v>2</v>
      </c>
      <c r="U127" s="61">
        <f t="shared" si="6"/>
        <v>1</v>
      </c>
      <c r="V127" s="61" t="s">
        <v>150</v>
      </c>
      <c r="W127" s="61" t="s">
        <v>1078</v>
      </c>
      <c r="X127" s="61" t="s">
        <v>50</v>
      </c>
      <c r="Y127" s="61" t="s">
        <v>7809</v>
      </c>
      <c r="Z127" s="61" t="s">
        <v>7810</v>
      </c>
      <c r="AA127" s="61" t="s">
        <v>7746</v>
      </c>
      <c r="AB127" s="61"/>
    </row>
    <row r="128" spans="1:28" s="2" customFormat="1" ht="15">
      <c r="A128" s="61" t="s">
        <v>773</v>
      </c>
      <c r="B128" s="61" t="s">
        <v>983</v>
      </c>
      <c r="C128" s="61" t="s">
        <v>918</v>
      </c>
      <c r="D128" s="61" t="s">
        <v>159</v>
      </c>
      <c r="E128" s="61">
        <v>876</v>
      </c>
      <c r="F128" s="61">
        <v>1048</v>
      </c>
      <c r="G128" s="61">
        <v>2025</v>
      </c>
      <c r="H128" s="61" t="s">
        <v>3128</v>
      </c>
      <c r="I128" s="61" t="s">
        <v>14</v>
      </c>
      <c r="J128" s="61"/>
      <c r="K128" s="61" t="s">
        <v>163</v>
      </c>
      <c r="L128" s="61" t="s">
        <v>7811</v>
      </c>
      <c r="M128" s="475">
        <v>45938</v>
      </c>
      <c r="N128" s="475">
        <v>45943</v>
      </c>
      <c r="O128" s="61"/>
      <c r="P128" s="475">
        <v>45944</v>
      </c>
      <c r="Q128" s="475">
        <v>45945</v>
      </c>
      <c r="R128" s="61">
        <f t="shared" si="4"/>
        <v>3</v>
      </c>
      <c r="S128" s="61" t="str">
        <f t="shared" si="5"/>
        <v/>
      </c>
      <c r="T128" s="61">
        <f t="shared" si="7"/>
        <v>1</v>
      </c>
      <c r="U128" s="61">
        <f t="shared" si="6"/>
        <v>1</v>
      </c>
      <c r="V128" s="61" t="s">
        <v>150</v>
      </c>
      <c r="W128" s="61" t="s">
        <v>1078</v>
      </c>
      <c r="X128" s="61" t="s">
        <v>50</v>
      </c>
      <c r="Y128" s="61" t="s">
        <v>7812</v>
      </c>
      <c r="Z128" s="61" t="s">
        <v>7813</v>
      </c>
      <c r="AA128" s="61" t="s">
        <v>7746</v>
      </c>
      <c r="AB128" s="61"/>
    </row>
    <row r="129" spans="1:28" s="2" customFormat="1" ht="15">
      <c r="A129" s="61" t="s">
        <v>773</v>
      </c>
      <c r="B129" s="61" t="s">
        <v>983</v>
      </c>
      <c r="C129" s="61" t="s">
        <v>1314</v>
      </c>
      <c r="D129" s="61" t="s">
        <v>159</v>
      </c>
      <c r="E129" s="61">
        <v>455</v>
      </c>
      <c r="F129" s="61">
        <v>595</v>
      </c>
      <c r="G129" s="61">
        <v>2025</v>
      </c>
      <c r="H129" s="61" t="s">
        <v>3416</v>
      </c>
      <c r="I129" s="61" t="s">
        <v>14</v>
      </c>
      <c r="J129" s="61"/>
      <c r="K129" s="61" t="s">
        <v>163</v>
      </c>
      <c r="L129" s="61" t="s">
        <v>7814</v>
      </c>
      <c r="M129" s="475">
        <v>45722</v>
      </c>
      <c r="N129" s="475">
        <v>45726</v>
      </c>
      <c r="O129" s="475"/>
      <c r="P129" s="475">
        <v>45728</v>
      </c>
      <c r="Q129" s="475">
        <v>45728</v>
      </c>
      <c r="R129" s="61">
        <f t="shared" si="4"/>
        <v>2</v>
      </c>
      <c r="S129" s="61" t="str">
        <f t="shared" si="5"/>
        <v/>
      </c>
      <c r="T129" s="61">
        <f t="shared" si="7"/>
        <v>2</v>
      </c>
      <c r="U129" s="61">
        <f t="shared" si="6"/>
        <v>1</v>
      </c>
      <c r="V129" s="61" t="s">
        <v>150</v>
      </c>
      <c r="W129" s="61" t="s">
        <v>1078</v>
      </c>
      <c r="X129" s="61" t="s">
        <v>50</v>
      </c>
      <c r="Y129" s="61">
        <v>15.770643</v>
      </c>
      <c r="Z129" s="61">
        <v>121.469223</v>
      </c>
      <c r="AA129" s="61" t="s">
        <v>7746</v>
      </c>
      <c r="AB129" s="61"/>
    </row>
    <row r="130" spans="1:28" s="2" customFormat="1" ht="15">
      <c r="A130" s="61" t="s">
        <v>773</v>
      </c>
      <c r="B130" s="61" t="s">
        <v>983</v>
      </c>
      <c r="C130" s="61" t="s">
        <v>3565</v>
      </c>
      <c r="D130" s="61" t="s">
        <v>159</v>
      </c>
      <c r="E130" s="61">
        <v>578</v>
      </c>
      <c r="F130" s="61">
        <v>566</v>
      </c>
      <c r="G130" s="61">
        <v>2025</v>
      </c>
      <c r="H130" s="61" t="s">
        <v>3689</v>
      </c>
      <c r="I130" s="61" t="s">
        <v>14</v>
      </c>
      <c r="J130" s="61"/>
      <c r="K130" s="61" t="s">
        <v>163</v>
      </c>
      <c r="L130" s="61" t="s">
        <v>7815</v>
      </c>
      <c r="M130" s="475">
        <v>45825</v>
      </c>
      <c r="N130" s="475">
        <v>45825</v>
      </c>
      <c r="O130" s="61"/>
      <c r="P130" s="475">
        <v>45826</v>
      </c>
      <c r="Q130" s="475">
        <v>45826</v>
      </c>
      <c r="R130" s="61">
        <f t="shared" ref="R130:R193" si="8">IF(
    OR(ISBLANK(M130), ISBLANK(N130)),
    "",
    MAX(1, IF(
        NETWORKDAYS(M130, N130) &lt;= 0,
        1,
        NETWORKDAYS(M130, N130) - IF(M130 = N130, 0, 1)
    ))
)</f>
        <v>1</v>
      </c>
      <c r="S130" s="61" t="str">
        <f t="shared" ref="S130:S193" si="9">IF(
    OR(ISBLANK(N130), ISBLANK(O130)),
    "",
    MAX(1, IF(
        NETWORKDAYS(N130, O130) &lt;= 0,
        1,
        NETWORKDAYS(N130, O130) - IF(N130 = O130, 0, 1)
    ))
)</f>
        <v/>
      </c>
      <c r="T130" s="61">
        <f t="shared" si="7"/>
        <v>1</v>
      </c>
      <c r="U130" s="61">
        <f t="shared" ref="U130:U193" si="10">IF(
    OR(ISBLANK(P130), ISBLANK(Q130)),
    "",
    MAX(1, IF(
        NETWORKDAYS(P130, Q130) &lt;= 0,
        1,
        NETWORKDAYS(P130, Q130) - IF(P130 = Q130, 0, 1)
    ))
)</f>
        <v>1</v>
      </c>
      <c r="V130" s="61" t="s">
        <v>150</v>
      </c>
      <c r="W130" s="61" t="s">
        <v>1078</v>
      </c>
      <c r="X130" s="61" t="s">
        <v>50</v>
      </c>
      <c r="Y130" s="61" t="s">
        <v>7816</v>
      </c>
      <c r="Z130" s="61" t="s">
        <v>7817</v>
      </c>
      <c r="AA130" s="61" t="s">
        <v>7746</v>
      </c>
      <c r="AB130" s="61"/>
    </row>
    <row r="131" spans="1:28" s="2" customFormat="1" ht="15">
      <c r="A131" s="61" t="s">
        <v>773</v>
      </c>
      <c r="B131" s="61" t="s">
        <v>983</v>
      </c>
      <c r="C131" s="61" t="s">
        <v>3566</v>
      </c>
      <c r="D131" s="61" t="s">
        <v>159</v>
      </c>
      <c r="E131" s="61">
        <v>697</v>
      </c>
      <c r="F131" s="61">
        <v>776</v>
      </c>
      <c r="G131" s="61">
        <v>2025</v>
      </c>
      <c r="H131" s="61" t="s">
        <v>3126</v>
      </c>
      <c r="I131" s="61" t="s">
        <v>14</v>
      </c>
      <c r="J131" s="61"/>
      <c r="K131" s="61" t="s">
        <v>163</v>
      </c>
      <c r="L131" s="61" t="s">
        <v>7818</v>
      </c>
      <c r="M131" s="475">
        <v>45883</v>
      </c>
      <c r="N131" s="475">
        <v>45887</v>
      </c>
      <c r="O131" s="61"/>
      <c r="P131" s="475">
        <v>45887</v>
      </c>
      <c r="Q131" s="475">
        <v>45887</v>
      </c>
      <c r="R131" s="61">
        <f t="shared" si="8"/>
        <v>2</v>
      </c>
      <c r="S131" s="61" t="str">
        <f t="shared" si="9"/>
        <v/>
      </c>
      <c r="T131" s="61">
        <f t="shared" ref="T131:T194" si="11">IF(
  OR(A131 = "Nueva_Ecija", A131 = "Zambales"),
  IF(
    OR(ISBLANK(O131), ISBLANK(P131)),
    "",
    MAX(1, IF(
      NETWORKDAYS(O131, P131) &lt;= 0,
      1,
      NETWORKDAYS(O131, P131) - IF(O131 = P131, 0, 1)
    ))
  ),
  IF(
    OR(ISBLANK(N131), ISBLANK(P131)),
    "",
    MAX(1, IF(
      NETWORKDAYS(N131, P131) &lt;= 0,
      1,
      NETWORKDAYS(N131, P131) - IF(N131 = P131, 0, 1)
    ))
  )
)</f>
        <v>1</v>
      </c>
      <c r="U131" s="61">
        <f t="shared" si="10"/>
        <v>1</v>
      </c>
      <c r="V131" s="61" t="s">
        <v>150</v>
      </c>
      <c r="W131" s="61" t="s">
        <v>4</v>
      </c>
      <c r="X131" s="61" t="s">
        <v>50</v>
      </c>
      <c r="Y131" s="61" t="s">
        <v>7819</v>
      </c>
      <c r="Z131" s="61" t="s">
        <v>7820</v>
      </c>
      <c r="AA131" s="61" t="s">
        <v>7746</v>
      </c>
      <c r="AB131" s="61"/>
    </row>
    <row r="132" spans="1:28" s="2" customFormat="1" ht="15">
      <c r="A132" s="61" t="s">
        <v>773</v>
      </c>
      <c r="B132" s="61" t="s">
        <v>983</v>
      </c>
      <c r="C132" s="61" t="s">
        <v>3567</v>
      </c>
      <c r="D132" s="61" t="s">
        <v>159</v>
      </c>
      <c r="E132" s="61">
        <v>604</v>
      </c>
      <c r="F132" s="61">
        <v>608</v>
      </c>
      <c r="G132" s="61">
        <v>2025</v>
      </c>
      <c r="H132" s="61" t="s">
        <v>3126</v>
      </c>
      <c r="I132" s="61" t="s">
        <v>14</v>
      </c>
      <c r="J132" s="61"/>
      <c r="K132" s="61" t="s">
        <v>163</v>
      </c>
      <c r="L132" s="61" t="s">
        <v>7821</v>
      </c>
      <c r="M132" s="475">
        <v>45884</v>
      </c>
      <c r="N132" s="475">
        <v>45887</v>
      </c>
      <c r="O132" s="61"/>
      <c r="P132" s="475">
        <v>45887</v>
      </c>
      <c r="Q132" s="475">
        <v>45887</v>
      </c>
      <c r="R132" s="61">
        <f t="shared" si="8"/>
        <v>1</v>
      </c>
      <c r="S132" s="61" t="str">
        <f t="shared" si="9"/>
        <v/>
      </c>
      <c r="T132" s="61">
        <f t="shared" si="11"/>
        <v>1</v>
      </c>
      <c r="U132" s="61">
        <f t="shared" si="10"/>
        <v>1</v>
      </c>
      <c r="V132" s="61" t="s">
        <v>150</v>
      </c>
      <c r="W132" s="61" t="s">
        <v>4</v>
      </c>
      <c r="X132" s="61" t="s">
        <v>50</v>
      </c>
      <c r="Y132" s="61" t="s">
        <v>7822</v>
      </c>
      <c r="Z132" s="61" t="s">
        <v>7823</v>
      </c>
      <c r="AA132" s="61" t="s">
        <v>7746</v>
      </c>
      <c r="AB132" s="61"/>
    </row>
    <row r="133" spans="1:28" s="2" customFormat="1" ht="15">
      <c r="A133" s="61" t="s">
        <v>773</v>
      </c>
      <c r="B133" s="61" t="s">
        <v>983</v>
      </c>
      <c r="C133" s="61" t="s">
        <v>3568</v>
      </c>
      <c r="D133" s="61" t="s">
        <v>159</v>
      </c>
      <c r="E133" s="61">
        <v>878</v>
      </c>
      <c r="F133" s="61">
        <v>845</v>
      </c>
      <c r="G133" s="61">
        <v>2025</v>
      </c>
      <c r="H133" s="61" t="s">
        <v>3129</v>
      </c>
      <c r="I133" s="61" t="s">
        <v>14</v>
      </c>
      <c r="J133" s="61"/>
      <c r="K133" s="61" t="s">
        <v>163</v>
      </c>
      <c r="L133" s="61" t="s">
        <v>7824</v>
      </c>
      <c r="M133" s="475">
        <v>45959</v>
      </c>
      <c r="N133" s="475">
        <v>45964</v>
      </c>
      <c r="O133" s="61"/>
      <c r="P133" s="475">
        <v>45966</v>
      </c>
      <c r="Q133" s="475">
        <v>45966</v>
      </c>
      <c r="R133" s="61">
        <f t="shared" si="8"/>
        <v>3</v>
      </c>
      <c r="S133" s="61" t="str">
        <f t="shared" si="9"/>
        <v/>
      </c>
      <c r="T133" s="61">
        <f t="shared" si="11"/>
        <v>2</v>
      </c>
      <c r="U133" s="61">
        <f t="shared" si="10"/>
        <v>1</v>
      </c>
      <c r="V133" s="61" t="s">
        <v>150</v>
      </c>
      <c r="W133" s="61" t="s">
        <v>4</v>
      </c>
      <c r="X133" s="61" t="s">
        <v>50</v>
      </c>
      <c r="Y133" s="61" t="s">
        <v>7825</v>
      </c>
      <c r="Z133" s="61" t="s">
        <v>7826</v>
      </c>
      <c r="AA133" s="61" t="s">
        <v>7746</v>
      </c>
      <c r="AB133" s="61"/>
    </row>
    <row r="134" spans="1:28" s="2" customFormat="1" ht="15">
      <c r="A134" s="61" t="s">
        <v>773</v>
      </c>
      <c r="B134" s="61" t="s">
        <v>983</v>
      </c>
      <c r="C134" s="61" t="s">
        <v>3569</v>
      </c>
      <c r="D134" s="61" t="s">
        <v>159</v>
      </c>
      <c r="E134" s="61">
        <v>1499</v>
      </c>
      <c r="F134" s="61">
        <v>1657</v>
      </c>
      <c r="G134" s="61">
        <v>2025</v>
      </c>
      <c r="H134" s="61" t="s">
        <v>3128</v>
      </c>
      <c r="I134" s="61" t="s">
        <v>14</v>
      </c>
      <c r="J134" s="61"/>
      <c r="K134" s="61" t="s">
        <v>163</v>
      </c>
      <c r="L134" s="61" t="s">
        <v>7827</v>
      </c>
      <c r="M134" s="475">
        <v>45932</v>
      </c>
      <c r="N134" s="475">
        <v>45936</v>
      </c>
      <c r="O134" s="61"/>
      <c r="P134" s="475">
        <v>45939</v>
      </c>
      <c r="Q134" s="475">
        <v>45940</v>
      </c>
      <c r="R134" s="61">
        <f t="shared" si="8"/>
        <v>2</v>
      </c>
      <c r="S134" s="61" t="str">
        <f t="shared" si="9"/>
        <v/>
      </c>
      <c r="T134" s="61">
        <f t="shared" si="11"/>
        <v>3</v>
      </c>
      <c r="U134" s="61">
        <f t="shared" si="10"/>
        <v>1</v>
      </c>
      <c r="V134" s="61" t="s">
        <v>150</v>
      </c>
      <c r="W134" s="61" t="s">
        <v>4</v>
      </c>
      <c r="X134" s="61" t="s">
        <v>50</v>
      </c>
      <c r="Y134" s="61" t="s">
        <v>7828</v>
      </c>
      <c r="Z134" s="61" t="s">
        <v>7829</v>
      </c>
      <c r="AA134" s="61" t="s">
        <v>7746</v>
      </c>
      <c r="AB134" s="61"/>
    </row>
    <row r="135" spans="1:28" s="2" customFormat="1" ht="15">
      <c r="A135" s="61" t="s">
        <v>773</v>
      </c>
      <c r="B135" s="61" t="s">
        <v>992</v>
      </c>
      <c r="C135" s="61" t="s">
        <v>3570</v>
      </c>
      <c r="D135" s="61" t="s">
        <v>159</v>
      </c>
      <c r="E135" s="61">
        <v>1773</v>
      </c>
      <c r="F135" s="61">
        <v>2026</v>
      </c>
      <c r="G135" s="61">
        <v>2025</v>
      </c>
      <c r="H135" s="61" t="s">
        <v>3689</v>
      </c>
      <c r="I135" s="61" t="s">
        <v>172</v>
      </c>
      <c r="J135" s="61"/>
      <c r="K135" s="61" t="s">
        <v>163</v>
      </c>
      <c r="L135" s="61" t="s">
        <v>7830</v>
      </c>
      <c r="M135" s="475">
        <v>45791</v>
      </c>
      <c r="N135" s="475">
        <v>45796</v>
      </c>
      <c r="O135" s="61"/>
      <c r="P135" s="475">
        <v>45796</v>
      </c>
      <c r="Q135" s="475">
        <v>45797</v>
      </c>
      <c r="R135" s="61">
        <f t="shared" si="8"/>
        <v>3</v>
      </c>
      <c r="S135" s="61" t="str">
        <f t="shared" si="9"/>
        <v/>
      </c>
      <c r="T135" s="61">
        <f t="shared" si="11"/>
        <v>1</v>
      </c>
      <c r="U135" s="61">
        <f t="shared" si="10"/>
        <v>1</v>
      </c>
      <c r="V135" s="61" t="s">
        <v>150</v>
      </c>
      <c r="W135" s="61" t="s">
        <v>4</v>
      </c>
      <c r="X135" s="61" t="s">
        <v>50</v>
      </c>
      <c r="Y135" s="61">
        <v>15.737500000000001</v>
      </c>
      <c r="Z135" s="61">
        <v>121.5089</v>
      </c>
      <c r="AA135" s="61" t="s">
        <v>182</v>
      </c>
      <c r="AB135" s="61"/>
    </row>
    <row r="136" spans="1:28" s="2" customFormat="1" ht="15">
      <c r="A136" s="61" t="s">
        <v>773</v>
      </c>
      <c r="B136" s="61" t="s">
        <v>992</v>
      </c>
      <c r="C136" s="61" t="s">
        <v>3403</v>
      </c>
      <c r="D136" s="61" t="s">
        <v>159</v>
      </c>
      <c r="E136" s="61">
        <v>368</v>
      </c>
      <c r="F136" s="61">
        <v>449</v>
      </c>
      <c r="G136" s="61">
        <v>2025</v>
      </c>
      <c r="H136" s="61" t="s">
        <v>3126</v>
      </c>
      <c r="I136" s="61" t="s">
        <v>172</v>
      </c>
      <c r="J136" s="61"/>
      <c r="K136" s="61" t="s">
        <v>163</v>
      </c>
      <c r="L136" s="61" t="s">
        <v>7831</v>
      </c>
      <c r="M136" s="475">
        <v>45883</v>
      </c>
      <c r="N136" s="475">
        <v>45887</v>
      </c>
      <c r="O136" s="61"/>
      <c r="P136" s="475">
        <v>45887</v>
      </c>
      <c r="Q136" s="475">
        <v>45887</v>
      </c>
      <c r="R136" s="61">
        <f t="shared" si="8"/>
        <v>2</v>
      </c>
      <c r="S136" s="61" t="str">
        <f t="shared" si="9"/>
        <v/>
      </c>
      <c r="T136" s="61">
        <f t="shared" si="11"/>
        <v>1</v>
      </c>
      <c r="U136" s="61">
        <f t="shared" si="10"/>
        <v>1</v>
      </c>
      <c r="V136" s="61" t="s">
        <v>150</v>
      </c>
      <c r="W136" s="61" t="s">
        <v>4</v>
      </c>
      <c r="X136" s="61" t="s">
        <v>50</v>
      </c>
      <c r="Y136" s="61">
        <v>15.7311</v>
      </c>
      <c r="Z136" s="61">
        <v>121.5137</v>
      </c>
      <c r="AA136" s="61" t="s">
        <v>182</v>
      </c>
      <c r="AB136" s="61"/>
    </row>
    <row r="137" spans="1:28" s="2" customFormat="1" ht="15">
      <c r="A137" s="61" t="s">
        <v>773</v>
      </c>
      <c r="B137" s="61" t="s">
        <v>992</v>
      </c>
      <c r="C137" s="61" t="s">
        <v>3407</v>
      </c>
      <c r="D137" s="61" t="s">
        <v>159</v>
      </c>
      <c r="E137" s="61">
        <v>756</v>
      </c>
      <c r="F137" s="61">
        <v>737</v>
      </c>
      <c r="G137" s="61"/>
      <c r="H137" s="61"/>
      <c r="I137" s="61" t="s">
        <v>172</v>
      </c>
      <c r="J137" s="61"/>
      <c r="K137" s="61" t="s">
        <v>163</v>
      </c>
      <c r="L137" s="61"/>
      <c r="M137" s="61"/>
      <c r="N137" s="61"/>
      <c r="O137" s="61"/>
      <c r="P137" s="61"/>
      <c r="Q137" s="61"/>
      <c r="R137" s="61" t="str">
        <f t="shared" si="8"/>
        <v/>
      </c>
      <c r="S137" s="61" t="str">
        <f t="shared" si="9"/>
        <v/>
      </c>
      <c r="T137" s="61" t="str">
        <f t="shared" si="11"/>
        <v/>
      </c>
      <c r="U137" s="61" t="str">
        <f t="shared" si="10"/>
        <v/>
      </c>
      <c r="V137" s="61"/>
      <c r="W137" s="61"/>
      <c r="X137" s="61"/>
      <c r="Y137" s="61"/>
      <c r="Z137" s="61"/>
      <c r="AA137" s="61"/>
      <c r="AB137" s="61"/>
    </row>
    <row r="138" spans="1:28" s="2" customFormat="1" ht="15">
      <c r="A138" s="61" t="s">
        <v>773</v>
      </c>
      <c r="B138" s="61" t="s">
        <v>992</v>
      </c>
      <c r="C138" s="61" t="s">
        <v>3409</v>
      </c>
      <c r="D138" s="61" t="s">
        <v>159</v>
      </c>
      <c r="E138" s="61">
        <v>730</v>
      </c>
      <c r="F138" s="61">
        <v>842</v>
      </c>
      <c r="G138" s="61"/>
      <c r="H138" s="61"/>
      <c r="I138" s="61" t="s">
        <v>172</v>
      </c>
      <c r="J138" s="61"/>
      <c r="K138" s="61" t="s">
        <v>163</v>
      </c>
      <c r="L138" s="61"/>
      <c r="M138" s="61"/>
      <c r="N138" s="61"/>
      <c r="O138" s="61"/>
      <c r="P138" s="61"/>
      <c r="Q138" s="61"/>
      <c r="R138" s="61" t="str">
        <f t="shared" si="8"/>
        <v/>
      </c>
      <c r="S138" s="61" t="str">
        <f t="shared" si="9"/>
        <v/>
      </c>
      <c r="T138" s="61" t="str">
        <f t="shared" si="11"/>
        <v/>
      </c>
      <c r="U138" s="61" t="str">
        <f t="shared" si="10"/>
        <v/>
      </c>
      <c r="V138" s="61"/>
      <c r="W138" s="61"/>
      <c r="X138" s="61"/>
      <c r="Y138" s="61"/>
      <c r="Z138" s="61"/>
      <c r="AA138" s="61"/>
      <c r="AB138" s="61"/>
    </row>
    <row r="139" spans="1:28" s="2" customFormat="1" ht="15">
      <c r="A139" s="61" t="s">
        <v>773</v>
      </c>
      <c r="B139" s="61" t="s">
        <v>992</v>
      </c>
      <c r="C139" s="61" t="s">
        <v>3410</v>
      </c>
      <c r="D139" s="61" t="s">
        <v>159</v>
      </c>
      <c r="E139" s="61">
        <v>1301</v>
      </c>
      <c r="F139" s="61">
        <v>1214</v>
      </c>
      <c r="G139" s="61"/>
      <c r="H139" s="61"/>
      <c r="I139" s="61" t="s">
        <v>172</v>
      </c>
      <c r="J139" s="61"/>
      <c r="K139" s="61" t="s">
        <v>163</v>
      </c>
      <c r="L139" s="61"/>
      <c r="M139" s="61"/>
      <c r="N139" s="61"/>
      <c r="O139" s="61"/>
      <c r="P139" s="61"/>
      <c r="Q139" s="61"/>
      <c r="R139" s="61" t="str">
        <f t="shared" si="8"/>
        <v/>
      </c>
      <c r="S139" s="61" t="str">
        <f t="shared" si="9"/>
        <v/>
      </c>
      <c r="T139" s="61" t="str">
        <f t="shared" si="11"/>
        <v/>
      </c>
      <c r="U139" s="61" t="str">
        <f t="shared" si="10"/>
        <v/>
      </c>
      <c r="V139" s="61"/>
      <c r="W139" s="61"/>
      <c r="X139" s="61"/>
      <c r="Y139" s="61"/>
      <c r="Z139" s="61"/>
      <c r="AA139" s="61"/>
      <c r="AB139" s="61"/>
    </row>
    <row r="140" spans="1:28" s="2" customFormat="1" ht="15">
      <c r="A140" s="61" t="s">
        <v>773</v>
      </c>
      <c r="B140" s="61" t="s">
        <v>992</v>
      </c>
      <c r="C140" s="61" t="s">
        <v>3576</v>
      </c>
      <c r="D140" s="61" t="s">
        <v>159</v>
      </c>
      <c r="E140" s="61">
        <v>137</v>
      </c>
      <c r="F140" s="61" t="s">
        <v>7832</v>
      </c>
      <c r="G140" s="61"/>
      <c r="H140" s="61"/>
      <c r="I140" s="61" t="s">
        <v>172</v>
      </c>
      <c r="J140" s="61"/>
      <c r="K140" s="61" t="s">
        <v>163</v>
      </c>
      <c r="L140" s="61"/>
      <c r="M140" s="61"/>
      <c r="N140" s="61"/>
      <c r="O140" s="61"/>
      <c r="P140" s="61"/>
      <c r="Q140" s="61"/>
      <c r="R140" s="61" t="str">
        <f t="shared" si="8"/>
        <v/>
      </c>
      <c r="S140" s="61" t="str">
        <f t="shared" si="9"/>
        <v/>
      </c>
      <c r="T140" s="61" t="str">
        <f t="shared" si="11"/>
        <v/>
      </c>
      <c r="U140" s="61" t="str">
        <f t="shared" si="10"/>
        <v/>
      </c>
      <c r="V140" s="61"/>
      <c r="W140" s="61"/>
      <c r="X140" s="61"/>
      <c r="Y140" s="61"/>
      <c r="Z140" s="61"/>
      <c r="AA140" s="61"/>
      <c r="AB140" s="61"/>
    </row>
    <row r="141" spans="1:28" s="2" customFormat="1" ht="15">
      <c r="A141" s="61" t="s">
        <v>773</v>
      </c>
      <c r="B141" s="61" t="s">
        <v>992</v>
      </c>
      <c r="C141" s="61" t="s">
        <v>3577</v>
      </c>
      <c r="D141" s="61" t="s">
        <v>159</v>
      </c>
      <c r="E141" s="61">
        <v>1177</v>
      </c>
      <c r="F141" s="61">
        <v>1008</v>
      </c>
      <c r="G141" s="61"/>
      <c r="H141" s="61"/>
      <c r="I141" s="61" t="s">
        <v>172</v>
      </c>
      <c r="J141" s="61"/>
      <c r="K141" s="61" t="s">
        <v>163</v>
      </c>
      <c r="L141" s="61"/>
      <c r="M141" s="61"/>
      <c r="N141" s="61"/>
      <c r="O141" s="61"/>
      <c r="P141" s="61"/>
      <c r="Q141" s="61"/>
      <c r="R141" s="61" t="str">
        <f t="shared" si="8"/>
        <v/>
      </c>
      <c r="S141" s="61" t="str">
        <f t="shared" si="9"/>
        <v/>
      </c>
      <c r="T141" s="61" t="str">
        <f t="shared" si="11"/>
        <v/>
      </c>
      <c r="U141" s="61" t="str">
        <f t="shared" si="10"/>
        <v/>
      </c>
      <c r="V141" s="61"/>
      <c r="W141" s="61"/>
      <c r="X141" s="61"/>
      <c r="Y141" s="61"/>
      <c r="Z141" s="61"/>
      <c r="AA141" s="61"/>
      <c r="AB141" s="61"/>
    </row>
    <row r="142" spans="1:28" s="2" customFormat="1" ht="15">
      <c r="A142" s="61" t="s">
        <v>773</v>
      </c>
      <c r="B142" s="61" t="s">
        <v>992</v>
      </c>
      <c r="C142" s="61" t="s">
        <v>3579</v>
      </c>
      <c r="D142" s="61" t="s">
        <v>159</v>
      </c>
      <c r="E142" s="61">
        <v>909</v>
      </c>
      <c r="F142" s="61">
        <v>779</v>
      </c>
      <c r="G142" s="61"/>
      <c r="H142" s="61"/>
      <c r="I142" s="61" t="s">
        <v>172</v>
      </c>
      <c r="J142" s="61"/>
      <c r="K142" s="61" t="s">
        <v>163</v>
      </c>
      <c r="L142" s="61"/>
      <c r="M142" s="61"/>
      <c r="N142" s="61"/>
      <c r="O142" s="61"/>
      <c r="P142" s="61"/>
      <c r="Q142" s="61"/>
      <c r="R142" s="61" t="str">
        <f t="shared" si="8"/>
        <v/>
      </c>
      <c r="S142" s="61" t="str">
        <f t="shared" si="9"/>
        <v/>
      </c>
      <c r="T142" s="61" t="str">
        <f t="shared" si="11"/>
        <v/>
      </c>
      <c r="U142" s="61" t="str">
        <f t="shared" si="10"/>
        <v/>
      </c>
      <c r="V142" s="61"/>
      <c r="W142" s="61"/>
      <c r="X142" s="61"/>
      <c r="Y142" s="61"/>
      <c r="Z142" s="61"/>
      <c r="AA142" s="61"/>
      <c r="AB142" s="61"/>
    </row>
    <row r="143" spans="1:28" s="2" customFormat="1" ht="15">
      <c r="A143" s="61" t="s">
        <v>773</v>
      </c>
      <c r="B143" s="61" t="s">
        <v>992</v>
      </c>
      <c r="C143" s="61" t="s">
        <v>3581</v>
      </c>
      <c r="D143" s="61" t="s">
        <v>159</v>
      </c>
      <c r="E143" s="61">
        <v>2159</v>
      </c>
      <c r="F143" s="61">
        <v>1836</v>
      </c>
      <c r="G143" s="61"/>
      <c r="H143" s="61"/>
      <c r="I143" s="61" t="s">
        <v>172</v>
      </c>
      <c r="J143" s="61"/>
      <c r="K143" s="61" t="s">
        <v>163</v>
      </c>
      <c r="L143" s="61"/>
      <c r="M143" s="61"/>
      <c r="N143" s="61"/>
      <c r="O143" s="61"/>
      <c r="P143" s="61"/>
      <c r="Q143" s="61"/>
      <c r="R143" s="61" t="str">
        <f t="shared" si="8"/>
        <v/>
      </c>
      <c r="S143" s="61" t="str">
        <f t="shared" si="9"/>
        <v/>
      </c>
      <c r="T143" s="61" t="str">
        <f t="shared" si="11"/>
        <v/>
      </c>
      <c r="U143" s="61" t="str">
        <f t="shared" si="10"/>
        <v/>
      </c>
      <c r="V143" s="61"/>
      <c r="W143" s="61"/>
      <c r="X143" s="61"/>
      <c r="Y143" s="61"/>
      <c r="Z143" s="61"/>
      <c r="AA143" s="61"/>
      <c r="AB143" s="61"/>
    </row>
    <row r="144" spans="1:28" s="2" customFormat="1" ht="15">
      <c r="A144" s="61" t="s">
        <v>773</v>
      </c>
      <c r="B144" s="61" t="s">
        <v>992</v>
      </c>
      <c r="C144" s="61" t="s">
        <v>3583</v>
      </c>
      <c r="D144" s="61" t="s">
        <v>159</v>
      </c>
      <c r="E144" s="61">
        <v>1243</v>
      </c>
      <c r="F144" s="61">
        <v>1322</v>
      </c>
      <c r="G144" s="61"/>
      <c r="H144" s="61"/>
      <c r="I144" s="61" t="s">
        <v>172</v>
      </c>
      <c r="J144" s="61"/>
      <c r="K144" s="61" t="s">
        <v>163</v>
      </c>
      <c r="L144" s="61"/>
      <c r="M144" s="61"/>
      <c r="N144" s="61"/>
      <c r="O144" s="61"/>
      <c r="P144" s="61"/>
      <c r="Q144" s="61"/>
      <c r="R144" s="61" t="str">
        <f t="shared" si="8"/>
        <v/>
      </c>
      <c r="S144" s="61" t="str">
        <f t="shared" si="9"/>
        <v/>
      </c>
      <c r="T144" s="61" t="str">
        <f t="shared" si="11"/>
        <v/>
      </c>
      <c r="U144" s="61" t="str">
        <f t="shared" si="10"/>
        <v/>
      </c>
      <c r="V144" s="61"/>
      <c r="W144" s="61"/>
      <c r="X144" s="61"/>
      <c r="Y144" s="61"/>
      <c r="Z144" s="61"/>
      <c r="AA144" s="61"/>
      <c r="AB144" s="61"/>
    </row>
    <row r="145" spans="1:28" s="2" customFormat="1" ht="15">
      <c r="A145" s="61" t="s">
        <v>773</v>
      </c>
      <c r="B145" s="61" t="s">
        <v>992</v>
      </c>
      <c r="C145" s="61" t="s">
        <v>3585</v>
      </c>
      <c r="D145" s="61" t="s">
        <v>159</v>
      </c>
      <c r="E145" s="61">
        <v>1573</v>
      </c>
      <c r="F145" s="61">
        <v>1784</v>
      </c>
      <c r="G145" s="61"/>
      <c r="H145" s="61"/>
      <c r="I145" s="61" t="s">
        <v>172</v>
      </c>
      <c r="J145" s="61"/>
      <c r="K145" s="61" t="s">
        <v>163</v>
      </c>
      <c r="L145" s="61"/>
      <c r="M145" s="61"/>
      <c r="N145" s="61"/>
      <c r="O145" s="61"/>
      <c r="P145" s="61"/>
      <c r="Q145" s="61"/>
      <c r="R145" s="61" t="str">
        <f t="shared" si="8"/>
        <v/>
      </c>
      <c r="S145" s="61" t="str">
        <f t="shared" si="9"/>
        <v/>
      </c>
      <c r="T145" s="61" t="str">
        <f t="shared" si="11"/>
        <v/>
      </c>
      <c r="U145" s="61" t="str">
        <f t="shared" si="10"/>
        <v/>
      </c>
      <c r="V145" s="61"/>
      <c r="W145" s="61"/>
      <c r="X145" s="61"/>
      <c r="Y145" s="61"/>
      <c r="Z145" s="61"/>
      <c r="AA145" s="61"/>
      <c r="AB145" s="61"/>
    </row>
    <row r="146" spans="1:28" s="2" customFormat="1" ht="15">
      <c r="A146" s="61" t="s">
        <v>773</v>
      </c>
      <c r="B146" s="61" t="s">
        <v>992</v>
      </c>
      <c r="C146" s="61" t="s">
        <v>3586</v>
      </c>
      <c r="D146" s="61" t="s">
        <v>159</v>
      </c>
      <c r="E146" s="61">
        <v>3485</v>
      </c>
      <c r="F146" s="61">
        <v>3888</v>
      </c>
      <c r="G146" s="61"/>
      <c r="H146" s="61"/>
      <c r="I146" s="61" t="s">
        <v>172</v>
      </c>
      <c r="J146" s="61"/>
      <c r="K146" s="61" t="s">
        <v>163</v>
      </c>
      <c r="L146" s="61"/>
      <c r="M146" s="61"/>
      <c r="N146" s="61"/>
      <c r="O146" s="61"/>
      <c r="P146" s="61"/>
      <c r="Q146" s="61"/>
      <c r="R146" s="61" t="str">
        <f t="shared" si="8"/>
        <v/>
      </c>
      <c r="S146" s="61" t="str">
        <f t="shared" si="9"/>
        <v/>
      </c>
      <c r="T146" s="61" t="str">
        <f t="shared" si="11"/>
        <v/>
      </c>
      <c r="U146" s="61" t="str">
        <f t="shared" si="10"/>
        <v/>
      </c>
      <c r="V146" s="61"/>
      <c r="W146" s="61"/>
      <c r="X146" s="61"/>
      <c r="Y146" s="61"/>
      <c r="Z146" s="61"/>
      <c r="AA146" s="61"/>
      <c r="AB146" s="61"/>
    </row>
    <row r="147" spans="1:28" s="2" customFormat="1" ht="15">
      <c r="A147" s="61" t="s">
        <v>773</v>
      </c>
      <c r="B147" s="61" t="s">
        <v>992</v>
      </c>
      <c r="C147" s="61" t="s">
        <v>993</v>
      </c>
      <c r="D147" s="61" t="s">
        <v>159</v>
      </c>
      <c r="E147" s="61">
        <v>1074</v>
      </c>
      <c r="F147" s="61">
        <v>1220</v>
      </c>
      <c r="G147" s="61"/>
      <c r="H147" s="61"/>
      <c r="I147" s="61" t="s">
        <v>172</v>
      </c>
      <c r="J147" s="61"/>
      <c r="K147" s="61" t="s">
        <v>163</v>
      </c>
      <c r="L147" s="61"/>
      <c r="M147" s="61"/>
      <c r="N147" s="61"/>
      <c r="O147" s="61"/>
      <c r="P147" s="61"/>
      <c r="Q147" s="61"/>
      <c r="R147" s="61" t="str">
        <f t="shared" si="8"/>
        <v/>
      </c>
      <c r="S147" s="61" t="str">
        <f t="shared" si="9"/>
        <v/>
      </c>
      <c r="T147" s="61" t="str">
        <f t="shared" si="11"/>
        <v/>
      </c>
      <c r="U147" s="61" t="str">
        <f t="shared" si="10"/>
        <v/>
      </c>
      <c r="V147" s="61"/>
      <c r="W147" s="61"/>
      <c r="X147" s="61"/>
      <c r="Y147" s="61"/>
      <c r="Z147" s="61"/>
      <c r="AA147" s="61"/>
      <c r="AB147" s="61"/>
    </row>
    <row r="148" spans="1:28" s="2" customFormat="1" ht="15">
      <c r="A148" s="61" t="s">
        <v>773</v>
      </c>
      <c r="B148" s="61" t="s">
        <v>992</v>
      </c>
      <c r="C148" s="61" t="s">
        <v>3587</v>
      </c>
      <c r="D148" s="61" t="s">
        <v>159</v>
      </c>
      <c r="E148" s="61">
        <v>4278</v>
      </c>
      <c r="F148" s="61">
        <v>5206</v>
      </c>
      <c r="G148" s="61">
        <v>2025</v>
      </c>
      <c r="H148" s="61" t="s">
        <v>3127</v>
      </c>
      <c r="I148" s="61" t="s">
        <v>172</v>
      </c>
      <c r="J148" s="61"/>
      <c r="K148" s="61" t="s">
        <v>163</v>
      </c>
      <c r="L148" s="61" t="s">
        <v>7833</v>
      </c>
      <c r="M148" s="475">
        <v>45910</v>
      </c>
      <c r="N148" s="475">
        <v>45911</v>
      </c>
      <c r="O148" s="61"/>
      <c r="P148" s="475">
        <v>45916</v>
      </c>
      <c r="Q148" s="475">
        <v>45917</v>
      </c>
      <c r="R148" s="61">
        <f t="shared" si="8"/>
        <v>1</v>
      </c>
      <c r="S148" s="61" t="str">
        <f t="shared" si="9"/>
        <v/>
      </c>
      <c r="T148" s="61">
        <f t="shared" si="11"/>
        <v>3</v>
      </c>
      <c r="U148" s="61">
        <f t="shared" si="10"/>
        <v>1</v>
      </c>
      <c r="V148" s="61" t="s">
        <v>150</v>
      </c>
      <c r="W148" s="61" t="s">
        <v>4</v>
      </c>
      <c r="X148" s="61" t="s">
        <v>50</v>
      </c>
      <c r="Y148" s="61">
        <v>15.712400000000001</v>
      </c>
      <c r="Z148" s="61">
        <v>121.5003</v>
      </c>
      <c r="AA148" s="61" t="s">
        <v>182</v>
      </c>
      <c r="AB148" s="61"/>
    </row>
    <row r="149" spans="1:28" s="2" customFormat="1" ht="15">
      <c r="A149" s="61" t="s">
        <v>773</v>
      </c>
      <c r="B149" s="61" t="s">
        <v>992</v>
      </c>
      <c r="C149" s="61" t="s">
        <v>3588</v>
      </c>
      <c r="D149" s="61" t="s">
        <v>159</v>
      </c>
      <c r="E149" s="61">
        <v>1228</v>
      </c>
      <c r="F149" s="61">
        <v>1300</v>
      </c>
      <c r="G149" s="61">
        <v>2025</v>
      </c>
      <c r="H149" s="61" t="s">
        <v>3127</v>
      </c>
      <c r="I149" s="61" t="s">
        <v>172</v>
      </c>
      <c r="J149" s="61"/>
      <c r="K149" s="61" t="s">
        <v>163</v>
      </c>
      <c r="L149" s="61" t="s">
        <v>7834</v>
      </c>
      <c r="M149" s="475">
        <v>45910</v>
      </c>
      <c r="N149" s="475">
        <v>45911</v>
      </c>
      <c r="O149" s="61"/>
      <c r="P149" s="475">
        <v>45916</v>
      </c>
      <c r="Q149" s="475">
        <v>45917</v>
      </c>
      <c r="R149" s="61">
        <f t="shared" si="8"/>
        <v>1</v>
      </c>
      <c r="S149" s="61" t="str">
        <f t="shared" si="9"/>
        <v/>
      </c>
      <c r="T149" s="61">
        <f t="shared" si="11"/>
        <v>3</v>
      </c>
      <c r="U149" s="61">
        <f t="shared" si="10"/>
        <v>1</v>
      </c>
      <c r="V149" s="61" t="s">
        <v>150</v>
      </c>
      <c r="W149" s="61" t="s">
        <v>4</v>
      </c>
      <c r="X149" s="61" t="s">
        <v>50</v>
      </c>
      <c r="Y149" s="61">
        <v>15.7087</v>
      </c>
      <c r="Z149" s="61">
        <v>121.5226</v>
      </c>
      <c r="AA149" s="61" t="s">
        <v>182</v>
      </c>
      <c r="AB149" s="61"/>
    </row>
    <row r="150" spans="1:28" s="2" customFormat="1" ht="15">
      <c r="A150" s="61" t="s">
        <v>773</v>
      </c>
      <c r="B150" s="61" t="s">
        <v>992</v>
      </c>
      <c r="C150" s="61" t="s">
        <v>1180</v>
      </c>
      <c r="D150" s="61" t="s">
        <v>159</v>
      </c>
      <c r="E150" s="61">
        <v>2171</v>
      </c>
      <c r="F150" s="61">
        <v>2596</v>
      </c>
      <c r="G150" s="61">
        <v>2025</v>
      </c>
      <c r="H150" s="61" t="s">
        <v>3126</v>
      </c>
      <c r="I150" s="61" t="s">
        <v>172</v>
      </c>
      <c r="J150" s="61"/>
      <c r="K150" s="61" t="s">
        <v>163</v>
      </c>
      <c r="L150" s="61" t="s">
        <v>7835</v>
      </c>
      <c r="M150" s="475">
        <v>45883</v>
      </c>
      <c r="N150" s="475">
        <v>45887</v>
      </c>
      <c r="O150" s="61"/>
      <c r="P150" s="475">
        <v>45887</v>
      </c>
      <c r="Q150" s="475">
        <v>45887</v>
      </c>
      <c r="R150" s="61">
        <f t="shared" si="8"/>
        <v>2</v>
      </c>
      <c r="S150" s="61" t="str">
        <f t="shared" si="9"/>
        <v/>
      </c>
      <c r="T150" s="61">
        <f t="shared" si="11"/>
        <v>1</v>
      </c>
      <c r="U150" s="61">
        <f t="shared" si="10"/>
        <v>1</v>
      </c>
      <c r="V150" s="61" t="s">
        <v>150</v>
      </c>
      <c r="W150" s="61" t="s">
        <v>1078</v>
      </c>
      <c r="X150" s="61" t="s">
        <v>50</v>
      </c>
      <c r="Y150" s="61">
        <v>15.7369</v>
      </c>
      <c r="Z150" s="61">
        <v>121.5017</v>
      </c>
      <c r="AA150" s="61"/>
      <c r="AB150" s="61"/>
    </row>
    <row r="151" spans="1:28" s="2" customFormat="1" ht="15">
      <c r="A151" s="61" t="s">
        <v>773</v>
      </c>
      <c r="B151" s="61" t="s">
        <v>992</v>
      </c>
      <c r="C151" s="61" t="s">
        <v>858</v>
      </c>
      <c r="D151" s="61" t="s">
        <v>159</v>
      </c>
      <c r="E151" s="61">
        <v>541</v>
      </c>
      <c r="F151" s="61">
        <v>547</v>
      </c>
      <c r="G151" s="61">
        <v>2025</v>
      </c>
      <c r="H151" s="61" t="s">
        <v>3126</v>
      </c>
      <c r="I151" s="61" t="s">
        <v>172</v>
      </c>
      <c r="J151" s="61"/>
      <c r="K151" s="61" t="s">
        <v>163</v>
      </c>
      <c r="L151" s="61" t="s">
        <v>7836</v>
      </c>
      <c r="M151" s="475">
        <v>45883</v>
      </c>
      <c r="N151" s="475">
        <v>45887</v>
      </c>
      <c r="O151" s="61"/>
      <c r="P151" s="475">
        <v>45887</v>
      </c>
      <c r="Q151" s="475">
        <v>45887</v>
      </c>
      <c r="R151" s="61">
        <f t="shared" si="8"/>
        <v>2</v>
      </c>
      <c r="S151" s="61" t="str">
        <f t="shared" si="9"/>
        <v/>
      </c>
      <c r="T151" s="61">
        <f t="shared" si="11"/>
        <v>1</v>
      </c>
      <c r="U151" s="61">
        <f t="shared" si="10"/>
        <v>1</v>
      </c>
      <c r="V151" s="61" t="s">
        <v>150</v>
      </c>
      <c r="W151" s="61" t="s">
        <v>4</v>
      </c>
      <c r="X151" s="61" t="s">
        <v>50</v>
      </c>
      <c r="Y151" s="61">
        <v>15.7311</v>
      </c>
      <c r="Z151" s="61">
        <v>121.5137</v>
      </c>
      <c r="AA151" s="61"/>
      <c r="AB151" s="61"/>
    </row>
    <row r="152" spans="1:28" s="2" customFormat="1" ht="15">
      <c r="A152" s="61" t="s">
        <v>773</v>
      </c>
      <c r="B152" s="61" t="s">
        <v>992</v>
      </c>
      <c r="C152" s="61" t="s">
        <v>3590</v>
      </c>
      <c r="D152" s="61" t="s">
        <v>159</v>
      </c>
      <c r="E152" s="61">
        <v>2449</v>
      </c>
      <c r="F152" s="61">
        <v>2888</v>
      </c>
      <c r="G152" s="61">
        <v>2025</v>
      </c>
      <c r="H152" s="61" t="s">
        <v>3128</v>
      </c>
      <c r="I152" s="61" t="s">
        <v>172</v>
      </c>
      <c r="J152" s="61"/>
      <c r="K152" s="61" t="s">
        <v>163</v>
      </c>
      <c r="L152" s="61" t="s">
        <v>7837</v>
      </c>
      <c r="M152" s="475">
        <v>45945</v>
      </c>
      <c r="N152" s="475">
        <v>45946</v>
      </c>
      <c r="O152" s="61"/>
      <c r="P152" s="475">
        <v>45946</v>
      </c>
      <c r="Q152" s="475">
        <v>45947</v>
      </c>
      <c r="R152" s="61">
        <f t="shared" si="8"/>
        <v>1</v>
      </c>
      <c r="S152" s="61" t="str">
        <f t="shared" si="9"/>
        <v/>
      </c>
      <c r="T152" s="61">
        <f t="shared" si="11"/>
        <v>1</v>
      </c>
      <c r="U152" s="61">
        <f t="shared" si="10"/>
        <v>1</v>
      </c>
      <c r="V152" s="61" t="s">
        <v>150</v>
      </c>
      <c r="W152" s="61" t="s">
        <v>4</v>
      </c>
      <c r="X152" s="61" t="s">
        <v>50</v>
      </c>
      <c r="Y152" s="61">
        <v>15.727399999999999</v>
      </c>
      <c r="Z152" s="61">
        <v>121.5274</v>
      </c>
      <c r="AA152" s="61" t="s">
        <v>182</v>
      </c>
      <c r="AB152" s="61"/>
    </row>
    <row r="153" spans="1:28" s="2" customFormat="1" ht="15">
      <c r="A153" s="61" t="s">
        <v>774</v>
      </c>
      <c r="B153" s="61" t="s">
        <v>865</v>
      </c>
      <c r="C153" s="61" t="s">
        <v>3781</v>
      </c>
      <c r="D153" s="61" t="s">
        <v>7838</v>
      </c>
      <c r="E153" s="61">
        <v>4711</v>
      </c>
      <c r="F153" s="61">
        <v>5169</v>
      </c>
      <c r="G153" s="61">
        <v>2025</v>
      </c>
      <c r="H153" s="61" t="s">
        <v>3532</v>
      </c>
      <c r="I153" s="61" t="s">
        <v>188</v>
      </c>
      <c r="J153" s="61"/>
      <c r="K153" s="61" t="s">
        <v>2445</v>
      </c>
      <c r="L153" s="61" t="s">
        <v>7839</v>
      </c>
      <c r="M153" s="475">
        <v>45791</v>
      </c>
      <c r="N153" s="475">
        <v>45796</v>
      </c>
      <c r="O153" s="61"/>
      <c r="P153" s="475">
        <v>45796</v>
      </c>
      <c r="Q153" s="475">
        <v>45797</v>
      </c>
      <c r="R153" s="61">
        <f t="shared" si="8"/>
        <v>3</v>
      </c>
      <c r="S153" s="61" t="str">
        <f t="shared" si="9"/>
        <v/>
      </c>
      <c r="T153" s="61">
        <f t="shared" si="11"/>
        <v>1</v>
      </c>
      <c r="U153" s="61">
        <f t="shared" si="10"/>
        <v>1</v>
      </c>
      <c r="V153" s="61" t="s">
        <v>150</v>
      </c>
      <c r="W153" s="61" t="s">
        <v>7840</v>
      </c>
      <c r="X153" s="61" t="s">
        <v>3528</v>
      </c>
      <c r="Y153" s="61" t="s">
        <v>815</v>
      </c>
      <c r="Z153" s="61" t="s">
        <v>815</v>
      </c>
      <c r="AA153" s="61" t="s">
        <v>7841</v>
      </c>
      <c r="AB153" s="61"/>
    </row>
    <row r="154" spans="1:28" s="2" customFormat="1" ht="15">
      <c r="A154" s="61" t="s">
        <v>774</v>
      </c>
      <c r="B154" s="61" t="s">
        <v>865</v>
      </c>
      <c r="C154" s="61" t="s">
        <v>3783</v>
      </c>
      <c r="D154" s="61" t="s">
        <v>7838</v>
      </c>
      <c r="E154" s="61">
        <v>5900</v>
      </c>
      <c r="F154" s="61">
        <v>6290</v>
      </c>
      <c r="G154" s="61">
        <v>2025</v>
      </c>
      <c r="H154" s="61" t="s">
        <v>3416</v>
      </c>
      <c r="I154" s="61" t="s">
        <v>188</v>
      </c>
      <c r="J154" s="61"/>
      <c r="K154" s="61" t="s">
        <v>2445</v>
      </c>
      <c r="L154" s="61" t="s">
        <v>7842</v>
      </c>
      <c r="M154" s="475">
        <v>45723</v>
      </c>
      <c r="N154" s="475">
        <v>45726</v>
      </c>
      <c r="O154" s="61"/>
      <c r="P154" s="475">
        <v>45726</v>
      </c>
      <c r="Q154" s="475">
        <v>45727</v>
      </c>
      <c r="R154" s="61">
        <f t="shared" si="8"/>
        <v>1</v>
      </c>
      <c r="S154" s="61" t="str">
        <f t="shared" si="9"/>
        <v/>
      </c>
      <c r="T154" s="61">
        <f t="shared" si="11"/>
        <v>1</v>
      </c>
      <c r="U154" s="61">
        <f t="shared" si="10"/>
        <v>1</v>
      </c>
      <c r="V154" s="61" t="s">
        <v>150</v>
      </c>
      <c r="W154" s="61" t="s">
        <v>7840</v>
      </c>
      <c r="X154" s="61" t="s">
        <v>3528</v>
      </c>
      <c r="Y154" s="61">
        <v>14.5701</v>
      </c>
      <c r="Z154" s="61">
        <v>120.57559999999999</v>
      </c>
      <c r="AA154" s="61" t="s">
        <v>7841</v>
      </c>
      <c r="AB154" s="61"/>
    </row>
    <row r="155" spans="1:28" s="2" customFormat="1" ht="28.5">
      <c r="A155" s="61" t="s">
        <v>774</v>
      </c>
      <c r="B155" s="61" t="s">
        <v>3622</v>
      </c>
      <c r="C155" s="61" t="s">
        <v>3630</v>
      </c>
      <c r="D155" s="61" t="s">
        <v>7838</v>
      </c>
      <c r="E155" s="61">
        <v>5472</v>
      </c>
      <c r="F155" s="61">
        <v>7083</v>
      </c>
      <c r="G155" s="61">
        <v>2025</v>
      </c>
      <c r="H155" s="61" t="s">
        <v>3458</v>
      </c>
      <c r="I155" s="61" t="s">
        <v>188</v>
      </c>
      <c r="J155" s="61"/>
      <c r="K155" s="61" t="s">
        <v>2445</v>
      </c>
      <c r="L155" s="61" t="s">
        <v>7843</v>
      </c>
      <c r="M155" s="475">
        <v>45706</v>
      </c>
      <c r="N155" s="475">
        <v>45706</v>
      </c>
      <c r="O155" s="61"/>
      <c r="P155" s="475">
        <v>45706</v>
      </c>
      <c r="Q155" s="475">
        <v>45707</v>
      </c>
      <c r="R155" s="61">
        <f t="shared" si="8"/>
        <v>1</v>
      </c>
      <c r="S155" s="61" t="str">
        <f t="shared" si="9"/>
        <v/>
      </c>
      <c r="T155" s="61">
        <f t="shared" si="11"/>
        <v>1</v>
      </c>
      <c r="U155" s="61">
        <f t="shared" si="10"/>
        <v>1</v>
      </c>
      <c r="V155" s="61" t="s">
        <v>150</v>
      </c>
      <c r="W155" s="61" t="s">
        <v>4</v>
      </c>
      <c r="X155" s="61" t="s">
        <v>50</v>
      </c>
      <c r="Y155" s="61"/>
      <c r="Z155" s="61"/>
      <c r="AA155" s="61" t="s">
        <v>196</v>
      </c>
      <c r="AB155" s="61"/>
    </row>
    <row r="156" spans="1:28" s="2" customFormat="1" ht="28.5">
      <c r="A156" s="61" t="s">
        <v>774</v>
      </c>
      <c r="B156" s="61" t="s">
        <v>3622</v>
      </c>
      <c r="C156" s="61" t="s">
        <v>1056</v>
      </c>
      <c r="D156" s="61" t="s">
        <v>7838</v>
      </c>
      <c r="E156" s="61">
        <v>799</v>
      </c>
      <c r="F156" s="61">
        <v>736</v>
      </c>
      <c r="G156" s="61">
        <v>2025</v>
      </c>
      <c r="H156" s="61" t="s">
        <v>3127</v>
      </c>
      <c r="I156" s="61" t="s">
        <v>188</v>
      </c>
      <c r="J156" s="61"/>
      <c r="K156" s="61" t="s">
        <v>2445</v>
      </c>
      <c r="L156" s="61" t="s">
        <v>7844</v>
      </c>
      <c r="M156" s="475">
        <v>45904</v>
      </c>
      <c r="N156" s="475">
        <v>45907</v>
      </c>
      <c r="O156" s="61"/>
      <c r="P156" s="475">
        <v>45908</v>
      </c>
      <c r="Q156" s="475">
        <v>45908</v>
      </c>
      <c r="R156" s="61">
        <f t="shared" si="8"/>
        <v>1</v>
      </c>
      <c r="S156" s="61" t="str">
        <f t="shared" si="9"/>
        <v/>
      </c>
      <c r="T156" s="61">
        <f t="shared" si="11"/>
        <v>1</v>
      </c>
      <c r="U156" s="61">
        <f t="shared" si="10"/>
        <v>1</v>
      </c>
      <c r="V156" s="61" t="s">
        <v>150</v>
      </c>
      <c r="W156" s="61" t="s">
        <v>4</v>
      </c>
      <c r="X156" s="61" t="s">
        <v>50</v>
      </c>
      <c r="Y156" s="61">
        <v>14.68365</v>
      </c>
      <c r="Z156" s="61">
        <v>120.53878</v>
      </c>
      <c r="AA156" s="61" t="s">
        <v>196</v>
      </c>
      <c r="AB156" s="61"/>
    </row>
    <row r="157" spans="1:28" s="2" customFormat="1" ht="15">
      <c r="A157" s="61" t="s">
        <v>774</v>
      </c>
      <c r="B157" s="61" t="s">
        <v>865</v>
      </c>
      <c r="C157" s="61" t="s">
        <v>3774</v>
      </c>
      <c r="D157" s="61" t="s">
        <v>7838</v>
      </c>
      <c r="E157" s="61">
        <v>4777</v>
      </c>
      <c r="F157" s="61">
        <v>6141</v>
      </c>
      <c r="G157" s="61">
        <v>2025</v>
      </c>
      <c r="H157" s="61" t="s">
        <v>3126</v>
      </c>
      <c r="I157" s="61" t="s">
        <v>188</v>
      </c>
      <c r="J157" s="61"/>
      <c r="K157" s="61" t="s">
        <v>2445</v>
      </c>
      <c r="L157" s="61" t="s">
        <v>7845</v>
      </c>
      <c r="M157" s="475">
        <v>45870</v>
      </c>
      <c r="N157" s="475">
        <v>45872</v>
      </c>
      <c r="O157" s="61"/>
      <c r="P157" s="475">
        <v>45874</v>
      </c>
      <c r="Q157" s="475">
        <v>45874</v>
      </c>
      <c r="R157" s="61">
        <f t="shared" si="8"/>
        <v>1</v>
      </c>
      <c r="S157" s="61" t="str">
        <f t="shared" si="9"/>
        <v/>
      </c>
      <c r="T157" s="61">
        <f t="shared" si="11"/>
        <v>1</v>
      </c>
      <c r="U157" s="61">
        <f t="shared" si="10"/>
        <v>1</v>
      </c>
      <c r="V157" s="61" t="s">
        <v>150</v>
      </c>
      <c r="W157" s="61" t="s">
        <v>4</v>
      </c>
      <c r="X157" s="61" t="s">
        <v>50</v>
      </c>
      <c r="Y157" s="61">
        <v>14.548489999999999</v>
      </c>
      <c r="Z157" s="61">
        <v>120.59793000000001</v>
      </c>
      <c r="AA157" s="61" t="s">
        <v>7841</v>
      </c>
      <c r="AB157" s="61"/>
    </row>
    <row r="158" spans="1:28" s="2" customFormat="1" ht="15">
      <c r="A158" s="61" t="s">
        <v>774</v>
      </c>
      <c r="B158" s="61" t="s">
        <v>865</v>
      </c>
      <c r="C158" s="61" t="s">
        <v>3778</v>
      </c>
      <c r="D158" s="61" t="s">
        <v>7838</v>
      </c>
      <c r="E158" s="61">
        <v>19329</v>
      </c>
      <c r="F158" s="61">
        <v>19946</v>
      </c>
      <c r="G158" s="61">
        <v>2025</v>
      </c>
      <c r="H158" s="61" t="s">
        <v>3125</v>
      </c>
      <c r="I158" s="61" t="s">
        <v>188</v>
      </c>
      <c r="J158" s="61"/>
      <c r="K158" s="61" t="s">
        <v>2445</v>
      </c>
      <c r="L158" s="61" t="s">
        <v>7846</v>
      </c>
      <c r="M158" s="475">
        <v>45849</v>
      </c>
      <c r="N158" s="475">
        <v>45852</v>
      </c>
      <c r="O158" s="475"/>
      <c r="P158" s="475">
        <v>45853</v>
      </c>
      <c r="Q158" s="475">
        <v>45853</v>
      </c>
      <c r="R158" s="61">
        <f t="shared" si="8"/>
        <v>1</v>
      </c>
      <c r="S158" s="61" t="str">
        <f t="shared" si="9"/>
        <v/>
      </c>
      <c r="T158" s="61">
        <f t="shared" si="11"/>
        <v>1</v>
      </c>
      <c r="U158" s="61">
        <f t="shared" si="10"/>
        <v>1</v>
      </c>
      <c r="V158" s="61" t="s">
        <v>150</v>
      </c>
      <c r="W158" s="61" t="s">
        <v>4</v>
      </c>
      <c r="X158" s="61" t="s">
        <v>50</v>
      </c>
      <c r="Y158" s="61">
        <v>14.51145</v>
      </c>
      <c r="Z158" s="61">
        <v>120.560722</v>
      </c>
      <c r="AA158" s="61" t="s">
        <v>7841</v>
      </c>
      <c r="AB158" s="61"/>
    </row>
    <row r="159" spans="1:28" s="2" customFormat="1" ht="15">
      <c r="A159" s="61" t="s">
        <v>774</v>
      </c>
      <c r="B159" s="61" t="s">
        <v>842</v>
      </c>
      <c r="C159" s="61" t="s">
        <v>3591</v>
      </c>
      <c r="D159" s="61" t="s">
        <v>7838</v>
      </c>
      <c r="E159" s="61">
        <v>695</v>
      </c>
      <c r="F159" s="61">
        <v>843</v>
      </c>
      <c r="G159" s="61"/>
      <c r="H159" s="61"/>
      <c r="I159" s="61" t="s">
        <v>188</v>
      </c>
      <c r="J159" s="61"/>
      <c r="K159" s="61" t="s">
        <v>2445</v>
      </c>
      <c r="L159" s="61"/>
      <c r="M159" s="61"/>
      <c r="N159" s="61"/>
      <c r="O159" s="61"/>
      <c r="P159" s="61"/>
      <c r="Q159" s="61"/>
      <c r="R159" s="61" t="str">
        <f t="shared" si="8"/>
        <v/>
      </c>
      <c r="S159" s="61" t="str">
        <f t="shared" si="9"/>
        <v/>
      </c>
      <c r="T159" s="61" t="str">
        <f t="shared" si="11"/>
        <v/>
      </c>
      <c r="U159" s="61" t="str">
        <f t="shared" si="10"/>
        <v/>
      </c>
      <c r="V159" s="61"/>
      <c r="W159" s="61"/>
      <c r="X159" s="61"/>
      <c r="Y159" s="61"/>
      <c r="Z159" s="61"/>
      <c r="AA159" s="61"/>
      <c r="AB159" s="61"/>
    </row>
    <row r="160" spans="1:28" s="2" customFormat="1" ht="15">
      <c r="A160" s="61" t="s">
        <v>774</v>
      </c>
      <c r="B160" s="61" t="s">
        <v>865</v>
      </c>
      <c r="C160" s="61" t="s">
        <v>3776</v>
      </c>
      <c r="D160" s="61" t="s">
        <v>7838</v>
      </c>
      <c r="E160" s="61">
        <v>1930</v>
      </c>
      <c r="F160" s="61">
        <v>2089</v>
      </c>
      <c r="G160" s="61">
        <v>2025</v>
      </c>
      <c r="H160" s="61" t="s">
        <v>3129</v>
      </c>
      <c r="I160" s="61" t="s">
        <v>188</v>
      </c>
      <c r="J160" s="61"/>
      <c r="K160" s="61" t="s">
        <v>2445</v>
      </c>
      <c r="L160" s="61" t="s">
        <v>7847</v>
      </c>
      <c r="M160" s="475">
        <v>45966</v>
      </c>
      <c r="N160" s="475">
        <v>45972</v>
      </c>
      <c r="O160" s="61"/>
      <c r="P160" s="475">
        <v>45972</v>
      </c>
      <c r="Q160" s="475">
        <v>45975</v>
      </c>
      <c r="R160" s="61">
        <f t="shared" si="8"/>
        <v>4</v>
      </c>
      <c r="S160" s="61" t="str">
        <f t="shared" si="9"/>
        <v/>
      </c>
      <c r="T160" s="61">
        <f t="shared" si="11"/>
        <v>1</v>
      </c>
      <c r="U160" s="61">
        <f t="shared" si="10"/>
        <v>3</v>
      </c>
      <c r="V160" s="61" t="s">
        <v>150</v>
      </c>
      <c r="W160" s="61" t="s">
        <v>4</v>
      </c>
      <c r="X160" s="61" t="s">
        <v>57</v>
      </c>
      <c r="Y160" s="61">
        <v>14.55532</v>
      </c>
      <c r="Z160" s="61">
        <v>120.59762000000001</v>
      </c>
      <c r="AA160" s="61" t="s">
        <v>7841</v>
      </c>
      <c r="AB160" s="61"/>
    </row>
    <row r="161" spans="1:28" s="2" customFormat="1" ht="15">
      <c r="A161" s="61" t="s">
        <v>774</v>
      </c>
      <c r="B161" s="61" t="s">
        <v>877</v>
      </c>
      <c r="C161" s="61" t="s">
        <v>3895</v>
      </c>
      <c r="D161" s="61" t="s">
        <v>7838</v>
      </c>
      <c r="E161" s="61">
        <v>2491</v>
      </c>
      <c r="F161" s="61">
        <v>2816</v>
      </c>
      <c r="G161" s="61">
        <v>2025</v>
      </c>
      <c r="H161" s="61" t="s">
        <v>3125</v>
      </c>
      <c r="I161" s="61" t="s">
        <v>188</v>
      </c>
      <c r="J161" s="61"/>
      <c r="K161" s="61" t="s">
        <v>2445</v>
      </c>
      <c r="L161" s="61" t="s">
        <v>7848</v>
      </c>
      <c r="M161" s="475">
        <v>45839</v>
      </c>
      <c r="N161" s="475">
        <v>45845</v>
      </c>
      <c r="O161" s="61"/>
      <c r="P161" s="475">
        <v>45845</v>
      </c>
      <c r="Q161" s="475">
        <v>45847</v>
      </c>
      <c r="R161" s="61">
        <f t="shared" si="8"/>
        <v>4</v>
      </c>
      <c r="S161" s="61" t="str">
        <f t="shared" si="9"/>
        <v/>
      </c>
      <c r="T161" s="61">
        <f t="shared" si="11"/>
        <v>1</v>
      </c>
      <c r="U161" s="61">
        <f t="shared" si="10"/>
        <v>2</v>
      </c>
      <c r="V161" s="61" t="s">
        <v>150</v>
      </c>
      <c r="W161" s="61" t="s">
        <v>4</v>
      </c>
      <c r="X161" s="61" t="s">
        <v>50</v>
      </c>
      <c r="Y161" s="61">
        <v>14.63175</v>
      </c>
      <c r="Z161" s="61">
        <v>120.50645</v>
      </c>
      <c r="AA161" s="61" t="s">
        <v>7849</v>
      </c>
      <c r="AB161" s="61"/>
    </row>
    <row r="162" spans="1:28" s="2" customFormat="1" ht="15">
      <c r="A162" s="61" t="s">
        <v>774</v>
      </c>
      <c r="B162" s="61" t="s">
        <v>877</v>
      </c>
      <c r="C162" s="61" t="s">
        <v>3899</v>
      </c>
      <c r="D162" s="61" t="s">
        <v>7838</v>
      </c>
      <c r="E162" s="61">
        <v>5488</v>
      </c>
      <c r="F162" s="61">
        <v>5857</v>
      </c>
      <c r="G162" s="61">
        <v>2025</v>
      </c>
      <c r="H162" s="61" t="s">
        <v>3127</v>
      </c>
      <c r="I162" s="61" t="s">
        <v>188</v>
      </c>
      <c r="J162" s="61"/>
      <c r="K162" s="61" t="s">
        <v>2445</v>
      </c>
      <c r="L162" s="61" t="s">
        <v>7850</v>
      </c>
      <c r="M162" s="475">
        <v>45897</v>
      </c>
      <c r="N162" s="475">
        <v>45901</v>
      </c>
      <c r="O162" s="61"/>
      <c r="P162" s="475">
        <v>45902</v>
      </c>
      <c r="Q162" s="475">
        <v>45902</v>
      </c>
      <c r="R162" s="61">
        <f t="shared" si="8"/>
        <v>2</v>
      </c>
      <c r="S162" s="61" t="str">
        <f t="shared" si="9"/>
        <v/>
      </c>
      <c r="T162" s="61">
        <f t="shared" si="11"/>
        <v>1</v>
      </c>
      <c r="U162" s="61">
        <f t="shared" si="10"/>
        <v>1</v>
      </c>
      <c r="V162" s="61" t="s">
        <v>150</v>
      </c>
      <c r="W162" s="61" t="s">
        <v>4</v>
      </c>
      <c r="X162" s="61" t="s">
        <v>50</v>
      </c>
      <c r="Y162" s="61">
        <v>14.669729999999999</v>
      </c>
      <c r="Z162" s="474">
        <v>120.5497</v>
      </c>
      <c r="AA162" s="61" t="s">
        <v>7849</v>
      </c>
      <c r="AB162" s="61"/>
    </row>
    <row r="163" spans="1:28" s="2" customFormat="1" ht="15">
      <c r="A163" s="61" t="s">
        <v>774</v>
      </c>
      <c r="B163" s="61" t="s">
        <v>865</v>
      </c>
      <c r="C163" s="61" t="s">
        <v>1763</v>
      </c>
      <c r="D163" s="61" t="s">
        <v>7838</v>
      </c>
      <c r="E163" s="61">
        <v>5803</v>
      </c>
      <c r="F163" s="61">
        <v>6869</v>
      </c>
      <c r="G163" s="61">
        <v>2025</v>
      </c>
      <c r="H163" s="61" t="s">
        <v>3470</v>
      </c>
      <c r="I163" s="61" t="s">
        <v>188</v>
      </c>
      <c r="J163" s="61"/>
      <c r="K163" s="61" t="s">
        <v>2445</v>
      </c>
      <c r="L163" s="61" t="s">
        <v>7851</v>
      </c>
      <c r="M163" s="475">
        <v>45737</v>
      </c>
      <c r="N163" s="475">
        <v>45739</v>
      </c>
      <c r="O163" s="61"/>
      <c r="P163" s="475">
        <v>45742</v>
      </c>
      <c r="Q163" s="475">
        <v>45749</v>
      </c>
      <c r="R163" s="61">
        <f t="shared" si="8"/>
        <v>1</v>
      </c>
      <c r="S163" s="61" t="str">
        <f t="shared" si="9"/>
        <v/>
      </c>
      <c r="T163" s="61">
        <f t="shared" si="11"/>
        <v>2</v>
      </c>
      <c r="U163" s="61">
        <f t="shared" si="10"/>
        <v>5</v>
      </c>
      <c r="V163" s="61" t="s">
        <v>150</v>
      </c>
      <c r="W163" s="61" t="s">
        <v>4</v>
      </c>
      <c r="X163" s="61" t="s">
        <v>50</v>
      </c>
      <c r="Y163" s="61">
        <v>14.533200000000001</v>
      </c>
      <c r="Z163" s="61">
        <v>120.58789</v>
      </c>
      <c r="AA163" s="61" t="s">
        <v>7841</v>
      </c>
      <c r="AB163" s="61"/>
    </row>
    <row r="164" spans="1:28" s="2" customFormat="1" ht="15">
      <c r="A164" s="61" t="s">
        <v>774</v>
      </c>
      <c r="B164" s="61" t="s">
        <v>842</v>
      </c>
      <c r="C164" s="61" t="s">
        <v>3593</v>
      </c>
      <c r="D164" s="61" t="s">
        <v>7838</v>
      </c>
      <c r="E164" s="61">
        <v>4833</v>
      </c>
      <c r="F164" s="61">
        <v>5627</v>
      </c>
      <c r="G164" s="61">
        <v>2025</v>
      </c>
      <c r="H164" s="61" t="s">
        <v>3126</v>
      </c>
      <c r="I164" s="61" t="s">
        <v>188</v>
      </c>
      <c r="J164" s="61"/>
      <c r="K164" s="61" t="s">
        <v>2445</v>
      </c>
      <c r="L164" s="61" t="s">
        <v>7852</v>
      </c>
      <c r="M164" s="475">
        <v>45867</v>
      </c>
      <c r="N164" s="475">
        <v>45872</v>
      </c>
      <c r="O164" s="61"/>
      <c r="P164" s="475">
        <v>45874</v>
      </c>
      <c r="Q164" s="475">
        <v>45874</v>
      </c>
      <c r="R164" s="61">
        <f t="shared" si="8"/>
        <v>3</v>
      </c>
      <c r="S164" s="61" t="str">
        <f t="shared" si="9"/>
        <v/>
      </c>
      <c r="T164" s="61">
        <f t="shared" si="11"/>
        <v>1</v>
      </c>
      <c r="U164" s="61">
        <f t="shared" si="10"/>
        <v>1</v>
      </c>
      <c r="V164" s="61" t="s">
        <v>150</v>
      </c>
      <c r="W164" s="61" t="s">
        <v>1078</v>
      </c>
      <c r="X164" s="61" t="s">
        <v>50</v>
      </c>
      <c r="Y164" s="474">
        <v>14.7257</v>
      </c>
      <c r="Z164" s="61">
        <v>120.53679</v>
      </c>
      <c r="AA164" s="61" t="s">
        <v>7853</v>
      </c>
      <c r="AB164" s="61"/>
    </row>
    <row r="165" spans="1:28" s="2" customFormat="1" ht="15">
      <c r="A165" s="61" t="s">
        <v>774</v>
      </c>
      <c r="B165" s="61" t="s">
        <v>842</v>
      </c>
      <c r="C165" s="61" t="s">
        <v>843</v>
      </c>
      <c r="D165" s="61" t="s">
        <v>7838</v>
      </c>
      <c r="E165" s="61">
        <v>6742</v>
      </c>
      <c r="F165" s="61">
        <v>7280</v>
      </c>
      <c r="G165" s="61">
        <v>2025</v>
      </c>
      <c r="H165" s="61" t="s">
        <v>3126</v>
      </c>
      <c r="I165" s="61" t="s">
        <v>188</v>
      </c>
      <c r="J165" s="61"/>
      <c r="K165" s="61" t="s">
        <v>2445</v>
      </c>
      <c r="L165" s="61" t="s">
        <v>7854</v>
      </c>
      <c r="M165" s="475">
        <v>45867</v>
      </c>
      <c r="N165" s="475">
        <v>45872</v>
      </c>
      <c r="O165" s="61"/>
      <c r="P165" s="475">
        <v>45874</v>
      </c>
      <c r="Q165" s="475">
        <v>45874</v>
      </c>
      <c r="R165" s="61">
        <f t="shared" si="8"/>
        <v>3</v>
      </c>
      <c r="S165" s="61" t="str">
        <f t="shared" si="9"/>
        <v/>
      </c>
      <c r="T165" s="61">
        <f t="shared" si="11"/>
        <v>1</v>
      </c>
      <c r="U165" s="61">
        <f t="shared" si="10"/>
        <v>1</v>
      </c>
      <c r="V165" s="61" t="s">
        <v>150</v>
      </c>
      <c r="W165" s="61" t="s">
        <v>1078</v>
      </c>
      <c r="X165" s="61" t="s">
        <v>50</v>
      </c>
      <c r="Y165" s="61">
        <v>14.705920000000001</v>
      </c>
      <c r="Z165" s="61">
        <v>120.53847</v>
      </c>
      <c r="AA165" s="61" t="s">
        <v>7853</v>
      </c>
      <c r="AB165" s="61"/>
    </row>
    <row r="166" spans="1:28" s="2" customFormat="1" ht="15">
      <c r="A166" s="61" t="s">
        <v>774</v>
      </c>
      <c r="B166" s="61" t="s">
        <v>865</v>
      </c>
      <c r="C166" s="61" t="s">
        <v>3779</v>
      </c>
      <c r="D166" s="61" t="s">
        <v>7838</v>
      </c>
      <c r="E166" s="61">
        <v>3209</v>
      </c>
      <c r="F166" s="61">
        <v>3191</v>
      </c>
      <c r="G166" s="61">
        <v>2025</v>
      </c>
      <c r="H166" s="61" t="s">
        <v>3458</v>
      </c>
      <c r="I166" s="61" t="s">
        <v>188</v>
      </c>
      <c r="J166" s="61"/>
      <c r="K166" s="61" t="s">
        <v>2445</v>
      </c>
      <c r="L166" s="61" t="s">
        <v>7855</v>
      </c>
      <c r="M166" s="475">
        <v>45701</v>
      </c>
      <c r="N166" s="475">
        <v>45704</v>
      </c>
      <c r="O166" s="475"/>
      <c r="P166" s="475">
        <v>45705</v>
      </c>
      <c r="Q166" s="475">
        <v>45705</v>
      </c>
      <c r="R166" s="61">
        <f t="shared" si="8"/>
        <v>1</v>
      </c>
      <c r="S166" s="61" t="str">
        <f t="shared" si="9"/>
        <v/>
      </c>
      <c r="T166" s="61">
        <f t="shared" si="11"/>
        <v>1</v>
      </c>
      <c r="U166" s="61">
        <f t="shared" si="10"/>
        <v>1</v>
      </c>
      <c r="V166" s="61" t="s">
        <v>150</v>
      </c>
      <c r="W166" s="61" t="s">
        <v>4</v>
      </c>
      <c r="X166" s="61" t="s">
        <v>50</v>
      </c>
      <c r="Y166" s="61"/>
      <c r="Z166" s="61"/>
      <c r="AA166" s="61" t="s">
        <v>7841</v>
      </c>
      <c r="AB166" s="61"/>
    </row>
    <row r="167" spans="1:28" s="2" customFormat="1" ht="15">
      <c r="A167" s="61" t="s">
        <v>774</v>
      </c>
      <c r="B167" s="61" t="s">
        <v>842</v>
      </c>
      <c r="C167" s="61" t="s">
        <v>3600</v>
      </c>
      <c r="D167" s="61" t="s">
        <v>7838</v>
      </c>
      <c r="E167" s="61">
        <v>9165</v>
      </c>
      <c r="F167" s="61">
        <v>9650</v>
      </c>
      <c r="G167" s="61">
        <v>2025</v>
      </c>
      <c r="H167" s="61" t="s">
        <v>3127</v>
      </c>
      <c r="I167" s="61" t="s">
        <v>188</v>
      </c>
      <c r="J167" s="61"/>
      <c r="K167" s="61" t="s">
        <v>2445</v>
      </c>
      <c r="L167" s="61" t="s">
        <v>7856</v>
      </c>
      <c r="M167" s="475">
        <v>45895</v>
      </c>
      <c r="N167" s="475">
        <v>45901</v>
      </c>
      <c r="O167" s="61"/>
      <c r="P167" s="475">
        <v>45902</v>
      </c>
      <c r="Q167" s="475">
        <v>45902</v>
      </c>
      <c r="R167" s="61">
        <f t="shared" si="8"/>
        <v>4</v>
      </c>
      <c r="S167" s="61" t="str">
        <f t="shared" si="9"/>
        <v/>
      </c>
      <c r="T167" s="61">
        <f t="shared" si="11"/>
        <v>1</v>
      </c>
      <c r="U167" s="61">
        <f t="shared" si="10"/>
        <v>1</v>
      </c>
      <c r="V167" s="61" t="s">
        <v>150</v>
      </c>
      <c r="W167" s="61" t="s">
        <v>1078</v>
      </c>
      <c r="X167" s="61" t="s">
        <v>50</v>
      </c>
      <c r="Y167" s="61">
        <v>14.74057</v>
      </c>
      <c r="Z167" s="61">
        <v>120.53794000000001</v>
      </c>
      <c r="AA167" s="61" t="s">
        <v>7853</v>
      </c>
      <c r="AB167" s="61"/>
    </row>
    <row r="168" spans="1:28" s="2" customFormat="1" ht="15">
      <c r="A168" s="61" t="s">
        <v>774</v>
      </c>
      <c r="B168" s="61" t="s">
        <v>895</v>
      </c>
      <c r="C168" s="61" t="s">
        <v>3790</v>
      </c>
      <c r="D168" s="61" t="s">
        <v>7838</v>
      </c>
      <c r="E168" s="61">
        <v>15047</v>
      </c>
      <c r="F168" s="61">
        <v>18868</v>
      </c>
      <c r="G168" s="61">
        <v>2025</v>
      </c>
      <c r="H168" s="61" t="s">
        <v>3458</v>
      </c>
      <c r="I168" s="61" t="s">
        <v>19</v>
      </c>
      <c r="J168" s="61"/>
      <c r="K168" s="61" t="s">
        <v>2445</v>
      </c>
      <c r="L168" s="61" t="s">
        <v>7857</v>
      </c>
      <c r="M168" s="475">
        <v>45694</v>
      </c>
      <c r="N168" s="475">
        <v>45698</v>
      </c>
      <c r="O168" s="61"/>
      <c r="P168" s="475">
        <v>45698</v>
      </c>
      <c r="Q168" s="475">
        <v>45698</v>
      </c>
      <c r="R168" s="61">
        <f t="shared" si="8"/>
        <v>2</v>
      </c>
      <c r="S168" s="61" t="str">
        <f t="shared" si="9"/>
        <v/>
      </c>
      <c r="T168" s="61">
        <f t="shared" si="11"/>
        <v>1</v>
      </c>
      <c r="U168" s="61">
        <f t="shared" si="10"/>
        <v>1</v>
      </c>
      <c r="V168" s="61" t="s">
        <v>150</v>
      </c>
      <c r="W168" s="61" t="s">
        <v>4</v>
      </c>
      <c r="X168" s="61" t="s">
        <v>50</v>
      </c>
      <c r="Y168" s="61"/>
      <c r="Z168" s="61"/>
      <c r="AA168" s="479"/>
      <c r="AB168" s="61"/>
    </row>
    <row r="169" spans="1:28" s="2" customFormat="1" ht="15">
      <c r="A169" s="61" t="s">
        <v>774</v>
      </c>
      <c r="B169" s="61" t="s">
        <v>895</v>
      </c>
      <c r="C169" s="61" t="s">
        <v>898</v>
      </c>
      <c r="D169" s="61" t="s">
        <v>7838</v>
      </c>
      <c r="E169" s="61">
        <v>3264</v>
      </c>
      <c r="F169" s="61">
        <v>3389</v>
      </c>
      <c r="G169" s="61">
        <v>2025</v>
      </c>
      <c r="H169" s="61" t="s">
        <v>3532</v>
      </c>
      <c r="I169" s="61" t="s">
        <v>19</v>
      </c>
      <c r="J169" s="61"/>
      <c r="K169" s="61" t="s">
        <v>2445</v>
      </c>
      <c r="L169" s="61" t="s">
        <v>7858</v>
      </c>
      <c r="M169" s="475">
        <v>45772</v>
      </c>
      <c r="N169" s="475">
        <v>45775</v>
      </c>
      <c r="O169" s="61"/>
      <c r="P169" s="475">
        <v>45775</v>
      </c>
      <c r="Q169" s="475">
        <v>45779</v>
      </c>
      <c r="R169" s="61">
        <f t="shared" si="8"/>
        <v>1</v>
      </c>
      <c r="S169" s="61" t="str">
        <f t="shared" si="9"/>
        <v/>
      </c>
      <c r="T169" s="61">
        <f t="shared" si="11"/>
        <v>1</v>
      </c>
      <c r="U169" s="61">
        <f t="shared" si="10"/>
        <v>4</v>
      </c>
      <c r="V169" s="61" t="s">
        <v>150</v>
      </c>
      <c r="W169" s="61" t="s">
        <v>4</v>
      </c>
      <c r="X169" s="61" t="s">
        <v>50</v>
      </c>
      <c r="Y169" s="61">
        <v>14.500260000000001</v>
      </c>
      <c r="Z169" s="61">
        <v>120.60038</v>
      </c>
      <c r="AA169" s="61" t="s">
        <v>182</v>
      </c>
      <c r="AB169" s="61"/>
    </row>
    <row r="170" spans="1:28" s="2" customFormat="1" ht="15">
      <c r="A170" s="61" t="s">
        <v>774</v>
      </c>
      <c r="B170" s="61" t="s">
        <v>842</v>
      </c>
      <c r="C170" s="61" t="s">
        <v>3603</v>
      </c>
      <c r="D170" s="61" t="s">
        <v>7838</v>
      </c>
      <c r="E170" s="61">
        <v>3199</v>
      </c>
      <c r="F170" s="61">
        <v>3832</v>
      </c>
      <c r="G170" s="61">
        <v>2025</v>
      </c>
      <c r="H170" s="61" t="s">
        <v>3127</v>
      </c>
      <c r="I170" s="61" t="s">
        <v>188</v>
      </c>
      <c r="J170" s="61"/>
      <c r="K170" s="61" t="s">
        <v>2445</v>
      </c>
      <c r="L170" s="61" t="s">
        <v>7859</v>
      </c>
      <c r="M170" s="475">
        <v>45902</v>
      </c>
      <c r="N170" s="475">
        <v>45907</v>
      </c>
      <c r="O170" s="61"/>
      <c r="P170" s="475">
        <v>45908</v>
      </c>
      <c r="Q170" s="475">
        <v>45908</v>
      </c>
      <c r="R170" s="61">
        <f t="shared" si="8"/>
        <v>3</v>
      </c>
      <c r="S170" s="61" t="str">
        <f t="shared" si="9"/>
        <v/>
      </c>
      <c r="T170" s="61">
        <f t="shared" si="11"/>
        <v>1</v>
      </c>
      <c r="U170" s="61">
        <f t="shared" si="10"/>
        <v>1</v>
      </c>
      <c r="V170" s="61" t="s">
        <v>150</v>
      </c>
      <c r="W170" s="61" t="s">
        <v>1078</v>
      </c>
      <c r="X170" s="61" t="s">
        <v>50</v>
      </c>
      <c r="Y170" s="61">
        <v>14.71468</v>
      </c>
      <c r="Z170" s="61">
        <v>120.52928</v>
      </c>
      <c r="AA170" s="61" t="s">
        <v>7853</v>
      </c>
      <c r="AB170" s="61"/>
    </row>
    <row r="171" spans="1:28" s="2" customFormat="1" ht="15">
      <c r="A171" s="61" t="s">
        <v>774</v>
      </c>
      <c r="B171" s="61" t="s">
        <v>895</v>
      </c>
      <c r="C171" s="61" t="s">
        <v>3795</v>
      </c>
      <c r="D171" s="61" t="s">
        <v>7838</v>
      </c>
      <c r="E171" s="61">
        <v>5951</v>
      </c>
      <c r="F171" s="61">
        <v>5811</v>
      </c>
      <c r="G171" s="61">
        <v>2025</v>
      </c>
      <c r="H171" s="61" t="s">
        <v>3470</v>
      </c>
      <c r="I171" s="61" t="s">
        <v>19</v>
      </c>
      <c r="J171" s="61"/>
      <c r="K171" s="61" t="s">
        <v>2445</v>
      </c>
      <c r="L171" s="61" t="s">
        <v>7860</v>
      </c>
      <c r="M171" s="475">
        <v>45741</v>
      </c>
      <c r="N171" s="475">
        <v>45747</v>
      </c>
      <c r="O171" s="475"/>
      <c r="P171" s="475">
        <v>45747</v>
      </c>
      <c r="Q171" s="475">
        <v>45747</v>
      </c>
      <c r="R171" s="61">
        <f t="shared" si="8"/>
        <v>4</v>
      </c>
      <c r="S171" s="61" t="str">
        <f t="shared" si="9"/>
        <v/>
      </c>
      <c r="T171" s="61">
        <f t="shared" si="11"/>
        <v>1</v>
      </c>
      <c r="U171" s="61">
        <f t="shared" si="10"/>
        <v>1</v>
      </c>
      <c r="V171" s="61" t="s">
        <v>150</v>
      </c>
      <c r="W171" s="61" t="s">
        <v>4</v>
      </c>
      <c r="X171" s="61" t="s">
        <v>50</v>
      </c>
      <c r="Y171" s="61">
        <v>14.500260000000001</v>
      </c>
      <c r="Z171" s="61">
        <v>120.60038</v>
      </c>
      <c r="AA171" s="61" t="s">
        <v>182</v>
      </c>
      <c r="AB171" s="61"/>
    </row>
    <row r="172" spans="1:28" s="2" customFormat="1" ht="28.5">
      <c r="A172" s="61" t="s">
        <v>774</v>
      </c>
      <c r="B172" s="61" t="s">
        <v>3622</v>
      </c>
      <c r="C172" s="61" t="s">
        <v>3641</v>
      </c>
      <c r="D172" s="61" t="s">
        <v>7838</v>
      </c>
      <c r="E172" s="61">
        <v>2570</v>
      </c>
      <c r="F172" s="61">
        <v>2277</v>
      </c>
      <c r="G172" s="61">
        <v>2025</v>
      </c>
      <c r="H172" s="61" t="s">
        <v>3126</v>
      </c>
      <c r="I172" s="61" t="s">
        <v>188</v>
      </c>
      <c r="J172" s="61"/>
      <c r="K172" s="61" t="s">
        <v>2445</v>
      </c>
      <c r="L172" s="61" t="s">
        <v>7861</v>
      </c>
      <c r="M172" s="475">
        <v>45868</v>
      </c>
      <c r="N172" s="475">
        <v>45872</v>
      </c>
      <c r="O172" s="61"/>
      <c r="P172" s="475">
        <v>45874</v>
      </c>
      <c r="Q172" s="475">
        <v>45874</v>
      </c>
      <c r="R172" s="61">
        <f t="shared" si="8"/>
        <v>2</v>
      </c>
      <c r="S172" s="61" t="str">
        <f t="shared" si="9"/>
        <v/>
      </c>
      <c r="T172" s="61">
        <f t="shared" si="11"/>
        <v>1</v>
      </c>
      <c r="U172" s="61">
        <f t="shared" si="10"/>
        <v>1</v>
      </c>
      <c r="V172" s="61" t="s">
        <v>150</v>
      </c>
      <c r="W172" s="61" t="s">
        <v>1078</v>
      </c>
      <c r="X172" s="61" t="s">
        <v>50</v>
      </c>
      <c r="Y172" s="61">
        <v>14.68064</v>
      </c>
      <c r="Z172" s="61">
        <v>120.53684</v>
      </c>
      <c r="AA172" s="61" t="s">
        <v>196</v>
      </c>
      <c r="AB172" s="61"/>
    </row>
    <row r="173" spans="1:28" s="2" customFormat="1" ht="28.5">
      <c r="A173" s="61" t="s">
        <v>774</v>
      </c>
      <c r="B173" s="61" t="s">
        <v>3622</v>
      </c>
      <c r="C173" s="61" t="s">
        <v>3657</v>
      </c>
      <c r="D173" s="61" t="s">
        <v>7838</v>
      </c>
      <c r="E173" s="61">
        <v>818</v>
      </c>
      <c r="F173" s="61">
        <v>914</v>
      </c>
      <c r="G173" s="61">
        <v>2025</v>
      </c>
      <c r="H173" s="61" t="s">
        <v>3126</v>
      </c>
      <c r="I173" s="61" t="s">
        <v>188</v>
      </c>
      <c r="J173" s="61"/>
      <c r="K173" s="61" t="s">
        <v>2445</v>
      </c>
      <c r="L173" s="61" t="s">
        <v>7862</v>
      </c>
      <c r="M173" s="475">
        <v>45875</v>
      </c>
      <c r="N173" s="475">
        <v>45880</v>
      </c>
      <c r="O173" s="61"/>
      <c r="P173" s="475">
        <v>45880</v>
      </c>
      <c r="Q173" s="475">
        <v>45882</v>
      </c>
      <c r="R173" s="61">
        <f t="shared" si="8"/>
        <v>3</v>
      </c>
      <c r="S173" s="61" t="str">
        <f t="shared" si="9"/>
        <v/>
      </c>
      <c r="T173" s="61">
        <f t="shared" si="11"/>
        <v>1</v>
      </c>
      <c r="U173" s="61">
        <f t="shared" si="10"/>
        <v>2</v>
      </c>
      <c r="V173" s="61" t="s">
        <v>150</v>
      </c>
      <c r="W173" s="61" t="s">
        <v>1078</v>
      </c>
      <c r="X173" s="61" t="s">
        <v>50</v>
      </c>
      <c r="Y173" s="61">
        <v>14.9206</v>
      </c>
      <c r="Z173" s="61">
        <v>120.53941</v>
      </c>
      <c r="AA173" s="61" t="s">
        <v>196</v>
      </c>
      <c r="AB173" s="61"/>
    </row>
    <row r="174" spans="1:28" s="2" customFormat="1" ht="28.5">
      <c r="A174" s="61" t="s">
        <v>774</v>
      </c>
      <c r="B174" s="61" t="s">
        <v>3622</v>
      </c>
      <c r="C174" s="61" t="s">
        <v>1881</v>
      </c>
      <c r="D174" s="61" t="s">
        <v>7838</v>
      </c>
      <c r="E174" s="61">
        <v>2074</v>
      </c>
      <c r="F174" s="61">
        <v>2067</v>
      </c>
      <c r="G174" s="474">
        <v>2025</v>
      </c>
      <c r="H174" s="474" t="s">
        <v>3128</v>
      </c>
      <c r="I174" s="61" t="s">
        <v>188</v>
      </c>
      <c r="J174" s="61"/>
      <c r="K174" s="61" t="s">
        <v>2445</v>
      </c>
      <c r="L174" s="61" t="s">
        <v>7863</v>
      </c>
      <c r="M174" s="475">
        <v>45946</v>
      </c>
      <c r="N174" s="475">
        <v>45946</v>
      </c>
      <c r="O174" s="61"/>
      <c r="P174" s="475">
        <v>45948</v>
      </c>
      <c r="Q174" s="475">
        <v>45950</v>
      </c>
      <c r="R174" s="61">
        <f t="shared" si="8"/>
        <v>1</v>
      </c>
      <c r="S174" s="61" t="str">
        <f t="shared" si="9"/>
        <v/>
      </c>
      <c r="T174" s="61">
        <f t="shared" si="11"/>
        <v>1</v>
      </c>
      <c r="U174" s="61">
        <f t="shared" si="10"/>
        <v>1</v>
      </c>
      <c r="V174" s="61" t="s">
        <v>150</v>
      </c>
      <c r="W174" s="61" t="s">
        <v>1078</v>
      </c>
      <c r="X174" s="61" t="s">
        <v>50</v>
      </c>
      <c r="Y174" s="61">
        <v>14.679790000000001</v>
      </c>
      <c r="Z174" s="61">
        <v>120.54522</v>
      </c>
      <c r="AA174" s="61" t="s">
        <v>196</v>
      </c>
      <c r="AB174" s="61"/>
    </row>
    <row r="175" spans="1:28" s="2" customFormat="1" ht="28.5">
      <c r="A175" s="61" t="s">
        <v>774</v>
      </c>
      <c r="B175" s="61" t="s">
        <v>3622</v>
      </c>
      <c r="C175" s="61" t="s">
        <v>3628</v>
      </c>
      <c r="D175" s="61" t="s">
        <v>7838</v>
      </c>
      <c r="E175" s="61">
        <v>8137</v>
      </c>
      <c r="F175" s="61">
        <v>9775</v>
      </c>
      <c r="G175" s="61">
        <v>2025</v>
      </c>
      <c r="H175" s="61" t="s">
        <v>3129</v>
      </c>
      <c r="I175" s="61" t="s">
        <v>188</v>
      </c>
      <c r="J175" s="61"/>
      <c r="K175" s="61" t="s">
        <v>2445</v>
      </c>
      <c r="L175" s="61" t="s">
        <v>7864</v>
      </c>
      <c r="M175" s="475">
        <v>45967</v>
      </c>
      <c r="N175" s="475">
        <v>45972</v>
      </c>
      <c r="O175" s="61"/>
      <c r="P175" s="475">
        <v>45972</v>
      </c>
      <c r="Q175" s="475">
        <v>45972</v>
      </c>
      <c r="R175" s="61">
        <f t="shared" si="8"/>
        <v>3</v>
      </c>
      <c r="S175" s="61" t="str">
        <f t="shared" si="9"/>
        <v/>
      </c>
      <c r="T175" s="61">
        <f t="shared" si="11"/>
        <v>1</v>
      </c>
      <c r="U175" s="61">
        <f t="shared" si="10"/>
        <v>1</v>
      </c>
      <c r="V175" s="61" t="s">
        <v>150</v>
      </c>
      <c r="W175" s="61" t="s">
        <v>1078</v>
      </c>
      <c r="X175" s="61" t="s">
        <v>50</v>
      </c>
      <c r="Y175" s="61">
        <v>14.67465</v>
      </c>
      <c r="Z175" s="61">
        <v>120.54040999999999</v>
      </c>
      <c r="AA175" s="61" t="s">
        <v>196</v>
      </c>
      <c r="AB175" s="61"/>
    </row>
    <row r="176" spans="1:28" s="2" customFormat="1" ht="15">
      <c r="A176" s="61" t="s">
        <v>774</v>
      </c>
      <c r="B176" s="61" t="s">
        <v>1775</v>
      </c>
      <c r="C176" s="61" t="s">
        <v>3816</v>
      </c>
      <c r="D176" s="61" t="s">
        <v>7838</v>
      </c>
      <c r="E176" s="61">
        <v>6207</v>
      </c>
      <c r="F176" s="61">
        <v>6756</v>
      </c>
      <c r="G176" s="61">
        <v>2025</v>
      </c>
      <c r="H176" s="61" t="s">
        <v>3689</v>
      </c>
      <c r="I176" s="61" t="s">
        <v>19</v>
      </c>
      <c r="J176" s="61"/>
      <c r="K176" s="61" t="s">
        <v>2445</v>
      </c>
      <c r="L176" s="61" t="s">
        <v>7865</v>
      </c>
      <c r="M176" s="475">
        <v>45798</v>
      </c>
      <c r="N176" s="475">
        <v>45803</v>
      </c>
      <c r="O176" s="61"/>
      <c r="P176" s="475">
        <v>45803</v>
      </c>
      <c r="Q176" s="475">
        <v>45805</v>
      </c>
      <c r="R176" s="61">
        <f t="shared" si="8"/>
        <v>3</v>
      </c>
      <c r="S176" s="61" t="str">
        <f t="shared" si="9"/>
        <v/>
      </c>
      <c r="T176" s="61">
        <f t="shared" si="11"/>
        <v>1</v>
      </c>
      <c r="U176" s="61">
        <f t="shared" si="10"/>
        <v>2</v>
      </c>
      <c r="V176" s="61" t="s">
        <v>150</v>
      </c>
      <c r="W176" s="61" t="s">
        <v>4</v>
      </c>
      <c r="X176" s="61" t="s">
        <v>62</v>
      </c>
      <c r="Y176" s="61">
        <v>14.65607</v>
      </c>
      <c r="Z176" s="61">
        <v>120.29571</v>
      </c>
      <c r="AA176" s="61" t="s">
        <v>330</v>
      </c>
      <c r="AB176" s="61"/>
    </row>
    <row r="177" spans="1:28" s="2" customFormat="1" ht="28.5">
      <c r="A177" s="61" t="s">
        <v>774</v>
      </c>
      <c r="B177" s="61" t="s">
        <v>3622</v>
      </c>
      <c r="C177" s="61" t="s">
        <v>3654</v>
      </c>
      <c r="D177" s="61" t="s">
        <v>7838</v>
      </c>
      <c r="E177" s="61">
        <v>1907</v>
      </c>
      <c r="F177" s="61">
        <v>2181</v>
      </c>
      <c r="G177" s="61">
        <v>2025</v>
      </c>
      <c r="H177" s="61" t="s">
        <v>3128</v>
      </c>
      <c r="I177" s="61" t="s">
        <v>188</v>
      </c>
      <c r="J177" s="61"/>
      <c r="K177" s="61" t="s">
        <v>2445</v>
      </c>
      <c r="L177" s="61" t="s">
        <v>7866</v>
      </c>
      <c r="M177" s="475">
        <v>45946</v>
      </c>
      <c r="N177" s="475">
        <v>45946</v>
      </c>
      <c r="O177" s="61"/>
      <c r="P177" s="475">
        <v>45948</v>
      </c>
      <c r="Q177" s="475">
        <v>45950</v>
      </c>
      <c r="R177" s="61">
        <f t="shared" si="8"/>
        <v>1</v>
      </c>
      <c r="S177" s="61" t="str">
        <f t="shared" si="9"/>
        <v/>
      </c>
      <c r="T177" s="61">
        <f t="shared" si="11"/>
        <v>1</v>
      </c>
      <c r="U177" s="61">
        <f t="shared" si="10"/>
        <v>1</v>
      </c>
      <c r="V177" s="61" t="s">
        <v>150</v>
      </c>
      <c r="W177" s="61" t="s">
        <v>1078</v>
      </c>
      <c r="X177" s="61" t="s">
        <v>50</v>
      </c>
      <c r="Y177" s="61">
        <v>14.68482</v>
      </c>
      <c r="Z177" s="61">
        <v>120.54874</v>
      </c>
      <c r="AA177" s="61" t="s">
        <v>196</v>
      </c>
      <c r="AB177" s="61"/>
    </row>
    <row r="178" spans="1:28" s="2" customFormat="1" ht="28.5">
      <c r="A178" s="61" t="s">
        <v>774</v>
      </c>
      <c r="B178" s="61" t="s">
        <v>3622</v>
      </c>
      <c r="C178" s="61" t="s">
        <v>3659</v>
      </c>
      <c r="D178" s="61" t="s">
        <v>7838</v>
      </c>
      <c r="E178" s="61">
        <v>10964</v>
      </c>
      <c r="F178" s="61">
        <v>9227</v>
      </c>
      <c r="G178" s="61">
        <v>2025</v>
      </c>
      <c r="H178" s="61" t="s">
        <v>3128</v>
      </c>
      <c r="I178" s="61" t="s">
        <v>188</v>
      </c>
      <c r="J178" s="61"/>
      <c r="K178" s="61" t="s">
        <v>2445</v>
      </c>
      <c r="L178" s="61" t="s">
        <v>7867</v>
      </c>
      <c r="M178" s="475">
        <v>45930</v>
      </c>
      <c r="N178" s="475">
        <v>45933</v>
      </c>
      <c r="O178" s="61"/>
      <c r="P178" s="475">
        <v>45936</v>
      </c>
      <c r="Q178" s="475">
        <v>45940</v>
      </c>
      <c r="R178" s="61">
        <f t="shared" si="8"/>
        <v>3</v>
      </c>
      <c r="S178" s="61" t="str">
        <f t="shared" si="9"/>
        <v/>
      </c>
      <c r="T178" s="61">
        <f t="shared" si="11"/>
        <v>1</v>
      </c>
      <c r="U178" s="61">
        <f t="shared" si="10"/>
        <v>4</v>
      </c>
      <c r="V178" s="61" t="s">
        <v>150</v>
      </c>
      <c r="W178" s="61" t="s">
        <v>1078</v>
      </c>
      <c r="X178" s="61" t="s">
        <v>50</v>
      </c>
      <c r="Y178" s="61">
        <v>14.68365</v>
      </c>
      <c r="Z178" s="61">
        <v>120.53878</v>
      </c>
      <c r="AA178" s="61" t="s">
        <v>196</v>
      </c>
      <c r="AB178" s="61"/>
    </row>
    <row r="179" spans="1:28" s="2" customFormat="1" ht="15">
      <c r="A179" s="61" t="s">
        <v>774</v>
      </c>
      <c r="B179" s="61" t="s">
        <v>877</v>
      </c>
      <c r="C179" s="61" t="s">
        <v>3885</v>
      </c>
      <c r="D179" s="61" t="s">
        <v>7838</v>
      </c>
      <c r="E179" s="61">
        <v>4458</v>
      </c>
      <c r="F179" s="61">
        <v>5414</v>
      </c>
      <c r="G179" s="61">
        <v>2025</v>
      </c>
      <c r="H179" s="61" t="s">
        <v>3689</v>
      </c>
      <c r="I179" s="61" t="s">
        <v>188</v>
      </c>
      <c r="J179" s="61"/>
      <c r="K179" s="61" t="s">
        <v>2445</v>
      </c>
      <c r="L179" s="61" t="s">
        <v>7868</v>
      </c>
      <c r="M179" s="475">
        <v>45811</v>
      </c>
      <c r="N179" s="475">
        <v>45817</v>
      </c>
      <c r="O179" s="61"/>
      <c r="P179" s="475">
        <v>45817</v>
      </c>
      <c r="Q179" s="475">
        <v>45821</v>
      </c>
      <c r="R179" s="61">
        <f t="shared" si="8"/>
        <v>4</v>
      </c>
      <c r="S179" s="61" t="str">
        <f t="shared" si="9"/>
        <v/>
      </c>
      <c r="T179" s="61">
        <f t="shared" si="11"/>
        <v>1</v>
      </c>
      <c r="U179" s="61">
        <f t="shared" si="10"/>
        <v>4</v>
      </c>
      <c r="V179" s="61" t="s">
        <v>150</v>
      </c>
      <c r="W179" s="61" t="s">
        <v>4</v>
      </c>
      <c r="X179" s="61" t="s">
        <v>50</v>
      </c>
      <c r="Y179" s="61">
        <v>14.642709999999999</v>
      </c>
      <c r="Z179" s="61">
        <v>120.53609</v>
      </c>
      <c r="AA179" s="61" t="s">
        <v>7849</v>
      </c>
      <c r="AB179" s="61"/>
    </row>
    <row r="180" spans="1:28" s="2" customFormat="1" ht="28.5">
      <c r="A180" s="61" t="s">
        <v>774</v>
      </c>
      <c r="B180" s="61" t="s">
        <v>3622</v>
      </c>
      <c r="C180" s="61" t="s">
        <v>3663</v>
      </c>
      <c r="D180" s="61" t="s">
        <v>7838</v>
      </c>
      <c r="E180" s="61">
        <v>10106</v>
      </c>
      <c r="F180" s="61">
        <v>12057</v>
      </c>
      <c r="G180" s="61">
        <v>2025</v>
      </c>
      <c r="H180" s="61" t="s">
        <v>3129</v>
      </c>
      <c r="I180" s="61" t="s">
        <v>188</v>
      </c>
      <c r="J180" s="61"/>
      <c r="K180" s="61" t="s">
        <v>2445</v>
      </c>
      <c r="L180" s="61" t="s">
        <v>7869</v>
      </c>
      <c r="M180" s="475">
        <v>45959</v>
      </c>
      <c r="N180" s="475">
        <v>45964</v>
      </c>
      <c r="O180" s="61"/>
      <c r="P180" s="475">
        <v>45964</v>
      </c>
      <c r="Q180" s="475">
        <v>45966</v>
      </c>
      <c r="R180" s="61">
        <f t="shared" si="8"/>
        <v>3</v>
      </c>
      <c r="S180" s="61" t="str">
        <f t="shared" si="9"/>
        <v/>
      </c>
      <c r="T180" s="61">
        <f t="shared" si="11"/>
        <v>1</v>
      </c>
      <c r="U180" s="61">
        <f t="shared" si="10"/>
        <v>2</v>
      </c>
      <c r="V180" s="61" t="s">
        <v>150</v>
      </c>
      <c r="W180" s="61" t="s">
        <v>1078</v>
      </c>
      <c r="X180" s="61" t="s">
        <v>50</v>
      </c>
      <c r="Y180" s="61">
        <v>14.689769999999999</v>
      </c>
      <c r="Z180" s="61">
        <v>120.51069</v>
      </c>
      <c r="AA180" s="61" t="s">
        <v>196</v>
      </c>
      <c r="AB180" s="61"/>
    </row>
    <row r="181" spans="1:28" s="2" customFormat="1" ht="15">
      <c r="A181" s="61" t="s">
        <v>774</v>
      </c>
      <c r="B181" s="61" t="s">
        <v>877</v>
      </c>
      <c r="C181" s="61" t="s">
        <v>3779</v>
      </c>
      <c r="D181" s="61" t="s">
        <v>7838</v>
      </c>
      <c r="E181" s="61">
        <v>1311</v>
      </c>
      <c r="F181" s="61">
        <v>1316</v>
      </c>
      <c r="G181" s="61">
        <v>2025</v>
      </c>
      <c r="H181" s="61" t="s">
        <v>3458</v>
      </c>
      <c r="I181" s="61" t="s">
        <v>188</v>
      </c>
      <c r="J181" s="61"/>
      <c r="K181" s="61" t="s">
        <v>2445</v>
      </c>
      <c r="L181" s="61" t="s">
        <v>7870</v>
      </c>
      <c r="M181" s="475">
        <v>45700</v>
      </c>
      <c r="N181" s="475">
        <v>45704</v>
      </c>
      <c r="O181" s="475"/>
      <c r="P181" s="475">
        <v>45705</v>
      </c>
      <c r="Q181" s="475">
        <v>45705</v>
      </c>
      <c r="R181" s="61">
        <f t="shared" si="8"/>
        <v>2</v>
      </c>
      <c r="S181" s="61" t="str">
        <f t="shared" si="9"/>
        <v/>
      </c>
      <c r="T181" s="61">
        <f t="shared" si="11"/>
        <v>1</v>
      </c>
      <c r="U181" s="61">
        <f t="shared" si="10"/>
        <v>1</v>
      </c>
      <c r="V181" s="61" t="s">
        <v>150</v>
      </c>
      <c r="W181" s="61" t="s">
        <v>4</v>
      </c>
      <c r="X181" s="61" t="s">
        <v>50</v>
      </c>
      <c r="Y181" s="61"/>
      <c r="Z181" s="61"/>
      <c r="AA181" s="61" t="s">
        <v>7849</v>
      </c>
      <c r="AB181" s="61"/>
    </row>
    <row r="182" spans="1:28" s="2" customFormat="1" ht="15">
      <c r="A182" s="61" t="s">
        <v>774</v>
      </c>
      <c r="B182" s="61" t="s">
        <v>877</v>
      </c>
      <c r="C182" s="61" t="s">
        <v>3132</v>
      </c>
      <c r="D182" s="61" t="s">
        <v>7838</v>
      </c>
      <c r="E182" s="61">
        <v>6942</v>
      </c>
      <c r="F182" s="61">
        <v>7179</v>
      </c>
      <c r="G182" s="61">
        <v>2025</v>
      </c>
      <c r="H182" s="61" t="s">
        <v>3416</v>
      </c>
      <c r="I182" s="61" t="s">
        <v>188</v>
      </c>
      <c r="J182" s="61"/>
      <c r="K182" s="61" t="s">
        <v>2445</v>
      </c>
      <c r="L182" s="61" t="s">
        <v>7871</v>
      </c>
      <c r="M182" s="475">
        <v>45714</v>
      </c>
      <c r="N182" s="475">
        <v>45718</v>
      </c>
      <c r="O182" s="61"/>
      <c r="P182" s="475">
        <v>45719</v>
      </c>
      <c r="Q182" s="475">
        <v>45719</v>
      </c>
      <c r="R182" s="61">
        <f t="shared" si="8"/>
        <v>2</v>
      </c>
      <c r="S182" s="61" t="str">
        <f t="shared" si="9"/>
        <v/>
      </c>
      <c r="T182" s="61">
        <f t="shared" si="11"/>
        <v>1</v>
      </c>
      <c r="U182" s="61">
        <f t="shared" si="10"/>
        <v>1</v>
      </c>
      <c r="V182" s="61" t="s">
        <v>150</v>
      </c>
      <c r="W182" s="61" t="s">
        <v>4</v>
      </c>
      <c r="X182" s="61" t="s">
        <v>50</v>
      </c>
      <c r="Y182" s="61">
        <v>14.675380000000001</v>
      </c>
      <c r="Z182" s="61">
        <v>120.54781</v>
      </c>
      <c r="AA182" s="61" t="s">
        <v>7849</v>
      </c>
      <c r="AB182" s="61"/>
    </row>
    <row r="183" spans="1:28" s="2" customFormat="1" ht="15">
      <c r="A183" s="61" t="s">
        <v>774</v>
      </c>
      <c r="B183" s="61" t="s">
        <v>3622</v>
      </c>
      <c r="C183" s="61" t="s">
        <v>1332</v>
      </c>
      <c r="D183" s="61" t="s">
        <v>7838</v>
      </c>
      <c r="E183" s="61">
        <v>5472</v>
      </c>
      <c r="F183" s="61">
        <v>6388</v>
      </c>
      <c r="G183" s="61"/>
      <c r="H183" s="61"/>
      <c r="I183" s="61" t="s">
        <v>188</v>
      </c>
      <c r="J183" s="61"/>
      <c r="K183" s="61" t="s">
        <v>2445</v>
      </c>
      <c r="L183" s="61"/>
      <c r="M183" s="61"/>
      <c r="N183" s="61"/>
      <c r="O183" s="61"/>
      <c r="P183" s="61"/>
      <c r="Q183" s="61"/>
      <c r="R183" s="61" t="str">
        <f t="shared" si="8"/>
        <v/>
      </c>
      <c r="S183" s="61" t="str">
        <f t="shared" si="9"/>
        <v/>
      </c>
      <c r="T183" s="61" t="str">
        <f t="shared" si="11"/>
        <v/>
      </c>
      <c r="U183" s="61" t="str">
        <f t="shared" si="10"/>
        <v/>
      </c>
      <c r="V183" s="61"/>
      <c r="W183" s="61"/>
      <c r="X183" s="61"/>
      <c r="Y183" s="61"/>
      <c r="Z183" s="61"/>
      <c r="AA183" s="61"/>
      <c r="AB183" s="61"/>
    </row>
    <row r="184" spans="1:28" s="2" customFormat="1" ht="28.5">
      <c r="A184" s="61" t="s">
        <v>774</v>
      </c>
      <c r="B184" s="61" t="s">
        <v>3622</v>
      </c>
      <c r="C184" s="61" t="s">
        <v>3645</v>
      </c>
      <c r="D184" s="61" t="s">
        <v>7838</v>
      </c>
      <c r="E184" s="61">
        <v>723</v>
      </c>
      <c r="F184" s="61">
        <v>725</v>
      </c>
      <c r="G184" s="61">
        <v>2025</v>
      </c>
      <c r="H184" s="61" t="s">
        <v>3127</v>
      </c>
      <c r="I184" s="61" t="s">
        <v>188</v>
      </c>
      <c r="J184" s="61"/>
      <c r="K184" s="61" t="s">
        <v>2445</v>
      </c>
      <c r="L184" s="61" t="s">
        <v>7872</v>
      </c>
      <c r="M184" s="475">
        <v>45896</v>
      </c>
      <c r="N184" s="475">
        <v>45901</v>
      </c>
      <c r="O184" s="61"/>
      <c r="P184" s="475">
        <v>45902</v>
      </c>
      <c r="Q184" s="475">
        <v>45902</v>
      </c>
      <c r="R184" s="61">
        <f t="shared" si="8"/>
        <v>3</v>
      </c>
      <c r="S184" s="61" t="str">
        <f t="shared" si="9"/>
        <v/>
      </c>
      <c r="T184" s="61">
        <f t="shared" si="11"/>
        <v>1</v>
      </c>
      <c r="U184" s="61">
        <f t="shared" si="10"/>
        <v>1</v>
      </c>
      <c r="V184" s="61" t="s">
        <v>150</v>
      </c>
      <c r="W184" s="61" t="s">
        <v>1078</v>
      </c>
      <c r="X184" s="61" t="s">
        <v>50</v>
      </c>
      <c r="Y184" s="61">
        <v>14.68365</v>
      </c>
      <c r="Z184" s="61">
        <v>120.53878</v>
      </c>
      <c r="AA184" s="61" t="s">
        <v>196</v>
      </c>
      <c r="AB184" s="61"/>
    </row>
    <row r="185" spans="1:28" s="2" customFormat="1" ht="15">
      <c r="A185" s="61" t="s">
        <v>774</v>
      </c>
      <c r="B185" s="61" t="s">
        <v>3622</v>
      </c>
      <c r="C185" s="61" t="s">
        <v>3624</v>
      </c>
      <c r="D185" s="61" t="s">
        <v>7838</v>
      </c>
      <c r="E185" s="61">
        <v>2046</v>
      </c>
      <c r="F185" s="61">
        <v>2211</v>
      </c>
      <c r="G185" s="61"/>
      <c r="H185" s="61"/>
      <c r="I185" s="61" t="s">
        <v>188</v>
      </c>
      <c r="J185" s="61"/>
      <c r="K185" s="61" t="s">
        <v>2445</v>
      </c>
      <c r="L185" s="61"/>
      <c r="M185" s="61"/>
      <c r="N185" s="61"/>
      <c r="O185" s="61"/>
      <c r="P185" s="61"/>
      <c r="Q185" s="61"/>
      <c r="R185" s="61" t="str">
        <f t="shared" si="8"/>
        <v/>
      </c>
      <c r="S185" s="61" t="str">
        <f t="shared" si="9"/>
        <v/>
      </c>
      <c r="T185" s="61" t="str">
        <f t="shared" si="11"/>
        <v/>
      </c>
      <c r="U185" s="61" t="str">
        <f t="shared" si="10"/>
        <v/>
      </c>
      <c r="V185" s="61"/>
      <c r="W185" s="61"/>
      <c r="X185" s="61"/>
      <c r="Y185" s="61"/>
      <c r="Z185" s="61"/>
      <c r="AA185" s="61"/>
      <c r="AB185" s="61"/>
    </row>
    <row r="186" spans="1:28" s="2" customFormat="1" ht="15">
      <c r="A186" s="61" t="s">
        <v>774</v>
      </c>
      <c r="B186" s="61" t="s">
        <v>3622</v>
      </c>
      <c r="C186" s="61" t="s">
        <v>3626</v>
      </c>
      <c r="D186" s="61" t="s">
        <v>7838</v>
      </c>
      <c r="E186" s="61">
        <v>4170</v>
      </c>
      <c r="F186" s="61">
        <v>3844</v>
      </c>
      <c r="G186" s="61"/>
      <c r="H186" s="61"/>
      <c r="I186" s="61" t="s">
        <v>188</v>
      </c>
      <c r="J186" s="61"/>
      <c r="K186" s="61" t="s">
        <v>2445</v>
      </c>
      <c r="L186" s="61"/>
      <c r="M186" s="61"/>
      <c r="N186" s="61"/>
      <c r="O186" s="61"/>
      <c r="P186" s="61"/>
      <c r="Q186" s="61"/>
      <c r="R186" s="61" t="str">
        <f t="shared" si="8"/>
        <v/>
      </c>
      <c r="S186" s="61" t="str">
        <f t="shared" si="9"/>
        <v/>
      </c>
      <c r="T186" s="61" t="str">
        <f t="shared" si="11"/>
        <v/>
      </c>
      <c r="U186" s="61" t="str">
        <f t="shared" si="10"/>
        <v/>
      </c>
      <c r="V186" s="61"/>
      <c r="W186" s="61"/>
      <c r="X186" s="61"/>
      <c r="Y186" s="61"/>
      <c r="Z186" s="61"/>
      <c r="AA186" s="61"/>
      <c r="AB186" s="61"/>
    </row>
    <row r="187" spans="1:28" s="2" customFormat="1" ht="28.5">
      <c r="A187" s="61" t="s">
        <v>774</v>
      </c>
      <c r="B187" s="61" t="s">
        <v>891</v>
      </c>
      <c r="C187" s="61" t="s">
        <v>3829</v>
      </c>
      <c r="D187" s="61" t="s">
        <v>7838</v>
      </c>
      <c r="E187" s="61">
        <v>1249</v>
      </c>
      <c r="F187" s="61">
        <v>1788</v>
      </c>
      <c r="G187" s="61">
        <v>2025</v>
      </c>
      <c r="H187" s="61" t="s">
        <v>3458</v>
      </c>
      <c r="I187" s="61" t="s">
        <v>179</v>
      </c>
      <c r="J187" s="61"/>
      <c r="K187" s="61" t="s">
        <v>2445</v>
      </c>
      <c r="L187" s="118" t="s">
        <v>7873</v>
      </c>
      <c r="M187" s="475">
        <v>45694</v>
      </c>
      <c r="N187" s="475">
        <v>45695</v>
      </c>
      <c r="O187" s="61"/>
      <c r="P187" s="475">
        <v>45697</v>
      </c>
      <c r="Q187" s="475">
        <v>45698</v>
      </c>
      <c r="R187" s="61">
        <f t="shared" si="8"/>
        <v>1</v>
      </c>
      <c r="S187" s="61" t="str">
        <f t="shared" si="9"/>
        <v/>
      </c>
      <c r="T187" s="61">
        <f t="shared" si="11"/>
        <v>1</v>
      </c>
      <c r="U187" s="61">
        <f t="shared" si="10"/>
        <v>1</v>
      </c>
      <c r="V187" s="61" t="s">
        <v>150</v>
      </c>
      <c r="W187" s="61" t="s">
        <v>7874</v>
      </c>
      <c r="X187" s="61" t="s">
        <v>7875</v>
      </c>
      <c r="Y187" s="61"/>
      <c r="Z187" s="61"/>
      <c r="AA187" s="61" t="s">
        <v>7876</v>
      </c>
      <c r="AB187" s="61"/>
    </row>
    <row r="188" spans="1:28" s="2" customFormat="1" ht="15">
      <c r="A188" s="61" t="s">
        <v>774</v>
      </c>
      <c r="B188" s="61" t="s">
        <v>3622</v>
      </c>
      <c r="C188" s="61" t="s">
        <v>3632</v>
      </c>
      <c r="D188" s="61" t="s">
        <v>7838</v>
      </c>
      <c r="E188" s="61">
        <v>2536</v>
      </c>
      <c r="F188" s="61">
        <v>2543</v>
      </c>
      <c r="G188" s="61"/>
      <c r="H188" s="61"/>
      <c r="I188" s="61" t="s">
        <v>188</v>
      </c>
      <c r="J188" s="61"/>
      <c r="K188" s="61" t="s">
        <v>2445</v>
      </c>
      <c r="L188" s="61"/>
      <c r="M188" s="61"/>
      <c r="N188" s="61"/>
      <c r="O188" s="61"/>
      <c r="P188" s="61"/>
      <c r="Q188" s="61"/>
      <c r="R188" s="61" t="str">
        <f t="shared" si="8"/>
        <v/>
      </c>
      <c r="S188" s="61" t="str">
        <f t="shared" si="9"/>
        <v/>
      </c>
      <c r="T188" s="61" t="str">
        <f t="shared" si="11"/>
        <v/>
      </c>
      <c r="U188" s="61" t="str">
        <f t="shared" si="10"/>
        <v/>
      </c>
      <c r="V188" s="61"/>
      <c r="W188" s="61"/>
      <c r="X188" s="61"/>
      <c r="Y188" s="61"/>
      <c r="Z188" s="61"/>
      <c r="AA188" s="61"/>
      <c r="AB188" s="61"/>
    </row>
    <row r="189" spans="1:28" s="2" customFormat="1" ht="15">
      <c r="A189" s="61" t="s">
        <v>774</v>
      </c>
      <c r="B189" s="61" t="s">
        <v>3622</v>
      </c>
      <c r="C189" s="61" t="s">
        <v>3636</v>
      </c>
      <c r="D189" s="61" t="s">
        <v>7838</v>
      </c>
      <c r="E189" s="61">
        <v>1811</v>
      </c>
      <c r="F189" s="61">
        <v>2031</v>
      </c>
      <c r="G189" s="61"/>
      <c r="H189" s="61"/>
      <c r="I189" s="61" t="s">
        <v>188</v>
      </c>
      <c r="J189" s="61"/>
      <c r="K189" s="61" t="s">
        <v>2445</v>
      </c>
      <c r="L189" s="61"/>
      <c r="M189" s="61"/>
      <c r="N189" s="475"/>
      <c r="O189" s="61"/>
      <c r="P189" s="475"/>
      <c r="Q189" s="475"/>
      <c r="R189" s="61" t="str">
        <f t="shared" si="8"/>
        <v/>
      </c>
      <c r="S189" s="61" t="str">
        <f t="shared" si="9"/>
        <v/>
      </c>
      <c r="T189" s="61" t="str">
        <f t="shared" si="11"/>
        <v/>
      </c>
      <c r="U189" s="61" t="str">
        <f t="shared" si="10"/>
        <v/>
      </c>
      <c r="V189" s="61"/>
      <c r="W189" s="61"/>
      <c r="X189" s="61"/>
      <c r="Y189" s="61"/>
      <c r="Z189" s="61"/>
      <c r="AA189" s="61"/>
      <c r="AB189" s="61"/>
    </row>
    <row r="190" spans="1:28" s="2" customFormat="1" ht="15">
      <c r="A190" s="61" t="s">
        <v>774</v>
      </c>
      <c r="B190" s="61" t="s">
        <v>3622</v>
      </c>
      <c r="C190" s="61" t="s">
        <v>3643</v>
      </c>
      <c r="D190" s="61" t="s">
        <v>7838</v>
      </c>
      <c r="E190" s="61">
        <v>2483</v>
      </c>
      <c r="F190" s="61">
        <v>2670</v>
      </c>
      <c r="G190" s="61"/>
      <c r="H190" s="61"/>
      <c r="I190" s="61" t="s">
        <v>188</v>
      </c>
      <c r="J190" s="61"/>
      <c r="K190" s="61" t="s">
        <v>2445</v>
      </c>
      <c r="L190" s="61"/>
      <c r="M190" s="61"/>
      <c r="N190" s="61"/>
      <c r="O190" s="61"/>
      <c r="P190" s="61"/>
      <c r="Q190" s="61"/>
      <c r="R190" s="61" t="str">
        <f t="shared" si="8"/>
        <v/>
      </c>
      <c r="S190" s="61" t="str">
        <f t="shared" si="9"/>
        <v/>
      </c>
      <c r="T190" s="61" t="str">
        <f t="shared" si="11"/>
        <v/>
      </c>
      <c r="U190" s="61" t="str">
        <f t="shared" si="10"/>
        <v/>
      </c>
      <c r="V190" s="61"/>
      <c r="W190" s="61"/>
      <c r="X190" s="61"/>
      <c r="Y190" s="61"/>
      <c r="Z190" s="61"/>
      <c r="AA190" s="61"/>
      <c r="AB190" s="61"/>
    </row>
    <row r="191" spans="1:28" s="2" customFormat="1" ht="15">
      <c r="A191" s="61" t="s">
        <v>774</v>
      </c>
      <c r="B191" s="61" t="s">
        <v>3622</v>
      </c>
      <c r="C191" s="61" t="s">
        <v>873</v>
      </c>
      <c r="D191" s="61" t="s">
        <v>7838</v>
      </c>
      <c r="E191" s="61">
        <v>2755</v>
      </c>
      <c r="F191" s="61">
        <v>3320</v>
      </c>
      <c r="G191" s="61"/>
      <c r="H191" s="61"/>
      <c r="I191" s="61" t="s">
        <v>188</v>
      </c>
      <c r="J191" s="61"/>
      <c r="K191" s="61" t="s">
        <v>2445</v>
      </c>
      <c r="L191" s="61"/>
      <c r="M191" s="61"/>
      <c r="N191" s="61"/>
      <c r="O191" s="61"/>
      <c r="P191" s="61"/>
      <c r="Q191" s="61"/>
      <c r="R191" s="61" t="str">
        <f t="shared" si="8"/>
        <v/>
      </c>
      <c r="S191" s="61" t="str">
        <f t="shared" si="9"/>
        <v/>
      </c>
      <c r="T191" s="61" t="str">
        <f t="shared" si="11"/>
        <v/>
      </c>
      <c r="U191" s="61" t="str">
        <f t="shared" si="10"/>
        <v/>
      </c>
      <c r="V191" s="61"/>
      <c r="W191" s="61"/>
      <c r="X191" s="61"/>
      <c r="Y191" s="61"/>
      <c r="Z191" s="61"/>
      <c r="AA191" s="61"/>
      <c r="AB191" s="61"/>
    </row>
    <row r="192" spans="1:28" s="2" customFormat="1" ht="15">
      <c r="A192" s="61" t="s">
        <v>774</v>
      </c>
      <c r="B192" s="61" t="s">
        <v>3622</v>
      </c>
      <c r="C192" s="61" t="s">
        <v>3651</v>
      </c>
      <c r="D192" s="61" t="s">
        <v>7838</v>
      </c>
      <c r="E192" s="61">
        <v>1816</v>
      </c>
      <c r="F192" s="61">
        <v>1822</v>
      </c>
      <c r="G192" s="61"/>
      <c r="H192" s="61"/>
      <c r="I192" s="61" t="s">
        <v>188</v>
      </c>
      <c r="J192" s="61"/>
      <c r="K192" s="61" t="s">
        <v>2445</v>
      </c>
      <c r="L192" s="61"/>
      <c r="M192" s="61"/>
      <c r="N192" s="61"/>
      <c r="O192" s="61"/>
      <c r="P192" s="61"/>
      <c r="Q192" s="61"/>
      <c r="R192" s="61" t="str">
        <f t="shared" si="8"/>
        <v/>
      </c>
      <c r="S192" s="61" t="str">
        <f t="shared" si="9"/>
        <v/>
      </c>
      <c r="T192" s="61" t="str">
        <f t="shared" si="11"/>
        <v/>
      </c>
      <c r="U192" s="61" t="str">
        <f t="shared" si="10"/>
        <v/>
      </c>
      <c r="V192" s="61"/>
      <c r="W192" s="61"/>
      <c r="X192" s="61"/>
      <c r="Y192" s="61"/>
      <c r="Z192" s="61"/>
      <c r="AA192" s="61"/>
      <c r="AB192" s="61"/>
    </row>
    <row r="193" spans="1:28" s="2" customFormat="1" ht="15">
      <c r="A193" s="61" t="s">
        <v>774</v>
      </c>
      <c r="B193" s="61" t="s">
        <v>3622</v>
      </c>
      <c r="C193" s="61" t="s">
        <v>858</v>
      </c>
      <c r="D193" s="61" t="s">
        <v>7838</v>
      </c>
      <c r="E193" s="61">
        <v>6274</v>
      </c>
      <c r="F193" s="61">
        <v>6718</v>
      </c>
      <c r="G193" s="61"/>
      <c r="H193" s="61"/>
      <c r="I193" s="61" t="s">
        <v>188</v>
      </c>
      <c r="J193" s="61"/>
      <c r="K193" s="61" t="s">
        <v>2445</v>
      </c>
      <c r="L193" s="61"/>
      <c r="M193" s="61"/>
      <c r="N193" s="61"/>
      <c r="O193" s="61"/>
      <c r="P193" s="61"/>
      <c r="Q193" s="61"/>
      <c r="R193" s="61" t="str">
        <f t="shared" si="8"/>
        <v/>
      </c>
      <c r="S193" s="61" t="str">
        <f t="shared" si="9"/>
        <v/>
      </c>
      <c r="T193" s="61" t="str">
        <f t="shared" si="11"/>
        <v/>
      </c>
      <c r="U193" s="61" t="str">
        <f t="shared" si="10"/>
        <v/>
      </c>
      <c r="V193" s="61"/>
      <c r="W193" s="61"/>
      <c r="X193" s="61"/>
      <c r="Y193" s="61"/>
      <c r="Z193" s="61"/>
      <c r="AA193" s="61"/>
      <c r="AB193" s="61"/>
    </row>
    <row r="194" spans="1:28" s="2" customFormat="1" ht="15">
      <c r="A194" s="61" t="s">
        <v>774</v>
      </c>
      <c r="B194" s="61" t="s">
        <v>3622</v>
      </c>
      <c r="C194" s="61" t="s">
        <v>3653</v>
      </c>
      <c r="D194" s="61" t="s">
        <v>7838</v>
      </c>
      <c r="E194" s="61">
        <v>2256</v>
      </c>
      <c r="F194" s="61">
        <v>2766</v>
      </c>
      <c r="G194" s="61"/>
      <c r="H194" s="61"/>
      <c r="I194" s="61" t="s">
        <v>188</v>
      </c>
      <c r="J194" s="61"/>
      <c r="K194" s="61" t="s">
        <v>2445</v>
      </c>
      <c r="L194" s="61"/>
      <c r="M194" s="61"/>
      <c r="N194" s="61"/>
      <c r="O194" s="61"/>
      <c r="P194" s="61"/>
      <c r="Q194" s="61"/>
      <c r="R194" s="61" t="str">
        <f t="shared" ref="R194:R257" si="12">IF(
    OR(ISBLANK(M194), ISBLANK(N194)),
    "",
    MAX(1, IF(
        NETWORKDAYS(M194, N194) &lt;= 0,
        1,
        NETWORKDAYS(M194, N194) - IF(M194 = N194, 0, 1)
    ))
)</f>
        <v/>
      </c>
      <c r="S194" s="61" t="str">
        <f t="shared" ref="S194:S257" si="13">IF(
    OR(ISBLANK(N194), ISBLANK(O194)),
    "",
    MAX(1, IF(
        NETWORKDAYS(N194, O194) &lt;= 0,
        1,
        NETWORKDAYS(N194, O194) - IF(N194 = O194, 0, 1)
    ))
)</f>
        <v/>
      </c>
      <c r="T194" s="61" t="str">
        <f t="shared" si="11"/>
        <v/>
      </c>
      <c r="U194" s="61" t="str">
        <f t="shared" ref="U194:U257" si="14">IF(
    OR(ISBLANK(P194), ISBLANK(Q194)),
    "",
    MAX(1, IF(
        NETWORKDAYS(P194, Q194) &lt;= 0,
        1,
        NETWORKDAYS(P194, Q194) - IF(P194 = Q194, 0, 1)
    ))
)</f>
        <v/>
      </c>
      <c r="V194" s="61"/>
      <c r="W194" s="61"/>
      <c r="X194" s="61"/>
      <c r="Y194" s="61"/>
      <c r="Z194" s="61"/>
      <c r="AA194" s="61"/>
      <c r="AB194" s="61"/>
    </row>
    <row r="195" spans="1:28" s="2" customFormat="1" ht="28.5">
      <c r="A195" s="61" t="s">
        <v>774</v>
      </c>
      <c r="B195" s="61" t="s">
        <v>917</v>
      </c>
      <c r="C195" s="61" t="s">
        <v>3912</v>
      </c>
      <c r="D195" s="61" t="s">
        <v>7838</v>
      </c>
      <c r="E195" s="61">
        <v>2092</v>
      </c>
      <c r="F195" s="61">
        <v>2284</v>
      </c>
      <c r="G195" s="61">
        <v>2025</v>
      </c>
      <c r="H195" s="61" t="s">
        <v>3458</v>
      </c>
      <c r="I195" s="61" t="s">
        <v>179</v>
      </c>
      <c r="J195" s="61"/>
      <c r="K195" s="61" t="s">
        <v>2445</v>
      </c>
      <c r="L195" s="61" t="s">
        <v>7877</v>
      </c>
      <c r="M195" s="475">
        <v>45693</v>
      </c>
      <c r="N195" s="475">
        <v>45694</v>
      </c>
      <c r="O195" s="61"/>
      <c r="P195" s="475">
        <v>45697</v>
      </c>
      <c r="Q195" s="475">
        <v>45698</v>
      </c>
      <c r="R195" s="61">
        <f t="shared" si="12"/>
        <v>1</v>
      </c>
      <c r="S195" s="61" t="str">
        <f t="shared" si="13"/>
        <v/>
      </c>
      <c r="T195" s="61">
        <f t="shared" ref="T195:T258" si="15">IF(
  OR(A195 = "Nueva_Ecija", A195 = "Zambales"),
  IF(
    OR(ISBLANK(O195), ISBLANK(P195)),
    "",
    MAX(1, IF(
      NETWORKDAYS(O195, P195) &lt;= 0,
      1,
      NETWORKDAYS(O195, P195) - IF(O195 = P195, 0, 1)
    ))
  ),
  IF(
    OR(ISBLANK(N195), ISBLANK(P195)),
    "",
    MAX(1, IF(
      NETWORKDAYS(N195, P195) &lt;= 0,
      1,
      NETWORKDAYS(N195, P195) - IF(N195 = P195, 0, 1)
    ))
  )
)</f>
        <v>1</v>
      </c>
      <c r="U195" s="61">
        <f t="shared" si="14"/>
        <v>1</v>
      </c>
      <c r="V195" s="61" t="s">
        <v>150</v>
      </c>
      <c r="W195" s="61" t="s">
        <v>7874</v>
      </c>
      <c r="X195" s="61" t="s">
        <v>7875</v>
      </c>
      <c r="Y195" s="61"/>
      <c r="Z195" s="61"/>
      <c r="AA195" s="61" t="s">
        <v>7878</v>
      </c>
      <c r="AB195" s="61"/>
    </row>
    <row r="196" spans="1:28" s="2" customFormat="1" ht="15">
      <c r="A196" s="61" t="s">
        <v>774</v>
      </c>
      <c r="B196" s="61" t="s">
        <v>865</v>
      </c>
      <c r="C196" s="61" t="s">
        <v>3785</v>
      </c>
      <c r="D196" s="61" t="s">
        <v>7838</v>
      </c>
      <c r="E196" s="61">
        <v>5178</v>
      </c>
      <c r="F196" s="61">
        <v>5623</v>
      </c>
      <c r="G196" s="61">
        <v>2025</v>
      </c>
      <c r="H196" s="61" t="s">
        <v>3129</v>
      </c>
      <c r="I196" s="61" t="s">
        <v>188</v>
      </c>
      <c r="J196" s="61"/>
      <c r="K196" s="61" t="s">
        <v>2445</v>
      </c>
      <c r="L196" s="61" t="s">
        <v>7879</v>
      </c>
      <c r="M196" s="475">
        <v>45954</v>
      </c>
      <c r="N196" s="475">
        <v>45957</v>
      </c>
      <c r="O196" s="475"/>
      <c r="P196" s="475">
        <v>45957</v>
      </c>
      <c r="Q196" s="475">
        <v>45959</v>
      </c>
      <c r="R196" s="61">
        <f t="shared" si="12"/>
        <v>1</v>
      </c>
      <c r="S196" s="61" t="str">
        <f t="shared" si="13"/>
        <v/>
      </c>
      <c r="T196" s="61">
        <f t="shared" si="15"/>
        <v>1</v>
      </c>
      <c r="U196" s="61">
        <f t="shared" si="14"/>
        <v>2</v>
      </c>
      <c r="V196" s="61" t="s">
        <v>150</v>
      </c>
      <c r="W196" s="61" t="s">
        <v>1078</v>
      </c>
      <c r="X196" s="61" t="s">
        <v>50</v>
      </c>
      <c r="Y196" s="61">
        <v>14.55951</v>
      </c>
      <c r="Z196" s="61">
        <v>120.59066</v>
      </c>
      <c r="AA196" s="61" t="s">
        <v>7841</v>
      </c>
      <c r="AB196" s="61"/>
    </row>
    <row r="197" spans="1:28" s="2" customFormat="1" ht="15">
      <c r="A197" s="61" t="s">
        <v>774</v>
      </c>
      <c r="B197" s="61" t="s">
        <v>3622</v>
      </c>
      <c r="C197" s="61" t="s">
        <v>3661</v>
      </c>
      <c r="D197" s="61" t="s">
        <v>7838</v>
      </c>
      <c r="E197" s="61">
        <v>2971</v>
      </c>
      <c r="F197" s="61">
        <v>2852</v>
      </c>
      <c r="G197" s="61"/>
      <c r="H197" s="61"/>
      <c r="I197" s="61" t="s">
        <v>188</v>
      </c>
      <c r="J197" s="61"/>
      <c r="K197" s="61" t="s">
        <v>2445</v>
      </c>
      <c r="L197" s="61"/>
      <c r="M197" s="61"/>
      <c r="N197" s="61"/>
      <c r="O197" s="61"/>
      <c r="P197" s="61"/>
      <c r="Q197" s="61"/>
      <c r="R197" s="61" t="str">
        <f t="shared" si="12"/>
        <v/>
      </c>
      <c r="S197" s="61" t="str">
        <f t="shared" si="13"/>
        <v/>
      </c>
      <c r="T197" s="61" t="str">
        <f t="shared" si="15"/>
        <v/>
      </c>
      <c r="U197" s="61" t="str">
        <f t="shared" si="14"/>
        <v/>
      </c>
      <c r="V197" s="61"/>
      <c r="W197" s="61"/>
      <c r="X197" s="61"/>
      <c r="Y197" s="61"/>
      <c r="Z197" s="61"/>
      <c r="AA197" s="61"/>
      <c r="AB197" s="61"/>
    </row>
    <row r="198" spans="1:28" s="2" customFormat="1" ht="15">
      <c r="A198" s="61" t="s">
        <v>774</v>
      </c>
      <c r="B198" s="61" t="s">
        <v>865</v>
      </c>
      <c r="C198" s="61" t="s">
        <v>3786</v>
      </c>
      <c r="D198" s="61" t="s">
        <v>7838</v>
      </c>
      <c r="E198" s="61">
        <v>560</v>
      </c>
      <c r="F198" s="61">
        <v>544</v>
      </c>
      <c r="G198" s="61">
        <v>2025</v>
      </c>
      <c r="H198" s="61" t="s">
        <v>3128</v>
      </c>
      <c r="I198" s="61" t="s">
        <v>188</v>
      </c>
      <c r="J198" s="61"/>
      <c r="K198" s="61" t="s">
        <v>2445</v>
      </c>
      <c r="L198" s="61" t="s">
        <v>7880</v>
      </c>
      <c r="M198" s="475">
        <v>45938</v>
      </c>
      <c r="N198" s="475">
        <v>45942</v>
      </c>
      <c r="O198" s="61"/>
      <c r="P198" s="475">
        <v>45943</v>
      </c>
      <c r="Q198" s="475">
        <v>45944</v>
      </c>
      <c r="R198" s="61">
        <f t="shared" si="12"/>
        <v>2</v>
      </c>
      <c r="S198" s="61" t="str">
        <f t="shared" si="13"/>
        <v/>
      </c>
      <c r="T198" s="61">
        <f t="shared" si="15"/>
        <v>1</v>
      </c>
      <c r="U198" s="61">
        <f t="shared" si="14"/>
        <v>1</v>
      </c>
      <c r="V198" s="61" t="s">
        <v>150</v>
      </c>
      <c r="W198" s="61" t="s">
        <v>1078</v>
      </c>
      <c r="X198" s="61" t="s">
        <v>50</v>
      </c>
      <c r="Y198" s="61">
        <v>14.560549999999999</v>
      </c>
      <c r="Z198" s="61">
        <v>120.59917</v>
      </c>
      <c r="AA198" s="61" t="s">
        <v>7841</v>
      </c>
      <c r="AB198" s="61"/>
    </row>
    <row r="199" spans="1:28" s="2" customFormat="1" ht="28.5">
      <c r="A199" s="61" t="s">
        <v>774</v>
      </c>
      <c r="B199" s="61" t="s">
        <v>842</v>
      </c>
      <c r="C199" s="61" t="s">
        <v>3602</v>
      </c>
      <c r="D199" s="61" t="s">
        <v>7838</v>
      </c>
      <c r="E199" s="61">
        <v>3149</v>
      </c>
      <c r="F199" s="61">
        <v>3387</v>
      </c>
      <c r="G199" s="61">
        <v>2025</v>
      </c>
      <c r="H199" s="61" t="s">
        <v>3532</v>
      </c>
      <c r="I199" s="61" t="s">
        <v>188</v>
      </c>
      <c r="J199" s="61"/>
      <c r="K199" s="61" t="s">
        <v>2445</v>
      </c>
      <c r="L199" s="61" t="s">
        <v>7881</v>
      </c>
      <c r="M199" s="475">
        <v>45783</v>
      </c>
      <c r="N199" s="475">
        <v>45790</v>
      </c>
      <c r="O199" s="61"/>
      <c r="P199" s="475">
        <v>45790</v>
      </c>
      <c r="Q199" s="475">
        <v>45791</v>
      </c>
      <c r="R199" s="61">
        <f t="shared" si="12"/>
        <v>5</v>
      </c>
      <c r="S199" s="61" t="str">
        <f t="shared" si="13"/>
        <v/>
      </c>
      <c r="T199" s="61">
        <f t="shared" si="15"/>
        <v>1</v>
      </c>
      <c r="U199" s="61">
        <f t="shared" si="14"/>
        <v>1</v>
      </c>
      <c r="V199" s="61" t="s">
        <v>150</v>
      </c>
      <c r="W199" s="61" t="s">
        <v>1078</v>
      </c>
      <c r="X199" s="61" t="s">
        <v>50</v>
      </c>
      <c r="Y199" s="61">
        <v>14.71894</v>
      </c>
      <c r="Z199" s="61">
        <v>120.53726</v>
      </c>
      <c r="AA199" s="61" t="s">
        <v>7853</v>
      </c>
      <c r="AB199" s="61" t="s">
        <v>7882</v>
      </c>
    </row>
    <row r="200" spans="1:28" s="2" customFormat="1" ht="15">
      <c r="A200" s="61" t="s">
        <v>774</v>
      </c>
      <c r="B200" s="61" t="s">
        <v>861</v>
      </c>
      <c r="C200" s="61" t="s">
        <v>3862</v>
      </c>
      <c r="D200" s="61" t="s">
        <v>7838</v>
      </c>
      <c r="E200" s="61">
        <v>1963</v>
      </c>
      <c r="F200" s="61">
        <v>1995</v>
      </c>
      <c r="G200" s="61">
        <v>2025</v>
      </c>
      <c r="H200" s="61" t="s">
        <v>3126</v>
      </c>
      <c r="I200" s="61" t="s">
        <v>188</v>
      </c>
      <c r="J200" s="61"/>
      <c r="K200" s="61" t="s">
        <v>2445</v>
      </c>
      <c r="L200" s="61" t="s">
        <v>7883</v>
      </c>
      <c r="M200" s="475">
        <v>45877</v>
      </c>
      <c r="N200" s="475">
        <v>45880</v>
      </c>
      <c r="O200" s="61"/>
      <c r="P200" s="475">
        <v>45881</v>
      </c>
      <c r="Q200" s="475">
        <v>45882</v>
      </c>
      <c r="R200" s="61">
        <f t="shared" si="12"/>
        <v>1</v>
      </c>
      <c r="S200" s="61" t="str">
        <f t="shared" si="13"/>
        <v/>
      </c>
      <c r="T200" s="61">
        <f t="shared" si="15"/>
        <v>1</v>
      </c>
      <c r="U200" s="61">
        <f t="shared" si="14"/>
        <v>1</v>
      </c>
      <c r="V200" s="61" t="s">
        <v>150</v>
      </c>
      <c r="W200" s="61" t="s">
        <v>1078</v>
      </c>
      <c r="X200" s="61" t="s">
        <v>50</v>
      </c>
      <c r="Y200" s="61">
        <v>14.62674</v>
      </c>
      <c r="Z200" s="61">
        <v>120.57498</v>
      </c>
      <c r="AA200" s="61" t="s">
        <v>7884</v>
      </c>
      <c r="AB200" s="61"/>
    </row>
    <row r="201" spans="1:28" s="2" customFormat="1" ht="15">
      <c r="A201" s="61" t="s">
        <v>774</v>
      </c>
      <c r="B201" s="61" t="s">
        <v>861</v>
      </c>
      <c r="C201" s="61" t="s">
        <v>3878</v>
      </c>
      <c r="D201" s="61" t="s">
        <v>7838</v>
      </c>
      <c r="E201" s="61">
        <v>1391</v>
      </c>
      <c r="F201" s="61">
        <v>1332</v>
      </c>
      <c r="G201" s="61">
        <v>2025</v>
      </c>
      <c r="H201" s="61" t="s">
        <v>3125</v>
      </c>
      <c r="I201" s="61" t="s">
        <v>188</v>
      </c>
      <c r="J201" s="61"/>
      <c r="K201" s="61" t="s">
        <v>2445</v>
      </c>
      <c r="L201" s="61" t="s">
        <v>7885</v>
      </c>
      <c r="M201" s="475">
        <v>45842</v>
      </c>
      <c r="N201" s="475">
        <v>45845</v>
      </c>
      <c r="O201" s="61"/>
      <c r="P201" s="475">
        <v>45845</v>
      </c>
      <c r="Q201" s="475">
        <v>45847</v>
      </c>
      <c r="R201" s="61">
        <f t="shared" si="12"/>
        <v>1</v>
      </c>
      <c r="S201" s="61" t="str">
        <f t="shared" si="13"/>
        <v/>
      </c>
      <c r="T201" s="61">
        <f t="shared" si="15"/>
        <v>1</v>
      </c>
      <c r="U201" s="61">
        <f t="shared" si="14"/>
        <v>2</v>
      </c>
      <c r="V201" s="61" t="s">
        <v>150</v>
      </c>
      <c r="W201" s="61" t="s">
        <v>1078</v>
      </c>
      <c r="X201" s="61" t="s">
        <v>50</v>
      </c>
      <c r="Y201" s="61">
        <v>14.6221</v>
      </c>
      <c r="Z201" s="61">
        <v>120.57196</v>
      </c>
      <c r="AA201" s="61" t="s">
        <v>7884</v>
      </c>
      <c r="AB201" s="61"/>
    </row>
    <row r="202" spans="1:28" s="2" customFormat="1" ht="28.5">
      <c r="A202" s="61" t="s">
        <v>774</v>
      </c>
      <c r="B202" s="61" t="s">
        <v>848</v>
      </c>
      <c r="C202" s="61" t="s">
        <v>3607</v>
      </c>
      <c r="D202" s="61" t="s">
        <v>7838</v>
      </c>
      <c r="E202" s="61">
        <v>2447</v>
      </c>
      <c r="F202" s="61">
        <v>3319</v>
      </c>
      <c r="G202" s="61">
        <v>2025</v>
      </c>
      <c r="H202" s="61" t="s">
        <v>3532</v>
      </c>
      <c r="I202" s="61" t="s">
        <v>19</v>
      </c>
      <c r="J202" s="61"/>
      <c r="K202" s="61" t="s">
        <v>2445</v>
      </c>
      <c r="L202" s="61" t="s">
        <v>7886</v>
      </c>
      <c r="M202" s="475">
        <v>45783</v>
      </c>
      <c r="N202" s="475">
        <v>45790</v>
      </c>
      <c r="O202" s="61"/>
      <c r="P202" s="475">
        <v>45790</v>
      </c>
      <c r="Q202" s="475">
        <v>45791</v>
      </c>
      <c r="R202" s="61">
        <f t="shared" si="12"/>
        <v>5</v>
      </c>
      <c r="S202" s="61" t="str">
        <f t="shared" si="13"/>
        <v/>
      </c>
      <c r="T202" s="61">
        <f t="shared" si="15"/>
        <v>1</v>
      </c>
      <c r="U202" s="61">
        <f t="shared" si="14"/>
        <v>1</v>
      </c>
      <c r="V202" s="61" t="s">
        <v>150</v>
      </c>
      <c r="W202" s="61" t="s">
        <v>1078</v>
      </c>
      <c r="X202" s="61" t="s">
        <v>57</v>
      </c>
      <c r="Y202" s="61">
        <v>14.6059</v>
      </c>
      <c r="Z202" s="61">
        <v>120.39875000000001</v>
      </c>
      <c r="AA202" s="61" t="s">
        <v>7887</v>
      </c>
      <c r="AB202" s="61"/>
    </row>
    <row r="203" spans="1:28" s="2" customFormat="1" ht="28.5">
      <c r="A203" s="61" t="s">
        <v>774</v>
      </c>
      <c r="B203" s="61" t="s">
        <v>848</v>
      </c>
      <c r="C203" s="61" t="s">
        <v>3608</v>
      </c>
      <c r="D203" s="61" t="s">
        <v>7838</v>
      </c>
      <c r="E203" s="61">
        <v>1978</v>
      </c>
      <c r="F203" s="61">
        <v>2135</v>
      </c>
      <c r="G203" s="61">
        <v>2025</v>
      </c>
      <c r="H203" s="61" t="s">
        <v>3458</v>
      </c>
      <c r="I203" s="61" t="s">
        <v>19</v>
      </c>
      <c r="J203" s="61"/>
      <c r="K203" s="61" t="s">
        <v>2445</v>
      </c>
      <c r="L203" s="61" t="s">
        <v>7888</v>
      </c>
      <c r="M203" s="475">
        <v>45692</v>
      </c>
      <c r="N203" s="475">
        <v>45693</v>
      </c>
      <c r="O203" s="61"/>
      <c r="P203" s="475">
        <v>45693</v>
      </c>
      <c r="Q203" s="475">
        <v>45694</v>
      </c>
      <c r="R203" s="61">
        <f t="shared" si="12"/>
        <v>1</v>
      </c>
      <c r="S203" s="61" t="str">
        <f t="shared" si="13"/>
        <v/>
      </c>
      <c r="T203" s="61">
        <f t="shared" si="15"/>
        <v>1</v>
      </c>
      <c r="U203" s="61">
        <f t="shared" si="14"/>
        <v>1</v>
      </c>
      <c r="V203" s="61" t="s">
        <v>150</v>
      </c>
      <c r="W203" s="61" t="s">
        <v>1078</v>
      </c>
      <c r="X203" s="61" t="s">
        <v>50</v>
      </c>
      <c r="Y203" s="61"/>
      <c r="Z203" s="61"/>
      <c r="AA203" s="61"/>
      <c r="AB203" s="61" t="s">
        <v>7882</v>
      </c>
    </row>
    <row r="204" spans="1:28" s="2" customFormat="1" ht="28.5">
      <c r="A204" s="61" t="s">
        <v>774</v>
      </c>
      <c r="B204" s="61" t="s">
        <v>848</v>
      </c>
      <c r="C204" s="61" t="s">
        <v>849</v>
      </c>
      <c r="D204" s="61" t="s">
        <v>7838</v>
      </c>
      <c r="E204" s="61">
        <v>2784</v>
      </c>
      <c r="F204" s="61">
        <v>3460</v>
      </c>
      <c r="G204" s="61">
        <v>2025</v>
      </c>
      <c r="H204" s="61" t="s">
        <v>3416</v>
      </c>
      <c r="I204" s="61" t="s">
        <v>19</v>
      </c>
      <c r="J204" s="61"/>
      <c r="K204" s="61" t="s">
        <v>2445</v>
      </c>
      <c r="L204" s="61" t="s">
        <v>7889</v>
      </c>
      <c r="M204" s="475">
        <v>45709</v>
      </c>
      <c r="N204" s="475">
        <v>45712</v>
      </c>
      <c r="O204" s="61"/>
      <c r="P204" s="475">
        <v>45712</v>
      </c>
      <c r="Q204" s="475">
        <v>45716</v>
      </c>
      <c r="R204" s="61">
        <f t="shared" si="12"/>
        <v>1</v>
      </c>
      <c r="S204" s="61" t="str">
        <f t="shared" si="13"/>
        <v/>
      </c>
      <c r="T204" s="61">
        <f t="shared" si="15"/>
        <v>1</v>
      </c>
      <c r="U204" s="61">
        <f t="shared" si="14"/>
        <v>4</v>
      </c>
      <c r="V204" s="61" t="s">
        <v>150</v>
      </c>
      <c r="W204" s="61" t="s">
        <v>1078</v>
      </c>
      <c r="X204" s="61" t="s">
        <v>50</v>
      </c>
      <c r="Y204" s="61">
        <v>14.62003</v>
      </c>
      <c r="Z204" s="61">
        <v>120.38726</v>
      </c>
      <c r="AA204" s="61" t="s">
        <v>7887</v>
      </c>
      <c r="AB204" s="61" t="s">
        <v>7890</v>
      </c>
    </row>
    <row r="205" spans="1:28" s="2" customFormat="1" ht="15">
      <c r="A205" s="61" t="s">
        <v>774</v>
      </c>
      <c r="B205" s="61" t="s">
        <v>861</v>
      </c>
      <c r="C205" s="61" t="s">
        <v>3883</v>
      </c>
      <c r="D205" s="61" t="s">
        <v>7838</v>
      </c>
      <c r="E205" s="61">
        <v>768</v>
      </c>
      <c r="F205" s="61">
        <v>977</v>
      </c>
      <c r="G205" s="61">
        <v>2025</v>
      </c>
      <c r="H205" s="61" t="s">
        <v>3126</v>
      </c>
      <c r="I205" s="61" t="s">
        <v>188</v>
      </c>
      <c r="J205" s="61"/>
      <c r="K205" s="61" t="s">
        <v>2445</v>
      </c>
      <c r="L205" s="61" t="s">
        <v>7891</v>
      </c>
      <c r="M205" s="475">
        <v>45869</v>
      </c>
      <c r="N205" s="475">
        <v>45872</v>
      </c>
      <c r="O205" s="61"/>
      <c r="P205" s="475">
        <v>45874</v>
      </c>
      <c r="Q205" s="475">
        <v>45874</v>
      </c>
      <c r="R205" s="61">
        <f t="shared" si="12"/>
        <v>1</v>
      </c>
      <c r="S205" s="61" t="str">
        <f t="shared" si="13"/>
        <v/>
      </c>
      <c r="T205" s="61">
        <f t="shared" si="15"/>
        <v>1</v>
      </c>
      <c r="U205" s="61">
        <f t="shared" si="14"/>
        <v>1</v>
      </c>
      <c r="V205" s="61" t="s">
        <v>150</v>
      </c>
      <c r="W205" s="61" t="s">
        <v>1078</v>
      </c>
      <c r="X205" s="61" t="s">
        <v>50</v>
      </c>
      <c r="Y205" s="61">
        <v>14.61744</v>
      </c>
      <c r="Z205" s="61">
        <v>120.57897</v>
      </c>
      <c r="AA205" s="61" t="s">
        <v>7884</v>
      </c>
      <c r="AB205" s="61"/>
    </row>
    <row r="206" spans="1:28" s="2" customFormat="1" ht="15">
      <c r="A206" s="61" t="s">
        <v>774</v>
      </c>
      <c r="B206" s="61" t="s">
        <v>861</v>
      </c>
      <c r="C206" s="61" t="s">
        <v>3821</v>
      </c>
      <c r="D206" s="61" t="s">
        <v>7838</v>
      </c>
      <c r="E206" s="61">
        <v>1391</v>
      </c>
      <c r="F206" s="61">
        <v>1399</v>
      </c>
      <c r="G206" s="61">
        <v>2025</v>
      </c>
      <c r="H206" s="61" t="s">
        <v>3128</v>
      </c>
      <c r="I206" s="61" t="s">
        <v>188</v>
      </c>
      <c r="J206" s="61"/>
      <c r="K206" s="61" t="s">
        <v>2445</v>
      </c>
      <c r="L206" s="61" t="s">
        <v>7892</v>
      </c>
      <c r="M206" s="475">
        <v>45940</v>
      </c>
      <c r="N206" s="475">
        <v>45942</v>
      </c>
      <c r="O206" s="61"/>
      <c r="P206" s="475">
        <v>45943</v>
      </c>
      <c r="Q206" s="475">
        <v>45944</v>
      </c>
      <c r="R206" s="61">
        <f t="shared" si="12"/>
        <v>1</v>
      </c>
      <c r="S206" s="61" t="str">
        <f t="shared" si="13"/>
        <v/>
      </c>
      <c r="T206" s="61">
        <f t="shared" si="15"/>
        <v>1</v>
      </c>
      <c r="U206" s="61">
        <f t="shared" si="14"/>
        <v>1</v>
      </c>
      <c r="V206" s="61" t="s">
        <v>150</v>
      </c>
      <c r="W206" s="61" t="s">
        <v>1078</v>
      </c>
      <c r="X206" s="61" t="s">
        <v>50</v>
      </c>
      <c r="Y206" s="61">
        <v>14.622719999999999</v>
      </c>
      <c r="Z206" s="61">
        <v>120.58044</v>
      </c>
      <c r="AA206" s="61" t="s">
        <v>7884</v>
      </c>
      <c r="AB206" s="61"/>
    </row>
    <row r="207" spans="1:28" s="2" customFormat="1" ht="15">
      <c r="A207" s="61" t="s">
        <v>774</v>
      </c>
      <c r="B207" s="61" t="s">
        <v>861</v>
      </c>
      <c r="C207" s="61" t="s">
        <v>3864</v>
      </c>
      <c r="D207" s="61" t="s">
        <v>7838</v>
      </c>
      <c r="E207" s="61">
        <v>1403</v>
      </c>
      <c r="F207" s="61">
        <v>1387</v>
      </c>
      <c r="G207" s="61">
        <v>2025</v>
      </c>
      <c r="H207" s="61" t="s">
        <v>3128</v>
      </c>
      <c r="I207" s="61" t="s">
        <v>188</v>
      </c>
      <c r="J207" s="61"/>
      <c r="K207" s="61" t="s">
        <v>2445</v>
      </c>
      <c r="L207" s="61" t="s">
        <v>7893</v>
      </c>
      <c r="M207" s="475">
        <v>45933</v>
      </c>
      <c r="N207" s="475">
        <v>45936</v>
      </c>
      <c r="O207" s="61"/>
      <c r="P207" s="475">
        <v>45936</v>
      </c>
      <c r="Q207" s="475">
        <v>45940</v>
      </c>
      <c r="R207" s="61">
        <f t="shared" si="12"/>
        <v>1</v>
      </c>
      <c r="S207" s="61" t="str">
        <f t="shared" si="13"/>
        <v/>
      </c>
      <c r="T207" s="61">
        <f t="shared" si="15"/>
        <v>1</v>
      </c>
      <c r="U207" s="61">
        <f t="shared" si="14"/>
        <v>4</v>
      </c>
      <c r="V207" s="61" t="s">
        <v>150</v>
      </c>
      <c r="W207" s="61" t="s">
        <v>1078</v>
      </c>
      <c r="X207" s="61" t="s">
        <v>50</v>
      </c>
      <c r="Y207" s="61">
        <v>14.65314</v>
      </c>
      <c r="Z207" s="61">
        <v>120.56946000000001</v>
      </c>
      <c r="AA207" s="61" t="s">
        <v>7884</v>
      </c>
      <c r="AB207" s="61"/>
    </row>
    <row r="208" spans="1:28" s="2" customFormat="1" ht="28.5">
      <c r="A208" s="61" t="s">
        <v>774</v>
      </c>
      <c r="B208" s="61" t="s">
        <v>848</v>
      </c>
      <c r="C208" s="61" t="s">
        <v>892</v>
      </c>
      <c r="D208" s="61" t="s">
        <v>7838</v>
      </c>
      <c r="E208" s="61">
        <v>3271</v>
      </c>
      <c r="F208" s="61">
        <v>3729</v>
      </c>
      <c r="G208" s="61">
        <v>2025</v>
      </c>
      <c r="H208" s="61" t="s">
        <v>3470</v>
      </c>
      <c r="I208" s="61" t="s">
        <v>19</v>
      </c>
      <c r="J208" s="61"/>
      <c r="K208" s="61" t="s">
        <v>2445</v>
      </c>
      <c r="L208" s="61" t="s">
        <v>7894</v>
      </c>
      <c r="M208" s="475">
        <v>45757</v>
      </c>
      <c r="N208" s="475">
        <v>45761</v>
      </c>
      <c r="O208" s="61"/>
      <c r="P208" s="475">
        <v>45761</v>
      </c>
      <c r="Q208" s="475">
        <v>45761</v>
      </c>
      <c r="R208" s="61">
        <f t="shared" si="12"/>
        <v>2</v>
      </c>
      <c r="S208" s="61" t="str">
        <f t="shared" si="13"/>
        <v/>
      </c>
      <c r="T208" s="61">
        <f t="shared" si="15"/>
        <v>1</v>
      </c>
      <c r="U208" s="61">
        <f t="shared" si="14"/>
        <v>1</v>
      </c>
      <c r="V208" s="61" t="s">
        <v>150</v>
      </c>
      <c r="W208" s="61" t="s">
        <v>1078</v>
      </c>
      <c r="X208" s="61" t="s">
        <v>50</v>
      </c>
      <c r="Y208" s="61">
        <v>14.59385</v>
      </c>
      <c r="Z208" s="61">
        <v>120.39024999999999</v>
      </c>
      <c r="AA208" s="61" t="s">
        <v>7887</v>
      </c>
      <c r="AB208" s="61"/>
    </row>
    <row r="209" spans="1:28" s="2" customFormat="1" ht="28.5">
      <c r="A209" s="61" t="s">
        <v>774</v>
      </c>
      <c r="B209" s="61" t="s">
        <v>848</v>
      </c>
      <c r="C209" s="61" t="s">
        <v>3616</v>
      </c>
      <c r="D209" s="61" t="s">
        <v>7838</v>
      </c>
      <c r="E209" s="61">
        <v>3248</v>
      </c>
      <c r="F209" s="61">
        <v>3480</v>
      </c>
      <c r="G209" s="61">
        <v>2025</v>
      </c>
      <c r="H209" s="61" t="s">
        <v>3470</v>
      </c>
      <c r="I209" s="61" t="s">
        <v>19</v>
      </c>
      <c r="J209" s="61"/>
      <c r="K209" s="61" t="s">
        <v>2445</v>
      </c>
      <c r="L209" s="61" t="s">
        <v>7895</v>
      </c>
      <c r="M209" s="475">
        <v>45737</v>
      </c>
      <c r="N209" s="475">
        <v>45740</v>
      </c>
      <c r="O209" s="61"/>
      <c r="P209" s="475">
        <v>45742</v>
      </c>
      <c r="Q209" s="475">
        <v>45749</v>
      </c>
      <c r="R209" s="61">
        <f t="shared" si="12"/>
        <v>1</v>
      </c>
      <c r="S209" s="61" t="str">
        <f t="shared" si="13"/>
        <v/>
      </c>
      <c r="T209" s="61">
        <f t="shared" si="15"/>
        <v>2</v>
      </c>
      <c r="U209" s="61">
        <f t="shared" si="14"/>
        <v>5</v>
      </c>
      <c r="V209" s="61" t="s">
        <v>150</v>
      </c>
      <c r="W209" s="61" t="s">
        <v>1078</v>
      </c>
      <c r="X209" s="61" t="s">
        <v>50</v>
      </c>
      <c r="Y209" s="61">
        <v>14.633010000000001</v>
      </c>
      <c r="Z209" s="61">
        <v>120.44973</v>
      </c>
      <c r="AA209" s="61" t="s">
        <v>7887</v>
      </c>
      <c r="AB209" s="61"/>
    </row>
    <row r="210" spans="1:28" s="2" customFormat="1" ht="15">
      <c r="A210" s="61" t="s">
        <v>774</v>
      </c>
      <c r="B210" s="61" t="s">
        <v>861</v>
      </c>
      <c r="C210" s="61" t="s">
        <v>3865</v>
      </c>
      <c r="D210" s="61" t="s">
        <v>7838</v>
      </c>
      <c r="E210" s="61">
        <v>1610</v>
      </c>
      <c r="F210" s="61">
        <v>1807</v>
      </c>
      <c r="G210" s="61">
        <v>2025</v>
      </c>
      <c r="H210" s="61" t="s">
        <v>3128</v>
      </c>
      <c r="I210" s="61" t="s">
        <v>188</v>
      </c>
      <c r="J210" s="61"/>
      <c r="K210" s="61" t="s">
        <v>2445</v>
      </c>
      <c r="L210" s="61" t="s">
        <v>7896</v>
      </c>
      <c r="M210" s="475">
        <v>45947</v>
      </c>
      <c r="N210" s="475">
        <v>45947</v>
      </c>
      <c r="O210" s="61"/>
      <c r="P210" s="475">
        <v>45948</v>
      </c>
      <c r="Q210" s="475">
        <v>45950</v>
      </c>
      <c r="R210" s="61">
        <f t="shared" si="12"/>
        <v>1</v>
      </c>
      <c r="S210" s="61" t="str">
        <f t="shared" si="13"/>
        <v/>
      </c>
      <c r="T210" s="61">
        <f t="shared" si="15"/>
        <v>1</v>
      </c>
      <c r="U210" s="61">
        <f t="shared" si="14"/>
        <v>1</v>
      </c>
      <c r="V210" s="61" t="s">
        <v>150</v>
      </c>
      <c r="W210" s="61" t="s">
        <v>1078</v>
      </c>
      <c r="X210" s="61" t="s">
        <v>50</v>
      </c>
      <c r="Y210" s="61">
        <v>14.64264</v>
      </c>
      <c r="Z210" s="61">
        <v>120.57433</v>
      </c>
      <c r="AA210" s="61" t="s">
        <v>7884</v>
      </c>
      <c r="AB210" s="61"/>
    </row>
    <row r="211" spans="1:28" s="2" customFormat="1" ht="28.5">
      <c r="A211" s="61" t="s">
        <v>774</v>
      </c>
      <c r="B211" s="61" t="s">
        <v>848</v>
      </c>
      <c r="C211" s="61" t="s">
        <v>914</v>
      </c>
      <c r="D211" s="61" t="s">
        <v>7838</v>
      </c>
      <c r="E211" s="61">
        <v>1445</v>
      </c>
      <c r="F211" s="61">
        <v>1511</v>
      </c>
      <c r="G211" s="61">
        <v>2025</v>
      </c>
      <c r="H211" s="61" t="s">
        <v>3689</v>
      </c>
      <c r="I211" s="61" t="s">
        <v>19</v>
      </c>
      <c r="J211" s="61"/>
      <c r="K211" s="61" t="s">
        <v>2445</v>
      </c>
      <c r="L211" s="61" t="s">
        <v>7897</v>
      </c>
      <c r="M211" s="475">
        <v>45805</v>
      </c>
      <c r="N211" s="475">
        <v>45805</v>
      </c>
      <c r="O211" s="61"/>
      <c r="P211" s="475">
        <v>45805</v>
      </c>
      <c r="Q211" s="475">
        <v>45807</v>
      </c>
      <c r="R211" s="61">
        <f t="shared" si="12"/>
        <v>1</v>
      </c>
      <c r="S211" s="61" t="str">
        <f t="shared" si="13"/>
        <v/>
      </c>
      <c r="T211" s="61">
        <f t="shared" si="15"/>
        <v>1</v>
      </c>
      <c r="U211" s="61">
        <f t="shared" si="14"/>
        <v>2</v>
      </c>
      <c r="V211" s="61" t="s">
        <v>150</v>
      </c>
      <c r="W211" s="61" t="s">
        <v>1078</v>
      </c>
      <c r="X211" s="61" t="s">
        <v>50</v>
      </c>
      <c r="Y211" s="61">
        <v>14.62829</v>
      </c>
      <c r="Z211" s="478">
        <v>120.43939</v>
      </c>
      <c r="AA211" s="61" t="s">
        <v>7887</v>
      </c>
      <c r="AB211" s="61"/>
    </row>
    <row r="212" spans="1:28" s="2" customFormat="1" ht="15">
      <c r="A212" s="61" t="s">
        <v>774</v>
      </c>
      <c r="B212" s="61" t="s">
        <v>861</v>
      </c>
      <c r="C212" s="61" t="s">
        <v>3871</v>
      </c>
      <c r="D212" s="61" t="s">
        <v>7838</v>
      </c>
      <c r="E212" s="61">
        <v>5237</v>
      </c>
      <c r="F212" s="61">
        <v>4137</v>
      </c>
      <c r="G212" s="61">
        <v>2025</v>
      </c>
      <c r="H212" s="61" t="s">
        <v>3128</v>
      </c>
      <c r="I212" s="61" t="s">
        <v>188</v>
      </c>
      <c r="J212" s="61"/>
      <c r="K212" s="61" t="s">
        <v>2445</v>
      </c>
      <c r="L212" s="61" t="s">
        <v>7898</v>
      </c>
      <c r="M212" s="475">
        <v>45947</v>
      </c>
      <c r="N212" s="475">
        <v>45947</v>
      </c>
      <c r="O212" s="61"/>
      <c r="P212" s="475">
        <v>45948</v>
      </c>
      <c r="Q212" s="475">
        <v>45950</v>
      </c>
      <c r="R212" s="61">
        <f t="shared" si="12"/>
        <v>1</v>
      </c>
      <c r="S212" s="61" t="str">
        <f t="shared" si="13"/>
        <v/>
      </c>
      <c r="T212" s="61">
        <f t="shared" si="15"/>
        <v>1</v>
      </c>
      <c r="U212" s="61">
        <f t="shared" si="14"/>
        <v>1</v>
      </c>
      <c r="V212" s="61" t="s">
        <v>150</v>
      </c>
      <c r="W212" s="61" t="s">
        <v>1078</v>
      </c>
      <c r="X212" s="61" t="s">
        <v>50</v>
      </c>
      <c r="Y212" s="61">
        <v>14.61659</v>
      </c>
      <c r="Z212" s="61">
        <v>120.58248</v>
      </c>
      <c r="AA212" s="61" t="s">
        <v>7884</v>
      </c>
      <c r="AB212" s="61"/>
    </row>
    <row r="213" spans="1:28" s="2" customFormat="1" ht="15">
      <c r="A213" s="61" t="s">
        <v>774</v>
      </c>
      <c r="B213" s="61" t="s">
        <v>861</v>
      </c>
      <c r="C213" s="61" t="s">
        <v>3874</v>
      </c>
      <c r="D213" s="61" t="s">
        <v>7838</v>
      </c>
      <c r="E213" s="61">
        <v>1647</v>
      </c>
      <c r="F213" s="61">
        <v>1456</v>
      </c>
      <c r="G213" s="61">
        <v>2025</v>
      </c>
      <c r="H213" s="61" t="s">
        <v>3128</v>
      </c>
      <c r="I213" s="61" t="s">
        <v>188</v>
      </c>
      <c r="J213" s="61"/>
      <c r="K213" s="61" t="s">
        <v>2445</v>
      </c>
      <c r="L213" s="61" t="s">
        <v>7899</v>
      </c>
      <c r="M213" s="475">
        <v>45947</v>
      </c>
      <c r="N213" s="475">
        <v>45947</v>
      </c>
      <c r="O213" s="61"/>
      <c r="P213" s="475">
        <v>45948</v>
      </c>
      <c r="Q213" s="475">
        <v>45950</v>
      </c>
      <c r="R213" s="61">
        <f t="shared" si="12"/>
        <v>1</v>
      </c>
      <c r="S213" s="61" t="str">
        <f t="shared" si="13"/>
        <v/>
      </c>
      <c r="T213" s="61">
        <f t="shared" si="15"/>
        <v>1</v>
      </c>
      <c r="U213" s="61">
        <f t="shared" si="14"/>
        <v>1</v>
      </c>
      <c r="V213" s="61" t="s">
        <v>150</v>
      </c>
      <c r="W213" s="61" t="s">
        <v>1078</v>
      </c>
      <c r="X213" s="61" t="s">
        <v>50</v>
      </c>
      <c r="Y213" s="61">
        <v>14.619579999999999</v>
      </c>
      <c r="Z213" s="61">
        <v>120.58434</v>
      </c>
      <c r="AA213" s="61" t="s">
        <v>7884</v>
      </c>
      <c r="AB213" s="61"/>
    </row>
    <row r="214" spans="1:28" s="2" customFormat="1" ht="15">
      <c r="A214" s="61" t="s">
        <v>774</v>
      </c>
      <c r="B214" s="61" t="s">
        <v>926</v>
      </c>
      <c r="C214" s="61" t="s">
        <v>3667</v>
      </c>
      <c r="D214" s="61" t="s">
        <v>7838</v>
      </c>
      <c r="E214" s="61">
        <v>95</v>
      </c>
      <c r="F214" s="61">
        <v>114</v>
      </c>
      <c r="G214" s="61"/>
      <c r="H214" s="61"/>
      <c r="I214" s="61" t="s">
        <v>179</v>
      </c>
      <c r="J214" s="61"/>
      <c r="K214" s="61" t="s">
        <v>2445</v>
      </c>
      <c r="L214" s="61"/>
      <c r="M214" s="61"/>
      <c r="N214" s="61"/>
      <c r="O214" s="61"/>
      <c r="P214" s="61"/>
      <c r="Q214" s="61"/>
      <c r="R214" s="61" t="str">
        <f t="shared" si="12"/>
        <v/>
      </c>
      <c r="S214" s="61" t="str">
        <f t="shared" si="13"/>
        <v/>
      </c>
      <c r="T214" s="61" t="str">
        <f t="shared" si="15"/>
        <v/>
      </c>
      <c r="U214" s="61" t="str">
        <f t="shared" si="14"/>
        <v/>
      </c>
      <c r="V214" s="61"/>
      <c r="W214" s="61"/>
      <c r="X214" s="61"/>
      <c r="Y214" s="61"/>
      <c r="Z214" s="61"/>
      <c r="AA214" s="61"/>
      <c r="AB214" s="61"/>
    </row>
    <row r="215" spans="1:28" s="2" customFormat="1" ht="15">
      <c r="A215" s="61" t="s">
        <v>774</v>
      </c>
      <c r="B215" s="61" t="s">
        <v>926</v>
      </c>
      <c r="C215" s="61" t="s">
        <v>3668</v>
      </c>
      <c r="D215" s="61" t="s">
        <v>7838</v>
      </c>
      <c r="E215" s="61">
        <v>4774</v>
      </c>
      <c r="F215" s="61">
        <v>5053</v>
      </c>
      <c r="G215" s="61"/>
      <c r="H215" s="61"/>
      <c r="I215" s="61" t="s">
        <v>179</v>
      </c>
      <c r="J215" s="61"/>
      <c r="K215" s="61" t="s">
        <v>2445</v>
      </c>
      <c r="L215" s="61"/>
      <c r="M215" s="61"/>
      <c r="N215" s="61"/>
      <c r="O215" s="61"/>
      <c r="P215" s="61"/>
      <c r="Q215" s="61"/>
      <c r="R215" s="61" t="str">
        <f t="shared" si="12"/>
        <v/>
      </c>
      <c r="S215" s="61" t="str">
        <f t="shared" si="13"/>
        <v/>
      </c>
      <c r="T215" s="61" t="str">
        <f t="shared" si="15"/>
        <v/>
      </c>
      <c r="U215" s="61" t="str">
        <f t="shared" si="14"/>
        <v/>
      </c>
      <c r="V215" s="61"/>
      <c r="W215" s="61"/>
      <c r="X215" s="61"/>
      <c r="Y215" s="61"/>
      <c r="Z215" s="61"/>
      <c r="AA215" s="61"/>
      <c r="AB215" s="61"/>
    </row>
    <row r="216" spans="1:28" s="2" customFormat="1" ht="15">
      <c r="A216" s="61" t="s">
        <v>774</v>
      </c>
      <c r="B216" s="61" t="s">
        <v>861</v>
      </c>
      <c r="C216" s="61" t="s">
        <v>3860</v>
      </c>
      <c r="D216" s="61" t="s">
        <v>7838</v>
      </c>
      <c r="E216" s="61">
        <v>644</v>
      </c>
      <c r="F216" s="61">
        <v>516</v>
      </c>
      <c r="G216" s="61">
        <v>2025</v>
      </c>
      <c r="H216" s="61" t="s">
        <v>3127</v>
      </c>
      <c r="I216" s="61" t="s">
        <v>188</v>
      </c>
      <c r="J216" s="61"/>
      <c r="K216" s="61" t="s">
        <v>2445</v>
      </c>
      <c r="L216" s="61" t="s">
        <v>7900</v>
      </c>
      <c r="M216" s="475">
        <v>45910</v>
      </c>
      <c r="N216" s="475">
        <v>45914</v>
      </c>
      <c r="O216" s="61"/>
      <c r="P216" s="475">
        <v>45915</v>
      </c>
      <c r="Q216" s="475">
        <v>45917</v>
      </c>
      <c r="R216" s="61">
        <f t="shared" si="12"/>
        <v>2</v>
      </c>
      <c r="S216" s="61" t="str">
        <f t="shared" si="13"/>
        <v/>
      </c>
      <c r="T216" s="61">
        <f t="shared" si="15"/>
        <v>1</v>
      </c>
      <c r="U216" s="61">
        <f t="shared" si="14"/>
        <v>2</v>
      </c>
      <c r="V216" s="61" t="s">
        <v>150</v>
      </c>
      <c r="W216" s="61" t="s">
        <v>1078</v>
      </c>
      <c r="X216" s="61" t="s">
        <v>50</v>
      </c>
      <c r="Y216" s="61">
        <v>14.621919999999999</v>
      </c>
      <c r="Z216" s="61">
        <v>120.57787</v>
      </c>
      <c r="AA216" s="61" t="s">
        <v>7884</v>
      </c>
      <c r="AB216" s="61"/>
    </row>
    <row r="217" spans="1:28" s="2" customFormat="1" ht="15">
      <c r="A217" s="61" t="s">
        <v>774</v>
      </c>
      <c r="B217" s="61" t="s">
        <v>926</v>
      </c>
      <c r="C217" s="61" t="s">
        <v>3672</v>
      </c>
      <c r="D217" s="61" t="s">
        <v>7838</v>
      </c>
      <c r="E217" s="61">
        <v>488</v>
      </c>
      <c r="F217" s="61">
        <v>366</v>
      </c>
      <c r="G217" s="61"/>
      <c r="H217" s="61"/>
      <c r="I217" s="61" t="s">
        <v>179</v>
      </c>
      <c r="J217" s="61"/>
      <c r="K217" s="61" t="s">
        <v>2445</v>
      </c>
      <c r="L217" s="61"/>
      <c r="M217" s="61"/>
      <c r="N217" s="61"/>
      <c r="O217" s="61"/>
      <c r="P217" s="61"/>
      <c r="Q217" s="61"/>
      <c r="R217" s="61" t="str">
        <f t="shared" si="12"/>
        <v/>
      </c>
      <c r="S217" s="61" t="str">
        <f t="shared" si="13"/>
        <v/>
      </c>
      <c r="T217" s="61" t="str">
        <f t="shared" si="15"/>
        <v/>
      </c>
      <c r="U217" s="61" t="str">
        <f t="shared" si="14"/>
        <v/>
      </c>
      <c r="V217" s="61"/>
      <c r="W217" s="61"/>
      <c r="X217" s="61"/>
      <c r="Y217" s="61"/>
      <c r="Z217" s="61"/>
      <c r="AA217" s="61"/>
      <c r="AB217" s="61"/>
    </row>
    <row r="218" spans="1:28" s="2" customFormat="1" ht="15">
      <c r="A218" s="61" t="s">
        <v>774</v>
      </c>
      <c r="B218" s="61" t="s">
        <v>926</v>
      </c>
      <c r="C218" s="61" t="s">
        <v>3674</v>
      </c>
      <c r="D218" s="61" t="s">
        <v>7838</v>
      </c>
      <c r="E218" s="61">
        <v>411</v>
      </c>
      <c r="F218" s="61">
        <v>331</v>
      </c>
      <c r="G218" s="61"/>
      <c r="H218" s="61"/>
      <c r="I218" s="61" t="s">
        <v>179</v>
      </c>
      <c r="J218" s="61"/>
      <c r="K218" s="61" t="s">
        <v>2445</v>
      </c>
      <c r="L218" s="61"/>
      <c r="M218" s="61"/>
      <c r="N218" s="61"/>
      <c r="O218" s="61"/>
      <c r="P218" s="61"/>
      <c r="Q218" s="61"/>
      <c r="R218" s="61" t="str">
        <f t="shared" si="12"/>
        <v/>
      </c>
      <c r="S218" s="61" t="str">
        <f t="shared" si="13"/>
        <v/>
      </c>
      <c r="T218" s="61" t="str">
        <f t="shared" si="15"/>
        <v/>
      </c>
      <c r="U218" s="61" t="str">
        <f t="shared" si="14"/>
        <v/>
      </c>
      <c r="V218" s="61"/>
      <c r="W218" s="61"/>
      <c r="X218" s="61"/>
      <c r="Y218" s="61"/>
      <c r="Z218" s="61"/>
      <c r="AA218" s="61"/>
      <c r="AB218" s="61"/>
    </row>
    <row r="219" spans="1:28" s="2" customFormat="1" ht="28.5">
      <c r="A219" s="61" t="s">
        <v>774</v>
      </c>
      <c r="B219" s="61" t="s">
        <v>3622</v>
      </c>
      <c r="C219" s="61" t="s">
        <v>3634</v>
      </c>
      <c r="D219" s="61" t="s">
        <v>7838</v>
      </c>
      <c r="E219" s="61">
        <v>9583</v>
      </c>
      <c r="F219" s="61">
        <v>11581</v>
      </c>
      <c r="G219" s="61">
        <v>2025</v>
      </c>
      <c r="H219" s="61" t="s">
        <v>3532</v>
      </c>
      <c r="I219" s="61" t="s">
        <v>188</v>
      </c>
      <c r="J219" s="61"/>
      <c r="K219" s="61" t="s">
        <v>2445</v>
      </c>
      <c r="L219" s="61" t="s">
        <v>7901</v>
      </c>
      <c r="M219" s="475">
        <v>45793</v>
      </c>
      <c r="N219" s="475">
        <v>45796</v>
      </c>
      <c r="O219" s="61"/>
      <c r="P219" s="475">
        <v>45796</v>
      </c>
      <c r="Q219" s="475">
        <v>45797</v>
      </c>
      <c r="R219" s="61">
        <f t="shared" si="12"/>
        <v>1</v>
      </c>
      <c r="S219" s="61" t="str">
        <f t="shared" si="13"/>
        <v/>
      </c>
      <c r="T219" s="61">
        <f t="shared" si="15"/>
        <v>1</v>
      </c>
      <c r="U219" s="61">
        <f t="shared" si="14"/>
        <v>1</v>
      </c>
      <c r="V219" s="61" t="s">
        <v>150</v>
      </c>
      <c r="W219" s="61" t="s">
        <v>1078</v>
      </c>
      <c r="X219" s="61" t="s">
        <v>50</v>
      </c>
      <c r="Y219" s="61">
        <v>14.665789999999999</v>
      </c>
      <c r="Z219" s="61">
        <v>120.54340000000001</v>
      </c>
      <c r="AA219" s="61" t="s">
        <v>196</v>
      </c>
      <c r="AB219" s="61"/>
    </row>
    <row r="220" spans="1:28" s="2" customFormat="1" ht="15">
      <c r="A220" s="61" t="s">
        <v>774</v>
      </c>
      <c r="B220" s="61" t="s">
        <v>926</v>
      </c>
      <c r="C220" s="61" t="s">
        <v>3679</v>
      </c>
      <c r="D220" s="61" t="s">
        <v>7838</v>
      </c>
      <c r="E220" s="61">
        <v>1573</v>
      </c>
      <c r="F220" s="61">
        <v>1830</v>
      </c>
      <c r="G220" s="61"/>
      <c r="H220" s="61"/>
      <c r="I220" s="61" t="s">
        <v>179</v>
      </c>
      <c r="J220" s="61"/>
      <c r="K220" s="61" t="s">
        <v>2445</v>
      </c>
      <c r="L220" s="61"/>
      <c r="M220" s="61"/>
      <c r="N220" s="61"/>
      <c r="O220" s="61"/>
      <c r="P220" s="61"/>
      <c r="Q220" s="61"/>
      <c r="R220" s="61" t="str">
        <f t="shared" si="12"/>
        <v/>
      </c>
      <c r="S220" s="61" t="str">
        <f t="shared" si="13"/>
        <v/>
      </c>
      <c r="T220" s="61" t="str">
        <f t="shared" si="15"/>
        <v/>
      </c>
      <c r="U220" s="61" t="str">
        <f t="shared" si="14"/>
        <v/>
      </c>
      <c r="V220" s="61"/>
      <c r="W220" s="61"/>
      <c r="X220" s="61"/>
      <c r="Y220" s="61"/>
      <c r="Z220" s="61"/>
      <c r="AA220" s="61"/>
      <c r="AB220" s="61"/>
    </row>
    <row r="221" spans="1:28" s="2" customFormat="1" ht="15">
      <c r="A221" s="61" t="s">
        <v>774</v>
      </c>
      <c r="B221" s="61" t="s">
        <v>926</v>
      </c>
      <c r="C221" s="61" t="s">
        <v>3680</v>
      </c>
      <c r="D221" s="61" t="s">
        <v>7838</v>
      </c>
      <c r="E221" s="61">
        <v>291</v>
      </c>
      <c r="F221" s="61">
        <v>265</v>
      </c>
      <c r="G221" s="61"/>
      <c r="H221" s="61"/>
      <c r="I221" s="61" t="s">
        <v>179</v>
      </c>
      <c r="J221" s="61"/>
      <c r="K221" s="61" t="s">
        <v>2445</v>
      </c>
      <c r="L221" s="61"/>
      <c r="M221" s="61"/>
      <c r="N221" s="61"/>
      <c r="O221" s="61"/>
      <c r="P221" s="61"/>
      <c r="Q221" s="61"/>
      <c r="R221" s="61" t="str">
        <f t="shared" si="12"/>
        <v/>
      </c>
      <c r="S221" s="61" t="str">
        <f t="shared" si="13"/>
        <v/>
      </c>
      <c r="T221" s="61" t="str">
        <f t="shared" si="15"/>
        <v/>
      </c>
      <c r="U221" s="61" t="str">
        <f t="shared" si="14"/>
        <v/>
      </c>
      <c r="V221" s="61"/>
      <c r="W221" s="61"/>
      <c r="X221" s="61"/>
      <c r="Y221" s="61"/>
      <c r="Z221" s="61"/>
      <c r="AA221" s="61"/>
      <c r="AB221" s="61"/>
    </row>
    <row r="222" spans="1:28" s="2" customFormat="1" ht="15">
      <c r="A222" s="61" t="s">
        <v>774</v>
      </c>
      <c r="B222" s="61" t="s">
        <v>926</v>
      </c>
      <c r="C222" s="61" t="s">
        <v>3684</v>
      </c>
      <c r="D222" s="61" t="s">
        <v>7838</v>
      </c>
      <c r="E222" s="61">
        <v>292</v>
      </c>
      <c r="F222" s="61">
        <v>307</v>
      </c>
      <c r="G222" s="61"/>
      <c r="H222" s="61"/>
      <c r="I222" s="61" t="s">
        <v>179</v>
      </c>
      <c r="J222" s="61"/>
      <c r="K222" s="61" t="s">
        <v>2445</v>
      </c>
      <c r="L222" s="61"/>
      <c r="M222" s="61"/>
      <c r="N222" s="61"/>
      <c r="O222" s="61"/>
      <c r="P222" s="61"/>
      <c r="Q222" s="61"/>
      <c r="R222" s="61" t="str">
        <f t="shared" si="12"/>
        <v/>
      </c>
      <c r="S222" s="61" t="str">
        <f t="shared" si="13"/>
        <v/>
      </c>
      <c r="T222" s="61" t="str">
        <f t="shared" si="15"/>
        <v/>
      </c>
      <c r="U222" s="61" t="str">
        <f t="shared" si="14"/>
        <v/>
      </c>
      <c r="V222" s="61"/>
      <c r="W222" s="61"/>
      <c r="X222" s="61"/>
      <c r="Y222" s="61"/>
      <c r="Z222" s="61"/>
      <c r="AA222" s="61"/>
      <c r="AB222" s="61"/>
    </row>
    <row r="223" spans="1:28" s="2" customFormat="1" ht="15">
      <c r="A223" s="61" t="s">
        <v>774</v>
      </c>
      <c r="B223" s="61" t="s">
        <v>926</v>
      </c>
      <c r="C223" s="61" t="s">
        <v>3691</v>
      </c>
      <c r="D223" s="61" t="s">
        <v>7838</v>
      </c>
      <c r="E223" s="61">
        <v>2990</v>
      </c>
      <c r="F223" s="61">
        <v>3082</v>
      </c>
      <c r="G223" s="61"/>
      <c r="H223" s="61"/>
      <c r="I223" s="61" t="s">
        <v>179</v>
      </c>
      <c r="J223" s="61"/>
      <c r="K223" s="61" t="s">
        <v>2445</v>
      </c>
      <c r="L223" s="474"/>
      <c r="M223" s="474"/>
      <c r="N223" s="61"/>
      <c r="O223" s="61"/>
      <c r="P223" s="61"/>
      <c r="Q223" s="61"/>
      <c r="R223" s="61" t="str">
        <f t="shared" si="12"/>
        <v/>
      </c>
      <c r="S223" s="61" t="str">
        <f t="shared" si="13"/>
        <v/>
      </c>
      <c r="T223" s="61" t="str">
        <f t="shared" si="15"/>
        <v/>
      </c>
      <c r="U223" s="61" t="str">
        <f t="shared" si="14"/>
        <v/>
      </c>
      <c r="V223" s="61"/>
      <c r="W223" s="61"/>
      <c r="X223" s="61"/>
      <c r="Y223" s="61"/>
      <c r="Z223" s="61"/>
      <c r="AA223" s="61"/>
      <c r="AB223" s="61"/>
    </row>
    <row r="224" spans="1:28" s="2" customFormat="1" ht="15">
      <c r="A224" s="61" t="s">
        <v>774</v>
      </c>
      <c r="B224" s="61" t="s">
        <v>926</v>
      </c>
      <c r="C224" s="61" t="s">
        <v>3693</v>
      </c>
      <c r="D224" s="61" t="s">
        <v>7838</v>
      </c>
      <c r="E224" s="61">
        <v>6184</v>
      </c>
      <c r="F224" s="61">
        <v>5953</v>
      </c>
      <c r="G224" s="61"/>
      <c r="H224" s="61"/>
      <c r="I224" s="61" t="s">
        <v>179</v>
      </c>
      <c r="J224" s="61"/>
      <c r="K224" s="61" t="s">
        <v>2445</v>
      </c>
      <c r="L224" s="61"/>
      <c r="M224" s="61"/>
      <c r="N224" s="61"/>
      <c r="O224" s="61"/>
      <c r="P224" s="61"/>
      <c r="Q224" s="61"/>
      <c r="R224" s="61" t="str">
        <f t="shared" si="12"/>
        <v/>
      </c>
      <c r="S224" s="61" t="str">
        <f t="shared" si="13"/>
        <v/>
      </c>
      <c r="T224" s="61" t="str">
        <f t="shared" si="15"/>
        <v/>
      </c>
      <c r="U224" s="61" t="str">
        <f t="shared" si="14"/>
        <v/>
      </c>
      <c r="V224" s="61"/>
      <c r="W224" s="61"/>
      <c r="X224" s="61"/>
      <c r="Y224" s="61"/>
      <c r="Z224" s="61"/>
      <c r="AA224" s="61"/>
      <c r="AB224" s="61"/>
    </row>
    <row r="225" spans="1:28" s="2" customFormat="1" ht="15">
      <c r="A225" s="61" t="s">
        <v>774</v>
      </c>
      <c r="B225" s="61" t="s">
        <v>926</v>
      </c>
      <c r="C225" s="61" t="s">
        <v>3696</v>
      </c>
      <c r="D225" s="61" t="s">
        <v>7838</v>
      </c>
      <c r="E225" s="61">
        <v>324</v>
      </c>
      <c r="F225" s="61">
        <v>321</v>
      </c>
      <c r="G225" s="61"/>
      <c r="H225" s="61"/>
      <c r="I225" s="61" t="s">
        <v>179</v>
      </c>
      <c r="J225" s="61"/>
      <c r="K225" s="61" t="s">
        <v>2445</v>
      </c>
      <c r="L225" s="61"/>
      <c r="M225" s="61"/>
      <c r="N225" s="61"/>
      <c r="O225" s="61"/>
      <c r="P225" s="61"/>
      <c r="Q225" s="61"/>
      <c r="R225" s="61" t="str">
        <f t="shared" si="12"/>
        <v/>
      </c>
      <c r="S225" s="61" t="str">
        <f t="shared" si="13"/>
        <v/>
      </c>
      <c r="T225" s="61" t="str">
        <f t="shared" si="15"/>
        <v/>
      </c>
      <c r="U225" s="61" t="str">
        <f t="shared" si="14"/>
        <v/>
      </c>
      <c r="V225" s="61"/>
      <c r="W225" s="61"/>
      <c r="X225" s="61"/>
      <c r="Y225" s="61"/>
      <c r="Z225" s="61"/>
      <c r="AA225" s="61"/>
      <c r="AB225" s="61"/>
    </row>
    <row r="226" spans="1:28" s="2" customFormat="1" ht="15">
      <c r="A226" s="61" t="s">
        <v>774</v>
      </c>
      <c r="B226" s="61" t="s">
        <v>926</v>
      </c>
      <c r="C226" s="61" t="s">
        <v>3701</v>
      </c>
      <c r="D226" s="61" t="s">
        <v>7838</v>
      </c>
      <c r="E226" s="61">
        <v>2705</v>
      </c>
      <c r="F226" s="61">
        <v>3105</v>
      </c>
      <c r="G226" s="61"/>
      <c r="H226" s="61"/>
      <c r="I226" s="61" t="s">
        <v>179</v>
      </c>
      <c r="J226" s="61"/>
      <c r="K226" s="61" t="s">
        <v>2445</v>
      </c>
      <c r="L226" s="61"/>
      <c r="M226" s="61"/>
      <c r="N226" s="61"/>
      <c r="O226" s="61"/>
      <c r="P226" s="61"/>
      <c r="Q226" s="61"/>
      <c r="R226" s="61" t="str">
        <f t="shared" si="12"/>
        <v/>
      </c>
      <c r="S226" s="61" t="str">
        <f t="shared" si="13"/>
        <v/>
      </c>
      <c r="T226" s="61" t="str">
        <f t="shared" si="15"/>
        <v/>
      </c>
      <c r="U226" s="61" t="str">
        <f t="shared" si="14"/>
        <v/>
      </c>
      <c r="V226" s="61"/>
      <c r="W226" s="61"/>
      <c r="X226" s="61"/>
      <c r="Y226" s="61"/>
      <c r="Z226" s="61"/>
      <c r="AA226" s="61"/>
      <c r="AB226" s="61"/>
    </row>
    <row r="227" spans="1:28" s="2" customFormat="1" ht="15">
      <c r="A227" s="61" t="s">
        <v>774</v>
      </c>
      <c r="B227" s="61" t="s">
        <v>926</v>
      </c>
      <c r="C227" s="61" t="s">
        <v>3702</v>
      </c>
      <c r="D227" s="61" t="s">
        <v>7838</v>
      </c>
      <c r="E227" s="61">
        <v>6012</v>
      </c>
      <c r="F227" s="61">
        <v>6646</v>
      </c>
      <c r="G227" s="61"/>
      <c r="H227" s="61"/>
      <c r="I227" s="61" t="s">
        <v>179</v>
      </c>
      <c r="J227" s="61"/>
      <c r="K227" s="61" t="s">
        <v>2445</v>
      </c>
      <c r="L227" s="61"/>
      <c r="M227" s="61"/>
      <c r="N227" s="61"/>
      <c r="O227" s="61"/>
      <c r="P227" s="61"/>
      <c r="Q227" s="61"/>
      <c r="R227" s="61" t="str">
        <f t="shared" si="12"/>
        <v/>
      </c>
      <c r="S227" s="61" t="str">
        <f t="shared" si="13"/>
        <v/>
      </c>
      <c r="T227" s="61" t="str">
        <f t="shared" si="15"/>
        <v/>
      </c>
      <c r="U227" s="61" t="str">
        <f t="shared" si="14"/>
        <v/>
      </c>
      <c r="V227" s="61"/>
      <c r="W227" s="61"/>
      <c r="X227" s="61"/>
      <c r="Y227" s="61"/>
      <c r="Z227" s="61"/>
      <c r="AA227" s="61"/>
      <c r="AB227" s="61"/>
    </row>
    <row r="228" spans="1:28" s="2" customFormat="1" ht="28.5">
      <c r="A228" s="61" t="s">
        <v>774</v>
      </c>
      <c r="B228" s="61" t="s">
        <v>3622</v>
      </c>
      <c r="C228" s="61" t="s">
        <v>3638</v>
      </c>
      <c r="D228" s="61" t="s">
        <v>7838</v>
      </c>
      <c r="E228" s="61">
        <v>1784</v>
      </c>
      <c r="F228" s="61">
        <v>1776</v>
      </c>
      <c r="G228" s="61">
        <v>2025</v>
      </c>
      <c r="H228" s="61" t="s">
        <v>3470</v>
      </c>
      <c r="I228" s="61" t="s">
        <v>188</v>
      </c>
      <c r="J228" s="61"/>
      <c r="K228" s="61" t="s">
        <v>2445</v>
      </c>
      <c r="L228" s="61" t="s">
        <v>7902</v>
      </c>
      <c r="M228" s="475">
        <v>45743</v>
      </c>
      <c r="N228" s="475">
        <v>45746</v>
      </c>
      <c r="O228" s="61"/>
      <c r="P228" s="475">
        <v>45746</v>
      </c>
      <c r="Q228" s="475">
        <v>45747</v>
      </c>
      <c r="R228" s="61">
        <f t="shared" si="12"/>
        <v>1</v>
      </c>
      <c r="S228" s="61" t="str">
        <f t="shared" si="13"/>
        <v/>
      </c>
      <c r="T228" s="61">
        <f t="shared" si="15"/>
        <v>1</v>
      </c>
      <c r="U228" s="61">
        <f t="shared" si="14"/>
        <v>1</v>
      </c>
      <c r="V228" s="61" t="s">
        <v>150</v>
      </c>
      <c r="W228" s="61" t="s">
        <v>1078</v>
      </c>
      <c r="X228" s="61" t="s">
        <v>57</v>
      </c>
      <c r="Y228" s="61">
        <v>14.65598</v>
      </c>
      <c r="Z228" s="61">
        <v>120.47620000000001</v>
      </c>
      <c r="AA228" s="61" t="s">
        <v>196</v>
      </c>
      <c r="AB228" s="61"/>
    </row>
    <row r="229" spans="1:28" s="2" customFormat="1" ht="15">
      <c r="A229" s="61" t="s">
        <v>774</v>
      </c>
      <c r="B229" s="61" t="s">
        <v>926</v>
      </c>
      <c r="C229" s="61" t="s">
        <v>3707</v>
      </c>
      <c r="D229" s="61" t="s">
        <v>7838</v>
      </c>
      <c r="E229" s="61">
        <v>770</v>
      </c>
      <c r="F229" s="61">
        <v>888</v>
      </c>
      <c r="G229" s="61"/>
      <c r="H229" s="61"/>
      <c r="I229" s="61" t="s">
        <v>179</v>
      </c>
      <c r="J229" s="61"/>
      <c r="K229" s="61" t="s">
        <v>2445</v>
      </c>
      <c r="L229" s="61"/>
      <c r="M229" s="61"/>
      <c r="N229" s="61"/>
      <c r="O229" s="61"/>
      <c r="P229" s="61"/>
      <c r="Q229" s="61"/>
      <c r="R229" s="61" t="str">
        <f t="shared" si="12"/>
        <v/>
      </c>
      <c r="S229" s="61" t="str">
        <f t="shared" si="13"/>
        <v/>
      </c>
      <c r="T229" s="61" t="str">
        <f t="shared" si="15"/>
        <v/>
      </c>
      <c r="U229" s="61" t="str">
        <f t="shared" si="14"/>
        <v/>
      </c>
      <c r="V229" s="61"/>
      <c r="W229" s="61"/>
      <c r="X229" s="61"/>
      <c r="Y229" s="61"/>
      <c r="Z229" s="61"/>
      <c r="AA229" s="61"/>
      <c r="AB229" s="61"/>
    </row>
    <row r="230" spans="1:28" s="2" customFormat="1" ht="15">
      <c r="A230" s="61" t="s">
        <v>774</v>
      </c>
      <c r="B230" s="61" t="s">
        <v>926</v>
      </c>
      <c r="C230" s="61" t="s">
        <v>3709</v>
      </c>
      <c r="D230" s="61" t="s">
        <v>7838</v>
      </c>
      <c r="E230" s="61">
        <v>3041</v>
      </c>
      <c r="F230" s="61">
        <v>3283</v>
      </c>
      <c r="G230" s="61"/>
      <c r="H230" s="61"/>
      <c r="I230" s="61" t="s">
        <v>179</v>
      </c>
      <c r="J230" s="61"/>
      <c r="K230" s="61" t="s">
        <v>2445</v>
      </c>
      <c r="L230" s="61"/>
      <c r="M230" s="61"/>
      <c r="N230" s="61"/>
      <c r="O230" s="61"/>
      <c r="P230" s="61"/>
      <c r="Q230" s="61"/>
      <c r="R230" s="61" t="str">
        <f t="shared" si="12"/>
        <v/>
      </c>
      <c r="S230" s="61" t="str">
        <f t="shared" si="13"/>
        <v/>
      </c>
      <c r="T230" s="61" t="str">
        <f t="shared" si="15"/>
        <v/>
      </c>
      <c r="U230" s="61" t="str">
        <f t="shared" si="14"/>
        <v/>
      </c>
      <c r="V230" s="61"/>
      <c r="W230" s="61"/>
      <c r="X230" s="61"/>
      <c r="Y230" s="61"/>
      <c r="Z230" s="61"/>
      <c r="AA230" s="61"/>
      <c r="AB230" s="61"/>
    </row>
    <row r="231" spans="1:28" s="2" customFormat="1" ht="15">
      <c r="A231" s="61" t="s">
        <v>774</v>
      </c>
      <c r="B231" s="61" t="s">
        <v>926</v>
      </c>
      <c r="C231" s="61" t="s">
        <v>3712</v>
      </c>
      <c r="D231" s="61" t="s">
        <v>7838</v>
      </c>
      <c r="E231" s="61">
        <v>3578</v>
      </c>
      <c r="F231" s="61">
        <v>4080</v>
      </c>
      <c r="G231" s="61"/>
      <c r="H231" s="61"/>
      <c r="I231" s="61" t="s">
        <v>179</v>
      </c>
      <c r="J231" s="61"/>
      <c r="K231" s="61" t="s">
        <v>2445</v>
      </c>
      <c r="L231" s="61"/>
      <c r="M231" s="61"/>
      <c r="N231" s="61"/>
      <c r="O231" s="61"/>
      <c r="P231" s="61"/>
      <c r="Q231" s="61"/>
      <c r="R231" s="61" t="str">
        <f t="shared" si="12"/>
        <v/>
      </c>
      <c r="S231" s="61" t="str">
        <f t="shared" si="13"/>
        <v/>
      </c>
      <c r="T231" s="61" t="str">
        <f t="shared" si="15"/>
        <v/>
      </c>
      <c r="U231" s="61" t="str">
        <f t="shared" si="14"/>
        <v/>
      </c>
      <c r="V231" s="61"/>
      <c r="W231" s="61"/>
      <c r="X231" s="61"/>
      <c r="Y231" s="61"/>
      <c r="Z231" s="61"/>
      <c r="AA231" s="61"/>
      <c r="AB231" s="61"/>
    </row>
    <row r="232" spans="1:28" s="2" customFormat="1" ht="15">
      <c r="A232" s="61" t="s">
        <v>774</v>
      </c>
      <c r="B232" s="61" t="s">
        <v>926</v>
      </c>
      <c r="C232" s="61" t="s">
        <v>3713</v>
      </c>
      <c r="D232" s="61" t="s">
        <v>7838</v>
      </c>
      <c r="E232" s="61">
        <v>249</v>
      </c>
      <c r="F232" s="61">
        <v>211</v>
      </c>
      <c r="G232" s="61"/>
      <c r="H232" s="61"/>
      <c r="I232" s="61" t="s">
        <v>179</v>
      </c>
      <c r="J232" s="61"/>
      <c r="K232" s="61" t="s">
        <v>2445</v>
      </c>
      <c r="L232" s="61"/>
      <c r="M232" s="61"/>
      <c r="N232" s="61"/>
      <c r="O232" s="61"/>
      <c r="P232" s="61"/>
      <c r="Q232" s="61"/>
      <c r="R232" s="61" t="str">
        <f t="shared" si="12"/>
        <v/>
      </c>
      <c r="S232" s="61" t="str">
        <f t="shared" si="13"/>
        <v/>
      </c>
      <c r="T232" s="61" t="str">
        <f t="shared" si="15"/>
        <v/>
      </c>
      <c r="U232" s="61" t="str">
        <f t="shared" si="14"/>
        <v/>
      </c>
      <c r="V232" s="61"/>
      <c r="W232" s="61"/>
      <c r="X232" s="61"/>
      <c r="Y232" s="61"/>
      <c r="Z232" s="61"/>
      <c r="AA232" s="61"/>
      <c r="AB232" s="61"/>
    </row>
    <row r="233" spans="1:28" s="2" customFormat="1" ht="15">
      <c r="A233" s="61" t="s">
        <v>774</v>
      </c>
      <c r="B233" s="61" t="s">
        <v>926</v>
      </c>
      <c r="C233" s="61" t="s">
        <v>3714</v>
      </c>
      <c r="D233" s="61" t="s">
        <v>7838</v>
      </c>
      <c r="E233" s="61">
        <v>9032</v>
      </c>
      <c r="F233" s="61">
        <v>11011</v>
      </c>
      <c r="G233" s="61"/>
      <c r="H233" s="61"/>
      <c r="I233" s="61" t="s">
        <v>179</v>
      </c>
      <c r="J233" s="61"/>
      <c r="K233" s="61" t="s">
        <v>2445</v>
      </c>
      <c r="L233" s="61"/>
      <c r="M233" s="61"/>
      <c r="N233" s="61"/>
      <c r="O233" s="61"/>
      <c r="P233" s="61"/>
      <c r="Q233" s="61"/>
      <c r="R233" s="61" t="str">
        <f t="shared" si="12"/>
        <v/>
      </c>
      <c r="S233" s="61" t="str">
        <f t="shared" si="13"/>
        <v/>
      </c>
      <c r="T233" s="61" t="str">
        <f t="shared" si="15"/>
        <v/>
      </c>
      <c r="U233" s="61" t="str">
        <f t="shared" si="14"/>
        <v/>
      </c>
      <c r="V233" s="61"/>
      <c r="W233" s="61"/>
      <c r="X233" s="61"/>
      <c r="Y233" s="61"/>
      <c r="Z233" s="61"/>
      <c r="AA233" s="61"/>
      <c r="AB233" s="61"/>
    </row>
    <row r="234" spans="1:28" s="2" customFormat="1" ht="28.5">
      <c r="A234" s="61" t="s">
        <v>774</v>
      </c>
      <c r="B234" s="61" t="s">
        <v>3622</v>
      </c>
      <c r="C234" s="61" t="s">
        <v>3640</v>
      </c>
      <c r="D234" s="61" t="s">
        <v>7838</v>
      </c>
      <c r="E234" s="61">
        <v>2219</v>
      </c>
      <c r="F234" s="61">
        <v>2322</v>
      </c>
      <c r="G234" s="61">
        <v>2025</v>
      </c>
      <c r="H234" s="61" t="s">
        <v>3416</v>
      </c>
      <c r="I234" s="61" t="s">
        <v>188</v>
      </c>
      <c r="J234" s="61"/>
      <c r="K234" s="61" t="s">
        <v>2445</v>
      </c>
      <c r="L234" s="61" t="s">
        <v>7903</v>
      </c>
      <c r="M234" s="475">
        <v>45721</v>
      </c>
      <c r="N234" s="475">
        <v>45726</v>
      </c>
      <c r="O234" s="61"/>
      <c r="P234" s="475">
        <v>45726</v>
      </c>
      <c r="Q234" s="475">
        <v>45727</v>
      </c>
      <c r="R234" s="61">
        <f t="shared" si="12"/>
        <v>3</v>
      </c>
      <c r="S234" s="61" t="str">
        <f t="shared" si="13"/>
        <v/>
      </c>
      <c r="T234" s="61">
        <f t="shared" si="15"/>
        <v>1</v>
      </c>
      <c r="U234" s="61">
        <f t="shared" si="14"/>
        <v>1</v>
      </c>
      <c r="V234" s="61" t="s">
        <v>150</v>
      </c>
      <c r="W234" s="61" t="s">
        <v>1078</v>
      </c>
      <c r="X234" s="61" t="s">
        <v>50</v>
      </c>
      <c r="Y234" s="61">
        <v>14.68493</v>
      </c>
      <c r="Z234" s="61">
        <v>120.53672</v>
      </c>
      <c r="AA234" s="61" t="s">
        <v>196</v>
      </c>
      <c r="AB234" s="61" t="s">
        <v>7890</v>
      </c>
    </row>
    <row r="235" spans="1:28" s="2" customFormat="1" ht="15">
      <c r="A235" s="61" t="s">
        <v>774</v>
      </c>
      <c r="B235" s="61" t="s">
        <v>926</v>
      </c>
      <c r="C235" s="61" t="s">
        <v>3721</v>
      </c>
      <c r="D235" s="61" t="s">
        <v>7838</v>
      </c>
      <c r="E235" s="61">
        <v>983</v>
      </c>
      <c r="F235" s="61">
        <v>899</v>
      </c>
      <c r="G235" s="61"/>
      <c r="H235" s="61"/>
      <c r="I235" s="61" t="s">
        <v>179</v>
      </c>
      <c r="J235" s="61"/>
      <c r="K235" s="61" t="s">
        <v>2445</v>
      </c>
      <c r="L235" s="61"/>
      <c r="M235" s="61"/>
      <c r="N235" s="61"/>
      <c r="O235" s="61"/>
      <c r="P235" s="61"/>
      <c r="Q235" s="61"/>
      <c r="R235" s="61" t="str">
        <f t="shared" si="12"/>
        <v/>
      </c>
      <c r="S235" s="61" t="str">
        <f t="shared" si="13"/>
        <v/>
      </c>
      <c r="T235" s="61" t="str">
        <f t="shared" si="15"/>
        <v/>
      </c>
      <c r="U235" s="61" t="str">
        <f t="shared" si="14"/>
        <v/>
      </c>
      <c r="V235" s="61"/>
      <c r="W235" s="61"/>
      <c r="X235" s="61"/>
      <c r="Y235" s="61"/>
      <c r="Z235" s="61"/>
      <c r="AA235" s="61"/>
      <c r="AB235" s="61"/>
    </row>
    <row r="236" spans="1:28" s="2" customFormat="1" ht="15">
      <c r="A236" s="61" t="s">
        <v>774</v>
      </c>
      <c r="B236" s="61" t="s">
        <v>926</v>
      </c>
      <c r="C236" s="61" t="s">
        <v>3723</v>
      </c>
      <c r="D236" s="61" t="s">
        <v>7838</v>
      </c>
      <c r="E236" s="61">
        <v>5942</v>
      </c>
      <c r="F236" s="61">
        <v>7735</v>
      </c>
      <c r="G236" s="61"/>
      <c r="H236" s="61"/>
      <c r="I236" s="61" t="s">
        <v>179</v>
      </c>
      <c r="J236" s="61"/>
      <c r="K236" s="61" t="s">
        <v>2445</v>
      </c>
      <c r="L236" s="61"/>
      <c r="M236" s="61"/>
      <c r="N236" s="61"/>
      <c r="O236" s="61"/>
      <c r="P236" s="61"/>
      <c r="Q236" s="61"/>
      <c r="R236" s="61" t="str">
        <f t="shared" si="12"/>
        <v/>
      </c>
      <c r="S236" s="61" t="str">
        <f t="shared" si="13"/>
        <v/>
      </c>
      <c r="T236" s="61" t="str">
        <f t="shared" si="15"/>
        <v/>
      </c>
      <c r="U236" s="61" t="str">
        <f t="shared" si="14"/>
        <v/>
      </c>
      <c r="V236" s="61"/>
      <c r="W236" s="61"/>
      <c r="X236" s="61"/>
      <c r="Y236" s="61"/>
      <c r="Z236" s="61"/>
      <c r="AA236" s="61"/>
      <c r="AB236" s="61"/>
    </row>
    <row r="237" spans="1:28" s="2" customFormat="1" ht="15">
      <c r="A237" s="61" t="s">
        <v>774</v>
      </c>
      <c r="B237" s="61" t="s">
        <v>926</v>
      </c>
      <c r="C237" s="61" t="s">
        <v>3724</v>
      </c>
      <c r="D237" s="61" t="s">
        <v>7838</v>
      </c>
      <c r="E237" s="61">
        <v>3904</v>
      </c>
      <c r="F237" s="61">
        <v>3784</v>
      </c>
      <c r="G237" s="61"/>
      <c r="H237" s="61"/>
      <c r="I237" s="61" t="s">
        <v>179</v>
      </c>
      <c r="J237" s="61"/>
      <c r="K237" s="61" t="s">
        <v>2445</v>
      </c>
      <c r="L237" s="61"/>
      <c r="M237" s="61"/>
      <c r="N237" s="61"/>
      <c r="O237" s="61"/>
      <c r="P237" s="61"/>
      <c r="Q237" s="61"/>
      <c r="R237" s="61" t="str">
        <f t="shared" si="12"/>
        <v/>
      </c>
      <c r="S237" s="61" t="str">
        <f t="shared" si="13"/>
        <v/>
      </c>
      <c r="T237" s="61" t="str">
        <f t="shared" si="15"/>
        <v/>
      </c>
      <c r="U237" s="61" t="str">
        <f t="shared" si="14"/>
        <v/>
      </c>
      <c r="V237" s="61"/>
      <c r="W237" s="61"/>
      <c r="X237" s="61"/>
      <c r="Y237" s="61"/>
      <c r="Z237" s="61"/>
      <c r="AA237" s="61"/>
      <c r="AB237" s="61"/>
    </row>
    <row r="238" spans="1:28" s="2" customFormat="1" ht="15">
      <c r="A238" s="61" t="s">
        <v>774</v>
      </c>
      <c r="B238" s="61" t="s">
        <v>926</v>
      </c>
      <c r="C238" s="61" t="s">
        <v>1423</v>
      </c>
      <c r="D238" s="61" t="s">
        <v>7838</v>
      </c>
      <c r="E238" s="61">
        <v>1800</v>
      </c>
      <c r="F238" s="61">
        <v>1890</v>
      </c>
      <c r="G238" s="61"/>
      <c r="H238" s="61"/>
      <c r="I238" s="61" t="s">
        <v>179</v>
      </c>
      <c r="J238" s="61"/>
      <c r="K238" s="61" t="s">
        <v>2445</v>
      </c>
      <c r="L238" s="61"/>
      <c r="M238" s="61"/>
      <c r="N238" s="61"/>
      <c r="O238" s="61"/>
      <c r="P238" s="61"/>
      <c r="Q238" s="61"/>
      <c r="R238" s="61" t="str">
        <f t="shared" si="12"/>
        <v/>
      </c>
      <c r="S238" s="61" t="str">
        <f t="shared" si="13"/>
        <v/>
      </c>
      <c r="T238" s="61" t="str">
        <f t="shared" si="15"/>
        <v/>
      </c>
      <c r="U238" s="61" t="str">
        <f t="shared" si="14"/>
        <v/>
      </c>
      <c r="V238" s="61"/>
      <c r="W238" s="61"/>
      <c r="X238" s="61"/>
      <c r="Y238" s="61"/>
      <c r="Z238" s="61"/>
      <c r="AA238" s="61"/>
      <c r="AB238" s="61"/>
    </row>
    <row r="239" spans="1:28" s="2" customFormat="1" ht="15">
      <c r="A239" s="61" t="s">
        <v>774</v>
      </c>
      <c r="B239" s="61" t="s">
        <v>926</v>
      </c>
      <c r="C239" s="61" t="s">
        <v>3727</v>
      </c>
      <c r="D239" s="61" t="s">
        <v>7838</v>
      </c>
      <c r="E239" s="61">
        <v>3190</v>
      </c>
      <c r="F239" s="61">
        <v>3478</v>
      </c>
      <c r="G239" s="61"/>
      <c r="H239" s="61"/>
      <c r="I239" s="61" t="s">
        <v>179</v>
      </c>
      <c r="J239" s="61"/>
      <c r="K239" s="61" t="s">
        <v>2445</v>
      </c>
      <c r="L239" s="61"/>
      <c r="M239" s="61"/>
      <c r="N239" s="61"/>
      <c r="O239" s="61"/>
      <c r="P239" s="61"/>
      <c r="Q239" s="61"/>
      <c r="R239" s="61" t="str">
        <f t="shared" si="12"/>
        <v/>
      </c>
      <c r="S239" s="61" t="str">
        <f t="shared" si="13"/>
        <v/>
      </c>
      <c r="T239" s="61" t="str">
        <f t="shared" si="15"/>
        <v/>
      </c>
      <c r="U239" s="61" t="str">
        <f t="shared" si="14"/>
        <v/>
      </c>
      <c r="V239" s="61"/>
      <c r="W239" s="61"/>
      <c r="X239" s="61"/>
      <c r="Y239" s="61"/>
      <c r="Z239" s="61"/>
      <c r="AA239" s="61"/>
      <c r="AB239" s="61"/>
    </row>
    <row r="240" spans="1:28" s="2" customFormat="1" ht="15">
      <c r="A240" s="61" t="s">
        <v>774</v>
      </c>
      <c r="B240" s="61" t="s">
        <v>926</v>
      </c>
      <c r="C240" s="61" t="s">
        <v>3732</v>
      </c>
      <c r="D240" s="61" t="s">
        <v>7838</v>
      </c>
      <c r="E240" s="61">
        <v>549</v>
      </c>
      <c r="F240" s="61">
        <v>856</v>
      </c>
      <c r="G240" s="61"/>
      <c r="H240" s="61"/>
      <c r="I240" s="61" t="s">
        <v>179</v>
      </c>
      <c r="J240" s="61"/>
      <c r="K240" s="61" t="s">
        <v>2445</v>
      </c>
      <c r="L240" s="61"/>
      <c r="M240" s="61"/>
      <c r="N240" s="61"/>
      <c r="O240" s="61"/>
      <c r="P240" s="61"/>
      <c r="Q240" s="61"/>
      <c r="R240" s="61" t="str">
        <f t="shared" si="12"/>
        <v/>
      </c>
      <c r="S240" s="61" t="str">
        <f t="shared" si="13"/>
        <v/>
      </c>
      <c r="T240" s="61" t="str">
        <f t="shared" si="15"/>
        <v/>
      </c>
      <c r="U240" s="61" t="str">
        <f t="shared" si="14"/>
        <v/>
      </c>
      <c r="V240" s="61"/>
      <c r="W240" s="61"/>
      <c r="X240" s="61"/>
      <c r="Y240" s="61"/>
      <c r="Z240" s="61"/>
      <c r="AA240" s="61"/>
      <c r="AB240" s="61"/>
    </row>
    <row r="241" spans="1:28" s="2" customFormat="1" ht="15">
      <c r="A241" s="61" t="s">
        <v>774</v>
      </c>
      <c r="B241" s="61" t="s">
        <v>926</v>
      </c>
      <c r="C241" s="61" t="s">
        <v>3734</v>
      </c>
      <c r="D241" s="61" t="s">
        <v>7838</v>
      </c>
      <c r="E241" s="61">
        <v>4284</v>
      </c>
      <c r="F241" s="61">
        <v>4580</v>
      </c>
      <c r="G241" s="61"/>
      <c r="H241" s="61"/>
      <c r="I241" s="61" t="s">
        <v>179</v>
      </c>
      <c r="J241" s="61"/>
      <c r="K241" s="61" t="s">
        <v>2445</v>
      </c>
      <c r="L241" s="61"/>
      <c r="M241" s="61"/>
      <c r="N241" s="61"/>
      <c r="O241" s="61"/>
      <c r="P241" s="61"/>
      <c r="Q241" s="61"/>
      <c r="R241" s="61" t="str">
        <f t="shared" si="12"/>
        <v/>
      </c>
      <c r="S241" s="61" t="str">
        <f t="shared" si="13"/>
        <v/>
      </c>
      <c r="T241" s="61" t="str">
        <f t="shared" si="15"/>
        <v/>
      </c>
      <c r="U241" s="61" t="str">
        <f t="shared" si="14"/>
        <v/>
      </c>
      <c r="V241" s="61"/>
      <c r="W241" s="61"/>
      <c r="X241" s="61"/>
      <c r="Y241" s="61"/>
      <c r="Z241" s="61"/>
      <c r="AA241" s="61"/>
      <c r="AB241" s="61"/>
    </row>
    <row r="242" spans="1:28" s="2" customFormat="1" ht="15">
      <c r="A242" s="61" t="s">
        <v>774</v>
      </c>
      <c r="B242" s="61" t="s">
        <v>926</v>
      </c>
      <c r="C242" s="61" t="s">
        <v>3736</v>
      </c>
      <c r="D242" s="61" t="s">
        <v>7838</v>
      </c>
      <c r="E242" s="61">
        <v>356</v>
      </c>
      <c r="F242" s="61">
        <v>372</v>
      </c>
      <c r="G242" s="61"/>
      <c r="H242" s="61"/>
      <c r="I242" s="61" t="s">
        <v>179</v>
      </c>
      <c r="J242" s="61"/>
      <c r="K242" s="61" t="s">
        <v>2445</v>
      </c>
      <c r="L242" s="61"/>
      <c r="M242" s="61"/>
      <c r="N242" s="61"/>
      <c r="O242" s="61"/>
      <c r="P242" s="61"/>
      <c r="Q242" s="61"/>
      <c r="R242" s="61" t="str">
        <f t="shared" si="12"/>
        <v/>
      </c>
      <c r="S242" s="61" t="str">
        <f t="shared" si="13"/>
        <v/>
      </c>
      <c r="T242" s="61" t="str">
        <f t="shared" si="15"/>
        <v/>
      </c>
      <c r="U242" s="61" t="str">
        <f t="shared" si="14"/>
        <v/>
      </c>
      <c r="V242" s="61"/>
      <c r="W242" s="61"/>
      <c r="X242" s="61"/>
      <c r="Y242" s="61"/>
      <c r="Z242" s="61"/>
      <c r="AA242" s="61"/>
      <c r="AB242" s="61"/>
    </row>
    <row r="243" spans="1:28" s="2" customFormat="1" ht="15">
      <c r="A243" s="61" t="s">
        <v>774</v>
      </c>
      <c r="B243" s="61" t="s">
        <v>861</v>
      </c>
      <c r="C243" s="61" t="s">
        <v>3665</v>
      </c>
      <c r="D243" s="61" t="s">
        <v>7838</v>
      </c>
      <c r="E243" s="61">
        <v>6803</v>
      </c>
      <c r="F243" s="61">
        <v>7829</v>
      </c>
      <c r="G243" s="61">
        <v>2025</v>
      </c>
      <c r="H243" s="61" t="s">
        <v>3127</v>
      </c>
      <c r="I243" s="61" t="s">
        <v>188</v>
      </c>
      <c r="J243" s="61"/>
      <c r="K243" s="61" t="s">
        <v>2445</v>
      </c>
      <c r="L243" s="61" t="s">
        <v>7904</v>
      </c>
      <c r="M243" s="475">
        <v>45916</v>
      </c>
      <c r="N243" s="475">
        <v>45917</v>
      </c>
      <c r="O243" s="61"/>
      <c r="P243" s="475">
        <v>45917</v>
      </c>
      <c r="Q243" s="475">
        <v>45918</v>
      </c>
      <c r="R243" s="61">
        <f t="shared" si="12"/>
        <v>1</v>
      </c>
      <c r="S243" s="61" t="str">
        <f t="shared" si="13"/>
        <v/>
      </c>
      <c r="T243" s="61">
        <f t="shared" si="15"/>
        <v>1</v>
      </c>
      <c r="U243" s="61">
        <f t="shared" si="14"/>
        <v>1</v>
      </c>
      <c r="V243" s="61" t="s">
        <v>150</v>
      </c>
      <c r="W243" s="61" t="s">
        <v>1078</v>
      </c>
      <c r="X243" s="61" t="s">
        <v>50</v>
      </c>
      <c r="Y243" s="61">
        <v>14.616199999999999</v>
      </c>
      <c r="Z243" s="61">
        <v>120.56556999999999</v>
      </c>
      <c r="AA243" s="61" t="s">
        <v>7884</v>
      </c>
      <c r="AB243" s="61"/>
    </row>
    <row r="244" spans="1:28" s="2" customFormat="1" ht="28.5">
      <c r="A244" s="61" t="s">
        <v>774</v>
      </c>
      <c r="B244" s="61" t="s">
        <v>3622</v>
      </c>
      <c r="C244" s="61" t="s">
        <v>3649</v>
      </c>
      <c r="D244" s="61" t="s">
        <v>7838</v>
      </c>
      <c r="E244" s="61">
        <v>4315</v>
      </c>
      <c r="F244" s="61">
        <v>4287</v>
      </c>
      <c r="G244" s="61">
        <v>2025</v>
      </c>
      <c r="H244" s="61" t="s">
        <v>3532</v>
      </c>
      <c r="I244" s="61" t="s">
        <v>188</v>
      </c>
      <c r="J244" s="61"/>
      <c r="K244" s="61" t="s">
        <v>2445</v>
      </c>
      <c r="L244" s="61" t="s">
        <v>7905</v>
      </c>
      <c r="M244" s="475">
        <v>45784</v>
      </c>
      <c r="N244" s="475">
        <v>45790</v>
      </c>
      <c r="O244" s="61"/>
      <c r="P244" s="475">
        <v>45790</v>
      </c>
      <c r="Q244" s="475">
        <v>45790</v>
      </c>
      <c r="R244" s="61">
        <f t="shared" si="12"/>
        <v>4</v>
      </c>
      <c r="S244" s="61" t="str">
        <f t="shared" si="13"/>
        <v/>
      </c>
      <c r="T244" s="61">
        <f t="shared" si="15"/>
        <v>1</v>
      </c>
      <c r="U244" s="61">
        <f t="shared" si="14"/>
        <v>1</v>
      </c>
      <c r="V244" s="61" t="s">
        <v>150</v>
      </c>
      <c r="W244" s="61" t="s">
        <v>1078</v>
      </c>
      <c r="X244" s="61" t="s">
        <v>50</v>
      </c>
      <c r="Y244" s="61">
        <v>14.69248</v>
      </c>
      <c r="Z244" s="61">
        <v>120.5579</v>
      </c>
      <c r="AA244" s="61" t="s">
        <v>196</v>
      </c>
      <c r="AB244" s="61"/>
    </row>
    <row r="245" spans="1:28" s="2" customFormat="1" ht="15">
      <c r="A245" s="61" t="s">
        <v>774</v>
      </c>
      <c r="B245" s="61" t="s">
        <v>861</v>
      </c>
      <c r="C245" s="61" t="s">
        <v>3867</v>
      </c>
      <c r="D245" s="61" t="s">
        <v>7838</v>
      </c>
      <c r="E245" s="61">
        <v>969</v>
      </c>
      <c r="F245" s="61">
        <v>1064</v>
      </c>
      <c r="G245" s="61">
        <v>2025</v>
      </c>
      <c r="H245" s="61" t="s">
        <v>3127</v>
      </c>
      <c r="I245" s="61" t="s">
        <v>188</v>
      </c>
      <c r="J245" s="61"/>
      <c r="K245" s="61" t="s">
        <v>2445</v>
      </c>
      <c r="L245" s="61" t="s">
        <v>7906</v>
      </c>
      <c r="M245" s="475">
        <v>45916</v>
      </c>
      <c r="N245" s="475">
        <v>45917</v>
      </c>
      <c r="O245" s="61"/>
      <c r="P245" s="475">
        <v>45917</v>
      </c>
      <c r="Q245" s="475">
        <v>45918</v>
      </c>
      <c r="R245" s="61">
        <f t="shared" si="12"/>
        <v>1</v>
      </c>
      <c r="S245" s="61" t="str">
        <f t="shared" si="13"/>
        <v/>
      </c>
      <c r="T245" s="61">
        <f t="shared" si="15"/>
        <v>1</v>
      </c>
      <c r="U245" s="61">
        <f t="shared" si="14"/>
        <v>1</v>
      </c>
      <c r="V245" s="61" t="s">
        <v>150</v>
      </c>
      <c r="W245" s="61" t="s">
        <v>1078</v>
      </c>
      <c r="X245" s="61" t="s">
        <v>50</v>
      </c>
      <c r="Y245" s="61">
        <v>14.616199999999999</v>
      </c>
      <c r="Z245" s="61">
        <v>120.56556999999999</v>
      </c>
      <c r="AA245" s="61" t="s">
        <v>7884</v>
      </c>
      <c r="AB245" s="61"/>
    </row>
    <row r="246" spans="1:28" s="2" customFormat="1" ht="15">
      <c r="A246" s="61" t="s">
        <v>774</v>
      </c>
      <c r="B246" s="61" t="s">
        <v>861</v>
      </c>
      <c r="C246" s="61" t="s">
        <v>3882</v>
      </c>
      <c r="D246" s="61" t="s">
        <v>7838</v>
      </c>
      <c r="E246" s="61">
        <v>1161</v>
      </c>
      <c r="F246" s="61">
        <v>1271</v>
      </c>
      <c r="G246" s="61">
        <v>2025</v>
      </c>
      <c r="H246" s="61" t="s">
        <v>3127</v>
      </c>
      <c r="I246" s="61" t="s">
        <v>188</v>
      </c>
      <c r="J246" s="61"/>
      <c r="K246" s="61" t="s">
        <v>2445</v>
      </c>
      <c r="L246" s="61" t="s">
        <v>7907</v>
      </c>
      <c r="M246" s="475">
        <v>45910</v>
      </c>
      <c r="N246" s="475">
        <v>45914</v>
      </c>
      <c r="O246" s="61"/>
      <c r="P246" s="475">
        <v>45915</v>
      </c>
      <c r="Q246" s="475">
        <v>45917</v>
      </c>
      <c r="R246" s="61">
        <f t="shared" si="12"/>
        <v>2</v>
      </c>
      <c r="S246" s="61" t="str">
        <f t="shared" si="13"/>
        <v/>
      </c>
      <c r="T246" s="61">
        <f t="shared" si="15"/>
        <v>1</v>
      </c>
      <c r="U246" s="61">
        <f t="shared" si="14"/>
        <v>2</v>
      </c>
      <c r="V246" s="61" t="s">
        <v>150</v>
      </c>
      <c r="W246" s="61" t="s">
        <v>1078</v>
      </c>
      <c r="X246" s="61" t="s">
        <v>50</v>
      </c>
      <c r="Y246" s="61">
        <v>14.62148</v>
      </c>
      <c r="Z246" s="61">
        <v>120.57794</v>
      </c>
      <c r="AA246" s="61" t="s">
        <v>7884</v>
      </c>
      <c r="AB246" s="61"/>
    </row>
    <row r="247" spans="1:28" s="2" customFormat="1" ht="15">
      <c r="A247" s="61" t="s">
        <v>774</v>
      </c>
      <c r="B247" s="61" t="s">
        <v>861</v>
      </c>
      <c r="C247" s="61" t="s">
        <v>3605</v>
      </c>
      <c r="D247" s="61" t="s">
        <v>7838</v>
      </c>
      <c r="E247" s="61">
        <v>1818</v>
      </c>
      <c r="F247" s="61">
        <v>1807</v>
      </c>
      <c r="G247" s="61">
        <v>2025</v>
      </c>
      <c r="H247" s="61" t="s">
        <v>3127</v>
      </c>
      <c r="I247" s="61" t="s">
        <v>188</v>
      </c>
      <c r="J247" s="61"/>
      <c r="K247" s="61" t="s">
        <v>2445</v>
      </c>
      <c r="L247" s="61" t="s">
        <v>7908</v>
      </c>
      <c r="M247" s="475">
        <v>45916</v>
      </c>
      <c r="N247" s="475">
        <v>45917</v>
      </c>
      <c r="O247" s="61"/>
      <c r="P247" s="475">
        <v>45917</v>
      </c>
      <c r="Q247" s="475">
        <v>45918</v>
      </c>
      <c r="R247" s="61">
        <f t="shared" si="12"/>
        <v>1</v>
      </c>
      <c r="S247" s="61" t="str">
        <f t="shared" si="13"/>
        <v/>
      </c>
      <c r="T247" s="61">
        <f t="shared" si="15"/>
        <v>1</v>
      </c>
      <c r="U247" s="61">
        <f t="shared" si="14"/>
        <v>1</v>
      </c>
      <c r="V247" s="61" t="s">
        <v>150</v>
      </c>
      <c r="W247" s="61" t="s">
        <v>1078</v>
      </c>
      <c r="X247" s="61" t="s">
        <v>50</v>
      </c>
      <c r="Y247" s="61">
        <v>14.623889999999999</v>
      </c>
      <c r="Z247" s="61">
        <v>120.58317</v>
      </c>
      <c r="AA247" s="61" t="s">
        <v>7884</v>
      </c>
      <c r="AB247" s="61"/>
    </row>
    <row r="248" spans="1:28" s="2" customFormat="1" ht="15">
      <c r="A248" s="61" t="s">
        <v>774</v>
      </c>
      <c r="B248" s="61" t="s">
        <v>877</v>
      </c>
      <c r="C248" s="61" t="s">
        <v>1881</v>
      </c>
      <c r="D248" s="61" t="s">
        <v>7838</v>
      </c>
      <c r="E248" s="61">
        <v>1427</v>
      </c>
      <c r="F248" s="61">
        <v>1466</v>
      </c>
      <c r="G248" s="61">
        <v>2025</v>
      </c>
      <c r="H248" s="61" t="s">
        <v>3126</v>
      </c>
      <c r="I248" s="61" t="s">
        <v>188</v>
      </c>
      <c r="J248" s="61"/>
      <c r="K248" s="61" t="s">
        <v>2445</v>
      </c>
      <c r="L248" s="61" t="s">
        <v>7909</v>
      </c>
      <c r="M248" s="475">
        <v>45883</v>
      </c>
      <c r="N248" s="475">
        <v>45887</v>
      </c>
      <c r="O248" s="61"/>
      <c r="P248" s="475">
        <v>45887</v>
      </c>
      <c r="Q248" s="475">
        <v>45887</v>
      </c>
      <c r="R248" s="61">
        <f t="shared" si="12"/>
        <v>2</v>
      </c>
      <c r="S248" s="61" t="str">
        <f t="shared" si="13"/>
        <v/>
      </c>
      <c r="T248" s="61">
        <f t="shared" si="15"/>
        <v>1</v>
      </c>
      <c r="U248" s="61">
        <f t="shared" si="14"/>
        <v>1</v>
      </c>
      <c r="V248" s="61" t="s">
        <v>150</v>
      </c>
      <c r="W248" s="61" t="s">
        <v>1078</v>
      </c>
      <c r="X248" s="61" t="s">
        <v>50</v>
      </c>
      <c r="Y248" s="61">
        <v>14.66464</v>
      </c>
      <c r="Z248" s="61">
        <v>120.56318</v>
      </c>
      <c r="AA248" s="61" t="s">
        <v>7849</v>
      </c>
      <c r="AB248" s="61"/>
    </row>
    <row r="249" spans="1:28" s="2" customFormat="1" ht="15">
      <c r="A249" s="61" t="s">
        <v>774</v>
      </c>
      <c r="B249" s="61" t="s">
        <v>877</v>
      </c>
      <c r="C249" s="61" t="s">
        <v>1490</v>
      </c>
      <c r="D249" s="61" t="s">
        <v>7838</v>
      </c>
      <c r="E249" s="61">
        <v>1227</v>
      </c>
      <c r="F249" s="61">
        <v>1188</v>
      </c>
      <c r="G249" s="61">
        <v>2025</v>
      </c>
      <c r="H249" s="61" t="s">
        <v>3126</v>
      </c>
      <c r="I249" s="61" t="s">
        <v>188</v>
      </c>
      <c r="J249" s="61"/>
      <c r="K249" s="61" t="s">
        <v>2445</v>
      </c>
      <c r="L249" s="61" t="s">
        <v>7910</v>
      </c>
      <c r="M249" s="475">
        <v>45883</v>
      </c>
      <c r="N249" s="475">
        <v>45887</v>
      </c>
      <c r="O249" s="475"/>
      <c r="P249" s="475">
        <v>45887</v>
      </c>
      <c r="Q249" s="475">
        <v>45887</v>
      </c>
      <c r="R249" s="61">
        <f t="shared" si="12"/>
        <v>2</v>
      </c>
      <c r="S249" s="61" t="str">
        <f t="shared" si="13"/>
        <v/>
      </c>
      <c r="T249" s="61">
        <f t="shared" si="15"/>
        <v>1</v>
      </c>
      <c r="U249" s="61">
        <f t="shared" si="14"/>
        <v>1</v>
      </c>
      <c r="V249" s="61" t="s">
        <v>150</v>
      </c>
      <c r="W249" s="61" t="s">
        <v>1078</v>
      </c>
      <c r="X249" s="61" t="s">
        <v>50</v>
      </c>
      <c r="Y249" s="61">
        <v>14.66663</v>
      </c>
      <c r="Z249" s="61">
        <v>120.5612</v>
      </c>
      <c r="AA249" s="61" t="s">
        <v>7849</v>
      </c>
      <c r="AB249" s="61"/>
    </row>
    <row r="250" spans="1:28" s="2" customFormat="1" ht="15">
      <c r="A250" s="61" t="s">
        <v>774</v>
      </c>
      <c r="B250" s="61" t="s">
        <v>877</v>
      </c>
      <c r="C250" s="61" t="s">
        <v>1056</v>
      </c>
      <c r="D250" s="61" t="s">
        <v>7838</v>
      </c>
      <c r="E250" s="61">
        <v>1399</v>
      </c>
      <c r="F250" s="61">
        <v>1311</v>
      </c>
      <c r="G250" s="61">
        <v>2025</v>
      </c>
      <c r="H250" s="61" t="s">
        <v>3126</v>
      </c>
      <c r="I250" s="61" t="s">
        <v>188</v>
      </c>
      <c r="J250" s="61"/>
      <c r="K250" s="61" t="s">
        <v>2445</v>
      </c>
      <c r="L250" s="61" t="s">
        <v>7911</v>
      </c>
      <c r="M250" s="475">
        <v>45876</v>
      </c>
      <c r="N250" s="475">
        <v>45880</v>
      </c>
      <c r="O250" s="61"/>
      <c r="P250" s="475">
        <v>45880</v>
      </c>
      <c r="Q250" s="475">
        <v>45882</v>
      </c>
      <c r="R250" s="61">
        <f t="shared" si="12"/>
        <v>2</v>
      </c>
      <c r="S250" s="61" t="str">
        <f t="shared" si="13"/>
        <v/>
      </c>
      <c r="T250" s="61">
        <f t="shared" si="15"/>
        <v>1</v>
      </c>
      <c r="U250" s="61">
        <f t="shared" si="14"/>
        <v>2</v>
      </c>
      <c r="V250" s="61" t="s">
        <v>150</v>
      </c>
      <c r="W250" s="61" t="s">
        <v>1078</v>
      </c>
      <c r="X250" s="61" t="s">
        <v>57</v>
      </c>
      <c r="Y250" s="61">
        <v>14.665850000000001</v>
      </c>
      <c r="Z250" s="61">
        <v>120.55774</v>
      </c>
      <c r="AA250" s="61" t="s">
        <v>7849</v>
      </c>
      <c r="AB250" s="61"/>
    </row>
    <row r="251" spans="1:28" s="2" customFormat="1" ht="15">
      <c r="A251" s="61" t="s">
        <v>774</v>
      </c>
      <c r="B251" s="61" t="s">
        <v>877</v>
      </c>
      <c r="C251" s="61" t="s">
        <v>3713</v>
      </c>
      <c r="D251" s="61" t="s">
        <v>7838</v>
      </c>
      <c r="E251" s="61">
        <v>847</v>
      </c>
      <c r="F251" s="61">
        <v>1114</v>
      </c>
      <c r="G251" s="61">
        <v>2025</v>
      </c>
      <c r="H251" s="61" t="s">
        <v>3126</v>
      </c>
      <c r="I251" s="61" t="s">
        <v>188</v>
      </c>
      <c r="J251" s="61"/>
      <c r="K251" s="61" t="s">
        <v>2445</v>
      </c>
      <c r="L251" s="61" t="s">
        <v>7912</v>
      </c>
      <c r="M251" s="475">
        <v>45876</v>
      </c>
      <c r="N251" s="475">
        <v>45880</v>
      </c>
      <c r="O251" s="61"/>
      <c r="P251" s="475">
        <v>45880</v>
      </c>
      <c r="Q251" s="475">
        <v>45882</v>
      </c>
      <c r="R251" s="61">
        <f t="shared" si="12"/>
        <v>2</v>
      </c>
      <c r="S251" s="61" t="str">
        <f t="shared" si="13"/>
        <v/>
      </c>
      <c r="T251" s="61">
        <f t="shared" si="15"/>
        <v>1</v>
      </c>
      <c r="U251" s="61">
        <f t="shared" si="14"/>
        <v>2</v>
      </c>
      <c r="V251" s="61" t="s">
        <v>150</v>
      </c>
      <c r="W251" s="61" t="s">
        <v>1078</v>
      </c>
      <c r="X251" s="61" t="s">
        <v>57</v>
      </c>
      <c r="Y251" s="61">
        <v>14.66506</v>
      </c>
      <c r="Z251" s="61">
        <v>120.55928</v>
      </c>
      <c r="AA251" s="61" t="s">
        <v>7849</v>
      </c>
      <c r="AB251" s="61"/>
    </row>
    <row r="252" spans="1:28" s="2" customFormat="1" ht="15">
      <c r="A252" s="61" t="s">
        <v>774</v>
      </c>
      <c r="B252" s="61" t="s">
        <v>926</v>
      </c>
      <c r="C252" s="61" t="s">
        <v>3677</v>
      </c>
      <c r="D252" s="61" t="s">
        <v>7838</v>
      </c>
      <c r="E252" s="61">
        <v>2822</v>
      </c>
      <c r="F252" s="61">
        <v>3247</v>
      </c>
      <c r="G252" s="61">
        <v>2025</v>
      </c>
      <c r="H252" s="61" t="s">
        <v>3458</v>
      </c>
      <c r="I252" s="61" t="s">
        <v>179</v>
      </c>
      <c r="J252" s="61"/>
      <c r="K252" s="61" t="s">
        <v>2445</v>
      </c>
      <c r="L252" s="61" t="s">
        <v>7913</v>
      </c>
      <c r="M252" s="475">
        <v>45687</v>
      </c>
      <c r="N252" s="475">
        <v>45691</v>
      </c>
      <c r="O252" s="61"/>
      <c r="P252" s="475">
        <v>45691</v>
      </c>
      <c r="Q252" s="475">
        <v>45692</v>
      </c>
      <c r="R252" s="61">
        <f t="shared" si="12"/>
        <v>2</v>
      </c>
      <c r="S252" s="61" t="str">
        <f t="shared" si="13"/>
        <v/>
      </c>
      <c r="T252" s="61">
        <f t="shared" si="15"/>
        <v>1</v>
      </c>
      <c r="U252" s="61">
        <f t="shared" si="14"/>
        <v>1</v>
      </c>
      <c r="V252" s="61" t="s">
        <v>150</v>
      </c>
      <c r="W252" s="61" t="s">
        <v>1078</v>
      </c>
      <c r="X252" s="61" t="s">
        <v>57</v>
      </c>
      <c r="Y252" s="61"/>
      <c r="Z252" s="61"/>
      <c r="AA252" s="61" t="s">
        <v>182</v>
      </c>
      <c r="AB252" s="61"/>
    </row>
    <row r="253" spans="1:28" s="2" customFormat="1" ht="15">
      <c r="A253" s="61" t="s">
        <v>774</v>
      </c>
      <c r="B253" s="61" t="s">
        <v>926</v>
      </c>
      <c r="C253" s="61" t="s">
        <v>3686</v>
      </c>
      <c r="D253" s="61" t="s">
        <v>7838</v>
      </c>
      <c r="E253" s="61">
        <v>1744</v>
      </c>
      <c r="F253" s="61">
        <v>1913</v>
      </c>
      <c r="G253" s="61">
        <v>2025</v>
      </c>
      <c r="H253" s="61" t="s">
        <v>3458</v>
      </c>
      <c r="I253" s="61" t="s">
        <v>179</v>
      </c>
      <c r="J253" s="61"/>
      <c r="K253" s="61" t="s">
        <v>2445</v>
      </c>
      <c r="L253" s="61" t="s">
        <v>7914</v>
      </c>
      <c r="M253" s="475">
        <v>45699</v>
      </c>
      <c r="N253" s="475">
        <v>45701</v>
      </c>
      <c r="O253" s="61"/>
      <c r="P253" s="475">
        <v>45702</v>
      </c>
      <c r="Q253" s="475">
        <v>45704</v>
      </c>
      <c r="R253" s="61">
        <f t="shared" si="12"/>
        <v>2</v>
      </c>
      <c r="S253" s="61" t="str">
        <f t="shared" si="13"/>
        <v/>
      </c>
      <c r="T253" s="61">
        <f t="shared" si="15"/>
        <v>1</v>
      </c>
      <c r="U253" s="61">
        <f t="shared" si="14"/>
        <v>1</v>
      </c>
      <c r="V253" s="61" t="s">
        <v>150</v>
      </c>
      <c r="W253" s="61" t="s">
        <v>1078</v>
      </c>
      <c r="X253" s="61" t="s">
        <v>50</v>
      </c>
      <c r="Y253" s="61"/>
      <c r="Z253" s="61"/>
      <c r="AA253" s="61" t="s">
        <v>182</v>
      </c>
      <c r="AB253" s="61"/>
    </row>
    <row r="254" spans="1:28" s="2" customFormat="1" ht="15">
      <c r="A254" s="61" t="s">
        <v>774</v>
      </c>
      <c r="B254" s="61" t="s">
        <v>926</v>
      </c>
      <c r="C254" s="61" t="s">
        <v>3688</v>
      </c>
      <c r="D254" s="61" t="s">
        <v>7838</v>
      </c>
      <c r="E254" s="61">
        <v>3360</v>
      </c>
      <c r="F254" s="61">
        <v>3906</v>
      </c>
      <c r="G254" s="61">
        <v>2025</v>
      </c>
      <c r="H254" s="61" t="s">
        <v>3689</v>
      </c>
      <c r="I254" s="61" t="s">
        <v>179</v>
      </c>
      <c r="J254" s="61"/>
      <c r="K254" s="61" t="s">
        <v>2445</v>
      </c>
      <c r="L254" s="61" t="s">
        <v>7915</v>
      </c>
      <c r="M254" s="475">
        <v>45825</v>
      </c>
      <c r="N254" s="475">
        <v>45826</v>
      </c>
      <c r="O254" s="61"/>
      <c r="P254" s="475">
        <v>45826</v>
      </c>
      <c r="Q254" s="475">
        <v>45827</v>
      </c>
      <c r="R254" s="61">
        <f t="shared" si="12"/>
        <v>1</v>
      </c>
      <c r="S254" s="61" t="str">
        <f t="shared" si="13"/>
        <v/>
      </c>
      <c r="T254" s="61">
        <f t="shared" si="15"/>
        <v>1</v>
      </c>
      <c r="U254" s="61">
        <f t="shared" si="14"/>
        <v>1</v>
      </c>
      <c r="V254" s="61" t="s">
        <v>150</v>
      </c>
      <c r="W254" s="61" t="s">
        <v>1078</v>
      </c>
      <c r="X254" s="61" t="s">
        <v>50</v>
      </c>
      <c r="Y254" s="61">
        <v>14.867262999999999</v>
      </c>
      <c r="Z254" s="61">
        <v>120.433598</v>
      </c>
      <c r="AA254" s="61" t="s">
        <v>182</v>
      </c>
      <c r="AB254" s="61"/>
    </row>
    <row r="255" spans="1:28" s="2" customFormat="1" ht="15">
      <c r="A255" s="61" t="s">
        <v>774</v>
      </c>
      <c r="B255" s="61" t="s">
        <v>926</v>
      </c>
      <c r="C255" s="61" t="s">
        <v>3692</v>
      </c>
      <c r="D255" s="61" t="s">
        <v>7838</v>
      </c>
      <c r="E255" s="61">
        <v>1416</v>
      </c>
      <c r="F255" s="61">
        <v>1363</v>
      </c>
      <c r="G255" s="61">
        <v>2025</v>
      </c>
      <c r="H255" s="61" t="s">
        <v>3416</v>
      </c>
      <c r="I255" s="61" t="s">
        <v>179</v>
      </c>
      <c r="J255" s="61"/>
      <c r="K255" s="61" t="s">
        <v>2445</v>
      </c>
      <c r="L255" s="61" t="s">
        <v>7916</v>
      </c>
      <c r="M255" s="475">
        <v>45730</v>
      </c>
      <c r="N255" s="475">
        <v>45733</v>
      </c>
      <c r="O255" s="61"/>
      <c r="P255" s="475">
        <v>45733</v>
      </c>
      <c r="Q255" s="475">
        <v>45733</v>
      </c>
      <c r="R255" s="61">
        <f t="shared" si="12"/>
        <v>1</v>
      </c>
      <c r="S255" s="61" t="str">
        <f t="shared" si="13"/>
        <v/>
      </c>
      <c r="T255" s="61">
        <f t="shared" si="15"/>
        <v>1</v>
      </c>
      <c r="U255" s="61">
        <f t="shared" si="14"/>
        <v>1</v>
      </c>
      <c r="V255" s="61" t="s">
        <v>150</v>
      </c>
      <c r="W255" s="61" t="s">
        <v>1078</v>
      </c>
      <c r="X255" s="61" t="s">
        <v>50</v>
      </c>
      <c r="Y255" s="61">
        <v>14.855065</v>
      </c>
      <c r="Z255" s="61">
        <v>120.473185</v>
      </c>
      <c r="AA255" s="61" t="s">
        <v>182</v>
      </c>
      <c r="AB255" s="61"/>
    </row>
    <row r="256" spans="1:28" s="2" customFormat="1" ht="15">
      <c r="A256" s="61" t="s">
        <v>774</v>
      </c>
      <c r="B256" s="61" t="s">
        <v>877</v>
      </c>
      <c r="C256" s="61" t="s">
        <v>3902</v>
      </c>
      <c r="D256" s="61" t="s">
        <v>7838</v>
      </c>
      <c r="E256" s="61">
        <v>1109</v>
      </c>
      <c r="F256" s="61">
        <v>1299</v>
      </c>
      <c r="G256" s="61">
        <v>2025</v>
      </c>
      <c r="H256" s="61" t="s">
        <v>3126</v>
      </c>
      <c r="I256" s="61" t="s">
        <v>188</v>
      </c>
      <c r="J256" s="61"/>
      <c r="K256" s="61" t="s">
        <v>2445</v>
      </c>
      <c r="L256" s="61" t="s">
        <v>7917</v>
      </c>
      <c r="M256" s="475">
        <v>45883</v>
      </c>
      <c r="N256" s="475">
        <v>45887</v>
      </c>
      <c r="O256" s="61"/>
      <c r="P256" s="475">
        <v>45887</v>
      </c>
      <c r="Q256" s="475">
        <v>45887</v>
      </c>
      <c r="R256" s="61">
        <f t="shared" si="12"/>
        <v>2</v>
      </c>
      <c r="S256" s="61" t="str">
        <f t="shared" si="13"/>
        <v/>
      </c>
      <c r="T256" s="61">
        <f t="shared" si="15"/>
        <v>1</v>
      </c>
      <c r="U256" s="61">
        <f t="shared" si="14"/>
        <v>1</v>
      </c>
      <c r="V256" s="61" t="s">
        <v>150</v>
      </c>
      <c r="W256" s="61" t="s">
        <v>1078</v>
      </c>
      <c r="X256" s="61" t="s">
        <v>50</v>
      </c>
      <c r="Y256" s="61">
        <v>14.65986</v>
      </c>
      <c r="Z256" s="61">
        <v>120.563</v>
      </c>
      <c r="AA256" s="61" t="s">
        <v>7849</v>
      </c>
      <c r="AB256" s="61"/>
    </row>
    <row r="257" spans="1:28" s="2" customFormat="1" ht="15">
      <c r="A257" s="61" t="s">
        <v>774</v>
      </c>
      <c r="B257" s="61" t="s">
        <v>877</v>
      </c>
      <c r="C257" s="61" t="s">
        <v>3891</v>
      </c>
      <c r="D257" s="61" t="s">
        <v>7838</v>
      </c>
      <c r="E257" s="61">
        <v>467</v>
      </c>
      <c r="F257" s="61">
        <v>484</v>
      </c>
      <c r="G257" s="61">
        <v>2025</v>
      </c>
      <c r="H257" s="61" t="s">
        <v>3128</v>
      </c>
      <c r="I257" s="61" t="s">
        <v>188</v>
      </c>
      <c r="J257" s="61"/>
      <c r="K257" s="61" t="s">
        <v>2445</v>
      </c>
      <c r="L257" s="61" t="s">
        <v>7918</v>
      </c>
      <c r="M257" s="475">
        <v>45932</v>
      </c>
      <c r="N257" s="475">
        <v>45936</v>
      </c>
      <c r="O257" s="61"/>
      <c r="P257" s="475">
        <v>45936</v>
      </c>
      <c r="Q257" s="475">
        <v>45940</v>
      </c>
      <c r="R257" s="61">
        <f t="shared" si="12"/>
        <v>2</v>
      </c>
      <c r="S257" s="61" t="str">
        <f t="shared" si="13"/>
        <v/>
      </c>
      <c r="T257" s="61">
        <f t="shared" si="15"/>
        <v>1</v>
      </c>
      <c r="U257" s="61">
        <f t="shared" si="14"/>
        <v>4</v>
      </c>
      <c r="V257" s="61" t="s">
        <v>150</v>
      </c>
      <c r="W257" s="61" t="s">
        <v>1078</v>
      </c>
      <c r="X257" s="61" t="s">
        <v>50</v>
      </c>
      <c r="Y257" s="61">
        <v>14.656090000000001</v>
      </c>
      <c r="Z257" s="61">
        <v>120.56870000000001</v>
      </c>
      <c r="AA257" s="61" t="s">
        <v>404</v>
      </c>
      <c r="AB257" s="61"/>
    </row>
    <row r="258" spans="1:28" s="2" customFormat="1" ht="15">
      <c r="A258" s="61" t="s">
        <v>774</v>
      </c>
      <c r="B258" s="61" t="s">
        <v>926</v>
      </c>
      <c r="C258" s="61" t="s">
        <v>3704</v>
      </c>
      <c r="D258" s="61" t="s">
        <v>7838</v>
      </c>
      <c r="E258" s="61">
        <v>2421</v>
      </c>
      <c r="F258" s="61">
        <v>2485</v>
      </c>
      <c r="G258" s="61">
        <v>2025</v>
      </c>
      <c r="H258" s="61" t="s">
        <v>3416</v>
      </c>
      <c r="I258" s="61" t="s">
        <v>179</v>
      </c>
      <c r="J258" s="61"/>
      <c r="K258" s="61" t="s">
        <v>2445</v>
      </c>
      <c r="L258" s="61" t="s">
        <v>7919</v>
      </c>
      <c r="M258" s="475">
        <v>45715</v>
      </c>
      <c r="N258" s="475">
        <v>45717</v>
      </c>
      <c r="O258" s="61"/>
      <c r="P258" s="475">
        <v>45719</v>
      </c>
      <c r="Q258" s="475">
        <v>45719</v>
      </c>
      <c r="R258" s="61">
        <f t="shared" ref="R258:R321" si="16">IF(
    OR(ISBLANK(M258), ISBLANK(N258)),
    "",
    MAX(1, IF(
        NETWORKDAYS(M258, N258) &lt;= 0,
        1,
        NETWORKDAYS(M258, N258) - IF(M258 = N258, 0, 1)
    ))
)</f>
        <v>1</v>
      </c>
      <c r="S258" s="61" t="str">
        <f t="shared" ref="S258:S321" si="17">IF(
    OR(ISBLANK(N258), ISBLANK(O258)),
    "",
    MAX(1, IF(
        NETWORKDAYS(N258, O258) &lt;= 0,
        1,
        NETWORKDAYS(N258, O258) - IF(N258 = O258, 0, 1)
    ))
)</f>
        <v/>
      </c>
      <c r="T258" s="61">
        <f t="shared" si="15"/>
        <v>1</v>
      </c>
      <c r="U258" s="61">
        <f t="shared" ref="U258:U321" si="18">IF(
    OR(ISBLANK(P258), ISBLANK(Q258)),
    "",
    MAX(1, IF(
        NETWORKDAYS(P258, Q258) &lt;= 0,
        1,
        NETWORKDAYS(P258, Q258) - IF(P258 = Q258, 0, 1)
    ))
)</f>
        <v>1</v>
      </c>
      <c r="V258" s="61" t="s">
        <v>150</v>
      </c>
      <c r="W258" s="61" t="s">
        <v>1078</v>
      </c>
      <c r="X258" s="61" t="s">
        <v>50</v>
      </c>
      <c r="Y258" s="61">
        <v>14.888208000000001</v>
      </c>
      <c r="Z258" s="61">
        <v>120.46125499999999</v>
      </c>
      <c r="AA258" s="61" t="s">
        <v>182</v>
      </c>
      <c r="AB258" s="61"/>
    </row>
    <row r="259" spans="1:28" s="2" customFormat="1" ht="15">
      <c r="A259" s="61" t="s">
        <v>774</v>
      </c>
      <c r="B259" s="61" t="s">
        <v>877</v>
      </c>
      <c r="C259" s="61" t="s">
        <v>3898</v>
      </c>
      <c r="D259" s="61" t="s">
        <v>7838</v>
      </c>
      <c r="E259" s="61">
        <v>3006</v>
      </c>
      <c r="F259" s="61">
        <v>3571</v>
      </c>
      <c r="G259" s="61">
        <v>2025</v>
      </c>
      <c r="H259" s="61" t="s">
        <v>3128</v>
      </c>
      <c r="I259" s="61" t="s">
        <v>188</v>
      </c>
      <c r="J259" s="61"/>
      <c r="K259" s="61" t="s">
        <v>2445</v>
      </c>
      <c r="L259" s="61" t="s">
        <v>7920</v>
      </c>
      <c r="M259" s="475">
        <v>45939</v>
      </c>
      <c r="N259" s="475">
        <v>45942</v>
      </c>
      <c r="O259" s="61"/>
      <c r="P259" s="475">
        <v>45943</v>
      </c>
      <c r="Q259" s="475">
        <v>45944</v>
      </c>
      <c r="R259" s="61">
        <f t="shared" si="16"/>
        <v>1</v>
      </c>
      <c r="S259" s="61" t="str">
        <f t="shared" si="17"/>
        <v/>
      </c>
      <c r="T259" s="61">
        <f t="shared" ref="T259:T322" si="19">IF(
  OR(A259 = "Nueva_Ecija", A259 = "Zambales"),
  IF(
    OR(ISBLANK(O259), ISBLANK(P259)),
    "",
    MAX(1, IF(
      NETWORKDAYS(O259, P259) &lt;= 0,
      1,
      NETWORKDAYS(O259, P259) - IF(O259 = P259, 0, 1)
    ))
  ),
  IF(
    OR(ISBLANK(N259), ISBLANK(P259)),
    "",
    MAX(1, IF(
      NETWORKDAYS(N259, P259) &lt;= 0,
      1,
      NETWORKDAYS(N259, P259) - IF(N259 = P259, 0, 1)
    ))
  )
)</f>
        <v>1</v>
      </c>
      <c r="U259" s="61">
        <f t="shared" si="18"/>
        <v>1</v>
      </c>
      <c r="V259" s="61" t="s">
        <v>150</v>
      </c>
      <c r="W259" s="61" t="s">
        <v>1078</v>
      </c>
      <c r="X259" s="61" t="s">
        <v>50</v>
      </c>
      <c r="Y259" s="61">
        <v>14.635199999999999</v>
      </c>
      <c r="Z259" s="61">
        <v>120.52117</v>
      </c>
      <c r="AA259" s="61" t="s">
        <v>404</v>
      </c>
      <c r="AB259" s="61"/>
    </row>
    <row r="260" spans="1:28" s="2" customFormat="1" ht="15">
      <c r="A260" s="61" t="s">
        <v>774</v>
      </c>
      <c r="B260" s="61" t="s">
        <v>926</v>
      </c>
      <c r="C260" s="61" t="s">
        <v>3715</v>
      </c>
      <c r="D260" s="61" t="s">
        <v>7838</v>
      </c>
      <c r="E260" s="61">
        <v>293</v>
      </c>
      <c r="F260" s="61">
        <v>272</v>
      </c>
      <c r="G260" s="61">
        <v>2025</v>
      </c>
      <c r="H260" s="61" t="s">
        <v>3532</v>
      </c>
      <c r="I260" s="61" t="s">
        <v>179</v>
      </c>
      <c r="J260" s="61"/>
      <c r="K260" s="61" t="s">
        <v>2445</v>
      </c>
      <c r="L260" s="61" t="s">
        <v>7921</v>
      </c>
      <c r="M260" s="475">
        <v>45792</v>
      </c>
      <c r="N260" s="475">
        <v>45796</v>
      </c>
      <c r="O260" s="61"/>
      <c r="P260" s="475">
        <v>45796</v>
      </c>
      <c r="Q260" s="475">
        <v>45797</v>
      </c>
      <c r="R260" s="61">
        <f t="shared" si="16"/>
        <v>2</v>
      </c>
      <c r="S260" s="61" t="str">
        <f t="shared" si="17"/>
        <v/>
      </c>
      <c r="T260" s="61">
        <f t="shared" si="19"/>
        <v>1</v>
      </c>
      <c r="U260" s="61">
        <f t="shared" si="18"/>
        <v>1</v>
      </c>
      <c r="V260" s="61" t="s">
        <v>7922</v>
      </c>
      <c r="W260" s="61" t="s">
        <v>1078</v>
      </c>
      <c r="X260" s="61" t="s">
        <v>50</v>
      </c>
      <c r="Y260" s="634">
        <v>14.873213</v>
      </c>
      <c r="Z260" s="61">
        <v>120.467043</v>
      </c>
      <c r="AA260" s="61" t="s">
        <v>182</v>
      </c>
      <c r="AB260" s="61"/>
    </row>
    <row r="261" spans="1:28" s="2" customFormat="1" ht="15">
      <c r="A261" s="61" t="s">
        <v>774</v>
      </c>
      <c r="B261" s="61" t="s">
        <v>926</v>
      </c>
      <c r="C261" s="61" t="s">
        <v>3717</v>
      </c>
      <c r="D261" s="61" t="s">
        <v>7838</v>
      </c>
      <c r="E261" s="61">
        <v>4455</v>
      </c>
      <c r="F261" s="61">
        <v>5192</v>
      </c>
      <c r="G261" s="61">
        <v>2025</v>
      </c>
      <c r="H261" s="61" t="s">
        <v>3532</v>
      </c>
      <c r="I261" s="61" t="s">
        <v>179</v>
      </c>
      <c r="J261" s="61"/>
      <c r="K261" s="61" t="s">
        <v>2445</v>
      </c>
      <c r="L261" s="61" t="s">
        <v>7923</v>
      </c>
      <c r="M261" s="475">
        <v>45784</v>
      </c>
      <c r="N261" s="475">
        <v>45789</v>
      </c>
      <c r="O261" s="61"/>
      <c r="P261" s="475">
        <v>45789</v>
      </c>
      <c r="Q261" s="475">
        <v>45791</v>
      </c>
      <c r="R261" s="61">
        <f t="shared" si="16"/>
        <v>3</v>
      </c>
      <c r="S261" s="61" t="str">
        <f t="shared" si="17"/>
        <v/>
      </c>
      <c r="T261" s="61">
        <f t="shared" si="19"/>
        <v>1</v>
      </c>
      <c r="U261" s="61">
        <f t="shared" si="18"/>
        <v>2</v>
      </c>
      <c r="V261" s="61" t="s">
        <v>7922</v>
      </c>
      <c r="W261" s="61" t="s">
        <v>1078</v>
      </c>
      <c r="X261" s="61" t="s">
        <v>57</v>
      </c>
      <c r="Y261" s="61">
        <v>14.862297999999999</v>
      </c>
      <c r="Z261" s="61">
        <v>120.43989500000001</v>
      </c>
      <c r="AA261" s="61" t="s">
        <v>182</v>
      </c>
      <c r="AB261" s="61"/>
    </row>
    <row r="262" spans="1:28" s="2" customFormat="1" ht="15">
      <c r="A262" s="61" t="s">
        <v>774</v>
      </c>
      <c r="B262" s="61" t="s">
        <v>926</v>
      </c>
      <c r="C262" s="61" t="s">
        <v>3725</v>
      </c>
      <c r="D262" s="61" t="s">
        <v>7838</v>
      </c>
      <c r="E262" s="61">
        <v>2412</v>
      </c>
      <c r="F262" s="61">
        <v>2699</v>
      </c>
      <c r="G262" s="61">
        <v>2025</v>
      </c>
      <c r="H262" s="61" t="s">
        <v>3689</v>
      </c>
      <c r="I262" s="61" t="s">
        <v>179</v>
      </c>
      <c r="J262" s="61"/>
      <c r="K262" s="61" t="s">
        <v>2445</v>
      </c>
      <c r="L262" s="61" t="s">
        <v>7924</v>
      </c>
      <c r="M262" s="475">
        <v>45811</v>
      </c>
      <c r="N262" s="475">
        <v>45815</v>
      </c>
      <c r="O262" s="61"/>
      <c r="P262" s="475">
        <v>45815</v>
      </c>
      <c r="Q262" s="475">
        <v>45817</v>
      </c>
      <c r="R262" s="61">
        <f t="shared" si="16"/>
        <v>3</v>
      </c>
      <c r="S262" s="61" t="str">
        <f t="shared" si="17"/>
        <v/>
      </c>
      <c r="T262" s="61">
        <f t="shared" si="19"/>
        <v>1</v>
      </c>
      <c r="U262" s="61">
        <f t="shared" si="18"/>
        <v>1</v>
      </c>
      <c r="V262" s="61" t="s">
        <v>150</v>
      </c>
      <c r="W262" s="61" t="s">
        <v>1078</v>
      </c>
      <c r="X262" s="61" t="s">
        <v>50</v>
      </c>
      <c r="Y262" s="61">
        <v>14.860158</v>
      </c>
      <c r="Z262" s="61">
        <v>120.471659</v>
      </c>
      <c r="AA262" s="61" t="s">
        <v>182</v>
      </c>
      <c r="AB262" s="61"/>
    </row>
    <row r="263" spans="1:28" s="2" customFormat="1" ht="15">
      <c r="A263" s="61" t="s">
        <v>774</v>
      </c>
      <c r="B263" s="61" t="s">
        <v>877</v>
      </c>
      <c r="C263" s="61" t="s">
        <v>3893</v>
      </c>
      <c r="D263" s="61" t="s">
        <v>7838</v>
      </c>
      <c r="E263" s="61">
        <v>1847</v>
      </c>
      <c r="F263" s="61">
        <v>2647</v>
      </c>
      <c r="G263" s="61">
        <v>2025</v>
      </c>
      <c r="H263" s="61" t="s">
        <v>3127</v>
      </c>
      <c r="I263" s="61" t="s">
        <v>188</v>
      </c>
      <c r="J263" s="61"/>
      <c r="K263" s="61" t="s">
        <v>2445</v>
      </c>
      <c r="L263" s="61" t="s">
        <v>7925</v>
      </c>
      <c r="M263" s="475">
        <v>45903</v>
      </c>
      <c r="N263" s="475">
        <v>45907</v>
      </c>
      <c r="O263" s="61"/>
      <c r="P263" s="475">
        <v>45908</v>
      </c>
      <c r="Q263" s="475">
        <v>45908</v>
      </c>
      <c r="R263" s="61">
        <f t="shared" si="16"/>
        <v>2</v>
      </c>
      <c r="S263" s="61" t="str">
        <f t="shared" si="17"/>
        <v/>
      </c>
      <c r="T263" s="61">
        <f t="shared" si="19"/>
        <v>1</v>
      </c>
      <c r="U263" s="61">
        <f t="shared" si="18"/>
        <v>1</v>
      </c>
      <c r="V263" s="61" t="s">
        <v>150</v>
      </c>
      <c r="W263" s="61" t="s">
        <v>1078</v>
      </c>
      <c r="X263" s="61" t="s">
        <v>50</v>
      </c>
      <c r="Y263" s="61">
        <v>14.662599999999999</v>
      </c>
      <c r="Z263" s="61">
        <v>120.55018</v>
      </c>
      <c r="AA263" s="61" t="s">
        <v>404</v>
      </c>
      <c r="AB263" s="61"/>
    </row>
    <row r="264" spans="1:28" s="2" customFormat="1" ht="15">
      <c r="A264" s="61" t="s">
        <v>774</v>
      </c>
      <c r="B264" s="61" t="s">
        <v>884</v>
      </c>
      <c r="C264" s="61" t="s">
        <v>3765</v>
      </c>
      <c r="D264" s="61" t="s">
        <v>7838</v>
      </c>
      <c r="E264" s="61">
        <v>1875</v>
      </c>
      <c r="F264" s="61">
        <v>2151</v>
      </c>
      <c r="G264" s="61"/>
      <c r="H264" s="61"/>
      <c r="I264" s="61" t="s">
        <v>179</v>
      </c>
      <c r="J264" s="61"/>
      <c r="K264" s="61" t="s">
        <v>2445</v>
      </c>
      <c r="L264" s="61"/>
      <c r="M264" s="61"/>
      <c r="N264" s="61"/>
      <c r="O264" s="61"/>
      <c r="P264" s="61"/>
      <c r="Q264" s="61"/>
      <c r="R264" s="61" t="str">
        <f t="shared" si="16"/>
        <v/>
      </c>
      <c r="S264" s="61" t="str">
        <f t="shared" si="17"/>
        <v/>
      </c>
      <c r="T264" s="61" t="str">
        <f t="shared" si="19"/>
        <v/>
      </c>
      <c r="U264" s="61" t="str">
        <f t="shared" si="18"/>
        <v/>
      </c>
      <c r="V264" s="61"/>
      <c r="W264" s="61"/>
      <c r="X264" s="61"/>
      <c r="Y264" s="61"/>
      <c r="Z264" s="61"/>
      <c r="AA264" s="61"/>
      <c r="AB264" s="61"/>
    </row>
    <row r="265" spans="1:28" s="2" customFormat="1" ht="15">
      <c r="A265" s="61" t="s">
        <v>774</v>
      </c>
      <c r="B265" s="61" t="s">
        <v>926</v>
      </c>
      <c r="C265" s="61" t="s">
        <v>3730</v>
      </c>
      <c r="D265" s="61" t="s">
        <v>7838</v>
      </c>
      <c r="E265" s="61">
        <v>915</v>
      </c>
      <c r="F265" s="61">
        <v>858</v>
      </c>
      <c r="G265" s="61">
        <v>2025</v>
      </c>
      <c r="H265" s="61" t="s">
        <v>3689</v>
      </c>
      <c r="I265" s="61" t="s">
        <v>179</v>
      </c>
      <c r="J265" s="61"/>
      <c r="K265" s="61" t="s">
        <v>2445</v>
      </c>
      <c r="L265" s="61" t="s">
        <v>7926</v>
      </c>
      <c r="M265" s="475">
        <v>45818</v>
      </c>
      <c r="N265" s="475">
        <v>45822</v>
      </c>
      <c r="O265" s="61"/>
      <c r="P265" s="475">
        <v>45824</v>
      </c>
      <c r="Q265" s="475">
        <v>45824</v>
      </c>
      <c r="R265" s="61">
        <f t="shared" si="16"/>
        <v>3</v>
      </c>
      <c r="S265" s="61" t="str">
        <f t="shared" si="17"/>
        <v/>
      </c>
      <c r="T265" s="61">
        <f t="shared" si="19"/>
        <v>1</v>
      </c>
      <c r="U265" s="61">
        <f t="shared" si="18"/>
        <v>1</v>
      </c>
      <c r="V265" s="61" t="s">
        <v>150</v>
      </c>
      <c r="W265" s="61" t="s">
        <v>1078</v>
      </c>
      <c r="X265" s="61" t="s">
        <v>50</v>
      </c>
      <c r="Y265" s="61">
        <v>14.873595</v>
      </c>
      <c r="Z265" s="61">
        <v>120.469352</v>
      </c>
      <c r="AA265" s="61" t="s">
        <v>182</v>
      </c>
      <c r="AB265" s="61"/>
    </row>
    <row r="266" spans="1:28" s="2" customFormat="1" ht="15">
      <c r="A266" s="61" t="s">
        <v>774</v>
      </c>
      <c r="B266" s="61" t="s">
        <v>877</v>
      </c>
      <c r="C266" s="61" t="s">
        <v>3903</v>
      </c>
      <c r="D266" s="61" t="s">
        <v>7838</v>
      </c>
      <c r="E266" s="61">
        <v>1616</v>
      </c>
      <c r="F266" s="61">
        <v>1461</v>
      </c>
      <c r="G266" s="61">
        <v>2025</v>
      </c>
      <c r="H266" s="61" t="s">
        <v>3127</v>
      </c>
      <c r="I266" s="61" t="s">
        <v>188</v>
      </c>
      <c r="J266" s="61"/>
      <c r="K266" s="61" t="s">
        <v>2445</v>
      </c>
      <c r="L266" s="61" t="s">
        <v>7927</v>
      </c>
      <c r="M266" s="475">
        <v>45911</v>
      </c>
      <c r="N266" s="475">
        <v>45914</v>
      </c>
      <c r="O266" s="61"/>
      <c r="P266" s="475">
        <v>45915</v>
      </c>
      <c r="Q266" s="475">
        <v>45917</v>
      </c>
      <c r="R266" s="61">
        <f t="shared" si="16"/>
        <v>1</v>
      </c>
      <c r="S266" s="61" t="str">
        <f t="shared" si="17"/>
        <v/>
      </c>
      <c r="T266" s="61">
        <f t="shared" si="19"/>
        <v>1</v>
      </c>
      <c r="U266" s="61">
        <f t="shared" si="18"/>
        <v>2</v>
      </c>
      <c r="V266" s="61" t="s">
        <v>150</v>
      </c>
      <c r="W266" s="61" t="s">
        <v>1078</v>
      </c>
      <c r="X266" s="61" t="s">
        <v>50</v>
      </c>
      <c r="Y266" s="61">
        <v>14.65842</v>
      </c>
      <c r="Z266" s="61">
        <v>120.56807999999999</v>
      </c>
      <c r="AA266" s="61" t="s">
        <v>404</v>
      </c>
      <c r="AB266" s="61"/>
    </row>
    <row r="267" spans="1:28" s="2" customFormat="1" ht="15">
      <c r="A267" s="61" t="s">
        <v>774</v>
      </c>
      <c r="B267" s="61" t="s">
        <v>865</v>
      </c>
      <c r="C267" s="61" t="s">
        <v>3784</v>
      </c>
      <c r="D267" s="61" t="s">
        <v>7838</v>
      </c>
      <c r="E267" s="61">
        <v>8615</v>
      </c>
      <c r="F267" s="61">
        <v>12852</v>
      </c>
      <c r="G267" s="61">
        <v>2025</v>
      </c>
      <c r="H267" s="61" t="s">
        <v>3127</v>
      </c>
      <c r="I267" s="61" t="s">
        <v>188</v>
      </c>
      <c r="J267" s="61"/>
      <c r="K267" s="61" t="s">
        <v>2445</v>
      </c>
      <c r="L267" s="61" t="s">
        <v>7928</v>
      </c>
      <c r="M267" s="475">
        <v>45898</v>
      </c>
      <c r="N267" s="475">
        <v>45901</v>
      </c>
      <c r="O267" s="61"/>
      <c r="P267" s="475">
        <v>45902</v>
      </c>
      <c r="Q267" s="475">
        <v>45902</v>
      </c>
      <c r="R267" s="61">
        <f t="shared" si="16"/>
        <v>1</v>
      </c>
      <c r="S267" s="61" t="str">
        <f t="shared" si="17"/>
        <v/>
      </c>
      <c r="T267" s="61">
        <f t="shared" si="19"/>
        <v>1</v>
      </c>
      <c r="U267" s="61">
        <f t="shared" si="18"/>
        <v>1</v>
      </c>
      <c r="V267" s="61" t="s">
        <v>150</v>
      </c>
      <c r="W267" s="61" t="s">
        <v>7929</v>
      </c>
      <c r="X267" s="61" t="s">
        <v>50</v>
      </c>
      <c r="Y267" s="61">
        <v>14.57174</v>
      </c>
      <c r="Z267" s="61">
        <v>120.5932</v>
      </c>
      <c r="AA267" s="61" t="s">
        <v>7841</v>
      </c>
      <c r="AB267" s="61"/>
    </row>
    <row r="268" spans="1:28" s="2" customFormat="1" ht="15">
      <c r="A268" s="61" t="s">
        <v>774</v>
      </c>
      <c r="B268" s="61" t="s">
        <v>926</v>
      </c>
      <c r="C268" s="61" t="s">
        <v>3682</v>
      </c>
      <c r="D268" s="61" t="s">
        <v>7838</v>
      </c>
      <c r="E268" s="61">
        <v>728</v>
      </c>
      <c r="F268" s="61">
        <v>953</v>
      </c>
      <c r="G268" s="61">
        <v>2025</v>
      </c>
      <c r="H268" s="61" t="s">
        <v>3128</v>
      </c>
      <c r="I268" s="61" t="s">
        <v>179</v>
      </c>
      <c r="J268" s="61"/>
      <c r="K268" s="61" t="s">
        <v>2445</v>
      </c>
      <c r="L268" s="61" t="s">
        <v>7930</v>
      </c>
      <c r="M268" s="475">
        <v>45944</v>
      </c>
      <c r="N268" s="475">
        <v>45946</v>
      </c>
      <c r="O268" s="61"/>
      <c r="P268" s="475">
        <v>45946</v>
      </c>
      <c r="Q268" s="475">
        <v>45947</v>
      </c>
      <c r="R268" s="61">
        <f t="shared" si="16"/>
        <v>2</v>
      </c>
      <c r="S268" s="61" t="str">
        <f t="shared" si="17"/>
        <v/>
      </c>
      <c r="T268" s="61">
        <f t="shared" si="19"/>
        <v>1</v>
      </c>
      <c r="U268" s="61">
        <f t="shared" si="18"/>
        <v>1</v>
      </c>
      <c r="V268" s="61" t="s">
        <v>150</v>
      </c>
      <c r="W268" s="61" t="s">
        <v>4</v>
      </c>
      <c r="X268" s="61" t="s">
        <v>50</v>
      </c>
      <c r="Y268" s="61">
        <v>14.891265000000001</v>
      </c>
      <c r="Z268" s="61">
        <v>120.43455299999999</v>
      </c>
      <c r="AA268" s="61" t="s">
        <v>182</v>
      </c>
      <c r="AB268" s="61"/>
    </row>
    <row r="269" spans="1:28" s="2" customFormat="1" ht="15">
      <c r="A269" s="61" t="s">
        <v>774</v>
      </c>
      <c r="B269" s="61" t="s">
        <v>926</v>
      </c>
      <c r="C269" s="61" t="s">
        <v>3676</v>
      </c>
      <c r="D269" s="61" t="s">
        <v>7838</v>
      </c>
      <c r="E269" s="61">
        <v>3135</v>
      </c>
      <c r="F269" s="61">
        <v>3651</v>
      </c>
      <c r="G269" s="61">
        <v>2025</v>
      </c>
      <c r="H269" s="61" t="s">
        <v>3128</v>
      </c>
      <c r="I269" s="61" t="s">
        <v>179</v>
      </c>
      <c r="J269" s="61"/>
      <c r="K269" s="61" t="s">
        <v>2445</v>
      </c>
      <c r="L269" s="61" t="s">
        <v>7931</v>
      </c>
      <c r="M269" s="475">
        <v>45944</v>
      </c>
      <c r="N269" s="475">
        <v>45946</v>
      </c>
      <c r="O269" s="61"/>
      <c r="P269" s="475">
        <v>45946</v>
      </c>
      <c r="Q269" s="475">
        <v>45947</v>
      </c>
      <c r="R269" s="61">
        <f t="shared" si="16"/>
        <v>2</v>
      </c>
      <c r="S269" s="61" t="str">
        <f t="shared" si="17"/>
        <v/>
      </c>
      <c r="T269" s="61">
        <f t="shared" si="19"/>
        <v>1</v>
      </c>
      <c r="U269" s="61">
        <f t="shared" si="18"/>
        <v>1</v>
      </c>
      <c r="V269" s="61" t="s">
        <v>150</v>
      </c>
      <c r="W269" s="61" t="s">
        <v>4</v>
      </c>
      <c r="X269" s="61" t="s">
        <v>50</v>
      </c>
      <c r="Y269" s="61">
        <v>14.847142</v>
      </c>
      <c r="Z269" s="61">
        <v>120.410695</v>
      </c>
      <c r="AA269" s="61" t="s">
        <v>182</v>
      </c>
      <c r="AB269" s="61"/>
    </row>
    <row r="270" spans="1:28" s="2" customFormat="1" ht="15">
      <c r="A270" s="61" t="s">
        <v>774</v>
      </c>
      <c r="B270" s="61" t="s">
        <v>926</v>
      </c>
      <c r="C270" s="61" t="s">
        <v>892</v>
      </c>
      <c r="D270" s="61" t="s">
        <v>7838</v>
      </c>
      <c r="E270" s="61">
        <v>1981</v>
      </c>
      <c r="F270" s="61">
        <v>2466</v>
      </c>
      <c r="G270" s="61">
        <v>2025</v>
      </c>
      <c r="H270" s="61" t="s">
        <v>3128</v>
      </c>
      <c r="I270" s="61" t="s">
        <v>179</v>
      </c>
      <c r="J270" s="61"/>
      <c r="K270" s="61" t="s">
        <v>2445</v>
      </c>
      <c r="L270" s="61" t="s">
        <v>7932</v>
      </c>
      <c r="M270" s="475">
        <v>45937</v>
      </c>
      <c r="N270" s="475">
        <v>45939</v>
      </c>
      <c r="O270" s="61"/>
      <c r="P270" s="475">
        <v>45943</v>
      </c>
      <c r="Q270" s="475">
        <v>45945</v>
      </c>
      <c r="R270" s="61">
        <f t="shared" si="16"/>
        <v>2</v>
      </c>
      <c r="S270" s="61" t="str">
        <f t="shared" si="17"/>
        <v/>
      </c>
      <c r="T270" s="61">
        <f t="shared" si="19"/>
        <v>2</v>
      </c>
      <c r="U270" s="61">
        <f t="shared" si="18"/>
        <v>2</v>
      </c>
      <c r="V270" s="61" t="s">
        <v>150</v>
      </c>
      <c r="W270" s="61" t="s">
        <v>4</v>
      </c>
      <c r="X270" s="61" t="s">
        <v>50</v>
      </c>
      <c r="Y270" s="61">
        <v>14.8507</v>
      </c>
      <c r="Z270" s="61">
        <v>120.4213</v>
      </c>
      <c r="AA270" s="61" t="s">
        <v>182</v>
      </c>
      <c r="AB270" s="61"/>
    </row>
    <row r="271" spans="1:28" s="2" customFormat="1" ht="15">
      <c r="A271" s="61" t="s">
        <v>774</v>
      </c>
      <c r="B271" s="61" t="s">
        <v>884</v>
      </c>
      <c r="C271" s="61" t="s">
        <v>3738</v>
      </c>
      <c r="D271" s="61" t="s">
        <v>7838</v>
      </c>
      <c r="E271" s="61">
        <v>1675</v>
      </c>
      <c r="F271" s="61">
        <v>1705</v>
      </c>
      <c r="G271" s="61">
        <v>2025</v>
      </c>
      <c r="H271" s="61" t="s">
        <v>3470</v>
      </c>
      <c r="I271" s="61" t="s">
        <v>179</v>
      </c>
      <c r="J271" s="61"/>
      <c r="K271" s="61" t="s">
        <v>2445</v>
      </c>
      <c r="L271" s="61" t="s">
        <v>7933</v>
      </c>
      <c r="M271" s="475">
        <v>45758</v>
      </c>
      <c r="N271" s="475">
        <v>45761</v>
      </c>
      <c r="O271" s="61"/>
      <c r="P271" s="475">
        <v>45761</v>
      </c>
      <c r="Q271" s="475">
        <v>45761</v>
      </c>
      <c r="R271" s="61">
        <f t="shared" si="16"/>
        <v>1</v>
      </c>
      <c r="S271" s="61" t="str">
        <f t="shared" si="17"/>
        <v/>
      </c>
      <c r="T271" s="61">
        <f t="shared" si="19"/>
        <v>1</v>
      </c>
      <c r="U271" s="61">
        <f t="shared" si="18"/>
        <v>1</v>
      </c>
      <c r="V271" s="61" t="s">
        <v>150</v>
      </c>
      <c r="W271" s="61" t="s">
        <v>1078</v>
      </c>
      <c r="X271" s="61" t="s">
        <v>50</v>
      </c>
      <c r="Y271" s="61">
        <v>14.831677000000001</v>
      </c>
      <c r="Z271" s="61">
        <v>120.511765</v>
      </c>
      <c r="AA271" s="61" t="s">
        <v>330</v>
      </c>
      <c r="AB271" s="61"/>
    </row>
    <row r="272" spans="1:28" s="2" customFormat="1" ht="15">
      <c r="A272" s="61" t="s">
        <v>774</v>
      </c>
      <c r="B272" s="61" t="s">
        <v>884</v>
      </c>
      <c r="C272" s="61" t="s">
        <v>3747</v>
      </c>
      <c r="D272" s="61" t="s">
        <v>7838</v>
      </c>
      <c r="E272" s="61">
        <v>3018</v>
      </c>
      <c r="F272" s="61">
        <v>3000</v>
      </c>
      <c r="G272" s="61">
        <v>2025</v>
      </c>
      <c r="H272" s="61" t="s">
        <v>3458</v>
      </c>
      <c r="I272" s="61" t="s">
        <v>179</v>
      </c>
      <c r="J272" s="61"/>
      <c r="K272" s="61" t="s">
        <v>2445</v>
      </c>
      <c r="L272" s="61" t="s">
        <v>7934</v>
      </c>
      <c r="M272" s="475">
        <v>45695</v>
      </c>
      <c r="N272" s="475">
        <v>45698</v>
      </c>
      <c r="O272" s="61"/>
      <c r="P272" s="475">
        <v>45698</v>
      </c>
      <c r="Q272" s="475">
        <v>45698</v>
      </c>
      <c r="R272" s="61">
        <f t="shared" si="16"/>
        <v>1</v>
      </c>
      <c r="S272" s="61" t="str">
        <f t="shared" si="17"/>
        <v/>
      </c>
      <c r="T272" s="61">
        <f t="shared" si="19"/>
        <v>1</v>
      </c>
      <c r="U272" s="61">
        <f t="shared" si="18"/>
        <v>1</v>
      </c>
      <c r="V272" s="61" t="s">
        <v>150</v>
      </c>
      <c r="W272" s="61" t="s">
        <v>1078</v>
      </c>
      <c r="X272" s="61" t="s">
        <v>50</v>
      </c>
      <c r="Y272" s="61"/>
      <c r="Z272" s="61"/>
      <c r="AA272" s="61" t="s">
        <v>330</v>
      </c>
      <c r="AB272" s="61"/>
    </row>
    <row r="273" spans="1:28" s="2" customFormat="1" ht="15">
      <c r="A273" s="61" t="s">
        <v>774</v>
      </c>
      <c r="B273" s="61" t="s">
        <v>884</v>
      </c>
      <c r="C273" s="61" t="s">
        <v>3750</v>
      </c>
      <c r="D273" s="61" t="s">
        <v>7838</v>
      </c>
      <c r="E273" s="61">
        <v>962</v>
      </c>
      <c r="F273" s="61">
        <v>943</v>
      </c>
      <c r="G273" s="61">
        <v>2025</v>
      </c>
      <c r="H273" s="61" t="s">
        <v>3458</v>
      </c>
      <c r="I273" s="61" t="s">
        <v>179</v>
      </c>
      <c r="J273" s="61"/>
      <c r="K273" s="61" t="s">
        <v>2445</v>
      </c>
      <c r="L273" s="61" t="s">
        <v>7935</v>
      </c>
      <c r="M273" s="475">
        <v>45707</v>
      </c>
      <c r="N273" s="475">
        <v>45707</v>
      </c>
      <c r="O273" s="61"/>
      <c r="P273" s="475">
        <v>45707</v>
      </c>
      <c r="Q273" s="475">
        <v>45707</v>
      </c>
      <c r="R273" s="61">
        <f t="shared" si="16"/>
        <v>1</v>
      </c>
      <c r="S273" s="61" t="str">
        <f t="shared" si="17"/>
        <v/>
      </c>
      <c r="T273" s="61">
        <f t="shared" si="19"/>
        <v>1</v>
      </c>
      <c r="U273" s="61">
        <f t="shared" si="18"/>
        <v>1</v>
      </c>
      <c r="V273" s="61" t="s">
        <v>150</v>
      </c>
      <c r="W273" s="61" t="s">
        <v>1078</v>
      </c>
      <c r="X273" s="61" t="s">
        <v>50</v>
      </c>
      <c r="Y273" s="61"/>
      <c r="Z273" s="61"/>
      <c r="AA273" s="61" t="s">
        <v>330</v>
      </c>
      <c r="AB273" s="61"/>
    </row>
    <row r="274" spans="1:28" s="2" customFormat="1" ht="15">
      <c r="A274" s="61" t="s">
        <v>774</v>
      </c>
      <c r="B274" s="61" t="s">
        <v>884</v>
      </c>
      <c r="C274" s="61" t="s">
        <v>3755</v>
      </c>
      <c r="D274" s="61" t="s">
        <v>7838</v>
      </c>
      <c r="E274" s="61">
        <v>3238</v>
      </c>
      <c r="F274" s="61">
        <v>5496</v>
      </c>
      <c r="G274" s="61">
        <v>2025</v>
      </c>
      <c r="H274" s="61" t="s">
        <v>3470</v>
      </c>
      <c r="I274" s="61" t="s">
        <v>179</v>
      </c>
      <c r="J274" s="61"/>
      <c r="K274" s="61" t="s">
        <v>2445</v>
      </c>
      <c r="L274" s="61" t="s">
        <v>7936</v>
      </c>
      <c r="M274" s="475">
        <v>45758</v>
      </c>
      <c r="N274" s="475">
        <v>45761</v>
      </c>
      <c r="O274" s="61"/>
      <c r="P274" s="475">
        <v>45761</v>
      </c>
      <c r="Q274" s="475">
        <v>45761</v>
      </c>
      <c r="R274" s="61">
        <f t="shared" si="16"/>
        <v>1</v>
      </c>
      <c r="S274" s="61" t="str">
        <f t="shared" si="17"/>
        <v/>
      </c>
      <c r="T274" s="61">
        <f t="shared" si="19"/>
        <v>1</v>
      </c>
      <c r="U274" s="61">
        <f t="shared" si="18"/>
        <v>1</v>
      </c>
      <c r="V274" s="61" t="s">
        <v>150</v>
      </c>
      <c r="W274" s="61" t="s">
        <v>1078</v>
      </c>
      <c r="X274" s="61" t="s">
        <v>50</v>
      </c>
      <c r="Y274" s="61">
        <v>14.821052999999999</v>
      </c>
      <c r="Z274" s="61">
        <v>120.51452</v>
      </c>
      <c r="AA274" s="61" t="s">
        <v>330</v>
      </c>
      <c r="AB274" s="61"/>
    </row>
    <row r="275" spans="1:28" s="2" customFormat="1" ht="15">
      <c r="A275" s="61" t="s">
        <v>774</v>
      </c>
      <c r="B275" s="61" t="s">
        <v>884</v>
      </c>
      <c r="C275" s="61" t="s">
        <v>3570</v>
      </c>
      <c r="D275" s="61" t="s">
        <v>7838</v>
      </c>
      <c r="E275" s="61">
        <v>2828</v>
      </c>
      <c r="F275" s="61">
        <v>3117</v>
      </c>
      <c r="G275" s="61">
        <v>2025</v>
      </c>
      <c r="H275" s="61" t="s">
        <v>3128</v>
      </c>
      <c r="I275" s="61" t="s">
        <v>179</v>
      </c>
      <c r="J275" s="61"/>
      <c r="K275" s="61" t="s">
        <v>2445</v>
      </c>
      <c r="L275" s="61" t="s">
        <v>7937</v>
      </c>
      <c r="M275" s="475">
        <v>45945</v>
      </c>
      <c r="N275" s="475">
        <v>45946</v>
      </c>
      <c r="O275" s="475"/>
      <c r="P275" s="475">
        <v>45946</v>
      </c>
      <c r="Q275" s="475">
        <v>45947</v>
      </c>
      <c r="R275" s="61">
        <f t="shared" si="16"/>
        <v>1</v>
      </c>
      <c r="S275" s="61" t="str">
        <f t="shared" si="17"/>
        <v/>
      </c>
      <c r="T275" s="61">
        <f t="shared" si="19"/>
        <v>1</v>
      </c>
      <c r="U275" s="61">
        <f t="shared" si="18"/>
        <v>1</v>
      </c>
      <c r="V275" s="61" t="s">
        <v>150</v>
      </c>
      <c r="W275" s="61" t="s">
        <v>4</v>
      </c>
      <c r="X275" s="61" t="s">
        <v>57</v>
      </c>
      <c r="Y275" s="61" t="s">
        <v>7938</v>
      </c>
      <c r="Z275" s="61">
        <v>120.437163</v>
      </c>
      <c r="AA275" s="61" t="s">
        <v>404</v>
      </c>
      <c r="AB275" s="61"/>
    </row>
    <row r="276" spans="1:28" s="2" customFormat="1" ht="15">
      <c r="A276" s="61" t="s">
        <v>774</v>
      </c>
      <c r="B276" s="61" t="s">
        <v>865</v>
      </c>
      <c r="C276" s="61" t="s">
        <v>3773</v>
      </c>
      <c r="D276" s="61" t="s">
        <v>7838</v>
      </c>
      <c r="E276" s="61">
        <v>7358</v>
      </c>
      <c r="F276" s="61">
        <v>8905</v>
      </c>
      <c r="G276" s="61"/>
      <c r="H276" s="61"/>
      <c r="I276" s="61" t="s">
        <v>188</v>
      </c>
      <c r="J276" s="61"/>
      <c r="K276" s="61" t="s">
        <v>2445</v>
      </c>
      <c r="L276" s="61"/>
      <c r="M276" s="61"/>
      <c r="N276" s="61"/>
      <c r="O276" s="61"/>
      <c r="P276" s="61"/>
      <c r="Q276" s="61"/>
      <c r="R276" s="61" t="str">
        <f t="shared" si="16"/>
        <v/>
      </c>
      <c r="S276" s="61" t="str">
        <f t="shared" si="17"/>
        <v/>
      </c>
      <c r="T276" s="61" t="str">
        <f t="shared" si="19"/>
        <v/>
      </c>
      <c r="U276" s="61" t="str">
        <f t="shared" si="18"/>
        <v/>
      </c>
      <c r="V276" s="61"/>
      <c r="W276" s="61"/>
      <c r="X276" s="61"/>
      <c r="Y276" s="61"/>
      <c r="Z276" s="61"/>
      <c r="AA276" s="61"/>
      <c r="AB276" s="61"/>
    </row>
    <row r="277" spans="1:28" s="2" customFormat="1" ht="15">
      <c r="A277" s="61" t="s">
        <v>774</v>
      </c>
      <c r="B277" s="61" t="s">
        <v>884</v>
      </c>
      <c r="C277" s="61" t="s">
        <v>1445</v>
      </c>
      <c r="D277" s="61" t="s">
        <v>7838</v>
      </c>
      <c r="E277" s="61">
        <v>2379</v>
      </c>
      <c r="F277" s="61">
        <v>2613</v>
      </c>
      <c r="G277" s="61">
        <v>2025</v>
      </c>
      <c r="H277" s="61" t="s">
        <v>3128</v>
      </c>
      <c r="I277" s="61" t="s">
        <v>179</v>
      </c>
      <c r="J277" s="61"/>
      <c r="K277" s="61" t="s">
        <v>2445</v>
      </c>
      <c r="L277" s="61" t="s">
        <v>7939</v>
      </c>
      <c r="M277" s="475">
        <v>45945</v>
      </c>
      <c r="N277" s="475">
        <v>45946</v>
      </c>
      <c r="O277" s="61"/>
      <c r="P277" s="475">
        <v>45948</v>
      </c>
      <c r="Q277" s="475">
        <v>45950</v>
      </c>
      <c r="R277" s="61">
        <f t="shared" si="16"/>
        <v>1</v>
      </c>
      <c r="S277" s="61" t="str">
        <f t="shared" si="17"/>
        <v/>
      </c>
      <c r="T277" s="61">
        <f t="shared" si="19"/>
        <v>1</v>
      </c>
      <c r="U277" s="61">
        <f t="shared" si="18"/>
        <v>1</v>
      </c>
      <c r="V277" s="61" t="s">
        <v>150</v>
      </c>
      <c r="W277" s="61" t="s">
        <v>4</v>
      </c>
      <c r="X277" s="61" t="s">
        <v>57</v>
      </c>
      <c r="Y277" s="61">
        <v>14.843643</v>
      </c>
      <c r="Z277" s="61">
        <v>120.42530499999999</v>
      </c>
      <c r="AA277" s="61" t="s">
        <v>404</v>
      </c>
      <c r="AB277" s="61"/>
    </row>
    <row r="278" spans="1:28" s="2" customFormat="1" ht="15">
      <c r="A278" s="61" t="s">
        <v>774</v>
      </c>
      <c r="B278" s="61" t="s">
        <v>865</v>
      </c>
      <c r="C278" s="61" t="s">
        <v>1056</v>
      </c>
      <c r="D278" s="61" t="s">
        <v>7838</v>
      </c>
      <c r="E278" s="61">
        <v>701</v>
      </c>
      <c r="F278" s="61">
        <v>653</v>
      </c>
      <c r="G278" s="61"/>
      <c r="H278" s="61"/>
      <c r="I278" s="61" t="s">
        <v>188</v>
      </c>
      <c r="J278" s="61"/>
      <c r="K278" s="61" t="s">
        <v>2445</v>
      </c>
      <c r="L278" s="61"/>
      <c r="M278" s="61"/>
      <c r="N278" s="61"/>
      <c r="O278" s="61"/>
      <c r="P278" s="61"/>
      <c r="Q278" s="61"/>
      <c r="R278" s="61" t="str">
        <f t="shared" si="16"/>
        <v/>
      </c>
      <c r="S278" s="61" t="str">
        <f t="shared" si="17"/>
        <v/>
      </c>
      <c r="T278" s="61" t="str">
        <f t="shared" si="19"/>
        <v/>
      </c>
      <c r="U278" s="61" t="str">
        <f t="shared" si="18"/>
        <v/>
      </c>
      <c r="V278" s="61"/>
      <c r="W278" s="61"/>
      <c r="X278" s="61"/>
      <c r="Y278" s="61"/>
      <c r="Z278" s="61"/>
      <c r="AA278" s="61"/>
      <c r="AB278" s="61"/>
    </row>
    <row r="279" spans="1:28" s="2" customFormat="1" ht="15">
      <c r="A279" s="61" t="s">
        <v>774</v>
      </c>
      <c r="B279" s="61" t="s">
        <v>884</v>
      </c>
      <c r="C279" s="61" t="s">
        <v>3763</v>
      </c>
      <c r="D279" s="61" t="s">
        <v>7838</v>
      </c>
      <c r="E279" s="61">
        <v>579</v>
      </c>
      <c r="F279" s="61">
        <v>631</v>
      </c>
      <c r="G279" s="61">
        <v>2025</v>
      </c>
      <c r="H279" s="61" t="s">
        <v>3416</v>
      </c>
      <c r="I279" s="61" t="s">
        <v>179</v>
      </c>
      <c r="J279" s="61"/>
      <c r="K279" s="61" t="s">
        <v>2445</v>
      </c>
      <c r="L279" s="61" t="s">
        <v>7940</v>
      </c>
      <c r="M279" s="475">
        <v>45729</v>
      </c>
      <c r="N279" s="475">
        <v>45733</v>
      </c>
      <c r="O279" s="61"/>
      <c r="P279" s="475">
        <v>45733</v>
      </c>
      <c r="Q279" s="475">
        <v>45733</v>
      </c>
      <c r="R279" s="61">
        <f t="shared" si="16"/>
        <v>2</v>
      </c>
      <c r="S279" s="61" t="str">
        <f t="shared" si="17"/>
        <v/>
      </c>
      <c r="T279" s="61">
        <f t="shared" si="19"/>
        <v>1</v>
      </c>
      <c r="U279" s="61">
        <f t="shared" si="18"/>
        <v>1</v>
      </c>
      <c r="V279" s="61" t="s">
        <v>150</v>
      </c>
      <c r="W279" s="61" t="s">
        <v>1078</v>
      </c>
      <c r="X279" s="61" t="s">
        <v>50</v>
      </c>
      <c r="Y279" s="61">
        <v>14.842112</v>
      </c>
      <c r="Z279" s="61">
        <v>120.500298</v>
      </c>
      <c r="AA279" s="61" t="s">
        <v>330</v>
      </c>
      <c r="AB279" s="61"/>
    </row>
    <row r="280" spans="1:28" s="2" customFormat="1" ht="15">
      <c r="A280" s="61" t="s">
        <v>774</v>
      </c>
      <c r="B280" s="61" t="s">
        <v>891</v>
      </c>
      <c r="C280" s="61" t="s">
        <v>3835</v>
      </c>
      <c r="D280" s="61" t="s">
        <v>7838</v>
      </c>
      <c r="E280" s="61">
        <v>2146</v>
      </c>
      <c r="F280" s="61">
        <v>2192</v>
      </c>
      <c r="G280" s="61">
        <v>2025</v>
      </c>
      <c r="H280" s="61" t="s">
        <v>3126</v>
      </c>
      <c r="I280" s="61" t="s">
        <v>179</v>
      </c>
      <c r="J280" s="61"/>
      <c r="K280" s="61" t="s">
        <v>2445</v>
      </c>
      <c r="L280" s="61" t="s">
        <v>7941</v>
      </c>
      <c r="M280" s="475">
        <v>45876</v>
      </c>
      <c r="N280" s="475">
        <v>45880</v>
      </c>
      <c r="O280" s="61"/>
      <c r="P280" s="475">
        <v>45882</v>
      </c>
      <c r="Q280" s="475">
        <v>45882</v>
      </c>
      <c r="R280" s="61">
        <f t="shared" si="16"/>
        <v>2</v>
      </c>
      <c r="S280" s="61" t="str">
        <f t="shared" si="17"/>
        <v/>
      </c>
      <c r="T280" s="61">
        <f t="shared" si="19"/>
        <v>2</v>
      </c>
      <c r="U280" s="61">
        <f t="shared" si="18"/>
        <v>1</v>
      </c>
      <c r="V280" s="61" t="s">
        <v>150</v>
      </c>
      <c r="W280" s="61" t="s">
        <v>4</v>
      </c>
      <c r="X280" s="61" t="s">
        <v>50</v>
      </c>
      <c r="Y280" s="61" t="s">
        <v>7942</v>
      </c>
      <c r="Z280" s="61">
        <v>120.53760699999999</v>
      </c>
      <c r="AA280" s="61" t="s">
        <v>182</v>
      </c>
      <c r="AB280" s="61"/>
    </row>
    <row r="281" spans="1:28" s="2" customFormat="1" ht="15">
      <c r="A281" s="61" t="s">
        <v>774</v>
      </c>
      <c r="B281" s="61" t="s">
        <v>884</v>
      </c>
      <c r="C281" s="61" t="s">
        <v>3772</v>
      </c>
      <c r="D281" s="61" t="s">
        <v>7838</v>
      </c>
      <c r="E281" s="61">
        <v>5465</v>
      </c>
      <c r="F281" s="61">
        <v>6874</v>
      </c>
      <c r="G281" s="61">
        <v>2025</v>
      </c>
      <c r="H281" s="61" t="s">
        <v>3532</v>
      </c>
      <c r="I281" s="61" t="s">
        <v>179</v>
      </c>
      <c r="J281" s="61"/>
      <c r="K281" s="61" t="s">
        <v>2445</v>
      </c>
      <c r="L281" s="61" t="s">
        <v>7943</v>
      </c>
      <c r="M281" s="475">
        <v>45791</v>
      </c>
      <c r="N281" s="475">
        <v>45794</v>
      </c>
      <c r="O281" s="61"/>
      <c r="P281" s="475">
        <v>45796</v>
      </c>
      <c r="Q281" s="475">
        <v>45797</v>
      </c>
      <c r="R281" s="61">
        <f t="shared" si="16"/>
        <v>2</v>
      </c>
      <c r="S281" s="61" t="str">
        <f t="shared" si="17"/>
        <v/>
      </c>
      <c r="T281" s="61">
        <f t="shared" si="19"/>
        <v>1</v>
      </c>
      <c r="U281" s="61">
        <f t="shared" si="18"/>
        <v>1</v>
      </c>
      <c r="V281" s="61" t="s">
        <v>150</v>
      </c>
      <c r="W281" s="61" t="s">
        <v>1078</v>
      </c>
      <c r="X281" s="61" t="s">
        <v>50</v>
      </c>
      <c r="Y281" s="61">
        <v>14.841135</v>
      </c>
      <c r="Z281" s="61">
        <v>120.34334800000001</v>
      </c>
      <c r="AA281" s="61" t="s">
        <v>330</v>
      </c>
      <c r="AB281" s="61"/>
    </row>
    <row r="282" spans="1:28" s="2" customFormat="1" ht="15">
      <c r="A282" s="61" t="s">
        <v>774</v>
      </c>
      <c r="B282" s="61" t="s">
        <v>891</v>
      </c>
      <c r="C282" s="61" t="s">
        <v>3855</v>
      </c>
      <c r="D282" s="61" t="s">
        <v>7838</v>
      </c>
      <c r="E282" s="61">
        <v>1968</v>
      </c>
      <c r="F282" s="61">
        <v>1672</v>
      </c>
      <c r="G282" s="61">
        <v>2025</v>
      </c>
      <c r="H282" s="61" t="s">
        <v>3127</v>
      </c>
      <c r="I282" s="61" t="s">
        <v>179</v>
      </c>
      <c r="J282" s="61"/>
      <c r="K282" s="61" t="s">
        <v>2445</v>
      </c>
      <c r="L282" s="61" t="s">
        <v>7944</v>
      </c>
      <c r="M282" s="475">
        <v>45896</v>
      </c>
      <c r="N282" s="475">
        <v>45901</v>
      </c>
      <c r="O282" s="61"/>
      <c r="P282" s="475">
        <v>45901</v>
      </c>
      <c r="Q282" s="475">
        <v>45902</v>
      </c>
      <c r="R282" s="61">
        <f t="shared" si="16"/>
        <v>3</v>
      </c>
      <c r="S282" s="61" t="str">
        <f t="shared" si="17"/>
        <v/>
      </c>
      <c r="T282" s="61">
        <f t="shared" si="19"/>
        <v>1</v>
      </c>
      <c r="U282" s="61">
        <f t="shared" si="18"/>
        <v>1</v>
      </c>
      <c r="V282" s="61" t="s">
        <v>150</v>
      </c>
      <c r="W282" s="61" t="s">
        <v>4</v>
      </c>
      <c r="X282" s="61" t="s">
        <v>50</v>
      </c>
      <c r="Y282" s="61">
        <v>14.799555</v>
      </c>
      <c r="Z282" s="61">
        <v>120.539435</v>
      </c>
      <c r="AA282" s="61" t="s">
        <v>182</v>
      </c>
      <c r="AB282" s="61"/>
    </row>
    <row r="283" spans="1:28" s="2" customFormat="1" ht="15">
      <c r="A283" s="61" t="s">
        <v>774</v>
      </c>
      <c r="B283" s="61" t="s">
        <v>926</v>
      </c>
      <c r="C283" s="61" t="s">
        <v>3699</v>
      </c>
      <c r="D283" s="61" t="s">
        <v>7838</v>
      </c>
      <c r="E283" s="61">
        <v>1737</v>
      </c>
      <c r="F283" s="61">
        <v>2103</v>
      </c>
      <c r="G283" s="61">
        <v>2025</v>
      </c>
      <c r="H283" s="61" t="s">
        <v>3126</v>
      </c>
      <c r="I283" s="61" t="s">
        <v>179</v>
      </c>
      <c r="J283" s="61"/>
      <c r="K283" s="61" t="s">
        <v>2445</v>
      </c>
      <c r="L283" s="61" t="s">
        <v>7945</v>
      </c>
      <c r="M283" s="475">
        <v>45874</v>
      </c>
      <c r="N283" s="475">
        <v>45880</v>
      </c>
      <c r="O283" s="61"/>
      <c r="P283" s="475">
        <v>45880</v>
      </c>
      <c r="Q283" s="475">
        <v>45882</v>
      </c>
      <c r="R283" s="61">
        <f t="shared" si="16"/>
        <v>4</v>
      </c>
      <c r="S283" s="61" t="str">
        <f t="shared" si="17"/>
        <v/>
      </c>
      <c r="T283" s="61">
        <f t="shared" si="19"/>
        <v>1</v>
      </c>
      <c r="U283" s="61">
        <f t="shared" si="18"/>
        <v>2</v>
      </c>
      <c r="V283" s="61" t="s">
        <v>150</v>
      </c>
      <c r="W283" s="61" t="s">
        <v>1078</v>
      </c>
      <c r="X283" s="61" t="s">
        <v>57</v>
      </c>
      <c r="Y283" s="61">
        <v>14.845262999999999</v>
      </c>
      <c r="Z283" s="61">
        <v>120.420928</v>
      </c>
      <c r="AA283" s="61" t="s">
        <v>182</v>
      </c>
      <c r="AB283" s="61"/>
    </row>
    <row r="284" spans="1:28" s="2" customFormat="1" ht="15">
      <c r="A284" s="61" t="s">
        <v>774</v>
      </c>
      <c r="B284" s="61" t="s">
        <v>926</v>
      </c>
      <c r="C284" s="61" t="s">
        <v>1245</v>
      </c>
      <c r="D284" s="61" t="s">
        <v>7838</v>
      </c>
      <c r="E284" s="61">
        <v>1565</v>
      </c>
      <c r="F284" s="61">
        <v>1953</v>
      </c>
      <c r="G284" s="61">
        <v>2025</v>
      </c>
      <c r="H284" s="61" t="s">
        <v>3126</v>
      </c>
      <c r="I284" s="61" t="s">
        <v>179</v>
      </c>
      <c r="J284" s="61"/>
      <c r="K284" s="61" t="s">
        <v>2445</v>
      </c>
      <c r="L284" s="61" t="s">
        <v>7946</v>
      </c>
      <c r="M284" s="475">
        <v>45869</v>
      </c>
      <c r="N284" s="475">
        <v>45873</v>
      </c>
      <c r="O284" s="61"/>
      <c r="P284" s="475">
        <v>45874</v>
      </c>
      <c r="Q284" s="475">
        <v>45874</v>
      </c>
      <c r="R284" s="61">
        <f t="shared" si="16"/>
        <v>2</v>
      </c>
      <c r="S284" s="61" t="str">
        <f t="shared" si="17"/>
        <v/>
      </c>
      <c r="T284" s="61">
        <f t="shared" si="19"/>
        <v>1</v>
      </c>
      <c r="U284" s="61">
        <f t="shared" si="18"/>
        <v>1</v>
      </c>
      <c r="V284" s="61" t="s">
        <v>150</v>
      </c>
      <c r="W284" s="61" t="s">
        <v>1078</v>
      </c>
      <c r="X284" s="61" t="s">
        <v>57</v>
      </c>
      <c r="Y284" s="61" t="s">
        <v>7947</v>
      </c>
      <c r="Z284" s="61" t="s">
        <v>7948</v>
      </c>
      <c r="AA284" s="61" t="s">
        <v>182</v>
      </c>
      <c r="AB284" s="61"/>
    </row>
    <row r="285" spans="1:28" s="2" customFormat="1" ht="15">
      <c r="A285" s="61" t="s">
        <v>774</v>
      </c>
      <c r="B285" s="61" t="s">
        <v>926</v>
      </c>
      <c r="C285" s="61" t="s">
        <v>3719</v>
      </c>
      <c r="D285" s="61" t="s">
        <v>7838</v>
      </c>
      <c r="E285" s="61">
        <v>4159</v>
      </c>
      <c r="F285" s="61">
        <v>4555</v>
      </c>
      <c r="G285" s="61">
        <v>2025</v>
      </c>
      <c r="H285" s="61" t="s">
        <v>3125</v>
      </c>
      <c r="I285" s="61" t="s">
        <v>179</v>
      </c>
      <c r="J285" s="61"/>
      <c r="K285" s="61" t="s">
        <v>2445</v>
      </c>
      <c r="L285" s="61" t="s">
        <v>7949</v>
      </c>
      <c r="M285" s="475">
        <v>45839</v>
      </c>
      <c r="N285" s="475">
        <v>45845</v>
      </c>
      <c r="O285" s="61"/>
      <c r="P285" s="475">
        <v>45845</v>
      </c>
      <c r="Q285" s="475">
        <v>45847</v>
      </c>
      <c r="R285" s="61">
        <f t="shared" si="16"/>
        <v>4</v>
      </c>
      <c r="S285" s="61" t="str">
        <f t="shared" si="17"/>
        <v/>
      </c>
      <c r="T285" s="61">
        <f t="shared" si="19"/>
        <v>1</v>
      </c>
      <c r="U285" s="61">
        <f t="shared" si="18"/>
        <v>2</v>
      </c>
      <c r="V285" s="61" t="s">
        <v>150</v>
      </c>
      <c r="W285" s="61" t="s">
        <v>1078</v>
      </c>
      <c r="X285" s="61" t="s">
        <v>50</v>
      </c>
      <c r="Y285" s="61">
        <v>14.849563</v>
      </c>
      <c r="Z285" s="61">
        <v>120.392172</v>
      </c>
      <c r="AA285" s="61" t="s">
        <v>182</v>
      </c>
      <c r="AB285" s="61"/>
    </row>
    <row r="286" spans="1:28" s="2" customFormat="1" ht="15">
      <c r="A286" s="61" t="s">
        <v>774</v>
      </c>
      <c r="B286" s="61" t="s">
        <v>926</v>
      </c>
      <c r="C286" s="61" t="s">
        <v>3788</v>
      </c>
      <c r="D286" s="61" t="s">
        <v>7838</v>
      </c>
      <c r="E286" s="61">
        <v>1271</v>
      </c>
      <c r="F286" s="61">
        <v>1543</v>
      </c>
      <c r="G286" s="61">
        <v>2025</v>
      </c>
      <c r="H286" s="61" t="s">
        <v>3125</v>
      </c>
      <c r="I286" s="61" t="s">
        <v>179</v>
      </c>
      <c r="J286" s="61"/>
      <c r="K286" s="61" t="s">
        <v>2445</v>
      </c>
      <c r="L286" s="61" t="s">
        <v>7950</v>
      </c>
      <c r="M286" s="475">
        <v>45854</v>
      </c>
      <c r="N286" s="475">
        <v>45855</v>
      </c>
      <c r="O286" s="61"/>
      <c r="P286" s="475">
        <v>45855</v>
      </c>
      <c r="Q286" s="475">
        <v>45855</v>
      </c>
      <c r="R286" s="61">
        <f t="shared" si="16"/>
        <v>1</v>
      </c>
      <c r="S286" s="61" t="str">
        <f t="shared" si="17"/>
        <v/>
      </c>
      <c r="T286" s="61">
        <f t="shared" si="19"/>
        <v>1</v>
      </c>
      <c r="U286" s="61">
        <f t="shared" si="18"/>
        <v>1</v>
      </c>
      <c r="V286" s="61" t="s">
        <v>150</v>
      </c>
      <c r="W286" s="61" t="s">
        <v>1078</v>
      </c>
      <c r="X286" s="61" t="s">
        <v>50</v>
      </c>
      <c r="Y286" s="61">
        <v>14.885208</v>
      </c>
      <c r="Z286" s="61">
        <v>120.446658</v>
      </c>
      <c r="AA286" s="61" t="s">
        <v>182</v>
      </c>
      <c r="AB286" s="61"/>
    </row>
    <row r="287" spans="1:28" s="2" customFormat="1" ht="15">
      <c r="A287" s="61" t="s">
        <v>774</v>
      </c>
      <c r="B287" s="61" t="s">
        <v>926</v>
      </c>
      <c r="C287" s="61" t="s">
        <v>3728</v>
      </c>
      <c r="D287" s="61" t="s">
        <v>7838</v>
      </c>
      <c r="E287" s="61">
        <v>2739</v>
      </c>
      <c r="F287" s="61">
        <v>2953</v>
      </c>
      <c r="G287" s="61">
        <v>2025</v>
      </c>
      <c r="H287" s="61" t="s">
        <v>3128</v>
      </c>
      <c r="I287" s="61" t="s">
        <v>179</v>
      </c>
      <c r="J287" s="61"/>
      <c r="K287" s="61" t="s">
        <v>2445</v>
      </c>
      <c r="L287" s="61" t="s">
        <v>7951</v>
      </c>
      <c r="M287" s="475">
        <v>45937</v>
      </c>
      <c r="N287" s="475">
        <v>45939</v>
      </c>
      <c r="O287" s="61"/>
      <c r="P287" s="475">
        <v>45943</v>
      </c>
      <c r="Q287" s="475">
        <v>45945</v>
      </c>
      <c r="R287" s="61">
        <f t="shared" si="16"/>
        <v>2</v>
      </c>
      <c r="S287" s="61" t="str">
        <f t="shared" si="17"/>
        <v/>
      </c>
      <c r="T287" s="61">
        <f t="shared" si="19"/>
        <v>2</v>
      </c>
      <c r="U287" s="61">
        <f t="shared" si="18"/>
        <v>2</v>
      </c>
      <c r="V287" s="61" t="s">
        <v>150</v>
      </c>
      <c r="W287" s="61" t="s">
        <v>1078</v>
      </c>
      <c r="X287" s="61" t="s">
        <v>57</v>
      </c>
      <c r="Y287" s="61">
        <v>14.849686999999999</v>
      </c>
      <c r="Z287" s="61">
        <v>120.42492</v>
      </c>
      <c r="AA287" s="61" t="s">
        <v>182</v>
      </c>
      <c r="AB287" s="61"/>
    </row>
    <row r="288" spans="1:28" s="2" customFormat="1" ht="15">
      <c r="A288" s="61" t="s">
        <v>774</v>
      </c>
      <c r="B288" s="61" t="s">
        <v>926</v>
      </c>
      <c r="C288" s="61" t="s">
        <v>3670</v>
      </c>
      <c r="D288" s="61" t="s">
        <v>7838</v>
      </c>
      <c r="E288" s="61">
        <v>608</v>
      </c>
      <c r="F288" s="61">
        <v>528</v>
      </c>
      <c r="G288" s="61">
        <v>2025</v>
      </c>
      <c r="H288" s="61" t="s">
        <v>3127</v>
      </c>
      <c r="I288" s="61" t="s">
        <v>179</v>
      </c>
      <c r="J288" s="61"/>
      <c r="K288" s="61" t="s">
        <v>2445</v>
      </c>
      <c r="L288" s="61" t="s">
        <v>7952</v>
      </c>
      <c r="M288" s="475">
        <v>45902</v>
      </c>
      <c r="N288" s="475">
        <v>45908</v>
      </c>
      <c r="O288" s="475"/>
      <c r="P288" s="475">
        <v>45908</v>
      </c>
      <c r="Q288" s="475">
        <v>45908</v>
      </c>
      <c r="R288" s="61">
        <f t="shared" si="16"/>
        <v>4</v>
      </c>
      <c r="S288" s="61" t="str">
        <f t="shared" si="17"/>
        <v/>
      </c>
      <c r="T288" s="61">
        <f t="shared" si="19"/>
        <v>1</v>
      </c>
      <c r="U288" s="61">
        <f t="shared" si="18"/>
        <v>1</v>
      </c>
      <c r="V288" s="61" t="s">
        <v>150</v>
      </c>
      <c r="W288" s="61" t="s">
        <v>1078</v>
      </c>
      <c r="X288" s="61" t="s">
        <v>50</v>
      </c>
      <c r="Y288" s="61">
        <v>14.870205</v>
      </c>
      <c r="Z288" s="61">
        <v>120.46484700000001</v>
      </c>
      <c r="AA288" s="61" t="s">
        <v>182</v>
      </c>
      <c r="AB288" s="61"/>
    </row>
    <row r="289" spans="1:28" s="2" customFormat="1" ht="15">
      <c r="A289" s="61" t="s">
        <v>774</v>
      </c>
      <c r="B289" s="61" t="s">
        <v>926</v>
      </c>
      <c r="C289" s="61" t="s">
        <v>3695</v>
      </c>
      <c r="D289" s="61" t="s">
        <v>7838</v>
      </c>
      <c r="E289" s="61">
        <v>703</v>
      </c>
      <c r="F289" s="61">
        <v>726</v>
      </c>
      <c r="G289" s="61">
        <v>2025</v>
      </c>
      <c r="H289" s="61" t="s">
        <v>3127</v>
      </c>
      <c r="I289" s="61" t="s">
        <v>179</v>
      </c>
      <c r="J289" s="61"/>
      <c r="K289" s="61" t="s">
        <v>2445</v>
      </c>
      <c r="L289" s="61" t="s">
        <v>7953</v>
      </c>
      <c r="M289" s="475">
        <v>45902</v>
      </c>
      <c r="N289" s="475">
        <v>45908</v>
      </c>
      <c r="O289" s="61"/>
      <c r="P289" s="475">
        <v>45909</v>
      </c>
      <c r="Q289" s="475">
        <v>45909</v>
      </c>
      <c r="R289" s="61">
        <f t="shared" si="16"/>
        <v>4</v>
      </c>
      <c r="S289" s="61" t="str">
        <f t="shared" si="17"/>
        <v/>
      </c>
      <c r="T289" s="61">
        <f t="shared" si="19"/>
        <v>1</v>
      </c>
      <c r="U289" s="61">
        <f t="shared" si="18"/>
        <v>1</v>
      </c>
      <c r="V289" s="61" t="s">
        <v>150</v>
      </c>
      <c r="W289" s="61" t="s">
        <v>1078</v>
      </c>
      <c r="X289" s="61" t="s">
        <v>50</v>
      </c>
      <c r="Y289" s="61">
        <v>14.866137999999999</v>
      </c>
      <c r="Z289" s="61">
        <v>14.866137999999999</v>
      </c>
      <c r="AA289" s="61" t="s">
        <v>182</v>
      </c>
      <c r="AB289" s="61"/>
    </row>
    <row r="290" spans="1:28" s="2" customFormat="1" ht="15">
      <c r="A290" s="61" t="s">
        <v>774</v>
      </c>
      <c r="B290" s="61" t="s">
        <v>926</v>
      </c>
      <c r="C290" s="61" t="s">
        <v>3697</v>
      </c>
      <c r="D290" s="61" t="s">
        <v>7838</v>
      </c>
      <c r="E290" s="61">
        <v>159</v>
      </c>
      <c r="F290" s="61">
        <v>189</v>
      </c>
      <c r="G290" s="61">
        <v>2025</v>
      </c>
      <c r="H290" s="61" t="s">
        <v>3127</v>
      </c>
      <c r="I290" s="61" t="s">
        <v>179</v>
      </c>
      <c r="J290" s="61"/>
      <c r="K290" s="61" t="s">
        <v>2445</v>
      </c>
      <c r="L290" s="61" t="s">
        <v>7954</v>
      </c>
      <c r="M290" s="475">
        <v>45916</v>
      </c>
      <c r="N290" s="475">
        <v>45917</v>
      </c>
      <c r="O290" s="61"/>
      <c r="P290" s="475">
        <v>45917</v>
      </c>
      <c r="Q290" s="475">
        <v>45918</v>
      </c>
      <c r="R290" s="61">
        <f t="shared" si="16"/>
        <v>1</v>
      </c>
      <c r="S290" s="61" t="str">
        <f t="shared" si="17"/>
        <v/>
      </c>
      <c r="T290" s="61">
        <f t="shared" si="19"/>
        <v>1</v>
      </c>
      <c r="U290" s="61">
        <f t="shared" si="18"/>
        <v>1</v>
      </c>
      <c r="V290" s="61" t="s">
        <v>150</v>
      </c>
      <c r="W290" s="61" t="s">
        <v>1078</v>
      </c>
      <c r="X290" s="61" t="s">
        <v>57</v>
      </c>
      <c r="Y290" s="61">
        <v>14.866828</v>
      </c>
      <c r="Z290" s="61">
        <v>120.46902799999999</v>
      </c>
      <c r="AA290" s="61" t="s">
        <v>182</v>
      </c>
      <c r="AB290" s="61"/>
    </row>
    <row r="291" spans="1:28" s="2" customFormat="1" ht="15">
      <c r="A291" s="61" t="s">
        <v>774</v>
      </c>
      <c r="B291" s="61" t="s">
        <v>926</v>
      </c>
      <c r="C291" s="61" t="s">
        <v>1760</v>
      </c>
      <c r="D291" s="61" t="s">
        <v>7838</v>
      </c>
      <c r="E291" s="61">
        <v>3931</v>
      </c>
      <c r="F291" s="61">
        <v>4214</v>
      </c>
      <c r="G291" s="61">
        <v>2025</v>
      </c>
      <c r="H291" s="61" t="s">
        <v>3127</v>
      </c>
      <c r="I291" s="61" t="s">
        <v>179</v>
      </c>
      <c r="J291" s="61"/>
      <c r="K291" s="61" t="s">
        <v>2445</v>
      </c>
      <c r="L291" s="61" t="s">
        <v>7955</v>
      </c>
      <c r="M291" s="475">
        <v>45909</v>
      </c>
      <c r="N291" s="475">
        <v>45915</v>
      </c>
      <c r="O291" s="475"/>
      <c r="P291" s="475">
        <v>45915</v>
      </c>
      <c r="Q291" s="475">
        <v>45917</v>
      </c>
      <c r="R291" s="61">
        <f t="shared" si="16"/>
        <v>4</v>
      </c>
      <c r="S291" s="61" t="str">
        <f t="shared" si="17"/>
        <v/>
      </c>
      <c r="T291" s="61">
        <f t="shared" si="19"/>
        <v>1</v>
      </c>
      <c r="U291" s="61">
        <f t="shared" si="18"/>
        <v>2</v>
      </c>
      <c r="V291" s="61" t="s">
        <v>150</v>
      </c>
      <c r="W291" s="61" t="s">
        <v>1078</v>
      </c>
      <c r="X291" s="61" t="s">
        <v>50</v>
      </c>
      <c r="Y291" s="61">
        <v>14.894778000000001</v>
      </c>
      <c r="Z291" s="61">
        <v>120.467422</v>
      </c>
      <c r="AA291" s="61" t="s">
        <v>182</v>
      </c>
      <c r="AB291" s="61"/>
    </row>
    <row r="292" spans="1:28" s="2" customFormat="1" ht="15">
      <c r="A292" s="61" t="s">
        <v>774</v>
      </c>
      <c r="B292" s="61" t="s">
        <v>884</v>
      </c>
      <c r="C292" s="61" t="s">
        <v>3758</v>
      </c>
      <c r="D292" s="61" t="s">
        <v>7838</v>
      </c>
      <c r="E292" s="61">
        <v>2922</v>
      </c>
      <c r="F292" s="61">
        <v>3699</v>
      </c>
      <c r="G292" s="61">
        <v>2025</v>
      </c>
      <c r="H292" s="61" t="s">
        <v>3125</v>
      </c>
      <c r="I292" s="61" t="s">
        <v>179</v>
      </c>
      <c r="J292" s="61"/>
      <c r="K292" s="61" t="s">
        <v>2445</v>
      </c>
      <c r="L292" s="61" t="s">
        <v>7956</v>
      </c>
      <c r="M292" s="475">
        <v>45848</v>
      </c>
      <c r="N292" s="475">
        <v>45852</v>
      </c>
      <c r="O292" s="475"/>
      <c r="P292" s="475">
        <v>45853</v>
      </c>
      <c r="Q292" s="475">
        <v>45853</v>
      </c>
      <c r="R292" s="61">
        <f t="shared" si="16"/>
        <v>2</v>
      </c>
      <c r="S292" s="61" t="str">
        <f t="shared" si="17"/>
        <v/>
      </c>
      <c r="T292" s="61">
        <f t="shared" si="19"/>
        <v>1</v>
      </c>
      <c r="U292" s="61">
        <f t="shared" si="18"/>
        <v>1</v>
      </c>
      <c r="V292" s="61" t="s">
        <v>150</v>
      </c>
      <c r="W292" s="61" t="s">
        <v>1078</v>
      </c>
      <c r="X292" s="61" t="s">
        <v>50</v>
      </c>
      <c r="Y292" s="61">
        <v>14.831142</v>
      </c>
      <c r="Z292" s="61">
        <v>120.493398</v>
      </c>
      <c r="AA292" s="61" t="s">
        <v>330</v>
      </c>
      <c r="AB292" s="61"/>
    </row>
    <row r="293" spans="1:28" s="2" customFormat="1" ht="15">
      <c r="A293" s="61" t="s">
        <v>774</v>
      </c>
      <c r="B293" s="61" t="s">
        <v>884</v>
      </c>
      <c r="C293" s="61" t="s">
        <v>3761</v>
      </c>
      <c r="D293" s="61" t="s">
        <v>7838</v>
      </c>
      <c r="E293" s="61">
        <v>2048</v>
      </c>
      <c r="F293" s="61">
        <v>2421</v>
      </c>
      <c r="G293" s="61">
        <v>2025</v>
      </c>
      <c r="H293" s="61" t="s">
        <v>3126</v>
      </c>
      <c r="I293" s="61" t="s">
        <v>179</v>
      </c>
      <c r="J293" s="61"/>
      <c r="K293" s="61" t="s">
        <v>2445</v>
      </c>
      <c r="L293" s="61" t="s">
        <v>7957</v>
      </c>
      <c r="M293" s="475">
        <v>45875</v>
      </c>
      <c r="N293" s="475">
        <v>45880</v>
      </c>
      <c r="O293" s="61"/>
      <c r="P293" s="475">
        <v>45880</v>
      </c>
      <c r="Q293" s="475">
        <v>45882</v>
      </c>
      <c r="R293" s="61">
        <f t="shared" si="16"/>
        <v>3</v>
      </c>
      <c r="S293" s="61" t="str">
        <f t="shared" si="17"/>
        <v/>
      </c>
      <c r="T293" s="61">
        <f t="shared" si="19"/>
        <v>1</v>
      </c>
      <c r="U293" s="61">
        <f t="shared" si="18"/>
        <v>2</v>
      </c>
      <c r="V293" s="61" t="s">
        <v>150</v>
      </c>
      <c r="W293" s="61" t="s">
        <v>1078</v>
      </c>
      <c r="X293" s="61" t="s">
        <v>50</v>
      </c>
      <c r="Y293" s="61" t="s">
        <v>7958</v>
      </c>
      <c r="Z293" s="61" t="s">
        <v>7959</v>
      </c>
      <c r="AA293" s="61" t="s">
        <v>330</v>
      </c>
      <c r="AB293" s="61"/>
    </row>
    <row r="294" spans="1:28" s="2" customFormat="1" ht="15">
      <c r="A294" s="61" t="s">
        <v>774</v>
      </c>
      <c r="B294" s="61" t="s">
        <v>884</v>
      </c>
      <c r="C294" s="61" t="s">
        <v>3770</v>
      </c>
      <c r="D294" s="61" t="s">
        <v>7838</v>
      </c>
      <c r="E294" s="61">
        <v>1923</v>
      </c>
      <c r="F294" s="61">
        <v>2640</v>
      </c>
      <c r="G294" s="61">
        <v>2025</v>
      </c>
      <c r="H294" s="61" t="s">
        <v>3126</v>
      </c>
      <c r="I294" s="61" t="s">
        <v>179</v>
      </c>
      <c r="J294" s="61"/>
      <c r="K294" s="61" t="s">
        <v>2445</v>
      </c>
      <c r="L294" s="61" t="s">
        <v>7960</v>
      </c>
      <c r="M294" s="475">
        <v>45875</v>
      </c>
      <c r="N294" s="475">
        <v>45880</v>
      </c>
      <c r="O294" s="61"/>
      <c r="P294" s="475">
        <v>45880</v>
      </c>
      <c r="Q294" s="475">
        <v>45882</v>
      </c>
      <c r="R294" s="61">
        <f t="shared" si="16"/>
        <v>3</v>
      </c>
      <c r="S294" s="61" t="str">
        <f t="shared" si="17"/>
        <v/>
      </c>
      <c r="T294" s="61">
        <f t="shared" si="19"/>
        <v>1</v>
      </c>
      <c r="U294" s="61">
        <f t="shared" si="18"/>
        <v>2</v>
      </c>
      <c r="V294" s="61" t="s">
        <v>150</v>
      </c>
      <c r="W294" s="61" t="s">
        <v>1078</v>
      </c>
      <c r="X294" s="61" t="s">
        <v>50</v>
      </c>
      <c r="Y294" s="61">
        <v>14.808248000000001</v>
      </c>
      <c r="Z294" s="61">
        <v>120.46199</v>
      </c>
      <c r="AA294" s="61" t="s">
        <v>330</v>
      </c>
      <c r="AB294" s="61"/>
    </row>
    <row r="295" spans="1:28" s="2" customFormat="1" ht="15">
      <c r="A295" s="61" t="s">
        <v>774</v>
      </c>
      <c r="B295" s="61" t="s">
        <v>895</v>
      </c>
      <c r="C295" s="61" t="s">
        <v>3799</v>
      </c>
      <c r="D295" s="61" t="s">
        <v>7838</v>
      </c>
      <c r="E295" s="61">
        <v>14869</v>
      </c>
      <c r="F295" s="61">
        <v>18803</v>
      </c>
      <c r="G295" s="61">
        <v>2025</v>
      </c>
      <c r="H295" s="61" t="s">
        <v>3416</v>
      </c>
      <c r="I295" s="61" t="s">
        <v>19</v>
      </c>
      <c r="J295" s="61"/>
      <c r="K295" s="61" t="s">
        <v>2445</v>
      </c>
      <c r="L295" s="61" t="s">
        <v>7961</v>
      </c>
      <c r="M295" s="475">
        <v>45713</v>
      </c>
      <c r="N295" s="475">
        <v>45719</v>
      </c>
      <c r="O295" s="61"/>
      <c r="P295" s="475">
        <v>45719</v>
      </c>
      <c r="Q295" s="475">
        <v>45719</v>
      </c>
      <c r="R295" s="61">
        <f t="shared" si="16"/>
        <v>4</v>
      </c>
      <c r="S295" s="61" t="str">
        <f t="shared" si="17"/>
        <v/>
      </c>
      <c r="T295" s="61">
        <f t="shared" si="19"/>
        <v>1</v>
      </c>
      <c r="U295" s="61">
        <f t="shared" si="18"/>
        <v>1</v>
      </c>
      <c r="V295" s="61" t="s">
        <v>150</v>
      </c>
      <c r="W295" s="61" t="s">
        <v>1078</v>
      </c>
      <c r="X295" s="61" t="s">
        <v>57</v>
      </c>
      <c r="Y295" s="61">
        <v>14.439159999999999</v>
      </c>
      <c r="Z295" s="61">
        <v>120.48730999999999</v>
      </c>
      <c r="AA295" s="61" t="s">
        <v>182</v>
      </c>
      <c r="AB295" s="61"/>
    </row>
    <row r="296" spans="1:28" s="2" customFormat="1" ht="15">
      <c r="A296" s="61" t="s">
        <v>774</v>
      </c>
      <c r="B296" s="61" t="s">
        <v>884</v>
      </c>
      <c r="C296" s="61" t="s">
        <v>3743</v>
      </c>
      <c r="D296" s="61" t="s">
        <v>7838</v>
      </c>
      <c r="E296" s="61">
        <v>6594</v>
      </c>
      <c r="F296" s="61">
        <v>7840</v>
      </c>
      <c r="G296" s="61">
        <v>2025</v>
      </c>
      <c r="H296" s="61" t="s">
        <v>3128</v>
      </c>
      <c r="I296" s="61" t="s">
        <v>179</v>
      </c>
      <c r="J296" s="61"/>
      <c r="K296" s="61" t="s">
        <v>2445</v>
      </c>
      <c r="L296" s="61" t="s">
        <v>7962</v>
      </c>
      <c r="M296" s="475">
        <v>45938</v>
      </c>
      <c r="N296" s="475">
        <v>45940</v>
      </c>
      <c r="O296" s="61"/>
      <c r="P296" s="475">
        <v>45943</v>
      </c>
      <c r="Q296" s="475">
        <v>45945</v>
      </c>
      <c r="R296" s="61">
        <f t="shared" si="16"/>
        <v>2</v>
      </c>
      <c r="S296" s="61" t="str">
        <f t="shared" si="17"/>
        <v/>
      </c>
      <c r="T296" s="61">
        <f t="shared" si="19"/>
        <v>1</v>
      </c>
      <c r="U296" s="61">
        <f t="shared" si="18"/>
        <v>2</v>
      </c>
      <c r="V296" s="61" t="s">
        <v>150</v>
      </c>
      <c r="W296" s="61" t="s">
        <v>1078</v>
      </c>
      <c r="X296" s="61" t="s">
        <v>57</v>
      </c>
      <c r="Y296" s="61">
        <v>14.862463</v>
      </c>
      <c r="Z296" s="61">
        <v>120.492352</v>
      </c>
      <c r="AA296" s="61" t="s">
        <v>330</v>
      </c>
      <c r="AB296" s="61"/>
    </row>
    <row r="297" spans="1:28" s="2" customFormat="1" ht="15">
      <c r="A297" s="61" t="s">
        <v>774</v>
      </c>
      <c r="B297" s="61" t="s">
        <v>895</v>
      </c>
      <c r="C297" s="61" t="s">
        <v>3809</v>
      </c>
      <c r="D297" s="61" t="s">
        <v>7838</v>
      </c>
      <c r="E297" s="61">
        <v>1517</v>
      </c>
      <c r="F297" s="61">
        <v>1481</v>
      </c>
      <c r="G297" s="61">
        <v>2025</v>
      </c>
      <c r="H297" s="61" t="s">
        <v>3532</v>
      </c>
      <c r="I297" s="61" t="s">
        <v>19</v>
      </c>
      <c r="J297" s="61"/>
      <c r="K297" s="61" t="s">
        <v>2445</v>
      </c>
      <c r="L297" s="61" t="s">
        <v>7963</v>
      </c>
      <c r="M297" s="475">
        <v>45784</v>
      </c>
      <c r="N297" s="475">
        <v>45790</v>
      </c>
      <c r="O297" s="61"/>
      <c r="P297" s="475">
        <v>45790</v>
      </c>
      <c r="Q297" s="475">
        <v>45791</v>
      </c>
      <c r="R297" s="61">
        <f t="shared" si="16"/>
        <v>4</v>
      </c>
      <c r="S297" s="61" t="str">
        <f t="shared" si="17"/>
        <v/>
      </c>
      <c r="T297" s="61">
        <f t="shared" si="19"/>
        <v>1</v>
      </c>
      <c r="U297" s="61">
        <f t="shared" si="18"/>
        <v>1</v>
      </c>
      <c r="V297" s="61" t="s">
        <v>150</v>
      </c>
      <c r="W297" s="61" t="s">
        <v>1078</v>
      </c>
      <c r="X297" s="61" t="s">
        <v>57</v>
      </c>
      <c r="Y297" s="61">
        <v>14.43637</v>
      </c>
      <c r="Z297" s="61">
        <v>120.48644</v>
      </c>
      <c r="AA297" s="61" t="s">
        <v>182</v>
      </c>
      <c r="AB297" s="61"/>
    </row>
    <row r="298" spans="1:28" s="2" customFormat="1" ht="15">
      <c r="A298" s="61" t="s">
        <v>774</v>
      </c>
      <c r="B298" s="61" t="s">
        <v>884</v>
      </c>
      <c r="C298" s="61" t="s">
        <v>3749</v>
      </c>
      <c r="D298" s="61" t="s">
        <v>7838</v>
      </c>
      <c r="E298" s="61">
        <v>8610</v>
      </c>
      <c r="F298" s="61">
        <v>10322</v>
      </c>
      <c r="G298" s="61">
        <v>2025</v>
      </c>
      <c r="H298" s="61" t="s">
        <v>3128</v>
      </c>
      <c r="I298" s="61" t="s">
        <v>179</v>
      </c>
      <c r="J298" s="61"/>
      <c r="K298" s="61" t="s">
        <v>2445</v>
      </c>
      <c r="L298" s="61" t="s">
        <v>7964</v>
      </c>
      <c r="M298" s="475">
        <v>45931</v>
      </c>
      <c r="N298" s="475">
        <v>45936</v>
      </c>
      <c r="O298" s="61"/>
      <c r="P298" s="475">
        <v>45936</v>
      </c>
      <c r="Q298" s="475">
        <v>45940</v>
      </c>
      <c r="R298" s="61">
        <f t="shared" si="16"/>
        <v>3</v>
      </c>
      <c r="S298" s="61" t="str">
        <f t="shared" si="17"/>
        <v/>
      </c>
      <c r="T298" s="61">
        <f t="shared" si="19"/>
        <v>1</v>
      </c>
      <c r="U298" s="61">
        <f t="shared" si="18"/>
        <v>4</v>
      </c>
      <c r="V298" s="61" t="s">
        <v>150</v>
      </c>
      <c r="W298" s="61" t="s">
        <v>1078</v>
      </c>
      <c r="X298" s="61" t="s">
        <v>57</v>
      </c>
      <c r="Y298" s="61">
        <v>14.838380000000001</v>
      </c>
      <c r="Z298" s="61">
        <v>120.481177</v>
      </c>
      <c r="AA298" s="61" t="s">
        <v>404</v>
      </c>
      <c r="AB298" s="61"/>
    </row>
    <row r="299" spans="1:28" s="2" customFormat="1" ht="15">
      <c r="A299" s="61" t="s">
        <v>774</v>
      </c>
      <c r="B299" s="61" t="s">
        <v>884</v>
      </c>
      <c r="C299" s="61" t="s">
        <v>3752</v>
      </c>
      <c r="D299" s="61" t="s">
        <v>7838</v>
      </c>
      <c r="E299" s="61">
        <v>3816</v>
      </c>
      <c r="F299" s="61">
        <v>4544</v>
      </c>
      <c r="G299" s="61">
        <v>2025</v>
      </c>
      <c r="H299" s="61" t="s">
        <v>3128</v>
      </c>
      <c r="I299" s="61" t="s">
        <v>179</v>
      </c>
      <c r="J299" s="61"/>
      <c r="K299" s="61" t="s">
        <v>2445</v>
      </c>
      <c r="L299" s="61" t="s">
        <v>7965</v>
      </c>
      <c r="M299" s="475">
        <v>45931</v>
      </c>
      <c r="N299" s="475">
        <v>45936</v>
      </c>
      <c r="O299" s="61"/>
      <c r="P299" s="475">
        <v>45936</v>
      </c>
      <c r="Q299" s="475">
        <v>45940</v>
      </c>
      <c r="R299" s="61">
        <f t="shared" si="16"/>
        <v>3</v>
      </c>
      <c r="S299" s="61" t="str">
        <f t="shared" si="17"/>
        <v/>
      </c>
      <c r="T299" s="61">
        <f t="shared" si="19"/>
        <v>1</v>
      </c>
      <c r="U299" s="61">
        <f t="shared" si="18"/>
        <v>4</v>
      </c>
      <c r="V299" s="61" t="s">
        <v>150</v>
      </c>
      <c r="W299" s="61" t="s">
        <v>1078</v>
      </c>
      <c r="X299" s="61" t="s">
        <v>57</v>
      </c>
      <c r="Y299" s="118" t="s">
        <v>7966</v>
      </c>
      <c r="Z299" s="61" t="s">
        <v>7967</v>
      </c>
      <c r="AA299" s="61" t="s">
        <v>404</v>
      </c>
      <c r="AB299" s="61"/>
    </row>
    <row r="300" spans="1:28" s="2" customFormat="1" ht="15">
      <c r="A300" s="61" t="s">
        <v>774</v>
      </c>
      <c r="B300" s="61" t="s">
        <v>884</v>
      </c>
      <c r="C300" s="61" t="s">
        <v>3753</v>
      </c>
      <c r="D300" s="61" t="s">
        <v>7838</v>
      </c>
      <c r="E300" s="61">
        <v>2902</v>
      </c>
      <c r="F300" s="61">
        <v>3287</v>
      </c>
      <c r="G300" s="61">
        <v>2025</v>
      </c>
      <c r="H300" s="61" t="s">
        <v>3129</v>
      </c>
      <c r="I300" s="61" t="s">
        <v>179</v>
      </c>
      <c r="J300" s="61"/>
      <c r="K300" s="61" t="s">
        <v>2445</v>
      </c>
      <c r="L300" s="61" t="s">
        <v>7968</v>
      </c>
      <c r="M300" s="475">
        <v>45966</v>
      </c>
      <c r="N300" s="475">
        <v>45967</v>
      </c>
      <c r="O300" s="61"/>
      <c r="P300" s="475">
        <v>45968</v>
      </c>
      <c r="Q300" s="475">
        <v>45972</v>
      </c>
      <c r="R300" s="61">
        <f t="shared" si="16"/>
        <v>1</v>
      </c>
      <c r="S300" s="61" t="str">
        <f t="shared" si="17"/>
        <v/>
      </c>
      <c r="T300" s="61">
        <f t="shared" si="19"/>
        <v>1</v>
      </c>
      <c r="U300" s="61">
        <f t="shared" si="18"/>
        <v>2</v>
      </c>
      <c r="V300" s="61" t="s">
        <v>150</v>
      </c>
      <c r="W300" s="61" t="s">
        <v>1078</v>
      </c>
      <c r="X300" s="61" t="s">
        <v>57</v>
      </c>
      <c r="Y300" s="61">
        <v>14.817308000000001</v>
      </c>
      <c r="Z300" s="61">
        <v>120.39006999999999</v>
      </c>
      <c r="AA300" s="61" t="s">
        <v>404</v>
      </c>
      <c r="AB300" s="61"/>
    </row>
    <row r="301" spans="1:28" s="2" customFormat="1" ht="15">
      <c r="A301" s="61" t="s">
        <v>774</v>
      </c>
      <c r="B301" s="61" t="s">
        <v>884</v>
      </c>
      <c r="C301" s="61" t="s">
        <v>3756</v>
      </c>
      <c r="D301" s="61" t="s">
        <v>7838</v>
      </c>
      <c r="E301" s="61">
        <v>1706</v>
      </c>
      <c r="F301" s="61">
        <v>2025</v>
      </c>
      <c r="G301" s="61">
        <v>2025</v>
      </c>
      <c r="H301" s="61" t="s">
        <v>3128</v>
      </c>
      <c r="I301" s="61" t="s">
        <v>179</v>
      </c>
      <c r="J301" s="61"/>
      <c r="K301" s="61" t="s">
        <v>2445</v>
      </c>
      <c r="L301" s="61" t="s">
        <v>7969</v>
      </c>
      <c r="M301" s="475">
        <v>45945</v>
      </c>
      <c r="N301" s="475">
        <v>45946</v>
      </c>
      <c r="O301" s="61"/>
      <c r="P301" s="475">
        <v>45948</v>
      </c>
      <c r="Q301" s="475">
        <v>45950</v>
      </c>
      <c r="R301" s="61">
        <f t="shared" si="16"/>
        <v>1</v>
      </c>
      <c r="S301" s="61" t="str">
        <f t="shared" si="17"/>
        <v/>
      </c>
      <c r="T301" s="61">
        <f t="shared" si="19"/>
        <v>1</v>
      </c>
      <c r="U301" s="61">
        <f t="shared" si="18"/>
        <v>1</v>
      </c>
      <c r="V301" s="61" t="s">
        <v>150</v>
      </c>
      <c r="W301" s="61" t="s">
        <v>1078</v>
      </c>
      <c r="X301" s="61" t="s">
        <v>57</v>
      </c>
      <c r="Y301" s="61">
        <v>14.836497</v>
      </c>
      <c r="Z301" s="61">
        <v>120.418262</v>
      </c>
      <c r="AA301" s="61" t="s">
        <v>404</v>
      </c>
      <c r="AB301" s="61"/>
    </row>
    <row r="302" spans="1:28" s="2" customFormat="1" ht="15">
      <c r="A302" s="61" t="s">
        <v>774</v>
      </c>
      <c r="B302" s="61" t="s">
        <v>884</v>
      </c>
      <c r="C302" s="61" t="s">
        <v>3760</v>
      </c>
      <c r="D302" s="61" t="s">
        <v>7838</v>
      </c>
      <c r="E302" s="61">
        <v>6129</v>
      </c>
      <c r="F302" s="61">
        <v>6556</v>
      </c>
      <c r="G302" s="61">
        <v>2025</v>
      </c>
      <c r="H302" s="61" t="s">
        <v>3128</v>
      </c>
      <c r="I302" s="61" t="s">
        <v>179</v>
      </c>
      <c r="J302" s="61"/>
      <c r="K302" s="61" t="s">
        <v>2445</v>
      </c>
      <c r="L302" s="61" t="s">
        <v>7970</v>
      </c>
      <c r="M302" s="475">
        <v>45938</v>
      </c>
      <c r="N302" s="475">
        <v>45940</v>
      </c>
      <c r="O302" s="61"/>
      <c r="P302" s="475">
        <v>45943</v>
      </c>
      <c r="Q302" s="475">
        <v>45945</v>
      </c>
      <c r="R302" s="61">
        <f t="shared" si="16"/>
        <v>2</v>
      </c>
      <c r="S302" s="61" t="str">
        <f t="shared" si="17"/>
        <v/>
      </c>
      <c r="T302" s="61">
        <f t="shared" si="19"/>
        <v>1</v>
      </c>
      <c r="U302" s="61">
        <f t="shared" si="18"/>
        <v>2</v>
      </c>
      <c r="V302" s="61" t="s">
        <v>150</v>
      </c>
      <c r="W302" s="61" t="s">
        <v>1078</v>
      </c>
      <c r="X302" s="61" t="s">
        <v>50</v>
      </c>
      <c r="Y302" s="61" t="s">
        <v>7971</v>
      </c>
      <c r="Z302" s="61">
        <v>120.46614</v>
      </c>
      <c r="AA302" s="61" t="s">
        <v>404</v>
      </c>
      <c r="AB302" s="61"/>
    </row>
    <row r="303" spans="1:28" s="2" customFormat="1" ht="15">
      <c r="A303" s="61" t="s">
        <v>774</v>
      </c>
      <c r="B303" s="61" t="s">
        <v>1775</v>
      </c>
      <c r="C303" s="61" t="s">
        <v>1776</v>
      </c>
      <c r="D303" s="61" t="s">
        <v>7838</v>
      </c>
      <c r="E303" s="61">
        <v>5966</v>
      </c>
      <c r="F303" s="61">
        <v>7122</v>
      </c>
      <c r="G303" s="61">
        <v>2025</v>
      </c>
      <c r="H303" s="61" t="s">
        <v>3416</v>
      </c>
      <c r="I303" s="61" t="s">
        <v>19</v>
      </c>
      <c r="J303" s="61"/>
      <c r="K303" s="61" t="s">
        <v>2445</v>
      </c>
      <c r="L303" s="61" t="s">
        <v>7972</v>
      </c>
      <c r="M303" s="475">
        <v>45708</v>
      </c>
      <c r="N303" s="475">
        <v>45712</v>
      </c>
      <c r="O303" s="61"/>
      <c r="P303" s="475">
        <v>45712</v>
      </c>
      <c r="Q303" s="475">
        <v>45716</v>
      </c>
      <c r="R303" s="61">
        <f t="shared" si="16"/>
        <v>2</v>
      </c>
      <c r="S303" s="61" t="str">
        <f t="shared" si="17"/>
        <v/>
      </c>
      <c r="T303" s="61">
        <f t="shared" si="19"/>
        <v>1</v>
      </c>
      <c r="U303" s="61">
        <f t="shared" si="18"/>
        <v>4</v>
      </c>
      <c r="V303" s="61" t="s">
        <v>150</v>
      </c>
      <c r="W303" s="61" t="s">
        <v>1078</v>
      </c>
      <c r="X303" s="61" t="s">
        <v>50</v>
      </c>
      <c r="Y303" s="61">
        <v>14.680300000000001</v>
      </c>
      <c r="Z303" s="61">
        <v>120.27169000000001</v>
      </c>
      <c r="AA303" s="61" t="s">
        <v>330</v>
      </c>
      <c r="AB303" s="61"/>
    </row>
    <row r="304" spans="1:28" s="2" customFormat="1" ht="15">
      <c r="A304" s="61" t="s">
        <v>774</v>
      </c>
      <c r="B304" s="61" t="s">
        <v>1775</v>
      </c>
      <c r="C304" s="61" t="s">
        <v>1056</v>
      </c>
      <c r="D304" s="61" t="s">
        <v>7838</v>
      </c>
      <c r="E304" s="61">
        <v>5511</v>
      </c>
      <c r="F304" s="61">
        <v>7329</v>
      </c>
      <c r="G304" s="61">
        <v>2025</v>
      </c>
      <c r="H304" s="61" t="s">
        <v>3532</v>
      </c>
      <c r="I304" s="61" t="s">
        <v>19</v>
      </c>
      <c r="J304" s="61"/>
      <c r="K304" s="61" t="s">
        <v>2445</v>
      </c>
      <c r="L304" s="61" t="s">
        <v>7973</v>
      </c>
      <c r="M304" s="475">
        <v>45771</v>
      </c>
      <c r="N304" s="475">
        <v>45775</v>
      </c>
      <c r="O304" s="475"/>
      <c r="P304" s="475">
        <v>45775</v>
      </c>
      <c r="Q304" s="475">
        <v>45779</v>
      </c>
      <c r="R304" s="61">
        <f t="shared" si="16"/>
        <v>2</v>
      </c>
      <c r="S304" s="61" t="str">
        <f t="shared" si="17"/>
        <v/>
      </c>
      <c r="T304" s="61">
        <f t="shared" si="19"/>
        <v>1</v>
      </c>
      <c r="U304" s="61">
        <f t="shared" si="18"/>
        <v>4</v>
      </c>
      <c r="V304" s="61" t="s">
        <v>150</v>
      </c>
      <c r="W304" s="61" t="s">
        <v>1078</v>
      </c>
      <c r="X304" s="61" t="s">
        <v>50</v>
      </c>
      <c r="Y304" s="61">
        <v>14.67816</v>
      </c>
      <c r="Z304" s="61">
        <v>120.26571</v>
      </c>
      <c r="AA304" s="61" t="s">
        <v>330</v>
      </c>
      <c r="AB304" s="61"/>
    </row>
    <row r="305" spans="1:28" s="2" customFormat="1" ht="15">
      <c r="A305" s="61" t="s">
        <v>774</v>
      </c>
      <c r="B305" s="61" t="s">
        <v>884</v>
      </c>
      <c r="C305" s="61" t="s">
        <v>3766</v>
      </c>
      <c r="D305" s="61" t="s">
        <v>7838</v>
      </c>
      <c r="E305" s="61">
        <v>1248</v>
      </c>
      <c r="F305" s="61">
        <v>1746</v>
      </c>
      <c r="G305" s="61">
        <v>2025</v>
      </c>
      <c r="H305" s="61" t="s">
        <v>3129</v>
      </c>
      <c r="I305" s="61" t="s">
        <v>179</v>
      </c>
      <c r="J305" s="61"/>
      <c r="K305" s="61" t="s">
        <v>2445</v>
      </c>
      <c r="L305" s="61" t="s">
        <v>7974</v>
      </c>
      <c r="M305" s="475">
        <v>45966</v>
      </c>
      <c r="N305" s="475">
        <v>45967</v>
      </c>
      <c r="O305" s="61"/>
      <c r="P305" s="475">
        <v>45967</v>
      </c>
      <c r="Q305" s="475">
        <v>45972</v>
      </c>
      <c r="R305" s="61">
        <f t="shared" si="16"/>
        <v>1</v>
      </c>
      <c r="S305" s="61" t="str">
        <f t="shared" si="17"/>
        <v/>
      </c>
      <c r="T305" s="61">
        <f t="shared" si="19"/>
        <v>1</v>
      </c>
      <c r="U305" s="61">
        <f t="shared" si="18"/>
        <v>3</v>
      </c>
      <c r="V305" s="61" t="s">
        <v>150</v>
      </c>
      <c r="W305" s="61" t="s">
        <v>1078</v>
      </c>
      <c r="X305" s="61" t="s">
        <v>50</v>
      </c>
      <c r="Y305" s="61">
        <v>14.846653</v>
      </c>
      <c r="Z305" s="61">
        <v>120.38028</v>
      </c>
      <c r="AA305" s="61" t="s">
        <v>404</v>
      </c>
      <c r="AB305" s="61"/>
    </row>
    <row r="306" spans="1:28" s="2" customFormat="1" ht="15">
      <c r="A306" s="61" t="s">
        <v>774</v>
      </c>
      <c r="B306" s="61" t="s">
        <v>884</v>
      </c>
      <c r="C306" s="61" t="s">
        <v>3745</v>
      </c>
      <c r="D306" s="61" t="s">
        <v>7838</v>
      </c>
      <c r="E306" s="61">
        <v>556</v>
      </c>
      <c r="F306" s="61">
        <v>437</v>
      </c>
      <c r="G306" s="61">
        <v>2025</v>
      </c>
      <c r="H306" s="61" t="s">
        <v>3127</v>
      </c>
      <c r="I306" s="61" t="s">
        <v>179</v>
      </c>
      <c r="J306" s="61"/>
      <c r="K306" s="61" t="s">
        <v>2445</v>
      </c>
      <c r="L306" s="61" t="s">
        <v>7975</v>
      </c>
      <c r="M306" s="475">
        <v>45917</v>
      </c>
      <c r="N306" s="475">
        <v>45917</v>
      </c>
      <c r="O306" s="61"/>
      <c r="P306" s="475">
        <v>45917</v>
      </c>
      <c r="Q306" s="475">
        <v>45918</v>
      </c>
      <c r="R306" s="61">
        <f t="shared" si="16"/>
        <v>1</v>
      </c>
      <c r="S306" s="61" t="str">
        <f t="shared" si="17"/>
        <v/>
      </c>
      <c r="T306" s="61">
        <f t="shared" si="19"/>
        <v>1</v>
      </c>
      <c r="U306" s="61">
        <f t="shared" si="18"/>
        <v>1</v>
      </c>
      <c r="V306" s="61" t="s">
        <v>150</v>
      </c>
      <c r="W306" s="61" t="s">
        <v>1078</v>
      </c>
      <c r="X306" s="61" t="s">
        <v>57</v>
      </c>
      <c r="Y306" s="61">
        <v>14.831435000000001</v>
      </c>
      <c r="Z306" s="61">
        <v>120.50914299999999</v>
      </c>
      <c r="AA306" s="61" t="s">
        <v>330</v>
      </c>
      <c r="AB306" s="61"/>
    </row>
    <row r="307" spans="1:28" s="2" customFormat="1" ht="15">
      <c r="A307" s="61" t="s">
        <v>774</v>
      </c>
      <c r="B307" s="61" t="s">
        <v>884</v>
      </c>
      <c r="C307" s="61" t="s">
        <v>3767</v>
      </c>
      <c r="D307" s="61" t="s">
        <v>7838</v>
      </c>
      <c r="E307" s="61">
        <v>2318</v>
      </c>
      <c r="F307" s="61">
        <v>2324</v>
      </c>
      <c r="G307" s="61">
        <v>2025</v>
      </c>
      <c r="H307" s="61" t="s">
        <v>3127</v>
      </c>
      <c r="I307" s="61" t="s">
        <v>179</v>
      </c>
      <c r="J307" s="61"/>
      <c r="K307" s="61" t="s">
        <v>2445</v>
      </c>
      <c r="L307" s="61" t="s">
        <v>7976</v>
      </c>
      <c r="M307" s="475">
        <v>45903</v>
      </c>
      <c r="N307" s="475">
        <v>45908</v>
      </c>
      <c r="O307" s="61"/>
      <c r="P307" s="475">
        <v>45909</v>
      </c>
      <c r="Q307" s="475">
        <v>45909</v>
      </c>
      <c r="R307" s="61">
        <f t="shared" si="16"/>
        <v>3</v>
      </c>
      <c r="S307" s="61" t="str">
        <f t="shared" si="17"/>
        <v/>
      </c>
      <c r="T307" s="61">
        <f t="shared" si="19"/>
        <v>1</v>
      </c>
      <c r="U307" s="61">
        <f t="shared" si="18"/>
        <v>1</v>
      </c>
      <c r="V307" s="61" t="s">
        <v>150</v>
      </c>
      <c r="W307" s="61" t="s">
        <v>1078</v>
      </c>
      <c r="X307" s="61" t="s">
        <v>50</v>
      </c>
      <c r="Y307" s="61">
        <v>14.826650000000001</v>
      </c>
      <c r="Z307" s="61">
        <v>120.50232200000001</v>
      </c>
      <c r="AA307" s="61" t="s">
        <v>330</v>
      </c>
      <c r="AB307" s="61"/>
    </row>
    <row r="308" spans="1:28" s="2" customFormat="1" ht="15">
      <c r="A308" s="61" t="s">
        <v>774</v>
      </c>
      <c r="B308" s="61" t="s">
        <v>891</v>
      </c>
      <c r="C308" s="61" t="s">
        <v>892</v>
      </c>
      <c r="D308" s="61" t="s">
        <v>7838</v>
      </c>
      <c r="E308" s="61">
        <v>2486</v>
      </c>
      <c r="F308" s="61">
        <v>2802</v>
      </c>
      <c r="G308" s="61">
        <v>2025</v>
      </c>
      <c r="H308" s="61" t="s">
        <v>3470</v>
      </c>
      <c r="I308" s="61" t="s">
        <v>179</v>
      </c>
      <c r="J308" s="61"/>
      <c r="K308" s="61" t="s">
        <v>2445</v>
      </c>
      <c r="L308" s="61" t="s">
        <v>7977</v>
      </c>
      <c r="M308" s="475">
        <v>45757</v>
      </c>
      <c r="N308" s="475">
        <v>45758</v>
      </c>
      <c r="O308" s="61"/>
      <c r="P308" s="475">
        <v>45760</v>
      </c>
      <c r="Q308" s="475">
        <v>45761</v>
      </c>
      <c r="R308" s="61">
        <f t="shared" si="16"/>
        <v>1</v>
      </c>
      <c r="S308" s="61" t="str">
        <f t="shared" si="17"/>
        <v/>
      </c>
      <c r="T308" s="61">
        <f t="shared" si="19"/>
        <v>1</v>
      </c>
      <c r="U308" s="61">
        <f t="shared" si="18"/>
        <v>1</v>
      </c>
      <c r="V308" s="61" t="s">
        <v>150</v>
      </c>
      <c r="W308" s="61" t="s">
        <v>1078</v>
      </c>
      <c r="X308" s="61" t="s">
        <v>50</v>
      </c>
      <c r="Y308" s="61">
        <v>14.770106999999999</v>
      </c>
      <c r="Z308" s="61">
        <v>120.44971</v>
      </c>
      <c r="AA308" s="61" t="s">
        <v>182</v>
      </c>
      <c r="AB308" s="61"/>
    </row>
    <row r="309" spans="1:28" s="2" customFormat="1" ht="15">
      <c r="A309" s="61" t="s">
        <v>774</v>
      </c>
      <c r="B309" s="61" t="s">
        <v>891</v>
      </c>
      <c r="C309" s="61" t="s">
        <v>3852</v>
      </c>
      <c r="D309" s="61" t="s">
        <v>7838</v>
      </c>
      <c r="E309" s="61">
        <v>2493</v>
      </c>
      <c r="F309" s="61">
        <v>2511</v>
      </c>
      <c r="G309" s="61">
        <v>2025</v>
      </c>
      <c r="H309" s="61" t="s">
        <v>3689</v>
      </c>
      <c r="I309" s="61" t="s">
        <v>179</v>
      </c>
      <c r="J309" s="61"/>
      <c r="K309" s="61" t="s">
        <v>2445</v>
      </c>
      <c r="L309" s="61" t="s">
        <v>7978</v>
      </c>
      <c r="M309" s="475">
        <v>45826</v>
      </c>
      <c r="N309" s="475">
        <v>45826</v>
      </c>
      <c r="O309" s="61"/>
      <c r="P309" s="475">
        <v>45826</v>
      </c>
      <c r="Q309" s="475">
        <v>45827</v>
      </c>
      <c r="R309" s="61">
        <f t="shared" si="16"/>
        <v>1</v>
      </c>
      <c r="S309" s="61" t="str">
        <f t="shared" si="17"/>
        <v/>
      </c>
      <c r="T309" s="61">
        <f t="shared" si="19"/>
        <v>1</v>
      </c>
      <c r="U309" s="61">
        <f t="shared" si="18"/>
        <v>1</v>
      </c>
      <c r="V309" s="61" t="s">
        <v>150</v>
      </c>
      <c r="W309" s="61" t="s">
        <v>1078</v>
      </c>
      <c r="X309" s="61" t="s">
        <v>50</v>
      </c>
      <c r="Y309" s="61" t="s">
        <v>7979</v>
      </c>
      <c r="Z309" s="61">
        <v>120.50370700000001</v>
      </c>
      <c r="AA309" s="61" t="s">
        <v>182</v>
      </c>
      <c r="AB309" s="61"/>
    </row>
    <row r="310" spans="1:28" s="2" customFormat="1" ht="15">
      <c r="A310" s="61" t="s">
        <v>774</v>
      </c>
      <c r="B310" s="61" t="s">
        <v>891</v>
      </c>
      <c r="C310" s="61" t="s">
        <v>3605</v>
      </c>
      <c r="D310" s="61" t="s">
        <v>7838</v>
      </c>
      <c r="E310" s="61">
        <v>729</v>
      </c>
      <c r="F310" s="61">
        <v>698</v>
      </c>
      <c r="G310" s="61">
        <v>2025</v>
      </c>
      <c r="H310" s="61" t="s">
        <v>3416</v>
      </c>
      <c r="I310" s="61" t="s">
        <v>179</v>
      </c>
      <c r="J310" s="61"/>
      <c r="K310" s="61" t="s">
        <v>2445</v>
      </c>
      <c r="L310" s="61" t="s">
        <v>7980</v>
      </c>
      <c r="M310" s="475">
        <v>45714</v>
      </c>
      <c r="N310" s="475">
        <v>45716</v>
      </c>
      <c r="O310" s="61"/>
      <c r="P310" s="475">
        <v>45716</v>
      </c>
      <c r="Q310" s="475">
        <v>45719</v>
      </c>
      <c r="R310" s="61">
        <f t="shared" si="16"/>
        <v>2</v>
      </c>
      <c r="S310" s="61" t="str">
        <f t="shared" si="17"/>
        <v/>
      </c>
      <c r="T310" s="61">
        <f t="shared" si="19"/>
        <v>1</v>
      </c>
      <c r="U310" s="61">
        <f t="shared" si="18"/>
        <v>1</v>
      </c>
      <c r="V310" s="61" t="s">
        <v>150</v>
      </c>
      <c r="W310" s="61" t="s">
        <v>1078</v>
      </c>
      <c r="X310" s="61" t="s">
        <v>50</v>
      </c>
      <c r="Y310" s="61">
        <v>14.801121999999999</v>
      </c>
      <c r="Z310" s="61">
        <v>120.54033699999999</v>
      </c>
      <c r="AA310" s="61" t="s">
        <v>182</v>
      </c>
      <c r="AB310" s="61"/>
    </row>
    <row r="311" spans="1:28" s="2" customFormat="1" ht="15">
      <c r="A311" s="61" t="s">
        <v>774</v>
      </c>
      <c r="B311" s="61" t="s">
        <v>884</v>
      </c>
      <c r="C311" s="61" t="s">
        <v>3768</v>
      </c>
      <c r="D311" s="61" t="s">
        <v>7838</v>
      </c>
      <c r="E311" s="61">
        <v>896</v>
      </c>
      <c r="F311" s="61">
        <v>896</v>
      </c>
      <c r="G311" s="61">
        <v>2025</v>
      </c>
      <c r="H311" s="61" t="s">
        <v>3127</v>
      </c>
      <c r="I311" s="61" t="s">
        <v>179</v>
      </c>
      <c r="J311" s="61"/>
      <c r="K311" s="61" t="s">
        <v>2445</v>
      </c>
      <c r="L311" s="61" t="s">
        <v>7981</v>
      </c>
      <c r="M311" s="475">
        <v>45903</v>
      </c>
      <c r="N311" s="475">
        <v>45908</v>
      </c>
      <c r="O311" s="61"/>
      <c r="P311" s="475">
        <v>45909</v>
      </c>
      <c r="Q311" s="475">
        <v>45909</v>
      </c>
      <c r="R311" s="61">
        <f t="shared" si="16"/>
        <v>3</v>
      </c>
      <c r="S311" s="61" t="str">
        <f t="shared" si="17"/>
        <v/>
      </c>
      <c r="T311" s="61">
        <f t="shared" si="19"/>
        <v>1</v>
      </c>
      <c r="U311" s="61">
        <f t="shared" si="18"/>
        <v>1</v>
      </c>
      <c r="V311" s="61" t="s">
        <v>150</v>
      </c>
      <c r="W311" s="61" t="s">
        <v>1078</v>
      </c>
      <c r="X311" s="61" t="s">
        <v>57</v>
      </c>
      <c r="Y311" s="61">
        <v>14.831403</v>
      </c>
      <c r="Z311" s="61">
        <v>120.506342</v>
      </c>
      <c r="AA311" s="61" t="s">
        <v>330</v>
      </c>
      <c r="AB311" s="61"/>
    </row>
    <row r="312" spans="1:28" s="2" customFormat="1" ht="15">
      <c r="A312" s="61" t="s">
        <v>774</v>
      </c>
      <c r="B312" s="61" t="s">
        <v>884</v>
      </c>
      <c r="C312" s="61" t="s">
        <v>3740</v>
      </c>
      <c r="D312" s="61" t="s">
        <v>7838</v>
      </c>
      <c r="E312" s="61">
        <v>2175</v>
      </c>
      <c r="F312" s="61">
        <v>2176</v>
      </c>
      <c r="G312" s="61">
        <v>2025</v>
      </c>
      <c r="H312" s="61" t="s">
        <v>3127</v>
      </c>
      <c r="I312" s="61" t="s">
        <v>179</v>
      </c>
      <c r="J312" s="61"/>
      <c r="K312" s="61" t="s">
        <v>2445</v>
      </c>
      <c r="L312" s="61" t="s">
        <v>7982</v>
      </c>
      <c r="M312" s="475">
        <v>45917</v>
      </c>
      <c r="N312" s="475">
        <v>45917</v>
      </c>
      <c r="O312" s="61"/>
      <c r="P312" s="475">
        <v>45917</v>
      </c>
      <c r="Q312" s="475">
        <v>45918</v>
      </c>
      <c r="R312" s="61">
        <f t="shared" si="16"/>
        <v>1</v>
      </c>
      <c r="S312" s="61" t="str">
        <f t="shared" si="17"/>
        <v/>
      </c>
      <c r="T312" s="61">
        <f t="shared" si="19"/>
        <v>1</v>
      </c>
      <c r="U312" s="61">
        <f t="shared" si="18"/>
        <v>1</v>
      </c>
      <c r="V312" s="61" t="s">
        <v>150</v>
      </c>
      <c r="W312" s="61" t="s">
        <v>1078</v>
      </c>
      <c r="X312" s="61" t="s">
        <v>50</v>
      </c>
      <c r="Y312" s="61">
        <v>14.836207999999999</v>
      </c>
      <c r="Z312" s="61">
        <v>120.51737300000001</v>
      </c>
      <c r="AA312" s="61" t="s">
        <v>330</v>
      </c>
      <c r="AB312" s="61"/>
    </row>
    <row r="313" spans="1:28" s="2" customFormat="1" ht="15">
      <c r="A313" s="61" t="s">
        <v>774</v>
      </c>
      <c r="B313" s="61" t="s">
        <v>891</v>
      </c>
      <c r="C313" s="61" t="s">
        <v>3818</v>
      </c>
      <c r="D313" s="61" t="s">
        <v>7838</v>
      </c>
      <c r="E313" s="61">
        <v>1955</v>
      </c>
      <c r="F313" s="61">
        <v>1865</v>
      </c>
      <c r="G313" s="61">
        <v>2025</v>
      </c>
      <c r="H313" s="61" t="s">
        <v>3126</v>
      </c>
      <c r="I313" s="61" t="s">
        <v>179</v>
      </c>
      <c r="J313" s="61"/>
      <c r="K313" s="61" t="s">
        <v>2445</v>
      </c>
      <c r="L313" s="61" t="s">
        <v>7983</v>
      </c>
      <c r="M313" s="475">
        <v>45876</v>
      </c>
      <c r="N313" s="475">
        <v>45880</v>
      </c>
      <c r="O313" s="61"/>
      <c r="P313" s="475">
        <v>45882</v>
      </c>
      <c r="Q313" s="475">
        <v>45882</v>
      </c>
      <c r="R313" s="61">
        <f t="shared" si="16"/>
        <v>2</v>
      </c>
      <c r="S313" s="61" t="str">
        <f t="shared" si="17"/>
        <v/>
      </c>
      <c r="T313" s="61">
        <f t="shared" si="19"/>
        <v>2</v>
      </c>
      <c r="U313" s="61">
        <f t="shared" si="18"/>
        <v>1</v>
      </c>
      <c r="V313" s="61" t="s">
        <v>150</v>
      </c>
      <c r="W313" s="61" t="s">
        <v>1078</v>
      </c>
      <c r="X313" s="61" t="s">
        <v>50</v>
      </c>
      <c r="Y313" s="61">
        <v>14.793803</v>
      </c>
      <c r="Z313" s="61">
        <v>120.535338</v>
      </c>
      <c r="AA313" s="61" t="s">
        <v>182</v>
      </c>
      <c r="AB313" s="61"/>
    </row>
    <row r="314" spans="1:28" s="2" customFormat="1" ht="15">
      <c r="A314" s="61" t="s">
        <v>774</v>
      </c>
      <c r="B314" s="61" t="s">
        <v>891</v>
      </c>
      <c r="C314" s="61" t="s">
        <v>3833</v>
      </c>
      <c r="D314" s="61" t="s">
        <v>7838</v>
      </c>
      <c r="E314" s="61">
        <v>3021</v>
      </c>
      <c r="F314" s="61">
        <v>2975</v>
      </c>
      <c r="G314" s="61"/>
      <c r="H314" s="61"/>
      <c r="I314" s="61" t="s">
        <v>179</v>
      </c>
      <c r="J314" s="61"/>
      <c r="K314" s="61" t="s">
        <v>2445</v>
      </c>
      <c r="L314" s="61"/>
      <c r="M314" s="61"/>
      <c r="N314" s="61"/>
      <c r="O314" s="61"/>
      <c r="P314" s="61"/>
      <c r="Q314" s="61"/>
      <c r="R314" s="61" t="str">
        <f t="shared" si="16"/>
        <v/>
      </c>
      <c r="S314" s="61" t="str">
        <f t="shared" si="17"/>
        <v/>
      </c>
      <c r="T314" s="61" t="str">
        <f t="shared" si="19"/>
        <v/>
      </c>
      <c r="U314" s="61" t="str">
        <f t="shared" si="18"/>
        <v/>
      </c>
      <c r="V314" s="61"/>
      <c r="W314" s="61"/>
      <c r="X314" s="61"/>
      <c r="Y314" s="61"/>
      <c r="Z314" s="61"/>
      <c r="AA314" s="61"/>
      <c r="AB314" s="61"/>
    </row>
    <row r="315" spans="1:28" s="2" customFormat="1" ht="15">
      <c r="A315" s="61" t="s">
        <v>774</v>
      </c>
      <c r="B315" s="61" t="s">
        <v>891</v>
      </c>
      <c r="C315" s="61" t="s">
        <v>1400</v>
      </c>
      <c r="D315" s="61" t="s">
        <v>7838</v>
      </c>
      <c r="E315" s="61">
        <v>690</v>
      </c>
      <c r="F315" s="61">
        <v>530</v>
      </c>
      <c r="G315" s="61"/>
      <c r="H315" s="61"/>
      <c r="I315" s="61" t="s">
        <v>179</v>
      </c>
      <c r="J315" s="61"/>
      <c r="K315" s="61" t="s">
        <v>2445</v>
      </c>
      <c r="L315" s="61"/>
      <c r="M315" s="61"/>
      <c r="N315" s="61"/>
      <c r="O315" s="61"/>
      <c r="P315" s="61"/>
      <c r="Q315" s="61"/>
      <c r="R315" s="61" t="str">
        <f t="shared" si="16"/>
        <v/>
      </c>
      <c r="S315" s="61" t="str">
        <f t="shared" si="17"/>
        <v/>
      </c>
      <c r="T315" s="61" t="str">
        <f t="shared" si="19"/>
        <v/>
      </c>
      <c r="U315" s="61" t="str">
        <f t="shared" si="18"/>
        <v/>
      </c>
      <c r="V315" s="61"/>
      <c r="W315" s="61"/>
      <c r="X315" s="61"/>
      <c r="Y315" s="61"/>
      <c r="Z315" s="61"/>
      <c r="AA315" s="61"/>
      <c r="AB315" s="61"/>
    </row>
    <row r="316" spans="1:28" s="2" customFormat="1" ht="15">
      <c r="A316" s="61" t="s">
        <v>774</v>
      </c>
      <c r="B316" s="61" t="s">
        <v>891</v>
      </c>
      <c r="C316" s="61" t="s">
        <v>3837</v>
      </c>
      <c r="D316" s="61" t="s">
        <v>7838</v>
      </c>
      <c r="E316" s="61">
        <v>4380</v>
      </c>
      <c r="F316" s="61">
        <v>4746</v>
      </c>
      <c r="G316" s="61"/>
      <c r="H316" s="61"/>
      <c r="I316" s="61" t="s">
        <v>179</v>
      </c>
      <c r="J316" s="61"/>
      <c r="K316" s="61" t="s">
        <v>2445</v>
      </c>
      <c r="L316" s="61"/>
      <c r="M316" s="61"/>
      <c r="N316" s="61"/>
      <c r="O316" s="61"/>
      <c r="P316" s="61"/>
      <c r="Q316" s="61"/>
      <c r="R316" s="61" t="str">
        <f t="shared" si="16"/>
        <v/>
      </c>
      <c r="S316" s="61" t="str">
        <f t="shared" si="17"/>
        <v/>
      </c>
      <c r="T316" s="61" t="str">
        <f t="shared" si="19"/>
        <v/>
      </c>
      <c r="U316" s="61" t="str">
        <f t="shared" si="18"/>
        <v/>
      </c>
      <c r="V316" s="61"/>
      <c r="W316" s="61"/>
      <c r="X316" s="61"/>
      <c r="Y316" s="61"/>
      <c r="Z316" s="61"/>
      <c r="AA316" s="61"/>
      <c r="AB316" s="61"/>
    </row>
    <row r="317" spans="1:28" s="2" customFormat="1" ht="15">
      <c r="A317" s="61" t="s">
        <v>774</v>
      </c>
      <c r="B317" s="61" t="s">
        <v>891</v>
      </c>
      <c r="C317" s="61" t="s">
        <v>3840</v>
      </c>
      <c r="D317" s="61" t="s">
        <v>7838</v>
      </c>
      <c r="E317" s="61">
        <v>1164</v>
      </c>
      <c r="F317" s="61">
        <v>927</v>
      </c>
      <c r="G317" s="61"/>
      <c r="H317" s="61"/>
      <c r="I317" s="61" t="s">
        <v>179</v>
      </c>
      <c r="J317" s="61"/>
      <c r="K317" s="61" t="s">
        <v>2445</v>
      </c>
      <c r="L317" s="61"/>
      <c r="M317" s="61"/>
      <c r="N317" s="61"/>
      <c r="O317" s="61"/>
      <c r="P317" s="61"/>
      <c r="Q317" s="61"/>
      <c r="R317" s="61" t="str">
        <f t="shared" si="16"/>
        <v/>
      </c>
      <c r="S317" s="61" t="str">
        <f t="shared" si="17"/>
        <v/>
      </c>
      <c r="T317" s="61" t="str">
        <f t="shared" si="19"/>
        <v/>
      </c>
      <c r="U317" s="61" t="str">
        <f t="shared" si="18"/>
        <v/>
      </c>
      <c r="V317" s="61"/>
      <c r="W317" s="61"/>
      <c r="X317" s="61"/>
      <c r="Y317" s="61"/>
      <c r="Z317" s="61"/>
      <c r="AA317" s="61"/>
      <c r="AB317" s="61"/>
    </row>
    <row r="318" spans="1:28" s="2" customFormat="1" ht="15">
      <c r="A318" s="61" t="s">
        <v>774</v>
      </c>
      <c r="B318" s="61" t="s">
        <v>891</v>
      </c>
      <c r="C318" s="61" t="s">
        <v>3842</v>
      </c>
      <c r="D318" s="61" t="s">
        <v>7838</v>
      </c>
      <c r="E318" s="61">
        <v>2581</v>
      </c>
      <c r="F318" s="61">
        <v>2521</v>
      </c>
      <c r="G318" s="61"/>
      <c r="H318" s="61"/>
      <c r="I318" s="61" t="s">
        <v>179</v>
      </c>
      <c r="J318" s="61"/>
      <c r="K318" s="61" t="s">
        <v>2445</v>
      </c>
      <c r="L318" s="61"/>
      <c r="M318" s="61"/>
      <c r="N318" s="61"/>
      <c r="O318" s="61"/>
      <c r="P318" s="61"/>
      <c r="Q318" s="61"/>
      <c r="R318" s="61" t="str">
        <f t="shared" si="16"/>
        <v/>
      </c>
      <c r="S318" s="61" t="str">
        <f t="shared" si="17"/>
        <v/>
      </c>
      <c r="T318" s="61" t="str">
        <f t="shared" si="19"/>
        <v/>
      </c>
      <c r="U318" s="61" t="str">
        <f t="shared" si="18"/>
        <v/>
      </c>
      <c r="V318" s="61"/>
      <c r="W318" s="61"/>
      <c r="X318" s="61"/>
      <c r="Y318" s="61"/>
      <c r="Z318" s="61"/>
      <c r="AA318" s="61"/>
      <c r="AB318" s="61"/>
    </row>
    <row r="319" spans="1:28" s="2" customFormat="1" ht="15">
      <c r="A319" s="61" t="s">
        <v>774</v>
      </c>
      <c r="B319" s="61" t="s">
        <v>891</v>
      </c>
      <c r="C319" s="61" t="s">
        <v>3843</v>
      </c>
      <c r="D319" s="61" t="s">
        <v>7838</v>
      </c>
      <c r="E319" s="61">
        <v>2250</v>
      </c>
      <c r="F319" s="61">
        <v>2269</v>
      </c>
      <c r="G319" s="61"/>
      <c r="H319" s="61"/>
      <c r="I319" s="61" t="s">
        <v>179</v>
      </c>
      <c r="J319" s="61"/>
      <c r="K319" s="61" t="s">
        <v>2445</v>
      </c>
      <c r="L319" s="61"/>
      <c r="M319" s="61"/>
      <c r="N319" s="61"/>
      <c r="O319" s="61"/>
      <c r="P319" s="61"/>
      <c r="Q319" s="61"/>
      <c r="R319" s="61" t="str">
        <f t="shared" si="16"/>
        <v/>
      </c>
      <c r="S319" s="61" t="str">
        <f t="shared" si="17"/>
        <v/>
      </c>
      <c r="T319" s="61" t="str">
        <f t="shared" si="19"/>
        <v/>
      </c>
      <c r="U319" s="61" t="str">
        <f t="shared" si="18"/>
        <v/>
      </c>
      <c r="V319" s="61"/>
      <c r="W319" s="61"/>
      <c r="X319" s="61"/>
      <c r="Y319" s="61"/>
      <c r="Z319" s="61"/>
      <c r="AA319" s="61"/>
      <c r="AB319" s="61"/>
    </row>
    <row r="320" spans="1:28" s="2" customFormat="1" ht="15">
      <c r="A320" s="61" t="s">
        <v>774</v>
      </c>
      <c r="B320" s="61" t="s">
        <v>891</v>
      </c>
      <c r="C320" s="61" t="s">
        <v>3844</v>
      </c>
      <c r="D320" s="61" t="s">
        <v>7838</v>
      </c>
      <c r="E320" s="61">
        <v>5563</v>
      </c>
      <c r="F320" s="61">
        <v>5612</v>
      </c>
      <c r="G320" s="61"/>
      <c r="H320" s="61"/>
      <c r="I320" s="61" t="s">
        <v>179</v>
      </c>
      <c r="J320" s="61"/>
      <c r="K320" s="61" t="s">
        <v>2445</v>
      </c>
      <c r="L320" s="61"/>
      <c r="M320" s="61"/>
      <c r="N320" s="61"/>
      <c r="O320" s="61"/>
      <c r="P320" s="61"/>
      <c r="Q320" s="61"/>
      <c r="R320" s="61" t="str">
        <f t="shared" si="16"/>
        <v/>
      </c>
      <c r="S320" s="61" t="str">
        <f t="shared" si="17"/>
        <v/>
      </c>
      <c r="T320" s="61" t="str">
        <f t="shared" si="19"/>
        <v/>
      </c>
      <c r="U320" s="61" t="str">
        <f t="shared" si="18"/>
        <v/>
      </c>
      <c r="V320" s="61"/>
      <c r="W320" s="61"/>
      <c r="X320" s="61"/>
      <c r="Y320" s="61"/>
      <c r="Z320" s="61"/>
      <c r="AA320" s="61"/>
      <c r="AB320" s="61"/>
    </row>
    <row r="321" spans="1:28" s="2" customFormat="1" ht="15">
      <c r="A321" s="61" t="s">
        <v>774</v>
      </c>
      <c r="B321" s="61" t="s">
        <v>891</v>
      </c>
      <c r="C321" s="61" t="s">
        <v>3845</v>
      </c>
      <c r="D321" s="61" t="s">
        <v>7838</v>
      </c>
      <c r="E321" s="61">
        <v>1407</v>
      </c>
      <c r="F321" s="61">
        <v>1305</v>
      </c>
      <c r="G321" s="61"/>
      <c r="H321" s="61"/>
      <c r="I321" s="61" t="s">
        <v>179</v>
      </c>
      <c r="J321" s="61"/>
      <c r="K321" s="61" t="s">
        <v>2445</v>
      </c>
      <c r="L321" s="61"/>
      <c r="M321" s="61"/>
      <c r="N321" s="61"/>
      <c r="O321" s="61"/>
      <c r="P321" s="61"/>
      <c r="Q321" s="61"/>
      <c r="R321" s="61" t="str">
        <f t="shared" si="16"/>
        <v/>
      </c>
      <c r="S321" s="61" t="str">
        <f t="shared" si="17"/>
        <v/>
      </c>
      <c r="T321" s="61" t="str">
        <f t="shared" si="19"/>
        <v/>
      </c>
      <c r="U321" s="61" t="str">
        <f t="shared" si="18"/>
        <v/>
      </c>
      <c r="V321" s="61"/>
      <c r="W321" s="61"/>
      <c r="X321" s="61"/>
      <c r="Y321" s="61"/>
      <c r="Z321" s="61"/>
      <c r="AA321" s="61"/>
      <c r="AB321" s="61"/>
    </row>
    <row r="322" spans="1:28" s="2" customFormat="1" ht="15">
      <c r="A322" s="61" t="s">
        <v>774</v>
      </c>
      <c r="B322" s="61" t="s">
        <v>891</v>
      </c>
      <c r="C322" s="61" t="s">
        <v>3820</v>
      </c>
      <c r="D322" s="61" t="s">
        <v>7838</v>
      </c>
      <c r="E322" s="61">
        <v>2835</v>
      </c>
      <c r="F322" s="61">
        <v>3119</v>
      </c>
      <c r="G322" s="61">
        <v>2025</v>
      </c>
      <c r="H322" s="61" t="s">
        <v>3126</v>
      </c>
      <c r="I322" s="61" t="s">
        <v>179</v>
      </c>
      <c r="J322" s="61"/>
      <c r="K322" s="61" t="s">
        <v>2445</v>
      </c>
      <c r="L322" s="61" t="s">
        <v>7984</v>
      </c>
      <c r="M322" s="475">
        <v>45870</v>
      </c>
      <c r="N322" s="475">
        <v>45873</v>
      </c>
      <c r="O322" s="61"/>
      <c r="P322" s="475">
        <v>45874</v>
      </c>
      <c r="Q322" s="475">
        <v>45874</v>
      </c>
      <c r="R322" s="61">
        <f t="shared" ref="R322:R385" si="20">IF(
    OR(ISBLANK(M322), ISBLANK(N322)),
    "",
    MAX(1, IF(
        NETWORKDAYS(M322, N322) &lt;= 0,
        1,
        NETWORKDAYS(M322, N322) - IF(M322 = N322, 0, 1)
    ))
)</f>
        <v>1</v>
      </c>
      <c r="S322" s="61" t="str">
        <f t="shared" ref="S322:S385" si="21">IF(
    OR(ISBLANK(N322), ISBLANK(O322)),
    "",
    MAX(1, IF(
        NETWORKDAYS(N322, O322) &lt;= 0,
        1,
        NETWORKDAYS(N322, O322) - IF(N322 = O322, 0, 1)
    ))
)</f>
        <v/>
      </c>
      <c r="T322" s="61">
        <f t="shared" si="19"/>
        <v>1</v>
      </c>
      <c r="U322" s="61">
        <f t="shared" ref="U322:U385" si="22">IF(
    OR(ISBLANK(P322), ISBLANK(Q322)),
    "",
    MAX(1, IF(
        NETWORKDAYS(P322, Q322) &lt;= 0,
        1,
        NETWORKDAYS(P322, Q322) - IF(P322 = Q322, 0, 1)
    ))
)</f>
        <v>1</v>
      </c>
      <c r="V322" s="61" t="s">
        <v>150</v>
      </c>
      <c r="W322" s="61" t="s">
        <v>1078</v>
      </c>
      <c r="X322" s="61" t="s">
        <v>50</v>
      </c>
      <c r="Y322" s="61">
        <v>14.799147</v>
      </c>
      <c r="Z322" s="61">
        <v>120.529965</v>
      </c>
      <c r="AA322" s="61" t="s">
        <v>182</v>
      </c>
      <c r="AB322" s="474"/>
    </row>
    <row r="323" spans="1:28" s="2" customFormat="1" ht="15">
      <c r="A323" s="61" t="s">
        <v>774</v>
      </c>
      <c r="B323" s="61" t="s">
        <v>891</v>
      </c>
      <c r="C323" s="61" t="s">
        <v>3849</v>
      </c>
      <c r="D323" s="61" t="s">
        <v>7838</v>
      </c>
      <c r="E323" s="61">
        <v>510</v>
      </c>
      <c r="F323" s="61">
        <v>583</v>
      </c>
      <c r="G323" s="61"/>
      <c r="H323" s="61"/>
      <c r="I323" s="61" t="s">
        <v>179</v>
      </c>
      <c r="J323" s="61"/>
      <c r="K323" s="61" t="s">
        <v>2445</v>
      </c>
      <c r="L323" s="61"/>
      <c r="M323" s="61"/>
      <c r="N323" s="61"/>
      <c r="O323" s="61"/>
      <c r="P323" s="61"/>
      <c r="Q323" s="61"/>
      <c r="R323" s="61" t="str">
        <f t="shared" si="20"/>
        <v/>
      </c>
      <c r="S323" s="61" t="str">
        <f t="shared" si="21"/>
        <v/>
      </c>
      <c r="T323" s="61" t="str">
        <f t="shared" ref="T323:T386" si="23">IF(
  OR(A323 = "Nueva_Ecija", A323 = "Zambales"),
  IF(
    OR(ISBLANK(O323), ISBLANK(P323)),
    "",
    MAX(1, IF(
      NETWORKDAYS(O323, P323) &lt;= 0,
      1,
      NETWORKDAYS(O323, P323) - IF(O323 = P323, 0, 1)
    ))
  ),
  IF(
    OR(ISBLANK(N323), ISBLANK(P323)),
    "",
    MAX(1, IF(
      NETWORKDAYS(N323, P323) &lt;= 0,
      1,
      NETWORKDAYS(N323, P323) - IF(N323 = P323, 0, 1)
    ))
  )
)</f>
        <v/>
      </c>
      <c r="U323" s="61" t="str">
        <f t="shared" si="22"/>
        <v/>
      </c>
      <c r="V323" s="61"/>
      <c r="W323" s="61"/>
      <c r="X323" s="61"/>
      <c r="Y323" s="61"/>
      <c r="Z323" s="61"/>
      <c r="AA323" s="61" t="s">
        <v>182</v>
      </c>
      <c r="AB323" s="61"/>
    </row>
    <row r="324" spans="1:28" s="2" customFormat="1" ht="15">
      <c r="A324" s="61" t="s">
        <v>774</v>
      </c>
      <c r="B324" s="61" t="s">
        <v>891</v>
      </c>
      <c r="C324" s="61" t="s">
        <v>3821</v>
      </c>
      <c r="D324" s="61" t="s">
        <v>7838</v>
      </c>
      <c r="E324" s="61">
        <v>1355</v>
      </c>
      <c r="F324" s="61">
        <v>1263</v>
      </c>
      <c r="G324" s="61">
        <v>2025</v>
      </c>
      <c r="H324" s="61" t="s">
        <v>3126</v>
      </c>
      <c r="I324" s="61" t="s">
        <v>179</v>
      </c>
      <c r="J324" s="61"/>
      <c r="K324" s="61" t="s">
        <v>2445</v>
      </c>
      <c r="L324" s="61" t="s">
        <v>7985</v>
      </c>
      <c r="M324" s="475">
        <v>45883</v>
      </c>
      <c r="N324" s="475">
        <v>45887</v>
      </c>
      <c r="O324" s="61"/>
      <c r="P324" s="475">
        <v>45887</v>
      </c>
      <c r="Q324" s="475">
        <v>45887</v>
      </c>
      <c r="R324" s="61">
        <f t="shared" si="20"/>
        <v>2</v>
      </c>
      <c r="S324" s="61" t="str">
        <f t="shared" si="21"/>
        <v/>
      </c>
      <c r="T324" s="61">
        <f t="shared" si="23"/>
        <v>1</v>
      </c>
      <c r="U324" s="61">
        <f t="shared" si="22"/>
        <v>1</v>
      </c>
      <c r="V324" s="61" t="s">
        <v>150</v>
      </c>
      <c r="W324" s="61" t="s">
        <v>1078</v>
      </c>
      <c r="X324" s="61" t="s">
        <v>57</v>
      </c>
      <c r="Y324" s="61">
        <v>14.804273</v>
      </c>
      <c r="Z324" s="61">
        <v>120.53505</v>
      </c>
      <c r="AA324" s="61" t="s">
        <v>182</v>
      </c>
      <c r="AB324" s="61"/>
    </row>
    <row r="325" spans="1:28" s="2" customFormat="1" ht="15">
      <c r="A325" s="61" t="s">
        <v>774</v>
      </c>
      <c r="B325" s="61" t="s">
        <v>891</v>
      </c>
      <c r="C325" s="61" t="s">
        <v>3831</v>
      </c>
      <c r="D325" s="61" t="s">
        <v>7838</v>
      </c>
      <c r="E325" s="61">
        <v>2462</v>
      </c>
      <c r="F325" s="61">
        <v>3019</v>
      </c>
      <c r="G325" s="61">
        <v>2025</v>
      </c>
      <c r="H325" s="61" t="s">
        <v>3129</v>
      </c>
      <c r="I325" s="61" t="s">
        <v>179</v>
      </c>
      <c r="J325" s="61"/>
      <c r="K325" s="61" t="s">
        <v>2445</v>
      </c>
      <c r="L325" s="61" t="s">
        <v>7986</v>
      </c>
      <c r="M325" s="475">
        <v>45967</v>
      </c>
      <c r="N325" s="475">
        <v>45967</v>
      </c>
      <c r="O325" s="61"/>
      <c r="P325" s="475">
        <v>45968</v>
      </c>
      <c r="Q325" s="475">
        <v>45972</v>
      </c>
      <c r="R325" s="61">
        <f t="shared" si="20"/>
        <v>1</v>
      </c>
      <c r="S325" s="61" t="str">
        <f t="shared" si="21"/>
        <v/>
      </c>
      <c r="T325" s="61">
        <f t="shared" si="23"/>
        <v>1</v>
      </c>
      <c r="U325" s="61">
        <f t="shared" si="22"/>
        <v>2</v>
      </c>
      <c r="V325" s="61" t="s">
        <v>150</v>
      </c>
      <c r="W325" s="61" t="s">
        <v>1078</v>
      </c>
      <c r="X325" s="61" t="s">
        <v>57</v>
      </c>
      <c r="Y325" s="61">
        <v>14.812390000000001</v>
      </c>
      <c r="Z325" s="61">
        <v>120.53312</v>
      </c>
      <c r="AA325" s="61" t="s">
        <v>182</v>
      </c>
      <c r="AB325" s="61"/>
    </row>
    <row r="326" spans="1:28" s="2" customFormat="1" ht="15">
      <c r="A326" s="61" t="s">
        <v>774</v>
      </c>
      <c r="B326" s="61" t="s">
        <v>891</v>
      </c>
      <c r="C326" s="61" t="s">
        <v>3857</v>
      </c>
      <c r="D326" s="61" t="s">
        <v>7838</v>
      </c>
      <c r="E326" s="61">
        <v>6856</v>
      </c>
      <c r="F326" s="61">
        <v>8138</v>
      </c>
      <c r="G326" s="61"/>
      <c r="H326" s="61"/>
      <c r="I326" s="61" t="s">
        <v>179</v>
      </c>
      <c r="J326" s="61"/>
      <c r="K326" s="61" t="s">
        <v>2445</v>
      </c>
      <c r="L326" s="61"/>
      <c r="M326" s="61"/>
      <c r="N326" s="61"/>
      <c r="O326" s="61"/>
      <c r="P326" s="61"/>
      <c r="Q326" s="61"/>
      <c r="R326" s="61" t="str">
        <f t="shared" si="20"/>
        <v/>
      </c>
      <c r="S326" s="61" t="str">
        <f t="shared" si="21"/>
        <v/>
      </c>
      <c r="T326" s="61" t="str">
        <f t="shared" si="23"/>
        <v/>
      </c>
      <c r="U326" s="61" t="str">
        <f t="shared" si="22"/>
        <v/>
      </c>
      <c r="V326" s="61"/>
      <c r="W326" s="61"/>
      <c r="X326" s="61"/>
      <c r="Y326" s="61"/>
      <c r="Z326" s="61"/>
      <c r="AA326" s="61"/>
      <c r="AB326" s="61"/>
    </row>
    <row r="327" spans="1:28" s="2" customFormat="1" ht="15">
      <c r="A327" s="61" t="s">
        <v>774</v>
      </c>
      <c r="B327" s="61" t="s">
        <v>891</v>
      </c>
      <c r="C327" s="61" t="s">
        <v>3846</v>
      </c>
      <c r="D327" s="61" t="s">
        <v>7838</v>
      </c>
      <c r="E327" s="61">
        <v>645</v>
      </c>
      <c r="F327" s="61">
        <v>625</v>
      </c>
      <c r="G327" s="61">
        <v>2025</v>
      </c>
      <c r="H327" s="61" t="s">
        <v>3129</v>
      </c>
      <c r="I327" s="61" t="s">
        <v>179</v>
      </c>
      <c r="J327" s="61"/>
      <c r="K327" s="61" t="s">
        <v>2445</v>
      </c>
      <c r="L327" s="61" t="s">
        <v>7987</v>
      </c>
      <c r="M327" s="475">
        <v>45967</v>
      </c>
      <c r="N327" s="475">
        <v>45967</v>
      </c>
      <c r="O327" s="61"/>
      <c r="P327" s="475">
        <v>45968</v>
      </c>
      <c r="Q327" s="475">
        <v>45972</v>
      </c>
      <c r="R327" s="61">
        <f t="shared" si="20"/>
        <v>1</v>
      </c>
      <c r="S327" s="61" t="str">
        <f t="shared" si="21"/>
        <v/>
      </c>
      <c r="T327" s="61">
        <f t="shared" si="23"/>
        <v>1</v>
      </c>
      <c r="U327" s="61">
        <f t="shared" si="22"/>
        <v>2</v>
      </c>
      <c r="V327" s="61" t="s">
        <v>150</v>
      </c>
      <c r="W327" s="61" t="s">
        <v>1078</v>
      </c>
      <c r="X327" s="61" t="s">
        <v>50</v>
      </c>
      <c r="Y327" s="61">
        <v>14.806193</v>
      </c>
      <c r="Z327" s="61">
        <v>120.53386</v>
      </c>
      <c r="AA327" s="61" t="s">
        <v>182</v>
      </c>
      <c r="AB327" s="61"/>
    </row>
    <row r="328" spans="1:28" s="2" customFormat="1" ht="15">
      <c r="A328" s="61" t="s">
        <v>774</v>
      </c>
      <c r="B328" s="61" t="s">
        <v>891</v>
      </c>
      <c r="C328" s="61" t="s">
        <v>1315</v>
      </c>
      <c r="D328" s="61" t="s">
        <v>7838</v>
      </c>
      <c r="E328" s="61">
        <v>2003</v>
      </c>
      <c r="F328" s="61">
        <v>2551</v>
      </c>
      <c r="G328" s="61">
        <v>2025</v>
      </c>
      <c r="H328" s="61" t="s">
        <v>3128</v>
      </c>
      <c r="I328" s="61" t="s">
        <v>179</v>
      </c>
      <c r="J328" s="61"/>
      <c r="K328" s="61" t="s">
        <v>2445</v>
      </c>
      <c r="L328" s="61" t="s">
        <v>7988</v>
      </c>
      <c r="M328" s="475">
        <v>45932</v>
      </c>
      <c r="N328" s="475">
        <v>45936</v>
      </c>
      <c r="O328" s="61"/>
      <c r="P328" s="475">
        <v>45936</v>
      </c>
      <c r="Q328" s="475">
        <v>45940</v>
      </c>
      <c r="R328" s="61">
        <f t="shared" si="20"/>
        <v>2</v>
      </c>
      <c r="S328" s="61" t="str">
        <f t="shared" si="21"/>
        <v/>
      </c>
      <c r="T328" s="61">
        <f t="shared" si="23"/>
        <v>1</v>
      </c>
      <c r="U328" s="61">
        <f t="shared" si="22"/>
        <v>4</v>
      </c>
      <c r="V328" s="61" t="s">
        <v>150</v>
      </c>
      <c r="W328" s="61" t="s">
        <v>1078</v>
      </c>
      <c r="X328" s="61" t="s">
        <v>50</v>
      </c>
      <c r="Y328" s="61">
        <v>14.810553000000001</v>
      </c>
      <c r="Z328" s="61">
        <v>120.519943</v>
      </c>
      <c r="AA328" s="61" t="s">
        <v>182</v>
      </c>
      <c r="AB328" s="61"/>
    </row>
    <row r="329" spans="1:28" s="2" customFormat="1" ht="15">
      <c r="A329" s="61" t="s">
        <v>774</v>
      </c>
      <c r="B329" s="61" t="s">
        <v>891</v>
      </c>
      <c r="C329" s="61" t="s">
        <v>3854</v>
      </c>
      <c r="D329" s="61" t="s">
        <v>7838</v>
      </c>
      <c r="E329" s="61">
        <v>5023</v>
      </c>
      <c r="F329" s="61">
        <v>4928</v>
      </c>
      <c r="G329" s="61">
        <v>2025</v>
      </c>
      <c r="H329" s="61" t="s">
        <v>3128</v>
      </c>
      <c r="I329" s="61" t="s">
        <v>179</v>
      </c>
      <c r="J329" s="61"/>
      <c r="K329" s="61" t="s">
        <v>2445</v>
      </c>
      <c r="L329" s="61" t="s">
        <v>7989</v>
      </c>
      <c r="M329" s="475">
        <v>45932</v>
      </c>
      <c r="N329" s="475">
        <v>45936</v>
      </c>
      <c r="O329" s="61"/>
      <c r="P329" s="475">
        <v>45936</v>
      </c>
      <c r="Q329" s="475">
        <v>45940</v>
      </c>
      <c r="R329" s="61">
        <f t="shared" si="20"/>
        <v>2</v>
      </c>
      <c r="S329" s="61" t="str">
        <f t="shared" si="21"/>
        <v/>
      </c>
      <c r="T329" s="61">
        <f t="shared" si="23"/>
        <v>1</v>
      </c>
      <c r="U329" s="61">
        <f t="shared" si="22"/>
        <v>4</v>
      </c>
      <c r="V329" s="61" t="s">
        <v>150</v>
      </c>
      <c r="W329" s="61" t="s">
        <v>1078</v>
      </c>
      <c r="X329" s="61" t="s">
        <v>50</v>
      </c>
      <c r="Y329" s="61" t="s">
        <v>7990</v>
      </c>
      <c r="Z329" s="61">
        <v>120.525937</v>
      </c>
      <c r="AA329" s="61" t="s">
        <v>182</v>
      </c>
      <c r="AB329" s="61"/>
    </row>
    <row r="330" spans="1:28" s="2" customFormat="1" ht="15">
      <c r="A330" s="61" t="s">
        <v>774</v>
      </c>
      <c r="B330" s="61" t="s">
        <v>891</v>
      </c>
      <c r="C330" s="61" t="s">
        <v>3823</v>
      </c>
      <c r="D330" s="61" t="s">
        <v>7838</v>
      </c>
      <c r="E330" s="61">
        <v>6018</v>
      </c>
      <c r="F330" s="61">
        <v>6378</v>
      </c>
      <c r="G330" s="61">
        <v>2025</v>
      </c>
      <c r="H330" s="61" t="s">
        <v>3127</v>
      </c>
      <c r="I330" s="61" t="s">
        <v>179</v>
      </c>
      <c r="J330" s="61"/>
      <c r="K330" s="61" t="s">
        <v>2445</v>
      </c>
      <c r="L330" s="61" t="s">
        <v>893</v>
      </c>
      <c r="M330" s="475">
        <v>45911</v>
      </c>
      <c r="N330" s="475">
        <v>45915</v>
      </c>
      <c r="O330" s="61"/>
      <c r="P330" s="475">
        <v>45917</v>
      </c>
      <c r="Q330" s="475">
        <v>45917</v>
      </c>
      <c r="R330" s="61">
        <f t="shared" si="20"/>
        <v>2</v>
      </c>
      <c r="S330" s="61" t="str">
        <f t="shared" si="21"/>
        <v/>
      </c>
      <c r="T330" s="61">
        <f t="shared" si="23"/>
        <v>2</v>
      </c>
      <c r="U330" s="61">
        <f t="shared" si="22"/>
        <v>1</v>
      </c>
      <c r="V330" s="61" t="s">
        <v>150</v>
      </c>
      <c r="W330" s="61" t="s">
        <v>1078</v>
      </c>
      <c r="X330" s="61" t="s">
        <v>57</v>
      </c>
      <c r="Y330" s="61">
        <v>14.785220000000001</v>
      </c>
      <c r="Z330" s="61">
        <v>120.47591799999999</v>
      </c>
      <c r="AA330" s="61" t="s">
        <v>182</v>
      </c>
      <c r="AB330" s="61"/>
    </row>
    <row r="331" spans="1:28" s="2" customFormat="1" ht="15">
      <c r="A331" s="61" t="s">
        <v>774</v>
      </c>
      <c r="B331" s="61" t="s">
        <v>861</v>
      </c>
      <c r="C331" s="61" t="s">
        <v>3608</v>
      </c>
      <c r="D331" s="61" t="s">
        <v>7838</v>
      </c>
      <c r="E331" s="61">
        <v>1309</v>
      </c>
      <c r="F331" s="61">
        <v>1146</v>
      </c>
      <c r="G331" s="61">
        <v>2025</v>
      </c>
      <c r="H331" s="61" t="s">
        <v>3458</v>
      </c>
      <c r="I331" s="61" t="s">
        <v>188</v>
      </c>
      <c r="J331" s="61"/>
      <c r="K331" s="61" t="s">
        <v>2445</v>
      </c>
      <c r="L331" s="61" t="s">
        <v>7991</v>
      </c>
      <c r="M331" s="475">
        <v>45694</v>
      </c>
      <c r="N331" s="475">
        <v>45697</v>
      </c>
      <c r="O331" s="61"/>
      <c r="P331" s="475">
        <v>45698</v>
      </c>
      <c r="Q331" s="475">
        <v>45698</v>
      </c>
      <c r="R331" s="61">
        <f t="shared" si="20"/>
        <v>1</v>
      </c>
      <c r="S331" s="61" t="str">
        <f t="shared" si="21"/>
        <v/>
      </c>
      <c r="T331" s="61">
        <f t="shared" si="23"/>
        <v>1</v>
      </c>
      <c r="U331" s="61">
        <f t="shared" si="22"/>
        <v>1</v>
      </c>
      <c r="V331" s="61" t="s">
        <v>150</v>
      </c>
      <c r="W331" s="61" t="s">
        <v>1078</v>
      </c>
      <c r="X331" s="61" t="s">
        <v>50</v>
      </c>
      <c r="Y331" s="61"/>
      <c r="Z331" s="61"/>
      <c r="AA331" s="61" t="s">
        <v>7884</v>
      </c>
      <c r="AB331" s="61"/>
    </row>
    <row r="332" spans="1:28" s="2" customFormat="1" ht="15">
      <c r="A332" s="61" t="s">
        <v>774</v>
      </c>
      <c r="B332" s="61" t="s">
        <v>891</v>
      </c>
      <c r="C332" s="61" t="s">
        <v>3824</v>
      </c>
      <c r="D332" s="61" t="s">
        <v>7838</v>
      </c>
      <c r="E332" s="61">
        <v>1438</v>
      </c>
      <c r="F332" s="61">
        <v>1402</v>
      </c>
      <c r="G332" s="61">
        <v>2025</v>
      </c>
      <c r="H332" s="61" t="s">
        <v>3127</v>
      </c>
      <c r="I332" s="61" t="s">
        <v>179</v>
      </c>
      <c r="J332" s="61"/>
      <c r="K332" s="61" t="s">
        <v>2445</v>
      </c>
      <c r="L332" s="61" t="s">
        <v>893</v>
      </c>
      <c r="M332" s="475">
        <v>45911</v>
      </c>
      <c r="N332" s="475">
        <v>45915</v>
      </c>
      <c r="O332" s="61"/>
      <c r="P332" s="475">
        <v>45917</v>
      </c>
      <c r="Q332" s="475">
        <v>45917</v>
      </c>
      <c r="R332" s="61">
        <f t="shared" si="20"/>
        <v>2</v>
      </c>
      <c r="S332" s="61" t="str">
        <f t="shared" si="21"/>
        <v/>
      </c>
      <c r="T332" s="61">
        <f t="shared" si="23"/>
        <v>2</v>
      </c>
      <c r="U332" s="61">
        <f t="shared" si="22"/>
        <v>1</v>
      </c>
      <c r="V332" s="61" t="s">
        <v>150</v>
      </c>
      <c r="W332" s="61" t="s">
        <v>1078</v>
      </c>
      <c r="X332" s="61" t="s">
        <v>50</v>
      </c>
      <c r="Y332" s="61">
        <v>14.785220000000001</v>
      </c>
      <c r="Z332" s="61">
        <v>120.47591799999999</v>
      </c>
      <c r="AA332" s="61" t="s">
        <v>182</v>
      </c>
      <c r="AB332" s="61"/>
    </row>
    <row r="333" spans="1:28" s="2" customFormat="1" ht="15">
      <c r="A333" s="61" t="s">
        <v>774</v>
      </c>
      <c r="B333" s="61" t="s">
        <v>861</v>
      </c>
      <c r="C333" s="61" t="s">
        <v>862</v>
      </c>
      <c r="D333" s="61" t="s">
        <v>7838</v>
      </c>
      <c r="E333" s="61">
        <v>3956</v>
      </c>
      <c r="F333" s="61">
        <v>5343</v>
      </c>
      <c r="G333" s="61">
        <v>2025</v>
      </c>
      <c r="H333" s="61" t="s">
        <v>3470</v>
      </c>
      <c r="I333" s="61" t="s">
        <v>188</v>
      </c>
      <c r="J333" s="61"/>
      <c r="K333" s="61" t="s">
        <v>2445</v>
      </c>
      <c r="L333" s="61" t="s">
        <v>7992</v>
      </c>
      <c r="M333" s="475">
        <v>45762</v>
      </c>
      <c r="N333" s="475">
        <v>45762</v>
      </c>
      <c r="O333" s="61"/>
      <c r="P333" s="475">
        <v>45762</v>
      </c>
      <c r="Q333" s="475">
        <v>45763</v>
      </c>
      <c r="R333" s="61">
        <f t="shared" si="20"/>
        <v>1</v>
      </c>
      <c r="S333" s="61" t="str">
        <f t="shared" si="21"/>
        <v/>
      </c>
      <c r="T333" s="61">
        <f t="shared" si="23"/>
        <v>1</v>
      </c>
      <c r="U333" s="61">
        <f t="shared" si="22"/>
        <v>1</v>
      </c>
      <c r="V333" s="61" t="s">
        <v>150</v>
      </c>
      <c r="W333" s="61" t="s">
        <v>1078</v>
      </c>
      <c r="X333" s="61" t="s">
        <v>50</v>
      </c>
      <c r="Y333" s="61">
        <v>14.628159999999999</v>
      </c>
      <c r="Z333" s="61">
        <v>120.52930000000001</v>
      </c>
      <c r="AA333" s="61" t="s">
        <v>7884</v>
      </c>
      <c r="AB333" s="61"/>
    </row>
    <row r="334" spans="1:28" s="2" customFormat="1" ht="15">
      <c r="A334" s="61" t="s">
        <v>774</v>
      </c>
      <c r="B334" s="61" t="s">
        <v>861</v>
      </c>
      <c r="C334" s="61" t="s">
        <v>3876</v>
      </c>
      <c r="D334" s="61" t="s">
        <v>7838</v>
      </c>
      <c r="E334" s="61">
        <v>3651</v>
      </c>
      <c r="F334" s="61">
        <v>3763</v>
      </c>
      <c r="G334" s="61">
        <v>2025</v>
      </c>
      <c r="H334" s="61" t="s">
        <v>3689</v>
      </c>
      <c r="I334" s="61" t="s">
        <v>188</v>
      </c>
      <c r="J334" s="61"/>
      <c r="K334" s="61" t="s">
        <v>2445</v>
      </c>
      <c r="L334" s="61" t="s">
        <v>7993</v>
      </c>
      <c r="M334" s="475">
        <v>45819</v>
      </c>
      <c r="N334" s="475">
        <v>45823</v>
      </c>
      <c r="O334" s="61"/>
      <c r="P334" s="475">
        <v>45824</v>
      </c>
      <c r="Q334" s="475">
        <v>45825</v>
      </c>
      <c r="R334" s="61">
        <f t="shared" si="20"/>
        <v>2</v>
      </c>
      <c r="S334" s="61" t="str">
        <f t="shared" si="21"/>
        <v/>
      </c>
      <c r="T334" s="61">
        <f t="shared" si="23"/>
        <v>1</v>
      </c>
      <c r="U334" s="61">
        <f t="shared" si="22"/>
        <v>1</v>
      </c>
      <c r="V334" s="61" t="s">
        <v>150</v>
      </c>
      <c r="W334" s="61" t="s">
        <v>1078</v>
      </c>
      <c r="X334" s="61" t="s">
        <v>50</v>
      </c>
      <c r="Y334" s="61">
        <v>14.61398</v>
      </c>
      <c r="Z334" s="61">
        <v>120.56742</v>
      </c>
      <c r="AA334" s="61" t="s">
        <v>7884</v>
      </c>
      <c r="AB334" s="61"/>
    </row>
    <row r="335" spans="1:28" s="2" customFormat="1" ht="15">
      <c r="A335" s="61" t="s">
        <v>774</v>
      </c>
      <c r="B335" s="61" t="s">
        <v>891</v>
      </c>
      <c r="C335" s="61" t="s">
        <v>3825</v>
      </c>
      <c r="D335" s="61" t="s">
        <v>7838</v>
      </c>
      <c r="E335" s="61">
        <v>501</v>
      </c>
      <c r="F335" s="61">
        <v>491</v>
      </c>
      <c r="G335" s="61">
        <v>2025</v>
      </c>
      <c r="H335" s="61" t="s">
        <v>3127</v>
      </c>
      <c r="I335" s="61" t="s">
        <v>179</v>
      </c>
      <c r="J335" s="61"/>
      <c r="K335" s="61" t="s">
        <v>2445</v>
      </c>
      <c r="L335" s="61" t="s">
        <v>893</v>
      </c>
      <c r="M335" s="475">
        <v>45911</v>
      </c>
      <c r="N335" s="475">
        <v>45915</v>
      </c>
      <c r="O335" s="61"/>
      <c r="P335" s="475">
        <v>45917</v>
      </c>
      <c r="Q335" s="475">
        <v>45917</v>
      </c>
      <c r="R335" s="61">
        <f t="shared" si="20"/>
        <v>2</v>
      </c>
      <c r="S335" s="61" t="str">
        <f t="shared" si="21"/>
        <v/>
      </c>
      <c r="T335" s="61">
        <f t="shared" si="23"/>
        <v>2</v>
      </c>
      <c r="U335" s="61">
        <f t="shared" si="22"/>
        <v>1</v>
      </c>
      <c r="V335" s="61" t="s">
        <v>150</v>
      </c>
      <c r="W335" s="61" t="s">
        <v>1078</v>
      </c>
      <c r="X335" s="61" t="s">
        <v>50</v>
      </c>
      <c r="Y335" s="61">
        <v>14.785220000000001</v>
      </c>
      <c r="Z335" s="61">
        <v>120.47591799999999</v>
      </c>
      <c r="AA335" s="61" t="s">
        <v>182</v>
      </c>
      <c r="AB335" s="61"/>
    </row>
    <row r="336" spans="1:28" s="2" customFormat="1" ht="15">
      <c r="A336" s="61" t="s">
        <v>774</v>
      </c>
      <c r="B336" s="61" t="s">
        <v>861</v>
      </c>
      <c r="C336" s="61" t="s">
        <v>3880</v>
      </c>
      <c r="D336" s="61" t="s">
        <v>7838</v>
      </c>
      <c r="E336" s="61">
        <v>1736</v>
      </c>
      <c r="F336" s="61">
        <v>1974</v>
      </c>
      <c r="G336" s="61">
        <v>2025</v>
      </c>
      <c r="H336" s="61" t="s">
        <v>3416</v>
      </c>
      <c r="I336" s="61" t="s">
        <v>188</v>
      </c>
      <c r="J336" s="61"/>
      <c r="K336" s="61" t="s">
        <v>2445</v>
      </c>
      <c r="L336" s="61" t="s">
        <v>7994</v>
      </c>
      <c r="M336" s="475">
        <v>45728</v>
      </c>
      <c r="N336" s="475">
        <v>45732</v>
      </c>
      <c r="O336" s="61"/>
      <c r="P336" s="475">
        <v>45732</v>
      </c>
      <c r="Q336" s="475">
        <v>45733</v>
      </c>
      <c r="R336" s="61">
        <f t="shared" si="20"/>
        <v>2</v>
      </c>
      <c r="S336" s="61" t="str">
        <f t="shared" si="21"/>
        <v/>
      </c>
      <c r="T336" s="61">
        <f t="shared" si="23"/>
        <v>1</v>
      </c>
      <c r="U336" s="61">
        <f t="shared" si="22"/>
        <v>1</v>
      </c>
      <c r="V336" s="61" t="s">
        <v>150</v>
      </c>
      <c r="W336" s="61" t="s">
        <v>1078</v>
      </c>
      <c r="X336" s="61" t="s">
        <v>50</v>
      </c>
      <c r="Y336" s="61">
        <v>14.591699999999999</v>
      </c>
      <c r="Z336" s="61">
        <v>120.58428000000001</v>
      </c>
      <c r="AA336" s="61" t="s">
        <v>7884</v>
      </c>
      <c r="AB336" s="61"/>
    </row>
    <row r="337" spans="1:28" s="2" customFormat="1" ht="15">
      <c r="A337" s="61" t="s">
        <v>774</v>
      </c>
      <c r="B337" s="61" t="s">
        <v>861</v>
      </c>
      <c r="C337" s="61" t="s">
        <v>3133</v>
      </c>
      <c r="D337" s="61" t="s">
        <v>7838</v>
      </c>
      <c r="E337" s="61">
        <v>4107</v>
      </c>
      <c r="F337" s="61">
        <v>4394</v>
      </c>
      <c r="G337" s="61">
        <v>2025</v>
      </c>
      <c r="H337" s="61" t="s">
        <v>3689</v>
      </c>
      <c r="I337" s="61" t="s">
        <v>188</v>
      </c>
      <c r="J337" s="61"/>
      <c r="K337" s="61" t="s">
        <v>2445</v>
      </c>
      <c r="L337" s="61" t="s">
        <v>7995</v>
      </c>
      <c r="M337" s="475">
        <v>45807</v>
      </c>
      <c r="N337" s="475">
        <v>45809</v>
      </c>
      <c r="O337" s="61"/>
      <c r="P337" s="475">
        <v>45809</v>
      </c>
      <c r="Q337" s="475">
        <v>45810</v>
      </c>
      <c r="R337" s="61">
        <f t="shared" si="20"/>
        <v>1</v>
      </c>
      <c r="S337" s="61" t="str">
        <f t="shared" si="21"/>
        <v/>
      </c>
      <c r="T337" s="61">
        <f t="shared" si="23"/>
        <v>1</v>
      </c>
      <c r="U337" s="61">
        <f t="shared" si="22"/>
        <v>1</v>
      </c>
      <c r="V337" s="61" t="s">
        <v>150</v>
      </c>
      <c r="W337" s="61" t="s">
        <v>1078</v>
      </c>
      <c r="X337" s="61" t="s">
        <v>50</v>
      </c>
      <c r="Y337" s="61">
        <v>14.634919999999999</v>
      </c>
      <c r="Z337" s="61">
        <v>120.57543</v>
      </c>
      <c r="AA337" s="61" t="s">
        <v>7884</v>
      </c>
      <c r="AB337" s="61"/>
    </row>
    <row r="338" spans="1:28" s="2" customFormat="1" ht="15">
      <c r="A338" s="61" t="s">
        <v>774</v>
      </c>
      <c r="B338" s="61" t="s">
        <v>891</v>
      </c>
      <c r="C338" s="61" t="s">
        <v>3827</v>
      </c>
      <c r="D338" s="61" t="s">
        <v>7838</v>
      </c>
      <c r="E338" s="61">
        <v>431</v>
      </c>
      <c r="F338" s="61">
        <v>434</v>
      </c>
      <c r="G338" s="61">
        <v>2025</v>
      </c>
      <c r="H338" s="61" t="s">
        <v>3127</v>
      </c>
      <c r="I338" s="61" t="s">
        <v>179</v>
      </c>
      <c r="J338" s="61"/>
      <c r="K338" s="61" t="s">
        <v>2445</v>
      </c>
      <c r="L338" s="61" t="s">
        <v>893</v>
      </c>
      <c r="M338" s="475">
        <v>45911</v>
      </c>
      <c r="N338" s="475">
        <v>45915</v>
      </c>
      <c r="O338" s="61"/>
      <c r="P338" s="475">
        <v>45917</v>
      </c>
      <c r="Q338" s="475">
        <v>45917</v>
      </c>
      <c r="R338" s="61">
        <f t="shared" si="20"/>
        <v>2</v>
      </c>
      <c r="S338" s="61" t="str">
        <f t="shared" si="21"/>
        <v/>
      </c>
      <c r="T338" s="61">
        <f t="shared" si="23"/>
        <v>2</v>
      </c>
      <c r="U338" s="61">
        <f t="shared" si="22"/>
        <v>1</v>
      </c>
      <c r="V338" s="61" t="s">
        <v>150</v>
      </c>
      <c r="W338" s="61" t="s">
        <v>1078</v>
      </c>
      <c r="X338" s="61" t="s">
        <v>57</v>
      </c>
      <c r="Y338" s="61">
        <v>14.785220000000001</v>
      </c>
      <c r="Z338" s="61">
        <v>120.47591799999999</v>
      </c>
      <c r="AA338" s="61" t="s">
        <v>182</v>
      </c>
      <c r="AB338" s="61"/>
    </row>
    <row r="339" spans="1:28" s="2" customFormat="1" ht="15">
      <c r="A339" s="61" t="s">
        <v>774</v>
      </c>
      <c r="B339" s="61" t="s">
        <v>891</v>
      </c>
      <c r="C339" s="61" t="s">
        <v>3848</v>
      </c>
      <c r="D339" s="61" t="s">
        <v>7838</v>
      </c>
      <c r="E339" s="61">
        <v>1283</v>
      </c>
      <c r="F339" s="61">
        <v>1366</v>
      </c>
      <c r="G339" s="61">
        <v>2025</v>
      </c>
      <c r="H339" s="61" t="s">
        <v>3127</v>
      </c>
      <c r="I339" s="61" t="s">
        <v>179</v>
      </c>
      <c r="J339" s="61"/>
      <c r="K339" s="61" t="s">
        <v>2445</v>
      </c>
      <c r="L339" s="61" t="s">
        <v>7996</v>
      </c>
      <c r="M339" s="475">
        <v>45911</v>
      </c>
      <c r="N339" s="475">
        <v>45915</v>
      </c>
      <c r="O339" s="61"/>
      <c r="P339" s="475">
        <v>45915</v>
      </c>
      <c r="Q339" s="475">
        <v>45917</v>
      </c>
      <c r="R339" s="61">
        <f t="shared" si="20"/>
        <v>2</v>
      </c>
      <c r="S339" s="61" t="str">
        <f t="shared" si="21"/>
        <v/>
      </c>
      <c r="T339" s="61">
        <f t="shared" si="23"/>
        <v>1</v>
      </c>
      <c r="U339" s="61">
        <f t="shared" si="22"/>
        <v>2</v>
      </c>
      <c r="V339" s="61" t="s">
        <v>150</v>
      </c>
      <c r="W339" s="61" t="s">
        <v>1078</v>
      </c>
      <c r="X339" s="61" t="s">
        <v>57</v>
      </c>
      <c r="Y339" s="61">
        <v>14.792937999999999</v>
      </c>
      <c r="Z339" s="61">
        <v>120.457117</v>
      </c>
      <c r="AA339" s="61" t="s">
        <v>182</v>
      </c>
      <c r="AB339" s="61"/>
    </row>
    <row r="340" spans="1:28" s="2" customFormat="1" ht="15">
      <c r="A340" s="61" t="s">
        <v>774</v>
      </c>
      <c r="B340" s="61" t="s">
        <v>891</v>
      </c>
      <c r="C340" s="61" t="s">
        <v>3851</v>
      </c>
      <c r="D340" s="61" t="s">
        <v>7838</v>
      </c>
      <c r="E340" s="61">
        <v>1467</v>
      </c>
      <c r="F340" s="61">
        <v>1632</v>
      </c>
      <c r="G340" s="61">
        <v>2025</v>
      </c>
      <c r="H340" s="61" t="s">
        <v>3127</v>
      </c>
      <c r="I340" s="61" t="s">
        <v>179</v>
      </c>
      <c r="J340" s="61"/>
      <c r="K340" s="61" t="s">
        <v>2445</v>
      </c>
      <c r="L340" s="61" t="s">
        <v>893</v>
      </c>
      <c r="M340" s="475">
        <v>45911</v>
      </c>
      <c r="N340" s="475">
        <v>45915</v>
      </c>
      <c r="O340" s="61"/>
      <c r="P340" s="475">
        <v>45917</v>
      </c>
      <c r="Q340" s="475">
        <v>45917</v>
      </c>
      <c r="R340" s="61">
        <f t="shared" si="20"/>
        <v>2</v>
      </c>
      <c r="S340" s="61" t="str">
        <f t="shared" si="21"/>
        <v/>
      </c>
      <c r="T340" s="61">
        <f t="shared" si="23"/>
        <v>2</v>
      </c>
      <c r="U340" s="61">
        <f t="shared" si="22"/>
        <v>1</v>
      </c>
      <c r="V340" s="61" t="s">
        <v>150</v>
      </c>
      <c r="W340" s="61" t="s">
        <v>1078</v>
      </c>
      <c r="X340" s="61" t="s">
        <v>50</v>
      </c>
      <c r="Y340" s="61">
        <v>14.785220000000001</v>
      </c>
      <c r="Z340" s="61">
        <v>120.47591799999999</v>
      </c>
      <c r="AA340" s="61" t="s">
        <v>182</v>
      </c>
      <c r="AB340" s="61"/>
    </row>
    <row r="341" spans="1:28" s="2" customFormat="1" ht="15">
      <c r="A341" s="61" t="s">
        <v>774</v>
      </c>
      <c r="B341" s="61" t="s">
        <v>917</v>
      </c>
      <c r="C341" s="61" t="s">
        <v>3906</v>
      </c>
      <c r="D341" s="61" t="s">
        <v>7838</v>
      </c>
      <c r="E341" s="61">
        <v>1169</v>
      </c>
      <c r="F341" s="61">
        <v>1314</v>
      </c>
      <c r="G341" s="61">
        <v>2025</v>
      </c>
      <c r="H341" s="61" t="s">
        <v>3126</v>
      </c>
      <c r="I341" s="61" t="s">
        <v>179</v>
      </c>
      <c r="J341" s="61"/>
      <c r="K341" s="61" t="s">
        <v>2445</v>
      </c>
      <c r="L341" s="61" t="s">
        <v>7997</v>
      </c>
      <c r="M341" s="475">
        <v>45877</v>
      </c>
      <c r="N341" s="475">
        <v>45880</v>
      </c>
      <c r="O341" s="61"/>
      <c r="P341" s="475">
        <v>45882</v>
      </c>
      <c r="Q341" s="475">
        <v>45882</v>
      </c>
      <c r="R341" s="61">
        <f t="shared" si="20"/>
        <v>1</v>
      </c>
      <c r="S341" s="61" t="str">
        <f t="shared" si="21"/>
        <v/>
      </c>
      <c r="T341" s="61">
        <f t="shared" si="23"/>
        <v>2</v>
      </c>
      <c r="U341" s="61">
        <f t="shared" si="22"/>
        <v>1</v>
      </c>
      <c r="V341" s="61" t="s">
        <v>150</v>
      </c>
      <c r="W341" s="61" t="s">
        <v>1078</v>
      </c>
      <c r="X341" s="61" t="s">
        <v>50</v>
      </c>
      <c r="Y341" s="61">
        <v>14.767682000000001</v>
      </c>
      <c r="Z341" s="61">
        <v>120.543558</v>
      </c>
      <c r="AA341" s="61" t="s">
        <v>7849</v>
      </c>
      <c r="AB341" s="61"/>
    </row>
    <row r="342" spans="1:28" s="2" customFormat="1" ht="15">
      <c r="A342" s="61" t="s">
        <v>774</v>
      </c>
      <c r="B342" s="61" t="s">
        <v>917</v>
      </c>
      <c r="C342" s="61" t="s">
        <v>3908</v>
      </c>
      <c r="D342" s="61" t="s">
        <v>7838</v>
      </c>
      <c r="E342" s="61">
        <v>3210</v>
      </c>
      <c r="F342" s="61">
        <v>3230</v>
      </c>
      <c r="G342" s="61">
        <v>2025</v>
      </c>
      <c r="H342" s="61" t="s">
        <v>3126</v>
      </c>
      <c r="I342" s="61" t="s">
        <v>179</v>
      </c>
      <c r="J342" s="61"/>
      <c r="K342" s="61" t="s">
        <v>2445</v>
      </c>
      <c r="L342" s="61" t="s">
        <v>7998</v>
      </c>
      <c r="M342" s="475">
        <v>45877</v>
      </c>
      <c r="N342" s="475">
        <v>45880</v>
      </c>
      <c r="O342" s="61"/>
      <c r="P342" s="475">
        <v>45882</v>
      </c>
      <c r="Q342" s="475">
        <v>45882</v>
      </c>
      <c r="R342" s="61">
        <f t="shared" si="20"/>
        <v>1</v>
      </c>
      <c r="S342" s="61" t="str">
        <f t="shared" si="21"/>
        <v/>
      </c>
      <c r="T342" s="61">
        <f t="shared" si="23"/>
        <v>2</v>
      </c>
      <c r="U342" s="61">
        <f t="shared" si="22"/>
        <v>1</v>
      </c>
      <c r="V342" s="61" t="s">
        <v>150</v>
      </c>
      <c r="W342" s="61" t="s">
        <v>1078</v>
      </c>
      <c r="X342" s="61" t="s">
        <v>50</v>
      </c>
      <c r="Y342" s="61">
        <v>14.765055</v>
      </c>
      <c r="Z342" s="61">
        <v>120.542012</v>
      </c>
      <c r="AA342" s="61" t="s">
        <v>7849</v>
      </c>
      <c r="AB342" s="61"/>
    </row>
    <row r="343" spans="1:28" s="2" customFormat="1" ht="15">
      <c r="A343" s="61" t="s">
        <v>774</v>
      </c>
      <c r="B343" s="61" t="s">
        <v>917</v>
      </c>
      <c r="C343" s="61" t="s">
        <v>3911</v>
      </c>
      <c r="D343" s="61" t="s">
        <v>7838</v>
      </c>
      <c r="E343" s="61">
        <v>3926</v>
      </c>
      <c r="F343" s="61">
        <v>4787</v>
      </c>
      <c r="G343" s="61">
        <v>2025</v>
      </c>
      <c r="H343" s="61" t="s">
        <v>3126</v>
      </c>
      <c r="I343" s="61" t="s">
        <v>179</v>
      </c>
      <c r="J343" s="61"/>
      <c r="K343" s="61" t="s">
        <v>2445</v>
      </c>
      <c r="L343" s="61" t="s">
        <v>7999</v>
      </c>
      <c r="M343" s="475">
        <v>45884</v>
      </c>
      <c r="N343" s="475">
        <v>45887</v>
      </c>
      <c r="O343" s="61"/>
      <c r="P343" s="475">
        <v>45887</v>
      </c>
      <c r="Q343" s="475">
        <v>45887</v>
      </c>
      <c r="R343" s="61">
        <f t="shared" si="20"/>
        <v>1</v>
      </c>
      <c r="S343" s="61" t="str">
        <f t="shared" si="21"/>
        <v/>
      </c>
      <c r="T343" s="61">
        <f t="shared" si="23"/>
        <v>1</v>
      </c>
      <c r="U343" s="61">
        <f t="shared" si="22"/>
        <v>1</v>
      </c>
      <c r="V343" s="61" t="s">
        <v>150</v>
      </c>
      <c r="W343" s="61" t="s">
        <v>1078</v>
      </c>
      <c r="X343" s="61" t="s">
        <v>57</v>
      </c>
      <c r="Y343" s="61">
        <v>14.779323</v>
      </c>
      <c r="Z343" s="61">
        <v>120.53888499999999</v>
      </c>
      <c r="AA343" s="61" t="s">
        <v>7849</v>
      </c>
      <c r="AB343" s="61"/>
    </row>
    <row r="344" spans="1:28" s="2" customFormat="1" ht="15">
      <c r="A344" s="61" t="s">
        <v>774</v>
      </c>
      <c r="B344" s="61" t="s">
        <v>917</v>
      </c>
      <c r="C344" s="61" t="s">
        <v>3915</v>
      </c>
      <c r="D344" s="61" t="s">
        <v>7838</v>
      </c>
      <c r="E344" s="61">
        <v>1159</v>
      </c>
      <c r="F344" s="61">
        <v>936</v>
      </c>
      <c r="G344" s="61">
        <v>2025</v>
      </c>
      <c r="H344" s="61" t="s">
        <v>3126</v>
      </c>
      <c r="I344" s="61" t="s">
        <v>179</v>
      </c>
      <c r="J344" s="61"/>
      <c r="K344" s="61" t="s">
        <v>2445</v>
      </c>
      <c r="L344" s="61" t="s">
        <v>8000</v>
      </c>
      <c r="M344" s="475">
        <v>45884</v>
      </c>
      <c r="N344" s="475">
        <v>45887</v>
      </c>
      <c r="O344" s="61"/>
      <c r="P344" s="475">
        <v>45887</v>
      </c>
      <c r="Q344" s="475">
        <v>45887</v>
      </c>
      <c r="R344" s="61">
        <f t="shared" si="20"/>
        <v>1</v>
      </c>
      <c r="S344" s="61" t="str">
        <f t="shared" si="21"/>
        <v/>
      </c>
      <c r="T344" s="61">
        <f t="shared" si="23"/>
        <v>1</v>
      </c>
      <c r="U344" s="61">
        <f t="shared" si="22"/>
        <v>1</v>
      </c>
      <c r="V344" s="61" t="s">
        <v>150</v>
      </c>
      <c r="W344" s="61" t="s">
        <v>1078</v>
      </c>
      <c r="X344" s="61" t="s">
        <v>57</v>
      </c>
      <c r="Y344" s="61">
        <v>14.771032999999999</v>
      </c>
      <c r="Z344" s="61">
        <v>120.541922</v>
      </c>
      <c r="AA344" s="61" t="s">
        <v>7849</v>
      </c>
      <c r="AB344" s="61"/>
    </row>
    <row r="345" spans="1:28" s="2" customFormat="1" ht="15">
      <c r="A345" s="61" t="s">
        <v>774</v>
      </c>
      <c r="B345" s="61" t="s">
        <v>861</v>
      </c>
      <c r="C345" s="61" t="s">
        <v>1051</v>
      </c>
      <c r="D345" s="61" t="s">
        <v>7838</v>
      </c>
      <c r="E345" s="61">
        <v>1587</v>
      </c>
      <c r="F345" s="61">
        <v>1707</v>
      </c>
      <c r="G345" s="61"/>
      <c r="H345" s="61"/>
      <c r="I345" s="61" t="s">
        <v>188</v>
      </c>
      <c r="J345" s="61"/>
      <c r="K345" s="61" t="s">
        <v>2445</v>
      </c>
      <c r="L345" s="61"/>
      <c r="M345" s="61"/>
      <c r="N345" s="61"/>
      <c r="O345" s="61"/>
      <c r="P345" s="61"/>
      <c r="Q345" s="61"/>
      <c r="R345" s="61" t="str">
        <f t="shared" si="20"/>
        <v/>
      </c>
      <c r="S345" s="61" t="str">
        <f t="shared" si="21"/>
        <v/>
      </c>
      <c r="T345" s="61" t="str">
        <f t="shared" si="23"/>
        <v/>
      </c>
      <c r="U345" s="61" t="str">
        <f t="shared" si="22"/>
        <v/>
      </c>
      <c r="V345" s="61"/>
      <c r="W345" s="61"/>
      <c r="X345" s="61"/>
      <c r="Y345" s="61"/>
      <c r="Z345" s="61"/>
      <c r="AA345" s="61"/>
      <c r="AB345" s="61"/>
    </row>
    <row r="346" spans="1:28" s="2" customFormat="1" ht="15">
      <c r="A346" s="61" t="s">
        <v>774</v>
      </c>
      <c r="B346" s="61" t="s">
        <v>861</v>
      </c>
      <c r="C346" s="61" t="s">
        <v>3868</v>
      </c>
      <c r="D346" s="61" t="s">
        <v>7838</v>
      </c>
      <c r="E346" s="61">
        <v>2745</v>
      </c>
      <c r="F346" s="61">
        <v>3069</v>
      </c>
      <c r="G346" s="61"/>
      <c r="H346" s="61"/>
      <c r="I346" s="61" t="s">
        <v>188</v>
      </c>
      <c r="J346" s="61"/>
      <c r="K346" s="61" t="s">
        <v>2445</v>
      </c>
      <c r="L346" s="61"/>
      <c r="M346" s="61"/>
      <c r="N346" s="61"/>
      <c r="O346" s="61"/>
      <c r="P346" s="61"/>
      <c r="Q346" s="61"/>
      <c r="R346" s="61" t="str">
        <f t="shared" si="20"/>
        <v/>
      </c>
      <c r="S346" s="61" t="str">
        <f t="shared" si="21"/>
        <v/>
      </c>
      <c r="T346" s="61" t="str">
        <f t="shared" si="23"/>
        <v/>
      </c>
      <c r="U346" s="61" t="str">
        <f t="shared" si="22"/>
        <v/>
      </c>
      <c r="V346" s="61"/>
      <c r="W346" s="61"/>
      <c r="X346" s="61"/>
      <c r="Y346" s="61"/>
      <c r="Z346" s="61"/>
      <c r="AA346" s="61"/>
      <c r="AB346" s="61"/>
    </row>
    <row r="347" spans="1:28" s="2" customFormat="1" ht="15">
      <c r="A347" s="61" t="s">
        <v>774</v>
      </c>
      <c r="B347" s="61" t="s">
        <v>861</v>
      </c>
      <c r="C347" s="61" t="s">
        <v>3869</v>
      </c>
      <c r="D347" s="61" t="s">
        <v>7838</v>
      </c>
      <c r="E347" s="61">
        <v>6297</v>
      </c>
      <c r="F347" s="61">
        <v>8056</v>
      </c>
      <c r="G347" s="61"/>
      <c r="H347" s="61"/>
      <c r="I347" s="61" t="s">
        <v>188</v>
      </c>
      <c r="J347" s="61"/>
      <c r="K347" s="61" t="s">
        <v>2445</v>
      </c>
      <c r="L347" s="61"/>
      <c r="M347" s="61"/>
      <c r="N347" s="61"/>
      <c r="O347" s="61"/>
      <c r="P347" s="61"/>
      <c r="Q347" s="61"/>
      <c r="R347" s="61" t="str">
        <f t="shared" si="20"/>
        <v/>
      </c>
      <c r="S347" s="61" t="str">
        <f t="shared" si="21"/>
        <v/>
      </c>
      <c r="T347" s="61" t="str">
        <f t="shared" si="23"/>
        <v/>
      </c>
      <c r="U347" s="61" t="str">
        <f t="shared" si="22"/>
        <v/>
      </c>
      <c r="V347" s="61"/>
      <c r="W347" s="61"/>
      <c r="X347" s="61"/>
      <c r="Y347" s="61"/>
      <c r="Z347" s="61"/>
      <c r="AA347" s="61"/>
      <c r="AB347" s="61"/>
    </row>
    <row r="348" spans="1:28" s="2" customFormat="1" ht="15">
      <c r="A348" s="61" t="s">
        <v>774</v>
      </c>
      <c r="B348" s="61" t="s">
        <v>895</v>
      </c>
      <c r="C348" s="61" t="s">
        <v>3801</v>
      </c>
      <c r="D348" s="61" t="s">
        <v>7838</v>
      </c>
      <c r="E348" s="61">
        <v>4581</v>
      </c>
      <c r="F348" s="61">
        <v>4781</v>
      </c>
      <c r="G348" s="61">
        <v>2025</v>
      </c>
      <c r="H348" s="61" t="s">
        <v>3125</v>
      </c>
      <c r="I348" s="61" t="s">
        <v>19</v>
      </c>
      <c r="J348" s="61"/>
      <c r="K348" s="61" t="s">
        <v>2445</v>
      </c>
      <c r="L348" s="61" t="s">
        <v>8001</v>
      </c>
      <c r="M348" s="475">
        <v>45847</v>
      </c>
      <c r="N348" s="475">
        <v>45852</v>
      </c>
      <c r="O348" s="61"/>
      <c r="P348" s="475">
        <v>45853</v>
      </c>
      <c r="Q348" s="475">
        <v>45855</v>
      </c>
      <c r="R348" s="61">
        <f t="shared" si="20"/>
        <v>3</v>
      </c>
      <c r="S348" s="61" t="str">
        <f t="shared" si="21"/>
        <v/>
      </c>
      <c r="T348" s="61">
        <f t="shared" si="23"/>
        <v>1</v>
      </c>
      <c r="U348" s="61">
        <f t="shared" si="22"/>
        <v>2</v>
      </c>
      <c r="V348" s="61" t="s">
        <v>150</v>
      </c>
      <c r="W348" s="61" t="s">
        <v>4</v>
      </c>
      <c r="X348" s="61" t="s">
        <v>50</v>
      </c>
      <c r="Y348" s="61">
        <v>14.43722</v>
      </c>
      <c r="Z348" s="61">
        <v>120.52477</v>
      </c>
      <c r="AA348" s="61" t="s">
        <v>182</v>
      </c>
      <c r="AB348" s="61"/>
    </row>
    <row r="349" spans="1:28" s="2" customFormat="1" ht="15">
      <c r="A349" s="61" t="s">
        <v>774</v>
      </c>
      <c r="B349" s="61" t="s">
        <v>861</v>
      </c>
      <c r="C349" s="61" t="s">
        <v>3873</v>
      </c>
      <c r="D349" s="61" t="s">
        <v>7838</v>
      </c>
      <c r="E349" s="61">
        <v>1113</v>
      </c>
      <c r="F349" s="61">
        <v>1289</v>
      </c>
      <c r="G349" s="61"/>
      <c r="H349" s="61"/>
      <c r="I349" s="61" t="s">
        <v>188</v>
      </c>
      <c r="J349" s="61"/>
      <c r="K349" s="61" t="s">
        <v>2445</v>
      </c>
      <c r="L349" s="61"/>
      <c r="M349" s="61"/>
      <c r="N349" s="61"/>
      <c r="O349" s="61"/>
      <c r="P349" s="475"/>
      <c r="Q349" s="61"/>
      <c r="R349" s="61" t="str">
        <f t="shared" si="20"/>
        <v/>
      </c>
      <c r="S349" s="61" t="str">
        <f t="shared" si="21"/>
        <v/>
      </c>
      <c r="T349" s="61" t="str">
        <f t="shared" si="23"/>
        <v/>
      </c>
      <c r="U349" s="61" t="str">
        <f t="shared" si="22"/>
        <v/>
      </c>
      <c r="V349" s="61"/>
      <c r="W349" s="61"/>
      <c r="X349" s="61"/>
      <c r="Y349" s="61"/>
      <c r="Z349" s="61"/>
      <c r="AA349" s="61"/>
      <c r="AB349" s="61"/>
    </row>
    <row r="350" spans="1:28" s="2" customFormat="1" ht="15">
      <c r="A350" s="61" t="s">
        <v>774</v>
      </c>
      <c r="B350" s="61" t="s">
        <v>895</v>
      </c>
      <c r="C350" s="61" t="s">
        <v>3812</v>
      </c>
      <c r="D350" s="61" t="s">
        <v>7838</v>
      </c>
      <c r="E350" s="61">
        <v>6221</v>
      </c>
      <c r="F350" s="61">
        <v>7267</v>
      </c>
      <c r="G350" s="61">
        <v>2025</v>
      </c>
      <c r="H350" s="61" t="s">
        <v>3125</v>
      </c>
      <c r="I350" s="61" t="s">
        <v>19</v>
      </c>
      <c r="J350" s="61"/>
      <c r="K350" s="61" t="s">
        <v>2445</v>
      </c>
      <c r="L350" s="61" t="s">
        <v>8002</v>
      </c>
      <c r="M350" s="475">
        <v>45847</v>
      </c>
      <c r="N350" s="475">
        <v>45852</v>
      </c>
      <c r="O350" s="61"/>
      <c r="P350" s="475">
        <v>45853</v>
      </c>
      <c r="Q350" s="475">
        <v>45855</v>
      </c>
      <c r="R350" s="61">
        <f t="shared" si="20"/>
        <v>3</v>
      </c>
      <c r="S350" s="61" t="str">
        <f t="shared" si="21"/>
        <v/>
      </c>
      <c r="T350" s="61">
        <f t="shared" si="23"/>
        <v>1</v>
      </c>
      <c r="U350" s="61">
        <f t="shared" si="22"/>
        <v>2</v>
      </c>
      <c r="V350" s="61" t="s">
        <v>150</v>
      </c>
      <c r="W350" s="61" t="s">
        <v>4</v>
      </c>
      <c r="X350" s="61" t="s">
        <v>50</v>
      </c>
      <c r="Y350" s="61">
        <v>14.430070000000001</v>
      </c>
      <c r="Z350" s="61">
        <v>120.52041</v>
      </c>
      <c r="AA350" s="61" t="s">
        <v>182</v>
      </c>
      <c r="AB350" s="61"/>
    </row>
    <row r="351" spans="1:28" s="2" customFormat="1" ht="15">
      <c r="A351" s="61" t="s">
        <v>774</v>
      </c>
      <c r="B351" s="61" t="s">
        <v>861</v>
      </c>
      <c r="C351" s="61" t="s">
        <v>3875</v>
      </c>
      <c r="D351" s="61" t="s">
        <v>7838</v>
      </c>
      <c r="E351" s="61">
        <v>2696</v>
      </c>
      <c r="F351" s="61">
        <v>3053</v>
      </c>
      <c r="G351" s="61"/>
      <c r="H351" s="61"/>
      <c r="I351" s="61" t="s">
        <v>188</v>
      </c>
      <c r="J351" s="61"/>
      <c r="K351" s="61" t="s">
        <v>2445</v>
      </c>
      <c r="L351" s="61"/>
      <c r="M351" s="61"/>
      <c r="N351" s="61"/>
      <c r="O351" s="61"/>
      <c r="P351" s="61"/>
      <c r="Q351" s="61"/>
      <c r="R351" s="61" t="str">
        <f t="shared" si="20"/>
        <v/>
      </c>
      <c r="S351" s="61" t="str">
        <f t="shared" si="21"/>
        <v/>
      </c>
      <c r="T351" s="61" t="str">
        <f t="shared" si="23"/>
        <v/>
      </c>
      <c r="U351" s="61" t="str">
        <f t="shared" si="22"/>
        <v/>
      </c>
      <c r="V351" s="61"/>
      <c r="W351" s="61"/>
      <c r="X351" s="61"/>
      <c r="Y351" s="61"/>
      <c r="Z351" s="61"/>
      <c r="AA351" s="61"/>
      <c r="AB351" s="61"/>
    </row>
    <row r="352" spans="1:28" s="2" customFormat="1" ht="15">
      <c r="A352" s="61" t="s">
        <v>774</v>
      </c>
      <c r="B352" s="61" t="s">
        <v>895</v>
      </c>
      <c r="C352" s="61" t="s">
        <v>900</v>
      </c>
      <c r="D352" s="61" t="s">
        <v>7838</v>
      </c>
      <c r="E352" s="61">
        <v>12286</v>
      </c>
      <c r="F352" s="61">
        <v>15820</v>
      </c>
      <c r="G352" s="61">
        <v>2025</v>
      </c>
      <c r="H352" s="61" t="s">
        <v>3128</v>
      </c>
      <c r="I352" s="61" t="s">
        <v>19</v>
      </c>
      <c r="J352" s="61"/>
      <c r="K352" s="61" t="s">
        <v>2445</v>
      </c>
      <c r="L352" s="61" t="s">
        <v>8003</v>
      </c>
      <c r="M352" s="475">
        <v>45946</v>
      </c>
      <c r="N352" s="475">
        <v>45947</v>
      </c>
      <c r="O352" s="61"/>
      <c r="P352" s="475">
        <v>45948</v>
      </c>
      <c r="Q352" s="475">
        <v>45950</v>
      </c>
      <c r="R352" s="61">
        <f t="shared" si="20"/>
        <v>1</v>
      </c>
      <c r="S352" s="61" t="str">
        <f t="shared" si="21"/>
        <v/>
      </c>
      <c r="T352" s="61">
        <f t="shared" si="23"/>
        <v>1</v>
      </c>
      <c r="U352" s="61">
        <f t="shared" si="22"/>
        <v>1</v>
      </c>
      <c r="V352" s="61" t="s">
        <v>150</v>
      </c>
      <c r="W352" s="61" t="s">
        <v>4</v>
      </c>
      <c r="X352" s="61" t="s">
        <v>50</v>
      </c>
      <c r="Y352" s="61">
        <v>14.436820000000001</v>
      </c>
      <c r="Z352" s="61">
        <v>120.46634</v>
      </c>
      <c r="AA352" s="61" t="s">
        <v>182</v>
      </c>
      <c r="AB352" s="61"/>
    </row>
    <row r="353" spans="1:28" s="2" customFormat="1" ht="15">
      <c r="A353" s="61" t="s">
        <v>774</v>
      </c>
      <c r="B353" s="61" t="s">
        <v>895</v>
      </c>
      <c r="C353" s="61" t="s">
        <v>3797</v>
      </c>
      <c r="D353" s="61" t="s">
        <v>7838</v>
      </c>
      <c r="E353" s="61">
        <v>1837</v>
      </c>
      <c r="F353" s="61">
        <v>2663</v>
      </c>
      <c r="G353" s="61">
        <v>2025</v>
      </c>
      <c r="H353" s="61" t="s">
        <v>3128</v>
      </c>
      <c r="I353" s="61" t="s">
        <v>19</v>
      </c>
      <c r="J353" s="61"/>
      <c r="K353" s="61" t="s">
        <v>2445</v>
      </c>
      <c r="L353" s="61" t="s">
        <v>8004</v>
      </c>
      <c r="M353" s="475">
        <v>45931</v>
      </c>
      <c r="N353" s="475">
        <v>45936</v>
      </c>
      <c r="O353" s="61"/>
      <c r="P353" s="475">
        <v>45936</v>
      </c>
      <c r="Q353" s="475">
        <v>45940</v>
      </c>
      <c r="R353" s="61">
        <f t="shared" si="20"/>
        <v>3</v>
      </c>
      <c r="S353" s="61" t="str">
        <f t="shared" si="21"/>
        <v/>
      </c>
      <c r="T353" s="61">
        <f t="shared" si="23"/>
        <v>1</v>
      </c>
      <c r="U353" s="61">
        <f t="shared" si="22"/>
        <v>4</v>
      </c>
      <c r="V353" s="61" t="s">
        <v>150</v>
      </c>
      <c r="W353" s="61" t="s">
        <v>4</v>
      </c>
      <c r="X353" s="61" t="s">
        <v>62</v>
      </c>
      <c r="Y353" s="61">
        <v>14.44492</v>
      </c>
      <c r="Z353" s="61">
        <v>120.45255</v>
      </c>
      <c r="AA353" s="61" t="s">
        <v>182</v>
      </c>
      <c r="AB353" s="61"/>
    </row>
    <row r="354" spans="1:28" s="2" customFormat="1" ht="15">
      <c r="A354" s="61" t="s">
        <v>774</v>
      </c>
      <c r="B354" s="61" t="s">
        <v>895</v>
      </c>
      <c r="C354" s="61" t="s">
        <v>932</v>
      </c>
      <c r="D354" s="61" t="s">
        <v>7838</v>
      </c>
      <c r="E354" s="61">
        <v>4910</v>
      </c>
      <c r="F354" s="61">
        <v>4939</v>
      </c>
      <c r="G354" s="61">
        <v>2025</v>
      </c>
      <c r="H354" s="61" t="s">
        <v>3127</v>
      </c>
      <c r="I354" s="61" t="s">
        <v>19</v>
      </c>
      <c r="J354" s="61"/>
      <c r="K354" s="61" t="s">
        <v>2445</v>
      </c>
      <c r="L354" s="61" t="s">
        <v>8005</v>
      </c>
      <c r="M354" s="475">
        <v>45909</v>
      </c>
      <c r="N354" s="475">
        <v>45915</v>
      </c>
      <c r="O354" s="61"/>
      <c r="P354" s="475">
        <v>45915</v>
      </c>
      <c r="Q354" s="475">
        <v>45917</v>
      </c>
      <c r="R354" s="61">
        <f t="shared" si="20"/>
        <v>4</v>
      </c>
      <c r="S354" s="61" t="str">
        <f t="shared" si="21"/>
        <v/>
      </c>
      <c r="T354" s="61">
        <f t="shared" si="23"/>
        <v>1</v>
      </c>
      <c r="U354" s="61">
        <f t="shared" si="22"/>
        <v>2</v>
      </c>
      <c r="V354" s="61" t="s">
        <v>150</v>
      </c>
      <c r="W354" s="61" t="s">
        <v>4</v>
      </c>
      <c r="X354" s="61" t="s">
        <v>50</v>
      </c>
      <c r="Y354" s="61">
        <v>14.45327</v>
      </c>
      <c r="Z354" s="61">
        <v>120.49429000000001</v>
      </c>
      <c r="AA354" s="61" t="s">
        <v>182</v>
      </c>
      <c r="AB354" s="61"/>
    </row>
    <row r="355" spans="1:28" s="2" customFormat="1" ht="15">
      <c r="A355" s="61" t="s">
        <v>774</v>
      </c>
      <c r="B355" s="61" t="s">
        <v>848</v>
      </c>
      <c r="C355" s="61" t="s">
        <v>902</v>
      </c>
      <c r="D355" s="61" t="s">
        <v>7838</v>
      </c>
      <c r="E355" s="61">
        <v>613</v>
      </c>
      <c r="F355" s="61">
        <v>752</v>
      </c>
      <c r="G355" s="61">
        <v>2025</v>
      </c>
      <c r="H355" s="61" t="s">
        <v>3126</v>
      </c>
      <c r="I355" s="61" t="s">
        <v>19</v>
      </c>
      <c r="J355" s="61"/>
      <c r="K355" s="61" t="s">
        <v>2445</v>
      </c>
      <c r="L355" s="61" t="s">
        <v>8006</v>
      </c>
      <c r="M355" s="475">
        <v>45881</v>
      </c>
      <c r="N355" s="475">
        <v>45887</v>
      </c>
      <c r="O355" s="61"/>
      <c r="P355" s="475">
        <v>45887</v>
      </c>
      <c r="Q355" s="475">
        <v>45887</v>
      </c>
      <c r="R355" s="61">
        <f t="shared" si="20"/>
        <v>4</v>
      </c>
      <c r="S355" s="61" t="str">
        <f t="shared" si="21"/>
        <v/>
      </c>
      <c r="T355" s="61">
        <f t="shared" si="23"/>
        <v>1</v>
      </c>
      <c r="U355" s="61">
        <f t="shared" si="22"/>
        <v>1</v>
      </c>
      <c r="V355" s="61" t="s">
        <v>150</v>
      </c>
      <c r="W355" s="61" t="s">
        <v>1078</v>
      </c>
      <c r="X355" s="61" t="s">
        <v>50</v>
      </c>
      <c r="Y355" s="61">
        <v>14.516489999999999</v>
      </c>
      <c r="Z355" s="61">
        <v>120.38647</v>
      </c>
      <c r="AA355" s="61" t="s">
        <v>182</v>
      </c>
      <c r="AB355" s="61"/>
    </row>
    <row r="356" spans="1:28" s="2" customFormat="1" ht="15">
      <c r="A356" s="61" t="s">
        <v>774</v>
      </c>
      <c r="B356" s="61" t="s">
        <v>848</v>
      </c>
      <c r="C356" s="61" t="s">
        <v>3611</v>
      </c>
      <c r="D356" s="61" t="s">
        <v>7838</v>
      </c>
      <c r="E356" s="61">
        <v>2356</v>
      </c>
      <c r="F356" s="61">
        <v>2814</v>
      </c>
      <c r="G356" s="61">
        <v>2025</v>
      </c>
      <c r="H356" s="61" t="s">
        <v>3126</v>
      </c>
      <c r="I356" s="61" t="s">
        <v>19</v>
      </c>
      <c r="J356" s="61"/>
      <c r="K356" s="61" t="s">
        <v>2445</v>
      </c>
      <c r="L356" s="61" t="s">
        <v>8007</v>
      </c>
      <c r="M356" s="475">
        <v>45870</v>
      </c>
      <c r="N356" s="475">
        <v>45873</v>
      </c>
      <c r="O356" s="61"/>
      <c r="P356" s="475">
        <v>45874</v>
      </c>
      <c r="Q356" s="475">
        <v>45874</v>
      </c>
      <c r="R356" s="61">
        <f t="shared" si="20"/>
        <v>1</v>
      </c>
      <c r="S356" s="61" t="str">
        <f t="shared" si="21"/>
        <v/>
      </c>
      <c r="T356" s="61">
        <f t="shared" si="23"/>
        <v>1</v>
      </c>
      <c r="U356" s="61">
        <f t="shared" si="22"/>
        <v>1</v>
      </c>
      <c r="V356" s="61" t="s">
        <v>150</v>
      </c>
      <c r="W356" s="61" t="s">
        <v>1078</v>
      </c>
      <c r="X356" s="61" t="s">
        <v>50</v>
      </c>
      <c r="Y356" s="61">
        <v>14.635899999999999</v>
      </c>
      <c r="Z356" s="61">
        <v>14.635899999999999</v>
      </c>
      <c r="AA356" s="61" t="s">
        <v>182</v>
      </c>
      <c r="AB356" s="61"/>
    </row>
    <row r="357" spans="1:28" s="2" customFormat="1" ht="15">
      <c r="A357" s="61" t="s">
        <v>774</v>
      </c>
      <c r="B357" s="61" t="s">
        <v>848</v>
      </c>
      <c r="C357" s="61" t="s">
        <v>3615</v>
      </c>
      <c r="D357" s="61" t="s">
        <v>7838</v>
      </c>
      <c r="E357" s="61">
        <v>1660</v>
      </c>
      <c r="F357" s="61">
        <v>1884</v>
      </c>
      <c r="G357" s="61">
        <v>2025</v>
      </c>
      <c r="H357" s="61" t="s">
        <v>3126</v>
      </c>
      <c r="I357" s="61" t="s">
        <v>19</v>
      </c>
      <c r="J357" s="61"/>
      <c r="K357" s="61" t="s">
        <v>2445</v>
      </c>
      <c r="L357" s="61" t="s">
        <v>8008</v>
      </c>
      <c r="M357" s="475">
        <v>45875</v>
      </c>
      <c r="N357" s="475">
        <v>45880</v>
      </c>
      <c r="O357" s="61"/>
      <c r="P357" s="475">
        <v>45881</v>
      </c>
      <c r="Q357" s="475">
        <v>45882</v>
      </c>
      <c r="R357" s="61">
        <f t="shared" si="20"/>
        <v>3</v>
      </c>
      <c r="S357" s="61" t="str">
        <f t="shared" si="21"/>
        <v/>
      </c>
      <c r="T357" s="61">
        <f t="shared" si="23"/>
        <v>1</v>
      </c>
      <c r="U357" s="61">
        <f t="shared" si="22"/>
        <v>1</v>
      </c>
      <c r="V357" s="61" t="s">
        <v>150</v>
      </c>
      <c r="W357" s="61" t="s">
        <v>1078</v>
      </c>
      <c r="X357" s="61" t="s">
        <v>50</v>
      </c>
      <c r="Y357" s="61">
        <v>14.592919999999999</v>
      </c>
      <c r="Z357" s="61">
        <v>120.40226</v>
      </c>
      <c r="AA357" s="61" t="s">
        <v>182</v>
      </c>
      <c r="AB357" s="61"/>
    </row>
    <row r="358" spans="1:28" s="2" customFormat="1" ht="15">
      <c r="A358" s="61" t="s">
        <v>774</v>
      </c>
      <c r="B358" s="61" t="s">
        <v>848</v>
      </c>
      <c r="C358" s="61" t="s">
        <v>3618</v>
      </c>
      <c r="D358" s="61" t="s">
        <v>7838</v>
      </c>
      <c r="E358" s="61">
        <v>731</v>
      </c>
      <c r="F358" s="61">
        <v>862</v>
      </c>
      <c r="G358" s="61">
        <v>2025</v>
      </c>
      <c r="H358" s="61" t="s">
        <v>3126</v>
      </c>
      <c r="I358" s="61" t="s">
        <v>19</v>
      </c>
      <c r="J358" s="61"/>
      <c r="K358" s="61" t="s">
        <v>2445</v>
      </c>
      <c r="L358" s="61" t="s">
        <v>8009</v>
      </c>
      <c r="M358" s="475">
        <v>45881</v>
      </c>
      <c r="N358" s="475">
        <v>45887</v>
      </c>
      <c r="O358" s="61"/>
      <c r="P358" s="475">
        <v>45887</v>
      </c>
      <c r="Q358" s="475">
        <v>45887</v>
      </c>
      <c r="R358" s="61">
        <f t="shared" si="20"/>
        <v>4</v>
      </c>
      <c r="S358" s="61" t="str">
        <f t="shared" si="21"/>
        <v/>
      </c>
      <c r="T358" s="61">
        <f t="shared" si="23"/>
        <v>1</v>
      </c>
      <c r="U358" s="61">
        <f t="shared" si="22"/>
        <v>1</v>
      </c>
      <c r="V358" s="61" t="s">
        <v>150</v>
      </c>
      <c r="W358" s="61" t="s">
        <v>1078</v>
      </c>
      <c r="X358" s="61" t="s">
        <v>50</v>
      </c>
      <c r="Y358" s="61">
        <v>14.53551</v>
      </c>
      <c r="Z358" s="61">
        <v>120.39277</v>
      </c>
      <c r="AA358" s="61" t="s">
        <v>182</v>
      </c>
      <c r="AB358" s="61"/>
    </row>
    <row r="359" spans="1:28" s="2" customFormat="1" ht="15">
      <c r="A359" s="61" t="s">
        <v>774</v>
      </c>
      <c r="B359" s="61" t="s">
        <v>848</v>
      </c>
      <c r="C359" s="61" t="s">
        <v>3621</v>
      </c>
      <c r="D359" s="61" t="s">
        <v>7838</v>
      </c>
      <c r="E359" s="61">
        <v>1281</v>
      </c>
      <c r="F359" s="61">
        <v>1321</v>
      </c>
      <c r="G359" s="61">
        <v>2025</v>
      </c>
      <c r="H359" s="61" t="s">
        <v>3126</v>
      </c>
      <c r="I359" s="61" t="s">
        <v>19</v>
      </c>
      <c r="J359" s="61"/>
      <c r="K359" s="61" t="s">
        <v>2445</v>
      </c>
      <c r="L359" s="61" t="s">
        <v>8010</v>
      </c>
      <c r="M359" s="475">
        <v>45875</v>
      </c>
      <c r="N359" s="475">
        <v>45880</v>
      </c>
      <c r="O359" s="61"/>
      <c r="P359" s="475">
        <v>45882</v>
      </c>
      <c r="Q359" s="475">
        <v>45882</v>
      </c>
      <c r="R359" s="61">
        <f t="shared" si="20"/>
        <v>3</v>
      </c>
      <c r="S359" s="61" t="str">
        <f t="shared" si="21"/>
        <v/>
      </c>
      <c r="T359" s="61">
        <f t="shared" si="23"/>
        <v>2</v>
      </c>
      <c r="U359" s="61">
        <f t="shared" si="22"/>
        <v>1</v>
      </c>
      <c r="V359" s="61" t="s">
        <v>150</v>
      </c>
      <c r="W359" s="61" t="s">
        <v>1078</v>
      </c>
      <c r="X359" s="61" t="s">
        <v>50</v>
      </c>
      <c r="Y359" s="61">
        <v>14.59577</v>
      </c>
      <c r="Z359" s="61">
        <v>120.3943</v>
      </c>
      <c r="AA359" s="61" t="s">
        <v>182</v>
      </c>
      <c r="AB359" s="61"/>
    </row>
    <row r="360" spans="1:28" s="2" customFormat="1" ht="15">
      <c r="A360" s="61" t="s">
        <v>774</v>
      </c>
      <c r="B360" s="61" t="s">
        <v>848</v>
      </c>
      <c r="C360" s="61" t="s">
        <v>912</v>
      </c>
      <c r="D360" s="61" t="s">
        <v>7838</v>
      </c>
      <c r="E360" s="61">
        <v>574</v>
      </c>
      <c r="F360" s="61">
        <v>710</v>
      </c>
      <c r="G360" s="61">
        <v>2025</v>
      </c>
      <c r="H360" s="61" t="s">
        <v>3129</v>
      </c>
      <c r="I360" s="61" t="s">
        <v>19</v>
      </c>
      <c r="J360" s="61"/>
      <c r="K360" s="61" t="s">
        <v>2445</v>
      </c>
      <c r="L360" s="61" t="s">
        <v>8011</v>
      </c>
      <c r="M360" s="475">
        <v>45958</v>
      </c>
      <c r="N360" s="475">
        <v>45964</v>
      </c>
      <c r="O360" s="61"/>
      <c r="P360" s="475">
        <v>45964</v>
      </c>
      <c r="Q360" s="475">
        <v>45964</v>
      </c>
      <c r="R360" s="61">
        <f t="shared" si="20"/>
        <v>4</v>
      </c>
      <c r="S360" s="61" t="str">
        <f t="shared" si="21"/>
        <v/>
      </c>
      <c r="T360" s="61">
        <f t="shared" si="23"/>
        <v>1</v>
      </c>
      <c r="U360" s="61">
        <f t="shared" si="22"/>
        <v>1</v>
      </c>
      <c r="V360" s="61" t="s">
        <v>150</v>
      </c>
      <c r="W360" s="61" t="s">
        <v>1078</v>
      </c>
      <c r="X360" s="61" t="s">
        <v>50</v>
      </c>
      <c r="Y360" s="61">
        <v>14.48114</v>
      </c>
      <c r="Z360" s="61">
        <v>120.39045</v>
      </c>
      <c r="AA360" s="61" t="s">
        <v>182</v>
      </c>
      <c r="AB360" s="61"/>
    </row>
    <row r="361" spans="1:28" s="2" customFormat="1" ht="15">
      <c r="A361" s="61" t="s">
        <v>774</v>
      </c>
      <c r="B361" s="61" t="s">
        <v>848</v>
      </c>
      <c r="C361" s="61" t="s">
        <v>3620</v>
      </c>
      <c r="D361" s="61" t="s">
        <v>7838</v>
      </c>
      <c r="E361" s="61">
        <v>2859</v>
      </c>
      <c r="F361" s="61">
        <v>3468</v>
      </c>
      <c r="G361" s="61">
        <v>2025</v>
      </c>
      <c r="H361" s="61" t="s">
        <v>3127</v>
      </c>
      <c r="I361" s="61" t="s">
        <v>19</v>
      </c>
      <c r="J361" s="61"/>
      <c r="K361" s="61" t="s">
        <v>2445</v>
      </c>
      <c r="L361" s="61" t="s">
        <v>8012</v>
      </c>
      <c r="M361" s="475">
        <v>45888</v>
      </c>
      <c r="N361" s="475">
        <v>45894</v>
      </c>
      <c r="O361" s="61"/>
      <c r="P361" s="475">
        <v>45895</v>
      </c>
      <c r="Q361" s="475">
        <v>45902</v>
      </c>
      <c r="R361" s="61">
        <f t="shared" si="20"/>
        <v>4</v>
      </c>
      <c r="S361" s="61" t="str">
        <f t="shared" si="21"/>
        <v/>
      </c>
      <c r="T361" s="61">
        <f t="shared" si="23"/>
        <v>1</v>
      </c>
      <c r="U361" s="61">
        <f t="shared" si="22"/>
        <v>5</v>
      </c>
      <c r="V361" s="61" t="s">
        <v>150</v>
      </c>
      <c r="W361" s="61" t="s">
        <v>1078</v>
      </c>
      <c r="X361" s="61" t="s">
        <v>50</v>
      </c>
      <c r="Y361" s="61">
        <v>14.57006</v>
      </c>
      <c r="Z361" s="61">
        <v>120.39391999999999</v>
      </c>
      <c r="AA361" s="61" t="s">
        <v>182</v>
      </c>
      <c r="AB361" s="61"/>
    </row>
    <row r="362" spans="1:28" s="2" customFormat="1" ht="15">
      <c r="A362" s="61" t="s">
        <v>774</v>
      </c>
      <c r="B362" s="61" t="s">
        <v>895</v>
      </c>
      <c r="C362" s="61" t="s">
        <v>905</v>
      </c>
      <c r="D362" s="61" t="s">
        <v>7838</v>
      </c>
      <c r="E362" s="61">
        <v>10010</v>
      </c>
      <c r="F362" s="61">
        <v>11503</v>
      </c>
      <c r="G362" s="61">
        <v>2025</v>
      </c>
      <c r="H362" s="61" t="s">
        <v>3126</v>
      </c>
      <c r="I362" s="61" t="s">
        <v>19</v>
      </c>
      <c r="J362" s="61"/>
      <c r="K362" s="61" t="s">
        <v>2445</v>
      </c>
      <c r="L362" s="61" t="s">
        <v>8013</v>
      </c>
      <c r="M362" s="475">
        <v>45876</v>
      </c>
      <c r="N362" s="475">
        <v>45880</v>
      </c>
      <c r="O362" s="61"/>
      <c r="P362" s="475">
        <v>45881</v>
      </c>
      <c r="Q362" s="475">
        <v>45882</v>
      </c>
      <c r="R362" s="61">
        <f t="shared" si="20"/>
        <v>2</v>
      </c>
      <c r="S362" s="61" t="str">
        <f t="shared" si="21"/>
        <v/>
      </c>
      <c r="T362" s="61">
        <f t="shared" si="23"/>
        <v>1</v>
      </c>
      <c r="U362" s="61">
        <f t="shared" si="22"/>
        <v>1</v>
      </c>
      <c r="V362" s="61" t="s">
        <v>150</v>
      </c>
      <c r="W362" s="61" t="s">
        <v>1078</v>
      </c>
      <c r="X362" s="61" t="s">
        <v>50</v>
      </c>
      <c r="Y362" s="61">
        <v>14.430730000000001</v>
      </c>
      <c r="Z362" s="61" t="s">
        <v>8014</v>
      </c>
      <c r="AA362" s="61" t="s">
        <v>8015</v>
      </c>
      <c r="AB362" s="61"/>
    </row>
    <row r="363" spans="1:28" s="2" customFormat="1" ht="15">
      <c r="A363" s="61" t="s">
        <v>774</v>
      </c>
      <c r="B363" s="61" t="s">
        <v>895</v>
      </c>
      <c r="C363" s="61" t="s">
        <v>1056</v>
      </c>
      <c r="D363" s="61" t="s">
        <v>7838</v>
      </c>
      <c r="E363" s="61">
        <v>7938</v>
      </c>
      <c r="F363" s="61">
        <v>8458</v>
      </c>
      <c r="G363" s="61">
        <v>2025</v>
      </c>
      <c r="H363" s="61" t="s">
        <v>3128</v>
      </c>
      <c r="I363" s="61" t="s">
        <v>19</v>
      </c>
      <c r="J363" s="61"/>
      <c r="K363" s="61" t="s">
        <v>2445</v>
      </c>
      <c r="L363" s="61" t="s">
        <v>8016</v>
      </c>
      <c r="M363" s="475">
        <v>45946</v>
      </c>
      <c r="N363" s="475">
        <v>45947</v>
      </c>
      <c r="O363" s="61"/>
      <c r="P363" s="475">
        <v>45948</v>
      </c>
      <c r="Q363" s="475">
        <v>45950</v>
      </c>
      <c r="R363" s="61">
        <f t="shared" si="20"/>
        <v>1</v>
      </c>
      <c r="S363" s="61" t="str">
        <f t="shared" si="21"/>
        <v/>
      </c>
      <c r="T363" s="61">
        <f t="shared" si="23"/>
        <v>1</v>
      </c>
      <c r="U363" s="61">
        <f t="shared" si="22"/>
        <v>1</v>
      </c>
      <c r="V363" s="61" t="s">
        <v>150</v>
      </c>
      <c r="W363" s="61" t="s">
        <v>1078</v>
      </c>
      <c r="X363" s="61" t="s">
        <v>50</v>
      </c>
      <c r="Y363" s="61">
        <v>14.4331</v>
      </c>
      <c r="Z363" s="61">
        <v>120.48669</v>
      </c>
      <c r="AA363" s="61" t="s">
        <v>182</v>
      </c>
      <c r="AB363" s="61"/>
    </row>
    <row r="364" spans="1:28" s="2" customFormat="1" ht="15">
      <c r="A364" s="61" t="s">
        <v>774</v>
      </c>
      <c r="B364" s="61" t="s">
        <v>895</v>
      </c>
      <c r="C364" s="61" t="s">
        <v>1180</v>
      </c>
      <c r="D364" s="61" t="s">
        <v>7838</v>
      </c>
      <c r="E364" s="61">
        <v>5761</v>
      </c>
      <c r="F364" s="61">
        <v>6515</v>
      </c>
      <c r="G364" s="61">
        <v>2025</v>
      </c>
      <c r="H364" s="61" t="s">
        <v>3128</v>
      </c>
      <c r="I364" s="61" t="s">
        <v>19</v>
      </c>
      <c r="J364" s="61"/>
      <c r="K364" s="61" t="s">
        <v>2445</v>
      </c>
      <c r="L364" s="61" t="s">
        <v>8017</v>
      </c>
      <c r="M364" s="475">
        <v>45937</v>
      </c>
      <c r="N364" s="475">
        <v>45940</v>
      </c>
      <c r="O364" s="61"/>
      <c r="P364" s="475">
        <v>45943</v>
      </c>
      <c r="Q364" s="475">
        <v>45944</v>
      </c>
      <c r="R364" s="61">
        <f t="shared" si="20"/>
        <v>3</v>
      </c>
      <c r="S364" s="61" t="str">
        <f t="shared" si="21"/>
        <v/>
      </c>
      <c r="T364" s="61">
        <f t="shared" si="23"/>
        <v>1</v>
      </c>
      <c r="U364" s="61">
        <f t="shared" si="22"/>
        <v>1</v>
      </c>
      <c r="V364" s="61" t="s">
        <v>150</v>
      </c>
      <c r="W364" s="61" t="s">
        <v>1078</v>
      </c>
      <c r="X364" s="61" t="s">
        <v>50</v>
      </c>
      <c r="Y364" s="61">
        <v>14.43361</v>
      </c>
      <c r="Z364" s="61">
        <v>120.48327999999999</v>
      </c>
      <c r="AA364" s="61" t="s">
        <v>182</v>
      </c>
      <c r="AB364" s="61"/>
    </row>
    <row r="365" spans="1:28" s="2" customFormat="1" ht="15">
      <c r="A365" s="61" t="s">
        <v>774</v>
      </c>
      <c r="B365" s="61" t="s">
        <v>895</v>
      </c>
      <c r="C365" s="61" t="s">
        <v>3798</v>
      </c>
      <c r="D365" s="61" t="s">
        <v>7838</v>
      </c>
      <c r="E365" s="61">
        <v>6427</v>
      </c>
      <c r="F365" s="61">
        <v>7665</v>
      </c>
      <c r="G365" s="61">
        <v>2025</v>
      </c>
      <c r="H365" s="61" t="s">
        <v>3127</v>
      </c>
      <c r="I365" s="61" t="s">
        <v>19</v>
      </c>
      <c r="J365" s="61"/>
      <c r="K365" s="61" t="s">
        <v>2445</v>
      </c>
      <c r="L365" s="61" t="s">
        <v>8018</v>
      </c>
      <c r="M365" s="475">
        <v>45912</v>
      </c>
      <c r="N365" s="475">
        <v>45915</v>
      </c>
      <c r="O365" s="61"/>
      <c r="P365" s="475">
        <v>45915</v>
      </c>
      <c r="Q365" s="475">
        <v>45917</v>
      </c>
      <c r="R365" s="61">
        <f t="shared" si="20"/>
        <v>1</v>
      </c>
      <c r="S365" s="61" t="str">
        <f t="shared" si="21"/>
        <v/>
      </c>
      <c r="T365" s="61">
        <f t="shared" si="23"/>
        <v>1</v>
      </c>
      <c r="U365" s="61">
        <f t="shared" si="22"/>
        <v>2</v>
      </c>
      <c r="V365" s="61" t="s">
        <v>150</v>
      </c>
      <c r="W365" s="61" t="s">
        <v>1078</v>
      </c>
      <c r="X365" s="61" t="s">
        <v>57</v>
      </c>
      <c r="Y365" s="61">
        <v>14.45546</v>
      </c>
      <c r="Z365" s="61">
        <v>120.58181999999999</v>
      </c>
      <c r="AA365" s="61" t="s">
        <v>182</v>
      </c>
      <c r="AB365" s="61"/>
    </row>
    <row r="366" spans="1:28" s="2" customFormat="1" ht="15">
      <c r="A366" s="61" t="s">
        <v>774</v>
      </c>
      <c r="B366" s="61" t="s">
        <v>877</v>
      </c>
      <c r="C366" s="61" t="s">
        <v>3888</v>
      </c>
      <c r="D366" s="61" t="s">
        <v>7838</v>
      </c>
      <c r="E366" s="61">
        <v>1151</v>
      </c>
      <c r="F366" s="61">
        <v>1315</v>
      </c>
      <c r="G366" s="61"/>
      <c r="H366" s="61"/>
      <c r="I366" s="61" t="s">
        <v>188</v>
      </c>
      <c r="J366" s="61"/>
      <c r="K366" s="61" t="s">
        <v>2445</v>
      </c>
      <c r="L366" s="61"/>
      <c r="M366" s="61"/>
      <c r="N366" s="61"/>
      <c r="O366" s="61"/>
      <c r="P366" s="61"/>
      <c r="Q366" s="61"/>
      <c r="R366" s="61" t="str">
        <f t="shared" si="20"/>
        <v/>
      </c>
      <c r="S366" s="61" t="str">
        <f t="shared" si="21"/>
        <v/>
      </c>
      <c r="T366" s="61" t="str">
        <f t="shared" si="23"/>
        <v/>
      </c>
      <c r="U366" s="61" t="str">
        <f t="shared" si="22"/>
        <v/>
      </c>
      <c r="V366" s="61"/>
      <c r="W366" s="61"/>
      <c r="X366" s="61"/>
      <c r="Y366" s="61"/>
      <c r="Z366" s="61"/>
      <c r="AA366" s="61"/>
      <c r="AB366" s="61"/>
    </row>
    <row r="367" spans="1:28" s="2" customFormat="1" ht="15">
      <c r="A367" s="61" t="s">
        <v>774</v>
      </c>
      <c r="B367" s="61" t="s">
        <v>877</v>
      </c>
      <c r="C367" s="61" t="s">
        <v>3889</v>
      </c>
      <c r="D367" s="61" t="s">
        <v>7838</v>
      </c>
      <c r="E367" s="61">
        <v>1260</v>
      </c>
      <c r="F367" s="61">
        <v>1302</v>
      </c>
      <c r="G367" s="61"/>
      <c r="H367" s="61"/>
      <c r="I367" s="61" t="s">
        <v>188</v>
      </c>
      <c r="J367" s="61"/>
      <c r="K367" s="61" t="s">
        <v>2445</v>
      </c>
      <c r="L367" s="61"/>
      <c r="M367" s="61"/>
      <c r="N367" s="61"/>
      <c r="O367" s="61"/>
      <c r="P367" s="61"/>
      <c r="Q367" s="61"/>
      <c r="R367" s="61" t="str">
        <f t="shared" si="20"/>
        <v/>
      </c>
      <c r="S367" s="61" t="str">
        <f t="shared" si="21"/>
        <v/>
      </c>
      <c r="T367" s="61" t="str">
        <f t="shared" si="23"/>
        <v/>
      </c>
      <c r="U367" s="61" t="str">
        <f t="shared" si="22"/>
        <v/>
      </c>
      <c r="V367" s="61"/>
      <c r="W367" s="61"/>
      <c r="X367" s="61"/>
      <c r="Y367" s="61"/>
      <c r="Z367" s="61"/>
      <c r="AA367" s="61"/>
      <c r="AB367" s="61"/>
    </row>
    <row r="368" spans="1:28" s="2" customFormat="1" ht="15">
      <c r="A368" s="61" t="s">
        <v>774</v>
      </c>
      <c r="B368" s="61" t="s">
        <v>895</v>
      </c>
      <c r="C368" s="61" t="s">
        <v>1245</v>
      </c>
      <c r="D368" s="61" t="s">
        <v>7838</v>
      </c>
      <c r="E368" s="61">
        <v>4407</v>
      </c>
      <c r="F368" s="61">
        <v>4442</v>
      </c>
      <c r="G368" s="61">
        <v>2025</v>
      </c>
      <c r="H368" s="61" t="s">
        <v>3127</v>
      </c>
      <c r="I368" s="61" t="s">
        <v>19</v>
      </c>
      <c r="J368" s="61"/>
      <c r="K368" s="61" t="s">
        <v>2445</v>
      </c>
      <c r="L368" s="61" t="s">
        <v>8019</v>
      </c>
      <c r="M368" s="475">
        <v>45896</v>
      </c>
      <c r="N368" s="475">
        <v>45901</v>
      </c>
      <c r="O368" s="61"/>
      <c r="P368" s="475">
        <v>45901</v>
      </c>
      <c r="Q368" s="475">
        <v>45902</v>
      </c>
      <c r="R368" s="61">
        <f t="shared" si="20"/>
        <v>3</v>
      </c>
      <c r="S368" s="61" t="str">
        <f t="shared" si="21"/>
        <v/>
      </c>
      <c r="T368" s="61">
        <f t="shared" si="23"/>
        <v>1</v>
      </c>
      <c r="U368" s="61">
        <f t="shared" si="22"/>
        <v>1</v>
      </c>
      <c r="V368" s="61" t="s">
        <v>150</v>
      </c>
      <c r="W368" s="61" t="s">
        <v>1078</v>
      </c>
      <c r="X368" s="61" t="s">
        <v>50</v>
      </c>
      <c r="Y368" s="61">
        <v>14.45271</v>
      </c>
      <c r="Z368" s="634">
        <v>120.49956</v>
      </c>
      <c r="AA368" s="61" t="s">
        <v>182</v>
      </c>
      <c r="AB368" s="61"/>
    </row>
    <row r="369" spans="1:28" s="2" customFormat="1" ht="15">
      <c r="A369" s="61" t="s">
        <v>774</v>
      </c>
      <c r="B369" s="61" t="s">
        <v>877</v>
      </c>
      <c r="C369" s="61" t="s">
        <v>3897</v>
      </c>
      <c r="D369" s="61" t="s">
        <v>7838</v>
      </c>
      <c r="E369" s="61">
        <v>2345</v>
      </c>
      <c r="F369" s="61">
        <v>2728</v>
      </c>
      <c r="G369" s="61"/>
      <c r="H369" s="61"/>
      <c r="I369" s="61" t="s">
        <v>188</v>
      </c>
      <c r="J369" s="61"/>
      <c r="K369" s="61" t="s">
        <v>2445</v>
      </c>
      <c r="L369" s="61"/>
      <c r="M369" s="61"/>
      <c r="N369" s="61"/>
      <c r="O369" s="61"/>
      <c r="P369" s="61"/>
      <c r="Q369" s="475"/>
      <c r="R369" s="61" t="str">
        <f t="shared" si="20"/>
        <v/>
      </c>
      <c r="S369" s="61" t="str">
        <f t="shared" si="21"/>
        <v/>
      </c>
      <c r="T369" s="61" t="str">
        <f t="shared" si="23"/>
        <v/>
      </c>
      <c r="U369" s="61" t="str">
        <f t="shared" si="22"/>
        <v/>
      </c>
      <c r="V369" s="61"/>
      <c r="W369" s="61"/>
      <c r="X369" s="61"/>
      <c r="Y369" s="61"/>
      <c r="Z369" s="61"/>
      <c r="AA369" s="61"/>
      <c r="AB369" s="61"/>
    </row>
    <row r="370" spans="1:28" s="2" customFormat="1" ht="42.75">
      <c r="A370" s="61" t="s">
        <v>774</v>
      </c>
      <c r="B370" s="61" t="s">
        <v>917</v>
      </c>
      <c r="C370" s="61" t="s">
        <v>3916</v>
      </c>
      <c r="D370" s="61" t="s">
        <v>7838</v>
      </c>
      <c r="E370" s="61">
        <v>3682</v>
      </c>
      <c r="F370" s="61">
        <v>4638</v>
      </c>
      <c r="G370" s="61">
        <v>2025</v>
      </c>
      <c r="H370" s="61" t="s">
        <v>3470</v>
      </c>
      <c r="I370" s="61" t="s">
        <v>179</v>
      </c>
      <c r="J370" s="61"/>
      <c r="K370" s="61" t="s">
        <v>2445</v>
      </c>
      <c r="L370" s="61" t="s">
        <v>8020</v>
      </c>
      <c r="M370" s="475">
        <v>45741</v>
      </c>
      <c r="N370" s="475">
        <v>45743</v>
      </c>
      <c r="O370" s="61"/>
      <c r="P370" s="475">
        <v>45743</v>
      </c>
      <c r="Q370" s="475">
        <v>45749</v>
      </c>
      <c r="R370" s="61">
        <f t="shared" si="20"/>
        <v>2</v>
      </c>
      <c r="S370" s="61" t="str">
        <f t="shared" si="21"/>
        <v/>
      </c>
      <c r="T370" s="61">
        <f t="shared" si="23"/>
        <v>1</v>
      </c>
      <c r="U370" s="61">
        <f t="shared" si="22"/>
        <v>4</v>
      </c>
      <c r="V370" s="61" t="s">
        <v>150</v>
      </c>
      <c r="W370" s="61" t="s">
        <v>1078</v>
      </c>
      <c r="X370" s="61" t="s">
        <v>50</v>
      </c>
      <c r="Y370" s="61">
        <v>14.756342999999999</v>
      </c>
      <c r="Z370" s="61">
        <v>120.52200499999999</v>
      </c>
      <c r="AA370" s="61" t="s">
        <v>8021</v>
      </c>
      <c r="AB370" s="61"/>
    </row>
    <row r="371" spans="1:28" s="2" customFormat="1" ht="15">
      <c r="A371" s="61" t="s">
        <v>774</v>
      </c>
      <c r="B371" s="61" t="s">
        <v>877</v>
      </c>
      <c r="C371" s="61" t="s">
        <v>3900</v>
      </c>
      <c r="D371" s="61" t="s">
        <v>7838</v>
      </c>
      <c r="E371" s="61">
        <v>1442</v>
      </c>
      <c r="F371" s="61">
        <v>1482</v>
      </c>
      <c r="G371" s="61"/>
      <c r="H371" s="61"/>
      <c r="I371" s="61" t="s">
        <v>188</v>
      </c>
      <c r="J371" s="61"/>
      <c r="K371" s="61" t="s">
        <v>2445</v>
      </c>
      <c r="L371" s="61"/>
      <c r="M371" s="61"/>
      <c r="N371" s="61"/>
      <c r="O371" s="61"/>
      <c r="P371" s="61"/>
      <c r="Q371" s="61"/>
      <c r="R371" s="61" t="str">
        <f t="shared" si="20"/>
        <v/>
      </c>
      <c r="S371" s="61" t="str">
        <f t="shared" si="21"/>
        <v/>
      </c>
      <c r="T371" s="61" t="str">
        <f t="shared" si="23"/>
        <v/>
      </c>
      <c r="U371" s="61" t="str">
        <f t="shared" si="22"/>
        <v/>
      </c>
      <c r="V371" s="61"/>
      <c r="W371" s="61"/>
      <c r="X371" s="61"/>
      <c r="Y371" s="61"/>
      <c r="Z371" s="61"/>
      <c r="AA371" s="61"/>
      <c r="AB371" s="61"/>
    </row>
    <row r="372" spans="1:28" s="2" customFormat="1" ht="15">
      <c r="A372" s="61" t="s">
        <v>774</v>
      </c>
      <c r="B372" s="61" t="s">
        <v>877</v>
      </c>
      <c r="C372" s="61" t="s">
        <v>3786</v>
      </c>
      <c r="D372" s="61" t="s">
        <v>7838</v>
      </c>
      <c r="E372" s="61">
        <v>1990</v>
      </c>
      <c r="F372" s="61">
        <v>2289</v>
      </c>
      <c r="G372" s="61"/>
      <c r="H372" s="61"/>
      <c r="I372" s="61" t="s">
        <v>188</v>
      </c>
      <c r="J372" s="61"/>
      <c r="K372" s="61" t="s">
        <v>2445</v>
      </c>
      <c r="L372" s="61"/>
      <c r="M372" s="61"/>
      <c r="N372" s="61"/>
      <c r="O372" s="61"/>
      <c r="P372" s="61"/>
      <c r="Q372" s="61"/>
      <c r="R372" s="61" t="str">
        <f t="shared" si="20"/>
        <v/>
      </c>
      <c r="S372" s="61" t="str">
        <f t="shared" si="21"/>
        <v/>
      </c>
      <c r="T372" s="61" t="str">
        <f t="shared" si="23"/>
        <v/>
      </c>
      <c r="U372" s="61" t="str">
        <f t="shared" si="22"/>
        <v/>
      </c>
      <c r="V372" s="61"/>
      <c r="W372" s="61"/>
      <c r="X372" s="61"/>
      <c r="Y372" s="61"/>
      <c r="Z372" s="61"/>
      <c r="AA372" s="61"/>
      <c r="AB372" s="61"/>
    </row>
    <row r="373" spans="1:28" s="2" customFormat="1" ht="42.75">
      <c r="A373" s="61" t="s">
        <v>774</v>
      </c>
      <c r="B373" s="61" t="s">
        <v>917</v>
      </c>
      <c r="C373" s="61" t="s">
        <v>3919</v>
      </c>
      <c r="D373" s="61" t="s">
        <v>7838</v>
      </c>
      <c r="E373" s="61">
        <v>1419</v>
      </c>
      <c r="F373" s="61">
        <v>1534</v>
      </c>
      <c r="G373" s="61">
        <v>2025</v>
      </c>
      <c r="H373" s="61" t="s">
        <v>3416</v>
      </c>
      <c r="I373" s="61" t="s">
        <v>179</v>
      </c>
      <c r="J373" s="61"/>
      <c r="K373" s="61" t="s">
        <v>2445</v>
      </c>
      <c r="L373" s="61" t="s">
        <v>8022</v>
      </c>
      <c r="M373" s="475">
        <v>45727</v>
      </c>
      <c r="N373" s="475">
        <v>45731</v>
      </c>
      <c r="O373" s="61"/>
      <c r="P373" s="475">
        <v>45731</v>
      </c>
      <c r="Q373" s="475">
        <v>45733</v>
      </c>
      <c r="R373" s="61">
        <f t="shared" si="20"/>
        <v>3</v>
      </c>
      <c r="S373" s="61" t="str">
        <f t="shared" si="21"/>
        <v/>
      </c>
      <c r="T373" s="61">
        <f t="shared" si="23"/>
        <v>1</v>
      </c>
      <c r="U373" s="61">
        <f t="shared" si="22"/>
        <v>1</v>
      </c>
      <c r="V373" s="61" t="s">
        <v>150</v>
      </c>
      <c r="W373" s="61" t="s">
        <v>1078</v>
      </c>
      <c r="X373" s="61" t="s">
        <v>50</v>
      </c>
      <c r="Y373" s="61">
        <v>14.750857</v>
      </c>
      <c r="Z373" s="61">
        <v>120.539933</v>
      </c>
      <c r="AA373" s="61" t="s">
        <v>8021</v>
      </c>
      <c r="AB373" s="61"/>
    </row>
    <row r="374" spans="1:28" s="2" customFormat="1" ht="15">
      <c r="A374" s="61" t="s">
        <v>774</v>
      </c>
      <c r="B374" s="61" t="s">
        <v>895</v>
      </c>
      <c r="C374" s="61" t="s">
        <v>3806</v>
      </c>
      <c r="D374" s="61" t="s">
        <v>7838</v>
      </c>
      <c r="E374" s="61">
        <v>10461</v>
      </c>
      <c r="F374" s="61">
        <v>13082</v>
      </c>
      <c r="G374" s="61">
        <v>2025</v>
      </c>
      <c r="H374" s="61" t="s">
        <v>3127</v>
      </c>
      <c r="I374" s="61" t="s">
        <v>19</v>
      </c>
      <c r="J374" s="61"/>
      <c r="K374" s="61" t="s">
        <v>2445</v>
      </c>
      <c r="L374" s="61" t="s">
        <v>8023</v>
      </c>
      <c r="M374" s="475">
        <v>45912</v>
      </c>
      <c r="N374" s="475">
        <v>45915</v>
      </c>
      <c r="O374" s="125"/>
      <c r="P374" s="475">
        <v>45915</v>
      </c>
      <c r="Q374" s="475">
        <v>45917</v>
      </c>
      <c r="R374" s="61">
        <f t="shared" si="20"/>
        <v>1</v>
      </c>
      <c r="S374" s="61" t="str">
        <f t="shared" si="21"/>
        <v/>
      </c>
      <c r="T374" s="61">
        <f t="shared" si="23"/>
        <v>1</v>
      </c>
      <c r="U374" s="61">
        <f t="shared" si="22"/>
        <v>2</v>
      </c>
      <c r="V374" s="61" t="s">
        <v>150</v>
      </c>
      <c r="W374" s="61" t="s">
        <v>1078</v>
      </c>
      <c r="X374" s="61" t="s">
        <v>57</v>
      </c>
      <c r="Y374" s="61">
        <v>14.430730000000001</v>
      </c>
      <c r="Z374" s="61">
        <v>120.47963</v>
      </c>
      <c r="AA374" s="61" t="s">
        <v>182</v>
      </c>
      <c r="AB374" s="61"/>
    </row>
    <row r="375" spans="1:28" s="2" customFormat="1" ht="15">
      <c r="A375" s="61" t="s">
        <v>774</v>
      </c>
      <c r="B375" s="61" t="s">
        <v>1775</v>
      </c>
      <c r="C375" s="61" t="s">
        <v>1241</v>
      </c>
      <c r="D375" s="61" t="s">
        <v>7838</v>
      </c>
      <c r="E375" s="61">
        <v>7446</v>
      </c>
      <c r="F375" s="61">
        <v>8031</v>
      </c>
      <c r="G375" s="61">
        <v>2025</v>
      </c>
      <c r="H375" s="61" t="s">
        <v>3458</v>
      </c>
      <c r="I375" s="61" t="s">
        <v>19</v>
      </c>
      <c r="J375" s="61"/>
      <c r="K375" s="61" t="s">
        <v>2445</v>
      </c>
      <c r="L375" s="61" t="s">
        <v>8024</v>
      </c>
      <c r="M375" s="475">
        <v>45693</v>
      </c>
      <c r="N375" s="475">
        <v>45698</v>
      </c>
      <c r="O375" s="61"/>
      <c r="P375" s="475">
        <v>45698</v>
      </c>
      <c r="Q375" s="475">
        <v>45698</v>
      </c>
      <c r="R375" s="61">
        <f t="shared" si="20"/>
        <v>3</v>
      </c>
      <c r="S375" s="61" t="str">
        <f t="shared" si="21"/>
        <v/>
      </c>
      <c r="T375" s="61">
        <f t="shared" si="23"/>
        <v>1</v>
      </c>
      <c r="U375" s="61">
        <f t="shared" si="22"/>
        <v>1</v>
      </c>
      <c r="V375" s="61" t="s">
        <v>150</v>
      </c>
      <c r="W375" s="61" t="s">
        <v>7929</v>
      </c>
      <c r="X375" s="61" t="s">
        <v>50</v>
      </c>
      <c r="Y375" s="61"/>
      <c r="Z375" s="61"/>
      <c r="AA375" s="61" t="s">
        <v>330</v>
      </c>
      <c r="AB375" s="61"/>
    </row>
    <row r="376" spans="1:28" s="2" customFormat="1" ht="28.5">
      <c r="A376" s="61" t="s">
        <v>774</v>
      </c>
      <c r="B376" s="61" t="s">
        <v>842</v>
      </c>
      <c r="C376" s="61" t="s">
        <v>3596</v>
      </c>
      <c r="D376" s="61" t="s">
        <v>7838</v>
      </c>
      <c r="E376" s="61">
        <v>5405</v>
      </c>
      <c r="F376" s="61">
        <v>5707</v>
      </c>
      <c r="G376" s="61">
        <v>2025</v>
      </c>
      <c r="H376" s="61" t="s">
        <v>3470</v>
      </c>
      <c r="I376" s="61" t="s">
        <v>188</v>
      </c>
      <c r="J376" s="61"/>
      <c r="K376" s="61" t="s">
        <v>2445</v>
      </c>
      <c r="L376" s="61" t="s">
        <v>8025</v>
      </c>
      <c r="M376" s="475">
        <v>45741</v>
      </c>
      <c r="N376" s="475">
        <v>45745</v>
      </c>
      <c r="O376" s="61"/>
      <c r="P376" s="475">
        <v>45746</v>
      </c>
      <c r="Q376" s="475">
        <v>45747</v>
      </c>
      <c r="R376" s="61">
        <f t="shared" si="20"/>
        <v>3</v>
      </c>
      <c r="S376" s="61" t="str">
        <f t="shared" si="21"/>
        <v/>
      </c>
      <c r="T376" s="61">
        <f t="shared" si="23"/>
        <v>1</v>
      </c>
      <c r="U376" s="61">
        <f t="shared" si="22"/>
        <v>1</v>
      </c>
      <c r="V376" s="61" t="s">
        <v>150</v>
      </c>
      <c r="W376" s="61" t="s">
        <v>3527</v>
      </c>
      <c r="X376" s="61" t="s">
        <v>3528</v>
      </c>
      <c r="Y376" s="61">
        <v>14.71787</v>
      </c>
      <c r="Z376" s="61">
        <v>120.53131</v>
      </c>
      <c r="AA376" s="61" t="s">
        <v>7853</v>
      </c>
      <c r="AB376" s="61" t="s">
        <v>7882</v>
      </c>
    </row>
    <row r="377" spans="1:28" s="2" customFormat="1" ht="28.5">
      <c r="A377" s="61" t="s">
        <v>774</v>
      </c>
      <c r="B377" s="61" t="s">
        <v>842</v>
      </c>
      <c r="C377" s="61" t="s">
        <v>3598</v>
      </c>
      <c r="D377" s="61" t="s">
        <v>7838</v>
      </c>
      <c r="E377" s="61">
        <v>2303</v>
      </c>
      <c r="F377" s="61">
        <v>2415</v>
      </c>
      <c r="G377" s="61">
        <v>2025</v>
      </c>
      <c r="H377" s="61" t="s">
        <v>3458</v>
      </c>
      <c r="I377" s="61" t="s">
        <v>188</v>
      </c>
      <c r="J377" s="61"/>
      <c r="K377" s="61" t="s">
        <v>2445</v>
      </c>
      <c r="L377" s="61" t="s">
        <v>8026</v>
      </c>
      <c r="M377" s="475">
        <v>45692</v>
      </c>
      <c r="N377" s="475">
        <v>45697</v>
      </c>
      <c r="O377" s="475"/>
      <c r="P377" s="475">
        <v>45698</v>
      </c>
      <c r="Q377" s="475">
        <v>45698</v>
      </c>
      <c r="R377" s="61">
        <f t="shared" si="20"/>
        <v>3</v>
      </c>
      <c r="S377" s="61" t="str">
        <f t="shared" si="21"/>
        <v/>
      </c>
      <c r="T377" s="61">
        <f t="shared" si="23"/>
        <v>1</v>
      </c>
      <c r="U377" s="61">
        <f t="shared" si="22"/>
        <v>1</v>
      </c>
      <c r="V377" s="61" t="s">
        <v>150</v>
      </c>
      <c r="W377" s="61" t="s">
        <v>3527</v>
      </c>
      <c r="X377" s="61" t="s">
        <v>3528</v>
      </c>
      <c r="Y377" s="61" t="s">
        <v>8027</v>
      </c>
      <c r="Z377" s="61" t="s">
        <v>8027</v>
      </c>
      <c r="AA377" s="61" t="s">
        <v>7853</v>
      </c>
      <c r="AB377" s="61" t="s">
        <v>7882</v>
      </c>
    </row>
    <row r="378" spans="1:28" s="2" customFormat="1" ht="15">
      <c r="A378" s="61" t="s">
        <v>774</v>
      </c>
      <c r="B378" s="61" t="s">
        <v>842</v>
      </c>
      <c r="C378" s="61" t="s">
        <v>3605</v>
      </c>
      <c r="D378" s="61" t="s">
        <v>7838</v>
      </c>
      <c r="E378" s="61">
        <v>4389</v>
      </c>
      <c r="F378" s="61">
        <v>4243</v>
      </c>
      <c r="G378" s="61">
        <v>2025</v>
      </c>
      <c r="H378" s="61" t="s">
        <v>3416</v>
      </c>
      <c r="I378" s="61" t="s">
        <v>188</v>
      </c>
      <c r="J378" s="61"/>
      <c r="K378" s="61" t="s">
        <v>2445</v>
      </c>
      <c r="L378" s="61" t="s">
        <v>8028</v>
      </c>
      <c r="M378" s="475">
        <v>45713</v>
      </c>
      <c r="N378" s="475">
        <v>45718</v>
      </c>
      <c r="O378" s="61"/>
      <c r="P378" s="475">
        <v>45719</v>
      </c>
      <c r="Q378" s="475">
        <v>45719</v>
      </c>
      <c r="R378" s="61">
        <f t="shared" si="20"/>
        <v>3</v>
      </c>
      <c r="S378" s="61" t="str">
        <f t="shared" si="21"/>
        <v/>
      </c>
      <c r="T378" s="61">
        <f t="shared" si="23"/>
        <v>1</v>
      </c>
      <c r="U378" s="61">
        <f t="shared" si="22"/>
        <v>1</v>
      </c>
      <c r="V378" s="61" t="s">
        <v>150</v>
      </c>
      <c r="W378" s="61" t="s">
        <v>3527</v>
      </c>
      <c r="X378" s="61" t="s">
        <v>3528</v>
      </c>
      <c r="Y378" s="61" t="s">
        <v>8027</v>
      </c>
      <c r="Z378" s="61" t="s">
        <v>8027</v>
      </c>
      <c r="AA378" s="61" t="s">
        <v>7853</v>
      </c>
      <c r="AB378" s="61"/>
    </row>
    <row r="379" spans="1:28" s="2" customFormat="1" ht="28.5">
      <c r="A379" s="61" t="s">
        <v>774</v>
      </c>
      <c r="B379" s="61" t="s">
        <v>848</v>
      </c>
      <c r="C379" s="61" t="s">
        <v>3613</v>
      </c>
      <c r="D379" s="61" t="s">
        <v>7838</v>
      </c>
      <c r="E379" s="61">
        <v>1689</v>
      </c>
      <c r="F379" s="61">
        <v>1920</v>
      </c>
      <c r="G379" s="61">
        <v>2025</v>
      </c>
      <c r="H379" s="61" t="s">
        <v>3470</v>
      </c>
      <c r="I379" s="61" t="s">
        <v>19</v>
      </c>
      <c r="J379" s="61"/>
      <c r="K379" s="61" t="s">
        <v>2445</v>
      </c>
      <c r="L379" s="118" t="s">
        <v>8029</v>
      </c>
      <c r="M379" s="475">
        <v>45744</v>
      </c>
      <c r="N379" s="475">
        <v>45747</v>
      </c>
      <c r="O379" s="61"/>
      <c r="P379" s="475">
        <v>45747</v>
      </c>
      <c r="Q379" s="475">
        <v>45747</v>
      </c>
      <c r="R379" s="61">
        <f t="shared" si="20"/>
        <v>1</v>
      </c>
      <c r="S379" s="61" t="str">
        <f t="shared" si="21"/>
        <v/>
      </c>
      <c r="T379" s="61">
        <f t="shared" si="23"/>
        <v>1</v>
      </c>
      <c r="U379" s="61">
        <f t="shared" si="22"/>
        <v>1</v>
      </c>
      <c r="V379" s="61" t="s">
        <v>150</v>
      </c>
      <c r="W379" s="61" t="s">
        <v>1078</v>
      </c>
      <c r="X379" s="61" t="s">
        <v>3528</v>
      </c>
      <c r="Y379" s="61">
        <v>14.596500000000001</v>
      </c>
      <c r="Z379" s="61">
        <v>120.3921</v>
      </c>
      <c r="AA379" s="61" t="s">
        <v>7887</v>
      </c>
      <c r="AB379" s="61"/>
    </row>
    <row r="380" spans="1:28" s="2" customFormat="1" ht="15">
      <c r="A380" s="61" t="s">
        <v>774</v>
      </c>
      <c r="B380" s="61" t="s">
        <v>895</v>
      </c>
      <c r="C380" s="61" t="s">
        <v>3804</v>
      </c>
      <c r="D380" s="61" t="s">
        <v>7838</v>
      </c>
      <c r="E380" s="61">
        <v>5169</v>
      </c>
      <c r="F380" s="61">
        <v>7189</v>
      </c>
      <c r="G380" s="61">
        <v>2025</v>
      </c>
      <c r="H380" s="61" t="s">
        <v>3128</v>
      </c>
      <c r="I380" s="61" t="s">
        <v>19</v>
      </c>
      <c r="J380" s="61"/>
      <c r="K380" s="61" t="s">
        <v>2445</v>
      </c>
      <c r="L380" s="61" t="s">
        <v>8030</v>
      </c>
      <c r="M380" s="475">
        <v>45946</v>
      </c>
      <c r="N380" s="475">
        <v>45947</v>
      </c>
      <c r="O380" s="61"/>
      <c r="P380" s="475">
        <v>45948</v>
      </c>
      <c r="Q380" s="475">
        <v>45950</v>
      </c>
      <c r="R380" s="61">
        <f t="shared" si="20"/>
        <v>1</v>
      </c>
      <c r="S380" s="61" t="str">
        <f t="shared" si="21"/>
        <v/>
      </c>
      <c r="T380" s="61">
        <f t="shared" si="23"/>
        <v>1</v>
      </c>
      <c r="U380" s="61">
        <f t="shared" si="22"/>
        <v>1</v>
      </c>
      <c r="V380" s="61" t="s">
        <v>150</v>
      </c>
      <c r="W380" s="61" t="s">
        <v>3527</v>
      </c>
      <c r="X380" s="61" t="s">
        <v>3528</v>
      </c>
      <c r="Y380" s="61"/>
      <c r="Z380" s="61"/>
      <c r="AA380" s="61" t="s">
        <v>182</v>
      </c>
      <c r="AB380" s="61"/>
    </row>
    <row r="381" spans="1:28" s="2" customFormat="1" ht="15">
      <c r="A381" s="61" t="s">
        <v>774</v>
      </c>
      <c r="B381" s="61" t="s">
        <v>895</v>
      </c>
      <c r="C381" s="61" t="s">
        <v>3785</v>
      </c>
      <c r="D381" s="61" t="s">
        <v>7838</v>
      </c>
      <c r="E381" s="61">
        <v>6880</v>
      </c>
      <c r="F381" s="61">
        <v>7203</v>
      </c>
      <c r="G381" s="61">
        <v>2025</v>
      </c>
      <c r="H381" s="61" t="s">
        <v>3128</v>
      </c>
      <c r="I381" s="61" t="s">
        <v>19</v>
      </c>
      <c r="J381" s="61"/>
      <c r="K381" s="61" t="s">
        <v>2445</v>
      </c>
      <c r="L381" s="61" t="s">
        <v>8031</v>
      </c>
      <c r="M381" s="475">
        <v>45946</v>
      </c>
      <c r="N381" s="475">
        <v>45947</v>
      </c>
      <c r="O381" s="61"/>
      <c r="P381" s="475">
        <v>45948</v>
      </c>
      <c r="Q381" s="475">
        <v>45950</v>
      </c>
      <c r="R381" s="61">
        <f t="shared" si="20"/>
        <v>1</v>
      </c>
      <c r="S381" s="61" t="str">
        <f t="shared" si="21"/>
        <v/>
      </c>
      <c r="T381" s="61">
        <f t="shared" si="23"/>
        <v>1</v>
      </c>
      <c r="U381" s="61">
        <f t="shared" si="22"/>
        <v>1</v>
      </c>
      <c r="V381" s="61" t="s">
        <v>150</v>
      </c>
      <c r="W381" s="61" t="s">
        <v>3527</v>
      </c>
      <c r="X381" s="61" t="s">
        <v>3528</v>
      </c>
      <c r="Y381" s="61"/>
      <c r="Z381" s="61"/>
      <c r="AA381" s="61" t="s">
        <v>182</v>
      </c>
      <c r="AB381" s="61"/>
    </row>
    <row r="382" spans="1:28" s="2" customFormat="1" ht="15">
      <c r="A382" s="61" t="s">
        <v>774</v>
      </c>
      <c r="B382" s="61" t="s">
        <v>1775</v>
      </c>
      <c r="C382" s="61" t="s">
        <v>2180</v>
      </c>
      <c r="D382" s="61" t="s">
        <v>7838</v>
      </c>
      <c r="E382" s="61">
        <v>4771</v>
      </c>
      <c r="F382" s="61">
        <v>6156</v>
      </c>
      <c r="G382" s="61">
        <v>2025</v>
      </c>
      <c r="H382" s="61" t="s">
        <v>3125</v>
      </c>
      <c r="I382" s="61" t="s">
        <v>19</v>
      </c>
      <c r="J382" s="61"/>
      <c r="K382" s="61" t="s">
        <v>2445</v>
      </c>
      <c r="L382" s="61" t="s">
        <v>8032</v>
      </c>
      <c r="M382" s="475">
        <v>45848</v>
      </c>
      <c r="N382" s="475">
        <v>45852</v>
      </c>
      <c r="O382" s="61"/>
      <c r="P382" s="475">
        <v>45853</v>
      </c>
      <c r="Q382" s="475">
        <v>45855</v>
      </c>
      <c r="R382" s="61">
        <f t="shared" si="20"/>
        <v>2</v>
      </c>
      <c r="S382" s="61" t="str">
        <f t="shared" si="21"/>
        <v/>
      </c>
      <c r="T382" s="61">
        <f t="shared" si="23"/>
        <v>1</v>
      </c>
      <c r="U382" s="61">
        <f t="shared" si="22"/>
        <v>2</v>
      </c>
      <c r="V382" s="61" t="s">
        <v>150</v>
      </c>
      <c r="W382" s="61" t="s">
        <v>3527</v>
      </c>
      <c r="X382" s="61" t="s">
        <v>3528</v>
      </c>
      <c r="Y382" s="61" t="s">
        <v>69</v>
      </c>
      <c r="Z382" s="61" t="s">
        <v>69</v>
      </c>
      <c r="AA382" s="61" t="s">
        <v>330</v>
      </c>
      <c r="AB382" s="61"/>
    </row>
    <row r="383" spans="1:28" s="2" customFormat="1" ht="15">
      <c r="A383" s="61" t="s">
        <v>774</v>
      </c>
      <c r="B383" s="61" t="s">
        <v>917</v>
      </c>
      <c r="C383" s="61" t="s">
        <v>3905</v>
      </c>
      <c r="D383" s="61" t="s">
        <v>7838</v>
      </c>
      <c r="E383" s="61">
        <v>2573</v>
      </c>
      <c r="F383" s="61">
        <v>2789</v>
      </c>
      <c r="G383" s="61"/>
      <c r="H383" s="61"/>
      <c r="I383" s="61" t="s">
        <v>179</v>
      </c>
      <c r="J383" s="61"/>
      <c r="K383" s="61" t="s">
        <v>2445</v>
      </c>
      <c r="L383" s="61"/>
      <c r="M383" s="61"/>
      <c r="N383" s="61"/>
      <c r="O383" s="61"/>
      <c r="P383" s="61"/>
      <c r="Q383" s="61"/>
      <c r="R383" s="61" t="str">
        <f t="shared" si="20"/>
        <v/>
      </c>
      <c r="S383" s="61" t="str">
        <f t="shared" si="21"/>
        <v/>
      </c>
      <c r="T383" s="61" t="str">
        <f t="shared" si="23"/>
        <v/>
      </c>
      <c r="U383" s="61" t="str">
        <f t="shared" si="22"/>
        <v/>
      </c>
      <c r="V383" s="61"/>
      <c r="W383" s="61"/>
      <c r="X383" s="61"/>
      <c r="Y383" s="61"/>
      <c r="Z383" s="61"/>
      <c r="AA383" s="61"/>
      <c r="AB383" s="61"/>
    </row>
    <row r="384" spans="1:28" s="2" customFormat="1" ht="15">
      <c r="A384" s="61" t="s">
        <v>774</v>
      </c>
      <c r="B384" s="61" t="s">
        <v>917</v>
      </c>
      <c r="C384" s="61" t="s">
        <v>3907</v>
      </c>
      <c r="D384" s="61" t="s">
        <v>7838</v>
      </c>
      <c r="E384" s="61">
        <v>3756</v>
      </c>
      <c r="F384" s="61">
        <v>3639</v>
      </c>
      <c r="G384" s="61"/>
      <c r="H384" s="61"/>
      <c r="I384" s="61" t="s">
        <v>179</v>
      </c>
      <c r="J384" s="61"/>
      <c r="K384" s="61" t="s">
        <v>2445</v>
      </c>
      <c r="L384" s="61"/>
      <c r="M384" s="61"/>
      <c r="N384" s="61"/>
      <c r="O384" s="61"/>
      <c r="P384" s="61"/>
      <c r="Q384" s="61"/>
      <c r="R384" s="61" t="str">
        <f t="shared" si="20"/>
        <v/>
      </c>
      <c r="S384" s="61" t="str">
        <f t="shared" si="21"/>
        <v/>
      </c>
      <c r="T384" s="61" t="str">
        <f t="shared" si="23"/>
        <v/>
      </c>
      <c r="U384" s="61" t="str">
        <f t="shared" si="22"/>
        <v/>
      </c>
      <c r="V384" s="61"/>
      <c r="W384" s="61"/>
      <c r="X384" s="61"/>
      <c r="Y384" s="61"/>
      <c r="Z384" s="61"/>
      <c r="AA384" s="61"/>
      <c r="AB384" s="61"/>
    </row>
    <row r="385" spans="1:28" s="2" customFormat="1" ht="15">
      <c r="A385" s="61" t="s">
        <v>774</v>
      </c>
      <c r="B385" s="61" t="s">
        <v>917</v>
      </c>
      <c r="C385" s="61" t="s">
        <v>3910</v>
      </c>
      <c r="D385" s="61" t="s">
        <v>7838</v>
      </c>
      <c r="E385" s="61">
        <v>2665</v>
      </c>
      <c r="F385" s="61">
        <v>3058</v>
      </c>
      <c r="G385" s="61"/>
      <c r="H385" s="61"/>
      <c r="I385" s="61" t="s">
        <v>179</v>
      </c>
      <c r="J385" s="61"/>
      <c r="K385" s="61" t="s">
        <v>2445</v>
      </c>
      <c r="L385" s="61"/>
      <c r="M385" s="61"/>
      <c r="N385" s="61"/>
      <c r="O385" s="61"/>
      <c r="P385" s="61"/>
      <c r="Q385" s="61"/>
      <c r="R385" s="61" t="str">
        <f t="shared" si="20"/>
        <v/>
      </c>
      <c r="S385" s="61" t="str">
        <f t="shared" si="21"/>
        <v/>
      </c>
      <c r="T385" s="61" t="str">
        <f t="shared" si="23"/>
        <v/>
      </c>
      <c r="U385" s="61" t="str">
        <f t="shared" si="22"/>
        <v/>
      </c>
      <c r="V385" s="61"/>
      <c r="W385" s="61"/>
      <c r="X385" s="61"/>
      <c r="Y385" s="61"/>
      <c r="Z385" s="61"/>
      <c r="AA385" s="61"/>
      <c r="AB385" s="61"/>
    </row>
    <row r="386" spans="1:28" s="2" customFormat="1" ht="15">
      <c r="A386" s="61" t="s">
        <v>774</v>
      </c>
      <c r="B386" s="61" t="s">
        <v>917</v>
      </c>
      <c r="C386" s="61" t="s">
        <v>3913</v>
      </c>
      <c r="D386" s="61" t="s">
        <v>7838</v>
      </c>
      <c r="E386" s="61">
        <v>4230</v>
      </c>
      <c r="F386" s="61">
        <v>4456</v>
      </c>
      <c r="G386" s="61"/>
      <c r="H386" s="61"/>
      <c r="I386" s="61" t="s">
        <v>179</v>
      </c>
      <c r="J386" s="61"/>
      <c r="K386" s="61" t="s">
        <v>2445</v>
      </c>
      <c r="L386" s="61"/>
      <c r="M386" s="61"/>
      <c r="N386" s="61"/>
      <c r="O386" s="61"/>
      <c r="P386" s="61"/>
      <c r="Q386" s="61"/>
      <c r="R386" s="61" t="str">
        <f t="shared" ref="R386:R449" si="24">IF(
    OR(ISBLANK(M386), ISBLANK(N386)),
    "",
    MAX(1, IF(
        NETWORKDAYS(M386, N386) &lt;= 0,
        1,
        NETWORKDAYS(M386, N386) - IF(M386 = N386, 0, 1)
    ))
)</f>
        <v/>
      </c>
      <c r="S386" s="61" t="str">
        <f t="shared" ref="S386:S449" si="25">IF(
    OR(ISBLANK(N386), ISBLANK(O386)),
    "",
    MAX(1, IF(
        NETWORKDAYS(N386, O386) &lt;= 0,
        1,
        NETWORKDAYS(N386, O386) - IF(N386 = O386, 0, 1)
    ))
)</f>
        <v/>
      </c>
      <c r="T386" s="61" t="str">
        <f t="shared" si="23"/>
        <v/>
      </c>
      <c r="U386" s="61" t="str">
        <f t="shared" ref="U386:U449" si="26">IF(
    OR(ISBLANK(P386), ISBLANK(Q386)),
    "",
    MAX(1, IF(
        NETWORKDAYS(P386, Q386) &lt;= 0,
        1,
        NETWORKDAYS(P386, Q386) - IF(P386 = Q386, 0, 1)
    ))
)</f>
        <v/>
      </c>
      <c r="V386" s="61"/>
      <c r="W386" s="61"/>
      <c r="X386" s="61"/>
      <c r="Y386" s="61"/>
      <c r="Z386" s="61"/>
      <c r="AA386" s="61"/>
      <c r="AB386" s="61"/>
    </row>
    <row r="387" spans="1:28" s="2" customFormat="1" ht="15">
      <c r="A387" s="61" t="s">
        <v>774</v>
      </c>
      <c r="B387" s="61" t="s">
        <v>917</v>
      </c>
      <c r="C387" s="61" t="s">
        <v>3565</v>
      </c>
      <c r="D387" s="61" t="s">
        <v>7838</v>
      </c>
      <c r="E387" s="61">
        <v>2480</v>
      </c>
      <c r="F387" s="61">
        <v>2555</v>
      </c>
      <c r="G387" s="61"/>
      <c r="H387" s="61"/>
      <c r="I387" s="61" t="s">
        <v>179</v>
      </c>
      <c r="J387" s="61"/>
      <c r="K387" s="61" t="s">
        <v>2445</v>
      </c>
      <c r="L387" s="61"/>
      <c r="M387" s="61"/>
      <c r="N387" s="61"/>
      <c r="O387" s="61"/>
      <c r="P387" s="61"/>
      <c r="Q387" s="61"/>
      <c r="R387" s="61" t="str">
        <f t="shared" si="24"/>
        <v/>
      </c>
      <c r="S387" s="61" t="str">
        <f t="shared" si="25"/>
        <v/>
      </c>
      <c r="T387" s="61" t="str">
        <f t="shared" ref="T387:T396" si="27">IF(
  OR(A387 = "Nueva_Ecija", A387 = "Zambales"),
  IF(
    OR(ISBLANK(O387), ISBLANK(P387)),
    "",
    MAX(1, IF(
      NETWORKDAYS(O387, P387) &lt;= 0,
      1,
      NETWORKDAYS(O387, P387) - IF(O387 = P387, 0, 1)
    ))
  ),
  IF(
    OR(ISBLANK(N387), ISBLANK(P387)),
    "",
    MAX(1, IF(
      NETWORKDAYS(N387, P387) &lt;= 0,
      1,
      NETWORKDAYS(N387, P387) - IF(N387 = P387, 0, 1)
    ))
  )
)</f>
        <v/>
      </c>
      <c r="U387" s="61" t="str">
        <f t="shared" si="26"/>
        <v/>
      </c>
      <c r="V387" s="61"/>
      <c r="W387" s="61"/>
      <c r="X387" s="61"/>
      <c r="Y387" s="61"/>
      <c r="Z387" s="61"/>
      <c r="AA387" s="61"/>
      <c r="AB387" s="61"/>
    </row>
    <row r="388" spans="1:28" s="2" customFormat="1" ht="15">
      <c r="A388" s="61" t="s">
        <v>774</v>
      </c>
      <c r="B388" s="61" t="s">
        <v>917</v>
      </c>
      <c r="C388" s="61" t="s">
        <v>3918</v>
      </c>
      <c r="D388" s="61" t="s">
        <v>7838</v>
      </c>
      <c r="E388" s="61">
        <v>2184</v>
      </c>
      <c r="F388" s="61">
        <v>2289</v>
      </c>
      <c r="G388" s="61"/>
      <c r="H388" s="61"/>
      <c r="I388" s="61" t="s">
        <v>179</v>
      </c>
      <c r="J388" s="61"/>
      <c r="K388" s="61" t="s">
        <v>2445</v>
      </c>
      <c r="L388" s="61"/>
      <c r="M388" s="475"/>
      <c r="N388" s="475"/>
      <c r="O388" s="61"/>
      <c r="P388" s="475"/>
      <c r="Q388" s="61"/>
      <c r="R388" s="61" t="str">
        <f t="shared" si="24"/>
        <v/>
      </c>
      <c r="S388" s="61" t="str">
        <f t="shared" si="25"/>
        <v/>
      </c>
      <c r="T388" s="61" t="str">
        <f t="shared" si="27"/>
        <v/>
      </c>
      <c r="U388" s="61" t="str">
        <f t="shared" si="26"/>
        <v/>
      </c>
      <c r="V388" s="61"/>
      <c r="W388" s="61"/>
      <c r="X388" s="61"/>
      <c r="Y388" s="61"/>
      <c r="Z388" s="61"/>
      <c r="AA388" s="61"/>
      <c r="AB388" s="61"/>
    </row>
    <row r="389" spans="1:28" s="2" customFormat="1" ht="15">
      <c r="A389" s="61" t="s">
        <v>774</v>
      </c>
      <c r="B389" s="61" t="s">
        <v>917</v>
      </c>
      <c r="C389" s="61" t="s">
        <v>3921</v>
      </c>
      <c r="D389" s="61" t="s">
        <v>7838</v>
      </c>
      <c r="E389" s="61">
        <v>753</v>
      </c>
      <c r="F389" s="61">
        <v>793</v>
      </c>
      <c r="G389" s="61"/>
      <c r="H389" s="61"/>
      <c r="I389" s="61" t="s">
        <v>179</v>
      </c>
      <c r="J389" s="61"/>
      <c r="K389" s="61" t="s">
        <v>2445</v>
      </c>
      <c r="L389" s="61"/>
      <c r="M389" s="61"/>
      <c r="N389" s="61"/>
      <c r="O389" s="61"/>
      <c r="P389" s="61"/>
      <c r="Q389" s="61"/>
      <c r="R389" s="61" t="str">
        <f t="shared" si="24"/>
        <v/>
      </c>
      <c r="S389" s="61" t="str">
        <f t="shared" si="25"/>
        <v/>
      </c>
      <c r="T389" s="61" t="str">
        <f t="shared" si="27"/>
        <v/>
      </c>
      <c r="U389" s="61" t="str">
        <f t="shared" si="26"/>
        <v/>
      </c>
      <c r="V389" s="61"/>
      <c r="W389" s="61"/>
      <c r="X389" s="61"/>
      <c r="Y389" s="61"/>
      <c r="Z389" s="61"/>
      <c r="AA389" s="61"/>
      <c r="AB389" s="61"/>
    </row>
    <row r="390" spans="1:28" s="2" customFormat="1" ht="15">
      <c r="A390" s="61" t="s">
        <v>776</v>
      </c>
      <c r="B390" s="61" t="s">
        <v>934</v>
      </c>
      <c r="C390" s="61" t="s">
        <v>935</v>
      </c>
      <c r="D390" s="61" t="s">
        <v>7838</v>
      </c>
      <c r="E390" s="61">
        <v>5182</v>
      </c>
      <c r="F390" s="61">
        <v>5560</v>
      </c>
      <c r="G390" s="61">
        <v>2025</v>
      </c>
      <c r="H390" s="61" t="s">
        <v>3532</v>
      </c>
      <c r="I390" s="61" t="s">
        <v>200</v>
      </c>
      <c r="J390" s="61"/>
      <c r="K390" s="61" t="s">
        <v>1982</v>
      </c>
      <c r="L390" s="61" t="s">
        <v>8033</v>
      </c>
      <c r="M390" s="475">
        <v>45791</v>
      </c>
      <c r="N390" s="475">
        <v>45796</v>
      </c>
      <c r="O390" s="475"/>
      <c r="P390" s="475">
        <v>45797</v>
      </c>
      <c r="Q390" s="475">
        <v>45797</v>
      </c>
      <c r="R390" s="61">
        <f t="shared" si="24"/>
        <v>3</v>
      </c>
      <c r="S390" s="61" t="str">
        <f t="shared" si="25"/>
        <v/>
      </c>
      <c r="T390" s="61">
        <f t="shared" si="27"/>
        <v>1</v>
      </c>
      <c r="U390" s="61">
        <f t="shared" si="26"/>
        <v>1</v>
      </c>
      <c r="V390" s="61" t="s">
        <v>150</v>
      </c>
      <c r="W390" s="61" t="s">
        <v>4</v>
      </c>
      <c r="X390" s="61" t="s">
        <v>50</v>
      </c>
      <c r="Y390" s="61">
        <v>14.951499999999999</v>
      </c>
      <c r="Z390" s="61">
        <v>121.02419999999999</v>
      </c>
      <c r="AA390" s="61"/>
      <c r="AB390" s="61"/>
    </row>
    <row r="391" spans="1:28" s="2" customFormat="1" ht="15">
      <c r="A391" s="61" t="s">
        <v>776</v>
      </c>
      <c r="B391" s="61" t="s">
        <v>934</v>
      </c>
      <c r="C391" s="61" t="s">
        <v>3939</v>
      </c>
      <c r="D391" s="61" t="s">
        <v>7838</v>
      </c>
      <c r="E391" s="61">
        <v>1447</v>
      </c>
      <c r="F391" s="61">
        <v>1738</v>
      </c>
      <c r="G391" s="61">
        <v>2025</v>
      </c>
      <c r="H391" s="61" t="s">
        <v>3126</v>
      </c>
      <c r="I391" s="61" t="s">
        <v>200</v>
      </c>
      <c r="J391" s="61"/>
      <c r="K391" s="61" t="s">
        <v>1982</v>
      </c>
      <c r="L391" s="61" t="s">
        <v>8034</v>
      </c>
      <c r="M391" s="475">
        <v>45881</v>
      </c>
      <c r="N391" s="475">
        <v>45885</v>
      </c>
      <c r="O391" s="61"/>
      <c r="P391" s="475">
        <v>45887</v>
      </c>
      <c r="Q391" s="475">
        <v>45888</v>
      </c>
      <c r="R391" s="61">
        <f t="shared" si="24"/>
        <v>3</v>
      </c>
      <c r="S391" s="61" t="str">
        <f t="shared" si="25"/>
        <v/>
      </c>
      <c r="T391" s="61">
        <f t="shared" si="27"/>
        <v>1</v>
      </c>
      <c r="U391" s="61">
        <f t="shared" si="26"/>
        <v>1</v>
      </c>
      <c r="V391" s="61" t="s">
        <v>150</v>
      </c>
      <c r="W391" s="61" t="s">
        <v>4</v>
      </c>
      <c r="X391" s="61" t="s">
        <v>57</v>
      </c>
      <c r="Y391" s="506">
        <v>14.921099999999999</v>
      </c>
      <c r="Z391" s="506">
        <v>120.9633</v>
      </c>
      <c r="AA391" s="61"/>
      <c r="AB391" s="61"/>
    </row>
    <row r="392" spans="1:28" s="2" customFormat="1" ht="15">
      <c r="A392" s="61" t="s">
        <v>776</v>
      </c>
      <c r="B392" s="61" t="s">
        <v>934</v>
      </c>
      <c r="C392" s="61" t="s">
        <v>3915</v>
      </c>
      <c r="D392" s="61" t="s">
        <v>7838</v>
      </c>
      <c r="E392" s="61">
        <v>5168</v>
      </c>
      <c r="F392" s="61">
        <v>4747</v>
      </c>
      <c r="G392" s="61">
        <v>2025</v>
      </c>
      <c r="H392" s="61" t="s">
        <v>3126</v>
      </c>
      <c r="I392" s="61" t="s">
        <v>200</v>
      </c>
      <c r="J392" s="61"/>
      <c r="K392" s="61" t="s">
        <v>1982</v>
      </c>
      <c r="L392" s="61" t="s">
        <v>8035</v>
      </c>
      <c r="M392" s="475">
        <v>45881</v>
      </c>
      <c r="N392" s="475">
        <v>45885</v>
      </c>
      <c r="O392" s="61"/>
      <c r="P392" s="475">
        <v>45888</v>
      </c>
      <c r="Q392" s="475">
        <v>45888</v>
      </c>
      <c r="R392" s="61">
        <f t="shared" si="24"/>
        <v>3</v>
      </c>
      <c r="S392" s="61" t="str">
        <f t="shared" si="25"/>
        <v/>
      </c>
      <c r="T392" s="61">
        <f t="shared" si="27"/>
        <v>1</v>
      </c>
      <c r="U392" s="61">
        <f t="shared" si="26"/>
        <v>1</v>
      </c>
      <c r="V392" s="61" t="s">
        <v>150</v>
      </c>
      <c r="W392" s="61" t="s">
        <v>4</v>
      </c>
      <c r="X392" s="61" t="s">
        <v>50</v>
      </c>
      <c r="Y392" s="506">
        <v>14.9328</v>
      </c>
      <c r="Z392" s="506">
        <v>121.0252</v>
      </c>
      <c r="AA392" s="61"/>
      <c r="AB392" s="61"/>
    </row>
    <row r="393" spans="1:28" s="2" customFormat="1" ht="15">
      <c r="A393" s="61" t="s">
        <v>776</v>
      </c>
      <c r="B393" s="61" t="s">
        <v>934</v>
      </c>
      <c r="C393" s="61" t="s">
        <v>3946</v>
      </c>
      <c r="D393" s="61" t="s">
        <v>7838</v>
      </c>
      <c r="E393" s="61">
        <v>5723</v>
      </c>
      <c r="F393" s="61">
        <v>5910</v>
      </c>
      <c r="G393" s="61">
        <v>2025</v>
      </c>
      <c r="H393" s="61" t="s">
        <v>3126</v>
      </c>
      <c r="I393" s="61" t="s">
        <v>200</v>
      </c>
      <c r="J393" s="61"/>
      <c r="K393" s="61" t="s">
        <v>1982</v>
      </c>
      <c r="L393" s="61" t="s">
        <v>8036</v>
      </c>
      <c r="M393" s="475">
        <v>45881</v>
      </c>
      <c r="N393" s="475">
        <v>45885</v>
      </c>
      <c r="O393" s="61"/>
      <c r="P393" s="475">
        <v>45888</v>
      </c>
      <c r="Q393" s="475">
        <v>45888</v>
      </c>
      <c r="R393" s="61">
        <f t="shared" si="24"/>
        <v>3</v>
      </c>
      <c r="S393" s="61" t="str">
        <f t="shared" si="25"/>
        <v/>
      </c>
      <c r="T393" s="61">
        <f t="shared" si="27"/>
        <v>1</v>
      </c>
      <c r="U393" s="61">
        <f t="shared" si="26"/>
        <v>1</v>
      </c>
      <c r="V393" s="61" t="s">
        <v>150</v>
      </c>
      <c r="W393" s="61" t="s">
        <v>4</v>
      </c>
      <c r="X393" s="61" t="s">
        <v>57</v>
      </c>
      <c r="Y393" s="506">
        <v>14.9399</v>
      </c>
      <c r="Z393" s="506">
        <v>121.00700000000001</v>
      </c>
      <c r="AA393" s="61"/>
      <c r="AB393" s="61"/>
    </row>
    <row r="394" spans="1:28" s="2" customFormat="1" ht="15">
      <c r="A394" s="61" t="s">
        <v>776</v>
      </c>
      <c r="B394" s="61" t="s">
        <v>934</v>
      </c>
      <c r="C394" s="61" t="s">
        <v>3948</v>
      </c>
      <c r="D394" s="61" t="s">
        <v>7838</v>
      </c>
      <c r="E394" s="61">
        <v>3223</v>
      </c>
      <c r="F394" s="61">
        <v>3954</v>
      </c>
      <c r="G394" s="61">
        <v>2025</v>
      </c>
      <c r="H394" s="61" t="s">
        <v>3126</v>
      </c>
      <c r="I394" s="61" t="s">
        <v>200</v>
      </c>
      <c r="J394" s="61"/>
      <c r="K394" s="61" t="s">
        <v>1982</v>
      </c>
      <c r="L394" s="61" t="s">
        <v>8037</v>
      </c>
      <c r="M394" s="475">
        <v>45881</v>
      </c>
      <c r="N394" s="475">
        <v>45885</v>
      </c>
      <c r="O394" s="61"/>
      <c r="P394" s="475">
        <v>45887</v>
      </c>
      <c r="Q394" s="475">
        <v>45888</v>
      </c>
      <c r="R394" s="61">
        <f t="shared" si="24"/>
        <v>3</v>
      </c>
      <c r="S394" s="61" t="str">
        <f t="shared" si="25"/>
        <v/>
      </c>
      <c r="T394" s="61">
        <f t="shared" si="27"/>
        <v>1</v>
      </c>
      <c r="U394" s="61">
        <f t="shared" si="26"/>
        <v>1</v>
      </c>
      <c r="V394" s="61" t="s">
        <v>150</v>
      </c>
      <c r="W394" s="61" t="s">
        <v>4</v>
      </c>
      <c r="X394" s="61" t="s">
        <v>57</v>
      </c>
      <c r="Y394" s="506">
        <v>14.927300000000001</v>
      </c>
      <c r="Z394" s="506">
        <v>120.99339999999999</v>
      </c>
      <c r="AA394" s="61"/>
      <c r="AB394" s="61"/>
    </row>
    <row r="395" spans="1:28" s="2" customFormat="1" ht="15">
      <c r="A395" s="61" t="s">
        <v>776</v>
      </c>
      <c r="B395" s="61" t="s">
        <v>934</v>
      </c>
      <c r="C395" s="61" t="s">
        <v>3924</v>
      </c>
      <c r="D395" s="61" t="s">
        <v>7838</v>
      </c>
      <c r="E395" s="61">
        <v>2140</v>
      </c>
      <c r="F395" s="61">
        <v>2327</v>
      </c>
      <c r="G395" s="61">
        <v>2025</v>
      </c>
      <c r="H395" s="61" t="s">
        <v>3532</v>
      </c>
      <c r="I395" s="61" t="s">
        <v>200</v>
      </c>
      <c r="J395" s="61"/>
      <c r="K395" s="61" t="s">
        <v>1982</v>
      </c>
      <c r="L395" s="61" t="s">
        <v>8038</v>
      </c>
      <c r="M395" s="475">
        <v>45791</v>
      </c>
      <c r="N395" s="475">
        <v>45796</v>
      </c>
      <c r="O395" s="61"/>
      <c r="P395" s="475">
        <v>45797</v>
      </c>
      <c r="Q395" s="475">
        <v>45797</v>
      </c>
      <c r="R395" s="61">
        <f t="shared" si="24"/>
        <v>3</v>
      </c>
      <c r="S395" s="61" t="str">
        <f t="shared" si="25"/>
        <v/>
      </c>
      <c r="T395" s="61">
        <f t="shared" si="27"/>
        <v>1</v>
      </c>
      <c r="U395" s="61">
        <f t="shared" si="26"/>
        <v>1</v>
      </c>
      <c r="V395" s="61" t="s">
        <v>150</v>
      </c>
      <c r="W395" s="61" t="s">
        <v>1078</v>
      </c>
      <c r="X395" s="61" t="s">
        <v>50</v>
      </c>
      <c r="Y395" s="61">
        <v>14.944599999999999</v>
      </c>
      <c r="Z395" s="61">
        <v>121.0471</v>
      </c>
      <c r="AA395" s="61"/>
      <c r="AB395" s="61"/>
    </row>
    <row r="396" spans="1:28" s="2" customFormat="1" ht="15">
      <c r="A396" s="61" t="s">
        <v>776</v>
      </c>
      <c r="B396" s="61" t="s">
        <v>934</v>
      </c>
      <c r="C396" s="61" t="s">
        <v>3926</v>
      </c>
      <c r="D396" s="61" t="s">
        <v>7838</v>
      </c>
      <c r="E396" s="61">
        <v>855</v>
      </c>
      <c r="F396" s="61">
        <v>910</v>
      </c>
      <c r="G396" s="61">
        <v>2025</v>
      </c>
      <c r="H396" s="61" t="s">
        <v>3532</v>
      </c>
      <c r="I396" s="61" t="s">
        <v>200</v>
      </c>
      <c r="J396" s="61"/>
      <c r="K396" s="61" t="s">
        <v>1982</v>
      </c>
      <c r="L396" s="61" t="s">
        <v>8039</v>
      </c>
      <c r="M396" s="475">
        <v>45791</v>
      </c>
      <c r="N396" s="475">
        <v>45796</v>
      </c>
      <c r="O396" s="61"/>
      <c r="P396" s="475">
        <v>45797</v>
      </c>
      <c r="Q396" s="475">
        <v>45797</v>
      </c>
      <c r="R396" s="61">
        <f t="shared" si="24"/>
        <v>3</v>
      </c>
      <c r="S396" s="61" t="str">
        <f t="shared" si="25"/>
        <v/>
      </c>
      <c r="T396" s="61">
        <f t="shared" si="27"/>
        <v>1</v>
      </c>
      <c r="U396" s="61">
        <f t="shared" si="26"/>
        <v>1</v>
      </c>
      <c r="V396" s="61" t="s">
        <v>150</v>
      </c>
      <c r="W396" s="61" t="s">
        <v>1078</v>
      </c>
      <c r="X396" s="61" t="s">
        <v>50</v>
      </c>
      <c r="Y396" s="61">
        <v>14.940200000000001</v>
      </c>
      <c r="Z396" s="61">
        <v>121.04</v>
      </c>
      <c r="AA396" s="61"/>
      <c r="AB396" s="61"/>
    </row>
    <row r="397" spans="1:28" s="2" customFormat="1" ht="15">
      <c r="A397" s="61" t="s">
        <v>776</v>
      </c>
      <c r="B397" s="61" t="s">
        <v>934</v>
      </c>
      <c r="C397" s="61" t="s">
        <v>3931</v>
      </c>
      <c r="D397" s="61" t="s">
        <v>7838</v>
      </c>
      <c r="E397" s="61">
        <v>4665</v>
      </c>
      <c r="F397" s="61">
        <v>5116</v>
      </c>
      <c r="G397" s="61">
        <v>2025</v>
      </c>
      <c r="H397" s="61" t="s">
        <v>3129</v>
      </c>
      <c r="I397" s="61" t="s">
        <v>200</v>
      </c>
      <c r="J397" s="61" t="s">
        <v>1838</v>
      </c>
      <c r="K397" s="61" t="s">
        <v>1982</v>
      </c>
      <c r="L397" s="61" t="s">
        <v>8040</v>
      </c>
      <c r="M397" s="475">
        <v>45968</v>
      </c>
      <c r="N397" s="475">
        <v>45971</v>
      </c>
      <c r="O397" s="475">
        <v>45979</v>
      </c>
      <c r="P397" s="475">
        <v>45979</v>
      </c>
      <c r="Q397" s="475">
        <v>45979</v>
      </c>
      <c r="R397" s="61">
        <f t="shared" si="24"/>
        <v>1</v>
      </c>
      <c r="S397" s="61">
        <f t="shared" si="25"/>
        <v>6</v>
      </c>
      <c r="T397" s="61">
        <f>IF(
    OR(ISBLANK(O397), ISBLANK(P397)),
    "",
    MAX(1, IF(
        NETWORKDAYS(O397, P397) &lt;= 0,
        1,
        NETWORKDAYS(O397, P397) - IF(O397 = P397, 0, 1)
    ))
)</f>
        <v>1</v>
      </c>
      <c r="U397" s="61">
        <f t="shared" si="26"/>
        <v>1</v>
      </c>
      <c r="V397" s="61" t="s">
        <v>150</v>
      </c>
      <c r="W397" s="61" t="s">
        <v>1078</v>
      </c>
      <c r="X397" s="61" t="s">
        <v>50</v>
      </c>
      <c r="Y397" s="61">
        <v>14.9229</v>
      </c>
      <c r="Z397" s="61">
        <v>121.0093</v>
      </c>
      <c r="AA397" s="61"/>
      <c r="AB397" s="61"/>
    </row>
    <row r="398" spans="1:28" s="2" customFormat="1" ht="15">
      <c r="A398" s="61" t="s">
        <v>776</v>
      </c>
      <c r="B398" s="61" t="s">
        <v>934</v>
      </c>
      <c r="C398" s="61" t="s">
        <v>3933</v>
      </c>
      <c r="D398" s="61" t="s">
        <v>7838</v>
      </c>
      <c r="E398" s="61">
        <v>1225</v>
      </c>
      <c r="F398" s="61">
        <v>1787</v>
      </c>
      <c r="G398" s="61">
        <v>2025</v>
      </c>
      <c r="H398" s="61" t="s">
        <v>3129</v>
      </c>
      <c r="I398" s="61" t="s">
        <v>200</v>
      </c>
      <c r="J398" s="61" t="s">
        <v>1838</v>
      </c>
      <c r="K398" s="61" t="s">
        <v>1982</v>
      </c>
      <c r="L398" s="61" t="s">
        <v>8041</v>
      </c>
      <c r="M398" s="475">
        <v>45968</v>
      </c>
      <c r="N398" s="475">
        <v>45971</v>
      </c>
      <c r="O398" s="475">
        <v>45971</v>
      </c>
      <c r="P398" s="475">
        <v>45979</v>
      </c>
      <c r="Q398" s="475">
        <v>45979</v>
      </c>
      <c r="R398" s="61">
        <f t="shared" si="24"/>
        <v>1</v>
      </c>
      <c r="S398" s="61">
        <f t="shared" si="25"/>
        <v>1</v>
      </c>
      <c r="T398" s="61">
        <f>IF(
  OR(A398 = "Nueva_Ecija", A398 = "Zambales"),
  IF(
    OR(ISBLANK(O398), ISBLANK(P398)),
    "",
    MAX(1, IF(
      NETWORKDAYS(O398, P398) &lt;= 0,
      1,
      NETWORKDAYS(O398, P398) - IF(O398 = P398, 0, 1)
    ))
  ),
  IF(
    OR(ISBLANK(N398), ISBLANK(P398)),
    "",
    MAX(1, IF(
      NETWORKDAYS(N398, P398) &lt;= 0,
      1,
      NETWORKDAYS(N398, P398) - IF(N398 = P398, 0, 1)
    ))
  )
)</f>
        <v>6</v>
      </c>
      <c r="U398" s="61">
        <f t="shared" si="26"/>
        <v>1</v>
      </c>
      <c r="V398" s="61" t="s">
        <v>150</v>
      </c>
      <c r="W398" s="61" t="s">
        <v>4</v>
      </c>
      <c r="X398" s="61" t="s">
        <v>57</v>
      </c>
      <c r="Y398" s="61">
        <v>14.921900000000001</v>
      </c>
      <c r="Z398" s="61">
        <v>121.04040000000001</v>
      </c>
      <c r="AA398" s="61"/>
      <c r="AB398" s="61"/>
    </row>
    <row r="399" spans="1:28" s="2" customFormat="1" ht="15">
      <c r="A399" s="61" t="s">
        <v>776</v>
      </c>
      <c r="B399" s="61" t="s">
        <v>934</v>
      </c>
      <c r="C399" s="61" t="s">
        <v>3941</v>
      </c>
      <c r="D399" s="61" t="s">
        <v>7838</v>
      </c>
      <c r="E399" s="61">
        <v>4940</v>
      </c>
      <c r="F399" s="61">
        <v>5940</v>
      </c>
      <c r="G399" s="61">
        <v>2025</v>
      </c>
      <c r="H399" s="61" t="s">
        <v>3129</v>
      </c>
      <c r="I399" s="61" t="s">
        <v>200</v>
      </c>
      <c r="J399" s="61" t="s">
        <v>1838</v>
      </c>
      <c r="K399" s="61" t="s">
        <v>1982</v>
      </c>
      <c r="L399" s="61" t="s">
        <v>8042</v>
      </c>
      <c r="M399" s="475">
        <v>45968</v>
      </c>
      <c r="N399" s="475">
        <v>45971</v>
      </c>
      <c r="O399" s="475">
        <v>45979</v>
      </c>
      <c r="P399" s="475">
        <v>45979</v>
      </c>
      <c r="Q399" s="475">
        <v>45979</v>
      </c>
      <c r="R399" s="61">
        <f t="shared" si="24"/>
        <v>1</v>
      </c>
      <c r="S399" s="61">
        <f t="shared" si="25"/>
        <v>6</v>
      </c>
      <c r="T399" s="61">
        <f>IF(
    OR(ISBLANK(O399), ISBLANK(P399)),
    "",
    MAX(1, IF(
        NETWORKDAYS(O399, P399) &lt;= 0,
        1,
        NETWORKDAYS(O399, P399) - IF(O399 = P399, 0, 1)
    ))
)</f>
        <v>1</v>
      </c>
      <c r="U399" s="61">
        <f t="shared" si="26"/>
        <v>1</v>
      </c>
      <c r="V399" s="61" t="s">
        <v>150</v>
      </c>
      <c r="W399" s="61" t="s">
        <v>4</v>
      </c>
      <c r="X399" s="61" t="s">
        <v>57</v>
      </c>
      <c r="Y399" s="61">
        <v>14.9017</v>
      </c>
      <c r="Z399" s="61">
        <v>121.01390000000001</v>
      </c>
      <c r="AA399" s="61"/>
      <c r="AB399" s="61"/>
    </row>
    <row r="400" spans="1:28" s="2" customFormat="1" ht="15">
      <c r="A400" s="61" t="s">
        <v>776</v>
      </c>
      <c r="B400" s="61" t="s">
        <v>934</v>
      </c>
      <c r="C400" s="61" t="s">
        <v>3929</v>
      </c>
      <c r="D400" s="61" t="s">
        <v>7838</v>
      </c>
      <c r="E400" s="61">
        <v>4344</v>
      </c>
      <c r="F400" s="61">
        <v>5552</v>
      </c>
      <c r="G400" s="61">
        <v>2025</v>
      </c>
      <c r="H400" s="61" t="s">
        <v>3127</v>
      </c>
      <c r="I400" s="61" t="s">
        <v>200</v>
      </c>
      <c r="J400" s="61" t="s">
        <v>1838</v>
      </c>
      <c r="K400" s="61" t="s">
        <v>1982</v>
      </c>
      <c r="L400" s="61" t="s">
        <v>8043</v>
      </c>
      <c r="M400" s="475">
        <v>45912</v>
      </c>
      <c r="N400" s="475">
        <v>45915</v>
      </c>
      <c r="O400" s="475">
        <v>45916</v>
      </c>
      <c r="P400" s="475">
        <v>45916</v>
      </c>
      <c r="Q400" s="475">
        <v>45918</v>
      </c>
      <c r="R400" s="61">
        <f t="shared" si="24"/>
        <v>1</v>
      </c>
      <c r="S400" s="61">
        <f t="shared" si="25"/>
        <v>1</v>
      </c>
      <c r="T400" s="61">
        <f t="shared" ref="T400:T431" si="28">IF(
  OR(A400 = "Nueva_Ecija", A400 = "Zambales"),
  IF(
    OR(ISBLANK(O400), ISBLANK(P400)),
    "",
    MAX(1, IF(
      NETWORKDAYS(O400, P400) &lt;= 0,
      1,
      NETWORKDAYS(O400, P400) - IF(O400 = P400, 0, 1)
    ))
  ),
  IF(
    OR(ISBLANK(N400), ISBLANK(P400)),
    "",
    MAX(1, IF(
      NETWORKDAYS(N400, P400) &lt;= 0,
      1,
      NETWORKDAYS(N400, P400) - IF(N400 = P400, 0, 1)
    ))
  )
)</f>
        <v>1</v>
      </c>
      <c r="U400" s="61">
        <f t="shared" si="26"/>
        <v>2</v>
      </c>
      <c r="V400" s="61" t="s">
        <v>150</v>
      </c>
      <c r="W400" s="61" t="s">
        <v>4</v>
      </c>
      <c r="X400" s="61" t="s">
        <v>50</v>
      </c>
      <c r="Y400" s="61">
        <v>14.952500000000001</v>
      </c>
      <c r="Z400" s="61">
        <v>120.9987</v>
      </c>
      <c r="AA400" s="61"/>
      <c r="AB400" s="61"/>
    </row>
    <row r="401" spans="1:28" s="2" customFormat="1" ht="15">
      <c r="A401" s="61" t="s">
        <v>776</v>
      </c>
      <c r="B401" s="61" t="s">
        <v>934</v>
      </c>
      <c r="C401" s="61" t="s">
        <v>3768</v>
      </c>
      <c r="D401" s="61" t="s">
        <v>7838</v>
      </c>
      <c r="E401" s="61">
        <v>4999</v>
      </c>
      <c r="F401" s="61">
        <v>5132</v>
      </c>
      <c r="G401" s="61">
        <v>2025</v>
      </c>
      <c r="H401" s="61" t="s">
        <v>3127</v>
      </c>
      <c r="I401" s="61" t="s">
        <v>200</v>
      </c>
      <c r="J401" s="61" t="s">
        <v>1838</v>
      </c>
      <c r="K401" s="61" t="s">
        <v>1982</v>
      </c>
      <c r="L401" s="61" t="s">
        <v>8044</v>
      </c>
      <c r="M401" s="475">
        <v>45912</v>
      </c>
      <c r="N401" s="475">
        <v>45915</v>
      </c>
      <c r="O401" s="475">
        <v>45916</v>
      </c>
      <c r="P401" s="475">
        <v>45916</v>
      </c>
      <c r="Q401" s="475">
        <v>45918</v>
      </c>
      <c r="R401" s="61">
        <f t="shared" si="24"/>
        <v>1</v>
      </c>
      <c r="S401" s="61">
        <f t="shared" si="25"/>
        <v>1</v>
      </c>
      <c r="T401" s="61">
        <f t="shared" si="28"/>
        <v>1</v>
      </c>
      <c r="U401" s="61">
        <f t="shared" si="26"/>
        <v>2</v>
      </c>
      <c r="V401" s="61" t="s">
        <v>150</v>
      </c>
      <c r="W401" s="61" t="s">
        <v>4</v>
      </c>
      <c r="X401" s="61" t="s">
        <v>50</v>
      </c>
      <c r="Y401" s="506">
        <v>14.929500000000001</v>
      </c>
      <c r="Z401" s="506">
        <v>121.0338</v>
      </c>
      <c r="AA401" s="61"/>
      <c r="AB401" s="61"/>
    </row>
    <row r="402" spans="1:28" s="2" customFormat="1" ht="15">
      <c r="A402" s="61" t="s">
        <v>776</v>
      </c>
      <c r="B402" s="61" t="s">
        <v>934</v>
      </c>
      <c r="C402" s="61" t="s">
        <v>3937</v>
      </c>
      <c r="D402" s="61" t="s">
        <v>7838</v>
      </c>
      <c r="E402" s="61">
        <v>5641</v>
      </c>
      <c r="F402" s="61">
        <v>5875</v>
      </c>
      <c r="G402" s="61">
        <v>2025</v>
      </c>
      <c r="H402" s="61" t="s">
        <v>3127</v>
      </c>
      <c r="I402" s="61" t="s">
        <v>200</v>
      </c>
      <c r="J402" s="61" t="s">
        <v>1838</v>
      </c>
      <c r="K402" s="61" t="s">
        <v>1982</v>
      </c>
      <c r="L402" s="61" t="s">
        <v>8045</v>
      </c>
      <c r="M402" s="475">
        <v>45912</v>
      </c>
      <c r="N402" s="475">
        <v>45915</v>
      </c>
      <c r="O402" s="475">
        <v>45916</v>
      </c>
      <c r="P402" s="475">
        <v>45916</v>
      </c>
      <c r="Q402" s="475">
        <v>45918</v>
      </c>
      <c r="R402" s="61">
        <f t="shared" si="24"/>
        <v>1</v>
      </c>
      <c r="S402" s="61">
        <f t="shared" si="25"/>
        <v>1</v>
      </c>
      <c r="T402" s="61">
        <f t="shared" si="28"/>
        <v>1</v>
      </c>
      <c r="U402" s="61">
        <f t="shared" si="26"/>
        <v>2</v>
      </c>
      <c r="V402" s="61" t="s">
        <v>150</v>
      </c>
      <c r="W402" s="61" t="s">
        <v>3527</v>
      </c>
      <c r="X402" s="61" t="s">
        <v>3528</v>
      </c>
      <c r="Y402" s="506">
        <v>14.925800000000001</v>
      </c>
      <c r="Z402" s="506">
        <v>121.0296</v>
      </c>
      <c r="AA402" s="61"/>
      <c r="AB402" s="61"/>
    </row>
    <row r="403" spans="1:28" s="2" customFormat="1" ht="15">
      <c r="A403" s="61" t="s">
        <v>776</v>
      </c>
      <c r="B403" s="61" t="s">
        <v>934</v>
      </c>
      <c r="C403" s="61" t="s">
        <v>3565</v>
      </c>
      <c r="D403" s="61" t="s">
        <v>7838</v>
      </c>
      <c r="E403" s="61">
        <v>2475</v>
      </c>
      <c r="F403" s="61">
        <v>2911</v>
      </c>
      <c r="G403" s="61">
        <v>2025</v>
      </c>
      <c r="H403" s="61" t="s">
        <v>3127</v>
      </c>
      <c r="I403" s="61" t="s">
        <v>200</v>
      </c>
      <c r="J403" s="61" t="s">
        <v>1838</v>
      </c>
      <c r="K403" s="61" t="s">
        <v>1982</v>
      </c>
      <c r="L403" s="61" t="s">
        <v>8046</v>
      </c>
      <c r="M403" s="475">
        <v>45912</v>
      </c>
      <c r="N403" s="475">
        <v>45915</v>
      </c>
      <c r="O403" s="475">
        <v>45916</v>
      </c>
      <c r="P403" s="475">
        <v>45916</v>
      </c>
      <c r="Q403" s="475">
        <v>45918</v>
      </c>
      <c r="R403" s="61">
        <f t="shared" si="24"/>
        <v>1</v>
      </c>
      <c r="S403" s="61">
        <f t="shared" si="25"/>
        <v>1</v>
      </c>
      <c r="T403" s="61">
        <f t="shared" si="28"/>
        <v>1</v>
      </c>
      <c r="U403" s="61">
        <f t="shared" si="26"/>
        <v>2</v>
      </c>
      <c r="V403" s="61" t="s">
        <v>150</v>
      </c>
      <c r="W403" s="61" t="s">
        <v>3527</v>
      </c>
      <c r="X403" s="61" t="s">
        <v>3528</v>
      </c>
      <c r="Y403" s="506">
        <v>14.940799999999999</v>
      </c>
      <c r="Z403" s="506">
        <v>121.029</v>
      </c>
      <c r="AA403" s="61"/>
      <c r="AB403" s="61"/>
    </row>
    <row r="404" spans="1:28" s="2" customFormat="1" ht="15">
      <c r="A404" s="61" t="s">
        <v>776</v>
      </c>
      <c r="B404" s="61" t="s">
        <v>934</v>
      </c>
      <c r="C404" s="61" t="s">
        <v>3922</v>
      </c>
      <c r="D404" s="61" t="s">
        <v>7838</v>
      </c>
      <c r="E404" s="61">
        <v>2603</v>
      </c>
      <c r="F404" s="61">
        <v>2902</v>
      </c>
      <c r="G404" s="61">
        <v>2025</v>
      </c>
      <c r="H404" s="61" t="s">
        <v>3127</v>
      </c>
      <c r="I404" s="61" t="s">
        <v>200</v>
      </c>
      <c r="J404" s="61" t="s">
        <v>1838</v>
      </c>
      <c r="K404" s="61" t="s">
        <v>1982</v>
      </c>
      <c r="L404" s="61" t="s">
        <v>8047</v>
      </c>
      <c r="M404" s="475">
        <v>45912</v>
      </c>
      <c r="N404" s="475">
        <v>45915</v>
      </c>
      <c r="O404" s="475">
        <v>45916</v>
      </c>
      <c r="P404" s="475">
        <v>45916</v>
      </c>
      <c r="Q404" s="475">
        <v>45918</v>
      </c>
      <c r="R404" s="61">
        <f t="shared" si="24"/>
        <v>1</v>
      </c>
      <c r="S404" s="61">
        <f t="shared" si="25"/>
        <v>1</v>
      </c>
      <c r="T404" s="61">
        <f t="shared" si="28"/>
        <v>1</v>
      </c>
      <c r="U404" s="61">
        <f t="shared" si="26"/>
        <v>2</v>
      </c>
      <c r="V404" s="61" t="s">
        <v>150</v>
      </c>
      <c r="W404" s="61" t="s">
        <v>3527</v>
      </c>
      <c r="X404" s="61" t="s">
        <v>3528</v>
      </c>
      <c r="Y404" s="61" t="s">
        <v>69</v>
      </c>
      <c r="Z404" s="61" t="s">
        <v>69</v>
      </c>
      <c r="AA404" s="61"/>
      <c r="AB404" s="61"/>
    </row>
    <row r="405" spans="1:28" s="2" customFormat="1" ht="15">
      <c r="A405" s="61" t="s">
        <v>776</v>
      </c>
      <c r="B405" s="61" t="s">
        <v>934</v>
      </c>
      <c r="C405" s="61" t="s">
        <v>3935</v>
      </c>
      <c r="D405" s="61" t="s">
        <v>7838</v>
      </c>
      <c r="E405" s="61">
        <v>4607</v>
      </c>
      <c r="F405" s="61">
        <v>5256</v>
      </c>
      <c r="G405" s="61">
        <v>2025</v>
      </c>
      <c r="H405" s="61" t="s">
        <v>3127</v>
      </c>
      <c r="I405" s="61" t="s">
        <v>200</v>
      </c>
      <c r="J405" s="61" t="s">
        <v>1838</v>
      </c>
      <c r="K405" s="61" t="s">
        <v>1982</v>
      </c>
      <c r="L405" s="61" t="s">
        <v>8048</v>
      </c>
      <c r="M405" s="475">
        <v>45912</v>
      </c>
      <c r="N405" s="475">
        <v>45915</v>
      </c>
      <c r="O405" s="475">
        <v>45916</v>
      </c>
      <c r="P405" s="475">
        <v>45916</v>
      </c>
      <c r="Q405" s="475">
        <v>45918</v>
      </c>
      <c r="R405" s="61">
        <f t="shared" si="24"/>
        <v>1</v>
      </c>
      <c r="S405" s="61">
        <f t="shared" si="25"/>
        <v>1</v>
      </c>
      <c r="T405" s="61">
        <f t="shared" si="28"/>
        <v>1</v>
      </c>
      <c r="U405" s="61">
        <f t="shared" si="26"/>
        <v>2</v>
      </c>
      <c r="V405" s="61" t="s">
        <v>150</v>
      </c>
      <c r="W405" s="61" t="s">
        <v>4</v>
      </c>
      <c r="X405" s="61" t="s">
        <v>57</v>
      </c>
      <c r="Y405" s="61">
        <v>14.944599999999999</v>
      </c>
      <c r="Z405" s="61">
        <v>120.9667</v>
      </c>
      <c r="AA405" s="61"/>
      <c r="AB405" s="61"/>
    </row>
    <row r="406" spans="1:28" s="2" customFormat="1" ht="15">
      <c r="A406" s="506" t="s">
        <v>776</v>
      </c>
      <c r="B406" s="506" t="s">
        <v>938</v>
      </c>
      <c r="C406" s="506" t="s">
        <v>1002</v>
      </c>
      <c r="D406" s="506" t="s">
        <v>7838</v>
      </c>
      <c r="E406" s="506">
        <v>16346</v>
      </c>
      <c r="F406" s="506">
        <v>17050</v>
      </c>
      <c r="G406" s="506">
        <v>2025</v>
      </c>
      <c r="H406" s="61" t="s">
        <v>3126</v>
      </c>
      <c r="I406" s="506" t="s">
        <v>388</v>
      </c>
      <c r="J406" s="506"/>
      <c r="K406" s="506" t="s">
        <v>1982</v>
      </c>
      <c r="L406" s="61" t="s">
        <v>8049</v>
      </c>
      <c r="M406" s="508">
        <v>45881</v>
      </c>
      <c r="N406" s="508">
        <v>45888</v>
      </c>
      <c r="O406" s="506"/>
      <c r="P406" s="508">
        <v>45888</v>
      </c>
      <c r="Q406" s="508">
        <v>45888</v>
      </c>
      <c r="R406" s="506">
        <f t="shared" si="24"/>
        <v>5</v>
      </c>
      <c r="S406" s="506" t="str">
        <f t="shared" si="25"/>
        <v/>
      </c>
      <c r="T406" s="506">
        <f t="shared" si="28"/>
        <v>1</v>
      </c>
      <c r="U406" s="506">
        <f t="shared" si="26"/>
        <v>1</v>
      </c>
      <c r="V406" s="506" t="s">
        <v>150</v>
      </c>
      <c r="W406" s="506" t="s">
        <v>4</v>
      </c>
      <c r="X406" s="506" t="s">
        <v>57</v>
      </c>
      <c r="Y406" s="506">
        <v>14.863</v>
      </c>
      <c r="Z406" s="506">
        <v>120.9173</v>
      </c>
      <c r="AA406" s="506" t="s">
        <v>463</v>
      </c>
      <c r="AB406" s="506"/>
    </row>
    <row r="407" spans="1:28" s="2" customFormat="1" ht="15">
      <c r="A407" s="61" t="s">
        <v>776</v>
      </c>
      <c r="B407" s="61" t="s">
        <v>938</v>
      </c>
      <c r="C407" s="61" t="s">
        <v>918</v>
      </c>
      <c r="D407" s="61" t="s">
        <v>7838</v>
      </c>
      <c r="E407" s="61">
        <v>10158</v>
      </c>
      <c r="F407" s="61">
        <v>9415</v>
      </c>
      <c r="G407" s="61">
        <v>2025</v>
      </c>
      <c r="H407" s="61" t="s">
        <v>3458</v>
      </c>
      <c r="I407" s="61" t="s">
        <v>388</v>
      </c>
      <c r="J407" s="61" t="s">
        <v>328</v>
      </c>
      <c r="K407" s="61" t="s">
        <v>1982</v>
      </c>
      <c r="L407" s="61" t="s">
        <v>8050</v>
      </c>
      <c r="M407" s="475">
        <v>45694</v>
      </c>
      <c r="N407" s="475">
        <v>45697</v>
      </c>
      <c r="O407" s="475">
        <v>45705</v>
      </c>
      <c r="P407" s="475">
        <v>45705</v>
      </c>
      <c r="Q407" s="475">
        <v>45705</v>
      </c>
      <c r="R407" s="61">
        <f t="shared" si="24"/>
        <v>1</v>
      </c>
      <c r="S407" s="61">
        <f t="shared" si="25"/>
        <v>5</v>
      </c>
      <c r="T407" s="61">
        <f t="shared" si="28"/>
        <v>5</v>
      </c>
      <c r="U407" s="61">
        <f t="shared" si="26"/>
        <v>1</v>
      </c>
      <c r="V407" s="61" t="s">
        <v>150</v>
      </c>
      <c r="W407" s="61" t="s">
        <v>1078</v>
      </c>
      <c r="X407" s="61" t="s">
        <v>50</v>
      </c>
      <c r="Y407" s="61"/>
      <c r="Z407" s="61"/>
      <c r="AA407" s="61" t="s">
        <v>463</v>
      </c>
      <c r="AB407" s="61"/>
    </row>
    <row r="408" spans="1:28" s="2" customFormat="1" ht="15">
      <c r="A408" s="61" t="s">
        <v>776</v>
      </c>
      <c r="B408" s="61" t="s">
        <v>938</v>
      </c>
      <c r="C408" s="61" t="s">
        <v>3605</v>
      </c>
      <c r="D408" s="61" t="s">
        <v>7838</v>
      </c>
      <c r="E408" s="61">
        <v>4985</v>
      </c>
      <c r="F408" s="61">
        <v>4870</v>
      </c>
      <c r="G408" s="61">
        <v>2025</v>
      </c>
      <c r="H408" s="61" t="s">
        <v>3458</v>
      </c>
      <c r="I408" s="61" t="s">
        <v>388</v>
      </c>
      <c r="J408" s="61" t="s">
        <v>328</v>
      </c>
      <c r="K408" s="61" t="s">
        <v>1982</v>
      </c>
      <c r="L408" s="61" t="s">
        <v>8051</v>
      </c>
      <c r="M408" s="475">
        <v>45694</v>
      </c>
      <c r="N408" s="475">
        <v>45697</v>
      </c>
      <c r="O408" s="475">
        <v>45705</v>
      </c>
      <c r="P408" s="475">
        <v>45705</v>
      </c>
      <c r="Q408" s="475">
        <v>45705</v>
      </c>
      <c r="R408" s="61">
        <f t="shared" si="24"/>
        <v>1</v>
      </c>
      <c r="S408" s="61">
        <f t="shared" si="25"/>
        <v>5</v>
      </c>
      <c r="T408" s="61">
        <f t="shared" si="28"/>
        <v>5</v>
      </c>
      <c r="U408" s="61">
        <f t="shared" si="26"/>
        <v>1</v>
      </c>
      <c r="V408" s="61" t="s">
        <v>150</v>
      </c>
      <c r="W408" s="61" t="s">
        <v>1078</v>
      </c>
      <c r="X408" s="61" t="s">
        <v>50</v>
      </c>
      <c r="Y408" s="61"/>
      <c r="Z408" s="61"/>
      <c r="AA408" s="61" t="s">
        <v>463</v>
      </c>
      <c r="AB408" s="61"/>
    </row>
    <row r="409" spans="1:28" s="2" customFormat="1" ht="15">
      <c r="A409" s="61" t="s">
        <v>776</v>
      </c>
      <c r="B409" s="61" t="s">
        <v>938</v>
      </c>
      <c r="C409" s="61" t="s">
        <v>3951</v>
      </c>
      <c r="D409" s="61" t="s">
        <v>7838</v>
      </c>
      <c r="E409" s="61">
        <v>12578</v>
      </c>
      <c r="F409" s="61">
        <v>13992</v>
      </c>
      <c r="G409" s="61">
        <v>2025</v>
      </c>
      <c r="H409" s="61" t="s">
        <v>3458</v>
      </c>
      <c r="I409" s="61" t="s">
        <v>508</v>
      </c>
      <c r="J409" s="61" t="s">
        <v>328</v>
      </c>
      <c r="K409" s="61" t="s">
        <v>1982</v>
      </c>
      <c r="L409" s="61" t="s">
        <v>8052</v>
      </c>
      <c r="M409" s="475">
        <v>45706</v>
      </c>
      <c r="N409" s="475">
        <v>45706</v>
      </c>
      <c r="O409" s="475">
        <v>45707</v>
      </c>
      <c r="P409" s="475">
        <v>45707</v>
      </c>
      <c r="Q409" s="475">
        <v>45707</v>
      </c>
      <c r="R409" s="61">
        <f t="shared" si="24"/>
        <v>1</v>
      </c>
      <c r="S409" s="61">
        <f t="shared" si="25"/>
        <v>1</v>
      </c>
      <c r="T409" s="61">
        <f t="shared" si="28"/>
        <v>1</v>
      </c>
      <c r="U409" s="61">
        <f t="shared" si="26"/>
        <v>1</v>
      </c>
      <c r="V409" s="61" t="s">
        <v>150</v>
      </c>
      <c r="W409" s="61" t="s">
        <v>3527</v>
      </c>
      <c r="X409" s="61" t="s">
        <v>3528</v>
      </c>
      <c r="Y409" s="61"/>
      <c r="Z409" s="61"/>
      <c r="AA409" s="61" t="s">
        <v>463</v>
      </c>
      <c r="AB409" s="61"/>
    </row>
    <row r="410" spans="1:28" s="2" customFormat="1" ht="28.5">
      <c r="A410" s="61" t="s">
        <v>776</v>
      </c>
      <c r="B410" s="61" t="s">
        <v>938</v>
      </c>
      <c r="C410" s="61" t="s">
        <v>939</v>
      </c>
      <c r="D410" s="61" t="s">
        <v>7838</v>
      </c>
      <c r="E410" s="61">
        <v>10190</v>
      </c>
      <c r="F410" s="61">
        <v>10780</v>
      </c>
      <c r="G410" s="61">
        <v>2025</v>
      </c>
      <c r="H410" s="61" t="s">
        <v>3128</v>
      </c>
      <c r="I410" s="61" t="s">
        <v>8053</v>
      </c>
      <c r="J410" s="61" t="s">
        <v>1838</v>
      </c>
      <c r="K410" s="61" t="s">
        <v>1982</v>
      </c>
      <c r="L410" s="61" t="s">
        <v>8054</v>
      </c>
      <c r="M410" s="475">
        <v>45916</v>
      </c>
      <c r="N410" s="475">
        <v>45917</v>
      </c>
      <c r="O410" s="475">
        <v>45918</v>
      </c>
      <c r="P410" s="475">
        <v>45923</v>
      </c>
      <c r="Q410" s="475">
        <v>45923</v>
      </c>
      <c r="R410" s="61">
        <f t="shared" si="24"/>
        <v>1</v>
      </c>
      <c r="S410" s="61">
        <f t="shared" si="25"/>
        <v>1</v>
      </c>
      <c r="T410" s="61">
        <f t="shared" si="28"/>
        <v>4</v>
      </c>
      <c r="U410" s="61">
        <f t="shared" si="26"/>
        <v>1</v>
      </c>
      <c r="V410" s="61" t="s">
        <v>150</v>
      </c>
      <c r="W410" s="61" t="s">
        <v>3527</v>
      </c>
      <c r="X410" s="61" t="s">
        <v>3528</v>
      </c>
      <c r="Y410" s="61" t="s">
        <v>69</v>
      </c>
      <c r="Z410" s="61" t="s">
        <v>69</v>
      </c>
      <c r="AA410" s="61"/>
      <c r="AB410" s="61" t="s">
        <v>8055</v>
      </c>
    </row>
    <row r="411" spans="1:28" s="2" customFormat="1" ht="28.5">
      <c r="A411" s="61" t="s">
        <v>776</v>
      </c>
      <c r="B411" s="61" t="s">
        <v>938</v>
      </c>
      <c r="C411" s="61" t="s">
        <v>3950</v>
      </c>
      <c r="D411" s="61" t="s">
        <v>7838</v>
      </c>
      <c r="E411" s="61">
        <v>7243</v>
      </c>
      <c r="F411" s="61">
        <v>8360</v>
      </c>
      <c r="G411" s="61">
        <v>2025</v>
      </c>
      <c r="H411" s="61" t="s">
        <v>3128</v>
      </c>
      <c r="I411" s="61" t="s">
        <v>8053</v>
      </c>
      <c r="J411" s="61" t="s">
        <v>1838</v>
      </c>
      <c r="K411" s="61" t="s">
        <v>1982</v>
      </c>
      <c r="L411" s="61" t="s">
        <v>8054</v>
      </c>
      <c r="M411" s="475">
        <v>45916</v>
      </c>
      <c r="N411" s="475">
        <v>45917</v>
      </c>
      <c r="O411" s="475">
        <v>45918</v>
      </c>
      <c r="P411" s="475">
        <v>45923</v>
      </c>
      <c r="Q411" s="475">
        <v>45923</v>
      </c>
      <c r="R411" s="61">
        <f t="shared" si="24"/>
        <v>1</v>
      </c>
      <c r="S411" s="61">
        <f t="shared" si="25"/>
        <v>1</v>
      </c>
      <c r="T411" s="61">
        <f t="shared" si="28"/>
        <v>4</v>
      </c>
      <c r="U411" s="61">
        <f t="shared" si="26"/>
        <v>1</v>
      </c>
      <c r="V411" s="61" t="s">
        <v>150</v>
      </c>
      <c r="W411" s="61" t="s">
        <v>3527</v>
      </c>
      <c r="X411" s="61" t="s">
        <v>3528</v>
      </c>
      <c r="Y411" s="61" t="s">
        <v>69</v>
      </c>
      <c r="Z411" s="61" t="s">
        <v>69</v>
      </c>
      <c r="AA411" s="61"/>
      <c r="AB411" s="61" t="s">
        <v>8055</v>
      </c>
    </row>
    <row r="412" spans="1:28" s="2" customFormat="1" ht="28.5">
      <c r="A412" s="61" t="s">
        <v>776</v>
      </c>
      <c r="B412" s="61" t="s">
        <v>938</v>
      </c>
      <c r="C412" s="61" t="s">
        <v>1831</v>
      </c>
      <c r="D412" s="61" t="s">
        <v>7838</v>
      </c>
      <c r="E412" s="61">
        <v>2779</v>
      </c>
      <c r="F412" s="61">
        <v>2711</v>
      </c>
      <c r="G412" s="61">
        <v>2025</v>
      </c>
      <c r="H412" s="61" t="s">
        <v>3128</v>
      </c>
      <c r="I412" s="61" t="s">
        <v>8053</v>
      </c>
      <c r="J412" s="61" t="s">
        <v>1838</v>
      </c>
      <c r="K412" s="61" t="s">
        <v>1982</v>
      </c>
      <c r="L412" s="61" t="s">
        <v>8054</v>
      </c>
      <c r="M412" s="475">
        <v>45916</v>
      </c>
      <c r="N412" s="475">
        <v>45917</v>
      </c>
      <c r="O412" s="475">
        <v>45918</v>
      </c>
      <c r="P412" s="475">
        <v>45923</v>
      </c>
      <c r="Q412" s="475">
        <v>45923</v>
      </c>
      <c r="R412" s="61">
        <f t="shared" si="24"/>
        <v>1</v>
      </c>
      <c r="S412" s="61">
        <f t="shared" si="25"/>
        <v>1</v>
      </c>
      <c r="T412" s="61">
        <f t="shared" si="28"/>
        <v>4</v>
      </c>
      <c r="U412" s="61">
        <f t="shared" si="26"/>
        <v>1</v>
      </c>
      <c r="V412" s="61" t="s">
        <v>150</v>
      </c>
      <c r="W412" s="61" t="s">
        <v>3527</v>
      </c>
      <c r="X412" s="61" t="s">
        <v>3528</v>
      </c>
      <c r="Y412" s="61" t="s">
        <v>69</v>
      </c>
      <c r="Z412" s="61" t="s">
        <v>69</v>
      </c>
      <c r="AA412" s="61"/>
      <c r="AB412" s="61" t="s">
        <v>8055</v>
      </c>
    </row>
    <row r="413" spans="1:28" s="507" customFormat="1" ht="28.5">
      <c r="A413" s="61" t="s">
        <v>776</v>
      </c>
      <c r="B413" s="61" t="s">
        <v>938</v>
      </c>
      <c r="C413" s="61" t="s">
        <v>3952</v>
      </c>
      <c r="D413" s="61" t="s">
        <v>7838</v>
      </c>
      <c r="E413" s="61">
        <v>7701</v>
      </c>
      <c r="F413" s="61">
        <v>7759</v>
      </c>
      <c r="G413" s="61">
        <v>2025</v>
      </c>
      <c r="H413" s="61" t="s">
        <v>3128</v>
      </c>
      <c r="I413" s="61" t="s">
        <v>8053</v>
      </c>
      <c r="J413" s="61" t="s">
        <v>1838</v>
      </c>
      <c r="K413" s="61" t="s">
        <v>1982</v>
      </c>
      <c r="L413" s="61" t="s">
        <v>8054</v>
      </c>
      <c r="M413" s="475">
        <v>45916</v>
      </c>
      <c r="N413" s="475">
        <v>45917</v>
      </c>
      <c r="O413" s="475">
        <v>45918</v>
      </c>
      <c r="P413" s="475">
        <v>45923</v>
      </c>
      <c r="Q413" s="475">
        <v>45923</v>
      </c>
      <c r="R413" s="61">
        <f t="shared" si="24"/>
        <v>1</v>
      </c>
      <c r="S413" s="61">
        <f t="shared" si="25"/>
        <v>1</v>
      </c>
      <c r="T413" s="61">
        <f t="shared" si="28"/>
        <v>4</v>
      </c>
      <c r="U413" s="61">
        <f t="shared" si="26"/>
        <v>1</v>
      </c>
      <c r="V413" s="61" t="s">
        <v>150</v>
      </c>
      <c r="W413" s="61" t="s">
        <v>3527</v>
      </c>
      <c r="X413" s="61" t="s">
        <v>3528</v>
      </c>
      <c r="Y413" s="61" t="s">
        <v>69</v>
      </c>
      <c r="Z413" s="61" t="s">
        <v>69</v>
      </c>
      <c r="AA413" s="61"/>
      <c r="AB413" s="61" t="s">
        <v>8055</v>
      </c>
    </row>
    <row r="414" spans="1:28" s="2" customFormat="1" ht="28.5">
      <c r="A414" s="61" t="s">
        <v>776</v>
      </c>
      <c r="B414" s="61" t="s">
        <v>938</v>
      </c>
      <c r="C414" s="61" t="s">
        <v>996</v>
      </c>
      <c r="D414" s="61" t="s">
        <v>7838</v>
      </c>
      <c r="E414" s="61">
        <v>1949</v>
      </c>
      <c r="F414" s="61">
        <v>2081</v>
      </c>
      <c r="G414" s="61">
        <v>2025</v>
      </c>
      <c r="H414" s="61" t="s">
        <v>3128</v>
      </c>
      <c r="I414" s="61" t="s">
        <v>8053</v>
      </c>
      <c r="J414" s="61" t="s">
        <v>1838</v>
      </c>
      <c r="K414" s="61" t="s">
        <v>1982</v>
      </c>
      <c r="L414" s="61" t="s">
        <v>8054</v>
      </c>
      <c r="M414" s="475">
        <v>45916</v>
      </c>
      <c r="N414" s="475">
        <v>45917</v>
      </c>
      <c r="O414" s="475">
        <v>45918</v>
      </c>
      <c r="P414" s="475">
        <v>45923</v>
      </c>
      <c r="Q414" s="475">
        <v>45923</v>
      </c>
      <c r="R414" s="61">
        <f t="shared" si="24"/>
        <v>1</v>
      </c>
      <c r="S414" s="61">
        <f t="shared" si="25"/>
        <v>1</v>
      </c>
      <c r="T414" s="61">
        <f t="shared" si="28"/>
        <v>4</v>
      </c>
      <c r="U414" s="61">
        <f t="shared" si="26"/>
        <v>1</v>
      </c>
      <c r="V414" s="61" t="s">
        <v>150</v>
      </c>
      <c r="W414" s="61" t="s">
        <v>3527</v>
      </c>
      <c r="X414" s="61" t="s">
        <v>3528</v>
      </c>
      <c r="Y414" s="61" t="s">
        <v>69</v>
      </c>
      <c r="Z414" s="61" t="s">
        <v>69</v>
      </c>
      <c r="AA414" s="61"/>
      <c r="AB414" s="61" t="s">
        <v>8055</v>
      </c>
    </row>
    <row r="415" spans="1:28" s="2" customFormat="1" ht="15">
      <c r="A415" s="61" t="s">
        <v>776</v>
      </c>
      <c r="B415" s="61" t="s">
        <v>3953</v>
      </c>
      <c r="C415" s="61" t="s">
        <v>3954</v>
      </c>
      <c r="D415" s="61" t="s">
        <v>7838</v>
      </c>
      <c r="E415" s="61">
        <v>5616</v>
      </c>
      <c r="F415" s="61">
        <v>4249</v>
      </c>
      <c r="G415" s="61"/>
      <c r="H415" s="61"/>
      <c r="I415" s="61" t="s">
        <v>200</v>
      </c>
      <c r="J415" s="61"/>
      <c r="K415" s="61" t="s">
        <v>1982</v>
      </c>
      <c r="L415" s="61"/>
      <c r="M415" s="61"/>
      <c r="N415" s="61"/>
      <c r="O415" s="61"/>
      <c r="P415" s="61"/>
      <c r="Q415" s="61"/>
      <c r="R415" s="61" t="str">
        <f t="shared" si="24"/>
        <v/>
      </c>
      <c r="S415" s="61" t="str">
        <f t="shared" si="25"/>
        <v/>
      </c>
      <c r="T415" s="61" t="str">
        <f t="shared" si="28"/>
        <v/>
      </c>
      <c r="U415" s="61" t="str">
        <f t="shared" si="26"/>
        <v/>
      </c>
      <c r="V415" s="61"/>
      <c r="W415" s="61"/>
      <c r="X415" s="61"/>
      <c r="Y415" s="61"/>
      <c r="Z415" s="61"/>
      <c r="AA415" s="61"/>
      <c r="AB415" s="61"/>
    </row>
    <row r="416" spans="1:28" s="2" customFormat="1" ht="15">
      <c r="A416" s="61" t="s">
        <v>776</v>
      </c>
      <c r="B416" s="61" t="s">
        <v>3953</v>
      </c>
      <c r="C416" s="61" t="s">
        <v>3956</v>
      </c>
      <c r="D416" s="61" t="s">
        <v>7838</v>
      </c>
      <c r="E416" s="61">
        <v>3051</v>
      </c>
      <c r="F416" s="61">
        <v>3385</v>
      </c>
      <c r="G416" s="61"/>
      <c r="H416" s="61"/>
      <c r="I416" s="61" t="s">
        <v>200</v>
      </c>
      <c r="J416" s="61"/>
      <c r="K416" s="61" t="s">
        <v>1982</v>
      </c>
      <c r="L416" s="61"/>
      <c r="M416" s="61"/>
      <c r="N416" s="61"/>
      <c r="O416" s="61"/>
      <c r="P416" s="61"/>
      <c r="Q416" s="61"/>
      <c r="R416" s="61" t="str">
        <f t="shared" si="24"/>
        <v/>
      </c>
      <c r="S416" s="61" t="str">
        <f t="shared" si="25"/>
        <v/>
      </c>
      <c r="T416" s="61" t="str">
        <f t="shared" si="28"/>
        <v/>
      </c>
      <c r="U416" s="61" t="str">
        <f t="shared" si="26"/>
        <v/>
      </c>
      <c r="V416" s="61"/>
      <c r="W416" s="61"/>
      <c r="X416" s="61"/>
      <c r="Y416" s="61"/>
      <c r="Z416" s="61"/>
      <c r="AA416" s="61"/>
      <c r="AB416" s="61"/>
    </row>
    <row r="417" spans="1:28" s="2" customFormat="1" ht="15">
      <c r="A417" s="61" t="s">
        <v>776</v>
      </c>
      <c r="B417" s="61" t="s">
        <v>3953</v>
      </c>
      <c r="C417" s="61" t="s">
        <v>3957</v>
      </c>
      <c r="D417" s="61" t="s">
        <v>7838</v>
      </c>
      <c r="E417" s="61">
        <v>2784</v>
      </c>
      <c r="F417" s="61">
        <v>3522</v>
      </c>
      <c r="G417" s="61">
        <v>2025</v>
      </c>
      <c r="H417" s="61" t="s">
        <v>3129</v>
      </c>
      <c r="I417" s="61" t="s">
        <v>200</v>
      </c>
      <c r="J417" s="61" t="s">
        <v>1838</v>
      </c>
      <c r="K417" s="61" t="s">
        <v>1982</v>
      </c>
      <c r="L417" s="61" t="s">
        <v>8056</v>
      </c>
      <c r="M417" s="475">
        <v>45966</v>
      </c>
      <c r="N417" s="475">
        <v>45971</v>
      </c>
      <c r="O417" s="475">
        <v>45971</v>
      </c>
      <c r="P417" s="475">
        <v>45980</v>
      </c>
      <c r="Q417" s="475">
        <v>45980</v>
      </c>
      <c r="R417" s="61">
        <f t="shared" si="24"/>
        <v>3</v>
      </c>
      <c r="S417" s="61">
        <f t="shared" si="25"/>
        <v>1</v>
      </c>
      <c r="T417" s="61">
        <f t="shared" si="28"/>
        <v>7</v>
      </c>
      <c r="U417" s="61">
        <f t="shared" si="26"/>
        <v>1</v>
      </c>
      <c r="V417" s="61" t="s">
        <v>150</v>
      </c>
      <c r="W417" s="61" t="s">
        <v>1078</v>
      </c>
      <c r="X417" s="61" t="s">
        <v>3528</v>
      </c>
      <c r="Y417" s="61" t="s">
        <v>69</v>
      </c>
      <c r="Z417" s="61" t="s">
        <v>69</v>
      </c>
      <c r="AA417" s="61" t="s">
        <v>730</v>
      </c>
      <c r="AB417" s="61" t="s">
        <v>8057</v>
      </c>
    </row>
    <row r="418" spans="1:28" s="2" customFormat="1" ht="15">
      <c r="A418" s="61" t="s">
        <v>776</v>
      </c>
      <c r="B418" s="61" t="s">
        <v>3953</v>
      </c>
      <c r="C418" s="61" t="s">
        <v>3959</v>
      </c>
      <c r="D418" s="61" t="s">
        <v>7838</v>
      </c>
      <c r="E418" s="61">
        <v>1916</v>
      </c>
      <c r="F418" s="61">
        <v>2123</v>
      </c>
      <c r="G418" s="61">
        <v>2025</v>
      </c>
      <c r="H418" s="61" t="s">
        <v>3129</v>
      </c>
      <c r="I418" s="61" t="s">
        <v>200</v>
      </c>
      <c r="J418" s="61" t="s">
        <v>1838</v>
      </c>
      <c r="K418" s="61" t="s">
        <v>1982</v>
      </c>
      <c r="L418" s="61" t="s">
        <v>8056</v>
      </c>
      <c r="M418" s="475">
        <v>45966</v>
      </c>
      <c r="N418" s="475">
        <v>45971</v>
      </c>
      <c r="O418" s="475">
        <v>45971</v>
      </c>
      <c r="P418" s="475">
        <v>45980</v>
      </c>
      <c r="Q418" s="475">
        <v>45980</v>
      </c>
      <c r="R418" s="61">
        <f t="shared" si="24"/>
        <v>3</v>
      </c>
      <c r="S418" s="61">
        <f t="shared" si="25"/>
        <v>1</v>
      </c>
      <c r="T418" s="61">
        <f t="shared" si="28"/>
        <v>7</v>
      </c>
      <c r="U418" s="61">
        <f t="shared" si="26"/>
        <v>1</v>
      </c>
      <c r="V418" s="61" t="s">
        <v>150</v>
      </c>
      <c r="W418" s="61" t="s">
        <v>1078</v>
      </c>
      <c r="X418" s="61" t="s">
        <v>3528</v>
      </c>
      <c r="Y418" s="61" t="s">
        <v>69</v>
      </c>
      <c r="Z418" s="61" t="s">
        <v>69</v>
      </c>
      <c r="AA418" s="61" t="s">
        <v>730</v>
      </c>
      <c r="AB418" s="61" t="s">
        <v>8057</v>
      </c>
    </row>
    <row r="419" spans="1:28" s="2" customFormat="1" ht="15">
      <c r="A419" s="61" t="s">
        <v>776</v>
      </c>
      <c r="B419" s="61" t="s">
        <v>3953</v>
      </c>
      <c r="C419" s="61" t="s">
        <v>1185</v>
      </c>
      <c r="D419" s="61" t="s">
        <v>7838</v>
      </c>
      <c r="E419" s="61">
        <v>9933</v>
      </c>
      <c r="F419" s="61">
        <v>10159</v>
      </c>
      <c r="G419" s="61"/>
      <c r="H419" s="61"/>
      <c r="I419" s="61" t="s">
        <v>200</v>
      </c>
      <c r="J419" s="61"/>
      <c r="K419" s="61" t="s">
        <v>1982</v>
      </c>
      <c r="L419" s="61"/>
      <c r="M419" s="61"/>
      <c r="N419" s="61"/>
      <c r="O419" s="61"/>
      <c r="P419" s="61"/>
      <c r="Q419" s="61"/>
      <c r="R419" s="61" t="str">
        <f t="shared" si="24"/>
        <v/>
      </c>
      <c r="S419" s="61" t="str">
        <f t="shared" si="25"/>
        <v/>
      </c>
      <c r="T419" s="61" t="str">
        <f t="shared" si="28"/>
        <v/>
      </c>
      <c r="U419" s="61" t="str">
        <f t="shared" si="26"/>
        <v/>
      </c>
      <c r="V419" s="61"/>
      <c r="W419" s="61"/>
      <c r="X419" s="61"/>
      <c r="Y419" s="61"/>
      <c r="Z419" s="61"/>
      <c r="AA419" s="61"/>
      <c r="AB419" s="61"/>
    </row>
    <row r="420" spans="1:28" s="2" customFormat="1" ht="15">
      <c r="A420" s="61" t="s">
        <v>776</v>
      </c>
      <c r="B420" s="61" t="s">
        <v>3953</v>
      </c>
      <c r="C420" s="61" t="s">
        <v>3961</v>
      </c>
      <c r="D420" s="61" t="s">
        <v>7838</v>
      </c>
      <c r="E420" s="61">
        <v>2140</v>
      </c>
      <c r="F420" s="61">
        <v>2226</v>
      </c>
      <c r="G420" s="61"/>
      <c r="H420" s="61"/>
      <c r="I420" s="61" t="s">
        <v>200</v>
      </c>
      <c r="J420" s="61"/>
      <c r="K420" s="61" t="s">
        <v>1982</v>
      </c>
      <c r="L420" s="61"/>
      <c r="M420" s="61"/>
      <c r="N420" s="61"/>
      <c r="O420" s="61"/>
      <c r="P420" s="61"/>
      <c r="Q420" s="61"/>
      <c r="R420" s="61" t="str">
        <f t="shared" si="24"/>
        <v/>
      </c>
      <c r="S420" s="61" t="str">
        <f t="shared" si="25"/>
        <v/>
      </c>
      <c r="T420" s="61" t="str">
        <f t="shared" si="28"/>
        <v/>
      </c>
      <c r="U420" s="61" t="str">
        <f t="shared" si="26"/>
        <v/>
      </c>
      <c r="V420" s="61"/>
      <c r="W420" s="61"/>
      <c r="X420" s="61"/>
      <c r="Y420" s="61"/>
      <c r="Z420" s="61"/>
      <c r="AA420" s="61"/>
      <c r="AB420" s="61"/>
    </row>
    <row r="421" spans="1:28" s="2" customFormat="1" ht="15">
      <c r="A421" s="61" t="s">
        <v>776</v>
      </c>
      <c r="B421" s="61" t="s">
        <v>3953</v>
      </c>
      <c r="C421" s="61" t="s">
        <v>3962</v>
      </c>
      <c r="D421" s="61" t="s">
        <v>7838</v>
      </c>
      <c r="E421" s="61">
        <v>11715</v>
      </c>
      <c r="F421" s="61">
        <v>12637</v>
      </c>
      <c r="G421" s="61">
        <v>2025</v>
      </c>
      <c r="H421" s="61" t="s">
        <v>3129</v>
      </c>
      <c r="I421" s="61" t="s">
        <v>200</v>
      </c>
      <c r="J421" s="61" t="s">
        <v>1838</v>
      </c>
      <c r="K421" s="61" t="s">
        <v>1982</v>
      </c>
      <c r="L421" s="61" t="s">
        <v>8056</v>
      </c>
      <c r="M421" s="475">
        <v>45966</v>
      </c>
      <c r="N421" s="475">
        <v>45971</v>
      </c>
      <c r="O421" s="475">
        <v>45971</v>
      </c>
      <c r="P421" s="475">
        <v>45980</v>
      </c>
      <c r="Q421" s="475">
        <v>45980</v>
      </c>
      <c r="R421" s="61">
        <f t="shared" si="24"/>
        <v>3</v>
      </c>
      <c r="S421" s="61">
        <f t="shared" si="25"/>
        <v>1</v>
      </c>
      <c r="T421" s="61">
        <f t="shared" si="28"/>
        <v>7</v>
      </c>
      <c r="U421" s="61">
        <f t="shared" si="26"/>
        <v>1</v>
      </c>
      <c r="V421" s="61" t="s">
        <v>150</v>
      </c>
      <c r="W421" s="61" t="s">
        <v>3527</v>
      </c>
      <c r="X421" s="61" t="s">
        <v>3528</v>
      </c>
      <c r="Y421" s="61" t="s">
        <v>69</v>
      </c>
      <c r="Z421" s="61" t="s">
        <v>69</v>
      </c>
      <c r="AA421" s="61" t="s">
        <v>730</v>
      </c>
      <c r="AB421" s="61" t="s">
        <v>8057</v>
      </c>
    </row>
    <row r="422" spans="1:28" s="2" customFormat="1" ht="15">
      <c r="A422" s="61" t="s">
        <v>776</v>
      </c>
      <c r="B422" s="61" t="s">
        <v>3953</v>
      </c>
      <c r="C422" s="61" t="s">
        <v>3964</v>
      </c>
      <c r="D422" s="61" t="s">
        <v>7838</v>
      </c>
      <c r="E422" s="61">
        <v>2630</v>
      </c>
      <c r="F422" s="61">
        <v>3332</v>
      </c>
      <c r="G422" s="61">
        <v>2025</v>
      </c>
      <c r="H422" s="61" t="s">
        <v>3129</v>
      </c>
      <c r="I422" s="61" t="s">
        <v>200</v>
      </c>
      <c r="J422" s="61" t="s">
        <v>1838</v>
      </c>
      <c r="K422" s="61" t="s">
        <v>1982</v>
      </c>
      <c r="L422" s="61" t="s">
        <v>8056</v>
      </c>
      <c r="M422" s="475">
        <v>45966</v>
      </c>
      <c r="N422" s="475">
        <v>45971</v>
      </c>
      <c r="O422" s="475">
        <v>45971</v>
      </c>
      <c r="P422" s="475">
        <v>45980</v>
      </c>
      <c r="Q422" s="475">
        <v>45980</v>
      </c>
      <c r="R422" s="61">
        <f t="shared" si="24"/>
        <v>3</v>
      </c>
      <c r="S422" s="61">
        <f t="shared" si="25"/>
        <v>1</v>
      </c>
      <c r="T422" s="61">
        <f t="shared" si="28"/>
        <v>7</v>
      </c>
      <c r="U422" s="61">
        <f t="shared" si="26"/>
        <v>1</v>
      </c>
      <c r="V422" s="61" t="s">
        <v>150</v>
      </c>
      <c r="W422" s="61" t="s">
        <v>1078</v>
      </c>
      <c r="X422" s="61" t="s">
        <v>3528</v>
      </c>
      <c r="Y422" s="61" t="s">
        <v>69</v>
      </c>
      <c r="Z422" s="61" t="s">
        <v>69</v>
      </c>
      <c r="AA422" s="61" t="s">
        <v>730</v>
      </c>
      <c r="AB422" s="61" t="s">
        <v>8057</v>
      </c>
    </row>
    <row r="423" spans="1:28" s="2" customFormat="1" ht="15">
      <c r="A423" s="61" t="s">
        <v>776</v>
      </c>
      <c r="B423" s="61" t="s">
        <v>3953</v>
      </c>
      <c r="C423" s="61" t="s">
        <v>3966</v>
      </c>
      <c r="D423" s="61" t="s">
        <v>7838</v>
      </c>
      <c r="E423" s="61">
        <v>3843</v>
      </c>
      <c r="F423" s="61">
        <v>7235</v>
      </c>
      <c r="G423" s="61"/>
      <c r="H423" s="61"/>
      <c r="I423" s="61" t="s">
        <v>200</v>
      </c>
      <c r="J423" s="61"/>
      <c r="K423" s="61" t="s">
        <v>1982</v>
      </c>
      <c r="L423" s="61"/>
      <c r="M423" s="61"/>
      <c r="N423" s="61"/>
      <c r="O423" s="61"/>
      <c r="P423" s="61"/>
      <c r="Q423" s="61"/>
      <c r="R423" s="61" t="str">
        <f t="shared" si="24"/>
        <v/>
      </c>
      <c r="S423" s="61" t="str">
        <f t="shared" si="25"/>
        <v/>
      </c>
      <c r="T423" s="61" t="str">
        <f t="shared" si="28"/>
        <v/>
      </c>
      <c r="U423" s="61" t="str">
        <f t="shared" si="26"/>
        <v/>
      </c>
      <c r="V423" s="61"/>
      <c r="W423" s="61"/>
      <c r="X423" s="61"/>
      <c r="Y423" s="61"/>
      <c r="Z423" s="61"/>
      <c r="AA423" s="61"/>
      <c r="AB423" s="61"/>
    </row>
    <row r="424" spans="1:28" s="2" customFormat="1" ht="15">
      <c r="A424" s="61" t="s">
        <v>776</v>
      </c>
      <c r="B424" s="61" t="s">
        <v>3953</v>
      </c>
      <c r="C424" s="61" t="s">
        <v>3967</v>
      </c>
      <c r="D424" s="61" t="s">
        <v>7838</v>
      </c>
      <c r="E424" s="61">
        <v>1517</v>
      </c>
      <c r="F424" s="61">
        <v>1863</v>
      </c>
      <c r="G424" s="61"/>
      <c r="H424" s="61"/>
      <c r="I424" s="61" t="s">
        <v>200</v>
      </c>
      <c r="J424" s="61"/>
      <c r="K424" s="61" t="s">
        <v>1982</v>
      </c>
      <c r="L424" s="61"/>
      <c r="M424" s="61"/>
      <c r="N424" s="61"/>
      <c r="O424" s="61"/>
      <c r="P424" s="61"/>
      <c r="Q424" s="61"/>
      <c r="R424" s="61" t="str">
        <f t="shared" si="24"/>
        <v/>
      </c>
      <c r="S424" s="61" t="str">
        <f t="shared" si="25"/>
        <v/>
      </c>
      <c r="T424" s="61" t="str">
        <f t="shared" si="28"/>
        <v/>
      </c>
      <c r="U424" s="61" t="str">
        <f t="shared" si="26"/>
        <v/>
      </c>
      <c r="V424" s="61"/>
      <c r="W424" s="61"/>
      <c r="X424" s="61"/>
      <c r="Y424" s="61"/>
      <c r="Z424" s="61"/>
      <c r="AA424" s="61"/>
      <c r="AB424" s="61"/>
    </row>
    <row r="425" spans="1:28" s="2" customFormat="1" ht="15">
      <c r="A425" s="61" t="s">
        <v>776</v>
      </c>
      <c r="B425" s="61" t="s">
        <v>3953</v>
      </c>
      <c r="C425" s="61" t="s">
        <v>3968</v>
      </c>
      <c r="D425" s="61" t="s">
        <v>7838</v>
      </c>
      <c r="E425" s="61">
        <v>2229</v>
      </c>
      <c r="F425" s="61">
        <v>2648</v>
      </c>
      <c r="G425" s="61"/>
      <c r="H425" s="61"/>
      <c r="I425" s="61" t="s">
        <v>200</v>
      </c>
      <c r="J425" s="61"/>
      <c r="K425" s="61" t="s">
        <v>1982</v>
      </c>
      <c r="L425" s="61"/>
      <c r="M425" s="61"/>
      <c r="N425" s="61"/>
      <c r="O425" s="61"/>
      <c r="P425" s="61"/>
      <c r="Q425" s="61"/>
      <c r="R425" s="61" t="str">
        <f t="shared" si="24"/>
        <v/>
      </c>
      <c r="S425" s="61" t="str">
        <f t="shared" si="25"/>
        <v/>
      </c>
      <c r="T425" s="61" t="str">
        <f t="shared" si="28"/>
        <v/>
      </c>
      <c r="U425" s="61" t="str">
        <f t="shared" si="26"/>
        <v/>
      </c>
      <c r="V425" s="61"/>
      <c r="W425" s="61"/>
      <c r="X425" s="61"/>
      <c r="Y425" s="61"/>
      <c r="Z425" s="61"/>
      <c r="AA425" s="61"/>
      <c r="AB425" s="61"/>
    </row>
    <row r="426" spans="1:28" s="2" customFormat="1" ht="15">
      <c r="A426" s="61" t="s">
        <v>776</v>
      </c>
      <c r="B426" s="61" t="s">
        <v>3953</v>
      </c>
      <c r="C426" s="61" t="s">
        <v>3969</v>
      </c>
      <c r="D426" s="61" t="s">
        <v>7838</v>
      </c>
      <c r="E426" s="61">
        <v>5357</v>
      </c>
      <c r="F426" s="61">
        <v>6580</v>
      </c>
      <c r="G426" s="61">
        <v>2025</v>
      </c>
      <c r="H426" s="61" t="s">
        <v>3129</v>
      </c>
      <c r="I426" s="61" t="s">
        <v>200</v>
      </c>
      <c r="J426" s="61" t="s">
        <v>1838</v>
      </c>
      <c r="K426" s="61" t="s">
        <v>1982</v>
      </c>
      <c r="L426" s="61" t="s">
        <v>8056</v>
      </c>
      <c r="M426" s="475">
        <v>45966</v>
      </c>
      <c r="N426" s="475">
        <v>45971</v>
      </c>
      <c r="O426" s="475">
        <v>45971</v>
      </c>
      <c r="P426" s="475">
        <v>45980</v>
      </c>
      <c r="Q426" s="475">
        <v>45980</v>
      </c>
      <c r="R426" s="61">
        <f t="shared" si="24"/>
        <v>3</v>
      </c>
      <c r="S426" s="61">
        <f t="shared" si="25"/>
        <v>1</v>
      </c>
      <c r="T426" s="61">
        <f t="shared" si="28"/>
        <v>7</v>
      </c>
      <c r="U426" s="61">
        <f t="shared" si="26"/>
        <v>1</v>
      </c>
      <c r="V426" s="61" t="s">
        <v>150</v>
      </c>
      <c r="W426" s="61" t="s">
        <v>3527</v>
      </c>
      <c r="X426" s="61" t="s">
        <v>3528</v>
      </c>
      <c r="Y426" s="61" t="s">
        <v>69</v>
      </c>
      <c r="Z426" s="61" t="s">
        <v>69</v>
      </c>
      <c r="AA426" s="61" t="s">
        <v>730</v>
      </c>
      <c r="AB426" s="61" t="s">
        <v>8057</v>
      </c>
    </row>
    <row r="427" spans="1:28" s="2" customFormat="1" ht="15">
      <c r="A427" s="61" t="s">
        <v>776</v>
      </c>
      <c r="B427" s="61" t="s">
        <v>3953</v>
      </c>
      <c r="C427" s="61" t="s">
        <v>1056</v>
      </c>
      <c r="D427" s="61" t="s">
        <v>7838</v>
      </c>
      <c r="E427" s="61">
        <v>9448</v>
      </c>
      <c r="F427" s="61">
        <v>10573</v>
      </c>
      <c r="G427" s="61"/>
      <c r="H427" s="61"/>
      <c r="I427" s="61" t="s">
        <v>200</v>
      </c>
      <c r="J427" s="61"/>
      <c r="K427" s="61" t="s">
        <v>1982</v>
      </c>
      <c r="L427" s="61"/>
      <c r="M427" s="61"/>
      <c r="N427" s="61"/>
      <c r="O427" s="61"/>
      <c r="P427" s="61"/>
      <c r="Q427" s="61"/>
      <c r="R427" s="61" t="str">
        <f t="shared" si="24"/>
        <v/>
      </c>
      <c r="S427" s="61" t="str">
        <f t="shared" si="25"/>
        <v/>
      </c>
      <c r="T427" s="61" t="str">
        <f t="shared" si="28"/>
        <v/>
      </c>
      <c r="U427" s="61" t="str">
        <f t="shared" si="26"/>
        <v/>
      </c>
      <c r="V427" s="61"/>
      <c r="W427" s="61"/>
      <c r="X427" s="61"/>
      <c r="Y427" s="61"/>
      <c r="Z427" s="61"/>
      <c r="AA427" s="61"/>
      <c r="AB427" s="61"/>
    </row>
    <row r="428" spans="1:28" s="2" customFormat="1" ht="15">
      <c r="A428" s="61" t="s">
        <v>776</v>
      </c>
      <c r="B428" s="61" t="s">
        <v>3953</v>
      </c>
      <c r="C428" s="61" t="s">
        <v>1241</v>
      </c>
      <c r="D428" s="61" t="s">
        <v>7838</v>
      </c>
      <c r="E428" s="61">
        <v>11350</v>
      </c>
      <c r="F428" s="61">
        <v>12547</v>
      </c>
      <c r="G428" s="61"/>
      <c r="H428" s="61"/>
      <c r="I428" s="61" t="s">
        <v>200</v>
      </c>
      <c r="J428" s="61"/>
      <c r="K428" s="61" t="s">
        <v>1982</v>
      </c>
      <c r="L428" s="61"/>
      <c r="M428" s="61"/>
      <c r="N428" s="61"/>
      <c r="O428" s="61"/>
      <c r="P428" s="61"/>
      <c r="Q428" s="61"/>
      <c r="R428" s="61" t="str">
        <f t="shared" si="24"/>
        <v/>
      </c>
      <c r="S428" s="61" t="str">
        <f t="shared" si="25"/>
        <v/>
      </c>
      <c r="T428" s="61" t="str">
        <f t="shared" si="28"/>
        <v/>
      </c>
      <c r="U428" s="61" t="str">
        <f t="shared" si="26"/>
        <v/>
      </c>
      <c r="V428" s="61"/>
      <c r="W428" s="61"/>
      <c r="X428" s="61"/>
      <c r="Y428" s="61"/>
      <c r="Z428" s="61"/>
      <c r="AA428" s="61"/>
      <c r="AB428" s="61"/>
    </row>
    <row r="429" spans="1:28" s="2" customFormat="1" ht="15">
      <c r="A429" s="61" t="s">
        <v>776</v>
      </c>
      <c r="B429" s="61" t="s">
        <v>3953</v>
      </c>
      <c r="C429" s="61" t="s">
        <v>858</v>
      </c>
      <c r="D429" s="61" t="s">
        <v>7838</v>
      </c>
      <c r="E429" s="61">
        <v>6575</v>
      </c>
      <c r="F429" s="61">
        <v>6739</v>
      </c>
      <c r="G429" s="61"/>
      <c r="H429" s="61"/>
      <c r="I429" s="61" t="s">
        <v>200</v>
      </c>
      <c r="J429" s="61"/>
      <c r="K429" s="61" t="s">
        <v>1982</v>
      </c>
      <c r="L429" s="61"/>
      <c r="M429" s="61"/>
      <c r="N429" s="61"/>
      <c r="O429" s="61"/>
      <c r="P429" s="61"/>
      <c r="Q429" s="61"/>
      <c r="R429" s="61" t="str">
        <f t="shared" si="24"/>
        <v/>
      </c>
      <c r="S429" s="61" t="str">
        <f t="shared" si="25"/>
        <v/>
      </c>
      <c r="T429" s="61" t="str">
        <f t="shared" si="28"/>
        <v/>
      </c>
      <c r="U429" s="61" t="str">
        <f t="shared" si="26"/>
        <v/>
      </c>
      <c r="V429" s="61"/>
      <c r="W429" s="61"/>
      <c r="X429" s="61"/>
      <c r="Y429" s="61"/>
      <c r="Z429" s="61"/>
      <c r="AA429" s="61"/>
      <c r="AB429" s="61"/>
    </row>
    <row r="430" spans="1:28" s="2" customFormat="1" ht="15">
      <c r="A430" s="61" t="s">
        <v>776</v>
      </c>
      <c r="B430" s="61" t="s">
        <v>3953</v>
      </c>
      <c r="C430" s="61" t="s">
        <v>3974</v>
      </c>
      <c r="D430" s="61" t="s">
        <v>7838</v>
      </c>
      <c r="E430" s="61">
        <v>3554</v>
      </c>
      <c r="F430" s="61">
        <v>3967</v>
      </c>
      <c r="G430" s="61"/>
      <c r="H430" s="61"/>
      <c r="I430" s="61" t="s">
        <v>200</v>
      </c>
      <c r="J430" s="61"/>
      <c r="K430" s="61" t="s">
        <v>1982</v>
      </c>
      <c r="L430" s="61"/>
      <c r="M430" s="61"/>
      <c r="N430" s="61"/>
      <c r="O430" s="61"/>
      <c r="P430" s="61"/>
      <c r="Q430" s="61"/>
      <c r="R430" s="61" t="str">
        <f t="shared" si="24"/>
        <v/>
      </c>
      <c r="S430" s="61" t="str">
        <f t="shared" si="25"/>
        <v/>
      </c>
      <c r="T430" s="61" t="str">
        <f t="shared" si="28"/>
        <v/>
      </c>
      <c r="U430" s="61" t="str">
        <f t="shared" si="26"/>
        <v/>
      </c>
      <c r="V430" s="61"/>
      <c r="W430" s="61"/>
      <c r="X430" s="61"/>
      <c r="Y430" s="61"/>
      <c r="Z430" s="61"/>
      <c r="AA430" s="61"/>
      <c r="AB430" s="61"/>
    </row>
    <row r="431" spans="1:28" s="2" customFormat="1" ht="15">
      <c r="A431" s="61" t="s">
        <v>776</v>
      </c>
      <c r="B431" s="61" t="s">
        <v>3953</v>
      </c>
      <c r="C431" s="61" t="s">
        <v>3975</v>
      </c>
      <c r="D431" s="61" t="s">
        <v>7838</v>
      </c>
      <c r="E431" s="61">
        <v>11676</v>
      </c>
      <c r="F431" s="61">
        <v>12638</v>
      </c>
      <c r="G431" s="61"/>
      <c r="H431" s="61"/>
      <c r="I431" s="61" t="s">
        <v>200</v>
      </c>
      <c r="J431" s="61"/>
      <c r="K431" s="61" t="s">
        <v>1982</v>
      </c>
      <c r="L431" s="61"/>
      <c r="M431" s="61"/>
      <c r="N431" s="61"/>
      <c r="O431" s="61"/>
      <c r="P431" s="61"/>
      <c r="Q431" s="61"/>
      <c r="R431" s="61" t="str">
        <f t="shared" si="24"/>
        <v/>
      </c>
      <c r="S431" s="61" t="str">
        <f t="shared" si="25"/>
        <v/>
      </c>
      <c r="T431" s="61" t="str">
        <f t="shared" si="28"/>
        <v/>
      </c>
      <c r="U431" s="61" t="str">
        <f t="shared" si="26"/>
        <v/>
      </c>
      <c r="V431" s="61"/>
      <c r="W431" s="61"/>
      <c r="X431" s="61"/>
      <c r="Y431" s="61"/>
      <c r="Z431" s="61"/>
      <c r="AA431" s="61"/>
      <c r="AB431" s="61"/>
    </row>
    <row r="432" spans="1:28" s="2" customFormat="1" ht="15">
      <c r="A432" s="61" t="s">
        <v>776</v>
      </c>
      <c r="B432" s="61" t="s">
        <v>3953</v>
      </c>
      <c r="C432" s="61" t="s">
        <v>3977</v>
      </c>
      <c r="D432" s="61" t="s">
        <v>7838</v>
      </c>
      <c r="E432" s="61">
        <v>8840</v>
      </c>
      <c r="F432" s="61">
        <v>9600</v>
      </c>
      <c r="G432" s="61"/>
      <c r="H432" s="61"/>
      <c r="I432" s="61" t="s">
        <v>200</v>
      </c>
      <c r="J432" s="61"/>
      <c r="K432" s="61" t="s">
        <v>1982</v>
      </c>
      <c r="L432" s="61"/>
      <c r="M432" s="61"/>
      <c r="N432" s="61"/>
      <c r="O432" s="61"/>
      <c r="P432" s="61"/>
      <c r="Q432" s="61"/>
      <c r="R432" s="61" t="str">
        <f t="shared" si="24"/>
        <v/>
      </c>
      <c r="S432" s="61" t="str">
        <f t="shared" si="25"/>
        <v/>
      </c>
      <c r="T432" s="61" t="str">
        <f t="shared" ref="T432:T463" si="29">IF(
  OR(A432 = "Nueva_Ecija", A432 = "Zambales"),
  IF(
    OR(ISBLANK(O432), ISBLANK(P432)),
    "",
    MAX(1, IF(
      NETWORKDAYS(O432, P432) &lt;= 0,
      1,
      NETWORKDAYS(O432, P432) - IF(O432 = P432, 0, 1)
    ))
  ),
  IF(
    OR(ISBLANK(N432), ISBLANK(P432)),
    "",
    MAX(1, IF(
      NETWORKDAYS(N432, P432) &lt;= 0,
      1,
      NETWORKDAYS(N432, P432) - IF(N432 = P432, 0, 1)
    ))
  )
)</f>
        <v/>
      </c>
      <c r="U432" s="61" t="str">
        <f t="shared" si="26"/>
        <v/>
      </c>
      <c r="V432" s="61"/>
      <c r="W432" s="61"/>
      <c r="X432" s="61"/>
      <c r="Y432" s="61"/>
      <c r="Z432" s="61"/>
      <c r="AA432" s="61"/>
      <c r="AB432" s="61"/>
    </row>
    <row r="433" spans="1:28" s="2" customFormat="1" ht="15">
      <c r="A433" s="61" t="s">
        <v>776</v>
      </c>
      <c r="B433" s="61" t="s">
        <v>3953</v>
      </c>
      <c r="C433" s="61" t="s">
        <v>3727</v>
      </c>
      <c r="D433" s="61" t="s">
        <v>7838</v>
      </c>
      <c r="E433" s="61">
        <v>3818</v>
      </c>
      <c r="F433" s="61">
        <v>4324</v>
      </c>
      <c r="G433" s="61"/>
      <c r="H433" s="61"/>
      <c r="I433" s="61" t="s">
        <v>200</v>
      </c>
      <c r="J433" s="61"/>
      <c r="K433" s="61" t="s">
        <v>1982</v>
      </c>
      <c r="L433" s="61"/>
      <c r="M433" s="61"/>
      <c r="N433" s="475"/>
      <c r="O433" s="475"/>
      <c r="P433" s="475"/>
      <c r="Q433" s="475"/>
      <c r="R433" s="61" t="str">
        <f t="shared" si="24"/>
        <v/>
      </c>
      <c r="S433" s="61" t="str">
        <f t="shared" si="25"/>
        <v/>
      </c>
      <c r="T433" s="61" t="str">
        <f t="shared" si="29"/>
        <v/>
      </c>
      <c r="U433" s="61" t="str">
        <f t="shared" si="26"/>
        <v/>
      </c>
      <c r="V433" s="61"/>
      <c r="W433" s="61"/>
      <c r="X433" s="61"/>
      <c r="Y433" s="61"/>
      <c r="Z433" s="61"/>
      <c r="AA433" s="61"/>
      <c r="AB433" s="61"/>
    </row>
    <row r="434" spans="1:28" s="2" customFormat="1" ht="15">
      <c r="A434" s="61" t="s">
        <v>776</v>
      </c>
      <c r="B434" s="61" t="s">
        <v>3953</v>
      </c>
      <c r="C434" s="61" t="s">
        <v>2071</v>
      </c>
      <c r="D434" s="61" t="s">
        <v>7838</v>
      </c>
      <c r="E434" s="61">
        <v>5506</v>
      </c>
      <c r="F434" s="61">
        <v>6437</v>
      </c>
      <c r="G434" s="61"/>
      <c r="H434" s="61"/>
      <c r="I434" s="61" t="s">
        <v>200</v>
      </c>
      <c r="J434" s="61"/>
      <c r="K434" s="61" t="s">
        <v>1982</v>
      </c>
      <c r="L434" s="61"/>
      <c r="M434" s="61"/>
      <c r="N434" s="61"/>
      <c r="O434" s="61"/>
      <c r="P434" s="61"/>
      <c r="Q434" s="61"/>
      <c r="R434" s="61" t="str">
        <f t="shared" si="24"/>
        <v/>
      </c>
      <c r="S434" s="61" t="str">
        <f t="shared" si="25"/>
        <v/>
      </c>
      <c r="T434" s="61" t="str">
        <f t="shared" si="29"/>
        <v/>
      </c>
      <c r="U434" s="61" t="str">
        <f t="shared" si="26"/>
        <v/>
      </c>
      <c r="V434" s="61"/>
      <c r="W434" s="61"/>
      <c r="X434" s="61"/>
      <c r="Y434" s="61"/>
      <c r="Z434" s="61"/>
      <c r="AA434" s="61"/>
      <c r="AB434" s="61"/>
    </row>
    <row r="435" spans="1:28" s="2" customFormat="1" ht="15">
      <c r="A435" s="61" t="s">
        <v>776</v>
      </c>
      <c r="B435" s="61" t="s">
        <v>3953</v>
      </c>
      <c r="C435" s="61" t="s">
        <v>3979</v>
      </c>
      <c r="D435" s="61" t="s">
        <v>7838</v>
      </c>
      <c r="E435" s="61">
        <v>5070</v>
      </c>
      <c r="F435" s="61">
        <v>5894</v>
      </c>
      <c r="G435" s="61"/>
      <c r="H435" s="61"/>
      <c r="I435" s="61" t="s">
        <v>200</v>
      </c>
      <c r="J435" s="61"/>
      <c r="K435" s="61" t="s">
        <v>1982</v>
      </c>
      <c r="L435" s="61"/>
      <c r="M435" s="61"/>
      <c r="N435" s="61"/>
      <c r="O435" s="61"/>
      <c r="P435" s="61"/>
      <c r="Q435" s="61"/>
      <c r="R435" s="61" t="str">
        <f t="shared" si="24"/>
        <v/>
      </c>
      <c r="S435" s="61" t="str">
        <f t="shared" si="25"/>
        <v/>
      </c>
      <c r="T435" s="61" t="str">
        <f t="shared" si="29"/>
        <v/>
      </c>
      <c r="U435" s="61" t="str">
        <f t="shared" si="26"/>
        <v/>
      </c>
      <c r="V435" s="61"/>
      <c r="W435" s="61"/>
      <c r="X435" s="61"/>
      <c r="Y435" s="61"/>
      <c r="Z435" s="61"/>
      <c r="AA435" s="61"/>
      <c r="AB435" s="61"/>
    </row>
    <row r="436" spans="1:28" s="2" customFormat="1" ht="15">
      <c r="A436" s="61" t="s">
        <v>776</v>
      </c>
      <c r="B436" s="61" t="s">
        <v>3953</v>
      </c>
      <c r="C436" s="61" t="s">
        <v>3980</v>
      </c>
      <c r="D436" s="61" t="s">
        <v>7838</v>
      </c>
      <c r="E436" s="61">
        <v>5699</v>
      </c>
      <c r="F436" s="61">
        <v>7767</v>
      </c>
      <c r="G436" s="61"/>
      <c r="H436" s="61"/>
      <c r="I436" s="61" t="s">
        <v>200</v>
      </c>
      <c r="J436" s="61"/>
      <c r="K436" s="61" t="s">
        <v>1982</v>
      </c>
      <c r="L436" s="61"/>
      <c r="M436" s="61"/>
      <c r="N436" s="61"/>
      <c r="O436" s="61"/>
      <c r="P436" s="61"/>
      <c r="Q436" s="61"/>
      <c r="R436" s="61" t="str">
        <f t="shared" si="24"/>
        <v/>
      </c>
      <c r="S436" s="61" t="str">
        <f t="shared" si="25"/>
        <v/>
      </c>
      <c r="T436" s="61" t="str">
        <f t="shared" si="29"/>
        <v/>
      </c>
      <c r="U436" s="61" t="str">
        <f t="shared" si="26"/>
        <v/>
      </c>
      <c r="V436" s="61"/>
      <c r="W436" s="61"/>
      <c r="X436" s="61"/>
      <c r="Y436" s="61"/>
      <c r="Z436" s="61"/>
      <c r="AA436" s="61"/>
      <c r="AB436" s="61"/>
    </row>
    <row r="437" spans="1:28" s="2" customFormat="1" ht="15">
      <c r="A437" s="61" t="s">
        <v>776</v>
      </c>
      <c r="B437" s="61" t="s">
        <v>3953</v>
      </c>
      <c r="C437" s="61" t="s">
        <v>3981</v>
      </c>
      <c r="D437" s="61" t="s">
        <v>7838</v>
      </c>
      <c r="E437" s="61">
        <v>7333</v>
      </c>
      <c r="F437" s="61">
        <v>8809</v>
      </c>
      <c r="G437" s="61">
        <v>2025</v>
      </c>
      <c r="H437" s="61" t="s">
        <v>3129</v>
      </c>
      <c r="I437" s="61" t="s">
        <v>200</v>
      </c>
      <c r="J437" s="61" t="s">
        <v>1838</v>
      </c>
      <c r="K437" s="61" t="s">
        <v>1982</v>
      </c>
      <c r="L437" s="61" t="s">
        <v>8056</v>
      </c>
      <c r="M437" s="475">
        <v>45966</v>
      </c>
      <c r="N437" s="475">
        <v>45971</v>
      </c>
      <c r="O437" s="475">
        <v>45971</v>
      </c>
      <c r="P437" s="475">
        <v>45980</v>
      </c>
      <c r="Q437" s="475">
        <v>45980</v>
      </c>
      <c r="R437" s="61">
        <f t="shared" si="24"/>
        <v>3</v>
      </c>
      <c r="S437" s="61">
        <f t="shared" si="25"/>
        <v>1</v>
      </c>
      <c r="T437" s="61">
        <f t="shared" si="29"/>
        <v>7</v>
      </c>
      <c r="U437" s="61">
        <f t="shared" si="26"/>
        <v>1</v>
      </c>
      <c r="V437" s="61" t="s">
        <v>150</v>
      </c>
      <c r="W437" s="61" t="s">
        <v>1078</v>
      </c>
      <c r="X437" s="61" t="s">
        <v>3528</v>
      </c>
      <c r="Y437" s="61" t="s">
        <v>69</v>
      </c>
      <c r="Z437" s="61" t="s">
        <v>69</v>
      </c>
      <c r="AA437" s="61" t="s">
        <v>730</v>
      </c>
      <c r="AB437" s="61" t="s">
        <v>8057</v>
      </c>
    </row>
    <row r="438" spans="1:28" s="2" customFormat="1" ht="15">
      <c r="A438" s="61" t="s">
        <v>776</v>
      </c>
      <c r="B438" s="61" t="s">
        <v>3953</v>
      </c>
      <c r="C438" s="61" t="s">
        <v>3983</v>
      </c>
      <c r="D438" s="61" t="s">
        <v>7838</v>
      </c>
      <c r="E438" s="61">
        <v>5006</v>
      </c>
      <c r="F438" s="61">
        <v>5861</v>
      </c>
      <c r="G438" s="61"/>
      <c r="H438" s="61"/>
      <c r="I438" s="61" t="s">
        <v>200</v>
      </c>
      <c r="J438" s="61"/>
      <c r="K438" s="61" t="s">
        <v>1982</v>
      </c>
      <c r="L438" s="61"/>
      <c r="M438" s="61"/>
      <c r="N438" s="61"/>
      <c r="O438" s="61"/>
      <c r="P438" s="61"/>
      <c r="Q438" s="61"/>
      <c r="R438" s="61" t="str">
        <f t="shared" si="24"/>
        <v/>
      </c>
      <c r="S438" s="61" t="str">
        <f t="shared" si="25"/>
        <v/>
      </c>
      <c r="T438" s="61" t="str">
        <f t="shared" si="29"/>
        <v/>
      </c>
      <c r="U438" s="61" t="str">
        <f t="shared" si="26"/>
        <v/>
      </c>
      <c r="V438" s="61"/>
      <c r="W438" s="61"/>
      <c r="X438" s="61"/>
      <c r="Y438" s="61"/>
      <c r="Z438" s="61"/>
      <c r="AA438" s="61"/>
      <c r="AB438" s="61"/>
    </row>
    <row r="439" spans="1:28" s="2" customFormat="1" ht="15">
      <c r="A439" s="61" t="s">
        <v>776</v>
      </c>
      <c r="B439" s="61" t="s">
        <v>3953</v>
      </c>
      <c r="C439" s="61" t="s">
        <v>1462</v>
      </c>
      <c r="D439" s="61" t="s">
        <v>7838</v>
      </c>
      <c r="E439" s="61">
        <v>3014</v>
      </c>
      <c r="F439" s="61">
        <v>2979</v>
      </c>
      <c r="G439" s="61"/>
      <c r="H439" s="61"/>
      <c r="I439" s="61" t="s">
        <v>200</v>
      </c>
      <c r="J439" s="61"/>
      <c r="K439" s="61" t="s">
        <v>1982</v>
      </c>
      <c r="L439" s="61"/>
      <c r="M439" s="61"/>
      <c r="N439" s="61"/>
      <c r="O439" s="61"/>
      <c r="P439" s="61"/>
      <c r="Q439" s="61"/>
      <c r="R439" s="61" t="str">
        <f t="shared" si="24"/>
        <v/>
      </c>
      <c r="S439" s="61" t="str">
        <f t="shared" si="25"/>
        <v/>
      </c>
      <c r="T439" s="61" t="str">
        <f t="shared" si="29"/>
        <v/>
      </c>
      <c r="U439" s="61" t="str">
        <f t="shared" si="26"/>
        <v/>
      </c>
      <c r="V439" s="61"/>
      <c r="W439" s="61"/>
      <c r="X439" s="61"/>
      <c r="Y439" s="61"/>
      <c r="Z439" s="61"/>
      <c r="AA439" s="61"/>
      <c r="AB439" s="61"/>
    </row>
    <row r="440" spans="1:28" s="2" customFormat="1" ht="15">
      <c r="A440" s="61" t="s">
        <v>776</v>
      </c>
      <c r="B440" s="61" t="s">
        <v>3953</v>
      </c>
      <c r="C440" s="61" t="s">
        <v>3985</v>
      </c>
      <c r="D440" s="61" t="s">
        <v>7838</v>
      </c>
      <c r="E440" s="61">
        <v>3389</v>
      </c>
      <c r="F440" s="61">
        <v>3023</v>
      </c>
      <c r="G440" s="61"/>
      <c r="H440" s="61"/>
      <c r="I440" s="61" t="s">
        <v>200</v>
      </c>
      <c r="J440" s="61"/>
      <c r="K440" s="61" t="s">
        <v>1982</v>
      </c>
      <c r="L440" s="61"/>
      <c r="M440" s="61"/>
      <c r="N440" s="61"/>
      <c r="O440" s="61"/>
      <c r="P440" s="61"/>
      <c r="Q440" s="61"/>
      <c r="R440" s="61" t="str">
        <f t="shared" si="24"/>
        <v/>
      </c>
      <c r="S440" s="61" t="str">
        <f t="shared" si="25"/>
        <v/>
      </c>
      <c r="T440" s="61" t="str">
        <f t="shared" si="29"/>
        <v/>
      </c>
      <c r="U440" s="61" t="str">
        <f t="shared" si="26"/>
        <v/>
      </c>
      <c r="V440" s="61"/>
      <c r="W440" s="61"/>
      <c r="X440" s="61"/>
      <c r="Y440" s="61"/>
      <c r="Z440" s="61"/>
      <c r="AA440" s="61"/>
      <c r="AB440" s="61"/>
    </row>
    <row r="441" spans="1:28" s="2" customFormat="1" ht="15">
      <c r="A441" s="61" t="s">
        <v>776</v>
      </c>
      <c r="B441" s="61" t="s">
        <v>3953</v>
      </c>
      <c r="C441" s="61" t="s">
        <v>3986</v>
      </c>
      <c r="D441" s="61" t="s">
        <v>7838</v>
      </c>
      <c r="E441" s="61">
        <v>6945</v>
      </c>
      <c r="F441" s="61">
        <v>7353</v>
      </c>
      <c r="G441" s="61"/>
      <c r="H441" s="61"/>
      <c r="I441" s="61" t="s">
        <v>200</v>
      </c>
      <c r="J441" s="61"/>
      <c r="K441" s="61" t="s">
        <v>1982</v>
      </c>
      <c r="L441" s="61"/>
      <c r="M441" s="61"/>
      <c r="N441" s="61"/>
      <c r="O441" s="61"/>
      <c r="P441" s="61"/>
      <c r="Q441" s="61"/>
      <c r="R441" s="61" t="str">
        <f t="shared" si="24"/>
        <v/>
      </c>
      <c r="S441" s="61" t="str">
        <f t="shared" si="25"/>
        <v/>
      </c>
      <c r="T441" s="61" t="str">
        <f t="shared" si="29"/>
        <v/>
      </c>
      <c r="U441" s="61" t="str">
        <f t="shared" si="26"/>
        <v/>
      </c>
      <c r="V441" s="61"/>
      <c r="W441" s="61"/>
      <c r="X441" s="61"/>
      <c r="Y441" s="61"/>
      <c r="Z441" s="61"/>
      <c r="AA441" s="61"/>
      <c r="AB441" s="61"/>
    </row>
    <row r="442" spans="1:28" s="507" customFormat="1" ht="15">
      <c r="A442" s="506" t="s">
        <v>776</v>
      </c>
      <c r="B442" s="506" t="s">
        <v>1011</v>
      </c>
      <c r="C442" s="506" t="s">
        <v>1012</v>
      </c>
      <c r="D442" s="506" t="s">
        <v>7838</v>
      </c>
      <c r="E442" s="506">
        <v>31663</v>
      </c>
      <c r="F442" s="506">
        <v>40700</v>
      </c>
      <c r="G442" s="506">
        <v>2025</v>
      </c>
      <c r="H442" s="61" t="s">
        <v>3126</v>
      </c>
      <c r="I442" s="506" t="s">
        <v>388</v>
      </c>
      <c r="J442" s="506"/>
      <c r="K442" s="506" t="s">
        <v>1982</v>
      </c>
      <c r="L442" s="61" t="s">
        <v>8058</v>
      </c>
      <c r="M442" s="508">
        <v>45887</v>
      </c>
      <c r="N442" s="508">
        <v>45888</v>
      </c>
      <c r="O442" s="506"/>
      <c r="P442" s="508">
        <v>45888</v>
      </c>
      <c r="Q442" s="508">
        <v>45888</v>
      </c>
      <c r="R442" s="506">
        <f t="shared" si="24"/>
        <v>1</v>
      </c>
      <c r="S442" s="506" t="str">
        <f t="shared" si="25"/>
        <v/>
      </c>
      <c r="T442" s="506">
        <f t="shared" si="29"/>
        <v>1</v>
      </c>
      <c r="U442" s="506">
        <f t="shared" si="26"/>
        <v>1</v>
      </c>
      <c r="V442" s="506" t="s">
        <v>150</v>
      </c>
      <c r="W442" s="506" t="s">
        <v>4</v>
      </c>
      <c r="X442" s="506" t="s">
        <v>57</v>
      </c>
      <c r="Y442" s="506" t="s">
        <v>8059</v>
      </c>
      <c r="Z442" s="506">
        <v>120.94589999999999</v>
      </c>
      <c r="AA442" s="506" t="s">
        <v>292</v>
      </c>
      <c r="AB442" s="506"/>
    </row>
    <row r="443" spans="1:28" s="507" customFormat="1" ht="15">
      <c r="A443" s="506" t="s">
        <v>776</v>
      </c>
      <c r="B443" s="506" t="s">
        <v>1011</v>
      </c>
      <c r="C443" s="506" t="s">
        <v>3998</v>
      </c>
      <c r="D443" s="506" t="s">
        <v>7838</v>
      </c>
      <c r="E443" s="506">
        <v>2072</v>
      </c>
      <c r="F443" s="506">
        <v>2113</v>
      </c>
      <c r="G443" s="506">
        <v>2025</v>
      </c>
      <c r="H443" s="506" t="s">
        <v>3689</v>
      </c>
      <c r="I443" s="506" t="s">
        <v>388</v>
      </c>
      <c r="J443" s="506"/>
      <c r="K443" s="506" t="s">
        <v>1982</v>
      </c>
      <c r="L443" s="506" t="s">
        <v>8060</v>
      </c>
      <c r="M443" s="508">
        <v>45819</v>
      </c>
      <c r="N443" s="508">
        <v>45824</v>
      </c>
      <c r="O443" s="506"/>
      <c r="P443" s="508">
        <v>45827</v>
      </c>
      <c r="Q443" s="508">
        <v>45827</v>
      </c>
      <c r="R443" s="506">
        <f t="shared" si="24"/>
        <v>3</v>
      </c>
      <c r="S443" s="506" t="str">
        <f t="shared" si="25"/>
        <v/>
      </c>
      <c r="T443" s="506">
        <f t="shared" si="29"/>
        <v>3</v>
      </c>
      <c r="U443" s="506">
        <f t="shared" si="26"/>
        <v>1</v>
      </c>
      <c r="V443" s="506" t="s">
        <v>150</v>
      </c>
      <c r="W443" s="506" t="s">
        <v>4</v>
      </c>
      <c r="X443" s="61" t="s">
        <v>50</v>
      </c>
      <c r="Y443" s="506">
        <v>14.796200000000001</v>
      </c>
      <c r="Z443" s="506">
        <v>120.9298</v>
      </c>
      <c r="AA443" s="506" t="s">
        <v>292</v>
      </c>
      <c r="AB443" s="506"/>
    </row>
    <row r="444" spans="1:28" s="507" customFormat="1" ht="15">
      <c r="A444" s="506" t="s">
        <v>776</v>
      </c>
      <c r="B444" s="506" t="s">
        <v>1011</v>
      </c>
      <c r="C444" s="506" t="s">
        <v>4005</v>
      </c>
      <c r="D444" s="506" t="s">
        <v>7838</v>
      </c>
      <c r="E444" s="506">
        <v>7444</v>
      </c>
      <c r="F444" s="506">
        <v>8905</v>
      </c>
      <c r="G444" s="506">
        <v>2025</v>
      </c>
      <c r="H444" s="506" t="s">
        <v>3689</v>
      </c>
      <c r="I444" s="506" t="s">
        <v>388</v>
      </c>
      <c r="J444" s="506"/>
      <c r="K444" s="506" t="s">
        <v>1982</v>
      </c>
      <c r="L444" s="506" t="s">
        <v>8061</v>
      </c>
      <c r="M444" s="508">
        <v>45819</v>
      </c>
      <c r="N444" s="508">
        <v>45824</v>
      </c>
      <c r="O444" s="508"/>
      <c r="P444" s="508">
        <v>45827</v>
      </c>
      <c r="Q444" s="508">
        <v>45827</v>
      </c>
      <c r="R444" s="506">
        <f t="shared" si="24"/>
        <v>3</v>
      </c>
      <c r="S444" s="506" t="str">
        <f t="shared" si="25"/>
        <v/>
      </c>
      <c r="T444" s="506">
        <f t="shared" si="29"/>
        <v>3</v>
      </c>
      <c r="U444" s="506">
        <f t="shared" si="26"/>
        <v>1</v>
      </c>
      <c r="V444" s="506" t="s">
        <v>150</v>
      </c>
      <c r="W444" s="506" t="s">
        <v>4</v>
      </c>
      <c r="X444" s="61" t="s">
        <v>50</v>
      </c>
      <c r="Y444" s="506">
        <v>14.7865</v>
      </c>
      <c r="Z444" s="506">
        <v>120.9504</v>
      </c>
      <c r="AA444" s="506" t="s">
        <v>292</v>
      </c>
      <c r="AB444" s="506"/>
    </row>
    <row r="445" spans="1:28" s="507" customFormat="1" ht="15">
      <c r="A445" s="506" t="s">
        <v>776</v>
      </c>
      <c r="B445" s="506" t="s">
        <v>1011</v>
      </c>
      <c r="C445" s="506" t="s">
        <v>1790</v>
      </c>
      <c r="D445" s="506" t="s">
        <v>7838</v>
      </c>
      <c r="E445" s="506">
        <v>1408</v>
      </c>
      <c r="F445" s="506">
        <v>1871</v>
      </c>
      <c r="G445" s="506">
        <v>2025</v>
      </c>
      <c r="H445" s="506" t="s">
        <v>3689</v>
      </c>
      <c r="I445" s="506" t="s">
        <v>388</v>
      </c>
      <c r="J445" s="506"/>
      <c r="K445" s="506" t="s">
        <v>1982</v>
      </c>
      <c r="L445" s="506" t="s">
        <v>8062</v>
      </c>
      <c r="M445" s="508">
        <v>45821</v>
      </c>
      <c r="N445" s="508">
        <v>45824</v>
      </c>
      <c r="O445" s="508"/>
      <c r="P445" s="508">
        <v>45827</v>
      </c>
      <c r="Q445" s="508">
        <v>45827</v>
      </c>
      <c r="R445" s="506">
        <f t="shared" si="24"/>
        <v>1</v>
      </c>
      <c r="S445" s="506" t="str">
        <f t="shared" si="25"/>
        <v/>
      </c>
      <c r="T445" s="506">
        <f t="shared" si="29"/>
        <v>3</v>
      </c>
      <c r="U445" s="506">
        <f t="shared" si="26"/>
        <v>1</v>
      </c>
      <c r="V445" s="506" t="s">
        <v>150</v>
      </c>
      <c r="W445" s="506" t="s">
        <v>4</v>
      </c>
      <c r="X445" s="506" t="s">
        <v>57</v>
      </c>
      <c r="Y445" s="506">
        <v>14.7925</v>
      </c>
      <c r="Z445" s="506">
        <v>120.93770000000001</v>
      </c>
      <c r="AA445" s="506" t="s">
        <v>292</v>
      </c>
      <c r="AB445" s="506"/>
    </row>
    <row r="446" spans="1:28" s="507" customFormat="1" ht="15">
      <c r="A446" s="506" t="s">
        <v>776</v>
      </c>
      <c r="B446" s="506" t="s">
        <v>1011</v>
      </c>
      <c r="C446" s="506" t="s">
        <v>1881</v>
      </c>
      <c r="D446" s="506" t="s">
        <v>7838</v>
      </c>
      <c r="E446" s="506">
        <v>3573</v>
      </c>
      <c r="F446" s="506">
        <v>3863</v>
      </c>
      <c r="G446" s="506">
        <v>2025</v>
      </c>
      <c r="H446" s="61" t="s">
        <v>3126</v>
      </c>
      <c r="I446" s="506" t="s">
        <v>388</v>
      </c>
      <c r="K446" s="506" t="s">
        <v>1982</v>
      </c>
      <c r="L446" s="61" t="s">
        <v>8063</v>
      </c>
      <c r="M446" s="508">
        <v>45883</v>
      </c>
      <c r="N446" s="508">
        <v>45885</v>
      </c>
      <c r="O446" s="506"/>
      <c r="P446" s="508">
        <v>45887</v>
      </c>
      <c r="Q446" s="508">
        <v>45888</v>
      </c>
      <c r="R446" s="506">
        <f t="shared" si="24"/>
        <v>1</v>
      </c>
      <c r="S446" s="506" t="str">
        <f t="shared" si="25"/>
        <v/>
      </c>
      <c r="T446" s="506">
        <f t="shared" si="29"/>
        <v>1</v>
      </c>
      <c r="U446" s="506">
        <f t="shared" si="26"/>
        <v>1</v>
      </c>
      <c r="V446" s="506" t="s">
        <v>150</v>
      </c>
      <c r="W446" s="61" t="s">
        <v>3527</v>
      </c>
      <c r="X446" s="61" t="s">
        <v>3528</v>
      </c>
      <c r="Y446" s="506" t="s">
        <v>69</v>
      </c>
      <c r="Z446" s="506" t="s">
        <v>69</v>
      </c>
      <c r="AA446" s="506" t="s">
        <v>292</v>
      </c>
      <c r="AB446" s="506"/>
    </row>
    <row r="447" spans="1:28" s="507" customFormat="1" ht="15">
      <c r="A447" s="506" t="s">
        <v>776</v>
      </c>
      <c r="B447" s="506" t="s">
        <v>1011</v>
      </c>
      <c r="C447" s="506" t="s">
        <v>3996</v>
      </c>
      <c r="D447" s="506" t="s">
        <v>7838</v>
      </c>
      <c r="E447" s="506">
        <v>3496</v>
      </c>
      <c r="F447" s="506">
        <v>3406</v>
      </c>
      <c r="G447" s="506">
        <v>2025</v>
      </c>
      <c r="H447" s="61" t="s">
        <v>3126</v>
      </c>
      <c r="I447" s="506" t="s">
        <v>388</v>
      </c>
      <c r="J447" s="506"/>
      <c r="K447" s="506" t="s">
        <v>1982</v>
      </c>
      <c r="L447" s="61" t="s">
        <v>8064</v>
      </c>
      <c r="M447" s="508">
        <v>45883</v>
      </c>
      <c r="N447" s="508">
        <v>45885</v>
      </c>
      <c r="O447" s="506"/>
      <c r="P447" s="508">
        <v>45887</v>
      </c>
      <c r="Q447" s="508">
        <v>45888</v>
      </c>
      <c r="R447" s="506">
        <f t="shared" si="24"/>
        <v>1</v>
      </c>
      <c r="S447" s="506" t="str">
        <f t="shared" si="25"/>
        <v/>
      </c>
      <c r="T447" s="506">
        <f t="shared" si="29"/>
        <v>1</v>
      </c>
      <c r="U447" s="506">
        <f t="shared" si="26"/>
        <v>1</v>
      </c>
      <c r="V447" s="506" t="s">
        <v>150</v>
      </c>
      <c r="W447" s="61" t="s">
        <v>3527</v>
      </c>
      <c r="X447" s="61" t="s">
        <v>3528</v>
      </c>
      <c r="Y447" s="506" t="s">
        <v>69</v>
      </c>
      <c r="Z447" s="506" t="s">
        <v>69</v>
      </c>
      <c r="AA447" s="506" t="s">
        <v>292</v>
      </c>
      <c r="AB447" s="506"/>
    </row>
    <row r="448" spans="1:28" s="507" customFormat="1" ht="15">
      <c r="A448" s="506" t="s">
        <v>776</v>
      </c>
      <c r="B448" s="506" t="s">
        <v>1011</v>
      </c>
      <c r="C448" s="506" t="s">
        <v>2265</v>
      </c>
      <c r="D448" s="506" t="s">
        <v>7838</v>
      </c>
      <c r="E448" s="506">
        <v>6796</v>
      </c>
      <c r="F448" s="506">
        <v>11129</v>
      </c>
      <c r="G448" s="506">
        <v>2025</v>
      </c>
      <c r="H448" s="506" t="s">
        <v>3689</v>
      </c>
      <c r="I448" s="506" t="s">
        <v>388</v>
      </c>
      <c r="J448" s="506"/>
      <c r="K448" s="506" t="s">
        <v>1982</v>
      </c>
      <c r="L448" s="506" t="s">
        <v>8065</v>
      </c>
      <c r="M448" s="508">
        <v>45821</v>
      </c>
      <c r="N448" s="508">
        <v>45824</v>
      </c>
      <c r="O448" s="508"/>
      <c r="P448" s="508">
        <v>45827</v>
      </c>
      <c r="Q448" s="508">
        <v>45827</v>
      </c>
      <c r="R448" s="506">
        <f t="shared" si="24"/>
        <v>1</v>
      </c>
      <c r="S448" s="506" t="str">
        <f t="shared" si="25"/>
        <v/>
      </c>
      <c r="T448" s="506">
        <f t="shared" si="29"/>
        <v>3</v>
      </c>
      <c r="U448" s="506">
        <f t="shared" si="26"/>
        <v>1</v>
      </c>
      <c r="V448" s="506" t="s">
        <v>150</v>
      </c>
      <c r="W448" s="61" t="s">
        <v>3527</v>
      </c>
      <c r="X448" s="61" t="s">
        <v>3528</v>
      </c>
      <c r="Y448" s="506">
        <v>14.7881</v>
      </c>
      <c r="Z448" s="506">
        <v>120.94280000000001</v>
      </c>
      <c r="AA448" s="506" t="s">
        <v>292</v>
      </c>
      <c r="AB448" s="506"/>
    </row>
    <row r="449" spans="1:28" s="507" customFormat="1" ht="15">
      <c r="A449" s="506" t="s">
        <v>776</v>
      </c>
      <c r="B449" s="506" t="s">
        <v>1011</v>
      </c>
      <c r="C449" s="506" t="s">
        <v>1083</v>
      </c>
      <c r="D449" s="506" t="s">
        <v>7838</v>
      </c>
      <c r="E449" s="506">
        <v>5551</v>
      </c>
      <c r="F449" s="506">
        <v>4813</v>
      </c>
      <c r="G449" s="506">
        <v>2025</v>
      </c>
      <c r="H449" s="61" t="s">
        <v>3126</v>
      </c>
      <c r="I449" s="506" t="s">
        <v>388</v>
      </c>
      <c r="J449" s="506"/>
      <c r="K449" s="506" t="s">
        <v>1982</v>
      </c>
      <c r="L449" s="61" t="s">
        <v>8066</v>
      </c>
      <c r="M449" s="508">
        <v>45883</v>
      </c>
      <c r="N449" s="508">
        <v>45885</v>
      </c>
      <c r="O449" s="506"/>
      <c r="P449" s="508">
        <v>45887</v>
      </c>
      <c r="Q449" s="508">
        <v>45888</v>
      </c>
      <c r="R449" s="506">
        <f t="shared" si="24"/>
        <v>1</v>
      </c>
      <c r="S449" s="506" t="str">
        <f t="shared" si="25"/>
        <v/>
      </c>
      <c r="T449" s="506">
        <f t="shared" si="29"/>
        <v>1</v>
      </c>
      <c r="U449" s="506">
        <f t="shared" si="26"/>
        <v>1</v>
      </c>
      <c r="V449" s="506" t="s">
        <v>150</v>
      </c>
      <c r="W449" s="61" t="s">
        <v>3527</v>
      </c>
      <c r="X449" s="61" t="s">
        <v>3528</v>
      </c>
      <c r="Y449" s="506" t="s">
        <v>69</v>
      </c>
      <c r="Z449" s="506" t="s">
        <v>69</v>
      </c>
      <c r="AA449" s="506" t="s">
        <v>292</v>
      </c>
      <c r="AB449" s="506"/>
    </row>
    <row r="450" spans="1:28" s="507" customFormat="1" ht="15">
      <c r="A450" s="506" t="s">
        <v>776</v>
      </c>
      <c r="B450" s="506" t="s">
        <v>1011</v>
      </c>
      <c r="C450" s="506" t="s">
        <v>4009</v>
      </c>
      <c r="D450" s="506" t="s">
        <v>7838</v>
      </c>
      <c r="E450" s="506">
        <v>16507</v>
      </c>
      <c r="F450" s="506">
        <v>14437</v>
      </c>
      <c r="G450" s="506">
        <v>2025</v>
      </c>
      <c r="H450" s="506" t="s">
        <v>3689</v>
      </c>
      <c r="I450" s="506" t="s">
        <v>508</v>
      </c>
      <c r="J450" s="506"/>
      <c r="K450" s="506" t="s">
        <v>1982</v>
      </c>
      <c r="L450" s="506" t="s">
        <v>8067</v>
      </c>
      <c r="M450" s="508">
        <v>45821</v>
      </c>
      <c r="N450" s="508">
        <v>45824</v>
      </c>
      <c r="O450" s="508"/>
      <c r="P450" s="508">
        <v>45827</v>
      </c>
      <c r="Q450" s="508">
        <v>45827</v>
      </c>
      <c r="R450" s="506">
        <f t="shared" ref="R450:R513" si="30">IF(
    OR(ISBLANK(M450), ISBLANK(N450)),
    "",
    MAX(1, IF(
        NETWORKDAYS(M450, N450) &lt;= 0,
        1,
        NETWORKDAYS(M450, N450) - IF(M450 = N450, 0, 1)
    ))
)</f>
        <v>1</v>
      </c>
      <c r="S450" s="506" t="str">
        <f t="shared" ref="S450:S513" si="31">IF(
    OR(ISBLANK(N450), ISBLANK(O450)),
    "",
    MAX(1, IF(
        NETWORKDAYS(N450, O450) &lt;= 0,
        1,
        NETWORKDAYS(N450, O450) - IF(N450 = O450, 0, 1)
    ))
)</f>
        <v/>
      </c>
      <c r="T450" s="506">
        <f t="shared" si="29"/>
        <v>3</v>
      </c>
      <c r="U450" s="506">
        <f t="shared" ref="U450:U513" si="32">IF(
    OR(ISBLANK(P450), ISBLANK(Q450)),
    "",
    MAX(1, IF(
        NETWORKDAYS(P450, Q450) &lt;= 0,
        1,
        NETWORKDAYS(P450, Q450) - IF(P450 = Q450, 0, 1)
    ))
)</f>
        <v>1</v>
      </c>
      <c r="V450" s="506" t="s">
        <v>150</v>
      </c>
      <c r="W450" s="61" t="s">
        <v>3527</v>
      </c>
      <c r="X450" s="61" t="s">
        <v>3528</v>
      </c>
      <c r="Y450" s="506"/>
      <c r="Z450" s="506"/>
      <c r="AA450" s="506" t="s">
        <v>292</v>
      </c>
      <c r="AB450" s="506"/>
    </row>
    <row r="451" spans="1:28" s="507" customFormat="1" ht="15">
      <c r="A451" s="506" t="s">
        <v>776</v>
      </c>
      <c r="B451" s="506" t="s">
        <v>1011</v>
      </c>
      <c r="C451" s="506" t="s">
        <v>4014</v>
      </c>
      <c r="D451" s="506" t="s">
        <v>7838</v>
      </c>
      <c r="E451" s="506">
        <v>8681</v>
      </c>
      <c r="F451" s="506">
        <v>9082</v>
      </c>
      <c r="G451" s="506">
        <v>2025</v>
      </c>
      <c r="H451" s="61" t="s">
        <v>3126</v>
      </c>
      <c r="I451" s="506" t="s">
        <v>388</v>
      </c>
      <c r="K451" s="506" t="s">
        <v>1982</v>
      </c>
      <c r="L451" s="61" t="s">
        <v>8068</v>
      </c>
      <c r="M451" s="508">
        <v>45883</v>
      </c>
      <c r="N451" s="508">
        <v>45885</v>
      </c>
      <c r="O451" s="506"/>
      <c r="P451" s="508">
        <v>45887</v>
      </c>
      <c r="Q451" s="508">
        <v>45888</v>
      </c>
      <c r="R451" s="506">
        <f t="shared" si="30"/>
        <v>1</v>
      </c>
      <c r="S451" s="506" t="str">
        <f t="shared" si="31"/>
        <v/>
      </c>
      <c r="T451" s="506">
        <f t="shared" si="29"/>
        <v>1</v>
      </c>
      <c r="U451" s="506">
        <f t="shared" si="32"/>
        <v>1</v>
      </c>
      <c r="V451" s="506" t="s">
        <v>150</v>
      </c>
      <c r="W451" s="61" t="s">
        <v>3527</v>
      </c>
      <c r="X451" s="61" t="s">
        <v>3528</v>
      </c>
      <c r="Y451" s="506" t="s">
        <v>69</v>
      </c>
      <c r="Z451" s="506" t="s">
        <v>69</v>
      </c>
      <c r="AA451" s="506" t="s">
        <v>292</v>
      </c>
      <c r="AB451" s="506"/>
    </row>
    <row r="452" spans="1:28" s="507" customFormat="1" ht="15">
      <c r="A452" s="506" t="s">
        <v>776</v>
      </c>
      <c r="B452" s="506" t="s">
        <v>1011</v>
      </c>
      <c r="C452" s="506" t="s">
        <v>4018</v>
      </c>
      <c r="D452" s="506" t="s">
        <v>7838</v>
      </c>
      <c r="E452" s="506">
        <v>1887</v>
      </c>
      <c r="F452" s="506">
        <v>2243</v>
      </c>
      <c r="G452" s="506">
        <v>2025</v>
      </c>
      <c r="H452" s="61" t="s">
        <v>3126</v>
      </c>
      <c r="I452" s="506" t="s">
        <v>388</v>
      </c>
      <c r="K452" s="506" t="s">
        <v>1982</v>
      </c>
      <c r="L452" s="61" t="s">
        <v>8069</v>
      </c>
      <c r="M452" s="508">
        <v>45883</v>
      </c>
      <c r="N452" s="508">
        <v>45885</v>
      </c>
      <c r="O452" s="506"/>
      <c r="P452" s="508">
        <v>45887</v>
      </c>
      <c r="Q452" s="508">
        <v>45888</v>
      </c>
      <c r="R452" s="506">
        <f t="shared" si="30"/>
        <v>1</v>
      </c>
      <c r="S452" s="506" t="str">
        <f t="shared" si="31"/>
        <v/>
      </c>
      <c r="T452" s="506">
        <f t="shared" si="29"/>
        <v>1</v>
      </c>
      <c r="U452" s="506">
        <f t="shared" si="32"/>
        <v>1</v>
      </c>
      <c r="V452" s="506" t="s">
        <v>150</v>
      </c>
      <c r="W452" s="61" t="s">
        <v>3527</v>
      </c>
      <c r="X452" s="61" t="s">
        <v>3528</v>
      </c>
      <c r="Y452" s="506" t="s">
        <v>69</v>
      </c>
      <c r="Z452" s="506" t="s">
        <v>69</v>
      </c>
      <c r="AA452" s="506" t="s">
        <v>292</v>
      </c>
      <c r="AB452" s="506"/>
    </row>
    <row r="453" spans="1:28" s="507" customFormat="1" ht="15">
      <c r="A453" s="506" t="s">
        <v>776</v>
      </c>
      <c r="B453" s="506" t="s">
        <v>1011</v>
      </c>
      <c r="C453" s="506" t="s">
        <v>3987</v>
      </c>
      <c r="D453" s="506" t="s">
        <v>7838</v>
      </c>
      <c r="E453" s="506">
        <v>2289</v>
      </c>
      <c r="F453" s="506">
        <v>1736</v>
      </c>
      <c r="G453" s="506">
        <v>2025</v>
      </c>
      <c r="H453" s="506" t="s">
        <v>3129</v>
      </c>
      <c r="I453" s="506" t="s">
        <v>388</v>
      </c>
      <c r="J453" s="61" t="s">
        <v>1838</v>
      </c>
      <c r="K453" s="506" t="s">
        <v>1982</v>
      </c>
      <c r="L453" s="506" t="s">
        <v>8070</v>
      </c>
      <c r="M453" s="475">
        <v>45964</v>
      </c>
      <c r="N453" s="475">
        <v>45969</v>
      </c>
      <c r="O453" s="508">
        <v>45979</v>
      </c>
      <c r="P453" s="508">
        <v>45980</v>
      </c>
      <c r="Q453" s="508">
        <v>45980</v>
      </c>
      <c r="R453" s="506">
        <f t="shared" si="30"/>
        <v>4</v>
      </c>
      <c r="S453" s="506">
        <f t="shared" si="31"/>
        <v>6</v>
      </c>
      <c r="T453" s="506">
        <f t="shared" si="29"/>
        <v>7</v>
      </c>
      <c r="U453" s="506">
        <f t="shared" si="32"/>
        <v>1</v>
      </c>
      <c r="V453" s="506" t="s">
        <v>150</v>
      </c>
      <c r="W453" s="506" t="s">
        <v>3527</v>
      </c>
      <c r="X453" s="506" t="s">
        <v>3528</v>
      </c>
      <c r="Y453" s="506" t="s">
        <v>69</v>
      </c>
      <c r="Z453" s="506" t="s">
        <v>69</v>
      </c>
      <c r="AA453" s="506"/>
      <c r="AB453" s="728" t="s">
        <v>8071</v>
      </c>
    </row>
    <row r="454" spans="1:28" s="507" customFormat="1" ht="28.5">
      <c r="A454" s="506" t="s">
        <v>776</v>
      </c>
      <c r="B454" s="506" t="s">
        <v>1011</v>
      </c>
      <c r="C454" s="506" t="s">
        <v>4000</v>
      </c>
      <c r="D454" s="506" t="s">
        <v>7838</v>
      </c>
      <c r="E454" s="506">
        <v>4686</v>
      </c>
      <c r="F454" s="506">
        <v>4018</v>
      </c>
      <c r="G454" s="506">
        <v>2025</v>
      </c>
      <c r="H454" s="506" t="s">
        <v>3129</v>
      </c>
      <c r="I454" s="506" t="s">
        <v>388</v>
      </c>
      <c r="J454" s="61" t="s">
        <v>1838</v>
      </c>
      <c r="K454" s="506" t="s">
        <v>1982</v>
      </c>
      <c r="L454" s="506" t="s">
        <v>8070</v>
      </c>
      <c r="M454" s="475">
        <v>45964</v>
      </c>
      <c r="N454" s="475">
        <v>45969</v>
      </c>
      <c r="O454" s="508">
        <v>45979</v>
      </c>
      <c r="P454" s="508">
        <v>45980</v>
      </c>
      <c r="Q454" s="508">
        <v>45980</v>
      </c>
      <c r="R454" s="506">
        <f t="shared" si="30"/>
        <v>4</v>
      </c>
      <c r="S454" s="506">
        <f t="shared" si="31"/>
        <v>6</v>
      </c>
      <c r="T454" s="506">
        <f t="shared" si="29"/>
        <v>7</v>
      </c>
      <c r="U454" s="506">
        <f t="shared" si="32"/>
        <v>1</v>
      </c>
      <c r="V454" s="506" t="s">
        <v>150</v>
      </c>
      <c r="W454" s="506" t="s">
        <v>3527</v>
      </c>
      <c r="X454" s="506" t="s">
        <v>3528</v>
      </c>
      <c r="Y454" s="506" t="s">
        <v>69</v>
      </c>
      <c r="Z454" s="506" t="s">
        <v>69</v>
      </c>
      <c r="AA454" s="506"/>
      <c r="AB454" s="506" t="s">
        <v>8071</v>
      </c>
    </row>
    <row r="455" spans="1:28" s="507" customFormat="1" ht="28.5">
      <c r="A455" s="506" t="s">
        <v>776</v>
      </c>
      <c r="B455" s="506" t="s">
        <v>1011</v>
      </c>
      <c r="C455" s="506" t="s">
        <v>1056</v>
      </c>
      <c r="D455" s="506" t="s">
        <v>7838</v>
      </c>
      <c r="E455" s="506">
        <v>405</v>
      </c>
      <c r="F455" s="506">
        <v>709</v>
      </c>
      <c r="G455" s="506">
        <v>2025</v>
      </c>
      <c r="H455" s="506" t="s">
        <v>3129</v>
      </c>
      <c r="I455" s="506" t="s">
        <v>388</v>
      </c>
      <c r="J455" s="61" t="s">
        <v>1838</v>
      </c>
      <c r="K455" s="506" t="s">
        <v>1982</v>
      </c>
      <c r="L455" s="506" t="s">
        <v>8070</v>
      </c>
      <c r="M455" s="475">
        <v>45964</v>
      </c>
      <c r="N455" s="475">
        <v>45969</v>
      </c>
      <c r="O455" s="508">
        <v>45979</v>
      </c>
      <c r="P455" s="508">
        <v>45980</v>
      </c>
      <c r="Q455" s="508">
        <v>45980</v>
      </c>
      <c r="R455" s="506">
        <f t="shared" si="30"/>
        <v>4</v>
      </c>
      <c r="S455" s="506">
        <f t="shared" si="31"/>
        <v>6</v>
      </c>
      <c r="T455" s="506">
        <f t="shared" si="29"/>
        <v>7</v>
      </c>
      <c r="U455" s="506">
        <f t="shared" si="32"/>
        <v>1</v>
      </c>
      <c r="V455" s="506" t="s">
        <v>150</v>
      </c>
      <c r="W455" s="506" t="s">
        <v>3527</v>
      </c>
      <c r="X455" s="506" t="s">
        <v>3528</v>
      </c>
      <c r="Y455" s="506" t="s">
        <v>69</v>
      </c>
      <c r="Z455" s="506" t="s">
        <v>69</v>
      </c>
      <c r="AA455" s="506"/>
      <c r="AB455" s="506" t="s">
        <v>8071</v>
      </c>
    </row>
    <row r="456" spans="1:28" s="507" customFormat="1" ht="28.5">
      <c r="A456" s="506" t="s">
        <v>776</v>
      </c>
      <c r="B456" s="506" t="s">
        <v>1011</v>
      </c>
      <c r="C456" s="506" t="s">
        <v>3946</v>
      </c>
      <c r="D456" s="506" t="s">
        <v>7838</v>
      </c>
      <c r="E456" s="506">
        <v>2572</v>
      </c>
      <c r="F456" s="506">
        <v>2793</v>
      </c>
      <c r="G456" s="506">
        <v>2025</v>
      </c>
      <c r="H456" s="506" t="s">
        <v>3129</v>
      </c>
      <c r="I456" s="506" t="s">
        <v>388</v>
      </c>
      <c r="J456" s="61" t="s">
        <v>1838</v>
      </c>
      <c r="K456" s="506" t="s">
        <v>1982</v>
      </c>
      <c r="L456" s="506" t="s">
        <v>8070</v>
      </c>
      <c r="M456" s="475">
        <v>45964</v>
      </c>
      <c r="N456" s="475">
        <v>45969</v>
      </c>
      <c r="O456" s="508">
        <v>45979</v>
      </c>
      <c r="P456" s="508">
        <v>45980</v>
      </c>
      <c r="Q456" s="508">
        <v>45980</v>
      </c>
      <c r="R456" s="506">
        <f t="shared" si="30"/>
        <v>4</v>
      </c>
      <c r="S456" s="506">
        <f t="shared" si="31"/>
        <v>6</v>
      </c>
      <c r="T456" s="506">
        <f t="shared" si="29"/>
        <v>7</v>
      </c>
      <c r="U456" s="506">
        <f t="shared" si="32"/>
        <v>1</v>
      </c>
      <c r="V456" s="506" t="s">
        <v>150</v>
      </c>
      <c r="W456" s="506" t="s">
        <v>3527</v>
      </c>
      <c r="X456" s="506" t="s">
        <v>3528</v>
      </c>
      <c r="Y456" s="506" t="s">
        <v>69</v>
      </c>
      <c r="Z456" s="506" t="s">
        <v>69</v>
      </c>
      <c r="AA456" s="506"/>
      <c r="AB456" s="506" t="s">
        <v>8071</v>
      </c>
    </row>
    <row r="457" spans="1:28" s="507" customFormat="1" ht="28.5">
      <c r="A457" s="506" t="s">
        <v>776</v>
      </c>
      <c r="B457" s="506" t="s">
        <v>1011</v>
      </c>
      <c r="C457" s="506" t="s">
        <v>4012</v>
      </c>
      <c r="D457" s="506" t="s">
        <v>7838</v>
      </c>
      <c r="E457" s="506">
        <v>5558</v>
      </c>
      <c r="F457" s="506">
        <v>7323</v>
      </c>
      <c r="G457" s="506">
        <v>2025</v>
      </c>
      <c r="H457" s="506" t="s">
        <v>3129</v>
      </c>
      <c r="I457" s="506" t="s">
        <v>388</v>
      </c>
      <c r="J457" s="61" t="s">
        <v>1838</v>
      </c>
      <c r="K457" s="506" t="s">
        <v>1982</v>
      </c>
      <c r="L457" s="506" t="s">
        <v>8070</v>
      </c>
      <c r="M457" s="475">
        <v>45964</v>
      </c>
      <c r="N457" s="475">
        <v>45969</v>
      </c>
      <c r="O457" s="508">
        <v>45979</v>
      </c>
      <c r="P457" s="508">
        <v>45980</v>
      </c>
      <c r="Q457" s="508">
        <v>45980</v>
      </c>
      <c r="R457" s="506">
        <f t="shared" si="30"/>
        <v>4</v>
      </c>
      <c r="S457" s="506">
        <f t="shared" si="31"/>
        <v>6</v>
      </c>
      <c r="T457" s="506">
        <f t="shared" si="29"/>
        <v>7</v>
      </c>
      <c r="U457" s="506">
        <f t="shared" si="32"/>
        <v>1</v>
      </c>
      <c r="V457" s="506" t="s">
        <v>150</v>
      </c>
      <c r="W457" s="506" t="s">
        <v>3527</v>
      </c>
      <c r="X457" s="506" t="s">
        <v>3528</v>
      </c>
      <c r="Y457" s="506" t="s">
        <v>69</v>
      </c>
      <c r="Z457" s="506" t="s">
        <v>69</v>
      </c>
      <c r="AA457" s="506"/>
      <c r="AB457" s="506" t="s">
        <v>8071</v>
      </c>
    </row>
    <row r="458" spans="1:28" s="507" customFormat="1" ht="28.5">
      <c r="A458" s="506" t="s">
        <v>776</v>
      </c>
      <c r="B458" s="506" t="s">
        <v>1011</v>
      </c>
      <c r="C458" s="506" t="s">
        <v>4016</v>
      </c>
      <c r="D458" s="506" t="s">
        <v>7838</v>
      </c>
      <c r="E458" s="506">
        <v>6058</v>
      </c>
      <c r="F458" s="506">
        <v>11864</v>
      </c>
      <c r="G458" s="506">
        <v>2025</v>
      </c>
      <c r="H458" s="506" t="s">
        <v>3129</v>
      </c>
      <c r="I458" s="506" t="s">
        <v>388</v>
      </c>
      <c r="J458" s="61" t="s">
        <v>1838</v>
      </c>
      <c r="K458" s="506" t="s">
        <v>1982</v>
      </c>
      <c r="L458" s="506" t="s">
        <v>8070</v>
      </c>
      <c r="M458" s="475">
        <v>45964</v>
      </c>
      <c r="N458" s="475">
        <v>45969</v>
      </c>
      <c r="O458" s="508">
        <v>45979</v>
      </c>
      <c r="P458" s="508">
        <v>45980</v>
      </c>
      <c r="Q458" s="508">
        <v>45980</v>
      </c>
      <c r="R458" s="506">
        <f t="shared" si="30"/>
        <v>4</v>
      </c>
      <c r="S458" s="506">
        <f t="shared" si="31"/>
        <v>6</v>
      </c>
      <c r="T458" s="506">
        <f t="shared" si="29"/>
        <v>7</v>
      </c>
      <c r="U458" s="506">
        <f t="shared" si="32"/>
        <v>1</v>
      </c>
      <c r="V458" s="506" t="s">
        <v>150</v>
      </c>
      <c r="W458" s="506" t="s">
        <v>1078</v>
      </c>
      <c r="X458" s="506" t="s">
        <v>50</v>
      </c>
      <c r="Y458" s="506" t="s">
        <v>69</v>
      </c>
      <c r="Z458" s="506" t="s">
        <v>69</v>
      </c>
      <c r="AA458" s="506"/>
      <c r="AB458" s="506" t="s">
        <v>8071</v>
      </c>
    </row>
    <row r="459" spans="1:28" s="507" customFormat="1" ht="15">
      <c r="A459" s="506" t="s">
        <v>776</v>
      </c>
      <c r="B459" s="506" t="s">
        <v>1011</v>
      </c>
      <c r="C459" s="506" t="s">
        <v>3991</v>
      </c>
      <c r="D459" s="506" t="s">
        <v>7838</v>
      </c>
      <c r="E459" s="506">
        <v>7830</v>
      </c>
      <c r="F459" s="506">
        <v>8841</v>
      </c>
      <c r="G459" s="506">
        <v>2025</v>
      </c>
      <c r="H459" s="506" t="s">
        <v>3127</v>
      </c>
      <c r="I459" s="61" t="s">
        <v>388</v>
      </c>
      <c r="J459" s="61" t="s">
        <v>1838</v>
      </c>
      <c r="K459" s="506" t="s">
        <v>1982</v>
      </c>
      <c r="L459" s="61" t="s">
        <v>8072</v>
      </c>
      <c r="M459" s="508">
        <v>45916</v>
      </c>
      <c r="N459" s="508">
        <v>45917</v>
      </c>
      <c r="O459" s="508">
        <v>45918</v>
      </c>
      <c r="P459" s="508">
        <v>45923</v>
      </c>
      <c r="Q459" s="508">
        <v>45923</v>
      </c>
      <c r="R459" s="506">
        <f t="shared" si="30"/>
        <v>1</v>
      </c>
      <c r="S459" s="506">
        <f t="shared" si="31"/>
        <v>1</v>
      </c>
      <c r="T459" s="506">
        <f t="shared" si="29"/>
        <v>4</v>
      </c>
      <c r="U459" s="506">
        <f t="shared" si="32"/>
        <v>1</v>
      </c>
      <c r="V459" s="506" t="s">
        <v>150</v>
      </c>
      <c r="W459" s="506" t="s">
        <v>4</v>
      </c>
      <c r="X459" s="61" t="s">
        <v>50</v>
      </c>
      <c r="Y459" s="118">
        <v>14.7921</v>
      </c>
      <c r="Z459" s="118">
        <v>120.9268</v>
      </c>
      <c r="AA459" s="506"/>
      <c r="AB459" s="506"/>
    </row>
    <row r="460" spans="1:28" s="507" customFormat="1" ht="15">
      <c r="A460" s="506" t="s">
        <v>776</v>
      </c>
      <c r="B460" s="506" t="s">
        <v>1011</v>
      </c>
      <c r="C460" s="506" t="s">
        <v>3994</v>
      </c>
      <c r="D460" s="506" t="s">
        <v>7838</v>
      </c>
      <c r="E460" s="506">
        <v>1199</v>
      </c>
      <c r="F460" s="506">
        <v>1566</v>
      </c>
      <c r="G460" s="506">
        <v>2025</v>
      </c>
      <c r="H460" s="61" t="s">
        <v>3128</v>
      </c>
      <c r="I460" s="61" t="s">
        <v>388</v>
      </c>
      <c r="J460" s="61" t="s">
        <v>1838</v>
      </c>
      <c r="K460" s="506" t="s">
        <v>1982</v>
      </c>
      <c r="L460" s="61" t="s">
        <v>8073</v>
      </c>
      <c r="M460" s="508">
        <v>45911</v>
      </c>
      <c r="N460" s="508">
        <v>45917</v>
      </c>
      <c r="O460" s="508">
        <v>45918</v>
      </c>
      <c r="P460" s="508">
        <v>45924</v>
      </c>
      <c r="Q460" s="475">
        <v>45929</v>
      </c>
      <c r="R460" s="506">
        <f t="shared" si="30"/>
        <v>4</v>
      </c>
      <c r="S460" s="506">
        <f t="shared" si="31"/>
        <v>1</v>
      </c>
      <c r="T460" s="506">
        <f t="shared" si="29"/>
        <v>5</v>
      </c>
      <c r="U460" s="506">
        <f t="shared" si="32"/>
        <v>3</v>
      </c>
      <c r="V460" s="506" t="s">
        <v>150</v>
      </c>
      <c r="W460" s="506" t="s">
        <v>4</v>
      </c>
      <c r="X460" s="61" t="s">
        <v>50</v>
      </c>
      <c r="Y460" s="506">
        <v>14.800800000000001</v>
      </c>
      <c r="Z460" s="506">
        <v>120.946</v>
      </c>
      <c r="AA460" s="506"/>
      <c r="AB460" s="506"/>
    </row>
    <row r="461" spans="1:28" s="2" customFormat="1" ht="15">
      <c r="A461" s="61" t="s">
        <v>776</v>
      </c>
      <c r="B461" s="61" t="s">
        <v>1017</v>
      </c>
      <c r="C461" s="61" t="s">
        <v>4020</v>
      </c>
      <c r="D461" s="61" t="s">
        <v>7838</v>
      </c>
      <c r="E461" s="61">
        <v>3357</v>
      </c>
      <c r="F461" s="61">
        <v>3738</v>
      </c>
      <c r="G461" s="61">
        <v>2025</v>
      </c>
      <c r="H461" s="61" t="s">
        <v>3470</v>
      </c>
      <c r="I461" s="61" t="s">
        <v>388</v>
      </c>
      <c r="J461" s="61"/>
      <c r="K461" s="61" t="s">
        <v>1982</v>
      </c>
      <c r="L461" s="61" t="s">
        <v>8074</v>
      </c>
      <c r="M461" s="475">
        <v>45755</v>
      </c>
      <c r="N461" s="475">
        <v>45758</v>
      </c>
      <c r="O461" s="61"/>
      <c r="P461" s="475">
        <v>45761</v>
      </c>
      <c r="Q461" s="475">
        <v>45762</v>
      </c>
      <c r="R461" s="61">
        <f t="shared" si="30"/>
        <v>3</v>
      </c>
      <c r="S461" s="61" t="str">
        <f t="shared" si="31"/>
        <v/>
      </c>
      <c r="T461" s="61">
        <f t="shared" si="29"/>
        <v>1</v>
      </c>
      <c r="U461" s="61">
        <f t="shared" si="32"/>
        <v>1</v>
      </c>
      <c r="V461" s="61" t="s">
        <v>150</v>
      </c>
      <c r="W461" s="61" t="s">
        <v>4</v>
      </c>
      <c r="X461" s="61" t="s">
        <v>57</v>
      </c>
      <c r="Y461" s="118">
        <v>14.8048</v>
      </c>
      <c r="Z461" s="118">
        <v>120.87269999999999</v>
      </c>
      <c r="AA461" s="61" t="s">
        <v>463</v>
      </c>
      <c r="AB461" s="61"/>
    </row>
    <row r="462" spans="1:28" s="2" customFormat="1" ht="15">
      <c r="A462" s="61" t="s">
        <v>776</v>
      </c>
      <c r="B462" s="61" t="s">
        <v>1017</v>
      </c>
      <c r="C462" s="61" t="s">
        <v>1881</v>
      </c>
      <c r="D462" s="61" t="s">
        <v>7838</v>
      </c>
      <c r="E462" s="61">
        <v>3701</v>
      </c>
      <c r="F462" s="61">
        <v>4297</v>
      </c>
      <c r="G462" s="61">
        <v>2025</v>
      </c>
      <c r="H462" s="61" t="s">
        <v>3470</v>
      </c>
      <c r="I462" s="61" t="s">
        <v>388</v>
      </c>
      <c r="J462" s="61"/>
      <c r="K462" s="61" t="s">
        <v>1982</v>
      </c>
      <c r="L462" s="61" t="s">
        <v>8075</v>
      </c>
      <c r="M462" s="475">
        <v>45755</v>
      </c>
      <c r="N462" s="475">
        <v>45758</v>
      </c>
      <c r="O462" s="61"/>
      <c r="P462" s="475">
        <v>45761</v>
      </c>
      <c r="Q462" s="475">
        <v>45762</v>
      </c>
      <c r="R462" s="61">
        <f t="shared" si="30"/>
        <v>3</v>
      </c>
      <c r="S462" s="61" t="str">
        <f t="shared" si="31"/>
        <v/>
      </c>
      <c r="T462" s="61">
        <f t="shared" si="29"/>
        <v>1</v>
      </c>
      <c r="U462" s="61">
        <f t="shared" si="32"/>
        <v>1</v>
      </c>
      <c r="V462" s="61" t="s">
        <v>150</v>
      </c>
      <c r="W462" s="61" t="s">
        <v>1078</v>
      </c>
      <c r="X462" s="61" t="s">
        <v>50</v>
      </c>
      <c r="Y462" s="118">
        <v>14.7902</v>
      </c>
      <c r="Z462" s="118">
        <v>120.8779</v>
      </c>
      <c r="AA462" s="61" t="s">
        <v>463</v>
      </c>
      <c r="AB462" s="61"/>
    </row>
    <row r="463" spans="1:28" s="2" customFormat="1" ht="15">
      <c r="A463" s="61" t="s">
        <v>776</v>
      </c>
      <c r="B463" s="61" t="s">
        <v>1017</v>
      </c>
      <c r="C463" s="61" t="s">
        <v>3991</v>
      </c>
      <c r="D463" s="61" t="s">
        <v>7838</v>
      </c>
      <c r="E463" s="61">
        <v>13604</v>
      </c>
      <c r="F463" s="61">
        <v>14257</v>
      </c>
      <c r="G463" s="61">
        <v>2025</v>
      </c>
      <c r="H463" s="61" t="s">
        <v>3470</v>
      </c>
      <c r="I463" s="61" t="s">
        <v>388</v>
      </c>
      <c r="J463" s="61"/>
      <c r="K463" s="61" t="s">
        <v>1982</v>
      </c>
      <c r="L463" s="61" t="s">
        <v>8076</v>
      </c>
      <c r="M463" s="475">
        <v>45755</v>
      </c>
      <c r="N463" s="475">
        <v>45758</v>
      </c>
      <c r="O463" s="61"/>
      <c r="P463" s="475">
        <v>45761</v>
      </c>
      <c r="Q463" s="475">
        <v>45762</v>
      </c>
      <c r="R463" s="61">
        <f t="shared" si="30"/>
        <v>3</v>
      </c>
      <c r="S463" s="61" t="str">
        <f t="shared" si="31"/>
        <v/>
      </c>
      <c r="T463" s="61">
        <f t="shared" si="29"/>
        <v>1</v>
      </c>
      <c r="U463" s="61">
        <f t="shared" si="32"/>
        <v>1</v>
      </c>
      <c r="V463" s="61" t="s">
        <v>150</v>
      </c>
      <c r="W463" s="61" t="s">
        <v>1078</v>
      </c>
      <c r="X463" s="61" t="s">
        <v>50</v>
      </c>
      <c r="Y463" s="478">
        <v>14.7819</v>
      </c>
      <c r="Z463" s="61">
        <v>120.87560000000001</v>
      </c>
      <c r="AA463" s="61" t="s">
        <v>463</v>
      </c>
      <c r="AB463" s="61"/>
    </row>
    <row r="464" spans="1:28" s="2" customFormat="1" ht="15">
      <c r="A464" s="61" t="s">
        <v>776</v>
      </c>
      <c r="B464" s="61" t="s">
        <v>1017</v>
      </c>
      <c r="C464" s="61" t="s">
        <v>4021</v>
      </c>
      <c r="D464" s="61" t="s">
        <v>7838</v>
      </c>
      <c r="E464" s="61">
        <v>2768</v>
      </c>
      <c r="F464" s="61">
        <v>2955</v>
      </c>
      <c r="G464" s="61">
        <v>2025</v>
      </c>
      <c r="H464" s="61" t="s">
        <v>3470</v>
      </c>
      <c r="I464" s="61" t="s">
        <v>388</v>
      </c>
      <c r="J464" s="61"/>
      <c r="K464" s="61" t="s">
        <v>1982</v>
      </c>
      <c r="L464" s="61" t="s">
        <v>8077</v>
      </c>
      <c r="M464" s="475">
        <v>45755</v>
      </c>
      <c r="N464" s="475">
        <v>45758</v>
      </c>
      <c r="O464" s="61"/>
      <c r="P464" s="475">
        <v>45761</v>
      </c>
      <c r="Q464" s="475">
        <v>45762</v>
      </c>
      <c r="R464" s="61">
        <f t="shared" si="30"/>
        <v>3</v>
      </c>
      <c r="S464" s="61" t="str">
        <f t="shared" si="31"/>
        <v/>
      </c>
      <c r="T464" s="61">
        <f t="shared" ref="T464:T495" si="33">IF(
  OR(A464 = "Nueva_Ecija", A464 = "Zambales"),
  IF(
    OR(ISBLANK(O464), ISBLANK(P464)),
    "",
    MAX(1, IF(
      NETWORKDAYS(O464, P464) &lt;= 0,
      1,
      NETWORKDAYS(O464, P464) - IF(O464 = P464, 0, 1)
    ))
  ),
  IF(
    OR(ISBLANK(N464), ISBLANK(P464)),
    "",
    MAX(1, IF(
      NETWORKDAYS(N464, P464) &lt;= 0,
      1,
      NETWORKDAYS(N464, P464) - IF(N464 = P464, 0, 1)
    ))
  )
)</f>
        <v>1</v>
      </c>
      <c r="U464" s="61">
        <f t="shared" si="32"/>
        <v>1</v>
      </c>
      <c r="V464" s="61" t="s">
        <v>150</v>
      </c>
      <c r="W464" s="61" t="s">
        <v>1078</v>
      </c>
      <c r="X464" s="61" t="s">
        <v>50</v>
      </c>
      <c r="Y464" s="118">
        <v>14.796900000000001</v>
      </c>
      <c r="Z464" s="118">
        <v>120.87179999999999</v>
      </c>
      <c r="AA464" s="61" t="s">
        <v>463</v>
      </c>
      <c r="AB464" s="61"/>
    </row>
    <row r="465" spans="1:28" s="2" customFormat="1" ht="15">
      <c r="A465" s="61" t="s">
        <v>776</v>
      </c>
      <c r="B465" s="61" t="s">
        <v>1017</v>
      </c>
      <c r="C465" s="61" t="s">
        <v>1018</v>
      </c>
      <c r="D465" s="61" t="s">
        <v>7838</v>
      </c>
      <c r="E465" s="61">
        <v>11646</v>
      </c>
      <c r="F465" s="61">
        <v>12950</v>
      </c>
      <c r="G465" s="61">
        <v>2025</v>
      </c>
      <c r="H465" s="61" t="s">
        <v>3470</v>
      </c>
      <c r="I465" s="61" t="s">
        <v>388</v>
      </c>
      <c r="J465" s="61"/>
      <c r="K465" s="61" t="s">
        <v>1982</v>
      </c>
      <c r="L465" s="61" t="s">
        <v>8078</v>
      </c>
      <c r="M465" s="475">
        <v>45755</v>
      </c>
      <c r="N465" s="475">
        <v>45758</v>
      </c>
      <c r="O465" s="61"/>
      <c r="P465" s="475">
        <v>45761</v>
      </c>
      <c r="Q465" s="475">
        <v>45762</v>
      </c>
      <c r="R465" s="61">
        <f t="shared" si="30"/>
        <v>3</v>
      </c>
      <c r="S465" s="61" t="str">
        <f t="shared" si="31"/>
        <v/>
      </c>
      <c r="T465" s="61">
        <f t="shared" si="33"/>
        <v>1</v>
      </c>
      <c r="U465" s="61">
        <f t="shared" si="32"/>
        <v>1</v>
      </c>
      <c r="V465" s="61" t="s">
        <v>150</v>
      </c>
      <c r="W465" s="61" t="s">
        <v>3527</v>
      </c>
      <c r="X465" s="61" t="s">
        <v>3528</v>
      </c>
      <c r="Y465" s="118">
        <v>14.8032</v>
      </c>
      <c r="Z465" s="118">
        <v>120.88039999999999</v>
      </c>
      <c r="AA465" s="61" t="s">
        <v>463</v>
      </c>
      <c r="AB465" s="61"/>
    </row>
    <row r="466" spans="1:28" s="2" customFormat="1" ht="15">
      <c r="A466" s="61" t="s">
        <v>776</v>
      </c>
      <c r="B466" s="61" t="s">
        <v>1017</v>
      </c>
      <c r="C466" s="61" t="s">
        <v>4022</v>
      </c>
      <c r="D466" s="61" t="s">
        <v>7838</v>
      </c>
      <c r="E466" s="61">
        <v>2381</v>
      </c>
      <c r="F466" s="61">
        <v>2047</v>
      </c>
      <c r="G466" s="61"/>
      <c r="H466" s="61"/>
      <c r="I466" s="61"/>
      <c r="J466" s="61"/>
      <c r="K466" s="61" t="s">
        <v>1982</v>
      </c>
      <c r="L466" s="61"/>
      <c r="M466" s="61"/>
      <c r="N466" s="61"/>
      <c r="O466" s="61"/>
      <c r="P466" s="61"/>
      <c r="Q466" s="61"/>
      <c r="R466" s="61" t="str">
        <f t="shared" si="30"/>
        <v/>
      </c>
      <c r="S466" s="61" t="str">
        <f t="shared" si="31"/>
        <v/>
      </c>
      <c r="T466" s="61" t="str">
        <f t="shared" si="33"/>
        <v/>
      </c>
      <c r="U466" s="61" t="str">
        <f t="shared" si="32"/>
        <v/>
      </c>
      <c r="V466" s="61"/>
      <c r="W466" s="61"/>
      <c r="X466" s="61"/>
      <c r="Y466" s="61"/>
      <c r="Z466" s="61"/>
      <c r="AA466" s="61"/>
      <c r="AB466" s="61"/>
    </row>
    <row r="467" spans="1:28" s="2" customFormat="1" ht="15">
      <c r="A467" s="61" t="s">
        <v>776</v>
      </c>
      <c r="B467" s="61" t="s">
        <v>1017</v>
      </c>
      <c r="C467" s="61" t="s">
        <v>4023</v>
      </c>
      <c r="D467" s="61" t="s">
        <v>7838</v>
      </c>
      <c r="E467" s="61">
        <v>4516</v>
      </c>
      <c r="F467" s="61">
        <v>5077</v>
      </c>
      <c r="G467" s="61"/>
      <c r="H467" s="61"/>
      <c r="I467" s="61"/>
      <c r="J467" s="61"/>
      <c r="K467" s="61" t="s">
        <v>1982</v>
      </c>
      <c r="L467" s="61"/>
      <c r="M467" s="61"/>
      <c r="N467" s="61"/>
      <c r="O467" s="61"/>
      <c r="P467" s="61"/>
      <c r="Q467" s="61"/>
      <c r="R467" s="61" t="str">
        <f t="shared" si="30"/>
        <v/>
      </c>
      <c r="S467" s="61" t="str">
        <f t="shared" si="31"/>
        <v/>
      </c>
      <c r="T467" s="61" t="str">
        <f t="shared" si="33"/>
        <v/>
      </c>
      <c r="U467" s="61" t="str">
        <f t="shared" si="32"/>
        <v/>
      </c>
      <c r="V467" s="61"/>
      <c r="W467" s="61"/>
      <c r="X467" s="61"/>
      <c r="Y467" s="61"/>
      <c r="Z467" s="61"/>
      <c r="AA467" s="61"/>
      <c r="AB467" s="61"/>
    </row>
    <row r="468" spans="1:28" s="2" customFormat="1" ht="15">
      <c r="A468" s="61" t="s">
        <v>776</v>
      </c>
      <c r="B468" s="61" t="s">
        <v>1017</v>
      </c>
      <c r="C468" s="61" t="s">
        <v>4024</v>
      </c>
      <c r="D468" s="61" t="s">
        <v>7838</v>
      </c>
      <c r="E468" s="61">
        <v>6145</v>
      </c>
      <c r="F468" s="61">
        <v>7486</v>
      </c>
      <c r="G468" s="61"/>
      <c r="H468" s="61"/>
      <c r="I468" s="61"/>
      <c r="J468" s="61"/>
      <c r="K468" s="61" t="s">
        <v>1982</v>
      </c>
      <c r="L468" s="61"/>
      <c r="M468" s="61"/>
      <c r="N468" s="61"/>
      <c r="O468" s="61"/>
      <c r="P468" s="61"/>
      <c r="Q468" s="61"/>
      <c r="R468" s="61" t="str">
        <f t="shared" si="30"/>
        <v/>
      </c>
      <c r="S468" s="61" t="str">
        <f t="shared" si="31"/>
        <v/>
      </c>
      <c r="T468" s="61" t="str">
        <f t="shared" si="33"/>
        <v/>
      </c>
      <c r="U468" s="61" t="str">
        <f t="shared" si="32"/>
        <v/>
      </c>
      <c r="V468" s="61"/>
      <c r="W468" s="61"/>
      <c r="X468" s="61"/>
      <c r="Y468" s="61"/>
      <c r="Z468" s="61"/>
      <c r="AA468" s="61"/>
      <c r="AB468" s="61"/>
    </row>
    <row r="469" spans="1:28" s="2" customFormat="1" ht="15">
      <c r="A469" s="61" t="s">
        <v>776</v>
      </c>
      <c r="B469" s="61" t="s">
        <v>1017</v>
      </c>
      <c r="C469" s="61" t="s">
        <v>4025</v>
      </c>
      <c r="D469" s="61" t="s">
        <v>7838</v>
      </c>
      <c r="E469" s="61">
        <v>3372</v>
      </c>
      <c r="F469" s="61">
        <v>3570</v>
      </c>
      <c r="G469" s="61"/>
      <c r="H469" s="61"/>
      <c r="I469" s="61"/>
      <c r="J469" s="61"/>
      <c r="K469" s="61" t="s">
        <v>1982</v>
      </c>
      <c r="L469" s="61"/>
      <c r="M469" s="61"/>
      <c r="N469" s="61"/>
      <c r="O469" s="61"/>
      <c r="P469" s="61"/>
      <c r="Q469" s="61"/>
      <c r="R469" s="61" t="str">
        <f t="shared" si="30"/>
        <v/>
      </c>
      <c r="S469" s="61" t="str">
        <f t="shared" si="31"/>
        <v/>
      </c>
      <c r="T469" s="61" t="str">
        <f t="shared" si="33"/>
        <v/>
      </c>
      <c r="U469" s="61" t="str">
        <f t="shared" si="32"/>
        <v/>
      </c>
      <c r="V469" s="61"/>
      <c r="W469" s="61"/>
      <c r="X469" s="61"/>
      <c r="Y469" s="61"/>
      <c r="Z469" s="61"/>
      <c r="AA469" s="61"/>
      <c r="AB469" s="61"/>
    </row>
    <row r="470" spans="1:28" s="2" customFormat="1" ht="15">
      <c r="A470" s="61" t="s">
        <v>776</v>
      </c>
      <c r="B470" s="61" t="s">
        <v>1017</v>
      </c>
      <c r="C470" s="61" t="s">
        <v>1439</v>
      </c>
      <c r="D470" s="61" t="s">
        <v>7838</v>
      </c>
      <c r="E470" s="61">
        <v>5804</v>
      </c>
      <c r="F470" s="61">
        <v>6279</v>
      </c>
      <c r="G470" s="61"/>
      <c r="H470" s="61"/>
      <c r="I470" s="61"/>
      <c r="J470" s="61"/>
      <c r="K470" s="61" t="s">
        <v>1982</v>
      </c>
      <c r="L470" s="61"/>
      <c r="M470" s="61"/>
      <c r="N470" s="61"/>
      <c r="O470" s="61"/>
      <c r="P470" s="61"/>
      <c r="Q470" s="61"/>
      <c r="R470" s="61" t="str">
        <f t="shared" si="30"/>
        <v/>
      </c>
      <c r="S470" s="61" t="str">
        <f t="shared" si="31"/>
        <v/>
      </c>
      <c r="T470" s="61" t="str">
        <f t="shared" si="33"/>
        <v/>
      </c>
      <c r="U470" s="61" t="str">
        <f t="shared" si="32"/>
        <v/>
      </c>
      <c r="V470" s="61"/>
      <c r="W470" s="61"/>
      <c r="X470" s="61"/>
      <c r="Y470" s="61"/>
      <c r="Z470" s="61"/>
      <c r="AA470" s="61"/>
      <c r="AB470" s="61"/>
    </row>
    <row r="471" spans="1:28" s="2" customFormat="1" ht="15">
      <c r="A471" s="61" t="s">
        <v>776</v>
      </c>
      <c r="B471" s="61" t="s">
        <v>1017</v>
      </c>
      <c r="C471" s="61" t="s">
        <v>4026</v>
      </c>
      <c r="D471" s="61" t="s">
        <v>7838</v>
      </c>
      <c r="E471" s="61">
        <v>8122</v>
      </c>
      <c r="F471" s="61">
        <v>7998</v>
      </c>
      <c r="G471" s="61"/>
      <c r="H471" s="61"/>
      <c r="I471" s="61"/>
      <c r="J471" s="61"/>
      <c r="K471" s="61" t="s">
        <v>1982</v>
      </c>
      <c r="L471" s="61"/>
      <c r="M471" s="61"/>
      <c r="N471" s="61"/>
      <c r="O471" s="61"/>
      <c r="P471" s="61"/>
      <c r="Q471" s="61"/>
      <c r="R471" s="61" t="str">
        <f t="shared" si="30"/>
        <v/>
      </c>
      <c r="S471" s="61" t="str">
        <f t="shared" si="31"/>
        <v/>
      </c>
      <c r="T471" s="61" t="str">
        <f t="shared" si="33"/>
        <v/>
      </c>
      <c r="U471" s="61" t="str">
        <f t="shared" si="32"/>
        <v/>
      </c>
      <c r="V471" s="61"/>
      <c r="W471" s="61"/>
      <c r="X471" s="61"/>
      <c r="Y471" s="61"/>
      <c r="Z471" s="61"/>
      <c r="AA471" s="61"/>
      <c r="AB471" s="61"/>
    </row>
    <row r="472" spans="1:28" s="2" customFormat="1" ht="15">
      <c r="A472" s="61" t="s">
        <v>776</v>
      </c>
      <c r="B472" s="61" t="s">
        <v>1017</v>
      </c>
      <c r="C472" s="61" t="s">
        <v>4027</v>
      </c>
      <c r="D472" s="61" t="s">
        <v>7838</v>
      </c>
      <c r="E472" s="61">
        <v>2508</v>
      </c>
      <c r="F472" s="61">
        <v>2399</v>
      </c>
      <c r="G472" s="61"/>
      <c r="H472" s="61"/>
      <c r="I472" s="61"/>
      <c r="J472" s="61"/>
      <c r="K472" s="61" t="s">
        <v>1982</v>
      </c>
      <c r="L472" s="61"/>
      <c r="M472" s="61"/>
      <c r="N472" s="61"/>
      <c r="O472" s="61"/>
      <c r="P472" s="61"/>
      <c r="Q472" s="61"/>
      <c r="R472" s="61" t="str">
        <f t="shared" si="30"/>
        <v/>
      </c>
      <c r="S472" s="61" t="str">
        <f t="shared" si="31"/>
        <v/>
      </c>
      <c r="T472" s="61" t="str">
        <f t="shared" si="33"/>
        <v/>
      </c>
      <c r="U472" s="61" t="str">
        <f t="shared" si="32"/>
        <v/>
      </c>
      <c r="V472" s="61"/>
      <c r="W472" s="61"/>
      <c r="X472" s="61"/>
      <c r="Y472" s="634"/>
      <c r="Z472" s="61"/>
      <c r="AA472" s="61"/>
      <c r="AB472" s="61"/>
    </row>
    <row r="473" spans="1:28" s="2" customFormat="1" ht="15">
      <c r="A473" s="61" t="s">
        <v>776</v>
      </c>
      <c r="B473" s="61" t="s">
        <v>1017</v>
      </c>
      <c r="C473" s="61" t="s">
        <v>4028</v>
      </c>
      <c r="D473" s="61" t="s">
        <v>7838</v>
      </c>
      <c r="E473" s="61">
        <v>5490</v>
      </c>
      <c r="F473" s="61">
        <v>5005</v>
      </c>
      <c r="G473" s="61"/>
      <c r="H473" s="61"/>
      <c r="I473" s="61"/>
      <c r="J473" s="61"/>
      <c r="K473" s="61" t="s">
        <v>1982</v>
      </c>
      <c r="L473" s="61"/>
      <c r="M473" s="61"/>
      <c r="N473" s="61"/>
      <c r="O473" s="61"/>
      <c r="P473" s="61"/>
      <c r="Q473" s="61"/>
      <c r="R473" s="61" t="str">
        <f t="shared" si="30"/>
        <v/>
      </c>
      <c r="S473" s="61" t="str">
        <f t="shared" si="31"/>
        <v/>
      </c>
      <c r="T473" s="61" t="str">
        <f t="shared" si="33"/>
        <v/>
      </c>
      <c r="U473" s="61" t="str">
        <f t="shared" si="32"/>
        <v/>
      </c>
      <c r="V473" s="61"/>
      <c r="W473" s="61"/>
      <c r="X473" s="61"/>
      <c r="Y473" s="61"/>
      <c r="Z473" s="61"/>
      <c r="AA473" s="61"/>
      <c r="AB473" s="61"/>
    </row>
    <row r="474" spans="1:28" s="2" customFormat="1" ht="15">
      <c r="A474" s="61" t="s">
        <v>776</v>
      </c>
      <c r="B474" s="61" t="s">
        <v>1017</v>
      </c>
      <c r="C474" s="61" t="s">
        <v>4029</v>
      </c>
      <c r="D474" s="61" t="s">
        <v>7838</v>
      </c>
      <c r="E474" s="61">
        <v>3151</v>
      </c>
      <c r="F474" s="61">
        <v>3174</v>
      </c>
      <c r="G474" s="61"/>
      <c r="H474" s="61"/>
      <c r="I474" s="61"/>
      <c r="J474" s="61"/>
      <c r="K474" s="61" t="s">
        <v>1982</v>
      </c>
      <c r="L474" s="61"/>
      <c r="M474" s="61"/>
      <c r="N474" s="61"/>
      <c r="O474" s="61"/>
      <c r="P474" s="61"/>
      <c r="Q474" s="61"/>
      <c r="R474" s="61" t="str">
        <f t="shared" si="30"/>
        <v/>
      </c>
      <c r="S474" s="61" t="str">
        <f t="shared" si="31"/>
        <v/>
      </c>
      <c r="T474" s="61" t="str">
        <f t="shared" si="33"/>
        <v/>
      </c>
      <c r="U474" s="61" t="str">
        <f t="shared" si="32"/>
        <v/>
      </c>
      <c r="V474" s="61"/>
      <c r="W474" s="61"/>
      <c r="X474" s="61"/>
      <c r="Y474" s="61"/>
      <c r="Z474" s="61"/>
      <c r="AA474" s="61"/>
      <c r="AB474" s="61"/>
    </row>
    <row r="475" spans="1:28" s="2" customFormat="1" ht="15">
      <c r="A475" s="61" t="s">
        <v>776</v>
      </c>
      <c r="B475" s="61" t="s">
        <v>1023</v>
      </c>
      <c r="C475" s="61" t="s">
        <v>2159</v>
      </c>
      <c r="D475" s="61" t="s">
        <v>7838</v>
      </c>
      <c r="E475" s="61">
        <v>4619</v>
      </c>
      <c r="F475" s="61">
        <v>5301</v>
      </c>
      <c r="G475" s="61">
        <v>2025</v>
      </c>
      <c r="H475" s="61" t="s">
        <v>3458</v>
      </c>
      <c r="I475" s="61" t="s">
        <v>200</v>
      </c>
      <c r="J475" s="61" t="s">
        <v>328</v>
      </c>
      <c r="K475" s="61" t="s">
        <v>1982</v>
      </c>
      <c r="L475" s="476" t="s">
        <v>8079</v>
      </c>
      <c r="M475" s="475">
        <v>45700</v>
      </c>
      <c r="N475" s="475">
        <v>45704</v>
      </c>
      <c r="O475" s="475">
        <v>45705</v>
      </c>
      <c r="P475" s="475">
        <v>45705</v>
      </c>
      <c r="Q475" s="475">
        <v>45706</v>
      </c>
      <c r="R475" s="61">
        <f t="shared" si="30"/>
        <v>2</v>
      </c>
      <c r="S475" s="61">
        <f t="shared" si="31"/>
        <v>1</v>
      </c>
      <c r="T475" s="61">
        <f t="shared" si="33"/>
        <v>1</v>
      </c>
      <c r="U475" s="61">
        <f t="shared" si="32"/>
        <v>1</v>
      </c>
      <c r="V475" s="61" t="s">
        <v>150</v>
      </c>
      <c r="W475" s="61" t="s">
        <v>4</v>
      </c>
      <c r="X475" s="61" t="s">
        <v>50</v>
      </c>
      <c r="Y475" s="634"/>
      <c r="Z475" s="634"/>
      <c r="AA475" s="61" t="s">
        <v>463</v>
      </c>
      <c r="AB475" s="61"/>
    </row>
    <row r="476" spans="1:28" s="2" customFormat="1" ht="15">
      <c r="A476" s="61" t="s">
        <v>776</v>
      </c>
      <c r="B476" s="61" t="s">
        <v>1023</v>
      </c>
      <c r="C476" s="61" t="s">
        <v>4042</v>
      </c>
      <c r="D476" s="61" t="s">
        <v>7838</v>
      </c>
      <c r="E476" s="61">
        <v>5633</v>
      </c>
      <c r="F476" s="61">
        <v>7658</v>
      </c>
      <c r="G476" s="61">
        <v>2025</v>
      </c>
      <c r="H476" s="61" t="s">
        <v>3458</v>
      </c>
      <c r="I476" s="61" t="s">
        <v>200</v>
      </c>
      <c r="J476" s="61" t="s">
        <v>328</v>
      </c>
      <c r="K476" s="61" t="s">
        <v>1982</v>
      </c>
      <c r="L476" s="61" t="s">
        <v>8080</v>
      </c>
      <c r="M476" s="475">
        <v>45706</v>
      </c>
      <c r="N476" s="475">
        <v>45706</v>
      </c>
      <c r="O476" s="475">
        <v>45706</v>
      </c>
      <c r="P476" s="475">
        <v>45706</v>
      </c>
      <c r="Q476" s="475">
        <v>45706</v>
      </c>
      <c r="R476" s="61">
        <f t="shared" si="30"/>
        <v>1</v>
      </c>
      <c r="S476" s="61">
        <f t="shared" si="31"/>
        <v>1</v>
      </c>
      <c r="T476" s="61">
        <f t="shared" si="33"/>
        <v>1</v>
      </c>
      <c r="U476" s="61">
        <f t="shared" si="32"/>
        <v>1</v>
      </c>
      <c r="V476" s="61" t="s">
        <v>150</v>
      </c>
      <c r="W476" s="61" t="s">
        <v>4</v>
      </c>
      <c r="X476" s="61" t="s">
        <v>62</v>
      </c>
      <c r="Y476" s="61"/>
      <c r="Z476" s="61"/>
      <c r="AA476" s="61" t="s">
        <v>463</v>
      </c>
      <c r="AB476" s="61"/>
    </row>
    <row r="477" spans="1:28" s="2" customFormat="1" ht="15">
      <c r="A477" s="61" t="s">
        <v>776</v>
      </c>
      <c r="B477" s="61" t="s">
        <v>1023</v>
      </c>
      <c r="C477" s="61" t="s">
        <v>1253</v>
      </c>
      <c r="D477" s="61" t="s">
        <v>7838</v>
      </c>
      <c r="E477" s="61">
        <v>6994</v>
      </c>
      <c r="F477" s="61">
        <v>8113</v>
      </c>
      <c r="G477" s="61">
        <v>2025</v>
      </c>
      <c r="H477" s="61" t="s">
        <v>3458</v>
      </c>
      <c r="I477" s="61" t="s">
        <v>200</v>
      </c>
      <c r="J477" s="61" t="s">
        <v>328</v>
      </c>
      <c r="K477" s="61" t="s">
        <v>1982</v>
      </c>
      <c r="L477" s="61" t="s">
        <v>8081</v>
      </c>
      <c r="M477" s="475">
        <v>45706</v>
      </c>
      <c r="N477" s="475">
        <v>45706</v>
      </c>
      <c r="O477" s="475">
        <v>45706</v>
      </c>
      <c r="P477" s="475">
        <v>45706</v>
      </c>
      <c r="Q477" s="475">
        <v>45706</v>
      </c>
      <c r="R477" s="61">
        <f t="shared" si="30"/>
        <v>1</v>
      </c>
      <c r="S477" s="61">
        <f t="shared" si="31"/>
        <v>1</v>
      </c>
      <c r="T477" s="61">
        <f t="shared" si="33"/>
        <v>1</v>
      </c>
      <c r="U477" s="61">
        <f t="shared" si="32"/>
        <v>1</v>
      </c>
      <c r="V477" s="61" t="s">
        <v>150</v>
      </c>
      <c r="W477" s="61" t="s">
        <v>4</v>
      </c>
      <c r="X477" s="61" t="s">
        <v>57</v>
      </c>
      <c r="Y477" s="61"/>
      <c r="Z477" s="61"/>
      <c r="AA477" s="61" t="s">
        <v>463</v>
      </c>
      <c r="AB477" s="61"/>
    </row>
    <row r="478" spans="1:28" s="2" customFormat="1" ht="15">
      <c r="A478" s="61" t="s">
        <v>776</v>
      </c>
      <c r="B478" s="61" t="s">
        <v>1023</v>
      </c>
      <c r="C478" s="61" t="s">
        <v>4043</v>
      </c>
      <c r="D478" s="61" t="s">
        <v>7838</v>
      </c>
      <c r="E478" s="61">
        <v>3325</v>
      </c>
      <c r="F478" s="61">
        <v>3637</v>
      </c>
      <c r="G478" s="61">
        <v>2025</v>
      </c>
      <c r="H478" s="61" t="s">
        <v>3416</v>
      </c>
      <c r="I478" s="61" t="s">
        <v>200</v>
      </c>
      <c r="J478" s="61" t="s">
        <v>328</v>
      </c>
      <c r="K478" s="61" t="s">
        <v>1982</v>
      </c>
      <c r="L478" s="61" t="s">
        <v>8082</v>
      </c>
      <c r="M478" s="475">
        <v>45721</v>
      </c>
      <c r="N478" s="475">
        <v>45724</v>
      </c>
      <c r="O478" s="475">
        <v>45733</v>
      </c>
      <c r="P478" s="475">
        <v>45733</v>
      </c>
      <c r="Q478" s="475">
        <v>45735</v>
      </c>
      <c r="R478" s="61">
        <f t="shared" si="30"/>
        <v>2</v>
      </c>
      <c r="S478" s="61">
        <f t="shared" si="31"/>
        <v>5</v>
      </c>
      <c r="T478" s="61">
        <f t="shared" si="33"/>
        <v>5</v>
      </c>
      <c r="U478" s="61">
        <f t="shared" si="32"/>
        <v>2</v>
      </c>
      <c r="V478" s="61" t="s">
        <v>150</v>
      </c>
      <c r="W478" s="61" t="s">
        <v>4</v>
      </c>
      <c r="X478" s="61" t="s">
        <v>57</v>
      </c>
      <c r="Y478" s="61" t="s">
        <v>8083</v>
      </c>
      <c r="Z478" s="61" t="s">
        <v>8084</v>
      </c>
      <c r="AA478" s="61" t="s">
        <v>463</v>
      </c>
      <c r="AB478" s="61"/>
    </row>
    <row r="479" spans="1:28" s="2" customFormat="1" ht="15">
      <c r="A479" s="61" t="s">
        <v>776</v>
      </c>
      <c r="B479" s="61" t="s">
        <v>1023</v>
      </c>
      <c r="C479" s="61" t="s">
        <v>1819</v>
      </c>
      <c r="D479" s="61" t="s">
        <v>7838</v>
      </c>
      <c r="E479" s="61">
        <v>2862</v>
      </c>
      <c r="F479" s="61">
        <v>2731</v>
      </c>
      <c r="G479" s="61">
        <v>2025</v>
      </c>
      <c r="H479" s="61" t="s">
        <v>3416</v>
      </c>
      <c r="I479" s="61" t="s">
        <v>200</v>
      </c>
      <c r="J479" s="61" t="s">
        <v>328</v>
      </c>
      <c r="K479" s="61" t="s">
        <v>1982</v>
      </c>
      <c r="L479" s="61" t="s">
        <v>8085</v>
      </c>
      <c r="M479" s="475">
        <v>45721</v>
      </c>
      <c r="N479" s="475">
        <v>45724</v>
      </c>
      <c r="O479" s="475">
        <v>45733</v>
      </c>
      <c r="P479" s="475">
        <v>45733</v>
      </c>
      <c r="Q479" s="475">
        <v>45735</v>
      </c>
      <c r="R479" s="61">
        <f t="shared" si="30"/>
        <v>2</v>
      </c>
      <c r="S479" s="61">
        <f t="shared" si="31"/>
        <v>5</v>
      </c>
      <c r="T479" s="61">
        <f t="shared" si="33"/>
        <v>5</v>
      </c>
      <c r="U479" s="61">
        <f t="shared" si="32"/>
        <v>2</v>
      </c>
      <c r="V479" s="61" t="s">
        <v>150</v>
      </c>
      <c r="W479" s="61" t="s">
        <v>4</v>
      </c>
      <c r="X479" s="61" t="s">
        <v>50</v>
      </c>
      <c r="Y479" s="61" t="s">
        <v>8086</v>
      </c>
      <c r="Z479" s="61" t="s">
        <v>8087</v>
      </c>
      <c r="AA479" s="61" t="s">
        <v>463</v>
      </c>
      <c r="AB479" s="61"/>
    </row>
    <row r="480" spans="1:28" s="2" customFormat="1" ht="15">
      <c r="A480" s="61" t="s">
        <v>776</v>
      </c>
      <c r="B480" s="61" t="s">
        <v>1023</v>
      </c>
      <c r="C480" s="61" t="s">
        <v>4031</v>
      </c>
      <c r="D480" s="61" t="s">
        <v>7838</v>
      </c>
      <c r="E480" s="61">
        <v>3792</v>
      </c>
      <c r="F480" s="61">
        <v>6494</v>
      </c>
      <c r="G480" s="61">
        <v>2025</v>
      </c>
      <c r="H480" s="61" t="s">
        <v>3458</v>
      </c>
      <c r="I480" s="61" t="s">
        <v>200</v>
      </c>
      <c r="J480" s="61" t="s">
        <v>328</v>
      </c>
      <c r="K480" s="61" t="s">
        <v>1982</v>
      </c>
      <c r="L480" s="476" t="s">
        <v>8088</v>
      </c>
      <c r="M480" s="475">
        <v>45700</v>
      </c>
      <c r="N480" s="475">
        <v>45704</v>
      </c>
      <c r="O480" s="475">
        <v>45705</v>
      </c>
      <c r="P480" s="475">
        <v>45705</v>
      </c>
      <c r="Q480" s="475">
        <v>45706</v>
      </c>
      <c r="R480" s="61">
        <f t="shared" si="30"/>
        <v>2</v>
      </c>
      <c r="S480" s="61">
        <f t="shared" si="31"/>
        <v>1</v>
      </c>
      <c r="T480" s="61">
        <f t="shared" si="33"/>
        <v>1</v>
      </c>
      <c r="U480" s="61">
        <f t="shared" si="32"/>
        <v>1</v>
      </c>
      <c r="V480" s="61" t="s">
        <v>150</v>
      </c>
      <c r="W480" s="61" t="s">
        <v>1078</v>
      </c>
      <c r="X480" s="61" t="s">
        <v>50</v>
      </c>
      <c r="Y480" s="61"/>
      <c r="Z480" s="61"/>
      <c r="AA480" s="61" t="s">
        <v>463</v>
      </c>
      <c r="AB480" s="61"/>
    </row>
    <row r="481" spans="1:28" s="2" customFormat="1" ht="15">
      <c r="A481" s="61" t="s">
        <v>776</v>
      </c>
      <c r="B481" s="61" t="s">
        <v>1023</v>
      </c>
      <c r="C481" s="61" t="s">
        <v>4034</v>
      </c>
      <c r="D481" s="61" t="s">
        <v>7838</v>
      </c>
      <c r="E481" s="61">
        <v>1869</v>
      </c>
      <c r="F481" s="61">
        <v>1876</v>
      </c>
      <c r="G481" s="61">
        <v>2025</v>
      </c>
      <c r="H481" s="61" t="s">
        <v>3458</v>
      </c>
      <c r="I481" s="61" t="s">
        <v>200</v>
      </c>
      <c r="J481" s="61" t="s">
        <v>328</v>
      </c>
      <c r="K481" s="61" t="s">
        <v>1982</v>
      </c>
      <c r="L481" s="61" t="s">
        <v>8089</v>
      </c>
      <c r="M481" s="475">
        <v>45706</v>
      </c>
      <c r="N481" s="475">
        <v>45706</v>
      </c>
      <c r="O481" s="475">
        <v>45706</v>
      </c>
      <c r="P481" s="475">
        <v>45706</v>
      </c>
      <c r="Q481" s="475">
        <v>45707</v>
      </c>
      <c r="R481" s="61">
        <f t="shared" si="30"/>
        <v>1</v>
      </c>
      <c r="S481" s="61">
        <f t="shared" si="31"/>
        <v>1</v>
      </c>
      <c r="T481" s="61">
        <f t="shared" si="33"/>
        <v>1</v>
      </c>
      <c r="U481" s="61">
        <f t="shared" si="32"/>
        <v>1</v>
      </c>
      <c r="V481" s="61" t="s">
        <v>150</v>
      </c>
      <c r="W481" s="61" t="s">
        <v>1078</v>
      </c>
      <c r="X481" s="61" t="s">
        <v>50</v>
      </c>
      <c r="Y481" s="61"/>
      <c r="Z481" s="61"/>
      <c r="AA481" s="61" t="s">
        <v>463</v>
      </c>
      <c r="AB481" s="61"/>
    </row>
    <row r="482" spans="1:28" s="2" customFormat="1" ht="15">
      <c r="A482" s="61" t="s">
        <v>776</v>
      </c>
      <c r="B482" s="61" t="s">
        <v>1023</v>
      </c>
      <c r="C482" s="61" t="s">
        <v>4036</v>
      </c>
      <c r="D482" s="61" t="s">
        <v>7838</v>
      </c>
      <c r="E482" s="61">
        <v>2552</v>
      </c>
      <c r="F482" s="61">
        <v>2542</v>
      </c>
      <c r="G482" s="61">
        <v>2025</v>
      </c>
      <c r="H482" s="61" t="s">
        <v>3128</v>
      </c>
      <c r="I482" s="61" t="s">
        <v>200</v>
      </c>
      <c r="J482" s="61" t="s">
        <v>1838</v>
      </c>
      <c r="K482" s="61" t="s">
        <v>1982</v>
      </c>
      <c r="L482" s="61" t="s">
        <v>8090</v>
      </c>
      <c r="M482" s="475">
        <v>45916</v>
      </c>
      <c r="N482" s="475">
        <v>45916</v>
      </c>
      <c r="O482" s="475">
        <v>45918</v>
      </c>
      <c r="P482" s="475">
        <v>45924</v>
      </c>
      <c r="Q482" s="475">
        <v>45929</v>
      </c>
      <c r="R482" s="61">
        <f t="shared" si="30"/>
        <v>1</v>
      </c>
      <c r="S482" s="61">
        <f t="shared" si="31"/>
        <v>2</v>
      </c>
      <c r="T482" s="61">
        <f t="shared" si="33"/>
        <v>6</v>
      </c>
      <c r="U482" s="61">
        <f t="shared" si="32"/>
        <v>3</v>
      </c>
      <c r="V482" s="61" t="s">
        <v>150</v>
      </c>
      <c r="W482" s="61" t="s">
        <v>3527</v>
      </c>
      <c r="X482" s="61" t="s">
        <v>3528</v>
      </c>
      <c r="Y482" s="61" t="s">
        <v>69</v>
      </c>
      <c r="Z482" s="61" t="s">
        <v>69</v>
      </c>
      <c r="AA482" s="61" t="s">
        <v>8091</v>
      </c>
      <c r="AB482" s="61" t="s">
        <v>8092</v>
      </c>
    </row>
    <row r="483" spans="1:28" s="2" customFormat="1" ht="15">
      <c r="A483" s="61" t="s">
        <v>776</v>
      </c>
      <c r="B483" s="61" t="s">
        <v>1023</v>
      </c>
      <c r="C483" s="61" t="s">
        <v>4037</v>
      </c>
      <c r="D483" s="61" t="s">
        <v>7838</v>
      </c>
      <c r="E483" s="61">
        <v>6242</v>
      </c>
      <c r="F483" s="61">
        <v>6600</v>
      </c>
      <c r="G483" s="61">
        <v>2025</v>
      </c>
      <c r="H483" s="61" t="s">
        <v>3128</v>
      </c>
      <c r="I483" s="61" t="s">
        <v>200</v>
      </c>
      <c r="J483" s="61" t="s">
        <v>1838</v>
      </c>
      <c r="K483" s="61" t="s">
        <v>1982</v>
      </c>
      <c r="L483" s="61" t="s">
        <v>8090</v>
      </c>
      <c r="M483" s="475">
        <v>45916</v>
      </c>
      <c r="N483" s="475">
        <v>45916</v>
      </c>
      <c r="O483" s="475">
        <v>45918</v>
      </c>
      <c r="P483" s="475">
        <v>45924</v>
      </c>
      <c r="Q483" s="475">
        <v>45929</v>
      </c>
      <c r="R483" s="61">
        <f t="shared" si="30"/>
        <v>1</v>
      </c>
      <c r="S483" s="61">
        <f t="shared" si="31"/>
        <v>2</v>
      </c>
      <c r="T483" s="61">
        <f t="shared" si="33"/>
        <v>6</v>
      </c>
      <c r="U483" s="61">
        <f t="shared" si="32"/>
        <v>3</v>
      </c>
      <c r="V483" s="61" t="s">
        <v>150</v>
      </c>
      <c r="W483" s="61" t="s">
        <v>3527</v>
      </c>
      <c r="X483" s="61" t="s">
        <v>3528</v>
      </c>
      <c r="Y483" s="61" t="s">
        <v>69</v>
      </c>
      <c r="Z483" s="61" t="s">
        <v>69</v>
      </c>
      <c r="AA483" s="61" t="s">
        <v>8091</v>
      </c>
      <c r="AB483" s="61" t="s">
        <v>8092</v>
      </c>
    </row>
    <row r="484" spans="1:28" s="2" customFormat="1" ht="15">
      <c r="A484" s="61" t="s">
        <v>776</v>
      </c>
      <c r="B484" s="61" t="s">
        <v>1023</v>
      </c>
      <c r="C484" s="61" t="s">
        <v>4038</v>
      </c>
      <c r="D484" s="61" t="s">
        <v>7838</v>
      </c>
      <c r="E484" s="61">
        <v>5017</v>
      </c>
      <c r="F484" s="61">
        <v>6138</v>
      </c>
      <c r="G484" s="61">
        <v>2025</v>
      </c>
      <c r="H484" s="61" t="s">
        <v>3128</v>
      </c>
      <c r="I484" s="61" t="s">
        <v>200</v>
      </c>
      <c r="J484" s="61" t="s">
        <v>1838</v>
      </c>
      <c r="K484" s="61" t="s">
        <v>1982</v>
      </c>
      <c r="L484" s="61" t="s">
        <v>8090</v>
      </c>
      <c r="M484" s="475">
        <v>45916</v>
      </c>
      <c r="N484" s="475">
        <v>45916</v>
      </c>
      <c r="O484" s="475">
        <v>45918</v>
      </c>
      <c r="P484" s="475">
        <v>45924</v>
      </c>
      <c r="Q484" s="475">
        <v>45929</v>
      </c>
      <c r="R484" s="61">
        <f t="shared" si="30"/>
        <v>1</v>
      </c>
      <c r="S484" s="61">
        <f t="shared" si="31"/>
        <v>2</v>
      </c>
      <c r="T484" s="61">
        <f t="shared" si="33"/>
        <v>6</v>
      </c>
      <c r="U484" s="61">
        <f t="shared" si="32"/>
        <v>3</v>
      </c>
      <c r="V484" s="61" t="s">
        <v>150</v>
      </c>
      <c r="W484" s="61" t="s">
        <v>3527</v>
      </c>
      <c r="X484" s="61" t="s">
        <v>3528</v>
      </c>
      <c r="Y484" s="61" t="s">
        <v>69</v>
      </c>
      <c r="Z484" s="61" t="s">
        <v>69</v>
      </c>
      <c r="AA484" s="61" t="s">
        <v>8091</v>
      </c>
      <c r="AB484" s="61" t="s">
        <v>8092</v>
      </c>
    </row>
    <row r="485" spans="1:28" s="2" customFormat="1" ht="15">
      <c r="A485" s="61" t="s">
        <v>776</v>
      </c>
      <c r="B485" s="61" t="s">
        <v>1023</v>
      </c>
      <c r="C485" s="61" t="s">
        <v>4040</v>
      </c>
      <c r="D485" s="61" t="s">
        <v>7838</v>
      </c>
      <c r="E485" s="61">
        <v>2789</v>
      </c>
      <c r="F485" s="61">
        <v>2950</v>
      </c>
      <c r="G485" s="61">
        <v>2025</v>
      </c>
      <c r="H485" s="61" t="s">
        <v>3128</v>
      </c>
      <c r="I485" s="61" t="s">
        <v>200</v>
      </c>
      <c r="J485" s="61" t="s">
        <v>1838</v>
      </c>
      <c r="K485" s="61" t="s">
        <v>1982</v>
      </c>
      <c r="L485" s="61" t="s">
        <v>8090</v>
      </c>
      <c r="M485" s="475">
        <v>45916</v>
      </c>
      <c r="N485" s="475">
        <v>45916</v>
      </c>
      <c r="O485" s="475">
        <v>45918</v>
      </c>
      <c r="P485" s="475">
        <v>45924</v>
      </c>
      <c r="Q485" s="475">
        <v>45929</v>
      </c>
      <c r="R485" s="61">
        <f t="shared" si="30"/>
        <v>1</v>
      </c>
      <c r="S485" s="61">
        <f t="shared" si="31"/>
        <v>2</v>
      </c>
      <c r="T485" s="61">
        <f t="shared" si="33"/>
        <v>6</v>
      </c>
      <c r="U485" s="61">
        <f t="shared" si="32"/>
        <v>3</v>
      </c>
      <c r="V485" s="61" t="s">
        <v>150</v>
      </c>
      <c r="W485" s="61" t="s">
        <v>3527</v>
      </c>
      <c r="X485" s="61" t="s">
        <v>3528</v>
      </c>
      <c r="Y485" s="61" t="s">
        <v>69</v>
      </c>
      <c r="Z485" s="61" t="s">
        <v>69</v>
      </c>
      <c r="AA485" s="61" t="s">
        <v>8091</v>
      </c>
      <c r="AB485" s="61" t="s">
        <v>8092</v>
      </c>
    </row>
    <row r="486" spans="1:28" s="2" customFormat="1" ht="15">
      <c r="A486" s="61" t="s">
        <v>776</v>
      </c>
      <c r="B486" s="61" t="s">
        <v>1023</v>
      </c>
      <c r="C486" s="61" t="s">
        <v>1056</v>
      </c>
      <c r="D486" s="61" t="s">
        <v>7838</v>
      </c>
      <c r="E486" s="61">
        <v>7153</v>
      </c>
      <c r="F486" s="61">
        <v>8262</v>
      </c>
      <c r="G486" s="61">
        <v>2025</v>
      </c>
      <c r="H486" s="61" t="s">
        <v>3128</v>
      </c>
      <c r="I486" s="61" t="s">
        <v>200</v>
      </c>
      <c r="J486" s="61" t="s">
        <v>1838</v>
      </c>
      <c r="K486" s="61" t="s">
        <v>1982</v>
      </c>
      <c r="L486" s="61" t="s">
        <v>8090</v>
      </c>
      <c r="M486" s="475">
        <v>45916</v>
      </c>
      <c r="N486" s="475">
        <v>45916</v>
      </c>
      <c r="O486" s="475">
        <v>45918</v>
      </c>
      <c r="P486" s="475">
        <v>45924</v>
      </c>
      <c r="Q486" s="475">
        <v>45929</v>
      </c>
      <c r="R486" s="61">
        <f t="shared" si="30"/>
        <v>1</v>
      </c>
      <c r="S486" s="61">
        <f t="shared" si="31"/>
        <v>2</v>
      </c>
      <c r="T486" s="61">
        <f t="shared" si="33"/>
        <v>6</v>
      </c>
      <c r="U486" s="61">
        <f t="shared" si="32"/>
        <v>3</v>
      </c>
      <c r="V486" s="61" t="s">
        <v>150</v>
      </c>
      <c r="W486" s="61" t="s">
        <v>3527</v>
      </c>
      <c r="X486" s="61" t="s">
        <v>3528</v>
      </c>
      <c r="Y486" s="61" t="s">
        <v>69</v>
      </c>
      <c r="Z486" s="61" t="s">
        <v>69</v>
      </c>
      <c r="AA486" s="61" t="s">
        <v>8091</v>
      </c>
      <c r="AB486" s="61" t="s">
        <v>8092</v>
      </c>
    </row>
    <row r="487" spans="1:28" s="2" customFormat="1" ht="15">
      <c r="A487" s="61" t="s">
        <v>776</v>
      </c>
      <c r="B487" s="61" t="s">
        <v>1023</v>
      </c>
      <c r="C487" s="61" t="s">
        <v>4044</v>
      </c>
      <c r="D487" s="61" t="s">
        <v>7838</v>
      </c>
      <c r="E487" s="61">
        <v>6202</v>
      </c>
      <c r="F487" s="61">
        <v>6496</v>
      </c>
      <c r="G487" s="61">
        <v>2025</v>
      </c>
      <c r="H487" s="61" t="s">
        <v>3128</v>
      </c>
      <c r="I487" s="61" t="s">
        <v>200</v>
      </c>
      <c r="J487" s="61" t="s">
        <v>1838</v>
      </c>
      <c r="K487" s="61" t="s">
        <v>1982</v>
      </c>
      <c r="L487" s="61" t="s">
        <v>8090</v>
      </c>
      <c r="M487" s="475">
        <v>45916</v>
      </c>
      <c r="N487" s="475">
        <v>45916</v>
      </c>
      <c r="O487" s="475">
        <v>45918</v>
      </c>
      <c r="P487" s="475">
        <v>45924</v>
      </c>
      <c r="Q487" s="475">
        <v>45929</v>
      </c>
      <c r="R487" s="61">
        <f t="shared" si="30"/>
        <v>1</v>
      </c>
      <c r="S487" s="61">
        <f t="shared" si="31"/>
        <v>2</v>
      </c>
      <c r="T487" s="61">
        <f t="shared" si="33"/>
        <v>6</v>
      </c>
      <c r="U487" s="61">
        <f t="shared" si="32"/>
        <v>3</v>
      </c>
      <c r="V487" s="61" t="s">
        <v>150</v>
      </c>
      <c r="W487" s="61" t="s">
        <v>3527</v>
      </c>
      <c r="X487" s="61" t="s">
        <v>3528</v>
      </c>
      <c r="Y487" s="61" t="s">
        <v>69</v>
      </c>
      <c r="Z487" s="61" t="s">
        <v>69</v>
      </c>
      <c r="AA487" s="61" t="s">
        <v>8091</v>
      </c>
      <c r="AB487" s="61" t="s">
        <v>8092</v>
      </c>
    </row>
    <row r="488" spans="1:28" s="2" customFormat="1" ht="15">
      <c r="A488" s="61" t="s">
        <v>776</v>
      </c>
      <c r="B488" s="61" t="s">
        <v>1023</v>
      </c>
      <c r="C488" s="61" t="s">
        <v>1024</v>
      </c>
      <c r="D488" s="61" t="s">
        <v>7838</v>
      </c>
      <c r="E488" s="61">
        <v>7990</v>
      </c>
      <c r="F488" s="61">
        <v>8401</v>
      </c>
      <c r="G488" s="61">
        <v>2025</v>
      </c>
      <c r="H488" s="61" t="s">
        <v>3128</v>
      </c>
      <c r="I488" s="61" t="s">
        <v>200</v>
      </c>
      <c r="J488" s="61" t="s">
        <v>1838</v>
      </c>
      <c r="K488" s="61" t="s">
        <v>1982</v>
      </c>
      <c r="L488" s="61" t="s">
        <v>8090</v>
      </c>
      <c r="M488" s="475">
        <v>45916</v>
      </c>
      <c r="N488" s="475">
        <v>45916</v>
      </c>
      <c r="O488" s="475">
        <v>45918</v>
      </c>
      <c r="P488" s="475">
        <v>45924</v>
      </c>
      <c r="Q488" s="475">
        <v>45929</v>
      </c>
      <c r="R488" s="61">
        <f t="shared" si="30"/>
        <v>1</v>
      </c>
      <c r="S488" s="61">
        <f t="shared" si="31"/>
        <v>2</v>
      </c>
      <c r="T488" s="61">
        <f t="shared" si="33"/>
        <v>6</v>
      </c>
      <c r="U488" s="61">
        <f t="shared" si="32"/>
        <v>3</v>
      </c>
      <c r="V488" s="61" t="s">
        <v>150</v>
      </c>
      <c r="W488" s="61" t="s">
        <v>3527</v>
      </c>
      <c r="X488" s="61" t="s">
        <v>3528</v>
      </c>
      <c r="Y488" s="61" t="s">
        <v>69</v>
      </c>
      <c r="Z488" s="61" t="s">
        <v>69</v>
      </c>
      <c r="AA488" s="61" t="s">
        <v>8091</v>
      </c>
      <c r="AB488" s="61" t="s">
        <v>8092</v>
      </c>
    </row>
    <row r="489" spans="1:28" s="2" customFormat="1" ht="15">
      <c r="A489" s="61" t="s">
        <v>776</v>
      </c>
      <c r="B489" s="61" t="s">
        <v>1028</v>
      </c>
      <c r="C489" s="61" t="s">
        <v>4045</v>
      </c>
      <c r="D489" s="61" t="s">
        <v>7838</v>
      </c>
      <c r="E489" s="61">
        <v>3216</v>
      </c>
      <c r="F489" s="61">
        <v>5016</v>
      </c>
      <c r="G489" s="61">
        <v>2025</v>
      </c>
      <c r="H489" s="61" t="s">
        <v>3532</v>
      </c>
      <c r="I489" s="61" t="s">
        <v>200</v>
      </c>
      <c r="J489" s="61"/>
      <c r="K489" s="61" t="s">
        <v>1982</v>
      </c>
      <c r="L489" s="61" t="s">
        <v>8093</v>
      </c>
      <c r="M489" s="475">
        <v>45790</v>
      </c>
      <c r="N489" s="475">
        <v>45796</v>
      </c>
      <c r="O489" s="475">
        <v>45797</v>
      </c>
      <c r="P489" s="475">
        <v>45797</v>
      </c>
      <c r="Q489" s="475">
        <v>45797</v>
      </c>
      <c r="R489" s="61">
        <f t="shared" si="30"/>
        <v>4</v>
      </c>
      <c r="S489" s="61">
        <f t="shared" si="31"/>
        <v>1</v>
      </c>
      <c r="T489" s="61">
        <f t="shared" si="33"/>
        <v>1</v>
      </c>
      <c r="U489" s="61">
        <f t="shared" si="32"/>
        <v>1</v>
      </c>
      <c r="V489" s="61" t="s">
        <v>150</v>
      </c>
      <c r="W489" s="61" t="s">
        <v>1078</v>
      </c>
      <c r="X489" s="61" t="s">
        <v>50</v>
      </c>
      <c r="Y489" s="61">
        <v>12.8986</v>
      </c>
      <c r="Z489" s="61">
        <v>120.78530000000001</v>
      </c>
      <c r="AA489" s="61" t="s">
        <v>463</v>
      </c>
      <c r="AB489" s="61"/>
    </row>
    <row r="490" spans="1:28" s="2" customFormat="1" ht="15">
      <c r="A490" s="61" t="s">
        <v>776</v>
      </c>
      <c r="B490" s="61" t="s">
        <v>1028</v>
      </c>
      <c r="C490" s="61" t="s">
        <v>4046</v>
      </c>
      <c r="D490" s="61" t="s">
        <v>7838</v>
      </c>
      <c r="E490" s="61">
        <v>5044</v>
      </c>
      <c r="F490" s="61">
        <v>5720</v>
      </c>
      <c r="G490" s="61">
        <v>2025</v>
      </c>
      <c r="H490" s="61" t="s">
        <v>3532</v>
      </c>
      <c r="I490" s="61" t="s">
        <v>200</v>
      </c>
      <c r="J490" s="61"/>
      <c r="K490" s="61" t="s">
        <v>1982</v>
      </c>
      <c r="L490" s="61" t="s">
        <v>8094</v>
      </c>
      <c r="M490" s="475">
        <v>45790</v>
      </c>
      <c r="N490" s="475">
        <v>45796</v>
      </c>
      <c r="O490" s="475"/>
      <c r="P490" s="475">
        <v>45797</v>
      </c>
      <c r="Q490" s="475">
        <v>45797</v>
      </c>
      <c r="R490" s="61">
        <f t="shared" si="30"/>
        <v>4</v>
      </c>
      <c r="S490" s="61" t="str">
        <f t="shared" si="31"/>
        <v/>
      </c>
      <c r="T490" s="61">
        <f t="shared" si="33"/>
        <v>1</v>
      </c>
      <c r="U490" s="61">
        <f t="shared" si="32"/>
        <v>1</v>
      </c>
      <c r="V490" s="61" t="s">
        <v>150</v>
      </c>
      <c r="W490" s="61" t="s">
        <v>1078</v>
      </c>
      <c r="X490" s="61" t="s">
        <v>50</v>
      </c>
      <c r="Y490" s="61">
        <v>14.914099999999999</v>
      </c>
      <c r="Z490" s="61">
        <v>120.7651</v>
      </c>
      <c r="AA490" s="61" t="s">
        <v>463</v>
      </c>
      <c r="AB490" s="61"/>
    </row>
    <row r="491" spans="1:28" s="2" customFormat="1" ht="15">
      <c r="A491" s="61" t="s">
        <v>776</v>
      </c>
      <c r="B491" s="61" t="s">
        <v>1028</v>
      </c>
      <c r="C491" s="61" t="s">
        <v>4048</v>
      </c>
      <c r="D491" s="61" t="s">
        <v>7838</v>
      </c>
      <c r="E491" s="61">
        <v>3296</v>
      </c>
      <c r="F491" s="61">
        <v>3841</v>
      </c>
      <c r="G491" s="61">
        <v>2025</v>
      </c>
      <c r="H491" s="61" t="s">
        <v>3416</v>
      </c>
      <c r="I491" s="61" t="s">
        <v>200</v>
      </c>
      <c r="J491" s="61" t="s">
        <v>328</v>
      </c>
      <c r="K491" s="61" t="s">
        <v>1982</v>
      </c>
      <c r="L491" s="61" t="s">
        <v>8095</v>
      </c>
      <c r="M491" s="475">
        <v>45728</v>
      </c>
      <c r="N491" s="475">
        <v>45732</v>
      </c>
      <c r="O491" s="475">
        <v>45733</v>
      </c>
      <c r="P491" s="475">
        <v>45733</v>
      </c>
      <c r="Q491" s="475">
        <v>45734</v>
      </c>
      <c r="R491" s="61">
        <f t="shared" si="30"/>
        <v>2</v>
      </c>
      <c r="S491" s="61">
        <f t="shared" si="31"/>
        <v>1</v>
      </c>
      <c r="T491" s="61">
        <f t="shared" si="33"/>
        <v>1</v>
      </c>
      <c r="U491" s="61">
        <f t="shared" si="32"/>
        <v>1</v>
      </c>
      <c r="V491" s="61" t="s">
        <v>150</v>
      </c>
      <c r="W491" s="61" t="s">
        <v>1078</v>
      </c>
      <c r="X491" s="61" t="s">
        <v>50</v>
      </c>
      <c r="Y491" s="61">
        <v>14.895379999999999</v>
      </c>
      <c r="Z491" s="61">
        <v>120.796235</v>
      </c>
      <c r="AA491" s="61"/>
      <c r="AB491" s="61"/>
    </row>
    <row r="492" spans="1:28" s="2" customFormat="1" ht="15">
      <c r="A492" s="61" t="s">
        <v>776</v>
      </c>
      <c r="B492" s="61" t="s">
        <v>1028</v>
      </c>
      <c r="C492" s="61" t="s">
        <v>4053</v>
      </c>
      <c r="D492" s="61" t="s">
        <v>7838</v>
      </c>
      <c r="E492" s="61">
        <v>4278</v>
      </c>
      <c r="F492" s="61">
        <v>4510</v>
      </c>
      <c r="G492" s="61">
        <v>2025</v>
      </c>
      <c r="H492" s="61" t="s">
        <v>3126</v>
      </c>
      <c r="I492" s="61" t="s">
        <v>200</v>
      </c>
      <c r="J492" s="61"/>
      <c r="K492" s="61" t="s">
        <v>1982</v>
      </c>
      <c r="L492" s="61" t="s">
        <v>8096</v>
      </c>
      <c r="M492" s="475">
        <v>45883</v>
      </c>
      <c r="N492" s="475">
        <v>45887</v>
      </c>
      <c r="O492" s="61"/>
      <c r="P492" s="475">
        <v>45888</v>
      </c>
      <c r="Q492" s="475">
        <v>45888</v>
      </c>
      <c r="R492" s="61">
        <f t="shared" si="30"/>
        <v>2</v>
      </c>
      <c r="S492" s="61" t="str">
        <f t="shared" si="31"/>
        <v/>
      </c>
      <c r="T492" s="61">
        <f t="shared" si="33"/>
        <v>1</v>
      </c>
      <c r="U492" s="61">
        <f t="shared" si="32"/>
        <v>1</v>
      </c>
      <c r="V492" s="61" t="s">
        <v>150</v>
      </c>
      <c r="W492" s="61" t="s">
        <v>1078</v>
      </c>
      <c r="X492" s="61" t="s">
        <v>50</v>
      </c>
      <c r="Y492" s="61">
        <v>14.908300000000001</v>
      </c>
      <c r="Z492" s="61">
        <v>120.77249999999999</v>
      </c>
      <c r="AA492" s="61"/>
      <c r="AB492" s="61"/>
    </row>
    <row r="493" spans="1:28" s="2" customFormat="1" ht="15">
      <c r="A493" s="61" t="s">
        <v>776</v>
      </c>
      <c r="B493" s="61" t="s">
        <v>1028</v>
      </c>
      <c r="C493" s="61" t="s">
        <v>4055</v>
      </c>
      <c r="D493" s="61" t="s">
        <v>7838</v>
      </c>
      <c r="E493" s="61">
        <v>2458</v>
      </c>
      <c r="F493" s="61">
        <v>2175</v>
      </c>
      <c r="G493" s="61">
        <v>2025</v>
      </c>
      <c r="H493" s="61" t="s">
        <v>3126</v>
      </c>
      <c r="I493" s="61" t="s">
        <v>200</v>
      </c>
      <c r="J493" s="61"/>
      <c r="K493" s="61" t="s">
        <v>1982</v>
      </c>
      <c r="L493" s="61" t="s">
        <v>8097</v>
      </c>
      <c r="M493" s="475">
        <v>45883</v>
      </c>
      <c r="N493" s="475">
        <v>45887</v>
      </c>
      <c r="O493" s="61"/>
      <c r="P493" s="475">
        <v>45888</v>
      </c>
      <c r="Q493" s="475">
        <v>45888</v>
      </c>
      <c r="R493" s="61">
        <f t="shared" si="30"/>
        <v>2</v>
      </c>
      <c r="S493" s="61" t="str">
        <f t="shared" si="31"/>
        <v/>
      </c>
      <c r="T493" s="61">
        <f t="shared" si="33"/>
        <v>1</v>
      </c>
      <c r="U493" s="61">
        <f t="shared" si="32"/>
        <v>1</v>
      </c>
      <c r="V493" s="61" t="s">
        <v>150</v>
      </c>
      <c r="W493" s="61" t="s">
        <v>1078</v>
      </c>
      <c r="X493" s="61" t="s">
        <v>50</v>
      </c>
      <c r="Y493" s="61">
        <v>14.9129</v>
      </c>
      <c r="Z493" s="61">
        <v>120.7684</v>
      </c>
      <c r="AA493" s="61"/>
      <c r="AB493" s="61"/>
    </row>
    <row r="494" spans="1:28" s="2" customFormat="1" ht="15">
      <c r="A494" s="61" t="s">
        <v>776</v>
      </c>
      <c r="B494" s="61" t="s">
        <v>1028</v>
      </c>
      <c r="C494" s="61" t="s">
        <v>4058</v>
      </c>
      <c r="D494" s="61" t="s">
        <v>7838</v>
      </c>
      <c r="E494" s="61">
        <v>6332</v>
      </c>
      <c r="F494" s="61">
        <v>6384</v>
      </c>
      <c r="G494" s="61">
        <v>2025</v>
      </c>
      <c r="H494" s="61" t="s">
        <v>3416</v>
      </c>
      <c r="I494" s="61" t="s">
        <v>200</v>
      </c>
      <c r="J494" s="61"/>
      <c r="K494" s="61" t="s">
        <v>1982</v>
      </c>
      <c r="L494" s="61" t="s">
        <v>8098</v>
      </c>
      <c r="M494" s="475">
        <v>45728</v>
      </c>
      <c r="N494" s="475">
        <v>45732</v>
      </c>
      <c r="O494" s="475">
        <v>45733</v>
      </c>
      <c r="P494" s="475">
        <v>45733</v>
      </c>
      <c r="Q494" s="475">
        <v>45734</v>
      </c>
      <c r="R494" s="61">
        <f t="shared" si="30"/>
        <v>2</v>
      </c>
      <c r="S494" s="61">
        <f t="shared" si="31"/>
        <v>1</v>
      </c>
      <c r="T494" s="61">
        <f t="shared" si="33"/>
        <v>1</v>
      </c>
      <c r="U494" s="61">
        <f t="shared" si="32"/>
        <v>1</v>
      </c>
      <c r="V494" s="61" t="s">
        <v>150</v>
      </c>
      <c r="W494" s="61" t="s">
        <v>1078</v>
      </c>
      <c r="X494" s="61" t="s">
        <v>50</v>
      </c>
      <c r="Y494" s="61">
        <v>14.921268</v>
      </c>
      <c r="Z494" s="61">
        <v>120.768953</v>
      </c>
      <c r="AA494" s="61"/>
      <c r="AB494" s="61"/>
    </row>
    <row r="495" spans="1:28" s="2" customFormat="1" ht="15">
      <c r="A495" s="61" t="s">
        <v>776</v>
      </c>
      <c r="B495" s="61" t="s">
        <v>1028</v>
      </c>
      <c r="C495" s="61" t="s">
        <v>4060</v>
      </c>
      <c r="D495" s="61" t="s">
        <v>7838</v>
      </c>
      <c r="E495" s="61">
        <v>2754</v>
      </c>
      <c r="F495" s="61">
        <v>4161</v>
      </c>
      <c r="G495" s="61">
        <v>2025</v>
      </c>
      <c r="H495" s="61" t="s">
        <v>3126</v>
      </c>
      <c r="I495" s="61" t="s">
        <v>200</v>
      </c>
      <c r="J495" s="61"/>
      <c r="K495" s="61" t="s">
        <v>1982</v>
      </c>
      <c r="L495" s="61" t="s">
        <v>8099</v>
      </c>
      <c r="M495" s="475">
        <v>45883</v>
      </c>
      <c r="N495" s="475">
        <v>45887</v>
      </c>
      <c r="O495" s="475"/>
      <c r="P495" s="475">
        <v>45888</v>
      </c>
      <c r="Q495" s="475">
        <v>45888</v>
      </c>
      <c r="R495" s="61">
        <f t="shared" si="30"/>
        <v>2</v>
      </c>
      <c r="S495" s="61" t="str">
        <f t="shared" si="31"/>
        <v/>
      </c>
      <c r="T495" s="61">
        <f t="shared" si="33"/>
        <v>1</v>
      </c>
      <c r="U495" s="61">
        <f t="shared" si="32"/>
        <v>1</v>
      </c>
      <c r="V495" s="61" t="s">
        <v>150</v>
      </c>
      <c r="W495" s="61" t="s">
        <v>1078</v>
      </c>
      <c r="X495" s="61" t="s">
        <v>50</v>
      </c>
      <c r="Y495" s="61">
        <v>14.889900000000001</v>
      </c>
      <c r="Z495" s="61">
        <v>120.7676</v>
      </c>
      <c r="AA495" s="61"/>
      <c r="AB495" s="61"/>
    </row>
    <row r="496" spans="1:28" s="2" customFormat="1" ht="15">
      <c r="A496" s="61" t="s">
        <v>776</v>
      </c>
      <c r="B496" s="61" t="s">
        <v>1028</v>
      </c>
      <c r="C496" s="61" t="s">
        <v>4065</v>
      </c>
      <c r="D496" s="61" t="s">
        <v>7838</v>
      </c>
      <c r="E496" s="61">
        <v>2117</v>
      </c>
      <c r="F496" s="61">
        <v>1684</v>
      </c>
      <c r="G496" s="61">
        <v>2025</v>
      </c>
      <c r="H496" s="61" t="s">
        <v>3126</v>
      </c>
      <c r="I496" s="61" t="s">
        <v>200</v>
      </c>
      <c r="J496" s="61"/>
      <c r="K496" s="61" t="s">
        <v>1982</v>
      </c>
      <c r="L496" s="61" t="s">
        <v>8100</v>
      </c>
      <c r="M496" s="475">
        <v>45883</v>
      </c>
      <c r="N496" s="475">
        <v>45887</v>
      </c>
      <c r="O496" s="61"/>
      <c r="P496" s="475">
        <v>45888</v>
      </c>
      <c r="Q496" s="475">
        <v>45888</v>
      </c>
      <c r="R496" s="61">
        <f t="shared" si="30"/>
        <v>2</v>
      </c>
      <c r="S496" s="61" t="str">
        <f t="shared" si="31"/>
        <v/>
      </c>
      <c r="T496" s="61">
        <f t="shared" ref="T496:T527" si="34">IF(
  OR(A496 = "Nueva_Ecija", A496 = "Zambales"),
  IF(
    OR(ISBLANK(O496), ISBLANK(P496)),
    "",
    MAX(1, IF(
      NETWORKDAYS(O496, P496) &lt;= 0,
      1,
      NETWORKDAYS(O496, P496) - IF(O496 = P496, 0, 1)
    ))
  ),
  IF(
    OR(ISBLANK(N496), ISBLANK(P496)),
    "",
    MAX(1, IF(
      NETWORKDAYS(N496, P496) &lt;= 0,
      1,
      NETWORKDAYS(N496, P496) - IF(N496 = P496, 0, 1)
    ))
  )
)</f>
        <v>1</v>
      </c>
      <c r="U496" s="61">
        <f t="shared" si="32"/>
        <v>1</v>
      </c>
      <c r="V496" s="61" t="s">
        <v>150</v>
      </c>
      <c r="W496" s="61" t="s">
        <v>1078</v>
      </c>
      <c r="X496" s="61" t="s">
        <v>50</v>
      </c>
      <c r="Y496" s="61">
        <v>14.8977</v>
      </c>
      <c r="Z496" s="61">
        <v>120.7769</v>
      </c>
      <c r="AA496" s="61"/>
      <c r="AB496" s="61"/>
    </row>
    <row r="497" spans="1:28" s="2" customFormat="1" ht="15">
      <c r="A497" s="61" t="s">
        <v>776</v>
      </c>
      <c r="B497" s="61" t="s">
        <v>1028</v>
      </c>
      <c r="C497" s="61" t="s">
        <v>1056</v>
      </c>
      <c r="D497" s="61" t="s">
        <v>7838</v>
      </c>
      <c r="E497" s="61">
        <v>1909</v>
      </c>
      <c r="F497" s="61">
        <v>1785</v>
      </c>
      <c r="G497" s="61">
        <v>2025</v>
      </c>
      <c r="H497" s="61" t="s">
        <v>3416</v>
      </c>
      <c r="I497" s="61" t="s">
        <v>200</v>
      </c>
      <c r="J497" s="61"/>
      <c r="K497" s="61" t="s">
        <v>1982</v>
      </c>
      <c r="L497" s="61" t="s">
        <v>8101</v>
      </c>
      <c r="M497" s="475">
        <v>45728</v>
      </c>
      <c r="N497" s="475">
        <v>45732</v>
      </c>
      <c r="O497" s="475">
        <v>45733</v>
      </c>
      <c r="P497" s="475">
        <v>45733</v>
      </c>
      <c r="Q497" s="475">
        <v>45734</v>
      </c>
      <c r="R497" s="61">
        <f t="shared" si="30"/>
        <v>2</v>
      </c>
      <c r="S497" s="61">
        <f t="shared" si="31"/>
        <v>1</v>
      </c>
      <c r="T497" s="61">
        <f t="shared" si="34"/>
        <v>1</v>
      </c>
      <c r="U497" s="61">
        <f t="shared" si="32"/>
        <v>1</v>
      </c>
      <c r="V497" s="61" t="s">
        <v>150</v>
      </c>
      <c r="W497" s="61" t="s">
        <v>1078</v>
      </c>
      <c r="X497" s="61" t="s">
        <v>50</v>
      </c>
      <c r="Y497" s="61">
        <v>14.915993</v>
      </c>
      <c r="Z497" s="61">
        <v>120.76796899999999</v>
      </c>
      <c r="AA497" s="61"/>
      <c r="AB497" s="61"/>
    </row>
    <row r="498" spans="1:28" s="2" customFormat="1" ht="15">
      <c r="A498" s="61" t="s">
        <v>776</v>
      </c>
      <c r="B498" s="61" t="s">
        <v>1028</v>
      </c>
      <c r="C498" s="61" t="s">
        <v>4072</v>
      </c>
      <c r="D498" s="61" t="s">
        <v>7838</v>
      </c>
      <c r="E498" s="61">
        <v>2255</v>
      </c>
      <c r="F498" s="61">
        <v>2671</v>
      </c>
      <c r="G498" s="61">
        <v>2025</v>
      </c>
      <c r="H498" s="61" t="s">
        <v>3126</v>
      </c>
      <c r="I498" s="61" t="s">
        <v>200</v>
      </c>
      <c r="J498" s="61"/>
      <c r="K498" s="61" t="s">
        <v>1982</v>
      </c>
      <c r="L498" s="61" t="s">
        <v>8102</v>
      </c>
      <c r="M498" s="475">
        <v>45883</v>
      </c>
      <c r="N498" s="475">
        <v>45887</v>
      </c>
      <c r="O498" s="61"/>
      <c r="P498" s="475">
        <v>45888</v>
      </c>
      <c r="Q498" s="475">
        <v>45888</v>
      </c>
      <c r="R498" s="61">
        <f t="shared" si="30"/>
        <v>2</v>
      </c>
      <c r="S498" s="61" t="str">
        <f t="shared" si="31"/>
        <v/>
      </c>
      <c r="T498" s="61">
        <f t="shared" si="34"/>
        <v>1</v>
      </c>
      <c r="U498" s="61">
        <f t="shared" si="32"/>
        <v>1</v>
      </c>
      <c r="V498" s="61" t="s">
        <v>150</v>
      </c>
      <c r="W498" s="61" t="s">
        <v>1078</v>
      </c>
      <c r="X498" s="61" t="s">
        <v>50</v>
      </c>
      <c r="Y498" s="61">
        <v>14.897600000000001</v>
      </c>
      <c r="Z498" s="61">
        <v>120.7788</v>
      </c>
      <c r="AA498" s="61"/>
      <c r="AB498" s="61"/>
    </row>
    <row r="499" spans="1:28" s="2" customFormat="1" ht="28.5">
      <c r="A499" s="61" t="s">
        <v>776</v>
      </c>
      <c r="B499" s="61" t="s">
        <v>1028</v>
      </c>
      <c r="C499" s="61" t="s">
        <v>4050</v>
      </c>
      <c r="D499" s="61" t="s">
        <v>7838</v>
      </c>
      <c r="E499" s="61">
        <v>2564</v>
      </c>
      <c r="F499" s="61">
        <v>2603</v>
      </c>
      <c r="G499" s="61">
        <v>2025</v>
      </c>
      <c r="H499" s="61" t="s">
        <v>3129</v>
      </c>
      <c r="I499" s="61" t="s">
        <v>200</v>
      </c>
      <c r="J499" s="61" t="s">
        <v>1838</v>
      </c>
      <c r="K499" s="61" t="s">
        <v>1982</v>
      </c>
      <c r="L499" s="61" t="s">
        <v>8103</v>
      </c>
      <c r="M499" s="475">
        <v>45946</v>
      </c>
      <c r="N499" s="475">
        <v>45946</v>
      </c>
      <c r="O499" s="475">
        <v>45947</v>
      </c>
      <c r="P499" s="475">
        <v>45950</v>
      </c>
      <c r="Q499" s="475">
        <v>45950</v>
      </c>
      <c r="R499" s="61">
        <f t="shared" si="30"/>
        <v>1</v>
      </c>
      <c r="S499" s="61">
        <f t="shared" si="31"/>
        <v>1</v>
      </c>
      <c r="T499" s="61">
        <f t="shared" si="34"/>
        <v>2</v>
      </c>
      <c r="U499" s="61">
        <f t="shared" si="32"/>
        <v>1</v>
      </c>
      <c r="V499" s="61" t="s">
        <v>150</v>
      </c>
      <c r="W499" s="61" t="s">
        <v>3527</v>
      </c>
      <c r="X499" s="61" t="s">
        <v>3528</v>
      </c>
      <c r="Y499" s="61" t="s">
        <v>69</v>
      </c>
      <c r="Z499" s="61" t="s">
        <v>69</v>
      </c>
      <c r="AA499" s="61" t="s">
        <v>330</v>
      </c>
      <c r="AB499" s="61" t="s">
        <v>8104</v>
      </c>
    </row>
    <row r="500" spans="1:28" s="2" customFormat="1" ht="28.5">
      <c r="A500" s="61" t="s">
        <v>776</v>
      </c>
      <c r="B500" s="61" t="s">
        <v>1028</v>
      </c>
      <c r="C500" s="61" t="s">
        <v>1799</v>
      </c>
      <c r="D500" s="61" t="s">
        <v>7838</v>
      </c>
      <c r="E500" s="61">
        <v>1999</v>
      </c>
      <c r="F500" s="61">
        <v>2221</v>
      </c>
      <c r="G500" s="61">
        <v>2025</v>
      </c>
      <c r="H500" s="61" t="s">
        <v>3129</v>
      </c>
      <c r="I500" s="61" t="s">
        <v>8105</v>
      </c>
      <c r="J500" s="61" t="s">
        <v>1838</v>
      </c>
      <c r="K500" s="61" t="s">
        <v>1982</v>
      </c>
      <c r="L500" s="61" t="s">
        <v>8103</v>
      </c>
      <c r="M500" s="475">
        <v>45946</v>
      </c>
      <c r="N500" s="475">
        <v>45946</v>
      </c>
      <c r="O500" s="475">
        <v>45947</v>
      </c>
      <c r="P500" s="475">
        <v>45950</v>
      </c>
      <c r="Q500" s="475">
        <v>45950</v>
      </c>
      <c r="R500" s="61">
        <f t="shared" si="30"/>
        <v>1</v>
      </c>
      <c r="S500" s="61">
        <f t="shared" si="31"/>
        <v>1</v>
      </c>
      <c r="T500" s="61">
        <f t="shared" si="34"/>
        <v>2</v>
      </c>
      <c r="U500" s="61">
        <f t="shared" si="32"/>
        <v>1</v>
      </c>
      <c r="V500" s="61" t="s">
        <v>150</v>
      </c>
      <c r="W500" s="61" t="s">
        <v>3527</v>
      </c>
      <c r="X500" s="61" t="s">
        <v>3528</v>
      </c>
      <c r="Y500" s="61" t="s">
        <v>69</v>
      </c>
      <c r="Z500" s="61" t="s">
        <v>69</v>
      </c>
      <c r="AA500" s="61" t="s">
        <v>330</v>
      </c>
      <c r="AB500" s="61" t="s">
        <v>8104</v>
      </c>
    </row>
    <row r="501" spans="1:28" s="2" customFormat="1" ht="28.5">
      <c r="A501" s="61" t="s">
        <v>776</v>
      </c>
      <c r="B501" s="61" t="s">
        <v>1028</v>
      </c>
      <c r="C501" s="61" t="s">
        <v>4051</v>
      </c>
      <c r="D501" s="61" t="s">
        <v>7838</v>
      </c>
      <c r="E501" s="61">
        <v>4159</v>
      </c>
      <c r="F501" s="61">
        <v>3517</v>
      </c>
      <c r="G501" s="61">
        <v>2025</v>
      </c>
      <c r="H501" s="61" t="s">
        <v>3129</v>
      </c>
      <c r="I501" s="61" t="s">
        <v>200</v>
      </c>
      <c r="J501" s="61" t="s">
        <v>1838</v>
      </c>
      <c r="K501" s="61" t="s">
        <v>1982</v>
      </c>
      <c r="L501" s="61" t="s">
        <v>8103</v>
      </c>
      <c r="M501" s="475">
        <v>45946</v>
      </c>
      <c r="N501" s="475">
        <v>45946</v>
      </c>
      <c r="O501" s="475">
        <v>45947</v>
      </c>
      <c r="P501" s="475">
        <v>45950</v>
      </c>
      <c r="Q501" s="475">
        <v>45950</v>
      </c>
      <c r="R501" s="61">
        <f t="shared" si="30"/>
        <v>1</v>
      </c>
      <c r="S501" s="61">
        <f t="shared" si="31"/>
        <v>1</v>
      </c>
      <c r="T501" s="61">
        <f t="shared" si="34"/>
        <v>2</v>
      </c>
      <c r="U501" s="61">
        <f t="shared" si="32"/>
        <v>1</v>
      </c>
      <c r="V501" s="61" t="s">
        <v>150</v>
      </c>
      <c r="W501" s="61" t="s">
        <v>3527</v>
      </c>
      <c r="X501" s="61" t="s">
        <v>3528</v>
      </c>
      <c r="Y501" s="61" t="s">
        <v>69</v>
      </c>
      <c r="Z501" s="61" t="s">
        <v>69</v>
      </c>
      <c r="AA501" s="61" t="s">
        <v>330</v>
      </c>
      <c r="AB501" s="61" t="s">
        <v>8104</v>
      </c>
    </row>
    <row r="502" spans="1:28" s="2" customFormat="1" ht="28.5">
      <c r="A502" s="61" t="s">
        <v>776</v>
      </c>
      <c r="B502" s="61" t="s">
        <v>1028</v>
      </c>
      <c r="C502" s="61" t="s">
        <v>4057</v>
      </c>
      <c r="D502" s="61" t="s">
        <v>7838</v>
      </c>
      <c r="E502" s="61">
        <v>5770</v>
      </c>
      <c r="F502" s="61">
        <v>6129</v>
      </c>
      <c r="G502" s="61">
        <v>2025</v>
      </c>
      <c r="H502" s="61" t="s">
        <v>3129</v>
      </c>
      <c r="I502" s="61" t="s">
        <v>200</v>
      </c>
      <c r="J502" s="61" t="s">
        <v>1838</v>
      </c>
      <c r="K502" s="61" t="s">
        <v>1982</v>
      </c>
      <c r="L502" s="61" t="s">
        <v>8103</v>
      </c>
      <c r="M502" s="475">
        <v>45946</v>
      </c>
      <c r="N502" s="475">
        <v>45946</v>
      </c>
      <c r="O502" s="475">
        <v>45947</v>
      </c>
      <c r="P502" s="475">
        <v>45950</v>
      </c>
      <c r="Q502" s="475">
        <v>45950</v>
      </c>
      <c r="R502" s="61">
        <f t="shared" si="30"/>
        <v>1</v>
      </c>
      <c r="S502" s="61">
        <f t="shared" si="31"/>
        <v>1</v>
      </c>
      <c r="T502" s="61">
        <f t="shared" si="34"/>
        <v>2</v>
      </c>
      <c r="U502" s="61">
        <f t="shared" si="32"/>
        <v>1</v>
      </c>
      <c r="V502" s="61" t="s">
        <v>150</v>
      </c>
      <c r="W502" s="61" t="s">
        <v>3527</v>
      </c>
      <c r="X502" s="61" t="s">
        <v>3528</v>
      </c>
      <c r="Y502" s="61" t="s">
        <v>69</v>
      </c>
      <c r="Z502" s="61" t="s">
        <v>69</v>
      </c>
      <c r="AA502" s="61" t="s">
        <v>330</v>
      </c>
      <c r="AB502" s="61" t="s">
        <v>8104</v>
      </c>
    </row>
    <row r="503" spans="1:28" s="2" customFormat="1" ht="28.5">
      <c r="A503" s="61" t="s">
        <v>776</v>
      </c>
      <c r="B503" s="61" t="s">
        <v>1028</v>
      </c>
      <c r="C503" s="61" t="s">
        <v>3907</v>
      </c>
      <c r="D503" s="61" t="s">
        <v>7838</v>
      </c>
      <c r="E503" s="61">
        <v>1770</v>
      </c>
      <c r="F503" s="61">
        <v>1960</v>
      </c>
      <c r="G503" s="61">
        <v>2025</v>
      </c>
      <c r="H503" s="61" t="s">
        <v>3129</v>
      </c>
      <c r="I503" s="61" t="s">
        <v>200</v>
      </c>
      <c r="J503" s="61" t="s">
        <v>1838</v>
      </c>
      <c r="K503" s="61" t="s">
        <v>1982</v>
      </c>
      <c r="L503" s="61" t="s">
        <v>8103</v>
      </c>
      <c r="M503" s="475">
        <v>45946</v>
      </c>
      <c r="N503" s="475">
        <v>45946</v>
      </c>
      <c r="O503" s="475">
        <v>45947</v>
      </c>
      <c r="P503" s="475">
        <v>45950</v>
      </c>
      <c r="Q503" s="475">
        <v>45950</v>
      </c>
      <c r="R503" s="61">
        <f t="shared" si="30"/>
        <v>1</v>
      </c>
      <c r="S503" s="61">
        <f t="shared" si="31"/>
        <v>1</v>
      </c>
      <c r="T503" s="61">
        <f t="shared" si="34"/>
        <v>2</v>
      </c>
      <c r="U503" s="61">
        <f t="shared" si="32"/>
        <v>1</v>
      </c>
      <c r="V503" s="61" t="s">
        <v>150</v>
      </c>
      <c r="W503" s="61" t="s">
        <v>3527</v>
      </c>
      <c r="X503" s="61" t="s">
        <v>3528</v>
      </c>
      <c r="Y503" s="61" t="s">
        <v>69</v>
      </c>
      <c r="Z503" s="61" t="s">
        <v>69</v>
      </c>
      <c r="AA503" s="61" t="s">
        <v>330</v>
      </c>
      <c r="AB503" s="61" t="s">
        <v>8104</v>
      </c>
    </row>
    <row r="504" spans="1:28" s="2" customFormat="1" ht="28.5">
      <c r="A504" s="61" t="s">
        <v>776</v>
      </c>
      <c r="B504" s="61" t="s">
        <v>1028</v>
      </c>
      <c r="C504" s="61" t="s">
        <v>4062</v>
      </c>
      <c r="D504" s="61" t="s">
        <v>7838</v>
      </c>
      <c r="E504" s="61">
        <v>12359</v>
      </c>
      <c r="F504" s="61">
        <v>14085</v>
      </c>
      <c r="G504" s="61">
        <v>2025</v>
      </c>
      <c r="H504" s="61" t="s">
        <v>3129</v>
      </c>
      <c r="I504" s="61" t="s">
        <v>200</v>
      </c>
      <c r="J504" s="61" t="s">
        <v>1838</v>
      </c>
      <c r="K504" s="61" t="s">
        <v>1982</v>
      </c>
      <c r="L504" s="61" t="s">
        <v>8103</v>
      </c>
      <c r="M504" s="475">
        <v>45946</v>
      </c>
      <c r="N504" s="475">
        <v>45946</v>
      </c>
      <c r="O504" s="475">
        <v>45947</v>
      </c>
      <c r="P504" s="475">
        <v>45950</v>
      </c>
      <c r="Q504" s="475">
        <v>45950</v>
      </c>
      <c r="R504" s="61">
        <f t="shared" si="30"/>
        <v>1</v>
      </c>
      <c r="S504" s="61">
        <f t="shared" si="31"/>
        <v>1</v>
      </c>
      <c r="T504" s="61">
        <f t="shared" si="34"/>
        <v>2</v>
      </c>
      <c r="U504" s="61">
        <f t="shared" si="32"/>
        <v>1</v>
      </c>
      <c r="V504" s="61" t="s">
        <v>150</v>
      </c>
      <c r="W504" s="61" t="s">
        <v>3527</v>
      </c>
      <c r="X504" s="61" t="s">
        <v>3528</v>
      </c>
      <c r="Y504" s="61" t="s">
        <v>69</v>
      </c>
      <c r="Z504" s="61" t="s">
        <v>69</v>
      </c>
      <c r="AA504" s="61" t="s">
        <v>330</v>
      </c>
      <c r="AB504" s="61" t="s">
        <v>8104</v>
      </c>
    </row>
    <row r="505" spans="1:28" s="2" customFormat="1" ht="28.5">
      <c r="A505" s="61" t="s">
        <v>776</v>
      </c>
      <c r="B505" s="61" t="s">
        <v>1028</v>
      </c>
      <c r="C505" s="61" t="s">
        <v>1831</v>
      </c>
      <c r="D505" s="61" t="s">
        <v>7838</v>
      </c>
      <c r="E505" s="61">
        <v>3444</v>
      </c>
      <c r="F505" s="61">
        <v>4265</v>
      </c>
      <c r="G505" s="61">
        <v>2025</v>
      </c>
      <c r="H505" s="61" t="s">
        <v>3129</v>
      </c>
      <c r="I505" s="61" t="s">
        <v>200</v>
      </c>
      <c r="J505" s="61" t="s">
        <v>1838</v>
      </c>
      <c r="K505" s="61" t="s">
        <v>1982</v>
      </c>
      <c r="L505" s="61" t="s">
        <v>8103</v>
      </c>
      <c r="M505" s="475">
        <v>45946</v>
      </c>
      <c r="N505" s="475">
        <v>45946</v>
      </c>
      <c r="O505" s="475">
        <v>45947</v>
      </c>
      <c r="P505" s="475">
        <v>45950</v>
      </c>
      <c r="Q505" s="475">
        <v>45950</v>
      </c>
      <c r="R505" s="61">
        <f t="shared" si="30"/>
        <v>1</v>
      </c>
      <c r="S505" s="61">
        <f t="shared" si="31"/>
        <v>1</v>
      </c>
      <c r="T505" s="61">
        <f t="shared" si="34"/>
        <v>2</v>
      </c>
      <c r="U505" s="61">
        <f t="shared" si="32"/>
        <v>1</v>
      </c>
      <c r="V505" s="61" t="s">
        <v>150</v>
      </c>
      <c r="W505" s="61" t="s">
        <v>3527</v>
      </c>
      <c r="X505" s="61" t="s">
        <v>3528</v>
      </c>
      <c r="Y505" s="61" t="s">
        <v>69</v>
      </c>
      <c r="Z505" s="61" t="s">
        <v>69</v>
      </c>
      <c r="AA505" s="61" t="s">
        <v>330</v>
      </c>
      <c r="AB505" s="61" t="s">
        <v>8104</v>
      </c>
    </row>
    <row r="506" spans="1:28" s="2" customFormat="1" ht="28.5">
      <c r="A506" s="61" t="s">
        <v>776</v>
      </c>
      <c r="B506" s="61" t="s">
        <v>1028</v>
      </c>
      <c r="C506" s="61" t="s">
        <v>4063</v>
      </c>
      <c r="D506" s="61" t="s">
        <v>7838</v>
      </c>
      <c r="E506" s="61">
        <v>4109</v>
      </c>
      <c r="F506" s="61">
        <v>4280</v>
      </c>
      <c r="G506" s="61">
        <v>2025</v>
      </c>
      <c r="H506" s="61" t="s">
        <v>3129</v>
      </c>
      <c r="I506" s="61" t="s">
        <v>200</v>
      </c>
      <c r="J506" s="61" t="s">
        <v>1838</v>
      </c>
      <c r="K506" s="61" t="s">
        <v>1982</v>
      </c>
      <c r="L506" s="61" t="s">
        <v>8103</v>
      </c>
      <c r="M506" s="475">
        <v>45946</v>
      </c>
      <c r="N506" s="475">
        <v>45946</v>
      </c>
      <c r="O506" s="475">
        <v>45947</v>
      </c>
      <c r="P506" s="475">
        <v>45950</v>
      </c>
      <c r="Q506" s="475">
        <v>45950</v>
      </c>
      <c r="R506" s="61">
        <f t="shared" si="30"/>
        <v>1</v>
      </c>
      <c r="S506" s="61">
        <f t="shared" si="31"/>
        <v>1</v>
      </c>
      <c r="T506" s="61">
        <f t="shared" si="34"/>
        <v>2</v>
      </c>
      <c r="U506" s="61">
        <f t="shared" si="32"/>
        <v>1</v>
      </c>
      <c r="V506" s="61" t="s">
        <v>150</v>
      </c>
      <c r="W506" s="61" t="s">
        <v>3527</v>
      </c>
      <c r="X506" s="61" t="s">
        <v>3528</v>
      </c>
      <c r="Y506" s="61" t="s">
        <v>69</v>
      </c>
      <c r="Z506" s="61" t="s">
        <v>69</v>
      </c>
      <c r="AA506" s="61" t="s">
        <v>330</v>
      </c>
      <c r="AB506" s="61" t="s">
        <v>8104</v>
      </c>
    </row>
    <row r="507" spans="1:28" s="2" customFormat="1" ht="28.5">
      <c r="A507" s="61" t="s">
        <v>776</v>
      </c>
      <c r="B507" s="61" t="s">
        <v>1028</v>
      </c>
      <c r="C507" s="61" t="s">
        <v>4064</v>
      </c>
      <c r="D507" s="61" t="s">
        <v>7838</v>
      </c>
      <c r="E507" s="61">
        <v>2971</v>
      </c>
      <c r="F507" s="61">
        <v>2925</v>
      </c>
      <c r="G507" s="61">
        <v>2025</v>
      </c>
      <c r="H507" s="61" t="s">
        <v>3129</v>
      </c>
      <c r="I507" s="61" t="s">
        <v>200</v>
      </c>
      <c r="J507" s="61" t="s">
        <v>1838</v>
      </c>
      <c r="K507" s="61" t="s">
        <v>1982</v>
      </c>
      <c r="L507" s="61" t="s">
        <v>8103</v>
      </c>
      <c r="M507" s="475">
        <v>45946</v>
      </c>
      <c r="N507" s="475">
        <v>45946</v>
      </c>
      <c r="O507" s="475">
        <v>45947</v>
      </c>
      <c r="P507" s="475">
        <v>45950</v>
      </c>
      <c r="Q507" s="475">
        <v>45950</v>
      </c>
      <c r="R507" s="61">
        <f t="shared" si="30"/>
        <v>1</v>
      </c>
      <c r="S507" s="61">
        <f t="shared" si="31"/>
        <v>1</v>
      </c>
      <c r="T507" s="61">
        <f t="shared" si="34"/>
        <v>2</v>
      </c>
      <c r="U507" s="61">
        <f t="shared" si="32"/>
        <v>1</v>
      </c>
      <c r="V507" s="61" t="s">
        <v>150</v>
      </c>
      <c r="W507" s="61" t="s">
        <v>3527</v>
      </c>
      <c r="X507" s="61" t="s">
        <v>3528</v>
      </c>
      <c r="Y507" s="61" t="s">
        <v>69</v>
      </c>
      <c r="Z507" s="61" t="s">
        <v>69</v>
      </c>
      <c r="AA507" s="61" t="s">
        <v>330</v>
      </c>
      <c r="AB507" s="61" t="s">
        <v>8104</v>
      </c>
    </row>
    <row r="508" spans="1:28" s="2" customFormat="1" ht="28.5">
      <c r="A508" s="61" t="s">
        <v>776</v>
      </c>
      <c r="B508" s="61" t="s">
        <v>1028</v>
      </c>
      <c r="C508" s="61" t="s">
        <v>4067</v>
      </c>
      <c r="D508" s="61" t="s">
        <v>7838</v>
      </c>
      <c r="E508" s="61">
        <v>2501</v>
      </c>
      <c r="F508" s="61">
        <v>1752</v>
      </c>
      <c r="G508" s="61">
        <v>2025</v>
      </c>
      <c r="H508" s="61" t="s">
        <v>3129</v>
      </c>
      <c r="I508" s="61" t="s">
        <v>200</v>
      </c>
      <c r="J508" s="61" t="s">
        <v>1838</v>
      </c>
      <c r="K508" s="61" t="s">
        <v>1982</v>
      </c>
      <c r="L508" s="61" t="s">
        <v>8103</v>
      </c>
      <c r="M508" s="475">
        <v>45946</v>
      </c>
      <c r="N508" s="475">
        <v>45946</v>
      </c>
      <c r="O508" s="475">
        <v>45947</v>
      </c>
      <c r="P508" s="475">
        <v>45950</v>
      </c>
      <c r="Q508" s="475">
        <v>45950</v>
      </c>
      <c r="R508" s="61">
        <f t="shared" si="30"/>
        <v>1</v>
      </c>
      <c r="S508" s="61">
        <f t="shared" si="31"/>
        <v>1</v>
      </c>
      <c r="T508" s="61">
        <f t="shared" si="34"/>
        <v>2</v>
      </c>
      <c r="U508" s="61">
        <f t="shared" si="32"/>
        <v>1</v>
      </c>
      <c r="V508" s="61" t="s">
        <v>150</v>
      </c>
      <c r="W508" s="61" t="s">
        <v>3527</v>
      </c>
      <c r="X508" s="61" t="s">
        <v>3528</v>
      </c>
      <c r="Y508" s="61" t="s">
        <v>69</v>
      </c>
      <c r="Z508" s="61" t="s">
        <v>69</v>
      </c>
      <c r="AA508" s="61" t="s">
        <v>330</v>
      </c>
      <c r="AB508" s="61" t="s">
        <v>8104</v>
      </c>
    </row>
    <row r="509" spans="1:28" s="2" customFormat="1" ht="28.5">
      <c r="A509" s="61" t="s">
        <v>776</v>
      </c>
      <c r="B509" s="61" t="s">
        <v>1028</v>
      </c>
      <c r="C509" s="61" t="s">
        <v>4068</v>
      </c>
      <c r="D509" s="61" t="s">
        <v>7838</v>
      </c>
      <c r="E509" s="61">
        <v>4336</v>
      </c>
      <c r="F509" s="61">
        <v>4663</v>
      </c>
      <c r="G509" s="61">
        <v>2025</v>
      </c>
      <c r="H509" s="61" t="s">
        <v>3129</v>
      </c>
      <c r="I509" s="61" t="s">
        <v>200</v>
      </c>
      <c r="J509" s="61" t="s">
        <v>1838</v>
      </c>
      <c r="K509" s="61" t="s">
        <v>1982</v>
      </c>
      <c r="L509" s="61" t="s">
        <v>8103</v>
      </c>
      <c r="M509" s="475">
        <v>45946</v>
      </c>
      <c r="N509" s="475">
        <v>45946</v>
      </c>
      <c r="O509" s="475">
        <v>45947</v>
      </c>
      <c r="P509" s="475">
        <v>45950</v>
      </c>
      <c r="Q509" s="475">
        <v>45950</v>
      </c>
      <c r="R509" s="61">
        <f t="shared" si="30"/>
        <v>1</v>
      </c>
      <c r="S509" s="61">
        <f t="shared" si="31"/>
        <v>1</v>
      </c>
      <c r="T509" s="61">
        <f t="shared" si="34"/>
        <v>2</v>
      </c>
      <c r="U509" s="61">
        <f t="shared" si="32"/>
        <v>1</v>
      </c>
      <c r="V509" s="61" t="s">
        <v>150</v>
      </c>
      <c r="W509" s="61" t="s">
        <v>3527</v>
      </c>
      <c r="X509" s="61" t="s">
        <v>3528</v>
      </c>
      <c r="Y509" s="61" t="s">
        <v>69</v>
      </c>
      <c r="Z509" s="61" t="s">
        <v>69</v>
      </c>
      <c r="AA509" s="61" t="s">
        <v>330</v>
      </c>
      <c r="AB509" s="61" t="s">
        <v>8104</v>
      </c>
    </row>
    <row r="510" spans="1:28" s="2" customFormat="1" ht="28.5">
      <c r="A510" s="61" t="s">
        <v>776</v>
      </c>
      <c r="B510" s="61" t="s">
        <v>1028</v>
      </c>
      <c r="C510" s="61" t="s">
        <v>4070</v>
      </c>
      <c r="D510" s="61" t="s">
        <v>7838</v>
      </c>
      <c r="E510" s="61">
        <v>8347</v>
      </c>
      <c r="F510" s="61">
        <v>9528</v>
      </c>
      <c r="G510" s="61">
        <v>2025</v>
      </c>
      <c r="H510" s="61" t="s">
        <v>3129</v>
      </c>
      <c r="I510" s="61" t="s">
        <v>200</v>
      </c>
      <c r="J510" s="61" t="s">
        <v>1838</v>
      </c>
      <c r="K510" s="61" t="s">
        <v>1982</v>
      </c>
      <c r="L510" s="61" t="s">
        <v>8103</v>
      </c>
      <c r="M510" s="475">
        <v>45946</v>
      </c>
      <c r="N510" s="475">
        <v>45946</v>
      </c>
      <c r="O510" s="475">
        <v>45947</v>
      </c>
      <c r="P510" s="475">
        <v>45950</v>
      </c>
      <c r="Q510" s="475">
        <v>45950</v>
      </c>
      <c r="R510" s="61">
        <f t="shared" si="30"/>
        <v>1</v>
      </c>
      <c r="S510" s="61">
        <f t="shared" si="31"/>
        <v>1</v>
      </c>
      <c r="T510" s="61">
        <f t="shared" si="34"/>
        <v>2</v>
      </c>
      <c r="U510" s="61">
        <f t="shared" si="32"/>
        <v>1</v>
      </c>
      <c r="V510" s="61" t="s">
        <v>150</v>
      </c>
      <c r="W510" s="61" t="s">
        <v>3527</v>
      </c>
      <c r="X510" s="61" t="s">
        <v>3528</v>
      </c>
      <c r="Y510" s="61" t="s">
        <v>69</v>
      </c>
      <c r="Z510" s="61" t="s">
        <v>69</v>
      </c>
      <c r="AA510" s="61" t="s">
        <v>330</v>
      </c>
      <c r="AB510" s="61" t="s">
        <v>8104</v>
      </c>
    </row>
    <row r="511" spans="1:28" s="2" customFormat="1" ht="28.5">
      <c r="A511" s="61" t="s">
        <v>776</v>
      </c>
      <c r="B511" s="61" t="s">
        <v>1028</v>
      </c>
      <c r="C511" s="61" t="s">
        <v>858</v>
      </c>
      <c r="D511" s="61" t="s">
        <v>7838</v>
      </c>
      <c r="E511" s="61">
        <v>5437</v>
      </c>
      <c r="F511" s="61">
        <v>5661</v>
      </c>
      <c r="G511" s="61">
        <v>2025</v>
      </c>
      <c r="H511" s="61" t="s">
        <v>3129</v>
      </c>
      <c r="I511" s="61" t="s">
        <v>200</v>
      </c>
      <c r="J511" s="61" t="s">
        <v>1838</v>
      </c>
      <c r="K511" s="61" t="s">
        <v>1982</v>
      </c>
      <c r="L511" s="61" t="s">
        <v>8103</v>
      </c>
      <c r="M511" s="475">
        <v>45946</v>
      </c>
      <c r="N511" s="475">
        <v>45946</v>
      </c>
      <c r="O511" s="475">
        <v>45947</v>
      </c>
      <c r="P511" s="475">
        <v>45950</v>
      </c>
      <c r="Q511" s="475">
        <v>45950</v>
      </c>
      <c r="R511" s="61">
        <f t="shared" si="30"/>
        <v>1</v>
      </c>
      <c r="S511" s="61">
        <f t="shared" si="31"/>
        <v>1</v>
      </c>
      <c r="T511" s="61">
        <f t="shared" si="34"/>
        <v>2</v>
      </c>
      <c r="U511" s="61">
        <f t="shared" si="32"/>
        <v>1</v>
      </c>
      <c r="V511" s="61" t="s">
        <v>150</v>
      </c>
      <c r="W511" s="61" t="s">
        <v>3527</v>
      </c>
      <c r="X511" s="61" t="s">
        <v>3528</v>
      </c>
      <c r="Y511" s="61" t="s">
        <v>69</v>
      </c>
      <c r="Z511" s="61" t="s">
        <v>69</v>
      </c>
      <c r="AA511" s="61" t="s">
        <v>330</v>
      </c>
      <c r="AB511" s="61" t="s">
        <v>8104</v>
      </c>
    </row>
    <row r="512" spans="1:28" s="2" customFormat="1" ht="28.5">
      <c r="A512" s="61" t="s">
        <v>776</v>
      </c>
      <c r="B512" s="61" t="s">
        <v>1028</v>
      </c>
      <c r="C512" s="61" t="s">
        <v>1151</v>
      </c>
      <c r="D512" s="61" t="s">
        <v>7838</v>
      </c>
      <c r="E512" s="61">
        <v>4998</v>
      </c>
      <c r="F512" s="61">
        <v>6005</v>
      </c>
      <c r="G512" s="61">
        <v>2025</v>
      </c>
      <c r="H512" s="61" t="s">
        <v>3129</v>
      </c>
      <c r="I512" s="61" t="s">
        <v>200</v>
      </c>
      <c r="J512" s="61" t="s">
        <v>1838</v>
      </c>
      <c r="K512" s="61" t="s">
        <v>1982</v>
      </c>
      <c r="L512" s="61" t="s">
        <v>8103</v>
      </c>
      <c r="M512" s="475">
        <v>45946</v>
      </c>
      <c r="N512" s="475">
        <v>45946</v>
      </c>
      <c r="O512" s="475">
        <v>45947</v>
      </c>
      <c r="P512" s="475">
        <v>45950</v>
      </c>
      <c r="Q512" s="475">
        <v>45950</v>
      </c>
      <c r="R512" s="61">
        <f t="shared" si="30"/>
        <v>1</v>
      </c>
      <c r="S512" s="61">
        <f t="shared" si="31"/>
        <v>1</v>
      </c>
      <c r="T512" s="61">
        <f t="shared" si="34"/>
        <v>2</v>
      </c>
      <c r="U512" s="61">
        <f t="shared" si="32"/>
        <v>1</v>
      </c>
      <c r="V512" s="61" t="s">
        <v>150</v>
      </c>
      <c r="W512" s="61" t="s">
        <v>3527</v>
      </c>
      <c r="X512" s="61" t="s">
        <v>3528</v>
      </c>
      <c r="Y512" s="61" t="s">
        <v>69</v>
      </c>
      <c r="Z512" s="61" t="s">
        <v>69</v>
      </c>
      <c r="AA512" s="61" t="s">
        <v>330</v>
      </c>
      <c r="AB512" s="61" t="s">
        <v>8104</v>
      </c>
    </row>
    <row r="513" spans="1:28" s="2" customFormat="1" ht="28.5">
      <c r="A513" s="61" t="s">
        <v>776</v>
      </c>
      <c r="B513" s="61" t="s">
        <v>1028</v>
      </c>
      <c r="C513" s="61" t="s">
        <v>3565</v>
      </c>
      <c r="D513" s="61" t="s">
        <v>7838</v>
      </c>
      <c r="E513" s="61">
        <v>2206</v>
      </c>
      <c r="F513" s="61">
        <v>2460</v>
      </c>
      <c r="G513" s="61">
        <v>2025</v>
      </c>
      <c r="H513" s="61" t="s">
        <v>3129</v>
      </c>
      <c r="I513" s="61" t="s">
        <v>200</v>
      </c>
      <c r="J513" s="61" t="s">
        <v>1838</v>
      </c>
      <c r="K513" s="61" t="s">
        <v>1982</v>
      </c>
      <c r="L513" s="61" t="s">
        <v>8103</v>
      </c>
      <c r="M513" s="475">
        <v>45946</v>
      </c>
      <c r="N513" s="475">
        <v>45946</v>
      </c>
      <c r="O513" s="475">
        <v>45947</v>
      </c>
      <c r="P513" s="475">
        <v>45950</v>
      </c>
      <c r="Q513" s="475">
        <v>45950</v>
      </c>
      <c r="R513" s="61">
        <f t="shared" si="30"/>
        <v>1</v>
      </c>
      <c r="S513" s="61">
        <f t="shared" si="31"/>
        <v>1</v>
      </c>
      <c r="T513" s="61">
        <f t="shared" si="34"/>
        <v>2</v>
      </c>
      <c r="U513" s="61">
        <f t="shared" si="32"/>
        <v>1</v>
      </c>
      <c r="V513" s="61" t="s">
        <v>150</v>
      </c>
      <c r="W513" s="61" t="s">
        <v>3527</v>
      </c>
      <c r="X513" s="61" t="s">
        <v>3528</v>
      </c>
      <c r="Y513" s="61" t="s">
        <v>69</v>
      </c>
      <c r="Z513" s="61" t="s">
        <v>69</v>
      </c>
      <c r="AA513" s="61" t="s">
        <v>330</v>
      </c>
      <c r="AB513" s="61" t="s">
        <v>8104</v>
      </c>
    </row>
    <row r="514" spans="1:28" s="2" customFormat="1" ht="28.5">
      <c r="A514" s="61" t="s">
        <v>776</v>
      </c>
      <c r="B514" s="61" t="s">
        <v>1028</v>
      </c>
      <c r="C514" s="61" t="s">
        <v>3727</v>
      </c>
      <c r="D514" s="61" t="s">
        <v>7838</v>
      </c>
      <c r="E514" s="61">
        <v>1955</v>
      </c>
      <c r="F514" s="61">
        <v>2544</v>
      </c>
      <c r="G514" s="61">
        <v>2025</v>
      </c>
      <c r="H514" s="61" t="s">
        <v>3129</v>
      </c>
      <c r="I514" s="61" t="s">
        <v>200</v>
      </c>
      <c r="J514" s="61" t="s">
        <v>1838</v>
      </c>
      <c r="K514" s="61" t="s">
        <v>1982</v>
      </c>
      <c r="L514" s="61" t="s">
        <v>8103</v>
      </c>
      <c r="M514" s="475">
        <v>45946</v>
      </c>
      <c r="N514" s="475">
        <v>45946</v>
      </c>
      <c r="O514" s="475">
        <v>45947</v>
      </c>
      <c r="P514" s="475">
        <v>45950</v>
      </c>
      <c r="Q514" s="475">
        <v>45950</v>
      </c>
      <c r="R514" s="61">
        <f t="shared" ref="R514:R577" si="35">IF(
    OR(ISBLANK(M514), ISBLANK(N514)),
    "",
    MAX(1, IF(
        NETWORKDAYS(M514, N514) &lt;= 0,
        1,
        NETWORKDAYS(M514, N514) - IF(M514 = N514, 0, 1)
    ))
)</f>
        <v>1</v>
      </c>
      <c r="S514" s="61">
        <f t="shared" ref="S514:S577" si="36">IF(
    OR(ISBLANK(N514), ISBLANK(O514)),
    "",
    MAX(1, IF(
        NETWORKDAYS(N514, O514) &lt;= 0,
        1,
        NETWORKDAYS(N514, O514) - IF(N514 = O514, 0, 1)
    ))
)</f>
        <v>1</v>
      </c>
      <c r="T514" s="61">
        <f t="shared" si="34"/>
        <v>2</v>
      </c>
      <c r="U514" s="61">
        <f t="shared" ref="U514:U577" si="37">IF(
    OR(ISBLANK(P514), ISBLANK(Q514)),
    "",
    MAX(1, IF(
        NETWORKDAYS(P514, Q514) &lt;= 0,
        1,
        NETWORKDAYS(P514, Q514) - IF(P514 = Q514, 0, 1)
    ))
)</f>
        <v>1</v>
      </c>
      <c r="V514" s="61" t="s">
        <v>150</v>
      </c>
      <c r="W514" s="61" t="s">
        <v>3527</v>
      </c>
      <c r="X514" s="61" t="s">
        <v>3528</v>
      </c>
      <c r="Y514" s="61" t="s">
        <v>69</v>
      </c>
      <c r="Z514" s="61" t="s">
        <v>69</v>
      </c>
      <c r="AA514" s="61" t="s">
        <v>330</v>
      </c>
      <c r="AB514" s="61" t="s">
        <v>8104</v>
      </c>
    </row>
    <row r="515" spans="1:28" s="2" customFormat="1" ht="28.5">
      <c r="A515" s="61" t="s">
        <v>776</v>
      </c>
      <c r="B515" s="61" t="s">
        <v>1028</v>
      </c>
      <c r="C515" s="61" t="s">
        <v>2128</v>
      </c>
      <c r="D515" s="61" t="s">
        <v>7838</v>
      </c>
      <c r="E515" s="61">
        <v>2762</v>
      </c>
      <c r="F515" s="61">
        <v>3140</v>
      </c>
      <c r="G515" s="61">
        <v>2025</v>
      </c>
      <c r="H515" s="61" t="s">
        <v>3129</v>
      </c>
      <c r="I515" s="61" t="s">
        <v>200</v>
      </c>
      <c r="J515" s="61" t="s">
        <v>1838</v>
      </c>
      <c r="K515" s="61" t="s">
        <v>1982</v>
      </c>
      <c r="L515" s="61" t="s">
        <v>8103</v>
      </c>
      <c r="M515" s="475">
        <v>45946</v>
      </c>
      <c r="N515" s="475">
        <v>45946</v>
      </c>
      <c r="O515" s="475">
        <v>45947</v>
      </c>
      <c r="P515" s="475">
        <v>45950</v>
      </c>
      <c r="Q515" s="475">
        <v>45950</v>
      </c>
      <c r="R515" s="61">
        <f t="shared" si="35"/>
        <v>1</v>
      </c>
      <c r="S515" s="61">
        <f t="shared" si="36"/>
        <v>1</v>
      </c>
      <c r="T515" s="61">
        <f t="shared" si="34"/>
        <v>2</v>
      </c>
      <c r="U515" s="61">
        <f t="shared" si="37"/>
        <v>1</v>
      </c>
      <c r="V515" s="61" t="s">
        <v>150</v>
      </c>
      <c r="W515" s="61" t="s">
        <v>3527</v>
      </c>
      <c r="X515" s="61" t="s">
        <v>3528</v>
      </c>
      <c r="Y515" s="61" t="s">
        <v>69</v>
      </c>
      <c r="Z515" s="61" t="s">
        <v>69</v>
      </c>
      <c r="AA515" s="61" t="s">
        <v>330</v>
      </c>
      <c r="AB515" s="61" t="s">
        <v>8104</v>
      </c>
    </row>
    <row r="516" spans="1:28" s="2" customFormat="1" ht="28.5">
      <c r="A516" s="61" t="s">
        <v>776</v>
      </c>
      <c r="B516" s="61" t="s">
        <v>1028</v>
      </c>
      <c r="C516" s="61" t="s">
        <v>4075</v>
      </c>
      <c r="D516" s="61" t="s">
        <v>7838</v>
      </c>
      <c r="E516" s="61">
        <v>1967</v>
      </c>
      <c r="F516" s="61">
        <v>1727</v>
      </c>
      <c r="G516" s="61">
        <v>2025</v>
      </c>
      <c r="H516" s="61" t="s">
        <v>3129</v>
      </c>
      <c r="I516" s="61" t="s">
        <v>200</v>
      </c>
      <c r="J516" s="61" t="s">
        <v>1838</v>
      </c>
      <c r="K516" s="61" t="s">
        <v>1982</v>
      </c>
      <c r="L516" s="61" t="s">
        <v>8103</v>
      </c>
      <c r="M516" s="475">
        <v>45946</v>
      </c>
      <c r="N516" s="475">
        <v>45946</v>
      </c>
      <c r="O516" s="475">
        <v>45947</v>
      </c>
      <c r="P516" s="475">
        <v>45950</v>
      </c>
      <c r="Q516" s="475">
        <v>45950</v>
      </c>
      <c r="R516" s="61">
        <f t="shared" si="35"/>
        <v>1</v>
      </c>
      <c r="S516" s="61">
        <f t="shared" si="36"/>
        <v>1</v>
      </c>
      <c r="T516" s="61">
        <f t="shared" si="34"/>
        <v>2</v>
      </c>
      <c r="U516" s="61">
        <f t="shared" si="37"/>
        <v>1</v>
      </c>
      <c r="V516" s="61" t="s">
        <v>150</v>
      </c>
      <c r="W516" s="61" t="s">
        <v>3527</v>
      </c>
      <c r="X516" s="61" t="s">
        <v>3528</v>
      </c>
      <c r="Y516" s="61" t="s">
        <v>69</v>
      </c>
      <c r="Z516" s="61" t="s">
        <v>69</v>
      </c>
      <c r="AA516" s="61" t="s">
        <v>330</v>
      </c>
      <c r="AB516" s="61" t="s">
        <v>8104</v>
      </c>
    </row>
    <row r="517" spans="1:28" s="2" customFormat="1" ht="28.5">
      <c r="A517" s="61" t="s">
        <v>776</v>
      </c>
      <c r="B517" s="61" t="s">
        <v>1028</v>
      </c>
      <c r="C517" s="61" t="s">
        <v>4076</v>
      </c>
      <c r="D517" s="61" t="s">
        <v>7838</v>
      </c>
      <c r="E517" s="61">
        <v>1444</v>
      </c>
      <c r="F517" s="61">
        <v>1059</v>
      </c>
      <c r="G517" s="61">
        <v>2025</v>
      </c>
      <c r="H517" s="61" t="s">
        <v>3129</v>
      </c>
      <c r="I517" s="61" t="s">
        <v>200</v>
      </c>
      <c r="J517" s="61" t="s">
        <v>1838</v>
      </c>
      <c r="K517" s="61" t="s">
        <v>1982</v>
      </c>
      <c r="L517" s="61" t="s">
        <v>8103</v>
      </c>
      <c r="M517" s="475">
        <v>45946</v>
      </c>
      <c r="N517" s="475">
        <v>45946</v>
      </c>
      <c r="O517" s="475">
        <v>45947</v>
      </c>
      <c r="P517" s="475">
        <v>45950</v>
      </c>
      <c r="Q517" s="475">
        <v>45950</v>
      </c>
      <c r="R517" s="61">
        <f t="shared" si="35"/>
        <v>1</v>
      </c>
      <c r="S517" s="61">
        <f t="shared" si="36"/>
        <v>1</v>
      </c>
      <c r="T517" s="61">
        <f t="shared" si="34"/>
        <v>2</v>
      </c>
      <c r="U517" s="61">
        <f t="shared" si="37"/>
        <v>1</v>
      </c>
      <c r="V517" s="61" t="s">
        <v>150</v>
      </c>
      <c r="W517" s="61" t="s">
        <v>3527</v>
      </c>
      <c r="X517" s="61" t="s">
        <v>3528</v>
      </c>
      <c r="Y517" s="61" t="s">
        <v>69</v>
      </c>
      <c r="Z517" s="61" t="s">
        <v>69</v>
      </c>
      <c r="AA517" s="61" t="s">
        <v>330</v>
      </c>
      <c r="AB517" s="61" t="s">
        <v>8104</v>
      </c>
    </row>
    <row r="518" spans="1:28" s="2" customFormat="1" ht="15">
      <c r="A518" s="61" t="s">
        <v>776</v>
      </c>
      <c r="B518" s="61" t="s">
        <v>4078</v>
      </c>
      <c r="C518" s="61" t="s">
        <v>1083</v>
      </c>
      <c r="D518" s="61" t="s">
        <v>7838</v>
      </c>
      <c r="E518" s="61">
        <v>6899</v>
      </c>
      <c r="F518" s="61">
        <v>7348</v>
      </c>
      <c r="G518" s="61">
        <v>2025</v>
      </c>
      <c r="H518" s="61" t="s">
        <v>3470</v>
      </c>
      <c r="I518" s="61" t="s">
        <v>200</v>
      </c>
      <c r="J518" s="61"/>
      <c r="K518" s="61" t="s">
        <v>1982</v>
      </c>
      <c r="L518" s="61" t="s">
        <v>8106</v>
      </c>
      <c r="M518" s="475">
        <v>45751</v>
      </c>
      <c r="N518" s="475">
        <v>45752</v>
      </c>
      <c r="O518" s="61"/>
      <c r="P518" s="475">
        <v>45757</v>
      </c>
      <c r="Q518" s="475">
        <v>45758</v>
      </c>
      <c r="R518" s="61">
        <f t="shared" si="35"/>
        <v>1</v>
      </c>
      <c r="S518" s="61" t="str">
        <f t="shared" si="36"/>
        <v/>
      </c>
      <c r="T518" s="61">
        <f t="shared" si="34"/>
        <v>3</v>
      </c>
      <c r="U518" s="61">
        <f t="shared" si="37"/>
        <v>1</v>
      </c>
      <c r="V518" s="61" t="s">
        <v>150</v>
      </c>
      <c r="W518" s="61" t="s">
        <v>4</v>
      </c>
      <c r="X518" s="61" t="s">
        <v>50</v>
      </c>
      <c r="Y518" s="61" t="s">
        <v>8107</v>
      </c>
      <c r="Z518" s="61"/>
      <c r="AA518" s="61" t="s">
        <v>8108</v>
      </c>
      <c r="AB518" s="61"/>
    </row>
    <row r="519" spans="1:28" s="2" customFormat="1" ht="15">
      <c r="A519" s="61" t="s">
        <v>776</v>
      </c>
      <c r="B519" s="61" t="s">
        <v>4078</v>
      </c>
      <c r="C519" s="61" t="s">
        <v>4099</v>
      </c>
      <c r="D519" s="61" t="s">
        <v>7838</v>
      </c>
      <c r="E519" s="61">
        <v>2382</v>
      </c>
      <c r="F519" s="61">
        <v>2248</v>
      </c>
      <c r="G519" s="61">
        <v>2025</v>
      </c>
      <c r="H519" s="61" t="s">
        <v>3126</v>
      </c>
      <c r="I519" s="61" t="s">
        <v>200</v>
      </c>
      <c r="J519" s="61"/>
      <c r="K519" s="61" t="s">
        <v>1982</v>
      </c>
      <c r="L519" s="61" t="s">
        <v>8109</v>
      </c>
      <c r="M519" s="475">
        <v>45855</v>
      </c>
      <c r="N519" s="475">
        <v>45859</v>
      </c>
      <c r="O519" s="475"/>
      <c r="P519" s="475">
        <v>45859</v>
      </c>
      <c r="Q519" s="475">
        <v>45869</v>
      </c>
      <c r="R519" s="61">
        <f t="shared" si="35"/>
        <v>2</v>
      </c>
      <c r="S519" s="61" t="str">
        <f t="shared" si="36"/>
        <v/>
      </c>
      <c r="T519" s="61">
        <f t="shared" si="34"/>
        <v>1</v>
      </c>
      <c r="U519" s="61">
        <f t="shared" si="37"/>
        <v>8</v>
      </c>
      <c r="V519" s="61" t="s">
        <v>150</v>
      </c>
      <c r="W519" s="61" t="s">
        <v>4</v>
      </c>
      <c r="X519" s="61" t="s">
        <v>50</v>
      </c>
      <c r="Y519" s="61" t="s">
        <v>8110</v>
      </c>
      <c r="Z519" s="61" t="s">
        <v>8111</v>
      </c>
      <c r="AA519" s="61"/>
      <c r="AB519" s="61"/>
    </row>
    <row r="520" spans="1:28" s="2" customFormat="1" ht="15">
      <c r="A520" s="61" t="s">
        <v>776</v>
      </c>
      <c r="B520" s="61" t="s">
        <v>4078</v>
      </c>
      <c r="C520" s="61" t="s">
        <v>4116</v>
      </c>
      <c r="D520" s="61" t="s">
        <v>7838</v>
      </c>
      <c r="E520" s="61">
        <v>6516</v>
      </c>
      <c r="F520" s="61">
        <v>6649</v>
      </c>
      <c r="G520" s="61">
        <v>2025</v>
      </c>
      <c r="H520" s="61" t="s">
        <v>3126</v>
      </c>
      <c r="I520" s="61" t="s">
        <v>200</v>
      </c>
      <c r="J520" s="61"/>
      <c r="K520" s="61" t="s">
        <v>1982</v>
      </c>
      <c r="L520" s="61" t="s">
        <v>8112</v>
      </c>
      <c r="M520" s="475">
        <v>45882</v>
      </c>
      <c r="N520" s="475">
        <v>45887</v>
      </c>
      <c r="O520" s="61"/>
      <c r="P520" s="475">
        <v>45888</v>
      </c>
      <c r="Q520" s="475">
        <v>45888</v>
      </c>
      <c r="R520" s="61">
        <f t="shared" si="35"/>
        <v>3</v>
      </c>
      <c r="S520" s="61" t="str">
        <f t="shared" si="36"/>
        <v/>
      </c>
      <c r="T520" s="61">
        <f t="shared" si="34"/>
        <v>1</v>
      </c>
      <c r="U520" s="61">
        <f t="shared" si="37"/>
        <v>1</v>
      </c>
      <c r="V520" s="61" t="s">
        <v>150</v>
      </c>
      <c r="W520" s="61" t="s">
        <v>4</v>
      </c>
      <c r="X520" s="61" t="s">
        <v>50</v>
      </c>
      <c r="Y520" s="61">
        <v>14.811299999999999</v>
      </c>
      <c r="Z520" s="61">
        <v>120.83920000000001</v>
      </c>
      <c r="AA520" s="61"/>
      <c r="AB520" s="61"/>
    </row>
    <row r="521" spans="1:28" s="2" customFormat="1" ht="15">
      <c r="A521" s="61" t="s">
        <v>776</v>
      </c>
      <c r="B521" s="61" t="s">
        <v>4078</v>
      </c>
      <c r="C521" s="61" t="s">
        <v>4081</v>
      </c>
      <c r="D521" s="61" t="s">
        <v>7838</v>
      </c>
      <c r="E521" s="61">
        <v>3078</v>
      </c>
      <c r="F521" s="61">
        <v>3013</v>
      </c>
      <c r="G521" s="61">
        <v>2025</v>
      </c>
      <c r="H521" s="61" t="s">
        <v>3458</v>
      </c>
      <c r="I521" s="61" t="s">
        <v>200</v>
      </c>
      <c r="J521" s="61" t="s">
        <v>328</v>
      </c>
      <c r="K521" s="61" t="s">
        <v>1982</v>
      </c>
      <c r="L521" s="61" t="s">
        <v>8113</v>
      </c>
      <c r="M521" s="475">
        <v>45692</v>
      </c>
      <c r="N521" s="475">
        <v>45695</v>
      </c>
      <c r="O521" s="475">
        <v>45696</v>
      </c>
      <c r="P521" s="475">
        <v>45699</v>
      </c>
      <c r="Q521" s="475">
        <v>45701</v>
      </c>
      <c r="R521" s="61">
        <f t="shared" si="35"/>
        <v>3</v>
      </c>
      <c r="S521" s="61">
        <f t="shared" si="36"/>
        <v>1</v>
      </c>
      <c r="T521" s="61">
        <f t="shared" si="34"/>
        <v>2</v>
      </c>
      <c r="U521" s="61">
        <f t="shared" si="37"/>
        <v>2</v>
      </c>
      <c r="V521" s="61" t="s">
        <v>150</v>
      </c>
      <c r="W521" s="61" t="s">
        <v>1078</v>
      </c>
      <c r="X521" s="61" t="s">
        <v>50</v>
      </c>
      <c r="Y521" s="61"/>
      <c r="Z521" s="61"/>
      <c r="AA521" s="61" t="s">
        <v>8108</v>
      </c>
      <c r="AB521" s="61"/>
    </row>
    <row r="522" spans="1:28" s="2" customFormat="1" ht="15">
      <c r="A522" s="61" t="s">
        <v>776</v>
      </c>
      <c r="B522" s="61" t="s">
        <v>4078</v>
      </c>
      <c r="C522" s="61" t="s">
        <v>4083</v>
      </c>
      <c r="D522" s="61" t="s">
        <v>7838</v>
      </c>
      <c r="E522" s="61">
        <v>5294</v>
      </c>
      <c r="F522" s="61">
        <v>4675</v>
      </c>
      <c r="G522" s="61">
        <v>2025</v>
      </c>
      <c r="H522" s="61" t="s">
        <v>3416</v>
      </c>
      <c r="I522" s="61" t="s">
        <v>200</v>
      </c>
      <c r="J522" s="61" t="s">
        <v>328</v>
      </c>
      <c r="K522" s="61" t="s">
        <v>1982</v>
      </c>
      <c r="L522" s="61" t="s">
        <v>8114</v>
      </c>
      <c r="M522" s="475">
        <v>45723</v>
      </c>
      <c r="N522" s="475">
        <v>45725</v>
      </c>
      <c r="O522" s="475">
        <v>45733</v>
      </c>
      <c r="P522" s="475">
        <v>45734</v>
      </c>
      <c r="Q522" s="475">
        <v>45735</v>
      </c>
      <c r="R522" s="61">
        <f t="shared" si="35"/>
        <v>1</v>
      </c>
      <c r="S522" s="61">
        <f t="shared" si="36"/>
        <v>5</v>
      </c>
      <c r="T522" s="61">
        <f t="shared" si="34"/>
        <v>6</v>
      </c>
      <c r="U522" s="61">
        <f t="shared" si="37"/>
        <v>1</v>
      </c>
      <c r="V522" s="61" t="s">
        <v>150</v>
      </c>
      <c r="W522" s="61" t="s">
        <v>1078</v>
      </c>
      <c r="X522" s="61" t="s">
        <v>50</v>
      </c>
      <c r="Y522" s="61" t="s">
        <v>8115</v>
      </c>
      <c r="Z522" s="474" t="s">
        <v>8116</v>
      </c>
      <c r="AA522" s="61" t="s">
        <v>8108</v>
      </c>
      <c r="AB522" s="61"/>
    </row>
    <row r="523" spans="1:28" s="2" customFormat="1" ht="99.75">
      <c r="A523" s="61" t="s">
        <v>776</v>
      </c>
      <c r="B523" s="61" t="s">
        <v>4078</v>
      </c>
      <c r="C523" s="61" t="s">
        <v>1136</v>
      </c>
      <c r="D523" s="61" t="s">
        <v>7838</v>
      </c>
      <c r="E523" s="61">
        <v>13510</v>
      </c>
      <c r="F523" s="61">
        <v>15865</v>
      </c>
      <c r="G523" s="61">
        <v>2025</v>
      </c>
      <c r="H523" s="61" t="s">
        <v>3470</v>
      </c>
      <c r="I523" s="61" t="s">
        <v>200</v>
      </c>
      <c r="J523" s="61" t="s">
        <v>328</v>
      </c>
      <c r="K523" s="61" t="s">
        <v>1982</v>
      </c>
      <c r="L523" s="480" t="s">
        <v>8117</v>
      </c>
      <c r="M523" s="475">
        <v>45751</v>
      </c>
      <c r="N523" s="475">
        <v>45752</v>
      </c>
      <c r="O523" s="475">
        <v>45757</v>
      </c>
      <c r="P523" s="475">
        <v>45757</v>
      </c>
      <c r="Q523" s="475">
        <v>45757</v>
      </c>
      <c r="R523" s="61">
        <f t="shared" si="35"/>
        <v>1</v>
      </c>
      <c r="S523" s="61">
        <f t="shared" si="36"/>
        <v>3</v>
      </c>
      <c r="T523" s="61">
        <f t="shared" si="34"/>
        <v>3</v>
      </c>
      <c r="U523" s="61">
        <f t="shared" si="37"/>
        <v>1</v>
      </c>
      <c r="V523" s="61" t="s">
        <v>150</v>
      </c>
      <c r="W523" s="61" t="s">
        <v>1078</v>
      </c>
      <c r="X523" s="61" t="s">
        <v>50</v>
      </c>
      <c r="Y523" s="61">
        <v>14.860098000000001</v>
      </c>
      <c r="Z523" s="61">
        <v>120.803307</v>
      </c>
      <c r="AA523" s="61" t="s">
        <v>8108</v>
      </c>
      <c r="AB523" s="61" t="s">
        <v>8118</v>
      </c>
    </row>
    <row r="524" spans="1:28" s="2" customFormat="1" ht="15">
      <c r="A524" s="61" t="s">
        <v>776</v>
      </c>
      <c r="B524" s="61" t="s">
        <v>4078</v>
      </c>
      <c r="C524" s="61" t="s">
        <v>4094</v>
      </c>
      <c r="D524" s="61" t="s">
        <v>7838</v>
      </c>
      <c r="E524" s="61">
        <v>2965</v>
      </c>
      <c r="F524" s="61">
        <v>3025</v>
      </c>
      <c r="G524" s="61">
        <v>2025</v>
      </c>
      <c r="H524" s="61" t="s">
        <v>3470</v>
      </c>
      <c r="I524" s="61" t="s">
        <v>200</v>
      </c>
      <c r="J524" s="61"/>
      <c r="K524" s="61" t="s">
        <v>1982</v>
      </c>
      <c r="L524" s="61" t="s">
        <v>8119</v>
      </c>
      <c r="M524" s="475">
        <v>45751</v>
      </c>
      <c r="N524" s="475">
        <v>45752</v>
      </c>
      <c r="O524" s="475">
        <v>45754</v>
      </c>
      <c r="P524" s="475">
        <v>45757</v>
      </c>
      <c r="Q524" s="475">
        <v>45761</v>
      </c>
      <c r="R524" s="61">
        <f t="shared" si="35"/>
        <v>1</v>
      </c>
      <c r="S524" s="61">
        <f t="shared" si="36"/>
        <v>1</v>
      </c>
      <c r="T524" s="61">
        <f t="shared" si="34"/>
        <v>3</v>
      </c>
      <c r="U524" s="61">
        <f t="shared" si="37"/>
        <v>2</v>
      </c>
      <c r="V524" s="61" t="s">
        <v>150</v>
      </c>
      <c r="W524" s="61" t="s">
        <v>1078</v>
      </c>
      <c r="X524" s="61" t="s">
        <v>50</v>
      </c>
      <c r="Y524" s="61" t="s">
        <v>8120</v>
      </c>
      <c r="Z524" s="61" t="s">
        <v>8121</v>
      </c>
      <c r="AA524" s="61" t="s">
        <v>8108</v>
      </c>
      <c r="AB524" s="61"/>
    </row>
    <row r="525" spans="1:28" s="2" customFormat="1" ht="15">
      <c r="A525" s="61" t="s">
        <v>776</v>
      </c>
      <c r="B525" s="61" t="s">
        <v>4078</v>
      </c>
      <c r="C525" s="61" t="s">
        <v>4053</v>
      </c>
      <c r="D525" s="61" t="s">
        <v>7838</v>
      </c>
      <c r="E525" s="61">
        <v>5132</v>
      </c>
      <c r="F525" s="61">
        <v>5219</v>
      </c>
      <c r="G525" s="61">
        <v>2025</v>
      </c>
      <c r="H525" s="61" t="s">
        <v>3125</v>
      </c>
      <c r="I525" s="61" t="s">
        <v>200</v>
      </c>
      <c r="J525" s="61"/>
      <c r="K525" s="61" t="s">
        <v>1982</v>
      </c>
      <c r="L525" s="61" t="s">
        <v>8122</v>
      </c>
      <c r="M525" s="475">
        <v>45855</v>
      </c>
      <c r="N525" s="475">
        <v>45856</v>
      </c>
      <c r="O525" s="475"/>
      <c r="P525" s="475">
        <v>45859</v>
      </c>
      <c r="Q525" s="475">
        <v>45859</v>
      </c>
      <c r="R525" s="61">
        <f t="shared" si="35"/>
        <v>1</v>
      </c>
      <c r="S525" s="61" t="str">
        <f t="shared" si="36"/>
        <v/>
      </c>
      <c r="T525" s="61">
        <f t="shared" si="34"/>
        <v>1</v>
      </c>
      <c r="U525" s="61">
        <f t="shared" si="37"/>
        <v>1</v>
      </c>
      <c r="V525" s="61" t="s">
        <v>150</v>
      </c>
      <c r="W525" s="61" t="s">
        <v>1078</v>
      </c>
      <c r="X525" s="61" t="s">
        <v>50</v>
      </c>
      <c r="Y525" s="61" t="s">
        <v>8123</v>
      </c>
      <c r="Z525" s="61" t="s">
        <v>8124</v>
      </c>
      <c r="AA525" s="61" t="s">
        <v>8108</v>
      </c>
      <c r="AB525" s="61"/>
    </row>
    <row r="526" spans="1:28" s="2" customFormat="1" ht="15">
      <c r="A526" s="61" t="s">
        <v>776</v>
      </c>
      <c r="B526" s="61" t="s">
        <v>4078</v>
      </c>
      <c r="C526" s="61" t="s">
        <v>3897</v>
      </c>
      <c r="D526" s="61" t="s">
        <v>7838</v>
      </c>
      <c r="E526" s="61">
        <v>1661</v>
      </c>
      <c r="F526" s="61">
        <v>1338</v>
      </c>
      <c r="G526" s="61">
        <v>2025</v>
      </c>
      <c r="H526" s="61" t="s">
        <v>3125</v>
      </c>
      <c r="I526" s="61" t="s">
        <v>200</v>
      </c>
      <c r="J526" s="61"/>
      <c r="K526" s="61" t="s">
        <v>1982</v>
      </c>
      <c r="L526" s="61" t="s">
        <v>8125</v>
      </c>
      <c r="M526" s="475">
        <v>45855</v>
      </c>
      <c r="N526" s="475">
        <v>45856</v>
      </c>
      <c r="O526" s="475"/>
      <c r="P526" s="475">
        <v>45859</v>
      </c>
      <c r="Q526" s="475">
        <v>45859</v>
      </c>
      <c r="R526" s="61">
        <f t="shared" si="35"/>
        <v>1</v>
      </c>
      <c r="S526" s="61" t="str">
        <f t="shared" si="36"/>
        <v/>
      </c>
      <c r="T526" s="61">
        <f t="shared" si="34"/>
        <v>1</v>
      </c>
      <c r="U526" s="61">
        <f t="shared" si="37"/>
        <v>1</v>
      </c>
      <c r="V526" s="61" t="s">
        <v>150</v>
      </c>
      <c r="W526" s="61" t="s">
        <v>1078</v>
      </c>
      <c r="X526" s="61" t="s">
        <v>50</v>
      </c>
      <c r="Y526" s="61" t="s">
        <v>8107</v>
      </c>
      <c r="Z526" s="61" t="s">
        <v>8126</v>
      </c>
      <c r="AA526" s="61"/>
      <c r="AB526" s="61"/>
    </row>
    <row r="527" spans="1:28" s="2" customFormat="1" ht="15">
      <c r="A527" s="61" t="s">
        <v>776</v>
      </c>
      <c r="B527" s="61" t="s">
        <v>4078</v>
      </c>
      <c r="C527" s="61" t="s">
        <v>885</v>
      </c>
      <c r="D527" s="61" t="s">
        <v>7838</v>
      </c>
      <c r="E527" s="61">
        <v>2673</v>
      </c>
      <c r="F527" s="61">
        <v>2836</v>
      </c>
      <c r="G527" s="61">
        <v>2025</v>
      </c>
      <c r="H527" s="61" t="s">
        <v>3126</v>
      </c>
      <c r="I527" s="61" t="s">
        <v>200</v>
      </c>
      <c r="J527" s="61"/>
      <c r="K527" s="61" t="s">
        <v>1982</v>
      </c>
      <c r="L527" s="61" t="s">
        <v>8127</v>
      </c>
      <c r="M527" s="475">
        <v>45882</v>
      </c>
      <c r="N527" s="475">
        <v>45887</v>
      </c>
      <c r="O527" s="61"/>
      <c r="P527" s="475">
        <v>45888</v>
      </c>
      <c r="Q527" s="475">
        <v>45888</v>
      </c>
      <c r="R527" s="61">
        <f t="shared" si="35"/>
        <v>3</v>
      </c>
      <c r="S527" s="61" t="str">
        <f t="shared" si="36"/>
        <v/>
      </c>
      <c r="T527" s="61">
        <f t="shared" si="34"/>
        <v>1</v>
      </c>
      <c r="U527" s="61">
        <f t="shared" si="37"/>
        <v>1</v>
      </c>
      <c r="V527" s="61" t="s">
        <v>150</v>
      </c>
      <c r="W527" s="61" t="s">
        <v>1078</v>
      </c>
      <c r="X527" s="61" t="s">
        <v>50</v>
      </c>
      <c r="Y527" s="61">
        <v>14.810499999999999</v>
      </c>
      <c r="Z527" s="61">
        <v>120.8496</v>
      </c>
      <c r="AA527" s="61"/>
      <c r="AB527" s="61"/>
    </row>
    <row r="528" spans="1:28" s="2" customFormat="1" ht="15">
      <c r="A528" s="61" t="s">
        <v>776</v>
      </c>
      <c r="B528" s="61" t="s">
        <v>4078</v>
      </c>
      <c r="C528" s="61" t="s">
        <v>4127</v>
      </c>
      <c r="D528" s="61" t="s">
        <v>7838</v>
      </c>
      <c r="E528" s="61">
        <v>2467</v>
      </c>
      <c r="F528" s="61">
        <v>2012</v>
      </c>
      <c r="G528" s="61">
        <v>2025</v>
      </c>
      <c r="H528" s="61" t="s">
        <v>3125</v>
      </c>
      <c r="I528" s="61" t="s">
        <v>200</v>
      </c>
      <c r="J528" s="61"/>
      <c r="K528" s="61" t="s">
        <v>1982</v>
      </c>
      <c r="L528" s="61" t="s">
        <v>8128</v>
      </c>
      <c r="M528" s="475">
        <v>45855</v>
      </c>
      <c r="N528" s="475">
        <v>45856</v>
      </c>
      <c r="O528" s="475"/>
      <c r="P528" s="475">
        <v>45859</v>
      </c>
      <c r="Q528" s="475">
        <v>45859</v>
      </c>
      <c r="R528" s="61">
        <f t="shared" si="35"/>
        <v>1</v>
      </c>
      <c r="S528" s="61" t="str">
        <f t="shared" si="36"/>
        <v/>
      </c>
      <c r="T528" s="61">
        <f t="shared" ref="T528:T538" si="38">IF(
  OR(A528 = "Nueva_Ecija", A528 = "Zambales"),
  IF(
    OR(ISBLANK(O528), ISBLANK(P528)),
    "",
    MAX(1, IF(
      NETWORKDAYS(O528, P528) &lt;= 0,
      1,
      NETWORKDAYS(O528, P528) - IF(O528 = P528, 0, 1)
    ))
  ),
  IF(
    OR(ISBLANK(N528), ISBLANK(P528)),
    "",
    MAX(1, IF(
      NETWORKDAYS(N528, P528) &lt;= 0,
      1,
      NETWORKDAYS(N528, P528) - IF(N528 = P528, 0, 1)
    ))
  )
)</f>
        <v>1</v>
      </c>
      <c r="U528" s="61">
        <f t="shared" si="37"/>
        <v>1</v>
      </c>
      <c r="V528" s="61" t="s">
        <v>150</v>
      </c>
      <c r="W528" s="61" t="s">
        <v>1078</v>
      </c>
      <c r="X528" s="61" t="s">
        <v>50</v>
      </c>
      <c r="Y528" s="61" t="s">
        <v>8123</v>
      </c>
      <c r="Z528" s="61" t="s">
        <v>8129</v>
      </c>
      <c r="AA528" s="61"/>
      <c r="AB528" s="61"/>
    </row>
    <row r="529" spans="1:28" s="2" customFormat="1" ht="15">
      <c r="A529" s="61" t="s">
        <v>776</v>
      </c>
      <c r="B529" s="61" t="s">
        <v>4078</v>
      </c>
      <c r="C529" s="61" t="s">
        <v>3723</v>
      </c>
      <c r="D529" s="61" t="s">
        <v>7838</v>
      </c>
      <c r="E529" s="61">
        <v>5240</v>
      </c>
      <c r="F529" s="61">
        <v>4991</v>
      </c>
      <c r="G529" s="61">
        <v>2025</v>
      </c>
      <c r="H529" s="61" t="s">
        <v>3126</v>
      </c>
      <c r="I529" s="61" t="s">
        <v>200</v>
      </c>
      <c r="J529" s="61"/>
      <c r="K529" s="61" t="s">
        <v>1982</v>
      </c>
      <c r="L529" s="61" t="s">
        <v>8130</v>
      </c>
      <c r="M529" s="475">
        <v>45882</v>
      </c>
      <c r="N529" s="475">
        <v>45887</v>
      </c>
      <c r="O529" s="61"/>
      <c r="P529" s="475">
        <v>45888</v>
      </c>
      <c r="Q529" s="475">
        <v>45888</v>
      </c>
      <c r="R529" s="61">
        <f t="shared" si="35"/>
        <v>3</v>
      </c>
      <c r="S529" s="61" t="str">
        <f t="shared" si="36"/>
        <v/>
      </c>
      <c r="T529" s="61">
        <f t="shared" si="38"/>
        <v>1</v>
      </c>
      <c r="U529" s="61">
        <f t="shared" si="37"/>
        <v>1</v>
      </c>
      <c r="V529" s="61" t="s">
        <v>150</v>
      </c>
      <c r="W529" s="61" t="s">
        <v>1078</v>
      </c>
      <c r="X529" s="61" t="s">
        <v>50</v>
      </c>
      <c r="Y529" s="61">
        <v>14.8398</v>
      </c>
      <c r="Z529" s="61">
        <v>120.8432</v>
      </c>
      <c r="AA529" s="61"/>
      <c r="AB529" s="61"/>
    </row>
    <row r="530" spans="1:28" s="2" customFormat="1" ht="15">
      <c r="A530" s="61" t="s">
        <v>776</v>
      </c>
      <c r="B530" s="61" t="s">
        <v>4078</v>
      </c>
      <c r="C530" s="61" t="s">
        <v>3878</v>
      </c>
      <c r="D530" s="61" t="s">
        <v>7838</v>
      </c>
      <c r="E530" s="61">
        <v>2790</v>
      </c>
      <c r="F530" s="61">
        <v>2402</v>
      </c>
      <c r="G530" s="61">
        <v>2025</v>
      </c>
      <c r="H530" s="61" t="s">
        <v>3125</v>
      </c>
      <c r="I530" s="61" t="s">
        <v>200</v>
      </c>
      <c r="J530" s="61"/>
      <c r="K530" s="61" t="s">
        <v>1982</v>
      </c>
      <c r="L530" s="61" t="s">
        <v>8131</v>
      </c>
      <c r="M530" s="475">
        <v>45855</v>
      </c>
      <c r="N530" s="475">
        <v>45856</v>
      </c>
      <c r="O530" s="475"/>
      <c r="P530" s="475">
        <v>45859</v>
      </c>
      <c r="Q530" s="475">
        <v>45859</v>
      </c>
      <c r="R530" s="61">
        <f t="shared" si="35"/>
        <v>1</v>
      </c>
      <c r="S530" s="61" t="str">
        <f t="shared" si="36"/>
        <v/>
      </c>
      <c r="T530" s="61">
        <f t="shared" si="38"/>
        <v>1</v>
      </c>
      <c r="U530" s="61">
        <f t="shared" si="37"/>
        <v>1</v>
      </c>
      <c r="V530" s="61" t="s">
        <v>150</v>
      </c>
      <c r="W530" s="61" t="s">
        <v>1078</v>
      </c>
      <c r="X530" s="61" t="s">
        <v>50</v>
      </c>
      <c r="Y530" s="61" t="s">
        <v>8132</v>
      </c>
      <c r="Z530" s="61" t="s">
        <v>8133</v>
      </c>
      <c r="AA530" s="61"/>
      <c r="AB530" s="61"/>
    </row>
    <row r="531" spans="1:28" s="2" customFormat="1" ht="15">
      <c r="A531" s="61" t="s">
        <v>776</v>
      </c>
      <c r="B531" s="61" t="s">
        <v>4078</v>
      </c>
      <c r="C531" s="61" t="s">
        <v>1002</v>
      </c>
      <c r="D531" s="61" t="s">
        <v>7838</v>
      </c>
      <c r="E531" s="61">
        <v>8646</v>
      </c>
      <c r="F531" s="61">
        <v>8550</v>
      </c>
      <c r="G531" s="61">
        <v>2025</v>
      </c>
      <c r="H531" s="61" t="s">
        <v>3126</v>
      </c>
      <c r="I531" s="61" t="s">
        <v>200</v>
      </c>
      <c r="J531" s="61"/>
      <c r="K531" s="61" t="s">
        <v>1982</v>
      </c>
      <c r="L531" s="61" t="s">
        <v>8134</v>
      </c>
      <c r="M531" s="475">
        <v>45882</v>
      </c>
      <c r="N531" s="475">
        <v>45887</v>
      </c>
      <c r="O531" s="61"/>
      <c r="P531" s="475">
        <v>45888</v>
      </c>
      <c r="Q531" s="475">
        <v>45888</v>
      </c>
      <c r="R531" s="61">
        <f t="shared" si="35"/>
        <v>3</v>
      </c>
      <c r="S531" s="61" t="str">
        <f t="shared" si="36"/>
        <v/>
      </c>
      <c r="T531" s="61">
        <f t="shared" si="38"/>
        <v>1</v>
      </c>
      <c r="U531" s="61">
        <f t="shared" si="37"/>
        <v>1</v>
      </c>
      <c r="V531" s="61" t="s">
        <v>150</v>
      </c>
      <c r="W531" s="61" t="s">
        <v>1078</v>
      </c>
      <c r="X531" s="61" t="s">
        <v>50</v>
      </c>
      <c r="Y531" s="61">
        <v>14.8324</v>
      </c>
      <c r="Z531" s="61">
        <v>120.85509999999999</v>
      </c>
      <c r="AA531" s="61"/>
      <c r="AB531" s="61"/>
    </row>
    <row r="532" spans="1:28" s="2" customFormat="1" ht="15">
      <c r="A532" s="61" t="s">
        <v>776</v>
      </c>
      <c r="B532" s="61" t="s">
        <v>4078</v>
      </c>
      <c r="C532" s="61" t="s">
        <v>4014</v>
      </c>
      <c r="D532" s="61" t="s">
        <v>7838</v>
      </c>
      <c r="E532" s="61">
        <v>2231</v>
      </c>
      <c r="F532" s="61">
        <v>1677</v>
      </c>
      <c r="G532" s="61">
        <v>2025</v>
      </c>
      <c r="H532" s="61" t="s">
        <v>3126</v>
      </c>
      <c r="I532" s="61" t="s">
        <v>200</v>
      </c>
      <c r="J532" s="61"/>
      <c r="K532" s="61" t="s">
        <v>1982</v>
      </c>
      <c r="L532" s="61" t="s">
        <v>8135</v>
      </c>
      <c r="M532" s="475">
        <v>45882</v>
      </c>
      <c r="N532" s="475">
        <v>45887</v>
      </c>
      <c r="O532" s="61"/>
      <c r="P532" s="475">
        <v>45888</v>
      </c>
      <c r="Q532" s="475">
        <v>45888</v>
      </c>
      <c r="R532" s="61">
        <f t="shared" si="35"/>
        <v>3</v>
      </c>
      <c r="S532" s="61" t="str">
        <f t="shared" si="36"/>
        <v/>
      </c>
      <c r="T532" s="61">
        <f t="shared" si="38"/>
        <v>1</v>
      </c>
      <c r="U532" s="61">
        <f t="shared" si="37"/>
        <v>1</v>
      </c>
      <c r="V532" s="61" t="s">
        <v>150</v>
      </c>
      <c r="W532" s="61" t="s">
        <v>1078</v>
      </c>
      <c r="X532" s="61" t="s">
        <v>50</v>
      </c>
      <c r="Y532" s="61">
        <v>14.8134</v>
      </c>
      <c r="Z532" s="61">
        <v>120.8535</v>
      </c>
      <c r="AA532" s="61"/>
      <c r="AB532" s="61"/>
    </row>
    <row r="533" spans="1:28" s="2" customFormat="1" ht="15">
      <c r="A533" s="61" t="s">
        <v>776</v>
      </c>
      <c r="B533" s="61" t="s">
        <v>4078</v>
      </c>
      <c r="C533" s="61" t="s">
        <v>4121</v>
      </c>
      <c r="D533" s="61" t="s">
        <v>7838</v>
      </c>
      <c r="E533" s="61">
        <v>8818</v>
      </c>
      <c r="F533" s="61">
        <v>9484</v>
      </c>
      <c r="G533" s="61">
        <v>2025</v>
      </c>
      <c r="H533" s="61" t="s">
        <v>3416</v>
      </c>
      <c r="I533" s="61" t="s">
        <v>200</v>
      </c>
      <c r="J533" s="61"/>
      <c r="K533" s="61" t="s">
        <v>1982</v>
      </c>
      <c r="L533" s="61" t="s">
        <v>8136</v>
      </c>
      <c r="M533" s="475">
        <v>45723</v>
      </c>
      <c r="N533" s="475">
        <v>45725</v>
      </c>
      <c r="O533" s="475">
        <v>45733</v>
      </c>
      <c r="P533" s="475">
        <v>45735</v>
      </c>
      <c r="Q533" s="475">
        <v>45735</v>
      </c>
      <c r="R533" s="61">
        <f t="shared" si="35"/>
        <v>1</v>
      </c>
      <c r="S533" s="61">
        <f t="shared" si="36"/>
        <v>5</v>
      </c>
      <c r="T533" s="61">
        <f t="shared" si="38"/>
        <v>7</v>
      </c>
      <c r="U533" s="61">
        <f t="shared" si="37"/>
        <v>1</v>
      </c>
      <c r="V533" s="61" t="s">
        <v>150</v>
      </c>
      <c r="W533" s="61" t="s">
        <v>3527</v>
      </c>
      <c r="X533" s="61" t="s">
        <v>3528</v>
      </c>
      <c r="Y533" s="61" t="s">
        <v>8137</v>
      </c>
      <c r="Z533" s="61" t="s">
        <v>8138</v>
      </c>
      <c r="AA533" s="61" t="s">
        <v>8108</v>
      </c>
      <c r="AB533" s="61"/>
    </row>
    <row r="534" spans="1:28" s="2" customFormat="1" ht="15">
      <c r="A534" s="61" t="s">
        <v>776</v>
      </c>
      <c r="B534" s="61" t="s">
        <v>4078</v>
      </c>
      <c r="C534" s="61" t="s">
        <v>4085</v>
      </c>
      <c r="D534" s="61" t="s">
        <v>7838</v>
      </c>
      <c r="E534" s="61">
        <v>958</v>
      </c>
      <c r="F534" s="61">
        <v>741</v>
      </c>
      <c r="G534" s="61"/>
      <c r="H534" s="61"/>
      <c r="I534" s="61" t="s">
        <v>200</v>
      </c>
      <c r="J534" s="61"/>
      <c r="K534" s="61" t="s">
        <v>1982</v>
      </c>
      <c r="L534" s="61"/>
      <c r="M534" s="61"/>
      <c r="N534" s="61"/>
      <c r="O534" s="61"/>
      <c r="P534" s="61"/>
      <c r="Q534" s="61"/>
      <c r="R534" s="61" t="str">
        <f t="shared" si="35"/>
        <v/>
      </c>
      <c r="S534" s="61" t="str">
        <f t="shared" si="36"/>
        <v/>
      </c>
      <c r="T534" s="61" t="str">
        <f t="shared" si="38"/>
        <v/>
      </c>
      <c r="U534" s="61" t="str">
        <f t="shared" si="37"/>
        <v/>
      </c>
      <c r="V534" s="61"/>
      <c r="W534" s="61"/>
      <c r="X534" s="61"/>
      <c r="Y534" s="61"/>
      <c r="Z534" s="61"/>
      <c r="AA534" s="61"/>
      <c r="AB534" s="61"/>
    </row>
    <row r="535" spans="1:28" s="2" customFormat="1" ht="15">
      <c r="A535" s="61" t="s">
        <v>776</v>
      </c>
      <c r="B535" s="61" t="s">
        <v>4078</v>
      </c>
      <c r="C535" s="61" t="s">
        <v>4086</v>
      </c>
      <c r="D535" s="61" t="s">
        <v>7838</v>
      </c>
      <c r="E535" s="61">
        <v>5321</v>
      </c>
      <c r="F535" s="61">
        <v>4947</v>
      </c>
      <c r="G535" s="61"/>
      <c r="H535" s="61"/>
      <c r="I535" s="61" t="s">
        <v>200</v>
      </c>
      <c r="J535" s="61"/>
      <c r="K535" s="61" t="s">
        <v>1982</v>
      </c>
      <c r="L535" s="61"/>
      <c r="M535" s="61"/>
      <c r="N535" s="61"/>
      <c r="O535" s="61"/>
      <c r="P535" s="61"/>
      <c r="Q535" s="61"/>
      <c r="R535" s="61" t="str">
        <f t="shared" si="35"/>
        <v/>
      </c>
      <c r="S535" s="61" t="str">
        <f t="shared" si="36"/>
        <v/>
      </c>
      <c r="T535" s="61" t="str">
        <f t="shared" si="38"/>
        <v/>
      </c>
      <c r="U535" s="61" t="str">
        <f t="shared" si="37"/>
        <v/>
      </c>
      <c r="V535" s="61"/>
      <c r="W535" s="61"/>
      <c r="X535" s="61"/>
      <c r="Y535" s="61"/>
      <c r="Z535" s="61"/>
      <c r="AA535" s="61"/>
      <c r="AB535" s="61"/>
    </row>
    <row r="536" spans="1:28" s="2" customFormat="1" ht="15">
      <c r="A536" s="61" t="s">
        <v>776</v>
      </c>
      <c r="B536" s="61" t="s">
        <v>4078</v>
      </c>
      <c r="C536" s="61" t="s">
        <v>4087</v>
      </c>
      <c r="D536" s="61" t="s">
        <v>7838</v>
      </c>
      <c r="E536" s="61">
        <v>3688</v>
      </c>
      <c r="F536" s="61">
        <v>3068</v>
      </c>
      <c r="G536" s="61"/>
      <c r="H536" s="61"/>
      <c r="I536" s="61" t="s">
        <v>200</v>
      </c>
      <c r="J536" s="61"/>
      <c r="K536" s="61" t="s">
        <v>1982</v>
      </c>
      <c r="L536" s="61"/>
      <c r="M536" s="61"/>
      <c r="N536" s="61"/>
      <c r="O536" s="61"/>
      <c r="P536" s="61"/>
      <c r="Q536" s="61"/>
      <c r="R536" s="61" t="str">
        <f t="shared" si="35"/>
        <v/>
      </c>
      <c r="S536" s="61" t="str">
        <f t="shared" si="36"/>
        <v/>
      </c>
      <c r="T536" s="61" t="str">
        <f t="shared" si="38"/>
        <v/>
      </c>
      <c r="U536" s="61" t="str">
        <f t="shared" si="37"/>
        <v/>
      </c>
      <c r="V536" s="61"/>
      <c r="W536" s="61"/>
      <c r="X536" s="61"/>
      <c r="Y536" s="61"/>
      <c r="Z536" s="61"/>
      <c r="AA536" s="61"/>
      <c r="AB536" s="61"/>
    </row>
    <row r="537" spans="1:28" s="2" customFormat="1" ht="15">
      <c r="A537" s="61" t="s">
        <v>776</v>
      </c>
      <c r="B537" s="61" t="s">
        <v>4078</v>
      </c>
      <c r="C537" s="61" t="s">
        <v>4089</v>
      </c>
      <c r="D537" s="61" t="s">
        <v>7838</v>
      </c>
      <c r="E537" s="61">
        <v>3338</v>
      </c>
      <c r="F537" s="61">
        <v>3549</v>
      </c>
      <c r="G537" s="61"/>
      <c r="H537" s="61"/>
      <c r="I537" s="61" t="s">
        <v>200</v>
      </c>
      <c r="J537" s="61"/>
      <c r="K537" s="61" t="s">
        <v>1982</v>
      </c>
      <c r="L537" s="61"/>
      <c r="M537" s="61"/>
      <c r="N537" s="61"/>
      <c r="O537" s="61"/>
      <c r="P537" s="61"/>
      <c r="Q537" s="61"/>
      <c r="R537" s="61" t="str">
        <f t="shared" si="35"/>
        <v/>
      </c>
      <c r="S537" s="61" t="str">
        <f t="shared" si="36"/>
        <v/>
      </c>
      <c r="T537" s="61" t="str">
        <f t="shared" si="38"/>
        <v/>
      </c>
      <c r="U537" s="61" t="str">
        <f t="shared" si="37"/>
        <v/>
      </c>
      <c r="V537" s="61"/>
      <c r="W537" s="61"/>
      <c r="X537" s="61"/>
      <c r="Y537" s="61"/>
      <c r="Z537" s="61"/>
      <c r="AA537" s="61"/>
      <c r="AB537" s="61"/>
    </row>
    <row r="538" spans="1:28" s="2" customFormat="1" ht="15">
      <c r="A538" s="61" t="s">
        <v>776</v>
      </c>
      <c r="B538" s="61" t="s">
        <v>4078</v>
      </c>
      <c r="C538" s="61" t="s">
        <v>4045</v>
      </c>
      <c r="D538" s="61" t="s">
        <v>7838</v>
      </c>
      <c r="E538" s="61">
        <v>2813</v>
      </c>
      <c r="F538" s="61">
        <v>3468</v>
      </c>
      <c r="G538" s="61"/>
      <c r="H538" s="61"/>
      <c r="I538" s="61" t="s">
        <v>200</v>
      </c>
      <c r="J538" s="61"/>
      <c r="K538" s="61" t="s">
        <v>1982</v>
      </c>
      <c r="L538" s="61"/>
      <c r="M538" s="61"/>
      <c r="N538" s="61"/>
      <c r="O538" s="61"/>
      <c r="P538" s="61"/>
      <c r="Q538" s="61"/>
      <c r="R538" s="61" t="str">
        <f t="shared" si="35"/>
        <v/>
      </c>
      <c r="S538" s="61" t="str">
        <f t="shared" si="36"/>
        <v/>
      </c>
      <c r="T538" s="61" t="str">
        <f t="shared" si="38"/>
        <v/>
      </c>
      <c r="U538" s="61" t="str">
        <f t="shared" si="37"/>
        <v/>
      </c>
      <c r="V538" s="61"/>
      <c r="W538" s="61"/>
      <c r="X538" s="61"/>
      <c r="Y538" s="61"/>
      <c r="Z538" s="61"/>
      <c r="AA538" s="61"/>
      <c r="AB538" s="61"/>
    </row>
    <row r="539" spans="1:28" s="2" customFormat="1" ht="15">
      <c r="A539" s="61" t="s">
        <v>776</v>
      </c>
      <c r="B539" s="61" t="s">
        <v>4078</v>
      </c>
      <c r="C539" s="61" t="s">
        <v>3591</v>
      </c>
      <c r="D539" s="61" t="s">
        <v>7838</v>
      </c>
      <c r="E539" s="61">
        <v>12437</v>
      </c>
      <c r="F539" s="61">
        <v>12322</v>
      </c>
      <c r="G539" s="61">
        <v>2025</v>
      </c>
      <c r="H539" s="61" t="s">
        <v>3129</v>
      </c>
      <c r="I539" s="61" t="s">
        <v>200</v>
      </c>
      <c r="J539" s="61" t="s">
        <v>1838</v>
      </c>
      <c r="K539" s="61" t="s">
        <v>1982</v>
      </c>
      <c r="L539" s="61" t="s">
        <v>8139</v>
      </c>
      <c r="M539" s="475">
        <v>45931</v>
      </c>
      <c r="N539" s="475">
        <v>45936</v>
      </c>
      <c r="O539" s="475">
        <v>45949</v>
      </c>
      <c r="P539" s="475">
        <v>45950</v>
      </c>
      <c r="Q539" s="475">
        <v>45950</v>
      </c>
      <c r="R539" s="61">
        <f t="shared" si="35"/>
        <v>3</v>
      </c>
      <c r="S539" s="61">
        <f t="shared" si="36"/>
        <v>9</v>
      </c>
      <c r="T539" s="61">
        <f>IF(
    OR(ISBLANK(O539), ISBLANK(P539)),
    "",
    MAX(1, IF(
        NETWORKDAYS(O539, P539) &lt;= 0,
        1,
        NETWORKDAYS(O539, P539) - IF(O539 = P539, 0, 1)
    ))
)</f>
        <v>1</v>
      </c>
      <c r="U539" s="61">
        <f t="shared" si="37"/>
        <v>1</v>
      </c>
      <c r="V539" s="61" t="s">
        <v>150</v>
      </c>
      <c r="W539" s="61" t="s">
        <v>1078</v>
      </c>
      <c r="X539" s="61" t="s">
        <v>50</v>
      </c>
      <c r="Y539" s="61">
        <v>14.8233</v>
      </c>
      <c r="Z539" s="61">
        <v>120.8485</v>
      </c>
      <c r="AA539" s="61"/>
      <c r="AB539" s="61"/>
    </row>
    <row r="540" spans="1:28" s="2" customFormat="1" ht="15">
      <c r="A540" s="61" t="s">
        <v>776</v>
      </c>
      <c r="B540" s="61" t="s">
        <v>4078</v>
      </c>
      <c r="C540" s="61" t="s">
        <v>4095</v>
      </c>
      <c r="D540" s="61" t="s">
        <v>7838</v>
      </c>
      <c r="E540" s="61">
        <v>1281</v>
      </c>
      <c r="F540" s="61">
        <v>1316</v>
      </c>
      <c r="G540" s="61"/>
      <c r="H540" s="61"/>
      <c r="I540" s="61" t="s">
        <v>200</v>
      </c>
      <c r="J540" s="61"/>
      <c r="K540" s="61" t="s">
        <v>1982</v>
      </c>
      <c r="L540" s="61"/>
      <c r="M540" s="61"/>
      <c r="N540" s="61"/>
      <c r="O540" s="61"/>
      <c r="P540" s="61"/>
      <c r="Q540" s="61"/>
      <c r="R540" s="61" t="str">
        <f t="shared" si="35"/>
        <v/>
      </c>
      <c r="S540" s="61" t="str">
        <f t="shared" si="36"/>
        <v/>
      </c>
      <c r="T540" s="61" t="str">
        <f t="shared" ref="T540:T547" si="39">IF(
  OR(A540 = "Nueva_Ecija", A540 = "Zambales"),
  IF(
    OR(ISBLANK(O540), ISBLANK(P540)),
    "",
    MAX(1, IF(
      NETWORKDAYS(O540, P540) &lt;= 0,
      1,
      NETWORKDAYS(O540, P540) - IF(O540 = P540, 0, 1)
    ))
  ),
  IF(
    OR(ISBLANK(N540), ISBLANK(P540)),
    "",
    MAX(1, IF(
      NETWORKDAYS(N540, P540) &lt;= 0,
      1,
      NETWORKDAYS(N540, P540) - IF(N540 = P540, 0, 1)
    ))
  )
)</f>
        <v/>
      </c>
      <c r="U540" s="61" t="str">
        <f t="shared" si="37"/>
        <v/>
      </c>
      <c r="V540" s="61"/>
      <c r="W540" s="61"/>
      <c r="X540" s="61"/>
      <c r="Y540" s="61"/>
      <c r="Z540" s="61"/>
      <c r="AA540" s="61"/>
      <c r="AB540" s="61"/>
    </row>
    <row r="541" spans="1:28" s="2" customFormat="1" ht="15">
      <c r="A541" s="61" t="s">
        <v>776</v>
      </c>
      <c r="B541" s="61" t="s">
        <v>4078</v>
      </c>
      <c r="C541" s="61" t="s">
        <v>4096</v>
      </c>
      <c r="D541" s="61" t="s">
        <v>7838</v>
      </c>
      <c r="E541" s="61">
        <v>302</v>
      </c>
      <c r="F541" s="61">
        <v>498</v>
      </c>
      <c r="G541" s="61"/>
      <c r="H541" s="61"/>
      <c r="I541" s="61" t="s">
        <v>200</v>
      </c>
      <c r="J541" s="61"/>
      <c r="K541" s="61" t="s">
        <v>1982</v>
      </c>
      <c r="L541" s="61"/>
      <c r="M541" s="61"/>
      <c r="N541" s="61"/>
      <c r="O541" s="61"/>
      <c r="P541" s="61"/>
      <c r="Q541" s="61"/>
      <c r="R541" s="61" t="str">
        <f t="shared" si="35"/>
        <v/>
      </c>
      <c r="S541" s="61" t="str">
        <f t="shared" si="36"/>
        <v/>
      </c>
      <c r="T541" s="61" t="str">
        <f t="shared" si="39"/>
        <v/>
      </c>
      <c r="U541" s="61" t="str">
        <f t="shared" si="37"/>
        <v/>
      </c>
      <c r="V541" s="61"/>
      <c r="W541" s="61"/>
      <c r="X541" s="61"/>
      <c r="Y541" s="61"/>
      <c r="Z541" s="61"/>
      <c r="AA541" s="61"/>
      <c r="AB541" s="61"/>
    </row>
    <row r="542" spans="1:28" s="2" customFormat="1" ht="15">
      <c r="A542" s="61" t="s">
        <v>776</v>
      </c>
      <c r="B542" s="61" t="s">
        <v>4078</v>
      </c>
      <c r="C542" s="61" t="s">
        <v>4097</v>
      </c>
      <c r="D542" s="61" t="s">
        <v>7838</v>
      </c>
      <c r="E542" s="61">
        <v>4124</v>
      </c>
      <c r="F542" s="61">
        <v>3632</v>
      </c>
      <c r="G542" s="61"/>
      <c r="H542" s="61"/>
      <c r="I542" s="61" t="s">
        <v>200</v>
      </c>
      <c r="J542" s="61"/>
      <c r="K542" s="61" t="s">
        <v>1982</v>
      </c>
      <c r="L542" s="61"/>
      <c r="M542" s="61"/>
      <c r="N542" s="61"/>
      <c r="O542" s="61"/>
      <c r="P542" s="61"/>
      <c r="Q542" s="61"/>
      <c r="R542" s="61" t="str">
        <f t="shared" si="35"/>
        <v/>
      </c>
      <c r="S542" s="61" t="str">
        <f t="shared" si="36"/>
        <v/>
      </c>
      <c r="T542" s="61" t="str">
        <f t="shared" si="39"/>
        <v/>
      </c>
      <c r="U542" s="61" t="str">
        <f t="shared" si="37"/>
        <v/>
      </c>
      <c r="V542" s="61"/>
      <c r="W542" s="61"/>
      <c r="X542" s="61"/>
      <c r="Y542" s="61"/>
      <c r="Z542" s="61"/>
      <c r="AA542" s="61"/>
      <c r="AB542" s="61"/>
    </row>
    <row r="543" spans="1:28" s="2" customFormat="1" ht="15">
      <c r="A543" s="61" t="s">
        <v>776</v>
      </c>
      <c r="B543" s="61" t="s">
        <v>4078</v>
      </c>
      <c r="C543" s="61" t="s">
        <v>4100</v>
      </c>
      <c r="D543" s="61" t="s">
        <v>7838</v>
      </c>
      <c r="E543" s="61">
        <v>3937</v>
      </c>
      <c r="F543" s="61">
        <v>4608</v>
      </c>
      <c r="G543" s="61"/>
      <c r="H543" s="61"/>
      <c r="I543" s="61" t="s">
        <v>200</v>
      </c>
      <c r="J543" s="61"/>
      <c r="K543" s="61" t="s">
        <v>1982</v>
      </c>
      <c r="L543" s="61"/>
      <c r="M543" s="61"/>
      <c r="N543" s="61"/>
      <c r="O543" s="61"/>
      <c r="P543" s="61"/>
      <c r="Q543" s="61"/>
      <c r="R543" s="61" t="str">
        <f t="shared" si="35"/>
        <v/>
      </c>
      <c r="S543" s="61" t="str">
        <f t="shared" si="36"/>
        <v/>
      </c>
      <c r="T543" s="61" t="str">
        <f t="shared" si="39"/>
        <v/>
      </c>
      <c r="U543" s="61" t="str">
        <f t="shared" si="37"/>
        <v/>
      </c>
      <c r="V543" s="61"/>
      <c r="W543" s="61"/>
      <c r="X543" s="61"/>
      <c r="Y543" s="61"/>
      <c r="Z543" s="61"/>
      <c r="AA543" s="61"/>
      <c r="AB543" s="61"/>
    </row>
    <row r="544" spans="1:28" s="2" customFormat="1" ht="15">
      <c r="A544" s="61" t="s">
        <v>776</v>
      </c>
      <c r="B544" s="61" t="s">
        <v>4078</v>
      </c>
      <c r="C544" s="61" t="s">
        <v>4101</v>
      </c>
      <c r="D544" s="61" t="s">
        <v>7838</v>
      </c>
      <c r="E544" s="61">
        <v>5352</v>
      </c>
      <c r="F544" s="61">
        <v>6806</v>
      </c>
      <c r="G544" s="61"/>
      <c r="H544" s="61"/>
      <c r="I544" s="61" t="s">
        <v>200</v>
      </c>
      <c r="J544" s="61"/>
      <c r="K544" s="61" t="s">
        <v>1982</v>
      </c>
      <c r="L544" s="61"/>
      <c r="M544" s="61"/>
      <c r="N544" s="61"/>
      <c r="O544" s="61"/>
      <c r="P544" s="61"/>
      <c r="Q544" s="61"/>
      <c r="R544" s="61" t="str">
        <f t="shared" si="35"/>
        <v/>
      </c>
      <c r="S544" s="61" t="str">
        <f t="shared" si="36"/>
        <v/>
      </c>
      <c r="T544" s="61" t="str">
        <f t="shared" si="39"/>
        <v/>
      </c>
      <c r="U544" s="61" t="str">
        <f t="shared" si="37"/>
        <v/>
      </c>
      <c r="V544" s="61"/>
      <c r="W544" s="61"/>
      <c r="X544" s="61"/>
      <c r="Y544" s="61"/>
      <c r="Z544" s="61"/>
      <c r="AA544" s="61"/>
      <c r="AB544" s="61"/>
    </row>
    <row r="545" spans="1:28" s="2" customFormat="1" ht="15">
      <c r="A545" s="61" t="s">
        <v>776</v>
      </c>
      <c r="B545" s="61" t="s">
        <v>4078</v>
      </c>
      <c r="C545" s="61" t="s">
        <v>4105</v>
      </c>
      <c r="D545" s="61" t="s">
        <v>7838</v>
      </c>
      <c r="E545" s="61">
        <v>6624</v>
      </c>
      <c r="F545" s="61">
        <v>6656</v>
      </c>
      <c r="G545" s="61"/>
      <c r="H545" s="61"/>
      <c r="I545" s="61" t="s">
        <v>200</v>
      </c>
      <c r="J545" s="61"/>
      <c r="K545" s="61" t="s">
        <v>1982</v>
      </c>
      <c r="L545" s="61"/>
      <c r="M545" s="61"/>
      <c r="N545" s="61"/>
      <c r="O545" s="61"/>
      <c r="P545" s="61"/>
      <c r="Q545" s="61"/>
      <c r="R545" s="61" t="str">
        <f t="shared" si="35"/>
        <v/>
      </c>
      <c r="S545" s="61" t="str">
        <f t="shared" si="36"/>
        <v/>
      </c>
      <c r="T545" s="61" t="str">
        <f t="shared" si="39"/>
        <v/>
      </c>
      <c r="U545" s="61" t="str">
        <f t="shared" si="37"/>
        <v/>
      </c>
      <c r="V545" s="61"/>
      <c r="W545" s="61"/>
      <c r="X545" s="61"/>
      <c r="Y545" s="61"/>
      <c r="Z545" s="61"/>
      <c r="AA545" s="61"/>
      <c r="AB545" s="61"/>
    </row>
    <row r="546" spans="1:28" s="2" customFormat="1" ht="15">
      <c r="A546" s="61" t="s">
        <v>776</v>
      </c>
      <c r="B546" s="61" t="s">
        <v>4078</v>
      </c>
      <c r="C546" s="61" t="s">
        <v>1831</v>
      </c>
      <c r="D546" s="61" t="s">
        <v>7838</v>
      </c>
      <c r="E546" s="61">
        <v>14864</v>
      </c>
      <c r="F546" s="61">
        <v>16999</v>
      </c>
      <c r="G546" s="61"/>
      <c r="H546" s="61"/>
      <c r="I546" s="61" t="s">
        <v>200</v>
      </c>
      <c r="J546" s="61"/>
      <c r="K546" s="61" t="s">
        <v>1982</v>
      </c>
      <c r="L546" s="61"/>
      <c r="M546" s="61"/>
      <c r="N546" s="61"/>
      <c r="O546" s="61"/>
      <c r="P546" s="61"/>
      <c r="Q546" s="61"/>
      <c r="R546" s="61" t="str">
        <f t="shared" si="35"/>
        <v/>
      </c>
      <c r="S546" s="61" t="str">
        <f t="shared" si="36"/>
        <v/>
      </c>
      <c r="T546" s="61" t="str">
        <f t="shared" si="39"/>
        <v/>
      </c>
      <c r="U546" s="61" t="str">
        <f t="shared" si="37"/>
        <v/>
      </c>
      <c r="V546" s="61"/>
      <c r="W546" s="61"/>
      <c r="X546" s="61"/>
      <c r="Y546" s="61"/>
      <c r="Z546" s="61"/>
      <c r="AA546" s="61"/>
      <c r="AB546" s="61"/>
    </row>
    <row r="547" spans="1:28" s="2" customFormat="1" ht="15">
      <c r="A547" s="61" t="s">
        <v>776</v>
      </c>
      <c r="B547" s="61" t="s">
        <v>4078</v>
      </c>
      <c r="C547" s="61" t="s">
        <v>4107</v>
      </c>
      <c r="D547" s="61" t="s">
        <v>7838</v>
      </c>
      <c r="E547" s="61">
        <v>6808</v>
      </c>
      <c r="F547" s="61">
        <v>9611</v>
      </c>
      <c r="G547" s="61"/>
      <c r="H547" s="61"/>
      <c r="I547" s="61" t="s">
        <v>200</v>
      </c>
      <c r="J547" s="61"/>
      <c r="K547" s="61" t="s">
        <v>1982</v>
      </c>
      <c r="L547" s="61"/>
      <c r="M547" s="61"/>
      <c r="N547" s="61"/>
      <c r="O547" s="61"/>
      <c r="P547" s="61"/>
      <c r="Q547" s="61"/>
      <c r="R547" s="61" t="str">
        <f t="shared" si="35"/>
        <v/>
      </c>
      <c r="S547" s="61" t="str">
        <f t="shared" si="36"/>
        <v/>
      </c>
      <c r="T547" s="61" t="str">
        <f t="shared" si="39"/>
        <v/>
      </c>
      <c r="U547" s="61" t="str">
        <f t="shared" si="37"/>
        <v/>
      </c>
      <c r="V547" s="61"/>
      <c r="W547" s="61"/>
      <c r="X547" s="61"/>
      <c r="Y547" s="61"/>
      <c r="Z547" s="61"/>
      <c r="AA547" s="61"/>
      <c r="AB547" s="61"/>
    </row>
    <row r="548" spans="1:28" s="2" customFormat="1" ht="15">
      <c r="A548" s="61" t="s">
        <v>776</v>
      </c>
      <c r="B548" s="61" t="s">
        <v>4078</v>
      </c>
      <c r="C548" s="61" t="s">
        <v>4109</v>
      </c>
      <c r="D548" s="61" t="s">
        <v>7838</v>
      </c>
      <c r="E548" s="61">
        <v>3108</v>
      </c>
      <c r="F548" s="61">
        <v>3081</v>
      </c>
      <c r="G548" s="61">
        <v>2025</v>
      </c>
      <c r="H548" s="61" t="s">
        <v>3129</v>
      </c>
      <c r="I548" s="61" t="s">
        <v>200</v>
      </c>
      <c r="J548" s="61" t="s">
        <v>1838</v>
      </c>
      <c r="K548" s="61" t="s">
        <v>1982</v>
      </c>
      <c r="L548" s="61" t="s">
        <v>8140</v>
      </c>
      <c r="M548" s="475">
        <v>45931</v>
      </c>
      <c r="N548" s="475">
        <v>45936</v>
      </c>
      <c r="O548" s="475">
        <v>45949</v>
      </c>
      <c r="P548" s="475">
        <v>45950</v>
      </c>
      <c r="Q548" s="475">
        <v>45950</v>
      </c>
      <c r="R548" s="61">
        <f t="shared" si="35"/>
        <v>3</v>
      </c>
      <c r="S548" s="61">
        <f t="shared" si="36"/>
        <v>9</v>
      </c>
      <c r="T548" s="61">
        <f>IF(
    OR(ISBLANK(O548), ISBLANK(P548)),
    "",
    MAX(1, IF(
        NETWORKDAYS(O548, P548) &lt;= 0,
        1,
        NETWORKDAYS(O548, P548) - IF(O548 = P548, 0, 1)
    ))
)</f>
        <v>1</v>
      </c>
      <c r="U548" s="61">
        <f t="shared" si="37"/>
        <v>1</v>
      </c>
      <c r="V548" s="61" t="s">
        <v>150</v>
      </c>
      <c r="W548" s="61" t="s">
        <v>4</v>
      </c>
      <c r="X548" s="61" t="s">
        <v>57</v>
      </c>
      <c r="Y548" s="61">
        <v>14.8223</v>
      </c>
      <c r="Z548" s="61">
        <v>120.8613</v>
      </c>
      <c r="AA548" s="61"/>
      <c r="AB548" s="61"/>
    </row>
    <row r="549" spans="1:28" s="2" customFormat="1" ht="15">
      <c r="A549" s="61" t="s">
        <v>776</v>
      </c>
      <c r="B549" s="61" t="s">
        <v>4078</v>
      </c>
      <c r="C549" s="61" t="s">
        <v>4111</v>
      </c>
      <c r="D549" s="61" t="s">
        <v>7838</v>
      </c>
      <c r="E549" s="61">
        <v>4711</v>
      </c>
      <c r="F549" s="61">
        <v>4744</v>
      </c>
      <c r="G549" s="61"/>
      <c r="H549" s="61"/>
      <c r="I549" s="61" t="s">
        <v>200</v>
      </c>
      <c r="J549" s="61"/>
      <c r="K549" s="61" t="s">
        <v>1982</v>
      </c>
      <c r="L549" s="61"/>
      <c r="M549" s="61"/>
      <c r="N549" s="61"/>
      <c r="O549" s="61"/>
      <c r="P549" s="61"/>
      <c r="Q549" s="61"/>
      <c r="R549" s="61" t="str">
        <f t="shared" si="35"/>
        <v/>
      </c>
      <c r="S549" s="61" t="str">
        <f t="shared" si="36"/>
        <v/>
      </c>
      <c r="T549" s="61" t="str">
        <f t="shared" ref="T549:T612" si="40">IF(
  OR(A549 = "Nueva_Ecija", A549 = "Zambales"),
  IF(
    OR(ISBLANK(O549), ISBLANK(P549)),
    "",
    MAX(1, IF(
      NETWORKDAYS(O549, P549) &lt;= 0,
      1,
      NETWORKDAYS(O549, P549) - IF(O549 = P549, 0, 1)
    ))
  ),
  IF(
    OR(ISBLANK(N549), ISBLANK(P549)),
    "",
    MAX(1, IF(
      NETWORKDAYS(N549, P549) &lt;= 0,
      1,
      NETWORKDAYS(N549, P549) - IF(N549 = P549, 0, 1)
    ))
  )
)</f>
        <v/>
      </c>
      <c r="U549" s="61" t="str">
        <f t="shared" si="37"/>
        <v/>
      </c>
      <c r="V549" s="61"/>
      <c r="W549" s="61"/>
      <c r="X549" s="61"/>
      <c r="Y549" s="61"/>
      <c r="Z549" s="61"/>
      <c r="AA549" s="61"/>
      <c r="AB549" s="61"/>
    </row>
    <row r="550" spans="1:28" s="2" customFormat="1" ht="15">
      <c r="A550" s="61" t="s">
        <v>776</v>
      </c>
      <c r="B550" s="61" t="s">
        <v>4078</v>
      </c>
      <c r="C550" s="61" t="s">
        <v>4113</v>
      </c>
      <c r="D550" s="61" t="s">
        <v>7838</v>
      </c>
      <c r="E550" s="61">
        <v>6435</v>
      </c>
      <c r="F550" s="61">
        <v>6281</v>
      </c>
      <c r="G550" s="61"/>
      <c r="H550" s="61"/>
      <c r="I550" s="61" t="s">
        <v>200</v>
      </c>
      <c r="J550" s="61"/>
      <c r="K550" s="61" t="s">
        <v>1982</v>
      </c>
      <c r="L550" s="61"/>
      <c r="M550" s="61"/>
      <c r="N550" s="61"/>
      <c r="O550" s="61"/>
      <c r="P550" s="61"/>
      <c r="Q550" s="61"/>
      <c r="R550" s="61" t="str">
        <f t="shared" si="35"/>
        <v/>
      </c>
      <c r="S550" s="61" t="str">
        <f t="shared" si="36"/>
        <v/>
      </c>
      <c r="T550" s="61" t="str">
        <f t="shared" si="40"/>
        <v/>
      </c>
      <c r="U550" s="61" t="str">
        <f t="shared" si="37"/>
        <v/>
      </c>
      <c r="V550" s="61"/>
      <c r="W550" s="61"/>
      <c r="X550" s="61"/>
      <c r="Y550" s="61"/>
      <c r="Z550" s="61"/>
      <c r="AA550" s="61"/>
      <c r="AB550" s="61"/>
    </row>
    <row r="551" spans="1:28" s="2" customFormat="1" ht="15">
      <c r="A551" s="61" t="s">
        <v>776</v>
      </c>
      <c r="B551" s="61" t="s">
        <v>4078</v>
      </c>
      <c r="C551" s="61" t="s">
        <v>4115</v>
      </c>
      <c r="D551" s="61" t="s">
        <v>7838</v>
      </c>
      <c r="E551" s="61">
        <v>832</v>
      </c>
      <c r="F551" s="61">
        <v>772</v>
      </c>
      <c r="G551" s="61"/>
      <c r="H551" s="61"/>
      <c r="I551" s="61" t="s">
        <v>200</v>
      </c>
      <c r="J551" s="61"/>
      <c r="K551" s="61" t="s">
        <v>1982</v>
      </c>
      <c r="L551" s="61"/>
      <c r="M551" s="61"/>
      <c r="N551" s="61"/>
      <c r="O551" s="61"/>
      <c r="P551" s="61"/>
      <c r="Q551" s="61"/>
      <c r="R551" s="61" t="str">
        <f t="shared" si="35"/>
        <v/>
      </c>
      <c r="S551" s="61" t="str">
        <f t="shared" si="36"/>
        <v/>
      </c>
      <c r="T551" s="61" t="str">
        <f t="shared" si="40"/>
        <v/>
      </c>
      <c r="U551" s="61" t="str">
        <f t="shared" si="37"/>
        <v/>
      </c>
      <c r="V551" s="61"/>
      <c r="W551" s="61"/>
      <c r="X551" s="61"/>
      <c r="Y551" s="61"/>
      <c r="Z551" s="61"/>
      <c r="AA551" s="61"/>
      <c r="AB551" s="61"/>
    </row>
    <row r="552" spans="1:28" s="2" customFormat="1" ht="15">
      <c r="A552" s="61" t="s">
        <v>776</v>
      </c>
      <c r="B552" s="61" t="s">
        <v>4078</v>
      </c>
      <c r="C552" s="61" t="s">
        <v>4118</v>
      </c>
      <c r="D552" s="61" t="s">
        <v>7838</v>
      </c>
      <c r="E552" s="61">
        <v>18239</v>
      </c>
      <c r="F552" s="61">
        <v>16169</v>
      </c>
      <c r="G552" s="61"/>
      <c r="H552" s="61"/>
      <c r="I552" s="61" t="s">
        <v>200</v>
      </c>
      <c r="J552" s="61"/>
      <c r="K552" s="61" t="s">
        <v>1982</v>
      </c>
      <c r="L552" s="61"/>
      <c r="M552" s="61"/>
      <c r="N552" s="61"/>
      <c r="O552" s="61"/>
      <c r="P552" s="61"/>
      <c r="Q552" s="61"/>
      <c r="R552" s="61" t="str">
        <f t="shared" si="35"/>
        <v/>
      </c>
      <c r="S552" s="61" t="str">
        <f t="shared" si="36"/>
        <v/>
      </c>
      <c r="T552" s="61" t="str">
        <f t="shared" si="40"/>
        <v/>
      </c>
      <c r="U552" s="61" t="str">
        <f t="shared" si="37"/>
        <v/>
      </c>
      <c r="V552" s="61"/>
      <c r="W552" s="61"/>
      <c r="X552" s="61"/>
      <c r="Y552" s="61"/>
      <c r="Z552" s="61"/>
      <c r="AA552" s="61"/>
      <c r="AB552" s="61"/>
    </row>
    <row r="553" spans="1:28" s="2" customFormat="1" ht="15">
      <c r="A553" s="61" t="s">
        <v>776</v>
      </c>
      <c r="B553" s="61" t="s">
        <v>4078</v>
      </c>
      <c r="C553" s="61" t="s">
        <v>4119</v>
      </c>
      <c r="D553" s="61" t="s">
        <v>7838</v>
      </c>
      <c r="E553" s="61">
        <v>771</v>
      </c>
      <c r="F553" s="61">
        <v>712</v>
      </c>
      <c r="G553" s="61"/>
      <c r="H553" s="61"/>
      <c r="I553" s="61" t="s">
        <v>200</v>
      </c>
      <c r="J553" s="61"/>
      <c r="K553" s="61" t="s">
        <v>1982</v>
      </c>
      <c r="L553" s="61"/>
      <c r="M553" s="61"/>
      <c r="N553" s="61"/>
      <c r="O553" s="61"/>
      <c r="P553" s="61"/>
      <c r="Q553" s="61"/>
      <c r="R553" s="61" t="str">
        <f t="shared" si="35"/>
        <v/>
      </c>
      <c r="S553" s="61" t="str">
        <f t="shared" si="36"/>
        <v/>
      </c>
      <c r="T553" s="61" t="str">
        <f t="shared" si="40"/>
        <v/>
      </c>
      <c r="U553" s="61" t="str">
        <f t="shared" si="37"/>
        <v/>
      </c>
      <c r="V553" s="61"/>
      <c r="W553" s="61"/>
      <c r="X553" s="61"/>
      <c r="Y553" s="61"/>
      <c r="Z553" s="61"/>
      <c r="AA553" s="61"/>
      <c r="AB553" s="61"/>
    </row>
    <row r="554" spans="1:28" s="2" customFormat="1" ht="15">
      <c r="A554" s="61" t="s">
        <v>776</v>
      </c>
      <c r="B554" s="61" t="s">
        <v>4078</v>
      </c>
      <c r="C554" s="61" t="s">
        <v>3935</v>
      </c>
      <c r="D554" s="61" t="s">
        <v>7838</v>
      </c>
      <c r="E554" s="61">
        <v>828</v>
      </c>
      <c r="F554" s="61">
        <v>715</v>
      </c>
      <c r="G554" s="61"/>
      <c r="H554" s="61"/>
      <c r="I554" s="61" t="s">
        <v>200</v>
      </c>
      <c r="J554" s="61"/>
      <c r="K554" s="61" t="s">
        <v>1982</v>
      </c>
      <c r="L554" s="61"/>
      <c r="M554" s="61"/>
      <c r="N554" s="61"/>
      <c r="O554" s="61"/>
      <c r="P554" s="61"/>
      <c r="Q554" s="61"/>
      <c r="R554" s="61" t="str">
        <f t="shared" si="35"/>
        <v/>
      </c>
      <c r="S554" s="61" t="str">
        <f t="shared" si="36"/>
        <v/>
      </c>
      <c r="T554" s="61" t="str">
        <f t="shared" si="40"/>
        <v/>
      </c>
      <c r="U554" s="61" t="str">
        <f t="shared" si="37"/>
        <v/>
      </c>
      <c r="V554" s="61"/>
      <c r="W554" s="61"/>
      <c r="X554" s="61"/>
      <c r="Y554" s="61"/>
      <c r="Z554" s="61"/>
      <c r="AA554" s="61"/>
      <c r="AB554" s="61"/>
    </row>
    <row r="555" spans="1:28" s="2" customFormat="1" ht="15">
      <c r="A555" s="61" t="s">
        <v>776</v>
      </c>
      <c r="B555" s="61" t="s">
        <v>4078</v>
      </c>
      <c r="C555" s="61" t="s">
        <v>4120</v>
      </c>
      <c r="D555" s="61" t="s">
        <v>7838</v>
      </c>
      <c r="E555" s="61">
        <v>3336</v>
      </c>
      <c r="F555" s="61">
        <v>3094</v>
      </c>
      <c r="G555" s="61"/>
      <c r="H555" s="61"/>
      <c r="I555" s="61" t="s">
        <v>200</v>
      </c>
      <c r="J555" s="61"/>
      <c r="K555" s="61" t="s">
        <v>1982</v>
      </c>
      <c r="L555" s="61"/>
      <c r="M555" s="61"/>
      <c r="N555" s="61"/>
      <c r="O555" s="61"/>
      <c r="P555" s="61"/>
      <c r="Q555" s="61"/>
      <c r="R555" s="61" t="str">
        <f t="shared" si="35"/>
        <v/>
      </c>
      <c r="S555" s="61" t="str">
        <f t="shared" si="36"/>
        <v/>
      </c>
      <c r="T555" s="61" t="str">
        <f t="shared" si="40"/>
        <v/>
      </c>
      <c r="U555" s="61" t="str">
        <f t="shared" si="37"/>
        <v/>
      </c>
      <c r="V555" s="61"/>
      <c r="W555" s="61"/>
      <c r="X555" s="61"/>
      <c r="Y555" s="61"/>
      <c r="Z555" s="61"/>
      <c r="AA555" s="61"/>
      <c r="AB555" s="61"/>
    </row>
    <row r="556" spans="1:28" s="2" customFormat="1" ht="15">
      <c r="A556" s="61" t="s">
        <v>776</v>
      </c>
      <c r="B556" s="61" t="s">
        <v>4078</v>
      </c>
      <c r="C556" s="61" t="s">
        <v>4126</v>
      </c>
      <c r="D556" s="61" t="s">
        <v>7838</v>
      </c>
      <c r="E556" s="61">
        <v>2262</v>
      </c>
      <c r="F556" s="61">
        <v>1945</v>
      </c>
      <c r="G556" s="61"/>
      <c r="H556" s="61"/>
      <c r="I556" s="61" t="s">
        <v>200</v>
      </c>
      <c r="J556" s="61"/>
      <c r="K556" s="61" t="s">
        <v>1982</v>
      </c>
      <c r="L556" s="61"/>
      <c r="M556" s="61"/>
      <c r="N556" s="61"/>
      <c r="O556" s="61"/>
      <c r="P556" s="61"/>
      <c r="Q556" s="61"/>
      <c r="R556" s="61" t="str">
        <f t="shared" si="35"/>
        <v/>
      </c>
      <c r="S556" s="61" t="str">
        <f t="shared" si="36"/>
        <v/>
      </c>
      <c r="T556" s="61" t="str">
        <f t="shared" si="40"/>
        <v/>
      </c>
      <c r="U556" s="61" t="str">
        <f t="shared" si="37"/>
        <v/>
      </c>
      <c r="V556" s="61"/>
      <c r="W556" s="61"/>
      <c r="X556" s="61"/>
      <c r="Y556" s="61"/>
      <c r="Z556" s="61"/>
      <c r="AA556" s="61"/>
      <c r="AB556" s="61"/>
    </row>
    <row r="557" spans="1:28" s="2" customFormat="1" ht="15">
      <c r="A557" s="61" t="s">
        <v>776</v>
      </c>
      <c r="B557" s="61" t="s">
        <v>4078</v>
      </c>
      <c r="C557" s="61" t="s">
        <v>918</v>
      </c>
      <c r="D557" s="61" t="s">
        <v>7838</v>
      </c>
      <c r="E557" s="61">
        <v>4388</v>
      </c>
      <c r="F557" s="61">
        <v>4566</v>
      </c>
      <c r="G557" s="61"/>
      <c r="H557" s="61"/>
      <c r="I557" s="61" t="s">
        <v>200</v>
      </c>
      <c r="J557" s="61"/>
      <c r="K557" s="61" t="s">
        <v>1982</v>
      </c>
      <c r="L557" s="61"/>
      <c r="M557" s="61"/>
      <c r="N557" s="61"/>
      <c r="O557" s="61"/>
      <c r="P557" s="61"/>
      <c r="Q557" s="61"/>
      <c r="R557" s="61" t="str">
        <f t="shared" si="35"/>
        <v/>
      </c>
      <c r="S557" s="61" t="str">
        <f t="shared" si="36"/>
        <v/>
      </c>
      <c r="T557" s="61" t="str">
        <f t="shared" si="40"/>
        <v/>
      </c>
      <c r="U557" s="61" t="str">
        <f t="shared" si="37"/>
        <v/>
      </c>
      <c r="V557" s="61"/>
      <c r="W557" s="61"/>
      <c r="X557" s="61"/>
      <c r="Y557" s="61"/>
      <c r="Z557" s="61"/>
      <c r="AA557" s="61"/>
      <c r="AB557" s="61"/>
    </row>
    <row r="558" spans="1:28" s="2" customFormat="1" ht="15">
      <c r="A558" s="61" t="s">
        <v>776</v>
      </c>
      <c r="B558" s="61" t="s">
        <v>4078</v>
      </c>
      <c r="C558" s="61" t="s">
        <v>1170</v>
      </c>
      <c r="D558" s="61" t="s">
        <v>7838</v>
      </c>
      <c r="E558" s="61">
        <v>1973</v>
      </c>
      <c r="F558" s="61">
        <v>1534</v>
      </c>
      <c r="G558" s="61">
        <v>2025</v>
      </c>
      <c r="H558" s="61" t="s">
        <v>3129</v>
      </c>
      <c r="I558" s="61" t="s">
        <v>200</v>
      </c>
      <c r="J558" s="61" t="s">
        <v>1838</v>
      </c>
      <c r="K558" s="61" t="s">
        <v>1982</v>
      </c>
      <c r="L558" s="61" t="s">
        <v>8141</v>
      </c>
      <c r="M558" s="475">
        <v>45931</v>
      </c>
      <c r="N558" s="475">
        <v>45936</v>
      </c>
      <c r="O558" s="475">
        <v>45944</v>
      </c>
      <c r="P558" s="475">
        <v>45944</v>
      </c>
      <c r="Q558" s="475">
        <v>45944</v>
      </c>
      <c r="R558" s="61">
        <f t="shared" si="35"/>
        <v>3</v>
      </c>
      <c r="S558" s="61">
        <f t="shared" si="36"/>
        <v>6</v>
      </c>
      <c r="T558" s="61">
        <f t="shared" si="40"/>
        <v>6</v>
      </c>
      <c r="U558" s="61">
        <f t="shared" si="37"/>
        <v>1</v>
      </c>
      <c r="V558" s="61" t="s">
        <v>150</v>
      </c>
      <c r="W558" s="61" t="s">
        <v>3527</v>
      </c>
      <c r="X558" s="61" t="s">
        <v>3528</v>
      </c>
      <c r="Y558" s="61">
        <v>14.808400000000001</v>
      </c>
      <c r="Z558" s="61">
        <v>120.8441</v>
      </c>
      <c r="AA558" s="61"/>
      <c r="AB558" s="61"/>
    </row>
    <row r="559" spans="1:28" s="2" customFormat="1" ht="15">
      <c r="A559" s="61" t="s">
        <v>776</v>
      </c>
      <c r="B559" s="61" t="s">
        <v>4078</v>
      </c>
      <c r="C559" s="61" t="s">
        <v>3977</v>
      </c>
      <c r="D559" s="61" t="s">
        <v>7838</v>
      </c>
      <c r="E559" s="61">
        <v>2025</v>
      </c>
      <c r="F559" s="61">
        <v>2035</v>
      </c>
      <c r="G559" s="61"/>
      <c r="H559" s="61"/>
      <c r="I559" s="61" t="s">
        <v>200</v>
      </c>
      <c r="J559" s="61"/>
      <c r="K559" s="61" t="s">
        <v>1982</v>
      </c>
      <c r="L559" s="61"/>
      <c r="M559" s="61"/>
      <c r="N559" s="61"/>
      <c r="O559" s="61"/>
      <c r="P559" s="61"/>
      <c r="Q559" s="61"/>
      <c r="R559" s="61" t="str">
        <f t="shared" si="35"/>
        <v/>
      </c>
      <c r="S559" s="61" t="str">
        <f t="shared" si="36"/>
        <v/>
      </c>
      <c r="T559" s="61" t="str">
        <f t="shared" si="40"/>
        <v/>
      </c>
      <c r="U559" s="61" t="str">
        <f t="shared" si="37"/>
        <v/>
      </c>
      <c r="V559" s="61"/>
      <c r="W559" s="61"/>
      <c r="X559" s="61"/>
      <c r="Y559" s="61"/>
      <c r="Z559" s="61"/>
      <c r="AA559" s="61"/>
      <c r="AB559" s="61"/>
    </row>
    <row r="560" spans="1:28" s="2" customFormat="1" ht="15">
      <c r="A560" s="61" t="s">
        <v>776</v>
      </c>
      <c r="B560" s="61" t="s">
        <v>4078</v>
      </c>
      <c r="C560" s="61" t="s">
        <v>4130</v>
      </c>
      <c r="D560" s="61" t="s">
        <v>7838</v>
      </c>
      <c r="E560" s="61">
        <v>561</v>
      </c>
      <c r="F560" s="61">
        <v>574</v>
      </c>
      <c r="G560" s="61">
        <v>2025</v>
      </c>
      <c r="H560" s="61" t="s">
        <v>3129</v>
      </c>
      <c r="I560" s="61" t="s">
        <v>200</v>
      </c>
      <c r="J560" s="61" t="s">
        <v>1838</v>
      </c>
      <c r="K560" s="61" t="s">
        <v>1982</v>
      </c>
      <c r="L560" s="61" t="s">
        <v>8141</v>
      </c>
      <c r="M560" s="475">
        <v>45931</v>
      </c>
      <c r="N560" s="475">
        <v>45936</v>
      </c>
      <c r="O560" s="475">
        <v>45944</v>
      </c>
      <c r="P560" s="475">
        <v>45944</v>
      </c>
      <c r="Q560" s="475">
        <v>45944</v>
      </c>
      <c r="R560" s="61">
        <f t="shared" si="35"/>
        <v>3</v>
      </c>
      <c r="S560" s="61">
        <f t="shared" si="36"/>
        <v>6</v>
      </c>
      <c r="T560" s="61">
        <f t="shared" si="40"/>
        <v>6</v>
      </c>
      <c r="U560" s="61">
        <f t="shared" si="37"/>
        <v>1</v>
      </c>
      <c r="V560" s="61" t="s">
        <v>150</v>
      </c>
      <c r="W560" s="61" t="s">
        <v>3527</v>
      </c>
      <c r="X560" s="61" t="s">
        <v>3528</v>
      </c>
      <c r="Y560" s="61">
        <v>14.808400000000001</v>
      </c>
      <c r="Z560" s="61">
        <v>120.8441</v>
      </c>
      <c r="AA560" s="61"/>
      <c r="AB560" s="61"/>
    </row>
    <row r="561" spans="1:28" s="2" customFormat="1" ht="15">
      <c r="A561" s="61" t="s">
        <v>776</v>
      </c>
      <c r="B561" s="61" t="s">
        <v>4078</v>
      </c>
      <c r="C561" s="61" t="s">
        <v>4132</v>
      </c>
      <c r="D561" s="61" t="s">
        <v>7838</v>
      </c>
      <c r="E561" s="61">
        <v>7633</v>
      </c>
      <c r="F561" s="61">
        <v>7333</v>
      </c>
      <c r="G561" s="61"/>
      <c r="H561" s="61" t="s">
        <v>3128</v>
      </c>
      <c r="I561" s="61" t="s">
        <v>200</v>
      </c>
      <c r="J561" s="61" t="s">
        <v>1838</v>
      </c>
      <c r="K561" s="61" t="s">
        <v>1982</v>
      </c>
      <c r="L561" s="61"/>
      <c r="M561" s="475"/>
      <c r="N561" s="475"/>
      <c r="O561" s="475"/>
      <c r="P561" s="475"/>
      <c r="Q561" s="475"/>
      <c r="R561" s="61" t="str">
        <f t="shared" si="35"/>
        <v/>
      </c>
      <c r="S561" s="61" t="str">
        <f t="shared" si="36"/>
        <v/>
      </c>
      <c r="T561" s="61" t="str">
        <f t="shared" si="40"/>
        <v/>
      </c>
      <c r="U561" s="61" t="str">
        <f t="shared" si="37"/>
        <v/>
      </c>
      <c r="V561" s="61"/>
      <c r="W561" s="61"/>
      <c r="X561" s="61"/>
      <c r="Y561" s="61"/>
      <c r="Z561" s="61"/>
      <c r="AA561" s="61"/>
      <c r="AB561" s="61"/>
    </row>
    <row r="562" spans="1:28" s="2" customFormat="1" ht="15">
      <c r="A562" s="61" t="s">
        <v>776</v>
      </c>
      <c r="B562" s="61" t="s">
        <v>4078</v>
      </c>
      <c r="C562" s="61" t="s">
        <v>4135</v>
      </c>
      <c r="D562" s="61" t="s">
        <v>7838</v>
      </c>
      <c r="E562" s="61">
        <v>2645</v>
      </c>
      <c r="F562" s="61">
        <v>2442</v>
      </c>
      <c r="G562" s="61"/>
      <c r="H562" s="61"/>
      <c r="I562" s="61" t="s">
        <v>200</v>
      </c>
      <c r="J562" s="61"/>
      <c r="K562" s="61" t="s">
        <v>1982</v>
      </c>
      <c r="L562" s="61"/>
      <c r="M562" s="61"/>
      <c r="N562" s="61"/>
      <c r="O562" s="61"/>
      <c r="P562" s="61"/>
      <c r="Q562" s="61"/>
      <c r="R562" s="61" t="str">
        <f t="shared" si="35"/>
        <v/>
      </c>
      <c r="S562" s="61" t="str">
        <f t="shared" si="36"/>
        <v/>
      </c>
      <c r="T562" s="61" t="str">
        <f t="shared" si="40"/>
        <v/>
      </c>
      <c r="U562" s="61" t="str">
        <f t="shared" si="37"/>
        <v/>
      </c>
      <c r="V562" s="61"/>
      <c r="W562" s="61"/>
      <c r="X562" s="61"/>
      <c r="Y562" s="61"/>
      <c r="Z562" s="61"/>
      <c r="AA562" s="61"/>
      <c r="AB562" s="61"/>
    </row>
    <row r="563" spans="1:28" s="2" customFormat="1" ht="15">
      <c r="A563" s="61" t="s">
        <v>776</v>
      </c>
      <c r="B563" s="61" t="s">
        <v>4078</v>
      </c>
      <c r="C563" s="61" t="s">
        <v>4136</v>
      </c>
      <c r="D563" s="61" t="s">
        <v>7838</v>
      </c>
      <c r="E563" s="61">
        <v>7554</v>
      </c>
      <c r="F563" s="61">
        <v>8719</v>
      </c>
      <c r="G563" s="61"/>
      <c r="H563" s="61"/>
      <c r="I563" s="61" t="s">
        <v>200</v>
      </c>
      <c r="J563" s="61"/>
      <c r="K563" s="61" t="s">
        <v>1982</v>
      </c>
      <c r="L563" s="61"/>
      <c r="M563" s="61"/>
      <c r="N563" s="61"/>
      <c r="O563" s="61"/>
      <c r="P563" s="61"/>
      <c r="Q563" s="61"/>
      <c r="R563" s="61" t="str">
        <f t="shared" si="35"/>
        <v/>
      </c>
      <c r="S563" s="61" t="str">
        <f t="shared" si="36"/>
        <v/>
      </c>
      <c r="T563" s="61" t="str">
        <f t="shared" si="40"/>
        <v/>
      </c>
      <c r="U563" s="61" t="str">
        <f t="shared" si="37"/>
        <v/>
      </c>
      <c r="V563" s="61"/>
      <c r="W563" s="61"/>
      <c r="X563" s="61"/>
      <c r="Y563" s="61"/>
      <c r="Z563" s="61"/>
      <c r="AA563" s="61"/>
      <c r="AB563" s="61"/>
    </row>
    <row r="564" spans="1:28" s="2" customFormat="1" ht="15">
      <c r="A564" s="61" t="s">
        <v>776</v>
      </c>
      <c r="B564" s="61" t="s">
        <v>4078</v>
      </c>
      <c r="C564" s="61" t="s">
        <v>4138</v>
      </c>
      <c r="D564" s="61" t="s">
        <v>7838</v>
      </c>
      <c r="E564" s="61">
        <v>10094</v>
      </c>
      <c r="F564" s="61">
        <v>12600</v>
      </c>
      <c r="G564" s="61"/>
      <c r="H564" s="61"/>
      <c r="I564" s="61" t="s">
        <v>200</v>
      </c>
      <c r="J564" s="61"/>
      <c r="K564" s="61" t="s">
        <v>1982</v>
      </c>
      <c r="L564" s="61"/>
      <c r="M564" s="61"/>
      <c r="N564" s="61"/>
      <c r="O564" s="61"/>
      <c r="P564" s="61"/>
      <c r="Q564" s="61"/>
      <c r="R564" s="61" t="str">
        <f t="shared" si="35"/>
        <v/>
      </c>
      <c r="S564" s="61" t="str">
        <f t="shared" si="36"/>
        <v/>
      </c>
      <c r="T564" s="61" t="str">
        <f t="shared" si="40"/>
        <v/>
      </c>
      <c r="U564" s="61" t="str">
        <f t="shared" si="37"/>
        <v/>
      </c>
      <c r="V564" s="61"/>
      <c r="W564" s="61"/>
      <c r="X564" s="61"/>
      <c r="Y564" s="61"/>
      <c r="Z564" s="61"/>
      <c r="AA564" s="61"/>
      <c r="AB564" s="61"/>
    </row>
    <row r="565" spans="1:28" s="2" customFormat="1" ht="15">
      <c r="A565" s="61" t="s">
        <v>776</v>
      </c>
      <c r="B565" s="61" t="s">
        <v>4078</v>
      </c>
      <c r="C565" s="61" t="s">
        <v>4092</v>
      </c>
      <c r="D565" s="61" t="s">
        <v>7838</v>
      </c>
      <c r="E565" s="61">
        <v>4086</v>
      </c>
      <c r="F565" s="61">
        <v>4217</v>
      </c>
      <c r="G565" s="61">
        <v>2025</v>
      </c>
      <c r="H565" s="61" t="s">
        <v>3127</v>
      </c>
      <c r="I565" s="61" t="s">
        <v>200</v>
      </c>
      <c r="J565" s="61" t="s">
        <v>1838</v>
      </c>
      <c r="K565" s="61" t="s">
        <v>1982</v>
      </c>
      <c r="L565" s="61" t="s">
        <v>8142</v>
      </c>
      <c r="M565" s="475">
        <v>45909</v>
      </c>
      <c r="N565" s="475">
        <v>45915</v>
      </c>
      <c r="O565" s="475">
        <v>45917</v>
      </c>
      <c r="P565" s="475">
        <v>45917</v>
      </c>
      <c r="Q565" s="475">
        <v>45918</v>
      </c>
      <c r="R565" s="61">
        <f t="shared" si="35"/>
        <v>4</v>
      </c>
      <c r="S565" s="61">
        <f t="shared" si="36"/>
        <v>2</v>
      </c>
      <c r="T565" s="61">
        <f t="shared" si="40"/>
        <v>2</v>
      </c>
      <c r="U565" s="61">
        <f t="shared" si="37"/>
        <v>1</v>
      </c>
      <c r="V565" s="61" t="s">
        <v>150</v>
      </c>
      <c r="W565" s="61" t="s">
        <v>4</v>
      </c>
      <c r="X565" s="61" t="s">
        <v>50</v>
      </c>
      <c r="Y565" s="61" t="s">
        <v>8143</v>
      </c>
      <c r="Z565" s="61" t="s">
        <v>8144</v>
      </c>
      <c r="AA565" s="61"/>
      <c r="AB565" s="61"/>
    </row>
    <row r="566" spans="1:28" s="2" customFormat="1" ht="15">
      <c r="A566" s="61" t="s">
        <v>776</v>
      </c>
      <c r="B566" s="61" t="s">
        <v>4078</v>
      </c>
      <c r="C566" s="61" t="s">
        <v>4124</v>
      </c>
      <c r="D566" s="61" t="s">
        <v>7838</v>
      </c>
      <c r="E566" s="61">
        <v>6524</v>
      </c>
      <c r="F566" s="61">
        <v>6688</v>
      </c>
      <c r="G566" s="61">
        <v>2025</v>
      </c>
      <c r="H566" s="61" t="s">
        <v>3127</v>
      </c>
      <c r="I566" s="61" t="s">
        <v>200</v>
      </c>
      <c r="J566" s="61" t="s">
        <v>1838</v>
      </c>
      <c r="K566" s="61" t="s">
        <v>1982</v>
      </c>
      <c r="L566" s="61" t="s">
        <v>8145</v>
      </c>
      <c r="M566" s="475">
        <v>45909</v>
      </c>
      <c r="N566" s="475">
        <v>45915</v>
      </c>
      <c r="O566" s="475">
        <v>45916</v>
      </c>
      <c r="P566" s="475">
        <v>45916</v>
      </c>
      <c r="Q566" s="475">
        <v>45918</v>
      </c>
      <c r="R566" s="61">
        <f t="shared" si="35"/>
        <v>4</v>
      </c>
      <c r="S566" s="61">
        <f t="shared" si="36"/>
        <v>1</v>
      </c>
      <c r="T566" s="61">
        <f t="shared" si="40"/>
        <v>1</v>
      </c>
      <c r="U566" s="61">
        <f t="shared" si="37"/>
        <v>2</v>
      </c>
      <c r="V566" s="61" t="s">
        <v>150</v>
      </c>
      <c r="W566" s="61" t="s">
        <v>4</v>
      </c>
      <c r="X566" s="61" t="s">
        <v>50</v>
      </c>
      <c r="Y566" s="61" t="s">
        <v>8146</v>
      </c>
      <c r="Z566" s="61" t="s">
        <v>8147</v>
      </c>
      <c r="AA566" s="61"/>
      <c r="AB566" s="61"/>
    </row>
    <row r="567" spans="1:28" s="2" customFormat="1" ht="15">
      <c r="A567" s="61" t="s">
        <v>776</v>
      </c>
      <c r="B567" s="61" t="s">
        <v>4078</v>
      </c>
      <c r="C567" s="61" t="s">
        <v>4103</v>
      </c>
      <c r="D567" s="61" t="s">
        <v>7838</v>
      </c>
      <c r="E567" s="61">
        <v>6087</v>
      </c>
      <c r="F567" s="61">
        <v>7563</v>
      </c>
      <c r="G567" s="61">
        <v>2025</v>
      </c>
      <c r="H567" s="61" t="s">
        <v>3127</v>
      </c>
      <c r="I567" s="61" t="s">
        <v>200</v>
      </c>
      <c r="J567" s="61" t="s">
        <v>1838</v>
      </c>
      <c r="K567" s="61" t="s">
        <v>1982</v>
      </c>
      <c r="L567" s="61" t="s">
        <v>8148</v>
      </c>
      <c r="M567" s="475">
        <v>45909</v>
      </c>
      <c r="N567" s="475">
        <v>45915</v>
      </c>
      <c r="O567" s="475">
        <v>45916</v>
      </c>
      <c r="P567" s="475">
        <v>45916</v>
      </c>
      <c r="Q567" s="475">
        <v>45918</v>
      </c>
      <c r="R567" s="61">
        <f t="shared" si="35"/>
        <v>4</v>
      </c>
      <c r="S567" s="61">
        <f t="shared" si="36"/>
        <v>1</v>
      </c>
      <c r="T567" s="61">
        <f t="shared" si="40"/>
        <v>1</v>
      </c>
      <c r="U567" s="61">
        <f t="shared" si="37"/>
        <v>2</v>
      </c>
      <c r="V567" s="61" t="s">
        <v>150</v>
      </c>
      <c r="W567" s="61" t="s">
        <v>1078</v>
      </c>
      <c r="X567" s="61" t="s">
        <v>3528</v>
      </c>
      <c r="Y567" s="61" t="s">
        <v>8149</v>
      </c>
      <c r="Z567" s="61" t="s">
        <v>8150</v>
      </c>
      <c r="AA567" s="61"/>
      <c r="AB567" s="61"/>
    </row>
    <row r="568" spans="1:28" s="2" customFormat="1" ht="15">
      <c r="A568" s="61" t="s">
        <v>776</v>
      </c>
      <c r="B568" s="61" t="s">
        <v>4078</v>
      </c>
      <c r="C568" s="61" t="s">
        <v>4079</v>
      </c>
      <c r="D568" s="61" t="s">
        <v>7838</v>
      </c>
      <c r="E568" s="61">
        <v>5833</v>
      </c>
      <c r="F568" s="61">
        <v>5852</v>
      </c>
      <c r="G568" s="61">
        <v>2025</v>
      </c>
      <c r="H568" s="61" t="s">
        <v>3127</v>
      </c>
      <c r="I568" s="61" t="s">
        <v>200</v>
      </c>
      <c r="J568" s="61" t="s">
        <v>1838</v>
      </c>
      <c r="K568" s="61" t="s">
        <v>1982</v>
      </c>
      <c r="L568" s="61" t="s">
        <v>8151</v>
      </c>
      <c r="M568" s="475">
        <v>45909</v>
      </c>
      <c r="N568" s="475">
        <v>45915</v>
      </c>
      <c r="O568" s="475">
        <v>45917</v>
      </c>
      <c r="P568" s="475">
        <v>45917</v>
      </c>
      <c r="Q568" s="475">
        <v>45918</v>
      </c>
      <c r="R568" s="61">
        <f t="shared" si="35"/>
        <v>4</v>
      </c>
      <c r="S568" s="61">
        <f t="shared" si="36"/>
        <v>2</v>
      </c>
      <c r="T568" s="61">
        <f t="shared" si="40"/>
        <v>2</v>
      </c>
      <c r="U568" s="61">
        <f t="shared" si="37"/>
        <v>1</v>
      </c>
      <c r="V568" s="61" t="s">
        <v>150</v>
      </c>
      <c r="W568" s="61" t="s">
        <v>3527</v>
      </c>
      <c r="X568" s="61" t="s">
        <v>3528</v>
      </c>
      <c r="Y568" s="61" t="s">
        <v>8152</v>
      </c>
      <c r="Z568" s="61" t="s">
        <v>8153</v>
      </c>
      <c r="AA568" s="61"/>
      <c r="AB568" s="61"/>
    </row>
    <row r="569" spans="1:28" s="2" customFormat="1" ht="15">
      <c r="A569" s="61" t="s">
        <v>776</v>
      </c>
      <c r="B569" s="61" t="s">
        <v>4139</v>
      </c>
      <c r="C569" s="61" t="s">
        <v>4142</v>
      </c>
      <c r="D569" s="61" t="s">
        <v>7838</v>
      </c>
      <c r="E569" s="61">
        <v>11568</v>
      </c>
      <c r="F569" s="61">
        <v>13232</v>
      </c>
      <c r="G569" s="61">
        <v>2025</v>
      </c>
      <c r="H569" s="61" t="s">
        <v>3470</v>
      </c>
      <c r="I569" s="61" t="s">
        <v>508</v>
      </c>
      <c r="J569" s="61"/>
      <c r="K569" s="61" t="s">
        <v>1982</v>
      </c>
      <c r="L569" s="61" t="s">
        <v>8154</v>
      </c>
      <c r="M569" s="475">
        <v>45762</v>
      </c>
      <c r="N569" s="475">
        <v>45762</v>
      </c>
      <c r="O569" s="61"/>
      <c r="P569" s="475">
        <v>45763</v>
      </c>
      <c r="Q569" s="475">
        <v>45768</v>
      </c>
      <c r="R569" s="61">
        <f t="shared" si="35"/>
        <v>1</v>
      </c>
      <c r="S569" s="61" t="str">
        <f t="shared" si="36"/>
        <v/>
      </c>
      <c r="T569" s="61">
        <f t="shared" si="40"/>
        <v>1</v>
      </c>
      <c r="U569" s="61">
        <f t="shared" si="37"/>
        <v>3</v>
      </c>
      <c r="V569" s="61" t="s">
        <v>150</v>
      </c>
      <c r="W569" s="61" t="s">
        <v>4</v>
      </c>
      <c r="X569" s="61" t="s">
        <v>50</v>
      </c>
      <c r="Y569" s="61" t="s">
        <v>8155</v>
      </c>
      <c r="Z569" s="61" t="s">
        <v>8156</v>
      </c>
      <c r="AA569" s="61" t="s">
        <v>463</v>
      </c>
      <c r="AB569" s="61"/>
    </row>
    <row r="570" spans="1:28" s="2" customFormat="1" ht="15">
      <c r="A570" s="61" t="s">
        <v>776</v>
      </c>
      <c r="B570" s="61" t="s">
        <v>4139</v>
      </c>
      <c r="C570" s="61" t="s">
        <v>4143</v>
      </c>
      <c r="D570" s="61" t="s">
        <v>7838</v>
      </c>
      <c r="E570" s="61">
        <v>12589</v>
      </c>
      <c r="F570" s="61">
        <v>12687</v>
      </c>
      <c r="G570" s="61">
        <v>2025</v>
      </c>
      <c r="H570" s="61" t="s">
        <v>3470</v>
      </c>
      <c r="I570" s="61" t="s">
        <v>508</v>
      </c>
      <c r="J570" s="61"/>
      <c r="K570" s="61" t="s">
        <v>1982</v>
      </c>
      <c r="L570" s="61" t="s">
        <v>8157</v>
      </c>
      <c r="M570" s="475">
        <v>45762</v>
      </c>
      <c r="N570" s="475">
        <v>45762</v>
      </c>
      <c r="O570" s="61"/>
      <c r="P570" s="475">
        <v>45763</v>
      </c>
      <c r="Q570" s="475">
        <v>45768</v>
      </c>
      <c r="R570" s="61">
        <f t="shared" si="35"/>
        <v>1</v>
      </c>
      <c r="S570" s="61" t="str">
        <f t="shared" si="36"/>
        <v/>
      </c>
      <c r="T570" s="61">
        <f t="shared" si="40"/>
        <v>1</v>
      </c>
      <c r="U570" s="61">
        <f t="shared" si="37"/>
        <v>3</v>
      </c>
      <c r="V570" s="61" t="s">
        <v>150</v>
      </c>
      <c r="W570" s="61" t="s">
        <v>4</v>
      </c>
      <c r="X570" s="61" t="s">
        <v>50</v>
      </c>
      <c r="Y570" s="61" t="s">
        <v>8158</v>
      </c>
      <c r="Z570" s="61" t="s">
        <v>8159</v>
      </c>
      <c r="AA570" s="61" t="s">
        <v>463</v>
      </c>
      <c r="AB570" s="61"/>
    </row>
    <row r="571" spans="1:28" s="2" customFormat="1" ht="15">
      <c r="A571" s="61" t="s">
        <v>776</v>
      </c>
      <c r="B571" s="61" t="s">
        <v>4139</v>
      </c>
      <c r="C571" s="61" t="s">
        <v>4148</v>
      </c>
      <c r="D571" s="61" t="s">
        <v>7838</v>
      </c>
      <c r="E571" s="61">
        <v>8972</v>
      </c>
      <c r="F571" s="61">
        <v>8388</v>
      </c>
      <c r="G571" s="61">
        <v>2025</v>
      </c>
      <c r="H571" s="61" t="s">
        <v>7362</v>
      </c>
      <c r="I571" s="61" t="s">
        <v>508</v>
      </c>
      <c r="J571" s="61"/>
      <c r="K571" s="61" t="s">
        <v>1982</v>
      </c>
      <c r="L571" s="61" t="s">
        <v>8160</v>
      </c>
      <c r="M571" s="475">
        <v>45790</v>
      </c>
      <c r="N571" s="475">
        <v>45796</v>
      </c>
      <c r="O571" s="475"/>
      <c r="P571" s="475">
        <v>45797</v>
      </c>
      <c r="Q571" s="475">
        <v>45797</v>
      </c>
      <c r="R571" s="61">
        <f t="shared" si="35"/>
        <v>4</v>
      </c>
      <c r="S571" s="61" t="str">
        <f t="shared" si="36"/>
        <v/>
      </c>
      <c r="T571" s="61">
        <f t="shared" si="40"/>
        <v>1</v>
      </c>
      <c r="U571" s="61">
        <f t="shared" si="37"/>
        <v>1</v>
      </c>
      <c r="V571" s="61" t="s">
        <v>150</v>
      </c>
      <c r="W571" s="61" t="s">
        <v>4</v>
      </c>
      <c r="X571" s="61" t="s">
        <v>50</v>
      </c>
      <c r="Y571" s="61" t="s">
        <v>8161</v>
      </c>
      <c r="Z571" s="61" t="s">
        <v>8162</v>
      </c>
      <c r="AA571" s="61"/>
      <c r="AB571" s="61"/>
    </row>
    <row r="572" spans="1:28" s="2" customFormat="1" ht="15">
      <c r="A572" s="61" t="s">
        <v>776</v>
      </c>
      <c r="B572" s="61" t="s">
        <v>4139</v>
      </c>
      <c r="C572" s="61" t="s">
        <v>4150</v>
      </c>
      <c r="D572" s="61" t="s">
        <v>7838</v>
      </c>
      <c r="E572" s="61">
        <v>1675</v>
      </c>
      <c r="F572" s="61">
        <v>2683</v>
      </c>
      <c r="G572" s="61">
        <v>2025</v>
      </c>
      <c r="H572" s="61" t="s">
        <v>3689</v>
      </c>
      <c r="I572" s="61" t="s">
        <v>508</v>
      </c>
      <c r="J572" s="61"/>
      <c r="K572" s="61" t="s">
        <v>1982</v>
      </c>
      <c r="L572" s="61" t="s">
        <v>8163</v>
      </c>
      <c r="M572" s="475">
        <v>45790</v>
      </c>
      <c r="N572" s="475">
        <v>45792</v>
      </c>
      <c r="O572" s="475"/>
      <c r="P572" s="475">
        <v>45793</v>
      </c>
      <c r="Q572" s="475">
        <v>45796</v>
      </c>
      <c r="R572" s="61">
        <f t="shared" si="35"/>
        <v>2</v>
      </c>
      <c r="S572" s="61" t="str">
        <f t="shared" si="36"/>
        <v/>
      </c>
      <c r="T572" s="61">
        <f t="shared" si="40"/>
        <v>1</v>
      </c>
      <c r="U572" s="61">
        <f t="shared" si="37"/>
        <v>1</v>
      </c>
      <c r="V572" s="61" t="s">
        <v>150</v>
      </c>
      <c r="W572" s="61" t="s">
        <v>4</v>
      </c>
      <c r="X572" s="61" t="s">
        <v>50</v>
      </c>
      <c r="Y572" s="61">
        <v>14.730600000000001</v>
      </c>
      <c r="Z572" s="61">
        <v>120.958</v>
      </c>
      <c r="AA572" s="61" t="s">
        <v>463</v>
      </c>
      <c r="AB572" s="61"/>
    </row>
    <row r="573" spans="1:28" s="2" customFormat="1" ht="15">
      <c r="A573" s="61" t="s">
        <v>776</v>
      </c>
      <c r="B573" s="61" t="s">
        <v>4139</v>
      </c>
      <c r="C573" s="61" t="s">
        <v>1539</v>
      </c>
      <c r="D573" s="61" t="s">
        <v>7838</v>
      </c>
      <c r="E573" s="61">
        <v>8032</v>
      </c>
      <c r="F573" s="61">
        <v>9367</v>
      </c>
      <c r="G573" s="61">
        <v>2025</v>
      </c>
      <c r="H573" s="61" t="s">
        <v>3416</v>
      </c>
      <c r="I573" s="61" t="s">
        <v>508</v>
      </c>
      <c r="J573" s="61"/>
      <c r="K573" s="61" t="s">
        <v>1982</v>
      </c>
      <c r="L573" s="61" t="s">
        <v>8164</v>
      </c>
      <c r="M573" s="475">
        <v>45722</v>
      </c>
      <c r="N573" s="475">
        <v>45733</v>
      </c>
      <c r="O573" s="475">
        <v>45733</v>
      </c>
      <c r="P573" s="475">
        <v>45733</v>
      </c>
      <c r="Q573" s="475">
        <v>45734</v>
      </c>
      <c r="R573" s="61">
        <f t="shared" si="35"/>
        <v>7</v>
      </c>
      <c r="S573" s="61">
        <f t="shared" si="36"/>
        <v>1</v>
      </c>
      <c r="T573" s="61">
        <f t="shared" si="40"/>
        <v>1</v>
      </c>
      <c r="U573" s="61">
        <f t="shared" si="37"/>
        <v>1</v>
      </c>
      <c r="V573" s="61" t="s">
        <v>150</v>
      </c>
      <c r="W573" s="61" t="s">
        <v>4</v>
      </c>
      <c r="X573" s="61" t="s">
        <v>50</v>
      </c>
      <c r="Y573" s="61">
        <v>14.7537</v>
      </c>
      <c r="Z573" s="61">
        <v>120.97799999999999</v>
      </c>
      <c r="AA573" s="61"/>
      <c r="AB573" s="61"/>
    </row>
    <row r="574" spans="1:28" s="2" customFormat="1" ht="15">
      <c r="A574" s="61" t="s">
        <v>776</v>
      </c>
      <c r="B574" s="61" t="s">
        <v>4139</v>
      </c>
      <c r="C574" s="61" t="s">
        <v>4152</v>
      </c>
      <c r="D574" s="61" t="s">
        <v>7838</v>
      </c>
      <c r="E574" s="61">
        <v>3871</v>
      </c>
      <c r="F574" s="61">
        <v>4319</v>
      </c>
      <c r="G574" s="61">
        <v>2025</v>
      </c>
      <c r="H574" s="61" t="s">
        <v>3416</v>
      </c>
      <c r="I574" s="61" t="s">
        <v>508</v>
      </c>
      <c r="J574" s="61"/>
      <c r="K574" s="61" t="s">
        <v>1982</v>
      </c>
      <c r="L574" s="61" t="s">
        <v>8165</v>
      </c>
      <c r="M574" s="475">
        <v>45729</v>
      </c>
      <c r="N574" s="475">
        <v>45733</v>
      </c>
      <c r="O574" s="475">
        <v>45733</v>
      </c>
      <c r="P574" s="475">
        <v>45734</v>
      </c>
      <c r="Q574" s="475">
        <v>45735</v>
      </c>
      <c r="R574" s="61">
        <f t="shared" si="35"/>
        <v>2</v>
      </c>
      <c r="S574" s="61">
        <f t="shared" si="36"/>
        <v>1</v>
      </c>
      <c r="T574" s="61">
        <f t="shared" si="40"/>
        <v>1</v>
      </c>
      <c r="U574" s="61">
        <f t="shared" si="37"/>
        <v>1</v>
      </c>
      <c r="V574" s="61" t="s">
        <v>150</v>
      </c>
      <c r="W574" s="61" t="s">
        <v>4</v>
      </c>
      <c r="X574" s="61" t="s">
        <v>50</v>
      </c>
      <c r="Y574" s="61">
        <v>14.7395</v>
      </c>
      <c r="Z574" s="61">
        <v>120.98099999999999</v>
      </c>
      <c r="AA574" s="61"/>
      <c r="AB574" s="61"/>
    </row>
    <row r="575" spans="1:28" s="2" customFormat="1" ht="15">
      <c r="A575" s="61" t="s">
        <v>776</v>
      </c>
      <c r="B575" s="61" t="s">
        <v>4139</v>
      </c>
      <c r="C575" s="61" t="s">
        <v>4154</v>
      </c>
      <c r="D575" s="61" t="s">
        <v>7838</v>
      </c>
      <c r="E575" s="61">
        <v>12854</v>
      </c>
      <c r="F575" s="61">
        <v>15592</v>
      </c>
      <c r="G575" s="61">
        <v>2025</v>
      </c>
      <c r="H575" s="61" t="s">
        <v>3416</v>
      </c>
      <c r="I575" s="61" t="s">
        <v>508</v>
      </c>
      <c r="J575" s="61"/>
      <c r="K575" s="61" t="s">
        <v>1982</v>
      </c>
      <c r="L575" s="61" t="s">
        <v>8166</v>
      </c>
      <c r="M575" s="475">
        <v>45729</v>
      </c>
      <c r="N575" s="475">
        <v>45733</v>
      </c>
      <c r="O575" s="475">
        <v>45733</v>
      </c>
      <c r="P575" s="475">
        <v>45734</v>
      </c>
      <c r="Q575" s="475">
        <v>45735</v>
      </c>
      <c r="R575" s="61">
        <f t="shared" si="35"/>
        <v>2</v>
      </c>
      <c r="S575" s="61">
        <f t="shared" si="36"/>
        <v>1</v>
      </c>
      <c r="T575" s="61">
        <f t="shared" si="40"/>
        <v>1</v>
      </c>
      <c r="U575" s="61">
        <f t="shared" si="37"/>
        <v>1</v>
      </c>
      <c r="V575" s="61" t="s">
        <v>150</v>
      </c>
      <c r="W575" s="61" t="s">
        <v>4</v>
      </c>
      <c r="X575" s="61" t="s">
        <v>50</v>
      </c>
      <c r="Y575" s="61">
        <v>14.738</v>
      </c>
      <c r="Z575" s="61">
        <v>120.9743</v>
      </c>
      <c r="AA575" s="61"/>
      <c r="AB575" s="61"/>
    </row>
    <row r="576" spans="1:28" s="2" customFormat="1" ht="15">
      <c r="A576" s="61" t="s">
        <v>776</v>
      </c>
      <c r="B576" s="61" t="s">
        <v>4139</v>
      </c>
      <c r="C576" s="61" t="s">
        <v>1831</v>
      </c>
      <c r="D576" s="61" t="s">
        <v>7838</v>
      </c>
      <c r="E576" s="61">
        <v>3412</v>
      </c>
      <c r="F576" s="61">
        <v>2903</v>
      </c>
      <c r="G576" s="61">
        <v>2025</v>
      </c>
      <c r="H576" s="61" t="s">
        <v>3689</v>
      </c>
      <c r="I576" s="61" t="s">
        <v>508</v>
      </c>
      <c r="J576" s="61"/>
      <c r="K576" s="61" t="s">
        <v>1982</v>
      </c>
      <c r="L576" s="61" t="s">
        <v>8167</v>
      </c>
      <c r="M576" s="475">
        <v>45821</v>
      </c>
      <c r="N576" s="475">
        <v>45826</v>
      </c>
      <c r="O576" s="61"/>
      <c r="P576" s="475">
        <v>45827</v>
      </c>
      <c r="Q576" s="475">
        <v>45827</v>
      </c>
      <c r="R576" s="61">
        <f t="shared" si="35"/>
        <v>3</v>
      </c>
      <c r="S576" s="61" t="str">
        <f t="shared" si="36"/>
        <v/>
      </c>
      <c r="T576" s="61">
        <f t="shared" si="40"/>
        <v>1</v>
      </c>
      <c r="U576" s="61">
        <f t="shared" si="37"/>
        <v>1</v>
      </c>
      <c r="V576" s="61" t="s">
        <v>150</v>
      </c>
      <c r="W576" s="61" t="s">
        <v>4</v>
      </c>
      <c r="X576" s="61" t="s">
        <v>50</v>
      </c>
      <c r="Y576" s="61" t="s">
        <v>8168</v>
      </c>
      <c r="Z576" s="61" t="s">
        <v>8169</v>
      </c>
      <c r="AA576" s="61" t="s">
        <v>8170</v>
      </c>
      <c r="AB576" s="61"/>
    </row>
    <row r="577" spans="1:28" s="2" customFormat="1" ht="15">
      <c r="A577" s="61" t="s">
        <v>776</v>
      </c>
      <c r="B577" s="61" t="s">
        <v>4139</v>
      </c>
      <c r="C577" s="61" t="s">
        <v>4159</v>
      </c>
      <c r="D577" s="61" t="s">
        <v>7838</v>
      </c>
      <c r="E577" s="61">
        <v>22205</v>
      </c>
      <c r="F577" s="61">
        <v>21540</v>
      </c>
      <c r="G577" s="61">
        <v>2025</v>
      </c>
      <c r="H577" s="61" t="s">
        <v>3416</v>
      </c>
      <c r="I577" s="61" t="s">
        <v>508</v>
      </c>
      <c r="J577" s="61"/>
      <c r="K577" s="61" t="s">
        <v>1982</v>
      </c>
      <c r="L577" s="61" t="s">
        <v>8171</v>
      </c>
      <c r="M577" s="475">
        <v>45729</v>
      </c>
      <c r="N577" s="475">
        <v>45733</v>
      </c>
      <c r="O577" s="475"/>
      <c r="P577" s="475">
        <v>45734</v>
      </c>
      <c r="Q577" s="475">
        <v>45735</v>
      </c>
      <c r="R577" s="61">
        <f t="shared" si="35"/>
        <v>2</v>
      </c>
      <c r="S577" s="61" t="str">
        <f t="shared" si="36"/>
        <v/>
      </c>
      <c r="T577" s="61">
        <f t="shared" si="40"/>
        <v>1</v>
      </c>
      <c r="U577" s="61">
        <f t="shared" si="37"/>
        <v>1</v>
      </c>
      <c r="V577" s="61" t="s">
        <v>150</v>
      </c>
      <c r="W577" s="61" t="s">
        <v>4</v>
      </c>
      <c r="X577" s="61" t="s">
        <v>50</v>
      </c>
      <c r="Y577" s="61">
        <v>14.7438</v>
      </c>
      <c r="Z577" s="61">
        <v>120.9716</v>
      </c>
      <c r="AA577" s="61"/>
      <c r="AB577" s="61"/>
    </row>
    <row r="578" spans="1:28" s="2" customFormat="1" ht="15">
      <c r="A578" s="61" t="s">
        <v>776</v>
      </c>
      <c r="B578" s="61" t="s">
        <v>4139</v>
      </c>
      <c r="C578" s="61" t="s">
        <v>1086</v>
      </c>
      <c r="D578" s="61" t="s">
        <v>7838</v>
      </c>
      <c r="E578" s="61">
        <v>6166</v>
      </c>
      <c r="F578" s="61">
        <v>7752</v>
      </c>
      <c r="G578" s="61">
        <v>2025</v>
      </c>
      <c r="H578" s="61" t="s">
        <v>3125</v>
      </c>
      <c r="I578" s="61" t="s">
        <v>508</v>
      </c>
      <c r="J578" s="61"/>
      <c r="K578" s="61" t="s">
        <v>1982</v>
      </c>
      <c r="L578" s="61" t="s">
        <v>8172</v>
      </c>
      <c r="M578" s="475">
        <v>45853</v>
      </c>
      <c r="N578" s="475">
        <v>45856</v>
      </c>
      <c r="O578" s="475"/>
      <c r="P578" s="475">
        <v>45859</v>
      </c>
      <c r="Q578" s="475">
        <v>45859</v>
      </c>
      <c r="R578" s="61">
        <f t="shared" ref="R578:R641" si="41">IF(
    OR(ISBLANK(M578), ISBLANK(N578)),
    "",
    MAX(1, IF(
        NETWORKDAYS(M578, N578) &lt;= 0,
        1,
        NETWORKDAYS(M578, N578) - IF(M578 = N578, 0, 1)
    ))
)</f>
        <v>3</v>
      </c>
      <c r="S578" s="61" t="str">
        <f t="shared" ref="S578:S641" si="42">IF(
    OR(ISBLANK(N578), ISBLANK(O578)),
    "",
    MAX(1, IF(
        NETWORKDAYS(N578, O578) &lt;= 0,
        1,
        NETWORKDAYS(N578, O578) - IF(N578 = O578, 0, 1)
    ))
)</f>
        <v/>
      </c>
      <c r="T578" s="61">
        <f t="shared" si="40"/>
        <v>1</v>
      </c>
      <c r="U578" s="61">
        <f t="shared" ref="U578:U641" si="43">IF(
    OR(ISBLANK(P578), ISBLANK(Q578)),
    "",
    MAX(1, IF(
        NETWORKDAYS(P578, Q578) &lt;= 0,
        1,
        NETWORKDAYS(P578, Q578) - IF(P578 = Q578, 0, 1)
    ))
)</f>
        <v>1</v>
      </c>
      <c r="V578" s="61" t="s">
        <v>150</v>
      </c>
      <c r="W578" s="61" t="s">
        <v>4</v>
      </c>
      <c r="X578" s="61" t="s">
        <v>50</v>
      </c>
      <c r="Y578" s="61">
        <v>14.777200000000001</v>
      </c>
      <c r="Z578" s="61">
        <v>121.00190000000001</v>
      </c>
      <c r="AA578" s="61" t="s">
        <v>8173</v>
      </c>
      <c r="AB578" s="61"/>
    </row>
    <row r="579" spans="1:28" s="2" customFormat="1" ht="15">
      <c r="A579" s="61" t="s">
        <v>776</v>
      </c>
      <c r="B579" s="61" t="s">
        <v>4139</v>
      </c>
      <c r="C579" s="61" t="s">
        <v>4160</v>
      </c>
      <c r="D579" s="61" t="s">
        <v>7838</v>
      </c>
      <c r="E579" s="61">
        <v>15264</v>
      </c>
      <c r="F579" s="61">
        <v>17171</v>
      </c>
      <c r="G579" s="61">
        <v>2025</v>
      </c>
      <c r="H579" s="61" t="s">
        <v>3125</v>
      </c>
      <c r="I579" s="61" t="s">
        <v>508</v>
      </c>
      <c r="J579" s="61"/>
      <c r="K579" s="61" t="s">
        <v>1982</v>
      </c>
      <c r="L579" s="61" t="s">
        <v>8174</v>
      </c>
      <c r="M579" s="475">
        <v>45853</v>
      </c>
      <c r="N579" s="475">
        <v>45856</v>
      </c>
      <c r="O579" s="475"/>
      <c r="P579" s="475">
        <v>45859</v>
      </c>
      <c r="Q579" s="475">
        <v>45859</v>
      </c>
      <c r="R579" s="61">
        <f t="shared" si="41"/>
        <v>3</v>
      </c>
      <c r="S579" s="61" t="str">
        <f t="shared" si="42"/>
        <v/>
      </c>
      <c r="T579" s="61">
        <f t="shared" si="40"/>
        <v>1</v>
      </c>
      <c r="U579" s="61">
        <f t="shared" si="43"/>
        <v>1</v>
      </c>
      <c r="V579" s="61" t="s">
        <v>150</v>
      </c>
      <c r="W579" s="61" t="s">
        <v>4</v>
      </c>
      <c r="X579" s="61" t="s">
        <v>62</v>
      </c>
      <c r="Y579" s="61">
        <v>14.749599999999999</v>
      </c>
      <c r="Z579" s="61">
        <v>120.96559999999999</v>
      </c>
      <c r="AA579" s="61" t="s">
        <v>8173</v>
      </c>
      <c r="AB579" s="61"/>
    </row>
    <row r="580" spans="1:28" s="2" customFormat="1" ht="15">
      <c r="A580" s="61" t="s">
        <v>776</v>
      </c>
      <c r="B580" s="61" t="s">
        <v>4139</v>
      </c>
      <c r="C580" s="61" t="s">
        <v>4022</v>
      </c>
      <c r="D580" s="61" t="s">
        <v>7838</v>
      </c>
      <c r="E580" s="61">
        <v>17251</v>
      </c>
      <c r="F580" s="61">
        <v>18848</v>
      </c>
      <c r="G580" s="61">
        <v>2025</v>
      </c>
      <c r="H580" s="61" t="s">
        <v>3125</v>
      </c>
      <c r="I580" s="61" t="s">
        <v>508</v>
      </c>
      <c r="J580" s="61"/>
      <c r="K580" s="61" t="s">
        <v>1982</v>
      </c>
      <c r="L580" s="61" t="s">
        <v>8175</v>
      </c>
      <c r="M580" s="475">
        <v>45853</v>
      </c>
      <c r="N580" s="475">
        <v>45856</v>
      </c>
      <c r="O580" s="475"/>
      <c r="P580" s="475">
        <v>45859</v>
      </c>
      <c r="Q580" s="475">
        <v>45859</v>
      </c>
      <c r="R580" s="61">
        <f t="shared" si="41"/>
        <v>3</v>
      </c>
      <c r="S580" s="61" t="str">
        <f t="shared" si="42"/>
        <v/>
      </c>
      <c r="T580" s="61">
        <f t="shared" si="40"/>
        <v>1</v>
      </c>
      <c r="U580" s="61">
        <f t="shared" si="43"/>
        <v>1</v>
      </c>
      <c r="V580" s="61" t="s">
        <v>150</v>
      </c>
      <c r="W580" s="61" t="s">
        <v>4</v>
      </c>
      <c r="X580" s="61" t="s">
        <v>50</v>
      </c>
      <c r="Y580" s="61">
        <v>14.764699999999999</v>
      </c>
      <c r="Z580" s="61">
        <v>120.997</v>
      </c>
      <c r="AA580" s="61" t="s">
        <v>8173</v>
      </c>
      <c r="AB580" s="61"/>
    </row>
    <row r="581" spans="1:28" s="2" customFormat="1" ht="15">
      <c r="A581" s="61" t="s">
        <v>776</v>
      </c>
      <c r="B581" s="61" t="s">
        <v>4139</v>
      </c>
      <c r="C581" s="61" t="s">
        <v>1088</v>
      </c>
      <c r="D581" s="61" t="s">
        <v>7838</v>
      </c>
      <c r="E581" s="61">
        <v>10347</v>
      </c>
      <c r="F581" s="61">
        <v>11024</v>
      </c>
      <c r="G581" s="61">
        <v>2025</v>
      </c>
      <c r="H581" s="61" t="s">
        <v>3126</v>
      </c>
      <c r="I581" s="61" t="s">
        <v>508</v>
      </c>
      <c r="J581" s="61"/>
      <c r="K581" s="61" t="s">
        <v>1982</v>
      </c>
      <c r="L581" s="61" t="s">
        <v>8176</v>
      </c>
      <c r="M581" s="475">
        <v>45883</v>
      </c>
      <c r="N581" s="475">
        <v>45886</v>
      </c>
      <c r="O581" s="61"/>
      <c r="P581" s="475">
        <v>45887</v>
      </c>
      <c r="Q581" s="475">
        <v>45888</v>
      </c>
      <c r="R581" s="61">
        <f t="shared" si="41"/>
        <v>1</v>
      </c>
      <c r="S581" s="61" t="str">
        <f t="shared" si="42"/>
        <v/>
      </c>
      <c r="T581" s="61">
        <f t="shared" si="40"/>
        <v>1</v>
      </c>
      <c r="U581" s="61">
        <f t="shared" si="43"/>
        <v>1</v>
      </c>
      <c r="V581" s="61" t="s">
        <v>150</v>
      </c>
      <c r="W581" s="61" t="s">
        <v>4</v>
      </c>
      <c r="X581" s="61" t="s">
        <v>50</v>
      </c>
      <c r="Y581" s="61">
        <v>14.7446</v>
      </c>
      <c r="Z581" s="61">
        <v>120.9551</v>
      </c>
      <c r="AA581" s="61"/>
      <c r="AB581" s="61"/>
    </row>
    <row r="582" spans="1:28" s="2" customFormat="1" ht="15">
      <c r="A582" s="61" t="s">
        <v>776</v>
      </c>
      <c r="B582" s="61" t="s">
        <v>4139</v>
      </c>
      <c r="C582" s="61" t="s">
        <v>3857</v>
      </c>
      <c r="D582" s="61" t="s">
        <v>7838</v>
      </c>
      <c r="E582" s="61">
        <v>4407</v>
      </c>
      <c r="F582" s="61">
        <v>4852</v>
      </c>
      <c r="G582" s="61">
        <v>2025</v>
      </c>
      <c r="H582" s="61" t="s">
        <v>3689</v>
      </c>
      <c r="I582" s="61" t="s">
        <v>508</v>
      </c>
      <c r="J582" s="61"/>
      <c r="K582" s="61" t="s">
        <v>1982</v>
      </c>
      <c r="L582" s="61" t="s">
        <v>8177</v>
      </c>
      <c r="M582" s="475">
        <v>45821</v>
      </c>
      <c r="N582" s="475">
        <v>45826</v>
      </c>
      <c r="O582" s="61"/>
      <c r="P582" s="475">
        <v>45827</v>
      </c>
      <c r="Q582" s="475">
        <v>45827</v>
      </c>
      <c r="R582" s="61">
        <f t="shared" si="41"/>
        <v>3</v>
      </c>
      <c r="S582" s="61" t="str">
        <f t="shared" si="42"/>
        <v/>
      </c>
      <c r="T582" s="61">
        <f t="shared" si="40"/>
        <v>1</v>
      </c>
      <c r="U582" s="61">
        <f t="shared" si="43"/>
        <v>1</v>
      </c>
      <c r="V582" s="61" t="s">
        <v>150</v>
      </c>
      <c r="W582" s="61" t="s">
        <v>4</v>
      </c>
      <c r="X582" s="61" t="s">
        <v>50</v>
      </c>
      <c r="Y582" s="61">
        <v>14.4526</v>
      </c>
      <c r="Z582" s="61" t="s">
        <v>8178</v>
      </c>
      <c r="AA582" s="61" t="s">
        <v>8170</v>
      </c>
      <c r="AB582" s="61"/>
    </row>
    <row r="583" spans="1:28" s="2" customFormat="1" ht="15.75">
      <c r="A583" s="61" t="s">
        <v>776</v>
      </c>
      <c r="B583" s="61" t="s">
        <v>4139</v>
      </c>
      <c r="C583" s="61" t="s">
        <v>4165</v>
      </c>
      <c r="D583" s="61" t="s">
        <v>7838</v>
      </c>
      <c r="E583" s="61">
        <v>2255</v>
      </c>
      <c r="F583" s="61">
        <v>2280</v>
      </c>
      <c r="G583" s="61">
        <v>2025</v>
      </c>
      <c r="H583" s="61" t="s">
        <v>3126</v>
      </c>
      <c r="I583" s="61" t="s">
        <v>508</v>
      </c>
      <c r="J583" s="61"/>
      <c r="K583" s="61" t="s">
        <v>1982</v>
      </c>
      <c r="L583" s="61" t="s">
        <v>8179</v>
      </c>
      <c r="M583" s="475">
        <v>45883</v>
      </c>
      <c r="N583" s="475">
        <v>45886</v>
      </c>
      <c r="O583" s="61"/>
      <c r="P583" s="475">
        <v>45887</v>
      </c>
      <c r="Q583" s="475">
        <v>45888</v>
      </c>
      <c r="R583" s="61">
        <f t="shared" si="41"/>
        <v>1</v>
      </c>
      <c r="S583" s="61" t="str">
        <f t="shared" si="42"/>
        <v/>
      </c>
      <c r="T583" s="61">
        <f t="shared" si="40"/>
        <v>1</v>
      </c>
      <c r="U583" s="61">
        <f t="shared" si="43"/>
        <v>1</v>
      </c>
      <c r="V583" s="61" t="s">
        <v>150</v>
      </c>
      <c r="W583" s="61" t="s">
        <v>4</v>
      </c>
      <c r="X583" s="61" t="s">
        <v>50</v>
      </c>
      <c r="Y583" s="61" t="s">
        <v>8180</v>
      </c>
      <c r="Z583" s="61">
        <v>120.55889999999999</v>
      </c>
      <c r="AA583" s="61"/>
      <c r="AB583" s="619"/>
    </row>
    <row r="584" spans="1:28" s="2" customFormat="1" ht="15">
      <c r="A584" s="61" t="s">
        <v>776</v>
      </c>
      <c r="B584" s="61" t="s">
        <v>4139</v>
      </c>
      <c r="C584" s="61" t="s">
        <v>4140</v>
      </c>
      <c r="D584" s="61" t="s">
        <v>7838</v>
      </c>
      <c r="E584" s="61">
        <v>7760</v>
      </c>
      <c r="F584" s="61">
        <v>8426</v>
      </c>
      <c r="G584" s="61">
        <v>2025</v>
      </c>
      <c r="H584" s="61" t="s">
        <v>3470</v>
      </c>
      <c r="I584" s="61" t="s">
        <v>508</v>
      </c>
      <c r="J584" s="61"/>
      <c r="K584" s="61" t="s">
        <v>1982</v>
      </c>
      <c r="L584" s="61" t="s">
        <v>8181</v>
      </c>
      <c r="M584" s="475">
        <v>45755</v>
      </c>
      <c r="N584" s="475">
        <v>45762</v>
      </c>
      <c r="O584" s="61"/>
      <c r="P584" s="475">
        <v>45763</v>
      </c>
      <c r="Q584" s="475">
        <v>45769</v>
      </c>
      <c r="R584" s="61">
        <f t="shared" si="41"/>
        <v>5</v>
      </c>
      <c r="S584" s="61" t="str">
        <f t="shared" si="42"/>
        <v/>
      </c>
      <c r="T584" s="61">
        <f t="shared" si="40"/>
        <v>1</v>
      </c>
      <c r="U584" s="61">
        <f t="shared" si="43"/>
        <v>4</v>
      </c>
      <c r="V584" s="61" t="s">
        <v>150</v>
      </c>
      <c r="W584" s="61" t="s">
        <v>1078</v>
      </c>
      <c r="X584" s="61" t="s">
        <v>50</v>
      </c>
      <c r="Y584" s="61" t="s">
        <v>8182</v>
      </c>
      <c r="Z584" s="61" t="s">
        <v>8183</v>
      </c>
      <c r="AA584" s="61" t="s">
        <v>463</v>
      </c>
      <c r="AB584" s="61"/>
    </row>
    <row r="585" spans="1:28" s="2" customFormat="1" ht="15">
      <c r="A585" s="61" t="s">
        <v>776</v>
      </c>
      <c r="B585" s="61" t="s">
        <v>4139</v>
      </c>
      <c r="C585" s="61" t="s">
        <v>4144</v>
      </c>
      <c r="D585" s="61" t="s">
        <v>7838</v>
      </c>
      <c r="E585" s="61">
        <v>2913</v>
      </c>
      <c r="F585" s="61">
        <v>2524</v>
      </c>
      <c r="G585" s="61">
        <v>2025</v>
      </c>
      <c r="H585" s="61" t="s">
        <v>3470</v>
      </c>
      <c r="I585" s="61" t="s">
        <v>508</v>
      </c>
      <c r="J585" s="61"/>
      <c r="K585" s="61" t="s">
        <v>1982</v>
      </c>
      <c r="L585" s="61" t="s">
        <v>8184</v>
      </c>
      <c r="M585" s="475">
        <v>45755</v>
      </c>
      <c r="N585" s="475">
        <v>45762</v>
      </c>
      <c r="O585" s="61"/>
      <c r="P585" s="475">
        <v>45763</v>
      </c>
      <c r="Q585" s="475">
        <v>45768</v>
      </c>
      <c r="R585" s="61">
        <f t="shared" si="41"/>
        <v>5</v>
      </c>
      <c r="S585" s="61" t="str">
        <f t="shared" si="42"/>
        <v/>
      </c>
      <c r="T585" s="61">
        <f t="shared" si="40"/>
        <v>1</v>
      </c>
      <c r="U585" s="61">
        <f t="shared" si="43"/>
        <v>3</v>
      </c>
      <c r="V585" s="61" t="s">
        <v>150</v>
      </c>
      <c r="W585" s="61" t="s">
        <v>1078</v>
      </c>
      <c r="X585" s="61" t="s">
        <v>50</v>
      </c>
      <c r="Y585" s="61" t="s">
        <v>8185</v>
      </c>
      <c r="Z585" s="61" t="s">
        <v>8186</v>
      </c>
      <c r="AA585" s="61" t="s">
        <v>463</v>
      </c>
      <c r="AB585" s="61"/>
    </row>
    <row r="586" spans="1:28" s="2" customFormat="1" ht="15">
      <c r="A586" s="61" t="s">
        <v>776</v>
      </c>
      <c r="B586" s="61" t="s">
        <v>4139</v>
      </c>
      <c r="C586" s="61" t="s">
        <v>4156</v>
      </c>
      <c r="D586" s="61" t="s">
        <v>7838</v>
      </c>
      <c r="E586" s="61">
        <v>10552</v>
      </c>
      <c r="F586" s="61">
        <v>12742</v>
      </c>
      <c r="G586" s="61">
        <v>2025</v>
      </c>
      <c r="H586" s="61" t="s">
        <v>3416</v>
      </c>
      <c r="I586" s="61" t="s">
        <v>508</v>
      </c>
      <c r="J586" s="61"/>
      <c r="K586" s="61" t="s">
        <v>1982</v>
      </c>
      <c r="L586" s="61" t="s">
        <v>8187</v>
      </c>
      <c r="M586" s="475">
        <v>45729</v>
      </c>
      <c r="N586" s="475">
        <v>45733</v>
      </c>
      <c r="O586" s="475">
        <v>45733</v>
      </c>
      <c r="P586" s="475">
        <v>45734</v>
      </c>
      <c r="Q586" s="475">
        <v>45735</v>
      </c>
      <c r="R586" s="61">
        <f t="shared" si="41"/>
        <v>2</v>
      </c>
      <c r="S586" s="61">
        <f t="shared" si="42"/>
        <v>1</v>
      </c>
      <c r="T586" s="61">
        <f t="shared" si="40"/>
        <v>1</v>
      </c>
      <c r="U586" s="61">
        <f t="shared" si="43"/>
        <v>1</v>
      </c>
      <c r="V586" s="61" t="s">
        <v>150</v>
      </c>
      <c r="W586" s="61" t="s">
        <v>1078</v>
      </c>
      <c r="X586" s="61" t="s">
        <v>50</v>
      </c>
      <c r="Y586" s="61">
        <v>14.7461</v>
      </c>
      <c r="Z586" s="61">
        <v>120.98090000000001</v>
      </c>
      <c r="AA586" s="61"/>
      <c r="AB586" s="61"/>
    </row>
    <row r="587" spans="1:28" s="2" customFormat="1" ht="15">
      <c r="A587" s="61" t="s">
        <v>776</v>
      </c>
      <c r="B587" s="61" t="s">
        <v>4139</v>
      </c>
      <c r="C587" s="61" t="s">
        <v>1197</v>
      </c>
      <c r="D587" s="61" t="s">
        <v>7838</v>
      </c>
      <c r="E587" s="61">
        <v>11804</v>
      </c>
      <c r="F587" s="61">
        <v>12577</v>
      </c>
      <c r="G587" s="61">
        <v>2025</v>
      </c>
      <c r="H587" s="61" t="s">
        <v>3125</v>
      </c>
      <c r="I587" s="61" t="s">
        <v>508</v>
      </c>
      <c r="J587" s="61"/>
      <c r="K587" s="61" t="s">
        <v>1982</v>
      </c>
      <c r="L587" s="61" t="s">
        <v>8188</v>
      </c>
      <c r="M587" s="475">
        <v>45853</v>
      </c>
      <c r="N587" s="475">
        <v>45856</v>
      </c>
      <c r="O587" s="475"/>
      <c r="P587" s="475">
        <v>45859</v>
      </c>
      <c r="Q587" s="475">
        <v>45859</v>
      </c>
      <c r="R587" s="61">
        <f t="shared" si="41"/>
        <v>3</v>
      </c>
      <c r="S587" s="61" t="str">
        <f t="shared" si="42"/>
        <v/>
      </c>
      <c r="T587" s="61">
        <f t="shared" si="40"/>
        <v>1</v>
      </c>
      <c r="U587" s="61">
        <f t="shared" si="43"/>
        <v>1</v>
      </c>
      <c r="V587" s="61" t="s">
        <v>150</v>
      </c>
      <c r="W587" s="61" t="s">
        <v>1078</v>
      </c>
      <c r="X587" s="61" t="s">
        <v>50</v>
      </c>
      <c r="Y587" s="61">
        <v>14.7704</v>
      </c>
      <c r="Z587" s="61">
        <v>120.98260000000001</v>
      </c>
      <c r="AA587" s="61" t="s">
        <v>8173</v>
      </c>
      <c r="AB587" s="61"/>
    </row>
    <row r="588" spans="1:28" s="2" customFormat="1" ht="15">
      <c r="A588" s="61" t="s">
        <v>776</v>
      </c>
      <c r="B588" s="61" t="s">
        <v>4139</v>
      </c>
      <c r="C588" s="61" t="s">
        <v>4162</v>
      </c>
      <c r="D588" s="61" t="s">
        <v>7838</v>
      </c>
      <c r="E588" s="61">
        <v>1288</v>
      </c>
      <c r="F588" s="61">
        <v>1313</v>
      </c>
      <c r="G588" s="61">
        <v>2025</v>
      </c>
      <c r="H588" s="61" t="s">
        <v>3126</v>
      </c>
      <c r="I588" s="61" t="s">
        <v>508</v>
      </c>
      <c r="J588" s="61"/>
      <c r="K588" s="61" t="s">
        <v>1982</v>
      </c>
      <c r="L588" s="61" t="s">
        <v>8189</v>
      </c>
      <c r="M588" s="475">
        <v>45883</v>
      </c>
      <c r="N588" s="475">
        <v>45886</v>
      </c>
      <c r="O588" s="61"/>
      <c r="P588" s="475">
        <v>45887</v>
      </c>
      <c r="Q588" s="475">
        <v>45888</v>
      </c>
      <c r="R588" s="61">
        <f t="shared" si="41"/>
        <v>1</v>
      </c>
      <c r="S588" s="61" t="str">
        <f t="shared" si="42"/>
        <v/>
      </c>
      <c r="T588" s="61">
        <f t="shared" si="40"/>
        <v>1</v>
      </c>
      <c r="U588" s="61">
        <f t="shared" si="43"/>
        <v>1</v>
      </c>
      <c r="V588" s="61" t="s">
        <v>150</v>
      </c>
      <c r="W588" s="61" t="s">
        <v>1078</v>
      </c>
      <c r="X588" s="61" t="s">
        <v>50</v>
      </c>
      <c r="Y588" s="61">
        <v>14.733599999999999</v>
      </c>
      <c r="Z588" s="61">
        <v>120.95699999999999</v>
      </c>
      <c r="AA588" s="61"/>
      <c r="AB588" s="61"/>
    </row>
    <row r="589" spans="1:28" s="2" customFormat="1" ht="15">
      <c r="A589" s="61" t="s">
        <v>776</v>
      </c>
      <c r="B589" s="61" t="s">
        <v>4139</v>
      </c>
      <c r="C589" s="61" t="s">
        <v>4167</v>
      </c>
      <c r="D589" s="61" t="s">
        <v>7838</v>
      </c>
      <c r="E589" s="61">
        <v>2646</v>
      </c>
      <c r="F589" s="61">
        <v>2370</v>
      </c>
      <c r="G589" s="61">
        <v>2025</v>
      </c>
      <c r="H589" s="61" t="s">
        <v>3532</v>
      </c>
      <c r="I589" s="61" t="s">
        <v>508</v>
      </c>
      <c r="J589" s="61"/>
      <c r="K589" s="61" t="s">
        <v>1982</v>
      </c>
      <c r="L589" s="61" t="s">
        <v>8190</v>
      </c>
      <c r="M589" s="475">
        <v>45790</v>
      </c>
      <c r="N589" s="475">
        <v>45794</v>
      </c>
      <c r="O589" s="61"/>
      <c r="P589" s="475">
        <v>45796</v>
      </c>
      <c r="Q589" s="475">
        <v>45797</v>
      </c>
      <c r="R589" s="61">
        <f t="shared" si="41"/>
        <v>3</v>
      </c>
      <c r="S589" s="61" t="str">
        <f t="shared" si="42"/>
        <v/>
      </c>
      <c r="T589" s="61">
        <f t="shared" si="40"/>
        <v>1</v>
      </c>
      <c r="U589" s="61">
        <f t="shared" si="43"/>
        <v>1</v>
      </c>
      <c r="V589" s="61" t="s">
        <v>150</v>
      </c>
      <c r="W589" s="61" t="s">
        <v>1078</v>
      </c>
      <c r="X589" s="61" t="s">
        <v>50</v>
      </c>
      <c r="Y589" s="61">
        <v>14.7348</v>
      </c>
      <c r="Z589" s="61">
        <v>120.95489999999999</v>
      </c>
      <c r="AA589" s="61"/>
      <c r="AB589" s="61"/>
    </row>
    <row r="590" spans="1:28" s="2" customFormat="1" ht="15">
      <c r="A590" s="61" t="s">
        <v>776</v>
      </c>
      <c r="B590" s="61" t="s">
        <v>4139</v>
      </c>
      <c r="C590" s="61" t="s">
        <v>4146</v>
      </c>
      <c r="D590" s="61" t="s">
        <v>7838</v>
      </c>
      <c r="E590" s="61">
        <v>18560</v>
      </c>
      <c r="F590" s="61">
        <v>19195</v>
      </c>
      <c r="G590" s="61"/>
      <c r="H590" s="61"/>
      <c r="I590" s="61" t="s">
        <v>508</v>
      </c>
      <c r="J590" s="61"/>
      <c r="K590" s="61" t="s">
        <v>1982</v>
      </c>
      <c r="L590" s="61"/>
      <c r="M590" s="61"/>
      <c r="N590" s="61"/>
      <c r="O590" s="61"/>
      <c r="P590" s="61"/>
      <c r="Q590" s="61"/>
      <c r="R590" s="61" t="str">
        <f t="shared" si="41"/>
        <v/>
      </c>
      <c r="S590" s="61" t="str">
        <f t="shared" si="42"/>
        <v/>
      </c>
      <c r="T590" s="61" t="str">
        <f t="shared" si="40"/>
        <v/>
      </c>
      <c r="U590" s="61" t="str">
        <f t="shared" si="43"/>
        <v/>
      </c>
      <c r="V590" s="61"/>
      <c r="W590" s="61"/>
      <c r="X590" s="61"/>
      <c r="Y590" s="61"/>
      <c r="Z590" s="61"/>
      <c r="AA590" s="61"/>
      <c r="AB590" s="61"/>
    </row>
    <row r="591" spans="1:28" s="2" customFormat="1" ht="15">
      <c r="A591" s="61" t="s">
        <v>776</v>
      </c>
      <c r="B591" s="61" t="s">
        <v>4139</v>
      </c>
      <c r="C591" s="61" t="s">
        <v>1083</v>
      </c>
      <c r="D591" s="61" t="s">
        <v>7838</v>
      </c>
      <c r="E591" s="61">
        <v>5443</v>
      </c>
      <c r="F591" s="61">
        <v>6895</v>
      </c>
      <c r="G591" s="61"/>
      <c r="H591" s="61"/>
      <c r="I591" s="61" t="s">
        <v>508</v>
      </c>
      <c r="J591" s="61"/>
      <c r="K591" s="61" t="s">
        <v>1982</v>
      </c>
      <c r="L591" s="61"/>
      <c r="M591" s="61"/>
      <c r="N591" s="61"/>
      <c r="O591" s="61"/>
      <c r="P591" s="61"/>
      <c r="Q591" s="61"/>
      <c r="R591" s="61" t="str">
        <f t="shared" si="41"/>
        <v/>
      </c>
      <c r="S591" s="61" t="str">
        <f t="shared" si="42"/>
        <v/>
      </c>
      <c r="T591" s="61" t="str">
        <f t="shared" si="40"/>
        <v/>
      </c>
      <c r="U591" s="61" t="str">
        <f t="shared" si="43"/>
        <v/>
      </c>
      <c r="V591" s="61"/>
      <c r="W591" s="61"/>
      <c r="X591" s="61"/>
      <c r="Y591" s="61"/>
      <c r="Z591" s="61"/>
      <c r="AA591" s="61"/>
      <c r="AB591" s="61"/>
    </row>
    <row r="592" spans="1:28" s="2" customFormat="1" ht="15">
      <c r="A592" s="61" t="s">
        <v>776</v>
      </c>
      <c r="B592" s="61" t="s">
        <v>4139</v>
      </c>
      <c r="C592" s="61" t="s">
        <v>4147</v>
      </c>
      <c r="D592" s="61" t="s">
        <v>7838</v>
      </c>
      <c r="E592" s="61">
        <v>5317</v>
      </c>
      <c r="F592" s="61">
        <v>5074</v>
      </c>
      <c r="G592" s="61"/>
      <c r="H592" s="61"/>
      <c r="I592" s="61" t="s">
        <v>508</v>
      </c>
      <c r="J592" s="61"/>
      <c r="K592" s="61" t="s">
        <v>1982</v>
      </c>
      <c r="L592" s="61"/>
      <c r="M592" s="61"/>
      <c r="N592" s="61"/>
      <c r="O592" s="61"/>
      <c r="P592" s="61"/>
      <c r="Q592" s="61"/>
      <c r="R592" s="61" t="str">
        <f t="shared" si="41"/>
        <v/>
      </c>
      <c r="S592" s="61" t="str">
        <f t="shared" si="42"/>
        <v/>
      </c>
      <c r="T592" s="61" t="str">
        <f t="shared" si="40"/>
        <v/>
      </c>
      <c r="U592" s="61" t="str">
        <f t="shared" si="43"/>
        <v/>
      </c>
      <c r="V592" s="61"/>
      <c r="W592" s="61"/>
      <c r="X592" s="61"/>
      <c r="Y592" s="61"/>
      <c r="Z592" s="61"/>
      <c r="AA592" s="61"/>
      <c r="AB592" s="61"/>
    </row>
    <row r="593" spans="1:28" s="2" customFormat="1" ht="15">
      <c r="A593" s="61" t="s">
        <v>776</v>
      </c>
      <c r="B593" s="61" t="s">
        <v>4139</v>
      </c>
      <c r="C593" s="61" t="s">
        <v>4158</v>
      </c>
      <c r="D593" s="61" t="s">
        <v>7838</v>
      </c>
      <c r="E593" s="61">
        <v>1584</v>
      </c>
      <c r="F593" s="61">
        <v>1615</v>
      </c>
      <c r="G593" s="61"/>
      <c r="H593" s="61"/>
      <c r="I593" s="61" t="s">
        <v>508</v>
      </c>
      <c r="J593" s="61"/>
      <c r="K593" s="61" t="s">
        <v>1982</v>
      </c>
      <c r="L593" s="61"/>
      <c r="M593" s="61"/>
      <c r="N593" s="61"/>
      <c r="O593" s="61"/>
      <c r="P593" s="61"/>
      <c r="Q593" s="61"/>
      <c r="R593" s="61" t="str">
        <f t="shared" si="41"/>
        <v/>
      </c>
      <c r="S593" s="61" t="str">
        <f t="shared" si="42"/>
        <v/>
      </c>
      <c r="T593" s="61" t="str">
        <f t="shared" si="40"/>
        <v/>
      </c>
      <c r="U593" s="61" t="str">
        <f t="shared" si="43"/>
        <v/>
      </c>
      <c r="V593" s="61"/>
      <c r="W593" s="61"/>
      <c r="X593" s="61"/>
      <c r="Y593" s="61"/>
      <c r="Z593" s="61"/>
      <c r="AA593" s="61"/>
      <c r="AB593" s="634"/>
    </row>
    <row r="594" spans="1:28" s="2" customFormat="1" ht="15">
      <c r="A594" s="61" t="s">
        <v>776</v>
      </c>
      <c r="B594" s="61" t="s">
        <v>4139</v>
      </c>
      <c r="C594" s="61" t="s">
        <v>1056</v>
      </c>
      <c r="D594" s="61" t="s">
        <v>7838</v>
      </c>
      <c r="E594" s="61">
        <v>348</v>
      </c>
      <c r="F594" s="61">
        <v>304</v>
      </c>
      <c r="G594" s="61"/>
      <c r="H594" s="61"/>
      <c r="I594" s="61" t="s">
        <v>508</v>
      </c>
      <c r="J594" s="61"/>
      <c r="K594" s="61" t="s">
        <v>1982</v>
      </c>
      <c r="L594" s="61"/>
      <c r="M594" s="61"/>
      <c r="N594" s="475"/>
      <c r="O594" s="475"/>
      <c r="P594" s="475"/>
      <c r="Q594" s="475"/>
      <c r="R594" s="61" t="str">
        <f t="shared" si="41"/>
        <v/>
      </c>
      <c r="S594" s="61" t="str">
        <f t="shared" si="42"/>
        <v/>
      </c>
      <c r="T594" s="61" t="str">
        <f t="shared" si="40"/>
        <v/>
      </c>
      <c r="U594" s="61" t="str">
        <f t="shared" si="43"/>
        <v/>
      </c>
      <c r="V594" s="61"/>
      <c r="W594" s="61"/>
      <c r="X594" s="61"/>
      <c r="Y594" s="61"/>
      <c r="Z594" s="61"/>
      <c r="AA594" s="61"/>
      <c r="AB594" s="61"/>
    </row>
    <row r="595" spans="1:28" s="2" customFormat="1" ht="15">
      <c r="A595" s="61" t="s">
        <v>776</v>
      </c>
      <c r="B595" s="61" t="s">
        <v>4168</v>
      </c>
      <c r="C595" s="61" t="s">
        <v>4187</v>
      </c>
      <c r="D595" s="61" t="s">
        <v>7838</v>
      </c>
      <c r="E595" s="61">
        <v>43683</v>
      </c>
      <c r="F595" s="61">
        <v>56896</v>
      </c>
      <c r="G595" s="61">
        <v>2025</v>
      </c>
      <c r="H595" s="61" t="s">
        <v>3458</v>
      </c>
      <c r="I595" s="61" t="s">
        <v>508</v>
      </c>
      <c r="J595" s="61" t="s">
        <v>328</v>
      </c>
      <c r="K595" s="61" t="s">
        <v>1982</v>
      </c>
      <c r="L595" s="61" t="s">
        <v>8191</v>
      </c>
      <c r="M595" s="475">
        <v>45692</v>
      </c>
      <c r="N595" s="475">
        <v>45701</v>
      </c>
      <c r="O595" s="475">
        <v>45705</v>
      </c>
      <c r="P595" s="475">
        <v>45705</v>
      </c>
      <c r="Q595" s="475">
        <v>45706</v>
      </c>
      <c r="R595" s="61">
        <f t="shared" si="41"/>
        <v>7</v>
      </c>
      <c r="S595" s="61">
        <f t="shared" si="42"/>
        <v>2</v>
      </c>
      <c r="T595" s="61">
        <f t="shared" si="40"/>
        <v>2</v>
      </c>
      <c r="U595" s="61">
        <f t="shared" si="43"/>
        <v>1</v>
      </c>
      <c r="V595" s="61" t="s">
        <v>150</v>
      </c>
      <c r="W595" s="61" t="s">
        <v>4</v>
      </c>
      <c r="X595" s="61" t="s">
        <v>50</v>
      </c>
      <c r="Y595" s="61"/>
      <c r="Z595" s="61"/>
      <c r="AA595" s="61" t="s">
        <v>463</v>
      </c>
      <c r="AB595" s="61"/>
    </row>
    <row r="596" spans="1:28" s="2" customFormat="1" ht="15">
      <c r="A596" s="61" t="s">
        <v>776</v>
      </c>
      <c r="B596" s="61" t="s">
        <v>4168</v>
      </c>
      <c r="C596" s="61" t="s">
        <v>4191</v>
      </c>
      <c r="D596" s="61" t="s">
        <v>7838</v>
      </c>
      <c r="E596" s="61">
        <v>5352</v>
      </c>
      <c r="F596" s="61">
        <v>5376</v>
      </c>
      <c r="G596" s="61">
        <v>2025</v>
      </c>
      <c r="H596" s="61" t="s">
        <v>3470</v>
      </c>
      <c r="I596" s="61" t="s">
        <v>508</v>
      </c>
      <c r="J596" s="61"/>
      <c r="K596" s="61" t="s">
        <v>1982</v>
      </c>
      <c r="L596" s="61" t="s">
        <v>8192</v>
      </c>
      <c r="M596" s="475">
        <v>45758</v>
      </c>
      <c r="N596" s="475">
        <v>45762</v>
      </c>
      <c r="O596" s="61"/>
      <c r="P596" s="475">
        <v>45763</v>
      </c>
      <c r="Q596" s="475">
        <v>45769</v>
      </c>
      <c r="R596" s="61">
        <f t="shared" si="41"/>
        <v>2</v>
      </c>
      <c r="S596" s="61" t="str">
        <f t="shared" si="42"/>
        <v/>
      </c>
      <c r="T596" s="61">
        <f t="shared" si="40"/>
        <v>1</v>
      </c>
      <c r="U596" s="61">
        <f t="shared" si="43"/>
        <v>4</v>
      </c>
      <c r="V596" s="61" t="s">
        <v>150</v>
      </c>
      <c r="W596" s="61" t="s">
        <v>4</v>
      </c>
      <c r="X596" s="61" t="s">
        <v>50</v>
      </c>
      <c r="Y596" s="61" t="s">
        <v>8193</v>
      </c>
      <c r="Z596" s="61" t="s">
        <v>8194</v>
      </c>
      <c r="AA596" s="61" t="s">
        <v>463</v>
      </c>
      <c r="AB596" s="61"/>
    </row>
    <row r="597" spans="1:28" s="2" customFormat="1" ht="15">
      <c r="A597" s="61" t="s">
        <v>776</v>
      </c>
      <c r="B597" s="61" t="s">
        <v>4168</v>
      </c>
      <c r="C597" s="61" t="s">
        <v>4193</v>
      </c>
      <c r="D597" s="61" t="s">
        <v>7838</v>
      </c>
      <c r="E597" s="61">
        <v>2974</v>
      </c>
      <c r="F597" s="61">
        <v>3245</v>
      </c>
      <c r="G597" s="61">
        <v>2025</v>
      </c>
      <c r="H597" s="61" t="s">
        <v>3458</v>
      </c>
      <c r="I597" s="61" t="s">
        <v>508</v>
      </c>
      <c r="J597" s="61" t="s">
        <v>328</v>
      </c>
      <c r="K597" s="61" t="s">
        <v>1982</v>
      </c>
      <c r="L597" s="61" t="s">
        <v>8195</v>
      </c>
      <c r="M597" s="475">
        <v>45692</v>
      </c>
      <c r="N597" s="475">
        <v>45701</v>
      </c>
      <c r="O597" s="475">
        <v>45705</v>
      </c>
      <c r="P597" s="475">
        <v>45705</v>
      </c>
      <c r="Q597" s="475">
        <v>45706</v>
      </c>
      <c r="R597" s="61">
        <f t="shared" si="41"/>
        <v>7</v>
      </c>
      <c r="S597" s="61">
        <f t="shared" si="42"/>
        <v>2</v>
      </c>
      <c r="T597" s="61">
        <f t="shared" si="40"/>
        <v>2</v>
      </c>
      <c r="U597" s="61">
        <f t="shared" si="43"/>
        <v>1</v>
      </c>
      <c r="V597" s="61" t="s">
        <v>150</v>
      </c>
      <c r="W597" s="61" t="s">
        <v>4</v>
      </c>
      <c r="X597" s="61" t="s">
        <v>50</v>
      </c>
      <c r="Y597" s="61"/>
      <c r="Z597" s="61"/>
      <c r="AA597" s="61" t="s">
        <v>463</v>
      </c>
      <c r="AB597" s="61"/>
    </row>
    <row r="598" spans="1:28" s="2" customFormat="1" ht="15">
      <c r="A598" s="61" t="s">
        <v>776</v>
      </c>
      <c r="B598" s="61" t="s">
        <v>4168</v>
      </c>
      <c r="C598" s="61" t="s">
        <v>4199</v>
      </c>
      <c r="D598" s="61" t="s">
        <v>7838</v>
      </c>
      <c r="E598" s="61">
        <v>3344</v>
      </c>
      <c r="F598" s="61">
        <v>3333</v>
      </c>
      <c r="G598" s="61">
        <v>2025</v>
      </c>
      <c r="H598" s="61" t="s">
        <v>3125</v>
      </c>
      <c r="I598" s="61" t="s">
        <v>508</v>
      </c>
      <c r="J598" s="61"/>
      <c r="K598" s="61" t="s">
        <v>1982</v>
      </c>
      <c r="L598" s="61" t="s">
        <v>8196</v>
      </c>
      <c r="M598" s="475">
        <v>45706</v>
      </c>
      <c r="N598" s="475">
        <v>45706</v>
      </c>
      <c r="O598" s="475">
        <v>45707</v>
      </c>
      <c r="P598" s="475">
        <v>45707</v>
      </c>
      <c r="Q598" s="475">
        <v>45707</v>
      </c>
      <c r="R598" s="61">
        <f t="shared" si="41"/>
        <v>1</v>
      </c>
      <c r="S598" s="61">
        <f t="shared" si="42"/>
        <v>1</v>
      </c>
      <c r="T598" s="61">
        <f t="shared" si="40"/>
        <v>1</v>
      </c>
      <c r="U598" s="61">
        <f t="shared" si="43"/>
        <v>1</v>
      </c>
      <c r="V598" s="61" t="s">
        <v>150</v>
      </c>
      <c r="W598" s="61" t="s">
        <v>4</v>
      </c>
      <c r="X598" s="61" t="s">
        <v>50</v>
      </c>
      <c r="Y598" s="61"/>
      <c r="Z598" s="61"/>
      <c r="AA598" s="61" t="s">
        <v>463</v>
      </c>
      <c r="AB598" s="61"/>
    </row>
    <row r="599" spans="1:28" s="2" customFormat="1" ht="15">
      <c r="A599" s="61" t="s">
        <v>776</v>
      </c>
      <c r="B599" s="61" t="s">
        <v>4168</v>
      </c>
      <c r="C599" s="61" t="s">
        <v>1041</v>
      </c>
      <c r="D599" s="61" t="s">
        <v>7838</v>
      </c>
      <c r="E599" s="61">
        <v>38846</v>
      </c>
      <c r="F599" s="61">
        <v>46171</v>
      </c>
      <c r="G599" s="61">
        <v>2025</v>
      </c>
      <c r="H599" s="61" t="s">
        <v>3125</v>
      </c>
      <c r="I599" s="61" t="s">
        <v>508</v>
      </c>
      <c r="J599" s="61"/>
      <c r="K599" s="61" t="s">
        <v>1982</v>
      </c>
      <c r="L599" s="61" t="s">
        <v>8197</v>
      </c>
      <c r="M599" s="475">
        <v>45840</v>
      </c>
      <c r="N599" s="475">
        <v>45856</v>
      </c>
      <c r="O599" s="475"/>
      <c r="P599" s="475">
        <v>45859</v>
      </c>
      <c r="Q599" s="475">
        <v>45859</v>
      </c>
      <c r="R599" s="61">
        <f t="shared" si="41"/>
        <v>12</v>
      </c>
      <c r="S599" s="61" t="str">
        <f t="shared" si="42"/>
        <v/>
      </c>
      <c r="T599" s="61">
        <f t="shared" si="40"/>
        <v>1</v>
      </c>
      <c r="U599" s="61">
        <f t="shared" si="43"/>
        <v>1</v>
      </c>
      <c r="V599" s="61" t="s">
        <v>150</v>
      </c>
      <c r="W599" s="61" t="s">
        <v>4</v>
      </c>
      <c r="X599" s="61" t="s">
        <v>50</v>
      </c>
      <c r="Y599" s="61">
        <v>14.8447</v>
      </c>
      <c r="Z599" s="61">
        <v>121.09529999999999</v>
      </c>
      <c r="AA599" s="61" t="s">
        <v>8173</v>
      </c>
      <c r="AB599" s="61"/>
    </row>
    <row r="600" spans="1:28" s="2" customFormat="1" ht="15">
      <c r="A600" s="61" t="s">
        <v>776</v>
      </c>
      <c r="B600" s="61" t="s">
        <v>4168</v>
      </c>
      <c r="C600" s="61" t="s">
        <v>1045</v>
      </c>
      <c r="D600" s="61" t="s">
        <v>7838</v>
      </c>
      <c r="E600" s="61">
        <v>106603</v>
      </c>
      <c r="F600" s="61">
        <v>127506</v>
      </c>
      <c r="G600" s="61">
        <v>2025</v>
      </c>
      <c r="H600" s="61" t="s">
        <v>3125</v>
      </c>
      <c r="I600" s="61" t="s">
        <v>508</v>
      </c>
      <c r="J600" s="61"/>
      <c r="K600" s="61" t="s">
        <v>1982</v>
      </c>
      <c r="L600" s="61" t="s">
        <v>8198</v>
      </c>
      <c r="M600" s="475">
        <v>45849</v>
      </c>
      <c r="N600" s="475">
        <v>45856</v>
      </c>
      <c r="O600" s="475"/>
      <c r="P600" s="475">
        <v>45859</v>
      </c>
      <c r="Q600" s="475">
        <v>45859</v>
      </c>
      <c r="R600" s="61">
        <f t="shared" si="41"/>
        <v>5</v>
      </c>
      <c r="S600" s="61" t="str">
        <f t="shared" si="42"/>
        <v/>
      </c>
      <c r="T600" s="61">
        <f t="shared" si="40"/>
        <v>1</v>
      </c>
      <c r="U600" s="61">
        <f t="shared" si="43"/>
        <v>1</v>
      </c>
      <c r="V600" s="61" t="s">
        <v>150</v>
      </c>
      <c r="W600" s="61" t="s">
        <v>4</v>
      </c>
      <c r="X600" s="61" t="s">
        <v>50</v>
      </c>
      <c r="Y600" s="61">
        <v>14.8209</v>
      </c>
      <c r="Z600" s="61">
        <v>121.0262</v>
      </c>
      <c r="AA600" s="61" t="s">
        <v>8173</v>
      </c>
      <c r="AB600" s="61"/>
    </row>
    <row r="601" spans="1:28" s="2" customFormat="1" ht="15">
      <c r="A601" s="61" t="s">
        <v>776</v>
      </c>
      <c r="B601" s="61" t="s">
        <v>4168</v>
      </c>
      <c r="C601" s="61" t="s">
        <v>4206</v>
      </c>
      <c r="D601" s="61" t="s">
        <v>7838</v>
      </c>
      <c r="E601" s="61">
        <v>4445</v>
      </c>
      <c r="F601" s="61">
        <v>5617</v>
      </c>
      <c r="G601" s="61">
        <v>2025</v>
      </c>
      <c r="H601" s="61" t="s">
        <v>3470</v>
      </c>
      <c r="I601" s="61" t="s">
        <v>508</v>
      </c>
      <c r="J601" s="61"/>
      <c r="K601" s="61" t="s">
        <v>1982</v>
      </c>
      <c r="L601" s="61" t="s">
        <v>8199</v>
      </c>
      <c r="M601" s="475">
        <v>45758</v>
      </c>
      <c r="N601" s="481">
        <v>45762</v>
      </c>
      <c r="O601" s="61"/>
      <c r="P601" s="475">
        <v>45763</v>
      </c>
      <c r="Q601" s="475">
        <v>45769</v>
      </c>
      <c r="R601" s="61">
        <f t="shared" si="41"/>
        <v>2</v>
      </c>
      <c r="S601" s="61" t="str">
        <f t="shared" si="42"/>
        <v/>
      </c>
      <c r="T601" s="61">
        <f t="shared" si="40"/>
        <v>1</v>
      </c>
      <c r="U601" s="61">
        <f t="shared" si="43"/>
        <v>4</v>
      </c>
      <c r="V601" s="61" t="s">
        <v>150</v>
      </c>
      <c r="W601" s="61" t="s">
        <v>1078</v>
      </c>
      <c r="X601" s="61" t="s">
        <v>50</v>
      </c>
      <c r="Y601" s="61" t="s">
        <v>8200</v>
      </c>
      <c r="Z601" s="61" t="s">
        <v>8201</v>
      </c>
      <c r="AA601" s="61" t="s">
        <v>463</v>
      </c>
      <c r="AB601" s="61"/>
    </row>
    <row r="602" spans="1:28" s="2" customFormat="1" ht="15">
      <c r="A602" s="61" t="s">
        <v>776</v>
      </c>
      <c r="B602" s="61" t="s">
        <v>4168</v>
      </c>
      <c r="C602" s="61" t="s">
        <v>4170</v>
      </c>
      <c r="D602" s="61" t="s">
        <v>7838</v>
      </c>
      <c r="E602" s="61">
        <v>7258</v>
      </c>
      <c r="F602" s="61">
        <v>7264</v>
      </c>
      <c r="G602" s="61">
        <v>2025</v>
      </c>
      <c r="H602" s="61" t="s">
        <v>3125</v>
      </c>
      <c r="I602" s="61" t="s">
        <v>508</v>
      </c>
      <c r="J602" s="61"/>
      <c r="K602" s="61" t="s">
        <v>1982</v>
      </c>
      <c r="L602" s="61" t="s">
        <v>8202</v>
      </c>
      <c r="M602" s="475">
        <v>45849</v>
      </c>
      <c r="N602" s="475">
        <v>45856</v>
      </c>
      <c r="O602" s="475"/>
      <c r="P602" s="475">
        <v>45859</v>
      </c>
      <c r="Q602" s="475">
        <v>45859</v>
      </c>
      <c r="R602" s="61">
        <f t="shared" si="41"/>
        <v>5</v>
      </c>
      <c r="S602" s="61" t="str">
        <f t="shared" si="42"/>
        <v/>
      </c>
      <c r="T602" s="61">
        <f t="shared" si="40"/>
        <v>1</v>
      </c>
      <c r="U602" s="61">
        <f t="shared" si="43"/>
        <v>1</v>
      </c>
      <c r="V602" s="61" t="s">
        <v>150</v>
      </c>
      <c r="W602" s="61" t="s">
        <v>3527</v>
      </c>
      <c r="X602" s="61" t="s">
        <v>3528</v>
      </c>
      <c r="Y602" s="61">
        <v>14.855700000000001</v>
      </c>
      <c r="Z602" s="61">
        <v>121.0587</v>
      </c>
      <c r="AA602" s="61" t="s">
        <v>8173</v>
      </c>
      <c r="AB602" s="61"/>
    </row>
    <row r="603" spans="1:28" s="2" customFormat="1" ht="15">
      <c r="A603" s="61" t="s">
        <v>776</v>
      </c>
      <c r="B603" s="61" t="s">
        <v>4168</v>
      </c>
      <c r="C603" s="61" t="s">
        <v>4172</v>
      </c>
      <c r="D603" s="61" t="s">
        <v>7838</v>
      </c>
      <c r="E603" s="61">
        <v>4301</v>
      </c>
      <c r="F603" s="61">
        <v>4175</v>
      </c>
      <c r="G603" s="61">
        <v>2025</v>
      </c>
      <c r="H603" s="61" t="s">
        <v>3125</v>
      </c>
      <c r="I603" s="61" t="s">
        <v>508</v>
      </c>
      <c r="J603" s="61"/>
      <c r="K603" s="61" t="s">
        <v>1982</v>
      </c>
      <c r="L603" s="61" t="s">
        <v>8203</v>
      </c>
      <c r="M603" s="475">
        <v>45849</v>
      </c>
      <c r="N603" s="475">
        <v>45856</v>
      </c>
      <c r="O603" s="475"/>
      <c r="P603" s="475">
        <v>45859</v>
      </c>
      <c r="Q603" s="475">
        <v>45859</v>
      </c>
      <c r="R603" s="61">
        <f t="shared" si="41"/>
        <v>5</v>
      </c>
      <c r="S603" s="61" t="str">
        <f t="shared" si="42"/>
        <v/>
      </c>
      <c r="T603" s="61">
        <f t="shared" si="40"/>
        <v>1</v>
      </c>
      <c r="U603" s="61">
        <f t="shared" si="43"/>
        <v>1</v>
      </c>
      <c r="V603" s="61" t="s">
        <v>150</v>
      </c>
      <c r="W603" s="61" t="s">
        <v>3527</v>
      </c>
      <c r="X603" s="61" t="s">
        <v>3528</v>
      </c>
      <c r="Y603" s="61">
        <v>14.8592</v>
      </c>
      <c r="Z603" s="61">
        <v>121.0591</v>
      </c>
      <c r="AA603" s="61" t="s">
        <v>8173</v>
      </c>
      <c r="AB603" s="61"/>
    </row>
    <row r="604" spans="1:28" s="2" customFormat="1" ht="15">
      <c r="A604" s="61" t="s">
        <v>776</v>
      </c>
      <c r="B604" s="61" t="s">
        <v>4168</v>
      </c>
      <c r="C604" s="61" t="s">
        <v>4174</v>
      </c>
      <c r="D604" s="61" t="s">
        <v>7838</v>
      </c>
      <c r="E604" s="61">
        <v>5854</v>
      </c>
      <c r="F604" s="61">
        <v>5698</v>
      </c>
      <c r="G604" s="61">
        <v>2025</v>
      </c>
      <c r="H604" s="61" t="s">
        <v>3125</v>
      </c>
      <c r="I604" s="61" t="s">
        <v>508</v>
      </c>
      <c r="J604" s="61"/>
      <c r="K604" s="61" t="s">
        <v>1982</v>
      </c>
      <c r="L604" s="61" t="s">
        <v>8204</v>
      </c>
      <c r="M604" s="475">
        <v>45849</v>
      </c>
      <c r="N604" s="475">
        <v>45856</v>
      </c>
      <c r="O604" s="475"/>
      <c r="P604" s="475">
        <v>45859</v>
      </c>
      <c r="Q604" s="475">
        <v>45859</v>
      </c>
      <c r="R604" s="61">
        <f t="shared" si="41"/>
        <v>5</v>
      </c>
      <c r="S604" s="61" t="str">
        <f t="shared" si="42"/>
        <v/>
      </c>
      <c r="T604" s="61">
        <f t="shared" si="40"/>
        <v>1</v>
      </c>
      <c r="U604" s="61">
        <f t="shared" si="43"/>
        <v>1</v>
      </c>
      <c r="V604" s="61" t="s">
        <v>150</v>
      </c>
      <c r="W604" s="61" t="s">
        <v>3527</v>
      </c>
      <c r="X604" s="61" t="s">
        <v>3528</v>
      </c>
      <c r="Y604" s="61">
        <v>14.854200000000001</v>
      </c>
      <c r="Z604" s="61">
        <v>121.0629</v>
      </c>
      <c r="AA604" s="61" t="s">
        <v>8173</v>
      </c>
      <c r="AB604" s="61"/>
    </row>
    <row r="605" spans="1:28" s="2" customFormat="1" ht="15">
      <c r="A605" s="61" t="s">
        <v>776</v>
      </c>
      <c r="B605" s="61" t="s">
        <v>4168</v>
      </c>
      <c r="C605" s="61" t="s">
        <v>4195</v>
      </c>
      <c r="D605" s="61" t="s">
        <v>7838</v>
      </c>
      <c r="E605" s="61">
        <v>38407</v>
      </c>
      <c r="F605" s="61">
        <v>46045</v>
      </c>
      <c r="G605" s="61">
        <v>2025</v>
      </c>
      <c r="H605" s="61" t="s">
        <v>8205</v>
      </c>
      <c r="I605" s="61" t="s">
        <v>508</v>
      </c>
      <c r="J605" s="61" t="s">
        <v>328</v>
      </c>
      <c r="K605" s="61" t="s">
        <v>1982</v>
      </c>
      <c r="L605" s="61" t="s">
        <v>8206</v>
      </c>
      <c r="M605" s="475">
        <v>45695</v>
      </c>
      <c r="N605" s="475">
        <v>45701</v>
      </c>
      <c r="O605" s="475">
        <v>45701</v>
      </c>
      <c r="P605" s="475">
        <v>45705</v>
      </c>
      <c r="Q605" s="475">
        <v>45706</v>
      </c>
      <c r="R605" s="61">
        <f t="shared" si="41"/>
        <v>4</v>
      </c>
      <c r="S605" s="61">
        <f t="shared" si="42"/>
        <v>1</v>
      </c>
      <c r="T605" s="61">
        <f t="shared" si="40"/>
        <v>2</v>
      </c>
      <c r="U605" s="61">
        <f t="shared" si="43"/>
        <v>1</v>
      </c>
      <c r="V605" s="61" t="s">
        <v>150</v>
      </c>
      <c r="W605" s="61" t="s">
        <v>3527</v>
      </c>
      <c r="X605" s="61" t="s">
        <v>3528</v>
      </c>
      <c r="Y605" s="61"/>
      <c r="Z605" s="61"/>
      <c r="AA605" s="61" t="s">
        <v>463</v>
      </c>
      <c r="AB605" s="61"/>
    </row>
    <row r="606" spans="1:28" s="2" customFormat="1" ht="15">
      <c r="A606" s="61" t="s">
        <v>776</v>
      </c>
      <c r="B606" s="61" t="s">
        <v>4168</v>
      </c>
      <c r="C606" s="61" t="s">
        <v>4169</v>
      </c>
      <c r="D606" s="61" t="s">
        <v>7838</v>
      </c>
      <c r="E606" s="61">
        <v>4460</v>
      </c>
      <c r="F606" s="61">
        <v>4362</v>
      </c>
      <c r="G606" s="61"/>
      <c r="H606" s="61"/>
      <c r="I606" s="61" t="s">
        <v>508</v>
      </c>
      <c r="J606" s="61"/>
      <c r="K606" s="61" t="s">
        <v>1982</v>
      </c>
      <c r="L606" s="61"/>
      <c r="M606" s="61"/>
      <c r="N606" s="61"/>
      <c r="O606" s="61"/>
      <c r="P606" s="61"/>
      <c r="Q606" s="61"/>
      <c r="R606" s="61" t="str">
        <f t="shared" si="41"/>
        <v/>
      </c>
      <c r="S606" s="61" t="str">
        <f t="shared" si="42"/>
        <v/>
      </c>
      <c r="T606" s="61" t="str">
        <f t="shared" si="40"/>
        <v/>
      </c>
      <c r="U606" s="61" t="str">
        <f t="shared" si="43"/>
        <v/>
      </c>
      <c r="V606" s="61"/>
      <c r="W606" s="61"/>
      <c r="X606" s="61"/>
      <c r="Y606" s="61"/>
      <c r="Z606" s="61"/>
      <c r="AA606" s="61"/>
      <c r="AB606" s="61"/>
    </row>
    <row r="607" spans="1:28" s="2" customFormat="1" ht="15">
      <c r="A607" s="61" t="s">
        <v>776</v>
      </c>
      <c r="B607" s="61" t="s">
        <v>4168</v>
      </c>
      <c r="C607" s="61" t="s">
        <v>4175</v>
      </c>
      <c r="D607" s="61" t="s">
        <v>7838</v>
      </c>
      <c r="E607" s="61">
        <v>20937</v>
      </c>
      <c r="F607" s="61">
        <v>22893</v>
      </c>
      <c r="G607" s="61"/>
      <c r="H607" s="61"/>
      <c r="I607" s="61" t="s">
        <v>508</v>
      </c>
      <c r="J607" s="61"/>
      <c r="K607" s="61" t="s">
        <v>1982</v>
      </c>
      <c r="L607" s="61"/>
      <c r="M607" s="61"/>
      <c r="N607" s="61"/>
      <c r="O607" s="61"/>
      <c r="P607" s="61"/>
      <c r="Q607" s="61"/>
      <c r="R607" s="61" t="str">
        <f t="shared" si="41"/>
        <v/>
      </c>
      <c r="S607" s="61" t="str">
        <f t="shared" si="42"/>
        <v/>
      </c>
      <c r="T607" s="61" t="str">
        <f t="shared" si="40"/>
        <v/>
      </c>
      <c r="U607" s="61" t="str">
        <f t="shared" si="43"/>
        <v/>
      </c>
      <c r="V607" s="61"/>
      <c r="W607" s="61"/>
      <c r="X607" s="61"/>
      <c r="Y607" s="61"/>
      <c r="Z607" s="61"/>
      <c r="AA607" s="61"/>
      <c r="AB607" s="61"/>
    </row>
    <row r="608" spans="1:28" s="2" customFormat="1" ht="15">
      <c r="A608" s="61" t="s">
        <v>776</v>
      </c>
      <c r="B608" s="61" t="s">
        <v>4168</v>
      </c>
      <c r="C608" s="61" t="s">
        <v>4176</v>
      </c>
      <c r="D608" s="61" t="s">
        <v>7838</v>
      </c>
      <c r="E608" s="61">
        <v>2519</v>
      </c>
      <c r="F608" s="61">
        <v>1826</v>
      </c>
      <c r="G608" s="61"/>
      <c r="H608" s="61"/>
      <c r="I608" s="61" t="s">
        <v>508</v>
      </c>
      <c r="J608" s="61"/>
      <c r="K608" s="61" t="s">
        <v>1982</v>
      </c>
      <c r="L608" s="61"/>
      <c r="M608" s="61"/>
      <c r="N608" s="61"/>
      <c r="O608" s="61"/>
      <c r="P608" s="61"/>
      <c r="Q608" s="61"/>
      <c r="R608" s="61" t="str">
        <f t="shared" si="41"/>
        <v/>
      </c>
      <c r="S608" s="61" t="str">
        <f t="shared" si="42"/>
        <v/>
      </c>
      <c r="T608" s="61" t="str">
        <f t="shared" si="40"/>
        <v/>
      </c>
      <c r="U608" s="61" t="str">
        <f t="shared" si="43"/>
        <v/>
      </c>
      <c r="V608" s="61"/>
      <c r="W608" s="61"/>
      <c r="X608" s="61"/>
      <c r="Y608" s="61"/>
      <c r="Z608" s="61"/>
      <c r="AA608" s="61"/>
      <c r="AB608" s="61"/>
    </row>
    <row r="609" spans="1:28" s="2" customFormat="1" ht="15">
      <c r="A609" s="61" t="s">
        <v>776</v>
      </c>
      <c r="B609" s="61" t="s">
        <v>4168</v>
      </c>
      <c r="C609" s="61" t="s">
        <v>4177</v>
      </c>
      <c r="D609" s="61" t="s">
        <v>7838</v>
      </c>
      <c r="E609" s="61">
        <v>8806</v>
      </c>
      <c r="F609" s="61">
        <v>11008</v>
      </c>
      <c r="G609" s="61"/>
      <c r="H609" s="61"/>
      <c r="I609" s="61" t="s">
        <v>508</v>
      </c>
      <c r="J609" s="61"/>
      <c r="K609" s="61" t="s">
        <v>1982</v>
      </c>
      <c r="L609" s="61"/>
      <c r="M609" s="61"/>
      <c r="N609" s="61"/>
      <c r="O609" s="61"/>
      <c r="P609" s="61"/>
      <c r="Q609" s="61"/>
      <c r="R609" s="61" t="str">
        <f t="shared" si="41"/>
        <v/>
      </c>
      <c r="S609" s="61" t="str">
        <f t="shared" si="42"/>
        <v/>
      </c>
      <c r="T609" s="61" t="str">
        <f t="shared" si="40"/>
        <v/>
      </c>
      <c r="U609" s="61" t="str">
        <f t="shared" si="43"/>
        <v/>
      </c>
      <c r="V609" s="61"/>
      <c r="W609" s="61"/>
      <c r="X609" s="61"/>
      <c r="Y609" s="61"/>
      <c r="Z609" s="61"/>
      <c r="AA609" s="61"/>
      <c r="AB609" s="61"/>
    </row>
    <row r="610" spans="1:28" s="2" customFormat="1" ht="15">
      <c r="A610" s="61" t="s">
        <v>776</v>
      </c>
      <c r="B610" s="61" t="s">
        <v>4168</v>
      </c>
      <c r="C610" s="61" t="s">
        <v>4178</v>
      </c>
      <c r="D610" s="61" t="s">
        <v>7838</v>
      </c>
      <c r="E610" s="61">
        <v>3085</v>
      </c>
      <c r="F610" s="61">
        <v>3109</v>
      </c>
      <c r="G610" s="61"/>
      <c r="H610" s="61"/>
      <c r="I610" s="61" t="s">
        <v>508</v>
      </c>
      <c r="J610" s="61"/>
      <c r="K610" s="61" t="s">
        <v>1982</v>
      </c>
      <c r="L610" s="61"/>
      <c r="M610" s="61"/>
      <c r="N610" s="61"/>
      <c r="O610" s="61"/>
      <c r="P610" s="61"/>
      <c r="Q610" s="61"/>
      <c r="R610" s="61" t="str">
        <f t="shared" si="41"/>
        <v/>
      </c>
      <c r="S610" s="61" t="str">
        <f t="shared" si="42"/>
        <v/>
      </c>
      <c r="T610" s="61" t="str">
        <f t="shared" si="40"/>
        <v/>
      </c>
      <c r="U610" s="61" t="str">
        <f t="shared" si="43"/>
        <v/>
      </c>
      <c r="V610" s="61"/>
      <c r="W610" s="61"/>
      <c r="X610" s="61"/>
      <c r="Y610" s="61"/>
      <c r="Z610" s="61"/>
      <c r="AA610" s="61"/>
      <c r="AB610" s="61"/>
    </row>
    <row r="611" spans="1:28" s="2" customFormat="1" ht="15">
      <c r="A611" s="61" t="s">
        <v>776</v>
      </c>
      <c r="B611" s="61" t="s">
        <v>4168</v>
      </c>
      <c r="C611" s="61" t="s">
        <v>4179</v>
      </c>
      <c r="D611" s="61" t="s">
        <v>7838</v>
      </c>
      <c r="E611" s="61">
        <v>1855</v>
      </c>
      <c r="F611" s="61">
        <v>1890</v>
      </c>
      <c r="G611" s="61"/>
      <c r="H611" s="61"/>
      <c r="I611" s="61" t="s">
        <v>508</v>
      </c>
      <c r="J611" s="61"/>
      <c r="K611" s="61" t="s">
        <v>1982</v>
      </c>
      <c r="L611" s="61"/>
      <c r="M611" s="61"/>
      <c r="N611" s="61"/>
      <c r="O611" s="61"/>
      <c r="P611" s="61"/>
      <c r="Q611" s="61"/>
      <c r="R611" s="61" t="str">
        <f t="shared" si="41"/>
        <v/>
      </c>
      <c r="S611" s="61" t="str">
        <f t="shared" si="42"/>
        <v/>
      </c>
      <c r="T611" s="61" t="str">
        <f t="shared" si="40"/>
        <v/>
      </c>
      <c r="U611" s="61" t="str">
        <f t="shared" si="43"/>
        <v/>
      </c>
      <c r="V611" s="61"/>
      <c r="W611" s="61"/>
      <c r="X611" s="61"/>
      <c r="Y611" s="61"/>
      <c r="Z611" s="61"/>
      <c r="AA611" s="61"/>
      <c r="AB611" s="61"/>
    </row>
    <row r="612" spans="1:28" s="2" customFormat="1" ht="15">
      <c r="A612" s="61" t="s">
        <v>776</v>
      </c>
      <c r="B612" s="61" t="s">
        <v>4168</v>
      </c>
      <c r="C612" s="61" t="s">
        <v>4180</v>
      </c>
      <c r="D612" s="61" t="s">
        <v>7838</v>
      </c>
      <c r="E612" s="61">
        <v>1922</v>
      </c>
      <c r="F612" s="61">
        <v>1950</v>
      </c>
      <c r="G612" s="61"/>
      <c r="H612" s="61"/>
      <c r="I612" s="61" t="s">
        <v>508</v>
      </c>
      <c r="J612" s="61"/>
      <c r="K612" s="61" t="s">
        <v>1982</v>
      </c>
      <c r="L612" s="61"/>
      <c r="M612" s="61"/>
      <c r="N612" s="61"/>
      <c r="O612" s="61"/>
      <c r="P612" s="61"/>
      <c r="Q612" s="61"/>
      <c r="R612" s="61" t="str">
        <f t="shared" si="41"/>
        <v/>
      </c>
      <c r="S612" s="61" t="str">
        <f t="shared" si="42"/>
        <v/>
      </c>
      <c r="T612" s="61" t="str">
        <f t="shared" si="40"/>
        <v/>
      </c>
      <c r="U612" s="61" t="str">
        <f t="shared" si="43"/>
        <v/>
      </c>
      <c r="V612" s="61"/>
      <c r="W612" s="61"/>
      <c r="X612" s="61"/>
      <c r="Y612" s="61"/>
      <c r="Z612" s="61"/>
      <c r="AA612" s="61"/>
      <c r="AB612" s="61"/>
    </row>
    <row r="613" spans="1:28" s="2" customFormat="1" ht="15">
      <c r="A613" s="61" t="s">
        <v>776</v>
      </c>
      <c r="B613" s="61" t="s">
        <v>4168</v>
      </c>
      <c r="C613" s="61" t="s">
        <v>4181</v>
      </c>
      <c r="D613" s="61" t="s">
        <v>7838</v>
      </c>
      <c r="E613" s="61">
        <v>2243</v>
      </c>
      <c r="F613" s="61">
        <v>2121</v>
      </c>
      <c r="G613" s="61"/>
      <c r="H613" s="61"/>
      <c r="I613" s="61" t="s">
        <v>508</v>
      </c>
      <c r="J613" s="61"/>
      <c r="K613" s="61" t="s">
        <v>1982</v>
      </c>
      <c r="L613" s="61"/>
      <c r="M613" s="61"/>
      <c r="N613" s="61"/>
      <c r="O613" s="61"/>
      <c r="P613" s="61"/>
      <c r="Q613" s="61"/>
      <c r="R613" s="61" t="str">
        <f t="shared" si="41"/>
        <v/>
      </c>
      <c r="S613" s="61" t="str">
        <f t="shared" si="42"/>
        <v/>
      </c>
      <c r="T613" s="61" t="str">
        <f t="shared" ref="T613:T676" si="44">IF(
  OR(A613 = "Nueva_Ecija", A613 = "Zambales"),
  IF(
    OR(ISBLANK(O613), ISBLANK(P613)),
    "",
    MAX(1, IF(
      NETWORKDAYS(O613, P613) &lt;= 0,
      1,
      NETWORKDAYS(O613, P613) - IF(O613 = P613, 0, 1)
    ))
  ),
  IF(
    OR(ISBLANK(N613), ISBLANK(P613)),
    "",
    MAX(1, IF(
      NETWORKDAYS(N613, P613) &lt;= 0,
      1,
      NETWORKDAYS(N613, P613) - IF(N613 = P613, 0, 1)
    ))
  )
)</f>
        <v/>
      </c>
      <c r="U613" s="61" t="str">
        <f t="shared" si="43"/>
        <v/>
      </c>
      <c r="V613" s="61"/>
      <c r="W613" s="61"/>
      <c r="X613" s="61"/>
      <c r="Y613" s="61"/>
      <c r="Z613" s="61"/>
      <c r="AA613" s="61"/>
      <c r="AB613" s="61"/>
    </row>
    <row r="614" spans="1:28" s="2" customFormat="1" ht="15">
      <c r="A614" s="61" t="s">
        <v>776</v>
      </c>
      <c r="B614" s="61" t="s">
        <v>4168</v>
      </c>
      <c r="C614" s="61" t="s">
        <v>4182</v>
      </c>
      <c r="D614" s="61" t="s">
        <v>7838</v>
      </c>
      <c r="E614" s="61">
        <v>2519</v>
      </c>
      <c r="F614" s="61">
        <v>2195</v>
      </c>
      <c r="G614" s="61"/>
      <c r="H614" s="61"/>
      <c r="I614" s="61" t="s">
        <v>508</v>
      </c>
      <c r="J614" s="61"/>
      <c r="K614" s="61" t="s">
        <v>1982</v>
      </c>
      <c r="L614" s="61"/>
      <c r="M614" s="61"/>
      <c r="N614" s="61"/>
      <c r="O614" s="61"/>
      <c r="P614" s="61"/>
      <c r="Q614" s="61"/>
      <c r="R614" s="61" t="str">
        <f t="shared" si="41"/>
        <v/>
      </c>
      <c r="S614" s="61" t="str">
        <f t="shared" si="42"/>
        <v/>
      </c>
      <c r="T614" s="61" t="str">
        <f t="shared" si="44"/>
        <v/>
      </c>
      <c r="U614" s="61" t="str">
        <f t="shared" si="43"/>
        <v/>
      </c>
      <c r="V614" s="61"/>
      <c r="W614" s="61"/>
      <c r="X614" s="61"/>
      <c r="Y614" s="61"/>
      <c r="Z614" s="61"/>
      <c r="AA614" s="61"/>
      <c r="AB614" s="61"/>
    </row>
    <row r="615" spans="1:28" s="2" customFormat="1" ht="15">
      <c r="A615" s="61" t="s">
        <v>776</v>
      </c>
      <c r="B615" s="61" t="s">
        <v>4168</v>
      </c>
      <c r="C615" s="61" t="s">
        <v>4183</v>
      </c>
      <c r="D615" s="61" t="s">
        <v>7838</v>
      </c>
      <c r="E615" s="61">
        <v>6132</v>
      </c>
      <c r="F615" s="61">
        <v>6972</v>
      </c>
      <c r="G615" s="61"/>
      <c r="H615" s="61"/>
      <c r="I615" s="61" t="s">
        <v>508</v>
      </c>
      <c r="J615" s="61"/>
      <c r="K615" s="61" t="s">
        <v>1982</v>
      </c>
      <c r="L615" s="61"/>
      <c r="M615" s="61"/>
      <c r="N615" s="61"/>
      <c r="O615" s="61"/>
      <c r="P615" s="61"/>
      <c r="Q615" s="61"/>
      <c r="R615" s="61" t="str">
        <f t="shared" si="41"/>
        <v/>
      </c>
      <c r="S615" s="61" t="str">
        <f t="shared" si="42"/>
        <v/>
      </c>
      <c r="T615" s="61" t="str">
        <f t="shared" si="44"/>
        <v/>
      </c>
      <c r="U615" s="61" t="str">
        <f t="shared" si="43"/>
        <v/>
      </c>
      <c r="V615" s="61"/>
      <c r="W615" s="61"/>
      <c r="X615" s="61"/>
      <c r="Y615" s="61"/>
      <c r="Z615" s="61"/>
      <c r="AA615" s="61"/>
      <c r="AB615" s="61"/>
    </row>
    <row r="616" spans="1:28" s="2" customFormat="1" ht="15">
      <c r="A616" s="61" t="s">
        <v>776</v>
      </c>
      <c r="B616" s="61" t="s">
        <v>4168</v>
      </c>
      <c r="C616" s="61" t="s">
        <v>4184</v>
      </c>
      <c r="D616" s="61" t="s">
        <v>7838</v>
      </c>
      <c r="E616" s="61">
        <v>11608</v>
      </c>
      <c r="F616" s="61">
        <v>11226</v>
      </c>
      <c r="G616" s="61"/>
      <c r="H616" s="61"/>
      <c r="I616" s="61" t="s">
        <v>508</v>
      </c>
      <c r="J616" s="61"/>
      <c r="K616" s="61" t="s">
        <v>1982</v>
      </c>
      <c r="L616" s="61"/>
      <c r="M616" s="61"/>
      <c r="N616" s="61"/>
      <c r="O616" s="61"/>
      <c r="P616" s="61"/>
      <c r="Q616" s="61"/>
      <c r="R616" s="61" t="str">
        <f t="shared" si="41"/>
        <v/>
      </c>
      <c r="S616" s="61" t="str">
        <f t="shared" si="42"/>
        <v/>
      </c>
      <c r="T616" s="61" t="str">
        <f t="shared" si="44"/>
        <v/>
      </c>
      <c r="U616" s="61" t="str">
        <f t="shared" si="43"/>
        <v/>
      </c>
      <c r="V616" s="61"/>
      <c r="W616" s="61"/>
      <c r="X616" s="61"/>
      <c r="Y616" s="61"/>
      <c r="Z616" s="61"/>
      <c r="AA616" s="61"/>
      <c r="AB616" s="61"/>
    </row>
    <row r="617" spans="1:28" s="2" customFormat="1" ht="15">
      <c r="A617" s="61" t="s">
        <v>776</v>
      </c>
      <c r="B617" s="61" t="s">
        <v>4168</v>
      </c>
      <c r="C617" s="61" t="s">
        <v>4185</v>
      </c>
      <c r="D617" s="61" t="s">
        <v>7838</v>
      </c>
      <c r="E617" s="61">
        <v>7152</v>
      </c>
      <c r="F617" s="61">
        <v>8293</v>
      </c>
      <c r="G617" s="61"/>
      <c r="H617" s="61"/>
      <c r="I617" s="61" t="s">
        <v>508</v>
      </c>
      <c r="J617" s="61"/>
      <c r="K617" s="61" t="s">
        <v>1982</v>
      </c>
      <c r="L617" s="61"/>
      <c r="M617" s="61"/>
      <c r="N617" s="61"/>
      <c r="O617" s="61"/>
      <c r="P617" s="61"/>
      <c r="Q617" s="61"/>
      <c r="R617" s="61" t="str">
        <f t="shared" si="41"/>
        <v/>
      </c>
      <c r="S617" s="61" t="str">
        <f t="shared" si="42"/>
        <v/>
      </c>
      <c r="T617" s="61" t="str">
        <f t="shared" si="44"/>
        <v/>
      </c>
      <c r="U617" s="61" t="str">
        <f t="shared" si="43"/>
        <v/>
      </c>
      <c r="V617" s="61"/>
      <c r="W617" s="61"/>
      <c r="X617" s="61"/>
      <c r="Y617" s="61"/>
      <c r="Z617" s="61"/>
      <c r="AA617" s="61"/>
      <c r="AB617" s="61"/>
    </row>
    <row r="618" spans="1:28" s="2" customFormat="1" ht="15">
      <c r="A618" s="61" t="s">
        <v>776</v>
      </c>
      <c r="B618" s="61" t="s">
        <v>4168</v>
      </c>
      <c r="C618" s="61" t="s">
        <v>4186</v>
      </c>
      <c r="D618" s="61" t="s">
        <v>7838</v>
      </c>
      <c r="E618" s="61">
        <v>3327</v>
      </c>
      <c r="F618" s="61">
        <v>3721</v>
      </c>
      <c r="G618" s="61"/>
      <c r="H618" s="61"/>
      <c r="I618" s="61" t="s">
        <v>508</v>
      </c>
      <c r="J618" s="61"/>
      <c r="K618" s="61" t="s">
        <v>1982</v>
      </c>
      <c r="L618" s="61"/>
      <c r="M618" s="61"/>
      <c r="N618" s="61"/>
      <c r="O618" s="61"/>
      <c r="P618" s="61"/>
      <c r="Q618" s="61"/>
      <c r="R618" s="61" t="str">
        <f t="shared" si="41"/>
        <v/>
      </c>
      <c r="S618" s="61" t="str">
        <f t="shared" si="42"/>
        <v/>
      </c>
      <c r="T618" s="61" t="str">
        <f t="shared" si="44"/>
        <v/>
      </c>
      <c r="U618" s="61" t="str">
        <f t="shared" si="43"/>
        <v/>
      </c>
      <c r="V618" s="61"/>
      <c r="W618" s="61"/>
      <c r="X618" s="61"/>
      <c r="Y618" s="61"/>
      <c r="Z618" s="61"/>
      <c r="AA618" s="61"/>
      <c r="AB618" s="61"/>
    </row>
    <row r="619" spans="1:28" s="2" customFormat="1" ht="15">
      <c r="A619" s="61" t="s">
        <v>776</v>
      </c>
      <c r="B619" s="61" t="s">
        <v>4168</v>
      </c>
      <c r="C619" s="61" t="s">
        <v>4189</v>
      </c>
      <c r="D619" s="61" t="s">
        <v>7838</v>
      </c>
      <c r="E619" s="61">
        <v>38478</v>
      </c>
      <c r="F619" s="61">
        <v>42207</v>
      </c>
      <c r="G619" s="61"/>
      <c r="H619" s="61"/>
      <c r="I619" s="61" t="s">
        <v>508</v>
      </c>
      <c r="J619" s="61"/>
      <c r="K619" s="61" t="s">
        <v>1982</v>
      </c>
      <c r="L619" s="61"/>
      <c r="M619" s="61"/>
      <c r="N619" s="61"/>
      <c r="O619" s="61"/>
      <c r="P619" s="61"/>
      <c r="Q619" s="61"/>
      <c r="R619" s="61" t="str">
        <f t="shared" si="41"/>
        <v/>
      </c>
      <c r="S619" s="61" t="str">
        <f t="shared" si="42"/>
        <v/>
      </c>
      <c r="T619" s="61" t="str">
        <f t="shared" si="44"/>
        <v/>
      </c>
      <c r="U619" s="61" t="str">
        <f t="shared" si="43"/>
        <v/>
      </c>
      <c r="V619" s="61"/>
      <c r="W619" s="61"/>
      <c r="X619" s="61"/>
      <c r="Y619" s="61"/>
      <c r="Z619" s="61"/>
      <c r="AA619" s="61"/>
      <c r="AB619" s="61"/>
    </row>
    <row r="620" spans="1:28" s="2" customFormat="1" ht="15">
      <c r="A620" s="61" t="s">
        <v>776</v>
      </c>
      <c r="B620" s="61" t="s">
        <v>4168</v>
      </c>
      <c r="C620" s="61" t="s">
        <v>4190</v>
      </c>
      <c r="D620" s="61" t="s">
        <v>7838</v>
      </c>
      <c r="E620" s="61">
        <v>3864</v>
      </c>
      <c r="F620" s="61">
        <v>4123</v>
      </c>
      <c r="G620" s="61"/>
      <c r="H620" s="61"/>
      <c r="I620" s="61" t="s">
        <v>508</v>
      </c>
      <c r="J620" s="61"/>
      <c r="K620" s="61" t="s">
        <v>1982</v>
      </c>
      <c r="L620" s="61"/>
      <c r="M620" s="61"/>
      <c r="N620" s="61"/>
      <c r="O620" s="61"/>
      <c r="P620" s="61"/>
      <c r="Q620" s="61"/>
      <c r="R620" s="61" t="str">
        <f t="shared" si="41"/>
        <v/>
      </c>
      <c r="S620" s="61" t="str">
        <f t="shared" si="42"/>
        <v/>
      </c>
      <c r="T620" s="61" t="str">
        <f t="shared" si="44"/>
        <v/>
      </c>
      <c r="U620" s="61" t="str">
        <f t="shared" si="43"/>
        <v/>
      </c>
      <c r="V620" s="61"/>
      <c r="W620" s="61"/>
      <c r="X620" s="61"/>
      <c r="Y620" s="61"/>
      <c r="Z620" s="61"/>
      <c r="AA620" s="61"/>
      <c r="AB620" s="61"/>
    </row>
    <row r="621" spans="1:28" s="2" customFormat="1" ht="15">
      <c r="A621" s="61" t="s">
        <v>776</v>
      </c>
      <c r="B621" s="61" t="s">
        <v>4168</v>
      </c>
      <c r="C621" s="61" t="s">
        <v>4192</v>
      </c>
      <c r="D621" s="61" t="s">
        <v>7838</v>
      </c>
      <c r="E621" s="61">
        <v>7828</v>
      </c>
      <c r="F621" s="61">
        <v>8885</v>
      </c>
      <c r="G621" s="61"/>
      <c r="H621" s="61"/>
      <c r="I621" s="61" t="s">
        <v>508</v>
      </c>
      <c r="J621" s="61"/>
      <c r="K621" s="61" t="s">
        <v>1982</v>
      </c>
      <c r="L621" s="61"/>
      <c r="M621" s="61"/>
      <c r="N621" s="61"/>
      <c r="O621" s="61"/>
      <c r="P621" s="61"/>
      <c r="Q621" s="61"/>
      <c r="R621" s="61" t="str">
        <f t="shared" si="41"/>
        <v/>
      </c>
      <c r="S621" s="61" t="str">
        <f t="shared" si="42"/>
        <v/>
      </c>
      <c r="T621" s="61" t="str">
        <f t="shared" si="44"/>
        <v/>
      </c>
      <c r="U621" s="61" t="str">
        <f t="shared" si="43"/>
        <v/>
      </c>
      <c r="V621" s="61"/>
      <c r="W621" s="61"/>
      <c r="X621" s="61"/>
      <c r="Y621" s="61"/>
      <c r="Z621" s="61"/>
      <c r="AA621" s="61"/>
      <c r="AB621" s="61"/>
    </row>
    <row r="622" spans="1:28" s="2" customFormat="1" ht="15">
      <c r="A622" s="61" t="s">
        <v>776</v>
      </c>
      <c r="B622" s="61" t="s">
        <v>4168</v>
      </c>
      <c r="C622" s="61" t="s">
        <v>4197</v>
      </c>
      <c r="D622" s="61" t="s">
        <v>7838</v>
      </c>
      <c r="E622" s="61">
        <v>3969</v>
      </c>
      <c r="F622" s="61">
        <v>5075</v>
      </c>
      <c r="G622" s="61"/>
      <c r="H622" s="61"/>
      <c r="I622" s="61" t="s">
        <v>508</v>
      </c>
      <c r="J622" s="61"/>
      <c r="K622" s="61" t="s">
        <v>1982</v>
      </c>
      <c r="L622" s="61"/>
      <c r="M622" s="61"/>
      <c r="N622" s="61"/>
      <c r="O622" s="61"/>
      <c r="P622" s="61"/>
      <c r="Q622" s="61"/>
      <c r="R622" s="61" t="str">
        <f t="shared" si="41"/>
        <v/>
      </c>
      <c r="S622" s="61" t="str">
        <f t="shared" si="42"/>
        <v/>
      </c>
      <c r="T622" s="61" t="str">
        <f t="shared" si="44"/>
        <v/>
      </c>
      <c r="U622" s="61" t="str">
        <f t="shared" si="43"/>
        <v/>
      </c>
      <c r="V622" s="61"/>
      <c r="W622" s="61"/>
      <c r="X622" s="61"/>
      <c r="Y622" s="61"/>
      <c r="Z622" s="61"/>
      <c r="AA622" s="61"/>
      <c r="AB622" s="61"/>
    </row>
    <row r="623" spans="1:28" s="2" customFormat="1" ht="15">
      <c r="A623" s="61" t="s">
        <v>776</v>
      </c>
      <c r="B623" s="61" t="s">
        <v>4168</v>
      </c>
      <c r="C623" s="61" t="s">
        <v>4198</v>
      </c>
      <c r="D623" s="61" t="s">
        <v>7838</v>
      </c>
      <c r="E623" s="61">
        <v>3282</v>
      </c>
      <c r="F623" s="61">
        <v>3057</v>
      </c>
      <c r="G623" s="61"/>
      <c r="H623" s="61"/>
      <c r="I623" s="61" t="s">
        <v>508</v>
      </c>
      <c r="J623" s="61"/>
      <c r="K623" s="61" t="s">
        <v>1982</v>
      </c>
      <c r="L623" s="61"/>
      <c r="M623" s="61"/>
      <c r="N623" s="61"/>
      <c r="O623" s="61"/>
      <c r="P623" s="61"/>
      <c r="Q623" s="61"/>
      <c r="R623" s="61" t="str">
        <f t="shared" si="41"/>
        <v/>
      </c>
      <c r="S623" s="61" t="str">
        <f t="shared" si="42"/>
        <v/>
      </c>
      <c r="T623" s="61" t="str">
        <f t="shared" si="44"/>
        <v/>
      </c>
      <c r="U623" s="61" t="str">
        <f t="shared" si="43"/>
        <v/>
      </c>
      <c r="V623" s="61"/>
      <c r="W623" s="61"/>
      <c r="X623" s="61"/>
      <c r="Y623" s="61"/>
      <c r="Z623" s="61"/>
      <c r="AA623" s="61"/>
      <c r="AB623" s="61"/>
    </row>
    <row r="624" spans="1:28" s="2" customFormat="1" ht="15">
      <c r="A624" s="61" t="s">
        <v>776</v>
      </c>
      <c r="B624" s="61" t="s">
        <v>4168</v>
      </c>
      <c r="C624" s="61" t="s">
        <v>4201</v>
      </c>
      <c r="D624" s="61" t="s">
        <v>7838</v>
      </c>
      <c r="E624" s="61">
        <v>5641</v>
      </c>
      <c r="F624" s="61">
        <v>5977</v>
      </c>
      <c r="G624" s="61"/>
      <c r="H624" s="61"/>
      <c r="I624" s="61" t="s">
        <v>508</v>
      </c>
      <c r="J624" s="61"/>
      <c r="K624" s="61" t="s">
        <v>1982</v>
      </c>
      <c r="L624" s="61"/>
      <c r="M624" s="61"/>
      <c r="N624" s="61"/>
      <c r="O624" s="61"/>
      <c r="P624" s="61"/>
      <c r="Q624" s="61"/>
      <c r="R624" s="61" t="str">
        <f t="shared" si="41"/>
        <v/>
      </c>
      <c r="S624" s="61" t="str">
        <f t="shared" si="42"/>
        <v/>
      </c>
      <c r="T624" s="61" t="str">
        <f t="shared" si="44"/>
        <v/>
      </c>
      <c r="U624" s="61" t="str">
        <f t="shared" si="43"/>
        <v/>
      </c>
      <c r="V624" s="61"/>
      <c r="W624" s="61"/>
      <c r="X624" s="61"/>
      <c r="Y624" s="61"/>
      <c r="Z624" s="61"/>
      <c r="AA624" s="61"/>
      <c r="AB624" s="61"/>
    </row>
    <row r="625" spans="1:28" s="2" customFormat="1" ht="15">
      <c r="A625" s="61" t="s">
        <v>776</v>
      </c>
      <c r="B625" s="61" t="s">
        <v>4168</v>
      </c>
      <c r="C625" s="61" t="s">
        <v>1034</v>
      </c>
      <c r="D625" s="61" t="s">
        <v>7838</v>
      </c>
      <c r="E625" s="61">
        <v>2773</v>
      </c>
      <c r="F625" s="61">
        <v>2673</v>
      </c>
      <c r="G625" s="61"/>
      <c r="H625" s="61"/>
      <c r="I625" s="61" t="s">
        <v>508</v>
      </c>
      <c r="J625" s="61"/>
      <c r="K625" s="61" t="s">
        <v>1982</v>
      </c>
      <c r="L625" s="61"/>
      <c r="M625" s="61"/>
      <c r="N625" s="61"/>
      <c r="O625" s="61"/>
      <c r="P625" s="61"/>
      <c r="Q625" s="61"/>
      <c r="R625" s="61" t="str">
        <f t="shared" si="41"/>
        <v/>
      </c>
      <c r="S625" s="61" t="str">
        <f t="shared" si="42"/>
        <v/>
      </c>
      <c r="T625" s="61" t="str">
        <f t="shared" si="44"/>
        <v/>
      </c>
      <c r="U625" s="61" t="str">
        <f t="shared" si="43"/>
        <v/>
      </c>
      <c r="V625" s="61"/>
      <c r="W625" s="61"/>
      <c r="X625" s="61"/>
      <c r="Y625" s="61"/>
      <c r="Z625" s="61"/>
      <c r="AA625" s="61"/>
      <c r="AB625" s="61"/>
    </row>
    <row r="626" spans="1:28" s="2" customFormat="1" ht="15">
      <c r="A626" s="61" t="s">
        <v>776</v>
      </c>
      <c r="B626" s="61" t="s">
        <v>4168</v>
      </c>
      <c r="C626" s="61" t="s">
        <v>4202</v>
      </c>
      <c r="D626" s="61" t="s">
        <v>7838</v>
      </c>
      <c r="E626" s="61">
        <v>5191</v>
      </c>
      <c r="F626" s="61">
        <v>4769</v>
      </c>
      <c r="G626" s="61"/>
      <c r="H626" s="61"/>
      <c r="I626" s="61" t="s">
        <v>508</v>
      </c>
      <c r="J626" s="61"/>
      <c r="K626" s="61" t="s">
        <v>1982</v>
      </c>
      <c r="L626" s="61"/>
      <c r="M626" s="61"/>
      <c r="N626" s="61"/>
      <c r="O626" s="61"/>
      <c r="P626" s="61"/>
      <c r="Q626" s="61"/>
      <c r="R626" s="61" t="str">
        <f t="shared" si="41"/>
        <v/>
      </c>
      <c r="S626" s="61" t="str">
        <f t="shared" si="42"/>
        <v/>
      </c>
      <c r="T626" s="61" t="str">
        <f t="shared" si="44"/>
        <v/>
      </c>
      <c r="U626" s="61" t="str">
        <f t="shared" si="43"/>
        <v/>
      </c>
      <c r="V626" s="61"/>
      <c r="W626" s="61"/>
      <c r="X626" s="61"/>
      <c r="Y626" s="61"/>
      <c r="Z626" s="61"/>
      <c r="AA626" s="61"/>
      <c r="AB626" s="61"/>
    </row>
    <row r="627" spans="1:28" s="2" customFormat="1" ht="15">
      <c r="A627" s="61" t="s">
        <v>776</v>
      </c>
      <c r="B627" s="61" t="s">
        <v>4168</v>
      </c>
      <c r="C627" s="61" t="s">
        <v>4203</v>
      </c>
      <c r="D627" s="61" t="s">
        <v>7838</v>
      </c>
      <c r="E627" s="61">
        <v>2478</v>
      </c>
      <c r="F627" s="61">
        <v>2200</v>
      </c>
      <c r="G627" s="61"/>
      <c r="H627" s="61"/>
      <c r="I627" s="61" t="s">
        <v>508</v>
      </c>
      <c r="J627" s="61"/>
      <c r="K627" s="61" t="s">
        <v>1982</v>
      </c>
      <c r="L627" s="61"/>
      <c r="M627" s="61"/>
      <c r="N627" s="61"/>
      <c r="O627" s="61"/>
      <c r="P627" s="61"/>
      <c r="Q627" s="61"/>
      <c r="R627" s="61" t="str">
        <f t="shared" si="41"/>
        <v/>
      </c>
      <c r="S627" s="61" t="str">
        <f t="shared" si="42"/>
        <v/>
      </c>
      <c r="T627" s="61" t="str">
        <f t="shared" si="44"/>
        <v/>
      </c>
      <c r="U627" s="61" t="str">
        <f t="shared" si="43"/>
        <v/>
      </c>
      <c r="V627" s="61"/>
      <c r="W627" s="61"/>
      <c r="X627" s="61"/>
      <c r="Y627" s="61"/>
      <c r="Z627" s="61"/>
      <c r="AA627" s="61"/>
      <c r="AB627" s="61"/>
    </row>
    <row r="628" spans="1:28" s="2" customFormat="1" ht="15">
      <c r="A628" s="61" t="s">
        <v>776</v>
      </c>
      <c r="B628" s="61" t="s">
        <v>4168</v>
      </c>
      <c r="C628" s="61" t="s">
        <v>4205</v>
      </c>
      <c r="D628" s="61" t="s">
        <v>7838</v>
      </c>
      <c r="E628" s="61">
        <v>4088</v>
      </c>
      <c r="F628" s="61">
        <v>5318</v>
      </c>
      <c r="G628" s="61"/>
      <c r="H628" s="61"/>
      <c r="I628" s="61" t="s">
        <v>508</v>
      </c>
      <c r="J628" s="61"/>
      <c r="K628" s="61" t="s">
        <v>1982</v>
      </c>
      <c r="L628" s="61"/>
      <c r="M628" s="61"/>
      <c r="N628" s="61"/>
      <c r="O628" s="61"/>
      <c r="P628" s="61"/>
      <c r="Q628" s="61"/>
      <c r="R628" s="61" t="str">
        <f t="shared" si="41"/>
        <v/>
      </c>
      <c r="S628" s="61" t="str">
        <f t="shared" si="42"/>
        <v/>
      </c>
      <c r="T628" s="61" t="str">
        <f t="shared" si="44"/>
        <v/>
      </c>
      <c r="U628" s="61" t="str">
        <f t="shared" si="43"/>
        <v/>
      </c>
      <c r="V628" s="61"/>
      <c r="W628" s="61"/>
      <c r="X628" s="61"/>
      <c r="Y628" s="61"/>
      <c r="Z628" s="61"/>
      <c r="AA628" s="61"/>
      <c r="AB628" s="61"/>
    </row>
    <row r="629" spans="1:28" s="2" customFormat="1" ht="15">
      <c r="A629" s="61" t="s">
        <v>776</v>
      </c>
      <c r="B629" s="61" t="s">
        <v>4168</v>
      </c>
      <c r="C629" s="61" t="s">
        <v>1056</v>
      </c>
      <c r="D629" s="61" t="s">
        <v>7838</v>
      </c>
      <c r="E629" s="61">
        <v>2161</v>
      </c>
      <c r="F629" s="61">
        <v>2273</v>
      </c>
      <c r="G629" s="61"/>
      <c r="H629" s="61"/>
      <c r="I629" s="61" t="s">
        <v>508</v>
      </c>
      <c r="J629" s="61"/>
      <c r="K629" s="61" t="s">
        <v>1982</v>
      </c>
      <c r="L629" s="61"/>
      <c r="M629" s="61"/>
      <c r="N629" s="61"/>
      <c r="O629" s="61"/>
      <c r="P629" s="61"/>
      <c r="Q629" s="61"/>
      <c r="R629" s="61" t="str">
        <f t="shared" si="41"/>
        <v/>
      </c>
      <c r="S629" s="61" t="str">
        <f t="shared" si="42"/>
        <v/>
      </c>
      <c r="T629" s="61" t="str">
        <f t="shared" si="44"/>
        <v/>
      </c>
      <c r="U629" s="61" t="str">
        <f t="shared" si="43"/>
        <v/>
      </c>
      <c r="V629" s="61"/>
      <c r="W629" s="61"/>
      <c r="X629" s="61"/>
      <c r="Y629" s="61"/>
      <c r="Z629" s="61"/>
      <c r="AA629" s="61"/>
      <c r="AB629" s="61"/>
    </row>
    <row r="630" spans="1:28" s="2" customFormat="1" ht="15">
      <c r="A630" s="61" t="s">
        <v>776</v>
      </c>
      <c r="B630" s="61" t="s">
        <v>4168</v>
      </c>
      <c r="C630" s="61" t="s">
        <v>1180</v>
      </c>
      <c r="D630" s="61" t="s">
        <v>7838</v>
      </c>
      <c r="E630" s="61">
        <v>5767</v>
      </c>
      <c r="F630" s="61">
        <v>4282</v>
      </c>
      <c r="G630" s="61"/>
      <c r="H630" s="61"/>
      <c r="I630" s="61" t="s">
        <v>508</v>
      </c>
      <c r="J630" s="61"/>
      <c r="K630" s="61" t="s">
        <v>1982</v>
      </c>
      <c r="L630" s="61"/>
      <c r="M630" s="61"/>
      <c r="N630" s="61"/>
      <c r="O630" s="61"/>
      <c r="P630" s="61"/>
      <c r="Q630" s="61"/>
      <c r="R630" s="61" t="str">
        <f t="shared" si="41"/>
        <v/>
      </c>
      <c r="S630" s="61" t="str">
        <f t="shared" si="42"/>
        <v/>
      </c>
      <c r="T630" s="61" t="str">
        <f t="shared" si="44"/>
        <v/>
      </c>
      <c r="U630" s="61" t="str">
        <f t="shared" si="43"/>
        <v/>
      </c>
      <c r="V630" s="61"/>
      <c r="W630" s="61"/>
      <c r="X630" s="61"/>
      <c r="Y630" s="61"/>
      <c r="Z630" s="61"/>
      <c r="AA630" s="61"/>
      <c r="AB630" s="61"/>
    </row>
    <row r="631" spans="1:28" s="2" customFormat="1" ht="15">
      <c r="A631" s="61" t="s">
        <v>776</v>
      </c>
      <c r="B631" s="61" t="s">
        <v>4168</v>
      </c>
      <c r="C631" s="61" t="s">
        <v>1511</v>
      </c>
      <c r="D631" s="61" t="s">
        <v>7838</v>
      </c>
      <c r="E631" s="61">
        <v>11452</v>
      </c>
      <c r="F631" s="61">
        <v>11432</v>
      </c>
      <c r="G631" s="61"/>
      <c r="H631" s="61"/>
      <c r="I631" s="61" t="s">
        <v>508</v>
      </c>
      <c r="J631" s="61"/>
      <c r="K631" s="61" t="s">
        <v>1982</v>
      </c>
      <c r="L631" s="61"/>
      <c r="M631" s="61"/>
      <c r="N631" s="61"/>
      <c r="O631" s="61"/>
      <c r="P631" s="61"/>
      <c r="Q631" s="61"/>
      <c r="R631" s="61" t="str">
        <f t="shared" si="41"/>
        <v/>
      </c>
      <c r="S631" s="61" t="str">
        <f t="shared" si="42"/>
        <v/>
      </c>
      <c r="T631" s="61" t="str">
        <f t="shared" si="44"/>
        <v/>
      </c>
      <c r="U631" s="61" t="str">
        <f t="shared" si="43"/>
        <v/>
      </c>
      <c r="V631" s="61"/>
      <c r="W631" s="61"/>
      <c r="X631" s="61"/>
      <c r="Y631" s="61"/>
      <c r="Z631" s="61"/>
      <c r="AA631" s="61"/>
      <c r="AB631" s="61"/>
    </row>
    <row r="632" spans="1:28" s="2" customFormat="1" ht="15">
      <c r="A632" s="61" t="s">
        <v>776</v>
      </c>
      <c r="B632" s="61" t="s">
        <v>4168</v>
      </c>
      <c r="C632" s="61" t="s">
        <v>4207</v>
      </c>
      <c r="D632" s="61" t="s">
        <v>7838</v>
      </c>
      <c r="E632" s="61">
        <v>3897</v>
      </c>
      <c r="F632" s="61">
        <v>4095</v>
      </c>
      <c r="G632" s="61"/>
      <c r="H632" s="61"/>
      <c r="I632" s="61" t="s">
        <v>508</v>
      </c>
      <c r="J632" s="61"/>
      <c r="K632" s="61" t="s">
        <v>1982</v>
      </c>
      <c r="L632" s="61"/>
      <c r="M632" s="61"/>
      <c r="N632" s="61"/>
      <c r="O632" s="61"/>
      <c r="P632" s="61"/>
      <c r="Q632" s="61"/>
      <c r="R632" s="61" t="str">
        <f t="shared" si="41"/>
        <v/>
      </c>
      <c r="S632" s="61" t="str">
        <f t="shared" si="42"/>
        <v/>
      </c>
      <c r="T632" s="61" t="str">
        <f t="shared" si="44"/>
        <v/>
      </c>
      <c r="U632" s="61" t="str">
        <f t="shared" si="43"/>
        <v/>
      </c>
      <c r="V632" s="61"/>
      <c r="W632" s="61"/>
      <c r="X632" s="61"/>
      <c r="Y632" s="61"/>
      <c r="Z632" s="61"/>
      <c r="AA632" s="61"/>
      <c r="AB632" s="61"/>
    </row>
    <row r="633" spans="1:28" s="2" customFormat="1" ht="15">
      <c r="A633" s="61" t="s">
        <v>776</v>
      </c>
      <c r="B633" s="61" t="s">
        <v>4168</v>
      </c>
      <c r="C633" s="61" t="s">
        <v>4208</v>
      </c>
      <c r="D633" s="61" t="s">
        <v>7838</v>
      </c>
      <c r="E633" s="61">
        <v>3554</v>
      </c>
      <c r="F633" s="61">
        <v>3527</v>
      </c>
      <c r="G633" s="61"/>
      <c r="H633" s="61"/>
      <c r="I633" s="61" t="s">
        <v>508</v>
      </c>
      <c r="J633" s="61"/>
      <c r="K633" s="61" t="s">
        <v>1982</v>
      </c>
      <c r="L633" s="61"/>
      <c r="M633" s="61"/>
      <c r="N633" s="61"/>
      <c r="O633" s="61"/>
      <c r="P633" s="61"/>
      <c r="Q633" s="61"/>
      <c r="R633" s="61" t="str">
        <f t="shared" si="41"/>
        <v/>
      </c>
      <c r="S633" s="61" t="str">
        <f t="shared" si="42"/>
        <v/>
      </c>
      <c r="T633" s="61" t="str">
        <f t="shared" si="44"/>
        <v/>
      </c>
      <c r="U633" s="61" t="str">
        <f t="shared" si="43"/>
        <v/>
      </c>
      <c r="V633" s="61"/>
      <c r="W633" s="61"/>
      <c r="X633" s="61"/>
      <c r="Y633" s="61"/>
      <c r="Z633" s="61"/>
      <c r="AA633" s="61"/>
      <c r="AB633" s="61"/>
    </row>
    <row r="634" spans="1:28" s="2" customFormat="1" ht="15">
      <c r="A634" s="61" t="s">
        <v>776</v>
      </c>
      <c r="B634" s="61" t="s">
        <v>4168</v>
      </c>
      <c r="C634" s="61" t="s">
        <v>4209</v>
      </c>
      <c r="D634" s="61" t="s">
        <v>7838</v>
      </c>
      <c r="E634" s="61">
        <v>3163</v>
      </c>
      <c r="F634" s="61">
        <v>3695</v>
      </c>
      <c r="G634" s="61"/>
      <c r="H634" s="61"/>
      <c r="I634" s="61" t="s">
        <v>508</v>
      </c>
      <c r="J634" s="61"/>
      <c r="K634" s="61" t="s">
        <v>1982</v>
      </c>
      <c r="L634" s="61"/>
      <c r="M634" s="61"/>
      <c r="N634" s="61"/>
      <c r="O634" s="61"/>
      <c r="P634" s="61"/>
      <c r="Q634" s="61"/>
      <c r="R634" s="61" t="str">
        <f t="shared" si="41"/>
        <v/>
      </c>
      <c r="S634" s="61" t="str">
        <f t="shared" si="42"/>
        <v/>
      </c>
      <c r="T634" s="61" t="str">
        <f t="shared" si="44"/>
        <v/>
      </c>
      <c r="U634" s="61" t="str">
        <f t="shared" si="43"/>
        <v/>
      </c>
      <c r="V634" s="61"/>
      <c r="W634" s="61"/>
      <c r="X634" s="61"/>
      <c r="Y634" s="61"/>
      <c r="Z634" s="61"/>
      <c r="AA634" s="61"/>
      <c r="AB634" s="61"/>
    </row>
    <row r="635" spans="1:28" s="2" customFormat="1" ht="15">
      <c r="A635" s="61" t="s">
        <v>776</v>
      </c>
      <c r="B635" s="61" t="s">
        <v>4168</v>
      </c>
      <c r="C635" s="61" t="s">
        <v>4210</v>
      </c>
      <c r="D635" s="61" t="s">
        <v>7838</v>
      </c>
      <c r="E635" s="61">
        <v>3830</v>
      </c>
      <c r="F635" s="61">
        <v>4085</v>
      </c>
      <c r="G635" s="61"/>
      <c r="H635" s="61"/>
      <c r="I635" s="61" t="s">
        <v>508</v>
      </c>
      <c r="J635" s="61"/>
      <c r="K635" s="61" t="s">
        <v>1982</v>
      </c>
      <c r="L635" s="61"/>
      <c r="M635" s="61"/>
      <c r="N635" s="61"/>
      <c r="O635" s="61"/>
      <c r="P635" s="61"/>
      <c r="Q635" s="61"/>
      <c r="R635" s="61" t="str">
        <f t="shared" si="41"/>
        <v/>
      </c>
      <c r="S635" s="61" t="str">
        <f t="shared" si="42"/>
        <v/>
      </c>
      <c r="T635" s="61" t="str">
        <f t="shared" si="44"/>
        <v/>
      </c>
      <c r="U635" s="61" t="str">
        <f t="shared" si="43"/>
        <v/>
      </c>
      <c r="V635" s="61"/>
      <c r="W635" s="61"/>
      <c r="X635" s="61"/>
      <c r="Y635" s="61"/>
      <c r="Z635" s="61"/>
      <c r="AA635" s="61"/>
      <c r="AB635" s="61"/>
    </row>
    <row r="636" spans="1:28" s="2" customFormat="1" ht="15">
      <c r="A636" s="61" t="s">
        <v>776</v>
      </c>
      <c r="B636" s="61" t="s">
        <v>4168</v>
      </c>
      <c r="C636" s="61" t="s">
        <v>1253</v>
      </c>
      <c r="D636" s="61" t="s">
        <v>7838</v>
      </c>
      <c r="E636" s="61">
        <v>15565</v>
      </c>
      <c r="F636" s="61">
        <v>16439</v>
      </c>
      <c r="G636" s="61"/>
      <c r="H636" s="61"/>
      <c r="I636" s="61" t="s">
        <v>508</v>
      </c>
      <c r="J636" s="61"/>
      <c r="K636" s="61" t="s">
        <v>1982</v>
      </c>
      <c r="L636" s="61"/>
      <c r="M636" s="61"/>
      <c r="N636" s="61"/>
      <c r="O636" s="61"/>
      <c r="P636" s="61"/>
      <c r="Q636" s="61"/>
      <c r="R636" s="61" t="str">
        <f t="shared" si="41"/>
        <v/>
      </c>
      <c r="S636" s="61" t="str">
        <f t="shared" si="42"/>
        <v/>
      </c>
      <c r="T636" s="61" t="str">
        <f t="shared" si="44"/>
        <v/>
      </c>
      <c r="U636" s="61" t="str">
        <f t="shared" si="43"/>
        <v/>
      </c>
      <c r="V636" s="61"/>
      <c r="W636" s="61"/>
      <c r="X636" s="61"/>
      <c r="Y636" s="61"/>
      <c r="Z636" s="61"/>
      <c r="AA636" s="61"/>
      <c r="AB636" s="61"/>
    </row>
    <row r="637" spans="1:28" s="2" customFormat="1" ht="15">
      <c r="A637" s="61" t="s">
        <v>776</v>
      </c>
      <c r="B637" s="61" t="s">
        <v>4168</v>
      </c>
      <c r="C637" s="61" t="s">
        <v>1155</v>
      </c>
      <c r="D637" s="61" t="s">
        <v>7838</v>
      </c>
      <c r="E637" s="61">
        <v>8053</v>
      </c>
      <c r="F637" s="61">
        <v>8139</v>
      </c>
      <c r="G637" s="61"/>
      <c r="H637" s="61"/>
      <c r="I637" s="61" t="s">
        <v>508</v>
      </c>
      <c r="J637" s="61"/>
      <c r="K637" s="61" t="s">
        <v>1982</v>
      </c>
      <c r="L637" s="61"/>
      <c r="M637" s="61"/>
      <c r="N637" s="61"/>
      <c r="O637" s="61"/>
      <c r="P637" s="61"/>
      <c r="Q637" s="61"/>
      <c r="R637" s="61" t="str">
        <f t="shared" si="41"/>
        <v/>
      </c>
      <c r="S637" s="61" t="str">
        <f t="shared" si="42"/>
        <v/>
      </c>
      <c r="T637" s="61" t="str">
        <f t="shared" si="44"/>
        <v/>
      </c>
      <c r="U637" s="61" t="str">
        <f t="shared" si="43"/>
        <v/>
      </c>
      <c r="V637" s="61"/>
      <c r="W637" s="61"/>
      <c r="X637" s="61"/>
      <c r="Y637" s="61"/>
      <c r="Z637" s="61"/>
      <c r="AA637" s="61"/>
      <c r="AB637" s="61"/>
    </row>
    <row r="638" spans="1:28" s="2" customFormat="1" ht="15">
      <c r="A638" s="61" t="s">
        <v>776</v>
      </c>
      <c r="B638" s="61" t="s">
        <v>4168</v>
      </c>
      <c r="C638" s="61" t="s">
        <v>4211</v>
      </c>
      <c r="D638" s="61" t="s">
        <v>7838</v>
      </c>
      <c r="E638" s="61">
        <v>3249</v>
      </c>
      <c r="F638" s="61">
        <v>3362</v>
      </c>
      <c r="G638" s="61"/>
      <c r="H638" s="61"/>
      <c r="I638" s="61" t="s">
        <v>508</v>
      </c>
      <c r="J638" s="61"/>
      <c r="K638" s="61" t="s">
        <v>1982</v>
      </c>
      <c r="L638" s="61"/>
      <c r="M638" s="61"/>
      <c r="N638" s="61"/>
      <c r="O638" s="61"/>
      <c r="P638" s="61"/>
      <c r="Q638" s="61"/>
      <c r="R638" s="61" t="str">
        <f t="shared" si="41"/>
        <v/>
      </c>
      <c r="S638" s="61" t="str">
        <f t="shared" si="42"/>
        <v/>
      </c>
      <c r="T638" s="61" t="str">
        <f t="shared" si="44"/>
        <v/>
      </c>
      <c r="U638" s="61" t="str">
        <f t="shared" si="43"/>
        <v/>
      </c>
      <c r="V638" s="61"/>
      <c r="W638" s="61"/>
      <c r="X638" s="61"/>
      <c r="Y638" s="61"/>
      <c r="Z638" s="61"/>
      <c r="AA638" s="61"/>
      <c r="AB638" s="61"/>
    </row>
    <row r="639" spans="1:28" s="2" customFormat="1" ht="15">
      <c r="A639" s="61" t="s">
        <v>776</v>
      </c>
      <c r="B639" s="61" t="s">
        <v>4168</v>
      </c>
      <c r="C639" s="61" t="s">
        <v>4212</v>
      </c>
      <c r="D639" s="61" t="s">
        <v>7838</v>
      </c>
      <c r="E639" s="61">
        <v>3112</v>
      </c>
      <c r="F639" s="61">
        <v>2716</v>
      </c>
      <c r="G639" s="61"/>
      <c r="H639" s="61"/>
      <c r="I639" s="61" t="s">
        <v>508</v>
      </c>
      <c r="J639" s="61"/>
      <c r="K639" s="61" t="s">
        <v>1982</v>
      </c>
      <c r="L639" s="61"/>
      <c r="M639" s="61"/>
      <c r="N639" s="61"/>
      <c r="O639" s="61"/>
      <c r="P639" s="61"/>
      <c r="Q639" s="61"/>
      <c r="R639" s="61" t="str">
        <f t="shared" si="41"/>
        <v/>
      </c>
      <c r="S639" s="61" t="str">
        <f t="shared" si="42"/>
        <v/>
      </c>
      <c r="T639" s="61" t="str">
        <f t="shared" si="44"/>
        <v/>
      </c>
      <c r="U639" s="61" t="str">
        <f t="shared" si="43"/>
        <v/>
      </c>
      <c r="V639" s="61"/>
      <c r="W639" s="61"/>
      <c r="X639" s="61"/>
      <c r="Y639" s="61"/>
      <c r="Z639" s="61"/>
      <c r="AA639" s="61"/>
      <c r="AB639" s="61"/>
    </row>
    <row r="640" spans="1:28" s="2" customFormat="1" ht="15">
      <c r="A640" s="61" t="s">
        <v>776</v>
      </c>
      <c r="B640" s="61" t="s">
        <v>4168</v>
      </c>
      <c r="C640" s="61" t="s">
        <v>4213</v>
      </c>
      <c r="D640" s="61" t="s">
        <v>7838</v>
      </c>
      <c r="E640" s="61">
        <v>3031</v>
      </c>
      <c r="F640" s="61">
        <v>2718</v>
      </c>
      <c r="G640" s="61"/>
      <c r="H640" s="61"/>
      <c r="I640" s="61" t="s">
        <v>508</v>
      </c>
      <c r="J640" s="61"/>
      <c r="K640" s="61" t="s">
        <v>1982</v>
      </c>
      <c r="L640" s="61"/>
      <c r="M640" s="61"/>
      <c r="N640" s="61"/>
      <c r="O640" s="61"/>
      <c r="P640" s="61"/>
      <c r="Q640" s="61"/>
      <c r="R640" s="61" t="str">
        <f t="shared" si="41"/>
        <v/>
      </c>
      <c r="S640" s="61" t="str">
        <f t="shared" si="42"/>
        <v/>
      </c>
      <c r="T640" s="61" t="str">
        <f t="shared" si="44"/>
        <v/>
      </c>
      <c r="U640" s="61" t="str">
        <f t="shared" si="43"/>
        <v/>
      </c>
      <c r="V640" s="61"/>
      <c r="W640" s="61"/>
      <c r="X640" s="61"/>
      <c r="Y640" s="61"/>
      <c r="Z640" s="61"/>
      <c r="AA640" s="61"/>
      <c r="AB640" s="61"/>
    </row>
    <row r="641" spans="1:28" s="2" customFormat="1" ht="15">
      <c r="A641" s="61" t="s">
        <v>776</v>
      </c>
      <c r="B641" s="61" t="s">
        <v>4168</v>
      </c>
      <c r="C641" s="61" t="s">
        <v>4214</v>
      </c>
      <c r="D641" s="61" t="s">
        <v>7838</v>
      </c>
      <c r="E641" s="61">
        <v>6732</v>
      </c>
      <c r="F641" s="61">
        <v>6447</v>
      </c>
      <c r="G641" s="61"/>
      <c r="H641" s="61"/>
      <c r="I641" s="61" t="s">
        <v>508</v>
      </c>
      <c r="J641" s="61"/>
      <c r="K641" s="61" t="s">
        <v>1982</v>
      </c>
      <c r="L641" s="61"/>
      <c r="M641" s="61"/>
      <c r="N641" s="61"/>
      <c r="O641" s="61"/>
      <c r="P641" s="61"/>
      <c r="Q641" s="61"/>
      <c r="R641" s="61" t="str">
        <f t="shared" si="41"/>
        <v/>
      </c>
      <c r="S641" s="61" t="str">
        <f t="shared" si="42"/>
        <v/>
      </c>
      <c r="T641" s="61" t="str">
        <f t="shared" si="44"/>
        <v/>
      </c>
      <c r="U641" s="61" t="str">
        <f t="shared" si="43"/>
        <v/>
      </c>
      <c r="V641" s="61"/>
      <c r="W641" s="61"/>
      <c r="X641" s="61"/>
      <c r="Y641" s="61"/>
      <c r="Z641" s="61"/>
      <c r="AA641" s="61"/>
      <c r="AB641" s="61"/>
    </row>
    <row r="642" spans="1:28" s="2" customFormat="1" ht="15">
      <c r="A642" s="61" t="s">
        <v>776</v>
      </c>
      <c r="B642" s="61" t="s">
        <v>4168</v>
      </c>
      <c r="C642" s="61" t="s">
        <v>4215</v>
      </c>
      <c r="D642" s="61" t="s">
        <v>7838</v>
      </c>
      <c r="E642" s="61">
        <v>2982</v>
      </c>
      <c r="F642" s="61">
        <v>2844</v>
      </c>
      <c r="G642" s="61"/>
      <c r="H642" s="61"/>
      <c r="I642" s="61" t="s">
        <v>508</v>
      </c>
      <c r="J642" s="61"/>
      <c r="K642" s="61" t="s">
        <v>1982</v>
      </c>
      <c r="L642" s="61"/>
      <c r="M642" s="61"/>
      <c r="N642" s="61"/>
      <c r="O642" s="61"/>
      <c r="P642" s="61"/>
      <c r="Q642" s="61"/>
      <c r="R642" s="61" t="str">
        <f t="shared" ref="R642:R655" si="45">IF(
    OR(ISBLANK(M642), ISBLANK(N642)),
    "",
    MAX(1, IF(
        NETWORKDAYS(M642, N642) &lt;= 0,
        1,
        NETWORKDAYS(M642, N642) - IF(M642 = N642, 0, 1)
    ))
)</f>
        <v/>
      </c>
      <c r="S642" s="61" t="str">
        <f t="shared" ref="S642:S655" si="46">IF(
    OR(ISBLANK(N642), ISBLANK(O642)),
    "",
    MAX(1, IF(
        NETWORKDAYS(N642, O642) &lt;= 0,
        1,
        NETWORKDAYS(N642, O642) - IF(N642 = O642, 0, 1)
    ))
)</f>
        <v/>
      </c>
      <c r="T642" s="61" t="str">
        <f t="shared" si="44"/>
        <v/>
      </c>
      <c r="U642" s="61" t="str">
        <f t="shared" ref="U642:U705" si="47">IF(
    OR(ISBLANK(P642), ISBLANK(Q642)),
    "",
    MAX(1, IF(
        NETWORKDAYS(P642, Q642) &lt;= 0,
        1,
        NETWORKDAYS(P642, Q642) - IF(P642 = Q642, 0, 1)
    ))
)</f>
        <v/>
      </c>
      <c r="V642" s="61"/>
      <c r="W642" s="61"/>
      <c r="X642" s="61"/>
      <c r="Y642" s="61"/>
      <c r="Z642" s="61"/>
      <c r="AA642" s="61"/>
      <c r="AB642" s="61"/>
    </row>
    <row r="643" spans="1:28" s="2" customFormat="1" ht="15">
      <c r="A643" s="61" t="s">
        <v>776</v>
      </c>
      <c r="B643" s="61" t="s">
        <v>4168</v>
      </c>
      <c r="C643" s="61" t="s">
        <v>3974</v>
      </c>
      <c r="D643" s="61" t="s">
        <v>7838</v>
      </c>
      <c r="E643" s="61">
        <v>2188</v>
      </c>
      <c r="F643" s="61">
        <v>2492</v>
      </c>
      <c r="G643" s="61"/>
      <c r="H643" s="61"/>
      <c r="I643" s="61" t="s">
        <v>508</v>
      </c>
      <c r="J643" s="61"/>
      <c r="K643" s="61" t="s">
        <v>1982</v>
      </c>
      <c r="L643" s="61"/>
      <c r="M643" s="61"/>
      <c r="N643" s="61"/>
      <c r="O643" s="61"/>
      <c r="P643" s="61"/>
      <c r="Q643" s="61"/>
      <c r="R643" s="61" t="str">
        <f t="shared" si="45"/>
        <v/>
      </c>
      <c r="S643" s="61" t="str">
        <f t="shared" si="46"/>
        <v/>
      </c>
      <c r="T643" s="61" t="str">
        <f t="shared" si="44"/>
        <v/>
      </c>
      <c r="U643" s="61" t="str">
        <f t="shared" si="47"/>
        <v/>
      </c>
      <c r="V643" s="61"/>
      <c r="W643" s="61"/>
      <c r="X643" s="61"/>
      <c r="Y643" s="61"/>
      <c r="Z643" s="61"/>
      <c r="AA643" s="61"/>
      <c r="AB643" s="61"/>
    </row>
    <row r="644" spans="1:28" s="2" customFormat="1" ht="15">
      <c r="A644" s="61" t="s">
        <v>776</v>
      </c>
      <c r="B644" s="61" t="s">
        <v>4168</v>
      </c>
      <c r="C644" s="61" t="s">
        <v>1899</v>
      </c>
      <c r="D644" s="61" t="s">
        <v>7838</v>
      </c>
      <c r="E644" s="61">
        <v>4613</v>
      </c>
      <c r="F644" s="61">
        <v>4854</v>
      </c>
      <c r="G644" s="61"/>
      <c r="H644" s="61"/>
      <c r="I644" s="61" t="s">
        <v>508</v>
      </c>
      <c r="J644" s="61"/>
      <c r="K644" s="61" t="s">
        <v>1982</v>
      </c>
      <c r="L644" s="61"/>
      <c r="M644" s="61"/>
      <c r="N644" s="61"/>
      <c r="O644" s="61"/>
      <c r="P644" s="61"/>
      <c r="Q644" s="61"/>
      <c r="R644" s="61" t="str">
        <f t="shared" si="45"/>
        <v/>
      </c>
      <c r="S644" s="61" t="str">
        <f t="shared" si="46"/>
        <v/>
      </c>
      <c r="T644" s="61" t="str">
        <f t="shared" si="44"/>
        <v/>
      </c>
      <c r="U644" s="61" t="str">
        <f t="shared" si="47"/>
        <v/>
      </c>
      <c r="V644" s="61"/>
      <c r="W644" s="61"/>
      <c r="X644" s="61"/>
      <c r="Y644" s="61"/>
      <c r="Z644" s="61"/>
      <c r="AA644" s="61"/>
      <c r="AB644" s="61"/>
    </row>
    <row r="645" spans="1:28" s="2" customFormat="1" ht="15">
      <c r="A645" s="61" t="s">
        <v>776</v>
      </c>
      <c r="B645" s="61" t="s">
        <v>4168</v>
      </c>
      <c r="C645" s="61" t="s">
        <v>4216</v>
      </c>
      <c r="D645" s="61" t="s">
        <v>7838</v>
      </c>
      <c r="E645" s="61">
        <v>3110</v>
      </c>
      <c r="F645" s="61">
        <v>3405</v>
      </c>
      <c r="G645" s="61"/>
      <c r="H645" s="61"/>
      <c r="I645" s="61" t="s">
        <v>508</v>
      </c>
      <c r="J645" s="61"/>
      <c r="K645" s="61" t="s">
        <v>1982</v>
      </c>
      <c r="L645" s="61"/>
      <c r="M645" s="61"/>
      <c r="N645" s="61"/>
      <c r="O645" s="61"/>
      <c r="P645" s="61"/>
      <c r="Q645" s="61"/>
      <c r="R645" s="61" t="str">
        <f t="shared" si="45"/>
        <v/>
      </c>
      <c r="S645" s="61" t="str">
        <f t="shared" si="46"/>
        <v/>
      </c>
      <c r="T645" s="61" t="str">
        <f t="shared" si="44"/>
        <v/>
      </c>
      <c r="U645" s="61" t="str">
        <f t="shared" si="47"/>
        <v/>
      </c>
      <c r="V645" s="61"/>
      <c r="W645" s="61"/>
      <c r="X645" s="61"/>
      <c r="Y645" s="61"/>
      <c r="Z645" s="61"/>
      <c r="AA645" s="61"/>
      <c r="AB645" s="61"/>
    </row>
    <row r="646" spans="1:28" s="2" customFormat="1" ht="15">
      <c r="A646" s="61" t="s">
        <v>776</v>
      </c>
      <c r="B646" s="61" t="s">
        <v>4168</v>
      </c>
      <c r="C646" s="61" t="s">
        <v>4217</v>
      </c>
      <c r="D646" s="61" t="s">
        <v>7838</v>
      </c>
      <c r="E646" s="61">
        <v>2829</v>
      </c>
      <c r="F646" s="61">
        <v>3029</v>
      </c>
      <c r="G646" s="61"/>
      <c r="H646" s="61"/>
      <c r="I646" s="61" t="s">
        <v>508</v>
      </c>
      <c r="J646" s="61"/>
      <c r="K646" s="61" t="s">
        <v>1982</v>
      </c>
      <c r="L646" s="61"/>
      <c r="M646" s="61"/>
      <c r="N646" s="61"/>
      <c r="O646" s="61"/>
      <c r="P646" s="61"/>
      <c r="Q646" s="61"/>
      <c r="R646" s="61" t="str">
        <f t="shared" si="45"/>
        <v/>
      </c>
      <c r="S646" s="61" t="str">
        <f t="shared" si="46"/>
        <v/>
      </c>
      <c r="T646" s="61" t="str">
        <f t="shared" si="44"/>
        <v/>
      </c>
      <c r="U646" s="61" t="str">
        <f t="shared" si="47"/>
        <v/>
      </c>
      <c r="V646" s="61"/>
      <c r="W646" s="61"/>
      <c r="X646" s="61"/>
      <c r="Y646" s="61"/>
      <c r="Z646" s="61"/>
      <c r="AA646" s="61"/>
      <c r="AB646" s="61"/>
    </row>
    <row r="647" spans="1:28" s="2" customFormat="1" ht="15">
      <c r="A647" s="61" t="s">
        <v>776</v>
      </c>
      <c r="B647" s="61" t="s">
        <v>4168</v>
      </c>
      <c r="C647" s="61" t="s">
        <v>4218</v>
      </c>
      <c r="D647" s="61" t="s">
        <v>7838</v>
      </c>
      <c r="E647" s="61">
        <v>3132</v>
      </c>
      <c r="F647" s="61">
        <v>3175</v>
      </c>
      <c r="G647" s="61"/>
      <c r="H647" s="61"/>
      <c r="I647" s="61" t="s">
        <v>508</v>
      </c>
      <c r="J647" s="61"/>
      <c r="K647" s="61" t="s">
        <v>1982</v>
      </c>
      <c r="L647" s="61"/>
      <c r="M647" s="61"/>
      <c r="N647" s="61"/>
      <c r="O647" s="61"/>
      <c r="P647" s="61"/>
      <c r="Q647" s="61"/>
      <c r="R647" s="61" t="str">
        <f t="shared" si="45"/>
        <v/>
      </c>
      <c r="S647" s="61" t="str">
        <f t="shared" si="46"/>
        <v/>
      </c>
      <c r="T647" s="61" t="str">
        <f t="shared" si="44"/>
        <v/>
      </c>
      <c r="U647" s="61" t="str">
        <f t="shared" si="47"/>
        <v/>
      </c>
      <c r="V647" s="61"/>
      <c r="W647" s="61"/>
      <c r="X647" s="61"/>
      <c r="Y647" s="61"/>
      <c r="Z647" s="61"/>
      <c r="AA647" s="61"/>
      <c r="AB647" s="61"/>
    </row>
    <row r="648" spans="1:28" s="2" customFormat="1" ht="15">
      <c r="A648" s="61" t="s">
        <v>776</v>
      </c>
      <c r="B648" s="61" t="s">
        <v>4168</v>
      </c>
      <c r="C648" s="61" t="s">
        <v>4219</v>
      </c>
      <c r="D648" s="61" t="s">
        <v>7838</v>
      </c>
      <c r="E648" s="61">
        <v>3957</v>
      </c>
      <c r="F648" s="61">
        <v>3811</v>
      </c>
      <c r="G648" s="61"/>
      <c r="H648" s="61"/>
      <c r="I648" s="61" t="s">
        <v>508</v>
      </c>
      <c r="J648" s="61"/>
      <c r="K648" s="61" t="s">
        <v>1982</v>
      </c>
      <c r="L648" s="61"/>
      <c r="M648" s="61"/>
      <c r="N648" s="61"/>
      <c r="O648" s="61"/>
      <c r="P648" s="61"/>
      <c r="Q648" s="61"/>
      <c r="R648" s="61" t="str">
        <f t="shared" si="45"/>
        <v/>
      </c>
      <c r="S648" s="61" t="str">
        <f t="shared" si="46"/>
        <v/>
      </c>
      <c r="T648" s="61" t="str">
        <f t="shared" si="44"/>
        <v/>
      </c>
      <c r="U648" s="61" t="str">
        <f t="shared" si="47"/>
        <v/>
      </c>
      <c r="V648" s="61"/>
      <c r="W648" s="61"/>
      <c r="X648" s="61"/>
      <c r="Y648" s="61"/>
      <c r="Z648" s="61"/>
      <c r="AA648" s="61"/>
      <c r="AB648" s="61"/>
    </row>
    <row r="649" spans="1:28" s="2" customFormat="1" ht="15">
      <c r="A649" s="61" t="s">
        <v>776</v>
      </c>
      <c r="B649" s="61" t="s">
        <v>4168</v>
      </c>
      <c r="C649" s="61" t="s">
        <v>3977</v>
      </c>
      <c r="D649" s="61" t="s">
        <v>7838</v>
      </c>
      <c r="E649" s="61">
        <v>39039</v>
      </c>
      <c r="F649" s="61">
        <v>49579</v>
      </c>
      <c r="G649" s="61"/>
      <c r="H649" s="61"/>
      <c r="I649" s="61" t="s">
        <v>508</v>
      </c>
      <c r="J649" s="61"/>
      <c r="K649" s="61" t="s">
        <v>1982</v>
      </c>
      <c r="L649" s="61"/>
      <c r="M649" s="61"/>
      <c r="N649" s="61"/>
      <c r="O649" s="61"/>
      <c r="P649" s="61"/>
      <c r="Q649" s="61"/>
      <c r="R649" s="61" t="str">
        <f t="shared" si="45"/>
        <v/>
      </c>
      <c r="S649" s="61" t="str">
        <f t="shared" si="46"/>
        <v/>
      </c>
      <c r="T649" s="61" t="str">
        <f t="shared" si="44"/>
        <v/>
      </c>
      <c r="U649" s="61" t="str">
        <f t="shared" si="47"/>
        <v/>
      </c>
      <c r="V649" s="61"/>
      <c r="W649" s="61"/>
      <c r="X649" s="61"/>
      <c r="Y649" s="61"/>
      <c r="Z649" s="61"/>
      <c r="AA649" s="61"/>
      <c r="AB649" s="61"/>
    </row>
    <row r="650" spans="1:28" s="2" customFormat="1" ht="15">
      <c r="A650" s="61" t="s">
        <v>776</v>
      </c>
      <c r="B650" s="61" t="s">
        <v>4168</v>
      </c>
      <c r="C650" s="61" t="s">
        <v>3727</v>
      </c>
      <c r="D650" s="61" t="s">
        <v>7838</v>
      </c>
      <c r="E650" s="61">
        <v>2770</v>
      </c>
      <c r="F650" s="61">
        <v>2610</v>
      </c>
      <c r="G650" s="61"/>
      <c r="H650" s="61"/>
      <c r="I650" s="61" t="s">
        <v>508</v>
      </c>
      <c r="J650" s="61"/>
      <c r="K650" s="61" t="s">
        <v>1982</v>
      </c>
      <c r="L650" s="61"/>
      <c r="M650" s="61"/>
      <c r="N650" s="61"/>
      <c r="O650" s="61"/>
      <c r="P650" s="61"/>
      <c r="Q650" s="61"/>
      <c r="R650" s="61" t="str">
        <f t="shared" si="45"/>
        <v/>
      </c>
      <c r="S650" s="61" t="str">
        <f t="shared" si="46"/>
        <v/>
      </c>
      <c r="T650" s="61" t="str">
        <f t="shared" si="44"/>
        <v/>
      </c>
      <c r="U650" s="61" t="str">
        <f t="shared" si="47"/>
        <v/>
      </c>
      <c r="V650" s="61"/>
      <c r="W650" s="61"/>
      <c r="X650" s="61"/>
      <c r="Y650" s="61"/>
      <c r="Z650" s="61"/>
      <c r="AA650" s="61"/>
      <c r="AB650" s="61"/>
    </row>
    <row r="651" spans="1:28" s="2" customFormat="1" ht="15">
      <c r="A651" s="61" t="s">
        <v>776</v>
      </c>
      <c r="B651" s="61" t="s">
        <v>4168</v>
      </c>
      <c r="C651" s="61" t="s">
        <v>4220</v>
      </c>
      <c r="D651" s="61" t="s">
        <v>7838</v>
      </c>
      <c r="E651" s="61">
        <v>3046</v>
      </c>
      <c r="F651" s="61">
        <v>3746</v>
      </c>
      <c r="G651" s="61"/>
      <c r="H651" s="61"/>
      <c r="I651" s="61" t="s">
        <v>508</v>
      </c>
      <c r="J651" s="61"/>
      <c r="K651" s="61" t="s">
        <v>1982</v>
      </c>
      <c r="L651" s="61"/>
      <c r="M651" s="61"/>
      <c r="N651" s="61"/>
      <c r="O651" s="61"/>
      <c r="P651" s="61"/>
      <c r="Q651" s="61"/>
      <c r="R651" s="61" t="str">
        <f t="shared" si="45"/>
        <v/>
      </c>
      <c r="S651" s="61" t="str">
        <f t="shared" si="46"/>
        <v/>
      </c>
      <c r="T651" s="61" t="str">
        <f t="shared" si="44"/>
        <v/>
      </c>
      <c r="U651" s="61" t="str">
        <f t="shared" si="47"/>
        <v/>
      </c>
      <c r="V651" s="61"/>
      <c r="W651" s="61"/>
      <c r="X651" s="61"/>
      <c r="Y651" s="61"/>
      <c r="Z651" s="61"/>
      <c r="AA651" s="61"/>
      <c r="AB651" s="61"/>
    </row>
    <row r="652" spans="1:28" s="2" customFormat="1" ht="15">
      <c r="A652" s="61" t="s">
        <v>776</v>
      </c>
      <c r="B652" s="61" t="s">
        <v>4168</v>
      </c>
      <c r="C652" s="61" t="s">
        <v>4221</v>
      </c>
      <c r="D652" s="61" t="s">
        <v>7838</v>
      </c>
      <c r="E652" s="61">
        <v>5563</v>
      </c>
      <c r="F652" s="61">
        <v>5804</v>
      </c>
      <c r="G652" s="61"/>
      <c r="H652" s="61"/>
      <c r="I652" s="61" t="s">
        <v>508</v>
      </c>
      <c r="J652" s="61"/>
      <c r="K652" s="61" t="s">
        <v>1982</v>
      </c>
      <c r="L652" s="61"/>
      <c r="M652" s="61"/>
      <c r="N652" s="61"/>
      <c r="O652" s="61"/>
      <c r="P652" s="61"/>
      <c r="Q652" s="61"/>
      <c r="R652" s="61" t="str">
        <f t="shared" si="45"/>
        <v/>
      </c>
      <c r="S652" s="61" t="str">
        <f t="shared" si="46"/>
        <v/>
      </c>
      <c r="T652" s="61" t="str">
        <f t="shared" si="44"/>
        <v/>
      </c>
      <c r="U652" s="61" t="str">
        <f t="shared" si="47"/>
        <v/>
      </c>
      <c r="V652" s="61"/>
      <c r="W652" s="61"/>
      <c r="X652" s="61"/>
      <c r="Y652" s="61"/>
      <c r="Z652" s="61"/>
      <c r="AA652" s="61"/>
      <c r="AB652" s="61"/>
    </row>
    <row r="653" spans="1:28" s="2" customFormat="1" ht="15">
      <c r="A653" s="61" t="s">
        <v>776</v>
      </c>
      <c r="B653" s="61" t="s">
        <v>4168</v>
      </c>
      <c r="C653" s="61" t="s">
        <v>4222</v>
      </c>
      <c r="D653" s="61" t="s">
        <v>7838</v>
      </c>
      <c r="E653" s="61">
        <v>2326</v>
      </c>
      <c r="F653" s="61">
        <v>2470</v>
      </c>
      <c r="G653" s="61"/>
      <c r="H653" s="61"/>
      <c r="I653" s="61" t="s">
        <v>508</v>
      </c>
      <c r="J653" s="61"/>
      <c r="K653" s="61" t="s">
        <v>1982</v>
      </c>
      <c r="L653" s="61"/>
      <c r="M653" s="61"/>
      <c r="N653" s="61"/>
      <c r="O653" s="61"/>
      <c r="P653" s="61"/>
      <c r="Q653" s="61"/>
      <c r="R653" s="61" t="str">
        <f t="shared" si="45"/>
        <v/>
      </c>
      <c r="S653" s="61" t="str">
        <f t="shared" si="46"/>
        <v/>
      </c>
      <c r="T653" s="61" t="str">
        <f t="shared" si="44"/>
        <v/>
      </c>
      <c r="U653" s="61" t="str">
        <f t="shared" si="47"/>
        <v/>
      </c>
      <c r="V653" s="61"/>
      <c r="W653" s="61"/>
      <c r="X653" s="61"/>
      <c r="Y653" s="61"/>
      <c r="Z653" s="61"/>
      <c r="AA653" s="61"/>
      <c r="AB653" s="61"/>
    </row>
    <row r="654" spans="1:28" s="2" customFormat="1" ht="15">
      <c r="A654" s="61" t="s">
        <v>776</v>
      </c>
      <c r="B654" s="61" t="s">
        <v>4168</v>
      </c>
      <c r="C654" s="61" t="s">
        <v>1048</v>
      </c>
      <c r="D654" s="61" t="s">
        <v>7838</v>
      </c>
      <c r="E654" s="61">
        <v>12856</v>
      </c>
      <c r="F654" s="61">
        <v>16324</v>
      </c>
      <c r="G654" s="61"/>
      <c r="H654" s="61"/>
      <c r="I654" s="61" t="s">
        <v>508</v>
      </c>
      <c r="J654" s="61"/>
      <c r="K654" s="61" t="s">
        <v>1982</v>
      </c>
      <c r="L654" s="61"/>
      <c r="M654" s="61"/>
      <c r="N654" s="61"/>
      <c r="O654" s="61"/>
      <c r="P654" s="61"/>
      <c r="Q654" s="61"/>
      <c r="R654" s="61" t="str">
        <f t="shared" si="45"/>
        <v/>
      </c>
      <c r="S654" s="61" t="str">
        <f t="shared" si="46"/>
        <v/>
      </c>
      <c r="T654" s="61" t="str">
        <f t="shared" si="44"/>
        <v/>
      </c>
      <c r="U654" s="61" t="str">
        <f t="shared" si="47"/>
        <v/>
      </c>
      <c r="V654" s="61"/>
      <c r="W654" s="61"/>
      <c r="X654" s="61"/>
      <c r="Y654" s="61"/>
      <c r="Z654" s="61"/>
      <c r="AA654" s="61"/>
      <c r="AB654" s="61"/>
    </row>
    <row r="655" spans="1:28" s="2" customFormat="1" ht="15">
      <c r="A655" s="61" t="s">
        <v>776</v>
      </c>
      <c r="B655" s="61" t="s">
        <v>4223</v>
      </c>
      <c r="C655" s="61" t="s">
        <v>3506</v>
      </c>
      <c r="D655" s="61" t="s">
        <v>7838</v>
      </c>
      <c r="E655" s="61">
        <v>1575</v>
      </c>
      <c r="F655" s="61">
        <v>2050</v>
      </c>
      <c r="G655" s="61">
        <v>2025</v>
      </c>
      <c r="H655" s="61" t="s">
        <v>3125</v>
      </c>
      <c r="I655" s="61" t="s">
        <v>388</v>
      </c>
      <c r="J655" s="61"/>
      <c r="K655" s="61" t="s">
        <v>1982</v>
      </c>
      <c r="L655" s="61" t="s">
        <v>8207</v>
      </c>
      <c r="M655" s="475">
        <v>45839</v>
      </c>
      <c r="N655" s="475">
        <v>45855</v>
      </c>
      <c r="O655" s="475"/>
      <c r="P655" s="475">
        <v>45856</v>
      </c>
      <c r="Q655" s="475">
        <v>45856</v>
      </c>
      <c r="R655" s="61">
        <f t="shared" si="45"/>
        <v>12</v>
      </c>
      <c r="S655" s="61" t="str">
        <f t="shared" si="46"/>
        <v/>
      </c>
      <c r="T655" s="61">
        <f t="shared" si="44"/>
        <v>1</v>
      </c>
      <c r="U655" s="61">
        <f t="shared" si="47"/>
        <v>1</v>
      </c>
      <c r="V655" s="61" t="s">
        <v>150</v>
      </c>
      <c r="W655" s="61" t="s">
        <v>4</v>
      </c>
      <c r="X655" s="61" t="s">
        <v>50</v>
      </c>
      <c r="Y655" s="61">
        <v>14.9758</v>
      </c>
      <c r="Z655" s="61">
        <v>121.0792</v>
      </c>
      <c r="AA655" s="61" t="s">
        <v>330</v>
      </c>
      <c r="AB655" s="61"/>
    </row>
    <row r="656" spans="1:28" s="2" customFormat="1" ht="15">
      <c r="A656" s="61" t="s">
        <v>776</v>
      </c>
      <c r="B656" s="61" t="s">
        <v>4223</v>
      </c>
      <c r="C656" s="61" t="s">
        <v>4227</v>
      </c>
      <c r="D656" s="61" t="s">
        <v>7838</v>
      </c>
      <c r="E656" s="61">
        <v>6909</v>
      </c>
      <c r="F656" s="61">
        <v>8802</v>
      </c>
      <c r="G656" s="61">
        <v>2025</v>
      </c>
      <c r="H656" s="61" t="s">
        <v>3126</v>
      </c>
      <c r="I656" s="61" t="s">
        <v>508</v>
      </c>
      <c r="J656" s="61"/>
      <c r="K656" s="61" t="s">
        <v>1982</v>
      </c>
      <c r="L656" s="61" t="s">
        <v>8208</v>
      </c>
      <c r="M656" s="475">
        <v>45875</v>
      </c>
      <c r="N656" s="475">
        <v>45888</v>
      </c>
      <c r="O656" s="61"/>
      <c r="P656" s="475">
        <v>45888</v>
      </c>
      <c r="Q656" s="475">
        <v>45888</v>
      </c>
      <c r="R656" s="61">
        <f>IF(
    OR(ISBLANK(M656), ISBLANK(P656)),
    "",
    MAX(1, IF(
        NETWORKDAYS(M656, P656) &lt;= 0,
        1,
        NETWORKDAYS(M656, P656) - IF(M656 = P656, 0, 1)
    ))
)</f>
        <v>9</v>
      </c>
      <c r="S656" s="61" t="str">
        <f>IF(
    OR(ISBLANK(P656), ISBLANK(O656)),
    "",
    MAX(1, IF(
        NETWORKDAYS(P656, O656) &lt;= 0,
        1,
        NETWORKDAYS(P656, O656) - IF(P656 = O656, 0, 1)
    ))
)</f>
        <v/>
      </c>
      <c r="T656" s="61">
        <f t="shared" si="44"/>
        <v>1</v>
      </c>
      <c r="U656" s="61">
        <f t="shared" si="47"/>
        <v>1</v>
      </c>
      <c r="V656" s="61" t="s">
        <v>150</v>
      </c>
      <c r="W656" s="61" t="s">
        <v>4</v>
      </c>
      <c r="X656" s="61" t="s">
        <v>50</v>
      </c>
      <c r="Y656" s="61">
        <v>15.1127</v>
      </c>
      <c r="Z656" s="61">
        <v>121.099</v>
      </c>
      <c r="AA656" s="61"/>
      <c r="AB656" s="61"/>
    </row>
    <row r="657" spans="1:28" s="2" customFormat="1" ht="15">
      <c r="A657" s="61" t="s">
        <v>776</v>
      </c>
      <c r="B657" s="61" t="s">
        <v>4223</v>
      </c>
      <c r="C657" s="61" t="s">
        <v>4228</v>
      </c>
      <c r="D657" s="61" t="s">
        <v>7838</v>
      </c>
      <c r="E657" s="61">
        <v>2859</v>
      </c>
      <c r="F657" s="61">
        <v>3574</v>
      </c>
      <c r="G657" s="61">
        <v>2025</v>
      </c>
      <c r="H657" s="61" t="s">
        <v>3125</v>
      </c>
      <c r="I657" s="61" t="s">
        <v>388</v>
      </c>
      <c r="J657" s="61"/>
      <c r="K657" s="61" t="s">
        <v>1982</v>
      </c>
      <c r="L657" s="61" t="s">
        <v>8209</v>
      </c>
      <c r="M657" s="475">
        <v>45839</v>
      </c>
      <c r="N657" s="475">
        <v>45855</v>
      </c>
      <c r="O657" s="475"/>
      <c r="P657" s="475">
        <v>45856</v>
      </c>
      <c r="Q657" s="475">
        <v>45856</v>
      </c>
      <c r="R657" s="61">
        <f t="shared" ref="R657:R720" si="48">IF(
    OR(ISBLANK(M657), ISBLANK(N657)),
    "",
    MAX(1, IF(
        NETWORKDAYS(M657, N657) &lt;= 0,
        1,
        NETWORKDAYS(M657, N657) - IF(M657 = N657, 0, 1)
    ))
)</f>
        <v>12</v>
      </c>
      <c r="S657" s="61" t="str">
        <f t="shared" ref="S657:S720" si="49">IF(
    OR(ISBLANK(N657), ISBLANK(O657)),
    "",
    MAX(1, IF(
        NETWORKDAYS(N657, O657) &lt;= 0,
        1,
        NETWORKDAYS(N657, O657) - IF(N657 = O657, 0, 1)
    ))
)</f>
        <v/>
      </c>
      <c r="T657" s="61">
        <f t="shared" si="44"/>
        <v>1</v>
      </c>
      <c r="U657" s="61">
        <f t="shared" si="47"/>
        <v>1</v>
      </c>
      <c r="V657" s="61" t="s">
        <v>150</v>
      </c>
      <c r="W657" s="61" t="s">
        <v>4</v>
      </c>
      <c r="X657" s="61" t="s">
        <v>50</v>
      </c>
      <c r="Y657" s="61">
        <v>14.9679</v>
      </c>
      <c r="Z657" s="61">
        <v>121.0637</v>
      </c>
      <c r="AA657" s="61" t="s">
        <v>330</v>
      </c>
      <c r="AB657" s="61"/>
    </row>
    <row r="658" spans="1:28" s="2" customFormat="1" ht="15">
      <c r="A658" s="61" t="s">
        <v>776</v>
      </c>
      <c r="B658" s="61" t="s">
        <v>4223</v>
      </c>
      <c r="C658" s="61" t="s">
        <v>1051</v>
      </c>
      <c r="D658" s="61" t="s">
        <v>7838</v>
      </c>
      <c r="E658" s="61">
        <v>4166</v>
      </c>
      <c r="F658" s="61">
        <v>4611</v>
      </c>
      <c r="G658" s="61"/>
      <c r="H658" s="61"/>
      <c r="I658" s="61"/>
      <c r="J658" s="61"/>
      <c r="K658" s="61" t="s">
        <v>1982</v>
      </c>
      <c r="L658" s="61"/>
      <c r="M658" s="61"/>
      <c r="N658" s="61"/>
      <c r="O658" s="61"/>
      <c r="P658" s="61"/>
      <c r="Q658" s="61"/>
      <c r="R658" s="61" t="str">
        <f t="shared" si="48"/>
        <v/>
      </c>
      <c r="S658" s="61" t="str">
        <f t="shared" si="49"/>
        <v/>
      </c>
      <c r="T658" s="61" t="str">
        <f t="shared" si="44"/>
        <v/>
      </c>
      <c r="U658" s="61" t="str">
        <f t="shared" si="47"/>
        <v/>
      </c>
      <c r="V658" s="61"/>
      <c r="W658" s="61"/>
      <c r="X658" s="61"/>
      <c r="Y658" s="61"/>
      <c r="Z658" s="61"/>
      <c r="AA658" s="61"/>
      <c r="AB658" s="61"/>
    </row>
    <row r="659" spans="1:28" s="2" customFormat="1" ht="15">
      <c r="A659" s="61" t="s">
        <v>776</v>
      </c>
      <c r="B659" s="61" t="s">
        <v>4223</v>
      </c>
      <c r="C659" s="61" t="s">
        <v>4225</v>
      </c>
      <c r="D659" s="61" t="s">
        <v>7838</v>
      </c>
      <c r="E659" s="61">
        <v>1043</v>
      </c>
      <c r="F659" s="61">
        <v>1744</v>
      </c>
      <c r="G659" s="61"/>
      <c r="H659" s="61"/>
      <c r="I659" s="61"/>
      <c r="J659" s="61"/>
      <c r="K659" s="61" t="s">
        <v>1982</v>
      </c>
      <c r="L659" s="61"/>
      <c r="M659" s="61"/>
      <c r="N659" s="61"/>
      <c r="O659" s="61"/>
      <c r="P659" s="61"/>
      <c r="Q659" s="61"/>
      <c r="R659" s="61" t="str">
        <f t="shared" si="48"/>
        <v/>
      </c>
      <c r="S659" s="61" t="str">
        <f t="shared" si="49"/>
        <v/>
      </c>
      <c r="T659" s="61" t="str">
        <f t="shared" si="44"/>
        <v/>
      </c>
      <c r="U659" s="61" t="str">
        <f t="shared" si="47"/>
        <v/>
      </c>
      <c r="V659" s="61"/>
      <c r="W659" s="61"/>
      <c r="X659" s="61"/>
      <c r="Y659" s="61"/>
      <c r="Z659" s="61"/>
      <c r="AA659" s="61"/>
      <c r="AB659" s="61"/>
    </row>
    <row r="660" spans="1:28" s="2" customFormat="1" ht="15">
      <c r="A660" s="61" t="s">
        <v>776</v>
      </c>
      <c r="B660" s="61" t="s">
        <v>4223</v>
      </c>
      <c r="C660" s="61" t="s">
        <v>4226</v>
      </c>
      <c r="D660" s="61" t="s">
        <v>7838</v>
      </c>
      <c r="E660" s="61">
        <v>1745</v>
      </c>
      <c r="F660" s="61">
        <v>2196</v>
      </c>
      <c r="G660" s="61"/>
      <c r="H660" s="61"/>
      <c r="I660" s="61"/>
      <c r="J660" s="61"/>
      <c r="K660" s="61" t="s">
        <v>1982</v>
      </c>
      <c r="L660" s="61"/>
      <c r="M660" s="61"/>
      <c r="N660" s="61"/>
      <c r="O660" s="61"/>
      <c r="P660" s="61"/>
      <c r="Q660" s="61"/>
      <c r="R660" s="61" t="str">
        <f t="shared" si="48"/>
        <v/>
      </c>
      <c r="S660" s="61" t="str">
        <f t="shared" si="49"/>
        <v/>
      </c>
      <c r="T660" s="61" t="str">
        <f t="shared" si="44"/>
        <v/>
      </c>
      <c r="U660" s="61" t="str">
        <f t="shared" si="47"/>
        <v/>
      </c>
      <c r="V660" s="61"/>
      <c r="W660" s="61"/>
      <c r="X660" s="61"/>
      <c r="Y660" s="61"/>
      <c r="Z660" s="61"/>
      <c r="AA660" s="61"/>
      <c r="AB660" s="61"/>
    </row>
    <row r="661" spans="1:28" s="2" customFormat="1" ht="15">
      <c r="A661" s="61" t="s">
        <v>776</v>
      </c>
      <c r="B661" s="61" t="s">
        <v>4223</v>
      </c>
      <c r="C661" s="61" t="s">
        <v>4230</v>
      </c>
      <c r="D661" s="61" t="s">
        <v>7838</v>
      </c>
      <c r="E661" s="61">
        <v>2620</v>
      </c>
      <c r="F661" s="61">
        <v>3810</v>
      </c>
      <c r="G661" s="61"/>
      <c r="H661" s="61"/>
      <c r="I661" s="61"/>
      <c r="J661" s="61"/>
      <c r="K661" s="61" t="s">
        <v>1982</v>
      </c>
      <c r="L661" s="61"/>
      <c r="M661" s="61"/>
      <c r="N661" s="61"/>
      <c r="O661" s="61"/>
      <c r="P661" s="61"/>
      <c r="Q661" s="61"/>
      <c r="R661" s="61" t="str">
        <f t="shared" si="48"/>
        <v/>
      </c>
      <c r="S661" s="61" t="str">
        <f t="shared" si="49"/>
        <v/>
      </c>
      <c r="T661" s="61" t="str">
        <f t="shared" si="44"/>
        <v/>
      </c>
      <c r="U661" s="61" t="str">
        <f t="shared" si="47"/>
        <v/>
      </c>
      <c r="V661" s="61"/>
      <c r="W661" s="61"/>
      <c r="X661" s="61"/>
      <c r="Y661" s="61"/>
      <c r="Z661" s="61"/>
      <c r="AA661" s="61"/>
      <c r="AB661" s="61"/>
    </row>
    <row r="662" spans="1:28" s="2" customFormat="1" ht="15">
      <c r="A662" s="61" t="s">
        <v>776</v>
      </c>
      <c r="B662" s="61" t="s">
        <v>4223</v>
      </c>
      <c r="C662" s="61" t="s">
        <v>4231</v>
      </c>
      <c r="D662" s="61" t="s">
        <v>7838</v>
      </c>
      <c r="E662" s="61">
        <v>1746</v>
      </c>
      <c r="F662" s="61">
        <v>1869</v>
      </c>
      <c r="G662" s="61"/>
      <c r="H662" s="61"/>
      <c r="I662" s="61"/>
      <c r="J662" s="61"/>
      <c r="K662" s="61" t="s">
        <v>1982</v>
      </c>
      <c r="L662" s="61"/>
      <c r="M662" s="61"/>
      <c r="N662" s="61"/>
      <c r="O662" s="61"/>
      <c r="P662" s="61"/>
      <c r="Q662" s="61"/>
      <c r="R662" s="61" t="str">
        <f t="shared" si="48"/>
        <v/>
      </c>
      <c r="S662" s="61" t="str">
        <f t="shared" si="49"/>
        <v/>
      </c>
      <c r="T662" s="61" t="str">
        <f t="shared" si="44"/>
        <v/>
      </c>
      <c r="U662" s="61" t="str">
        <f t="shared" si="47"/>
        <v/>
      </c>
      <c r="V662" s="61"/>
      <c r="W662" s="61"/>
      <c r="X662" s="61"/>
      <c r="Y662" s="61"/>
      <c r="Z662" s="61"/>
      <c r="AA662" s="61"/>
      <c r="AB662" s="61"/>
    </row>
    <row r="663" spans="1:28" s="2" customFormat="1" ht="15">
      <c r="A663" s="61" t="s">
        <v>776</v>
      </c>
      <c r="B663" s="61" t="s">
        <v>1055</v>
      </c>
      <c r="C663" s="61" t="s">
        <v>1716</v>
      </c>
      <c r="D663" s="61" t="s">
        <v>7838</v>
      </c>
      <c r="E663" s="61">
        <v>2940</v>
      </c>
      <c r="F663" s="61">
        <v>3518</v>
      </c>
      <c r="G663" s="61">
        <v>2025</v>
      </c>
      <c r="H663" s="61" t="s">
        <v>3416</v>
      </c>
      <c r="I663" s="61" t="s">
        <v>388</v>
      </c>
      <c r="J663" s="61" t="s">
        <v>328</v>
      </c>
      <c r="K663" s="61" t="s">
        <v>1982</v>
      </c>
      <c r="L663" s="61" t="s">
        <v>8210</v>
      </c>
      <c r="M663" s="475">
        <v>45729</v>
      </c>
      <c r="N663" s="475">
        <v>45732</v>
      </c>
      <c r="O663" s="475">
        <v>45733</v>
      </c>
      <c r="P663" s="475">
        <v>45733</v>
      </c>
      <c r="Q663" s="475">
        <v>45735</v>
      </c>
      <c r="R663" s="61">
        <f t="shared" si="48"/>
        <v>1</v>
      </c>
      <c r="S663" s="61">
        <f t="shared" si="49"/>
        <v>1</v>
      </c>
      <c r="T663" s="61">
        <f t="shared" si="44"/>
        <v>1</v>
      </c>
      <c r="U663" s="61">
        <f t="shared" si="47"/>
        <v>2</v>
      </c>
      <c r="V663" s="61" t="s">
        <v>150</v>
      </c>
      <c r="W663" s="61" t="s">
        <v>7840</v>
      </c>
      <c r="X663" s="61" t="s">
        <v>3528</v>
      </c>
      <c r="Y663" s="61">
        <v>14.8626</v>
      </c>
      <c r="Z663" s="61">
        <v>120.8956</v>
      </c>
      <c r="AA663" s="61" t="s">
        <v>463</v>
      </c>
      <c r="AB663" s="61"/>
    </row>
    <row r="664" spans="1:28" s="2" customFormat="1" ht="15">
      <c r="A664" s="61" t="s">
        <v>776</v>
      </c>
      <c r="B664" s="61" t="s">
        <v>1055</v>
      </c>
      <c r="C664" s="61" t="s">
        <v>4237</v>
      </c>
      <c r="D664" s="61" t="s">
        <v>7838</v>
      </c>
      <c r="E664" s="61">
        <v>16223</v>
      </c>
      <c r="F664" s="61">
        <v>16851</v>
      </c>
      <c r="G664" s="61">
        <v>2025</v>
      </c>
      <c r="H664" s="61" t="s">
        <v>3416</v>
      </c>
      <c r="I664" s="61" t="s">
        <v>388</v>
      </c>
      <c r="J664" s="61" t="s">
        <v>328</v>
      </c>
      <c r="K664" s="61" t="s">
        <v>1982</v>
      </c>
      <c r="L664" s="61" t="s">
        <v>8211</v>
      </c>
      <c r="M664" s="475">
        <v>45729</v>
      </c>
      <c r="N664" s="475">
        <v>45732</v>
      </c>
      <c r="O664" s="475">
        <v>45733</v>
      </c>
      <c r="P664" s="475">
        <v>45733</v>
      </c>
      <c r="Q664" s="475">
        <v>45735</v>
      </c>
      <c r="R664" s="61">
        <f t="shared" si="48"/>
        <v>1</v>
      </c>
      <c r="S664" s="61">
        <f t="shared" si="49"/>
        <v>1</v>
      </c>
      <c r="T664" s="61">
        <f t="shared" si="44"/>
        <v>1</v>
      </c>
      <c r="U664" s="61">
        <f t="shared" si="47"/>
        <v>2</v>
      </c>
      <c r="V664" s="61" t="s">
        <v>150</v>
      </c>
      <c r="W664" s="61" t="s">
        <v>4</v>
      </c>
      <c r="X664" s="61" t="s">
        <v>50</v>
      </c>
      <c r="Y664" s="61">
        <v>14.8409</v>
      </c>
      <c r="Z664" s="61">
        <v>120.87730000000001</v>
      </c>
      <c r="AA664" s="61" t="s">
        <v>463</v>
      </c>
      <c r="AB664" s="61"/>
    </row>
    <row r="665" spans="1:28" s="2" customFormat="1" ht="15">
      <c r="A665" s="61" t="s">
        <v>776</v>
      </c>
      <c r="B665" s="61" t="s">
        <v>1055</v>
      </c>
      <c r="C665" s="61" t="s">
        <v>4242</v>
      </c>
      <c r="D665" s="61" t="s">
        <v>7838</v>
      </c>
      <c r="E665" s="61">
        <v>13687</v>
      </c>
      <c r="F665" s="61">
        <v>16386</v>
      </c>
      <c r="G665" s="61">
        <v>2025</v>
      </c>
      <c r="H665" s="61" t="s">
        <v>3416</v>
      </c>
      <c r="I665" s="61" t="s">
        <v>388</v>
      </c>
      <c r="J665" s="61" t="s">
        <v>328</v>
      </c>
      <c r="K665" s="61" t="s">
        <v>1982</v>
      </c>
      <c r="L665" s="61" t="s">
        <v>8212</v>
      </c>
      <c r="M665" s="475">
        <v>45723</v>
      </c>
      <c r="N665" s="475">
        <v>45732</v>
      </c>
      <c r="O665" s="475">
        <v>45733</v>
      </c>
      <c r="P665" s="475">
        <v>45733</v>
      </c>
      <c r="Q665" s="475">
        <v>45735</v>
      </c>
      <c r="R665" s="61">
        <f t="shared" si="48"/>
        <v>5</v>
      </c>
      <c r="S665" s="61">
        <f t="shared" si="49"/>
        <v>1</v>
      </c>
      <c r="T665" s="61">
        <f t="shared" si="44"/>
        <v>1</v>
      </c>
      <c r="U665" s="61">
        <f t="shared" si="47"/>
        <v>2</v>
      </c>
      <c r="V665" s="61" t="s">
        <v>150</v>
      </c>
      <c r="W665" s="61" t="s">
        <v>4</v>
      </c>
      <c r="X665" s="61" t="s">
        <v>50</v>
      </c>
      <c r="Y665" s="61">
        <v>14.8588</v>
      </c>
      <c r="Z665" s="61">
        <v>120.8558</v>
      </c>
      <c r="AA665" s="61" t="s">
        <v>463</v>
      </c>
      <c r="AB665" s="61"/>
    </row>
    <row r="666" spans="1:28" s="2" customFormat="1" ht="15">
      <c r="A666" s="61" t="s">
        <v>776</v>
      </c>
      <c r="B666" s="61" t="s">
        <v>1055</v>
      </c>
      <c r="C666" s="61" t="s">
        <v>3983</v>
      </c>
      <c r="D666" s="61" t="s">
        <v>7838</v>
      </c>
      <c r="E666" s="61">
        <v>7640</v>
      </c>
      <c r="F666" s="61">
        <v>10151</v>
      </c>
      <c r="G666" s="61">
        <v>2025</v>
      </c>
      <c r="H666" s="61" t="s">
        <v>3689</v>
      </c>
      <c r="I666" s="61" t="s">
        <v>388</v>
      </c>
      <c r="J666" s="61"/>
      <c r="K666" s="61" t="s">
        <v>1982</v>
      </c>
      <c r="L666" s="61" t="s">
        <v>8213</v>
      </c>
      <c r="M666" s="475">
        <v>45821</v>
      </c>
      <c r="N666" s="475">
        <v>45824</v>
      </c>
      <c r="O666" s="475"/>
      <c r="P666" s="475">
        <v>45827</v>
      </c>
      <c r="Q666" s="475">
        <v>45827</v>
      </c>
      <c r="R666" s="61">
        <f t="shared" si="48"/>
        <v>1</v>
      </c>
      <c r="S666" s="61" t="str">
        <f t="shared" si="49"/>
        <v/>
      </c>
      <c r="T666" s="61">
        <f t="shared" si="44"/>
        <v>3</v>
      </c>
      <c r="U666" s="61">
        <f t="shared" si="47"/>
        <v>1</v>
      </c>
      <c r="V666" s="61" t="s">
        <v>150</v>
      </c>
      <c r="W666" s="61" t="s">
        <v>4</v>
      </c>
      <c r="X666" s="61" t="s">
        <v>50</v>
      </c>
      <c r="Y666" s="61">
        <v>14.8384</v>
      </c>
      <c r="Z666" s="61">
        <v>120.89749999999999</v>
      </c>
      <c r="AA666" s="61" t="s">
        <v>8170</v>
      </c>
      <c r="AB666" s="61"/>
    </row>
    <row r="667" spans="1:28" s="2" customFormat="1" ht="15">
      <c r="A667" s="61" t="s">
        <v>776</v>
      </c>
      <c r="B667" s="61" t="s">
        <v>1055</v>
      </c>
      <c r="C667" s="61" t="s">
        <v>1059</v>
      </c>
      <c r="D667" s="61" t="s">
        <v>7838</v>
      </c>
      <c r="E667" s="61">
        <v>9776</v>
      </c>
      <c r="F667" s="61">
        <v>11861</v>
      </c>
      <c r="G667" s="61">
        <v>2025</v>
      </c>
      <c r="H667" s="61" t="s">
        <v>3458</v>
      </c>
      <c r="I667" s="61" t="s">
        <v>388</v>
      </c>
      <c r="J667" s="61" t="s">
        <v>328</v>
      </c>
      <c r="K667" s="61" t="s">
        <v>1982</v>
      </c>
      <c r="L667" s="61" t="s">
        <v>8214</v>
      </c>
      <c r="M667" s="475">
        <v>45695</v>
      </c>
      <c r="N667" s="475">
        <v>45700</v>
      </c>
      <c r="O667" s="475">
        <v>45705</v>
      </c>
      <c r="P667" s="475">
        <v>45705</v>
      </c>
      <c r="Q667" s="475">
        <v>45705</v>
      </c>
      <c r="R667" s="61">
        <f t="shared" si="48"/>
        <v>3</v>
      </c>
      <c r="S667" s="61">
        <f t="shared" si="49"/>
        <v>3</v>
      </c>
      <c r="T667" s="61">
        <f t="shared" si="44"/>
        <v>3</v>
      </c>
      <c r="U667" s="61">
        <f t="shared" si="47"/>
        <v>1</v>
      </c>
      <c r="V667" s="61" t="s">
        <v>150</v>
      </c>
      <c r="W667" s="61" t="s">
        <v>4</v>
      </c>
      <c r="X667" s="61" t="s">
        <v>50</v>
      </c>
      <c r="Y667" s="61"/>
      <c r="Z667" s="61"/>
      <c r="AA667" s="61"/>
      <c r="AB667" s="61"/>
    </row>
    <row r="668" spans="1:28" s="2" customFormat="1" ht="15">
      <c r="A668" s="61" t="s">
        <v>776</v>
      </c>
      <c r="B668" s="61" t="s">
        <v>1055</v>
      </c>
      <c r="C668" s="61" t="s">
        <v>1056</v>
      </c>
      <c r="D668" s="61" t="s">
        <v>7838</v>
      </c>
      <c r="E668" s="61">
        <v>4099</v>
      </c>
      <c r="F668" s="61">
        <v>3468</v>
      </c>
      <c r="G668" s="61">
        <v>2025</v>
      </c>
      <c r="H668" s="61" t="s">
        <v>3458</v>
      </c>
      <c r="I668" s="61" t="s">
        <v>388</v>
      </c>
      <c r="J668" s="61" t="s">
        <v>328</v>
      </c>
      <c r="K668" s="61" t="s">
        <v>1982</v>
      </c>
      <c r="L668" s="61" t="s">
        <v>8215</v>
      </c>
      <c r="M668" s="475">
        <v>45692</v>
      </c>
      <c r="N668" s="475">
        <v>45700</v>
      </c>
      <c r="O668" s="475">
        <v>45705</v>
      </c>
      <c r="P668" s="475">
        <v>45705</v>
      </c>
      <c r="Q668" s="475">
        <v>45705</v>
      </c>
      <c r="R668" s="61">
        <f t="shared" si="48"/>
        <v>6</v>
      </c>
      <c r="S668" s="61">
        <f t="shared" si="49"/>
        <v>3</v>
      </c>
      <c r="T668" s="61">
        <f t="shared" si="44"/>
        <v>3</v>
      </c>
      <c r="U668" s="61">
        <f t="shared" si="47"/>
        <v>1</v>
      </c>
      <c r="V668" s="61" t="s">
        <v>150</v>
      </c>
      <c r="W668" s="61" t="s">
        <v>1078</v>
      </c>
      <c r="X668" s="61" t="s">
        <v>50</v>
      </c>
      <c r="Y668" s="61"/>
      <c r="Z668" s="61"/>
      <c r="AA668" s="61" t="s">
        <v>463</v>
      </c>
      <c r="AB668" s="61"/>
    </row>
    <row r="669" spans="1:28" s="2" customFormat="1" ht="15">
      <c r="A669" s="61" t="s">
        <v>776</v>
      </c>
      <c r="B669" s="61" t="s">
        <v>1055</v>
      </c>
      <c r="C669" s="61" t="s">
        <v>4245</v>
      </c>
      <c r="D669" s="61" t="s">
        <v>7838</v>
      </c>
      <c r="E669" s="61">
        <v>8310</v>
      </c>
      <c r="F669" s="61">
        <v>9212</v>
      </c>
      <c r="G669" s="61">
        <v>2025</v>
      </c>
      <c r="H669" s="61" t="s">
        <v>3458</v>
      </c>
      <c r="I669" s="61" t="s">
        <v>388</v>
      </c>
      <c r="J669" s="61" t="s">
        <v>328</v>
      </c>
      <c r="K669" s="61" t="s">
        <v>1982</v>
      </c>
      <c r="L669" s="61" t="s">
        <v>8216</v>
      </c>
      <c r="M669" s="475">
        <v>45692</v>
      </c>
      <c r="N669" s="475">
        <v>45700</v>
      </c>
      <c r="O669" s="475">
        <v>45705</v>
      </c>
      <c r="P669" s="475">
        <v>45705</v>
      </c>
      <c r="Q669" s="475">
        <v>45705</v>
      </c>
      <c r="R669" s="61">
        <f t="shared" si="48"/>
        <v>6</v>
      </c>
      <c r="S669" s="61">
        <f t="shared" si="49"/>
        <v>3</v>
      </c>
      <c r="T669" s="61">
        <f t="shared" si="44"/>
        <v>3</v>
      </c>
      <c r="U669" s="61">
        <f t="shared" si="47"/>
        <v>1</v>
      </c>
      <c r="V669" s="61" t="s">
        <v>150</v>
      </c>
      <c r="W669" s="61" t="s">
        <v>1078</v>
      </c>
      <c r="X669" s="61" t="s">
        <v>50</v>
      </c>
      <c r="Y669" s="61"/>
      <c r="Z669" s="61"/>
      <c r="AA669" s="61" t="s">
        <v>463</v>
      </c>
      <c r="AB669" s="61"/>
    </row>
    <row r="670" spans="1:28" s="2" customFormat="1" ht="15">
      <c r="A670" s="61" t="s">
        <v>776</v>
      </c>
      <c r="B670" s="61" t="s">
        <v>1055</v>
      </c>
      <c r="C670" s="61" t="s">
        <v>4233</v>
      </c>
      <c r="D670" s="61" t="s">
        <v>7838</v>
      </c>
      <c r="E670" s="61">
        <v>1800</v>
      </c>
      <c r="F670" s="61">
        <v>2140</v>
      </c>
      <c r="G670" s="61">
        <v>2025</v>
      </c>
      <c r="H670" s="61" t="s">
        <v>3416</v>
      </c>
      <c r="I670" s="61" t="s">
        <v>388</v>
      </c>
      <c r="J670" s="61" t="s">
        <v>328</v>
      </c>
      <c r="K670" s="61" t="s">
        <v>1982</v>
      </c>
      <c r="L670" s="61" t="s">
        <v>8217</v>
      </c>
      <c r="M670" s="475">
        <v>45729</v>
      </c>
      <c r="N670" s="475">
        <v>45732</v>
      </c>
      <c r="O670" s="475">
        <v>45733</v>
      </c>
      <c r="P670" s="475">
        <v>45733</v>
      </c>
      <c r="Q670" s="475">
        <v>45735</v>
      </c>
      <c r="R670" s="61">
        <f t="shared" si="48"/>
        <v>1</v>
      </c>
      <c r="S670" s="61">
        <f t="shared" si="49"/>
        <v>1</v>
      </c>
      <c r="T670" s="61">
        <f t="shared" si="44"/>
        <v>1</v>
      </c>
      <c r="U670" s="61">
        <f t="shared" si="47"/>
        <v>2</v>
      </c>
      <c r="V670" s="61" t="s">
        <v>150</v>
      </c>
      <c r="W670" s="61" t="s">
        <v>7929</v>
      </c>
      <c r="X670" s="61" t="s">
        <v>3528</v>
      </c>
      <c r="Y670" s="61">
        <v>14.8565</v>
      </c>
      <c r="Z670" s="61">
        <v>120.8857</v>
      </c>
      <c r="AA670" s="61" t="s">
        <v>463</v>
      </c>
      <c r="AB670" s="61"/>
    </row>
    <row r="671" spans="1:28" s="2" customFormat="1" ht="15">
      <c r="A671" s="61" t="s">
        <v>776</v>
      </c>
      <c r="B671" s="61" t="s">
        <v>1055</v>
      </c>
      <c r="C671" s="61" t="s">
        <v>4235</v>
      </c>
      <c r="D671" s="61" t="s">
        <v>7838</v>
      </c>
      <c r="E671" s="61">
        <v>5628</v>
      </c>
      <c r="F671" s="61">
        <v>5746</v>
      </c>
      <c r="G671" s="61">
        <v>2025</v>
      </c>
      <c r="H671" s="61" t="s">
        <v>3416</v>
      </c>
      <c r="I671" s="61" t="s">
        <v>388</v>
      </c>
      <c r="J671" s="61" t="s">
        <v>328</v>
      </c>
      <c r="K671" s="61" t="s">
        <v>1982</v>
      </c>
      <c r="L671" s="61" t="s">
        <v>8218</v>
      </c>
      <c r="M671" s="475">
        <v>45729</v>
      </c>
      <c r="N671" s="475">
        <v>45732</v>
      </c>
      <c r="O671" s="475">
        <v>45733</v>
      </c>
      <c r="P671" s="475">
        <v>45733</v>
      </c>
      <c r="Q671" s="475">
        <v>45735</v>
      </c>
      <c r="R671" s="61">
        <f t="shared" si="48"/>
        <v>1</v>
      </c>
      <c r="S671" s="61">
        <f t="shared" si="49"/>
        <v>1</v>
      </c>
      <c r="T671" s="61">
        <f t="shared" si="44"/>
        <v>1</v>
      </c>
      <c r="U671" s="61">
        <f t="shared" si="47"/>
        <v>2</v>
      </c>
      <c r="V671" s="61" t="s">
        <v>150</v>
      </c>
      <c r="W671" s="61" t="s">
        <v>7929</v>
      </c>
      <c r="X671" s="61" t="s">
        <v>3528</v>
      </c>
      <c r="Y671" s="61">
        <v>14.8565</v>
      </c>
      <c r="Z671" s="61">
        <v>120.8857</v>
      </c>
      <c r="AA671" s="61" t="s">
        <v>463</v>
      </c>
      <c r="AB671" s="61"/>
    </row>
    <row r="672" spans="1:28" s="2" customFormat="1" ht="15">
      <c r="A672" s="61" t="s">
        <v>776</v>
      </c>
      <c r="B672" s="61" t="s">
        <v>1055</v>
      </c>
      <c r="C672" s="61" t="s">
        <v>3951</v>
      </c>
      <c r="D672" s="61" t="s">
        <v>7838</v>
      </c>
      <c r="E672" s="61">
        <v>1528</v>
      </c>
      <c r="F672" s="61">
        <v>1693</v>
      </c>
      <c r="G672" s="61">
        <v>2025</v>
      </c>
      <c r="H672" s="61" t="s">
        <v>3416</v>
      </c>
      <c r="I672" s="61" t="s">
        <v>388</v>
      </c>
      <c r="J672" s="61" t="s">
        <v>328</v>
      </c>
      <c r="K672" s="61" t="s">
        <v>1982</v>
      </c>
      <c r="L672" s="61" t="s">
        <v>8219</v>
      </c>
      <c r="M672" s="475">
        <v>45729</v>
      </c>
      <c r="N672" s="475">
        <v>45732</v>
      </c>
      <c r="O672" s="475">
        <v>45733</v>
      </c>
      <c r="P672" s="475">
        <v>45733</v>
      </c>
      <c r="Q672" s="475">
        <v>45735</v>
      </c>
      <c r="R672" s="61">
        <f t="shared" si="48"/>
        <v>1</v>
      </c>
      <c r="S672" s="61">
        <f t="shared" si="49"/>
        <v>1</v>
      </c>
      <c r="T672" s="61">
        <f t="shared" si="44"/>
        <v>1</v>
      </c>
      <c r="U672" s="61">
        <f t="shared" si="47"/>
        <v>2</v>
      </c>
      <c r="V672" s="61" t="s">
        <v>150</v>
      </c>
      <c r="W672" s="61" t="s">
        <v>7929</v>
      </c>
      <c r="X672" s="61" t="s">
        <v>3528</v>
      </c>
      <c r="Y672" s="61">
        <v>14.817399999999999</v>
      </c>
      <c r="Z672" s="61">
        <v>120.8909</v>
      </c>
      <c r="AA672" s="61" t="s">
        <v>463</v>
      </c>
      <c r="AB672" s="61"/>
    </row>
    <row r="673" spans="1:28" s="2" customFormat="1" ht="15">
      <c r="A673" s="61" t="s">
        <v>776</v>
      </c>
      <c r="B673" s="61" t="s">
        <v>1055</v>
      </c>
      <c r="C673" s="61" t="s">
        <v>4240</v>
      </c>
      <c r="D673" s="61" t="s">
        <v>7838</v>
      </c>
      <c r="E673" s="61">
        <v>5172</v>
      </c>
      <c r="F673" s="61">
        <v>5270</v>
      </c>
      <c r="G673" s="61">
        <v>2025</v>
      </c>
      <c r="H673" s="61" t="s">
        <v>3416</v>
      </c>
      <c r="I673" s="61" t="s">
        <v>388</v>
      </c>
      <c r="J673" s="61" t="s">
        <v>328</v>
      </c>
      <c r="K673" s="61" t="s">
        <v>1982</v>
      </c>
      <c r="L673" s="61" t="s">
        <v>8220</v>
      </c>
      <c r="M673" s="475">
        <v>45729</v>
      </c>
      <c r="N673" s="475">
        <v>45732</v>
      </c>
      <c r="O673" s="475">
        <v>45733</v>
      </c>
      <c r="P673" s="475">
        <v>45733</v>
      </c>
      <c r="Q673" s="475">
        <v>45735</v>
      </c>
      <c r="R673" s="61">
        <f t="shared" si="48"/>
        <v>1</v>
      </c>
      <c r="S673" s="61">
        <f t="shared" si="49"/>
        <v>1</v>
      </c>
      <c r="T673" s="61">
        <f t="shared" si="44"/>
        <v>1</v>
      </c>
      <c r="U673" s="61">
        <f t="shared" si="47"/>
        <v>2</v>
      </c>
      <c r="V673" s="61" t="s">
        <v>150</v>
      </c>
      <c r="W673" s="61" t="s">
        <v>7929</v>
      </c>
      <c r="X673" s="61" t="s">
        <v>3528</v>
      </c>
      <c r="Y673" s="61">
        <v>14.8543</v>
      </c>
      <c r="Z673" s="61">
        <v>120.86490000000001</v>
      </c>
      <c r="AA673" s="61"/>
      <c r="AB673" s="61"/>
    </row>
    <row r="674" spans="1:28" s="2" customFormat="1" ht="15">
      <c r="A674" s="61" t="s">
        <v>776</v>
      </c>
      <c r="B674" s="61" t="s">
        <v>1055</v>
      </c>
      <c r="C674" s="61" t="s">
        <v>3952</v>
      </c>
      <c r="D674" s="61" t="s">
        <v>7838</v>
      </c>
      <c r="E674" s="61">
        <v>1879</v>
      </c>
      <c r="F674" s="61">
        <v>3915</v>
      </c>
      <c r="G674" s="61">
        <v>2025</v>
      </c>
      <c r="H674" s="61" t="s">
        <v>3416</v>
      </c>
      <c r="I674" s="61" t="s">
        <v>388</v>
      </c>
      <c r="J674" s="61" t="s">
        <v>328</v>
      </c>
      <c r="K674" s="61" t="s">
        <v>1982</v>
      </c>
      <c r="L674" s="61" t="s">
        <v>8221</v>
      </c>
      <c r="M674" s="475">
        <v>45729</v>
      </c>
      <c r="N674" s="475">
        <v>45732</v>
      </c>
      <c r="O674" s="475">
        <v>45733</v>
      </c>
      <c r="P674" s="475">
        <v>45733</v>
      </c>
      <c r="Q674" s="475">
        <v>45735</v>
      </c>
      <c r="R674" s="61">
        <f t="shared" si="48"/>
        <v>1</v>
      </c>
      <c r="S674" s="61">
        <f t="shared" si="49"/>
        <v>1</v>
      </c>
      <c r="T674" s="61">
        <f t="shared" si="44"/>
        <v>1</v>
      </c>
      <c r="U674" s="61">
        <f t="shared" si="47"/>
        <v>2</v>
      </c>
      <c r="V674" s="61" t="s">
        <v>150</v>
      </c>
      <c r="W674" s="61" t="s">
        <v>7929</v>
      </c>
      <c r="X674" s="61" t="s">
        <v>3528</v>
      </c>
      <c r="Y674" s="61">
        <v>14.8543</v>
      </c>
      <c r="Z674" s="61">
        <v>120.8972</v>
      </c>
      <c r="AA674" s="61" t="s">
        <v>463</v>
      </c>
      <c r="AB674" s="61"/>
    </row>
    <row r="675" spans="1:28" s="2" customFormat="1" ht="15">
      <c r="A675" s="61" t="s">
        <v>776</v>
      </c>
      <c r="B675" s="61" t="s">
        <v>1055</v>
      </c>
      <c r="C675" s="61" t="s">
        <v>1899</v>
      </c>
      <c r="D675" s="61" t="s">
        <v>7838</v>
      </c>
      <c r="E675" s="61">
        <v>12216</v>
      </c>
      <c r="F675" s="61">
        <v>11739</v>
      </c>
      <c r="G675" s="61">
        <v>2025</v>
      </c>
      <c r="H675" s="61" t="s">
        <v>3689</v>
      </c>
      <c r="I675" s="61" t="s">
        <v>388</v>
      </c>
      <c r="J675" s="61"/>
      <c r="K675" s="61" t="s">
        <v>1982</v>
      </c>
      <c r="L675" s="61" t="s">
        <v>8222</v>
      </c>
      <c r="M675" s="475">
        <v>45825</v>
      </c>
      <c r="N675" s="475">
        <v>45825</v>
      </c>
      <c r="O675" s="475"/>
      <c r="P675" s="475">
        <v>45827</v>
      </c>
      <c r="Q675" s="475">
        <v>45827</v>
      </c>
      <c r="R675" s="61">
        <f t="shared" si="48"/>
        <v>1</v>
      </c>
      <c r="S675" s="61" t="str">
        <f t="shared" si="49"/>
        <v/>
      </c>
      <c r="T675" s="61">
        <f t="shared" si="44"/>
        <v>2</v>
      </c>
      <c r="U675" s="61">
        <f t="shared" si="47"/>
        <v>1</v>
      </c>
      <c r="V675" s="61" t="s">
        <v>150</v>
      </c>
      <c r="W675" s="61" t="s">
        <v>3527</v>
      </c>
      <c r="X675" s="61" t="s">
        <v>3528</v>
      </c>
      <c r="Y675" s="61">
        <v>14.842499999999999</v>
      </c>
      <c r="Z675" s="61">
        <v>120.8707</v>
      </c>
      <c r="AA675" s="61" t="s">
        <v>8170</v>
      </c>
      <c r="AB675" s="61"/>
    </row>
    <row r="676" spans="1:28" s="2" customFormat="1" ht="15">
      <c r="A676" s="61" t="s">
        <v>776</v>
      </c>
      <c r="B676" s="61" t="s">
        <v>1055</v>
      </c>
      <c r="C676" s="61" t="s">
        <v>4243</v>
      </c>
      <c r="D676" s="61" t="s">
        <v>7838</v>
      </c>
      <c r="E676" s="61">
        <v>8832</v>
      </c>
      <c r="F676" s="61">
        <v>11465</v>
      </c>
      <c r="G676" s="61">
        <v>2025</v>
      </c>
      <c r="H676" s="61" t="s">
        <v>3689</v>
      </c>
      <c r="I676" s="61" t="s">
        <v>508</v>
      </c>
      <c r="J676" s="61"/>
      <c r="K676" s="61" t="s">
        <v>1982</v>
      </c>
      <c r="L676" s="61" t="s">
        <v>8223</v>
      </c>
      <c r="M676" s="475">
        <v>45824</v>
      </c>
      <c r="N676" s="475">
        <v>45825</v>
      </c>
      <c r="O676" s="475"/>
      <c r="P676" s="475">
        <v>45827</v>
      </c>
      <c r="Q676" s="475">
        <v>45827</v>
      </c>
      <c r="R676" s="61">
        <f t="shared" si="48"/>
        <v>1</v>
      </c>
      <c r="S676" s="61" t="str">
        <f t="shared" si="49"/>
        <v/>
      </c>
      <c r="T676" s="61">
        <f t="shared" si="44"/>
        <v>2</v>
      </c>
      <c r="U676" s="61">
        <f t="shared" si="47"/>
        <v>1</v>
      </c>
      <c r="V676" s="61" t="s">
        <v>150</v>
      </c>
      <c r="W676" s="61" t="s">
        <v>3527</v>
      </c>
      <c r="X676" s="61" t="s">
        <v>3528</v>
      </c>
      <c r="Y676" s="61">
        <v>14.8224</v>
      </c>
      <c r="Z676" s="61">
        <v>120.8719</v>
      </c>
      <c r="AA676" s="61" t="s">
        <v>8170</v>
      </c>
      <c r="AB676" s="61"/>
    </row>
    <row r="677" spans="1:28" s="2" customFormat="1" ht="15">
      <c r="A677" s="61" t="s">
        <v>776</v>
      </c>
      <c r="B677" s="61" t="s">
        <v>1063</v>
      </c>
      <c r="C677" s="61" t="s">
        <v>1064</v>
      </c>
      <c r="D677" s="61" t="s">
        <v>7838</v>
      </c>
      <c r="E677" s="61">
        <v>5283</v>
      </c>
      <c r="F677" s="61">
        <v>6522</v>
      </c>
      <c r="G677" s="61">
        <v>2025</v>
      </c>
      <c r="H677" s="61" t="s">
        <v>3416</v>
      </c>
      <c r="I677" s="61" t="s">
        <v>200</v>
      </c>
      <c r="J677" s="61" t="s">
        <v>328</v>
      </c>
      <c r="K677" s="61" t="s">
        <v>1982</v>
      </c>
      <c r="L677" s="61" t="s">
        <v>8224</v>
      </c>
      <c r="M677" s="475">
        <v>45730</v>
      </c>
      <c r="N677" s="475">
        <v>45732</v>
      </c>
      <c r="O677" s="475">
        <v>45733</v>
      </c>
      <c r="P677" s="475">
        <v>45733</v>
      </c>
      <c r="Q677" s="475">
        <v>45735</v>
      </c>
      <c r="R677" s="61">
        <f t="shared" si="48"/>
        <v>1</v>
      </c>
      <c r="S677" s="61">
        <f t="shared" si="49"/>
        <v>1</v>
      </c>
      <c r="T677" s="61">
        <f t="shared" ref="T677:T740" si="50">IF(
  OR(A677 = "Nueva_Ecija", A677 = "Zambales"),
  IF(
    OR(ISBLANK(O677), ISBLANK(P677)),
    "",
    MAX(1, IF(
      NETWORKDAYS(O677, P677) &lt;= 0,
      1,
      NETWORKDAYS(O677, P677) - IF(O677 = P677, 0, 1)
    ))
  ),
  IF(
    OR(ISBLANK(N677), ISBLANK(P677)),
    "",
    MAX(1, IF(
      NETWORKDAYS(N677, P677) &lt;= 0,
      1,
      NETWORKDAYS(N677, P677) - IF(N677 = P677, 0, 1)
    ))
  )
)</f>
        <v>1</v>
      </c>
      <c r="U677" s="61">
        <f t="shared" si="47"/>
        <v>2</v>
      </c>
      <c r="V677" s="61" t="s">
        <v>150</v>
      </c>
      <c r="W677" s="61" t="s">
        <v>4</v>
      </c>
      <c r="X677" s="61" t="s">
        <v>50</v>
      </c>
      <c r="Y677" s="61">
        <v>14.853281000000001</v>
      </c>
      <c r="Z677" s="61">
        <v>120.764836</v>
      </c>
      <c r="AA677" s="61" t="s">
        <v>463</v>
      </c>
      <c r="AB677" s="61"/>
    </row>
    <row r="678" spans="1:28" s="2" customFormat="1" ht="15">
      <c r="A678" s="61" t="s">
        <v>776</v>
      </c>
      <c r="B678" s="61" t="s">
        <v>1063</v>
      </c>
      <c r="C678" s="61" t="s">
        <v>4248</v>
      </c>
      <c r="D678" s="61" t="s">
        <v>7838</v>
      </c>
      <c r="E678" s="61">
        <v>1708</v>
      </c>
      <c r="F678" s="61">
        <v>1808</v>
      </c>
      <c r="G678" s="61">
        <v>2025</v>
      </c>
      <c r="H678" s="61" t="s">
        <v>3416</v>
      </c>
      <c r="I678" s="61" t="s">
        <v>200</v>
      </c>
      <c r="J678" s="61" t="s">
        <v>328</v>
      </c>
      <c r="K678" s="61" t="s">
        <v>1982</v>
      </c>
      <c r="L678" s="61" t="s">
        <v>8225</v>
      </c>
      <c r="M678" s="475">
        <v>45730</v>
      </c>
      <c r="N678" s="475">
        <v>45732</v>
      </c>
      <c r="O678" s="475">
        <v>45733</v>
      </c>
      <c r="P678" s="475">
        <v>45733</v>
      </c>
      <c r="Q678" s="475">
        <v>45734</v>
      </c>
      <c r="R678" s="61">
        <f t="shared" si="48"/>
        <v>1</v>
      </c>
      <c r="S678" s="61">
        <f t="shared" si="49"/>
        <v>1</v>
      </c>
      <c r="T678" s="61">
        <f t="shared" si="50"/>
        <v>1</v>
      </c>
      <c r="U678" s="61">
        <f t="shared" si="47"/>
        <v>1</v>
      </c>
      <c r="V678" s="61" t="s">
        <v>150</v>
      </c>
      <c r="W678" s="61" t="s">
        <v>4</v>
      </c>
      <c r="X678" s="61" t="s">
        <v>50</v>
      </c>
      <c r="Y678" s="61">
        <v>14.861682999999999</v>
      </c>
      <c r="Z678" s="61">
        <v>120.760318</v>
      </c>
      <c r="AA678" s="61" t="s">
        <v>463</v>
      </c>
      <c r="AB678" s="61"/>
    </row>
    <row r="679" spans="1:28" s="2" customFormat="1" ht="15">
      <c r="A679" s="61" t="s">
        <v>776</v>
      </c>
      <c r="B679" s="61" t="s">
        <v>1063</v>
      </c>
      <c r="C679" s="61" t="s">
        <v>1539</v>
      </c>
      <c r="D679" s="61" t="s">
        <v>7838</v>
      </c>
      <c r="E679" s="61">
        <v>5321</v>
      </c>
      <c r="F679" s="61">
        <v>6466</v>
      </c>
      <c r="G679" s="61">
        <v>2025</v>
      </c>
      <c r="H679" s="61" t="s">
        <v>3532</v>
      </c>
      <c r="I679" s="61" t="s">
        <v>200</v>
      </c>
      <c r="J679" s="61"/>
      <c r="K679" s="61" t="s">
        <v>1982</v>
      </c>
      <c r="L679" s="61" t="s">
        <v>8226</v>
      </c>
      <c r="M679" s="475">
        <v>45790</v>
      </c>
      <c r="N679" s="475">
        <v>45796</v>
      </c>
      <c r="O679" s="61"/>
      <c r="P679" s="475">
        <v>45797</v>
      </c>
      <c r="Q679" s="475">
        <v>45797</v>
      </c>
      <c r="R679" s="61">
        <f t="shared" si="48"/>
        <v>4</v>
      </c>
      <c r="S679" s="61" t="str">
        <f t="shared" si="49"/>
        <v/>
      </c>
      <c r="T679" s="61">
        <f t="shared" si="50"/>
        <v>1</v>
      </c>
      <c r="U679" s="61">
        <f t="shared" si="47"/>
        <v>1</v>
      </c>
      <c r="V679" s="61" t="s">
        <v>150</v>
      </c>
      <c r="W679" s="61" t="s">
        <v>4</v>
      </c>
      <c r="X679" s="61" t="s">
        <v>50</v>
      </c>
      <c r="Y679" s="61">
        <v>14.868</v>
      </c>
      <c r="Z679" s="61">
        <v>120.76819999999999</v>
      </c>
      <c r="AA679" s="61" t="s">
        <v>463</v>
      </c>
      <c r="AB679" s="61"/>
    </row>
    <row r="680" spans="1:28" s="2" customFormat="1" ht="15">
      <c r="A680" s="61" t="s">
        <v>776</v>
      </c>
      <c r="B680" s="61" t="s">
        <v>1063</v>
      </c>
      <c r="C680" s="61" t="s">
        <v>4249</v>
      </c>
      <c r="D680" s="61" t="s">
        <v>7838</v>
      </c>
      <c r="E680" s="61">
        <v>2564</v>
      </c>
      <c r="F680" s="61">
        <v>2791</v>
      </c>
      <c r="G680" s="61">
        <v>2025</v>
      </c>
      <c r="H680" s="61" t="s">
        <v>3125</v>
      </c>
      <c r="I680" s="61" t="s">
        <v>200</v>
      </c>
      <c r="J680" s="61"/>
      <c r="K680" s="61" t="s">
        <v>1982</v>
      </c>
      <c r="L680" s="61" t="s">
        <v>8227</v>
      </c>
      <c r="M680" s="475">
        <v>45854</v>
      </c>
      <c r="N680" s="475">
        <v>45856</v>
      </c>
      <c r="O680" s="475"/>
      <c r="P680" s="475">
        <v>45859</v>
      </c>
      <c r="Q680" s="475">
        <v>45859</v>
      </c>
      <c r="R680" s="61">
        <f t="shared" si="48"/>
        <v>2</v>
      </c>
      <c r="S680" s="61" t="str">
        <f t="shared" si="49"/>
        <v/>
      </c>
      <c r="T680" s="61">
        <f t="shared" si="50"/>
        <v>1</v>
      </c>
      <c r="U680" s="61">
        <f t="shared" si="47"/>
        <v>1</v>
      </c>
      <c r="V680" s="61" t="s">
        <v>150</v>
      </c>
      <c r="W680" s="61" t="s">
        <v>4</v>
      </c>
      <c r="X680" s="61" t="s">
        <v>50</v>
      </c>
      <c r="Y680" s="61">
        <v>14.871600000000001</v>
      </c>
      <c r="Z680" s="61">
        <v>120.7704</v>
      </c>
      <c r="AA680" s="61"/>
      <c r="AB680" s="61"/>
    </row>
    <row r="681" spans="1:28" s="2" customFormat="1" ht="15">
      <c r="A681" s="61" t="s">
        <v>776</v>
      </c>
      <c r="B681" s="61" t="s">
        <v>1063</v>
      </c>
      <c r="C681" s="61" t="s">
        <v>4250</v>
      </c>
      <c r="D681" s="61" t="s">
        <v>7838</v>
      </c>
      <c r="E681" s="61">
        <v>7114</v>
      </c>
      <c r="F681" s="61">
        <v>7286</v>
      </c>
      <c r="G681" s="61">
        <v>2025</v>
      </c>
      <c r="H681" s="61" t="s">
        <v>3125</v>
      </c>
      <c r="I681" s="61" t="s">
        <v>200</v>
      </c>
      <c r="J681" s="61"/>
      <c r="K681" s="61" t="s">
        <v>1982</v>
      </c>
      <c r="L681" s="61" t="s">
        <v>8228</v>
      </c>
      <c r="M681" s="475">
        <v>45854</v>
      </c>
      <c r="N681" s="475">
        <v>45856</v>
      </c>
      <c r="O681" s="475"/>
      <c r="P681" s="475">
        <v>45859</v>
      </c>
      <c r="Q681" s="475">
        <v>45859</v>
      </c>
      <c r="R681" s="61">
        <f t="shared" si="48"/>
        <v>2</v>
      </c>
      <c r="S681" s="61" t="str">
        <f t="shared" si="49"/>
        <v/>
      </c>
      <c r="T681" s="61">
        <f t="shared" si="50"/>
        <v>1</v>
      </c>
      <c r="U681" s="61">
        <f t="shared" si="47"/>
        <v>1</v>
      </c>
      <c r="V681" s="61" t="s">
        <v>150</v>
      </c>
      <c r="W681" s="61" t="s">
        <v>4</v>
      </c>
      <c r="X681" s="61" t="s">
        <v>50</v>
      </c>
      <c r="Y681" s="61">
        <v>14.8431</v>
      </c>
      <c r="Z681" s="61">
        <v>120.816</v>
      </c>
      <c r="AA681" s="61"/>
      <c r="AB681" s="61"/>
    </row>
    <row r="682" spans="1:28" s="2" customFormat="1" ht="15">
      <c r="A682" s="61" t="s">
        <v>776</v>
      </c>
      <c r="B682" s="61" t="s">
        <v>1063</v>
      </c>
      <c r="C682" s="61" t="s">
        <v>4252</v>
      </c>
      <c r="D682" s="61" t="s">
        <v>7838</v>
      </c>
      <c r="E682" s="61">
        <v>2364</v>
      </c>
      <c r="F682" s="61">
        <v>2342</v>
      </c>
      <c r="G682" s="61">
        <v>2025</v>
      </c>
      <c r="H682" s="61" t="s">
        <v>3125</v>
      </c>
      <c r="I682" s="61" t="s">
        <v>200</v>
      </c>
      <c r="J682" s="61"/>
      <c r="K682" s="61" t="s">
        <v>1982</v>
      </c>
      <c r="L682" s="61" t="s">
        <v>8229</v>
      </c>
      <c r="M682" s="475">
        <v>45854</v>
      </c>
      <c r="N682" s="475">
        <v>45856</v>
      </c>
      <c r="O682" s="475"/>
      <c r="P682" s="475">
        <v>45859</v>
      </c>
      <c r="Q682" s="475">
        <v>45859</v>
      </c>
      <c r="R682" s="61">
        <f t="shared" si="48"/>
        <v>2</v>
      </c>
      <c r="S682" s="61" t="str">
        <f t="shared" si="49"/>
        <v/>
      </c>
      <c r="T682" s="61">
        <f t="shared" si="50"/>
        <v>1</v>
      </c>
      <c r="U682" s="61">
        <f t="shared" si="47"/>
        <v>1</v>
      </c>
      <c r="V682" s="61" t="s">
        <v>150</v>
      </c>
      <c r="W682" s="61" t="s">
        <v>4</v>
      </c>
      <c r="X682" s="61" t="s">
        <v>50</v>
      </c>
      <c r="Y682" s="61">
        <v>14.864000000000001</v>
      </c>
      <c r="Z682" s="61">
        <v>120.75700000000001</v>
      </c>
      <c r="AA682" s="61"/>
      <c r="AB682" s="61"/>
    </row>
    <row r="683" spans="1:28" s="2" customFormat="1" ht="15">
      <c r="A683" s="61" t="s">
        <v>776</v>
      </c>
      <c r="B683" s="61" t="s">
        <v>1063</v>
      </c>
      <c r="C683" s="61" t="s">
        <v>4130</v>
      </c>
      <c r="D683" s="61" t="s">
        <v>7838</v>
      </c>
      <c r="E683" s="61">
        <v>4415</v>
      </c>
      <c r="F683" s="61">
        <v>4554</v>
      </c>
      <c r="G683" s="61">
        <v>2025</v>
      </c>
      <c r="H683" s="61" t="s">
        <v>3125</v>
      </c>
      <c r="I683" s="61" t="s">
        <v>200</v>
      </c>
      <c r="J683" s="61"/>
      <c r="K683" s="61" t="s">
        <v>1982</v>
      </c>
      <c r="L683" s="61" t="s">
        <v>8230</v>
      </c>
      <c r="M683" s="475">
        <v>45854</v>
      </c>
      <c r="N683" s="475">
        <v>45856</v>
      </c>
      <c r="O683" s="475"/>
      <c r="P683" s="475">
        <v>45859</v>
      </c>
      <c r="Q683" s="475">
        <v>45859</v>
      </c>
      <c r="R683" s="61">
        <f t="shared" si="48"/>
        <v>2</v>
      </c>
      <c r="S683" s="61" t="str">
        <f t="shared" si="49"/>
        <v/>
      </c>
      <c r="T683" s="61">
        <f t="shared" si="50"/>
        <v>1</v>
      </c>
      <c r="U683" s="61">
        <f t="shared" si="47"/>
        <v>1</v>
      </c>
      <c r="V683" s="61" t="s">
        <v>150</v>
      </c>
      <c r="W683" s="61" t="s">
        <v>4</v>
      </c>
      <c r="X683" s="61" t="s">
        <v>50</v>
      </c>
      <c r="Y683" s="61" t="s">
        <v>8231</v>
      </c>
      <c r="Z683" s="61" t="s">
        <v>8232</v>
      </c>
      <c r="AA683" s="61"/>
      <c r="AB683" s="61"/>
    </row>
    <row r="684" spans="1:28" s="2" customFormat="1" ht="15">
      <c r="A684" s="61" t="s">
        <v>776</v>
      </c>
      <c r="B684" s="61" t="s">
        <v>1063</v>
      </c>
      <c r="C684" s="61" t="s">
        <v>4255</v>
      </c>
      <c r="D684" s="61" t="s">
        <v>7838</v>
      </c>
      <c r="E684" s="61">
        <v>6569</v>
      </c>
      <c r="F684" s="61">
        <v>6494</v>
      </c>
      <c r="G684" s="61">
        <v>2025</v>
      </c>
      <c r="H684" s="61" t="s">
        <v>3416</v>
      </c>
      <c r="I684" s="61" t="s">
        <v>200</v>
      </c>
      <c r="J684" s="61" t="s">
        <v>328</v>
      </c>
      <c r="K684" s="61" t="s">
        <v>1982</v>
      </c>
      <c r="L684" s="61" t="s">
        <v>8233</v>
      </c>
      <c r="M684" s="475">
        <v>45729</v>
      </c>
      <c r="N684" s="475">
        <v>45732</v>
      </c>
      <c r="O684" s="475">
        <v>45733</v>
      </c>
      <c r="P684" s="475">
        <v>45733</v>
      </c>
      <c r="Q684" s="475">
        <v>45734</v>
      </c>
      <c r="R684" s="61">
        <f t="shared" si="48"/>
        <v>1</v>
      </c>
      <c r="S684" s="61">
        <f t="shared" si="49"/>
        <v>1</v>
      </c>
      <c r="T684" s="61">
        <f t="shared" si="50"/>
        <v>1</v>
      </c>
      <c r="U684" s="61">
        <f t="shared" si="47"/>
        <v>1</v>
      </c>
      <c r="V684" s="61" t="s">
        <v>150</v>
      </c>
      <c r="W684" s="61" t="s">
        <v>1078</v>
      </c>
      <c r="X684" s="61" t="s">
        <v>50</v>
      </c>
      <c r="Y684" s="61">
        <v>14.816571</v>
      </c>
      <c r="Z684" s="61">
        <v>120.737368</v>
      </c>
      <c r="AA684" s="61" t="s">
        <v>463</v>
      </c>
      <c r="AB684" s="61"/>
    </row>
    <row r="685" spans="1:28" s="2" customFormat="1" ht="15">
      <c r="A685" s="61" t="s">
        <v>776</v>
      </c>
      <c r="B685" s="61" t="s">
        <v>1063</v>
      </c>
      <c r="C685" s="61" t="s">
        <v>4126</v>
      </c>
      <c r="D685" s="61" t="s">
        <v>7838</v>
      </c>
      <c r="E685" s="61">
        <v>10336</v>
      </c>
      <c r="F685" s="61">
        <v>10387</v>
      </c>
      <c r="G685" s="61">
        <v>2025</v>
      </c>
      <c r="H685" s="61" t="s">
        <v>3416</v>
      </c>
      <c r="I685" s="61" t="s">
        <v>200</v>
      </c>
      <c r="J685" s="61" t="s">
        <v>328</v>
      </c>
      <c r="K685" s="61" t="s">
        <v>1982</v>
      </c>
      <c r="L685" s="61" t="s">
        <v>8234</v>
      </c>
      <c r="M685" s="475">
        <v>45729</v>
      </c>
      <c r="N685" s="475">
        <v>45732</v>
      </c>
      <c r="O685" s="475">
        <v>45733</v>
      </c>
      <c r="P685" s="475">
        <v>45733</v>
      </c>
      <c r="Q685" s="475">
        <v>45735</v>
      </c>
      <c r="R685" s="61">
        <f t="shared" si="48"/>
        <v>1</v>
      </c>
      <c r="S685" s="61">
        <f t="shared" si="49"/>
        <v>1</v>
      </c>
      <c r="T685" s="61">
        <f t="shared" si="50"/>
        <v>1</v>
      </c>
      <c r="U685" s="61">
        <f t="shared" si="47"/>
        <v>2</v>
      </c>
      <c r="V685" s="61" t="s">
        <v>150</v>
      </c>
      <c r="W685" s="61" t="s">
        <v>1078</v>
      </c>
      <c r="X685" s="61" t="s">
        <v>50</v>
      </c>
      <c r="Y685" s="61">
        <v>14.838723</v>
      </c>
      <c r="Z685" s="61">
        <v>120.74691</v>
      </c>
      <c r="AA685" s="61" t="s">
        <v>463</v>
      </c>
      <c r="AB685" s="61"/>
    </row>
    <row r="686" spans="1:28" s="2" customFormat="1" ht="15">
      <c r="A686" s="61" t="s">
        <v>776</v>
      </c>
      <c r="B686" s="61" t="s">
        <v>1063</v>
      </c>
      <c r="C686" s="61" t="s">
        <v>1253</v>
      </c>
      <c r="D686" s="61" t="s">
        <v>7838</v>
      </c>
      <c r="E686" s="61">
        <v>5042</v>
      </c>
      <c r="F686" s="61">
        <v>5698</v>
      </c>
      <c r="G686" s="61">
        <v>2025</v>
      </c>
      <c r="H686" s="61" t="s">
        <v>3532</v>
      </c>
      <c r="I686" s="61" t="s">
        <v>200</v>
      </c>
      <c r="J686" s="61"/>
      <c r="K686" s="61" t="s">
        <v>1982</v>
      </c>
      <c r="L686" s="61" t="s">
        <v>8235</v>
      </c>
      <c r="M686" s="475">
        <v>45790</v>
      </c>
      <c r="N686" s="475">
        <v>45796</v>
      </c>
      <c r="O686" s="61"/>
      <c r="P686" s="475">
        <v>45797</v>
      </c>
      <c r="Q686" s="475">
        <v>45797</v>
      </c>
      <c r="R686" s="61">
        <f t="shared" si="48"/>
        <v>4</v>
      </c>
      <c r="S686" s="61" t="str">
        <f t="shared" si="49"/>
        <v/>
      </c>
      <c r="T686" s="61">
        <f t="shared" si="50"/>
        <v>1</v>
      </c>
      <c r="U686" s="61">
        <f t="shared" si="47"/>
        <v>1</v>
      </c>
      <c r="V686" s="61" t="s">
        <v>150</v>
      </c>
      <c r="W686" s="61" t="s">
        <v>3527</v>
      </c>
      <c r="X686" s="61" t="s">
        <v>3528</v>
      </c>
      <c r="Y686" s="61">
        <v>14.839499999999999</v>
      </c>
      <c r="Z686" s="61">
        <v>120.76</v>
      </c>
      <c r="AA686" s="61" t="s">
        <v>463</v>
      </c>
      <c r="AB686" s="61"/>
    </row>
    <row r="687" spans="1:28" s="2" customFormat="1" ht="15">
      <c r="A687" s="61" t="s">
        <v>776</v>
      </c>
      <c r="B687" s="61" t="s">
        <v>1063</v>
      </c>
      <c r="C687" s="61" t="s">
        <v>4254</v>
      </c>
      <c r="D687" s="61" t="s">
        <v>7838</v>
      </c>
      <c r="E687" s="61">
        <v>1907</v>
      </c>
      <c r="F687" s="61">
        <v>1636</v>
      </c>
      <c r="G687" s="61"/>
      <c r="H687" s="61"/>
      <c r="I687" s="61"/>
      <c r="J687" s="61"/>
      <c r="K687" s="61" t="s">
        <v>1982</v>
      </c>
      <c r="L687" s="61"/>
      <c r="M687" s="61"/>
      <c r="N687" s="61"/>
      <c r="O687" s="61"/>
      <c r="P687" s="61"/>
      <c r="Q687" s="61"/>
      <c r="R687" s="61" t="str">
        <f t="shared" si="48"/>
        <v/>
      </c>
      <c r="S687" s="61" t="str">
        <f t="shared" si="49"/>
        <v/>
      </c>
      <c r="T687" s="61" t="str">
        <f t="shared" si="50"/>
        <v/>
      </c>
      <c r="U687" s="61" t="str">
        <f t="shared" si="47"/>
        <v/>
      </c>
      <c r="V687" s="61"/>
      <c r="W687" s="61"/>
      <c r="X687" s="61"/>
      <c r="Y687" s="61"/>
      <c r="Z687" s="61"/>
      <c r="AA687" s="61"/>
      <c r="AB687" s="61"/>
    </row>
    <row r="688" spans="1:28" s="2" customFormat="1" ht="15">
      <c r="A688" s="61" t="s">
        <v>776</v>
      </c>
      <c r="B688" s="61" t="s">
        <v>1063</v>
      </c>
      <c r="C688" s="61" t="s">
        <v>1180</v>
      </c>
      <c r="D688" s="61" t="s">
        <v>7838</v>
      </c>
      <c r="E688" s="61">
        <v>8102</v>
      </c>
      <c r="F688" s="61">
        <v>8489</v>
      </c>
      <c r="G688" s="61"/>
      <c r="H688" s="61"/>
      <c r="I688" s="61"/>
      <c r="J688" s="61"/>
      <c r="K688" s="61" t="s">
        <v>1982</v>
      </c>
      <c r="L688" s="61"/>
      <c r="M688" s="61"/>
      <c r="N688" s="61"/>
      <c r="O688" s="61"/>
      <c r="P688" s="61"/>
      <c r="Q688" s="61"/>
      <c r="R688" s="61" t="str">
        <f t="shared" si="48"/>
        <v/>
      </c>
      <c r="S688" s="61" t="str">
        <f t="shared" si="49"/>
        <v/>
      </c>
      <c r="T688" s="61" t="str">
        <f t="shared" si="50"/>
        <v/>
      </c>
      <c r="U688" s="61" t="str">
        <f t="shared" si="47"/>
        <v/>
      </c>
      <c r="V688" s="61"/>
      <c r="W688" s="61"/>
      <c r="X688" s="61"/>
      <c r="Y688" s="61"/>
      <c r="Z688" s="61"/>
      <c r="AA688" s="61"/>
      <c r="AB688" s="61"/>
    </row>
    <row r="689" spans="1:28" s="2" customFormat="1" ht="15">
      <c r="A689" s="61" t="s">
        <v>776</v>
      </c>
      <c r="B689" s="61" t="s">
        <v>1063</v>
      </c>
      <c r="C689" s="61" t="s">
        <v>858</v>
      </c>
      <c r="D689" s="61" t="s">
        <v>7838</v>
      </c>
      <c r="E689" s="61">
        <v>4646</v>
      </c>
      <c r="F689" s="61">
        <v>4275</v>
      </c>
      <c r="G689" s="61"/>
      <c r="H689" s="61"/>
      <c r="I689" s="61"/>
      <c r="J689" s="61"/>
      <c r="K689" s="61" t="s">
        <v>1982</v>
      </c>
      <c r="L689" s="61"/>
      <c r="M689" s="61"/>
      <c r="N689" s="61"/>
      <c r="O689" s="61"/>
      <c r="P689" s="61"/>
      <c r="Q689" s="61"/>
      <c r="R689" s="61" t="str">
        <f t="shared" si="48"/>
        <v/>
      </c>
      <c r="S689" s="61" t="str">
        <f t="shared" si="49"/>
        <v/>
      </c>
      <c r="T689" s="61" t="str">
        <f t="shared" si="50"/>
        <v/>
      </c>
      <c r="U689" s="61" t="str">
        <f t="shared" si="47"/>
        <v/>
      </c>
      <c r="V689" s="61"/>
      <c r="W689" s="61"/>
      <c r="X689" s="61"/>
      <c r="Y689" s="61"/>
      <c r="Z689" s="61"/>
      <c r="AA689" s="61"/>
      <c r="AB689" s="61"/>
    </row>
    <row r="690" spans="1:28" s="2" customFormat="1" ht="15">
      <c r="A690" s="61" t="s">
        <v>776</v>
      </c>
      <c r="B690" s="61" t="s">
        <v>1063</v>
      </c>
      <c r="C690" s="61" t="s">
        <v>918</v>
      </c>
      <c r="D690" s="61" t="s">
        <v>7838</v>
      </c>
      <c r="E690" s="61">
        <v>3542</v>
      </c>
      <c r="F690" s="61">
        <v>3700</v>
      </c>
      <c r="G690" s="61"/>
      <c r="H690" s="61"/>
      <c r="I690" s="61"/>
      <c r="J690" s="61"/>
      <c r="K690" s="61" t="s">
        <v>1982</v>
      </c>
      <c r="L690" s="61"/>
      <c r="M690" s="61"/>
      <c r="N690" s="61"/>
      <c r="O690" s="61"/>
      <c r="P690" s="61"/>
      <c r="Q690" s="61"/>
      <c r="R690" s="61" t="str">
        <f t="shared" si="48"/>
        <v/>
      </c>
      <c r="S690" s="61" t="str">
        <f t="shared" si="49"/>
        <v/>
      </c>
      <c r="T690" s="61" t="str">
        <f t="shared" si="50"/>
        <v/>
      </c>
      <c r="U690" s="61" t="str">
        <f t="shared" si="47"/>
        <v/>
      </c>
      <c r="V690" s="61"/>
      <c r="W690" s="61"/>
      <c r="X690" s="61"/>
      <c r="Y690" s="61"/>
      <c r="Z690" s="61"/>
      <c r="AA690" s="61"/>
      <c r="AB690" s="61"/>
    </row>
    <row r="691" spans="1:28" s="2" customFormat="1" ht="15">
      <c r="A691" s="61" t="s">
        <v>776</v>
      </c>
      <c r="B691" s="61" t="s">
        <v>1063</v>
      </c>
      <c r="C691" s="61" t="s">
        <v>1151</v>
      </c>
      <c r="D691" s="61" t="s">
        <v>7838</v>
      </c>
      <c r="E691" s="61">
        <v>5888</v>
      </c>
      <c r="F691" s="61">
        <v>6167</v>
      </c>
      <c r="G691" s="61"/>
      <c r="H691" s="61"/>
      <c r="I691" s="61"/>
      <c r="J691" s="61"/>
      <c r="K691" s="61" t="s">
        <v>1982</v>
      </c>
      <c r="L691" s="61"/>
      <c r="M691" s="61"/>
      <c r="N691" s="61"/>
      <c r="O691" s="61"/>
      <c r="P691" s="61"/>
      <c r="Q691" s="61"/>
      <c r="R691" s="61" t="str">
        <f t="shared" si="48"/>
        <v/>
      </c>
      <c r="S691" s="61" t="str">
        <f t="shared" si="49"/>
        <v/>
      </c>
      <c r="T691" s="61" t="str">
        <f t="shared" si="50"/>
        <v/>
      </c>
      <c r="U691" s="61" t="str">
        <f t="shared" si="47"/>
        <v/>
      </c>
      <c r="V691" s="61"/>
      <c r="W691" s="61"/>
      <c r="X691" s="61"/>
      <c r="Y691" s="61"/>
      <c r="Z691" s="61"/>
      <c r="AA691" s="61"/>
      <c r="AB691" s="61"/>
    </row>
    <row r="692" spans="1:28" s="2" customFormat="1" ht="15">
      <c r="A692" s="61" t="s">
        <v>776</v>
      </c>
      <c r="B692" s="61" t="s">
        <v>1063</v>
      </c>
      <c r="C692" s="61" t="s">
        <v>1439</v>
      </c>
      <c r="D692" s="61" t="s">
        <v>7838</v>
      </c>
      <c r="E692" s="61">
        <v>5113</v>
      </c>
      <c r="F692" s="61">
        <v>4642</v>
      </c>
      <c r="G692" s="61"/>
      <c r="H692" s="61"/>
      <c r="I692" s="61"/>
      <c r="J692" s="61"/>
      <c r="K692" s="61" t="s">
        <v>1982</v>
      </c>
      <c r="L692" s="61"/>
      <c r="M692" s="61"/>
      <c r="N692" s="61"/>
      <c r="O692" s="61"/>
      <c r="P692" s="61"/>
      <c r="Q692" s="61"/>
      <c r="R692" s="61" t="str">
        <f t="shared" si="48"/>
        <v/>
      </c>
      <c r="S692" s="61" t="str">
        <f t="shared" si="49"/>
        <v/>
      </c>
      <c r="T692" s="61" t="str">
        <f t="shared" si="50"/>
        <v/>
      </c>
      <c r="U692" s="61" t="str">
        <f t="shared" si="47"/>
        <v/>
      </c>
      <c r="V692" s="61"/>
      <c r="W692" s="61"/>
      <c r="X692" s="61"/>
      <c r="Y692" s="61"/>
      <c r="Z692" s="61"/>
      <c r="AA692" s="61"/>
      <c r="AB692" s="61"/>
    </row>
    <row r="693" spans="1:28" s="2" customFormat="1" ht="15">
      <c r="A693" s="61" t="s">
        <v>776</v>
      </c>
      <c r="B693" s="61" t="s">
        <v>1063</v>
      </c>
      <c r="C693" s="61" t="s">
        <v>3723</v>
      </c>
      <c r="D693" s="61" t="s">
        <v>7838</v>
      </c>
      <c r="E693" s="61">
        <v>3346</v>
      </c>
      <c r="F693" s="61">
        <v>3470</v>
      </c>
      <c r="G693" s="61"/>
      <c r="H693" s="61"/>
      <c r="I693" s="61"/>
      <c r="J693" s="61"/>
      <c r="K693" s="61" t="s">
        <v>1982</v>
      </c>
      <c r="L693" s="61"/>
      <c r="M693" s="61"/>
      <c r="N693" s="61"/>
      <c r="O693" s="61"/>
      <c r="P693" s="61"/>
      <c r="Q693" s="61"/>
      <c r="R693" s="61" t="str">
        <f t="shared" si="48"/>
        <v/>
      </c>
      <c r="S693" s="61" t="str">
        <f t="shared" si="49"/>
        <v/>
      </c>
      <c r="T693" s="61" t="str">
        <f t="shared" si="50"/>
        <v/>
      </c>
      <c r="U693" s="61" t="str">
        <f t="shared" si="47"/>
        <v/>
      </c>
      <c r="V693" s="61"/>
      <c r="W693" s="61"/>
      <c r="X693" s="61"/>
      <c r="Y693" s="61"/>
      <c r="Z693" s="61"/>
      <c r="AA693" s="61"/>
      <c r="AB693" s="61"/>
    </row>
    <row r="694" spans="1:28" s="2" customFormat="1" ht="15">
      <c r="A694" s="61" t="s">
        <v>776</v>
      </c>
      <c r="B694" s="61" t="s">
        <v>1063</v>
      </c>
      <c r="C694" s="61" t="s">
        <v>1234</v>
      </c>
      <c r="D694" s="61" t="s">
        <v>7838</v>
      </c>
      <c r="E694" s="61">
        <v>5957</v>
      </c>
      <c r="F694" s="61">
        <v>5754</v>
      </c>
      <c r="G694" s="61"/>
      <c r="H694" s="61"/>
      <c r="I694" s="61"/>
      <c r="J694" s="61"/>
      <c r="K694" s="61" t="s">
        <v>1982</v>
      </c>
      <c r="L694" s="61"/>
      <c r="M694" s="61"/>
      <c r="N694" s="61"/>
      <c r="O694" s="61"/>
      <c r="P694" s="61"/>
      <c r="Q694" s="61"/>
      <c r="R694" s="61" t="str">
        <f t="shared" si="48"/>
        <v/>
      </c>
      <c r="S694" s="61" t="str">
        <f t="shared" si="49"/>
        <v/>
      </c>
      <c r="T694" s="61" t="str">
        <f t="shared" si="50"/>
        <v/>
      </c>
      <c r="U694" s="61" t="str">
        <f t="shared" si="47"/>
        <v/>
      </c>
      <c r="V694" s="61"/>
      <c r="W694" s="61"/>
      <c r="X694" s="61"/>
      <c r="Y694" s="61"/>
      <c r="Z694" s="61"/>
      <c r="AA694" s="61"/>
      <c r="AB694" s="61"/>
    </row>
    <row r="695" spans="1:28" s="2" customFormat="1" ht="15">
      <c r="A695" s="61" t="s">
        <v>776</v>
      </c>
      <c r="B695" s="61" t="s">
        <v>1063</v>
      </c>
      <c r="C695" s="61" t="s">
        <v>3974</v>
      </c>
      <c r="D695" s="61" t="s">
        <v>7838</v>
      </c>
      <c r="E695" s="61">
        <v>4908</v>
      </c>
      <c r="F695" s="61">
        <v>5197</v>
      </c>
      <c r="G695" s="61"/>
      <c r="H695" s="61"/>
      <c r="I695" s="61"/>
      <c r="J695" s="61"/>
      <c r="K695" s="61" t="s">
        <v>1982</v>
      </c>
      <c r="L695" s="61"/>
      <c r="M695" s="61"/>
      <c r="N695" s="61"/>
      <c r="O695" s="61"/>
      <c r="P695" s="61"/>
      <c r="Q695" s="61"/>
      <c r="R695" s="61" t="str">
        <f t="shared" si="48"/>
        <v/>
      </c>
      <c r="S695" s="61" t="str">
        <f t="shared" si="49"/>
        <v/>
      </c>
      <c r="T695" s="61" t="str">
        <f t="shared" si="50"/>
        <v/>
      </c>
      <c r="U695" s="61" t="str">
        <f t="shared" si="47"/>
        <v/>
      </c>
      <c r="V695" s="61"/>
      <c r="W695" s="61"/>
      <c r="X695" s="61"/>
      <c r="Y695" s="61"/>
      <c r="Z695" s="61"/>
      <c r="AA695" s="61"/>
      <c r="AB695" s="61"/>
    </row>
    <row r="696" spans="1:28" s="2" customFormat="1" ht="15">
      <c r="A696" s="61" t="s">
        <v>776</v>
      </c>
      <c r="B696" s="61" t="s">
        <v>1063</v>
      </c>
      <c r="C696" s="61" t="s">
        <v>4258</v>
      </c>
      <c r="D696" s="61" t="s">
        <v>7838</v>
      </c>
      <c r="E696" s="61">
        <v>8193</v>
      </c>
      <c r="F696" s="61">
        <v>7522</v>
      </c>
      <c r="G696" s="61"/>
      <c r="H696" s="61"/>
      <c r="I696" s="61"/>
      <c r="J696" s="61"/>
      <c r="K696" s="61" t="s">
        <v>1982</v>
      </c>
      <c r="L696" s="61"/>
      <c r="M696" s="61"/>
      <c r="N696" s="61"/>
      <c r="O696" s="61"/>
      <c r="P696" s="61"/>
      <c r="Q696" s="61"/>
      <c r="R696" s="61" t="str">
        <f t="shared" si="48"/>
        <v/>
      </c>
      <c r="S696" s="61" t="str">
        <f t="shared" si="49"/>
        <v/>
      </c>
      <c r="T696" s="61" t="str">
        <f t="shared" si="50"/>
        <v/>
      </c>
      <c r="U696" s="61" t="str">
        <f t="shared" si="47"/>
        <v/>
      </c>
      <c r="V696" s="61"/>
      <c r="W696" s="61"/>
      <c r="X696" s="61"/>
      <c r="Y696" s="61"/>
      <c r="Z696" s="61"/>
      <c r="AA696" s="61"/>
      <c r="AB696" s="61"/>
    </row>
    <row r="697" spans="1:28" s="2" customFormat="1" ht="15">
      <c r="A697" s="61" t="s">
        <v>776</v>
      </c>
      <c r="B697" s="61" t="s">
        <v>1063</v>
      </c>
      <c r="C697" s="61" t="s">
        <v>1899</v>
      </c>
      <c r="D697" s="61" t="s">
        <v>7838</v>
      </c>
      <c r="E697" s="61">
        <v>3484</v>
      </c>
      <c r="F697" s="61">
        <v>3223</v>
      </c>
      <c r="G697" s="61"/>
      <c r="H697" s="61"/>
      <c r="I697" s="61"/>
      <c r="J697" s="61"/>
      <c r="K697" s="61" t="s">
        <v>1982</v>
      </c>
      <c r="L697" s="61"/>
      <c r="M697" s="61"/>
      <c r="N697" s="61"/>
      <c r="O697" s="61"/>
      <c r="P697" s="61"/>
      <c r="Q697" s="61"/>
      <c r="R697" s="61" t="str">
        <f t="shared" si="48"/>
        <v/>
      </c>
      <c r="S697" s="61" t="str">
        <f t="shared" si="49"/>
        <v/>
      </c>
      <c r="T697" s="61" t="str">
        <f t="shared" si="50"/>
        <v/>
      </c>
      <c r="U697" s="61" t="str">
        <f t="shared" si="47"/>
        <v/>
      </c>
      <c r="V697" s="61"/>
      <c r="W697" s="61"/>
      <c r="X697" s="61"/>
      <c r="Y697" s="61"/>
      <c r="Z697" s="61"/>
      <c r="AA697" s="61"/>
      <c r="AB697" s="61"/>
    </row>
    <row r="698" spans="1:28" s="2" customFormat="1" ht="15">
      <c r="A698" s="61" t="s">
        <v>776</v>
      </c>
      <c r="B698" s="61" t="s">
        <v>1063</v>
      </c>
      <c r="C698" s="61" t="s">
        <v>3880</v>
      </c>
      <c r="D698" s="61" t="s">
        <v>7838</v>
      </c>
      <c r="E698" s="61">
        <v>4918</v>
      </c>
      <c r="F698" s="61">
        <v>5494</v>
      </c>
      <c r="G698" s="61"/>
      <c r="H698" s="61"/>
      <c r="I698" s="61"/>
      <c r="J698" s="61"/>
      <c r="K698" s="61" t="s">
        <v>1982</v>
      </c>
      <c r="L698" s="61"/>
      <c r="M698" s="61"/>
      <c r="N698" s="61"/>
      <c r="O698" s="61"/>
      <c r="P698" s="61"/>
      <c r="Q698" s="61"/>
      <c r="R698" s="61" t="str">
        <f t="shared" si="48"/>
        <v/>
      </c>
      <c r="S698" s="61" t="str">
        <f t="shared" si="49"/>
        <v/>
      </c>
      <c r="T698" s="61" t="str">
        <f t="shared" si="50"/>
        <v/>
      </c>
      <c r="U698" s="61" t="str">
        <f t="shared" si="47"/>
        <v/>
      </c>
      <c r="V698" s="61"/>
      <c r="W698" s="61"/>
      <c r="X698" s="61"/>
      <c r="Y698" s="61"/>
      <c r="Z698" s="61"/>
      <c r="AA698" s="61"/>
      <c r="AB698" s="61"/>
    </row>
    <row r="699" spans="1:28" s="2" customFormat="1" ht="15">
      <c r="A699" s="61" t="s">
        <v>776</v>
      </c>
      <c r="B699" s="61" t="s">
        <v>1063</v>
      </c>
      <c r="C699" s="61" t="s">
        <v>1424</v>
      </c>
      <c r="D699" s="61" t="s">
        <v>7838</v>
      </c>
      <c r="E699" s="61">
        <v>8317</v>
      </c>
      <c r="F699" s="61">
        <v>8168</v>
      </c>
      <c r="G699" s="61"/>
      <c r="H699" s="61"/>
      <c r="I699" s="61"/>
      <c r="J699" s="61"/>
      <c r="K699" s="61" t="s">
        <v>1982</v>
      </c>
      <c r="L699" s="61"/>
      <c r="M699" s="61"/>
      <c r="N699" s="61"/>
      <c r="O699" s="61"/>
      <c r="P699" s="61"/>
      <c r="Q699" s="61"/>
      <c r="R699" s="61" t="str">
        <f t="shared" si="48"/>
        <v/>
      </c>
      <c r="S699" s="61" t="str">
        <f t="shared" si="49"/>
        <v/>
      </c>
      <c r="T699" s="61" t="str">
        <f t="shared" si="50"/>
        <v/>
      </c>
      <c r="U699" s="61" t="str">
        <f t="shared" si="47"/>
        <v/>
      </c>
      <c r="V699" s="61"/>
      <c r="W699" s="61"/>
      <c r="X699" s="61"/>
      <c r="Y699" s="61"/>
      <c r="Z699" s="61"/>
      <c r="AA699" s="61"/>
      <c r="AB699" s="61"/>
    </row>
    <row r="700" spans="1:28" s="2" customFormat="1" ht="15">
      <c r="A700" s="61" t="s">
        <v>776</v>
      </c>
      <c r="B700" s="61" t="s">
        <v>1063</v>
      </c>
      <c r="C700" s="61" t="s">
        <v>4261</v>
      </c>
      <c r="D700" s="61" t="s">
        <v>7838</v>
      </c>
      <c r="E700" s="61">
        <v>5251</v>
      </c>
      <c r="F700" s="61">
        <v>5052</v>
      </c>
      <c r="G700" s="61"/>
      <c r="H700" s="61"/>
      <c r="I700" s="61"/>
      <c r="J700" s="61"/>
      <c r="K700" s="61" t="s">
        <v>1982</v>
      </c>
      <c r="L700" s="61"/>
      <c r="M700" s="61"/>
      <c r="N700" s="61"/>
      <c r="O700" s="61"/>
      <c r="P700" s="61"/>
      <c r="Q700" s="61"/>
      <c r="R700" s="61" t="str">
        <f t="shared" si="48"/>
        <v/>
      </c>
      <c r="S700" s="61" t="str">
        <f t="shared" si="49"/>
        <v/>
      </c>
      <c r="T700" s="61" t="str">
        <f t="shared" si="50"/>
        <v/>
      </c>
      <c r="U700" s="61" t="str">
        <f t="shared" si="47"/>
        <v/>
      </c>
      <c r="V700" s="61"/>
      <c r="W700" s="61"/>
      <c r="X700" s="61"/>
      <c r="Y700" s="61"/>
      <c r="Z700" s="61"/>
      <c r="AA700" s="61"/>
      <c r="AB700" s="61"/>
    </row>
    <row r="701" spans="1:28" s="2" customFormat="1" ht="15">
      <c r="A701" s="61" t="s">
        <v>776</v>
      </c>
      <c r="B701" s="61" t="s">
        <v>1063</v>
      </c>
      <c r="C701" s="61" t="s">
        <v>4262</v>
      </c>
      <c r="D701" s="61" t="s">
        <v>7838</v>
      </c>
      <c r="E701" s="61">
        <v>2635</v>
      </c>
      <c r="F701" s="61">
        <v>3011</v>
      </c>
      <c r="G701" s="61"/>
      <c r="H701" s="61"/>
      <c r="I701" s="61"/>
      <c r="J701" s="61"/>
      <c r="K701" s="61" t="s">
        <v>1982</v>
      </c>
      <c r="L701" s="61"/>
      <c r="M701" s="61"/>
      <c r="N701" s="61"/>
      <c r="O701" s="61"/>
      <c r="P701" s="61"/>
      <c r="Q701" s="61"/>
      <c r="R701" s="61" t="str">
        <f t="shared" si="48"/>
        <v/>
      </c>
      <c r="S701" s="61" t="str">
        <f t="shared" si="49"/>
        <v/>
      </c>
      <c r="T701" s="61" t="str">
        <f t="shared" si="50"/>
        <v/>
      </c>
      <c r="U701" s="61" t="str">
        <f t="shared" si="47"/>
        <v/>
      </c>
      <c r="V701" s="61"/>
      <c r="W701" s="61"/>
      <c r="X701" s="61"/>
      <c r="Y701" s="61"/>
      <c r="Z701" s="61"/>
      <c r="AA701" s="61"/>
      <c r="AB701" s="61"/>
    </row>
    <row r="702" spans="1:28" s="2" customFormat="1" ht="15">
      <c r="A702" s="61" t="s">
        <v>776</v>
      </c>
      <c r="B702" s="61" t="s">
        <v>1063</v>
      </c>
      <c r="C702" s="61" t="s">
        <v>4263</v>
      </c>
      <c r="D702" s="61" t="s">
        <v>7838</v>
      </c>
      <c r="E702" s="61">
        <v>2884</v>
      </c>
      <c r="F702" s="61">
        <v>3300</v>
      </c>
      <c r="G702" s="61"/>
      <c r="H702" s="61"/>
      <c r="I702" s="61"/>
      <c r="J702" s="61"/>
      <c r="K702" s="61" t="s">
        <v>1982</v>
      </c>
      <c r="L702" s="61"/>
      <c r="M702" s="61"/>
      <c r="N702" s="61"/>
      <c r="O702" s="61"/>
      <c r="P702" s="61"/>
      <c r="Q702" s="61"/>
      <c r="R702" s="61" t="str">
        <f t="shared" si="48"/>
        <v/>
      </c>
      <c r="S702" s="61" t="str">
        <f t="shared" si="49"/>
        <v/>
      </c>
      <c r="T702" s="61" t="str">
        <f t="shared" si="50"/>
        <v/>
      </c>
      <c r="U702" s="61" t="str">
        <f t="shared" si="47"/>
        <v/>
      </c>
      <c r="V702" s="61"/>
      <c r="W702" s="61"/>
      <c r="X702" s="61"/>
      <c r="Y702" s="61"/>
      <c r="Z702" s="61"/>
      <c r="AA702" s="61"/>
      <c r="AB702" s="61"/>
    </row>
    <row r="703" spans="1:28" s="2" customFormat="1" ht="28.5">
      <c r="A703" s="61" t="s">
        <v>776</v>
      </c>
      <c r="B703" s="61" t="s">
        <v>1071</v>
      </c>
      <c r="C703" s="61" t="s">
        <v>4264</v>
      </c>
      <c r="D703" s="61" t="s">
        <v>7838</v>
      </c>
      <c r="E703" s="61">
        <v>9424</v>
      </c>
      <c r="F703" s="61">
        <v>11417</v>
      </c>
      <c r="G703" s="61">
        <v>2025</v>
      </c>
      <c r="H703" s="61" t="s">
        <v>3470</v>
      </c>
      <c r="I703" s="61" t="s">
        <v>508</v>
      </c>
      <c r="J703" s="61"/>
      <c r="K703" s="61" t="s">
        <v>1982</v>
      </c>
      <c r="L703" s="61" t="s">
        <v>8236</v>
      </c>
      <c r="M703" s="475">
        <v>45757</v>
      </c>
      <c r="N703" s="475">
        <v>45762</v>
      </c>
      <c r="O703" s="61"/>
      <c r="P703" s="475">
        <v>45762</v>
      </c>
      <c r="Q703" s="475">
        <v>45768</v>
      </c>
      <c r="R703" s="61">
        <f t="shared" si="48"/>
        <v>3</v>
      </c>
      <c r="S703" s="61" t="str">
        <f t="shared" si="49"/>
        <v/>
      </c>
      <c r="T703" s="61">
        <f t="shared" si="50"/>
        <v>1</v>
      </c>
      <c r="U703" s="61">
        <f t="shared" si="47"/>
        <v>4</v>
      </c>
      <c r="V703" s="61" t="s">
        <v>150</v>
      </c>
      <c r="W703" s="61" t="s">
        <v>1078</v>
      </c>
      <c r="X703" s="61" t="s">
        <v>50</v>
      </c>
      <c r="Y703" s="61" t="s">
        <v>8237</v>
      </c>
      <c r="Z703" s="61" t="s">
        <v>8238</v>
      </c>
      <c r="AA703" s="61" t="s">
        <v>8239</v>
      </c>
      <c r="AB703" s="61"/>
    </row>
    <row r="704" spans="1:28" s="2" customFormat="1" ht="28.5">
      <c r="A704" s="61" t="s">
        <v>776</v>
      </c>
      <c r="B704" s="61" t="s">
        <v>1071</v>
      </c>
      <c r="C704" s="61" t="s">
        <v>4266</v>
      </c>
      <c r="D704" s="61" t="s">
        <v>7838</v>
      </c>
      <c r="E704" s="61">
        <v>9625</v>
      </c>
      <c r="F704" s="61">
        <v>10595</v>
      </c>
      <c r="G704" s="61">
        <v>2025</v>
      </c>
      <c r="H704" s="61" t="s">
        <v>3470</v>
      </c>
      <c r="I704" s="61" t="s">
        <v>508</v>
      </c>
      <c r="J704" s="61"/>
      <c r="K704" s="61" t="s">
        <v>1982</v>
      </c>
      <c r="L704" s="61" t="s">
        <v>8240</v>
      </c>
      <c r="M704" s="475">
        <v>45757</v>
      </c>
      <c r="N704" s="475">
        <v>45762</v>
      </c>
      <c r="O704" s="61"/>
      <c r="P704" s="475">
        <v>45762</v>
      </c>
      <c r="Q704" s="475">
        <v>45768</v>
      </c>
      <c r="R704" s="61">
        <f t="shared" si="48"/>
        <v>3</v>
      </c>
      <c r="S704" s="61" t="str">
        <f t="shared" si="49"/>
        <v/>
      </c>
      <c r="T704" s="61">
        <f t="shared" si="50"/>
        <v>1</v>
      </c>
      <c r="U704" s="61">
        <f t="shared" si="47"/>
        <v>4</v>
      </c>
      <c r="V704" s="61" t="s">
        <v>150</v>
      </c>
      <c r="W704" s="61" t="s">
        <v>1078</v>
      </c>
      <c r="X704" s="61" t="s">
        <v>50</v>
      </c>
      <c r="Y704" s="61" t="s">
        <v>8241</v>
      </c>
      <c r="Z704" s="61" t="s">
        <v>8242</v>
      </c>
      <c r="AA704" s="61" t="s">
        <v>8239</v>
      </c>
      <c r="AB704" s="61"/>
    </row>
    <row r="705" spans="1:28" s="2" customFormat="1" ht="15">
      <c r="A705" s="61" t="s">
        <v>776</v>
      </c>
      <c r="B705" s="61" t="s">
        <v>1071</v>
      </c>
      <c r="C705" s="61" t="s">
        <v>3641</v>
      </c>
      <c r="D705" s="61" t="s">
        <v>7838</v>
      </c>
      <c r="E705" s="61">
        <v>10103</v>
      </c>
      <c r="F705" s="61">
        <v>8310</v>
      </c>
      <c r="G705" s="61">
        <v>2025</v>
      </c>
      <c r="H705" s="61" t="s">
        <v>3689</v>
      </c>
      <c r="I705" s="61" t="s">
        <v>508</v>
      </c>
      <c r="J705" s="61"/>
      <c r="K705" s="61" t="s">
        <v>1982</v>
      </c>
      <c r="L705" s="61" t="s">
        <v>8243</v>
      </c>
      <c r="M705" s="475">
        <v>45818</v>
      </c>
      <c r="N705" s="475">
        <v>45826</v>
      </c>
      <c r="O705" s="61"/>
      <c r="P705" s="475">
        <v>45827</v>
      </c>
      <c r="Q705" s="475">
        <v>45827</v>
      </c>
      <c r="R705" s="61">
        <f t="shared" si="48"/>
        <v>6</v>
      </c>
      <c r="S705" s="61" t="str">
        <f t="shared" si="49"/>
        <v/>
      </c>
      <c r="T705" s="61">
        <f t="shared" si="50"/>
        <v>1</v>
      </c>
      <c r="U705" s="61">
        <f t="shared" si="47"/>
        <v>1</v>
      </c>
      <c r="V705" s="61" t="s">
        <v>150</v>
      </c>
      <c r="W705" s="61" t="s">
        <v>1078</v>
      </c>
      <c r="X705" s="61" t="s">
        <v>50</v>
      </c>
      <c r="Y705" s="61" t="s">
        <v>8244</v>
      </c>
      <c r="Z705" s="61" t="s">
        <v>8245</v>
      </c>
      <c r="AA705" s="61" t="s">
        <v>292</v>
      </c>
      <c r="AB705" s="61"/>
    </row>
    <row r="706" spans="1:28" s="2" customFormat="1" ht="15">
      <c r="A706" s="61" t="s">
        <v>776</v>
      </c>
      <c r="B706" s="61" t="s">
        <v>1071</v>
      </c>
      <c r="C706" s="61" t="s">
        <v>1072</v>
      </c>
      <c r="D706" s="61" t="s">
        <v>7838</v>
      </c>
      <c r="E706" s="61">
        <v>42821</v>
      </c>
      <c r="F706" s="61">
        <v>48184</v>
      </c>
      <c r="G706" s="61">
        <v>2025</v>
      </c>
      <c r="H706" s="61" t="s">
        <v>3689</v>
      </c>
      <c r="I706" s="61" t="s">
        <v>508</v>
      </c>
      <c r="J706" s="61"/>
      <c r="K706" s="61" t="s">
        <v>1982</v>
      </c>
      <c r="L706" s="61" t="s">
        <v>8246</v>
      </c>
      <c r="M706" s="475">
        <v>45818</v>
      </c>
      <c r="N706" s="475">
        <v>45826</v>
      </c>
      <c r="O706" s="61"/>
      <c r="P706" s="475">
        <v>45827</v>
      </c>
      <c r="Q706" s="475">
        <v>45827</v>
      </c>
      <c r="R706" s="61">
        <f t="shared" si="48"/>
        <v>6</v>
      </c>
      <c r="S706" s="61" t="str">
        <f t="shared" si="49"/>
        <v/>
      </c>
      <c r="T706" s="61">
        <f t="shared" si="50"/>
        <v>1</v>
      </c>
      <c r="U706" s="61">
        <f t="shared" ref="U706:U769" si="51">IF(
    OR(ISBLANK(P706), ISBLANK(Q706)),
    "",
    MAX(1, IF(
        NETWORKDAYS(P706, Q706) &lt;= 0,
        1,
        NETWORKDAYS(P706, Q706) - IF(P706 = Q706, 0, 1)
    ))
)</f>
        <v>1</v>
      </c>
      <c r="V706" s="61" t="s">
        <v>150</v>
      </c>
      <c r="W706" s="61" t="s">
        <v>1078</v>
      </c>
      <c r="X706" s="61" t="s">
        <v>50</v>
      </c>
      <c r="Y706" s="61" t="s">
        <v>8247</v>
      </c>
      <c r="Z706" s="61" t="s">
        <v>8248</v>
      </c>
      <c r="AA706" s="61" t="s">
        <v>292</v>
      </c>
      <c r="AB706" s="61"/>
    </row>
    <row r="707" spans="1:28" s="2" customFormat="1" ht="28.5">
      <c r="A707" s="61" t="s">
        <v>776</v>
      </c>
      <c r="B707" s="61" t="s">
        <v>1071</v>
      </c>
      <c r="C707" s="61" t="s">
        <v>4270</v>
      </c>
      <c r="D707" s="61" t="s">
        <v>7838</v>
      </c>
      <c r="E707" s="61">
        <v>12900</v>
      </c>
      <c r="F707" s="61">
        <v>15256</v>
      </c>
      <c r="G707" s="61">
        <v>2025</v>
      </c>
      <c r="H707" s="61" t="s">
        <v>3532</v>
      </c>
      <c r="I707" s="61" t="s">
        <v>508</v>
      </c>
      <c r="J707" s="61"/>
      <c r="K707" s="61" t="s">
        <v>1982</v>
      </c>
      <c r="L707" s="61" t="s">
        <v>8249</v>
      </c>
      <c r="M707" s="475">
        <v>45791</v>
      </c>
      <c r="N707" s="475">
        <v>45794</v>
      </c>
      <c r="O707" s="61"/>
      <c r="P707" s="475">
        <v>45796</v>
      </c>
      <c r="Q707" s="475">
        <v>45797</v>
      </c>
      <c r="R707" s="61">
        <f t="shared" si="48"/>
        <v>2</v>
      </c>
      <c r="S707" s="61" t="str">
        <f t="shared" si="49"/>
        <v/>
      </c>
      <c r="T707" s="61">
        <f t="shared" si="50"/>
        <v>1</v>
      </c>
      <c r="U707" s="61">
        <f t="shared" si="51"/>
        <v>1</v>
      </c>
      <c r="V707" s="61" t="s">
        <v>150</v>
      </c>
      <c r="W707" s="61" t="s">
        <v>1078</v>
      </c>
      <c r="X707" s="61" t="s">
        <v>50</v>
      </c>
      <c r="Y707" s="61">
        <v>14.7605</v>
      </c>
      <c r="Z707" s="61">
        <v>120.9631</v>
      </c>
      <c r="AA707" s="61" t="s">
        <v>8239</v>
      </c>
      <c r="AB707" s="61"/>
    </row>
    <row r="708" spans="1:28" s="2" customFormat="1" ht="28.5">
      <c r="A708" s="61" t="s">
        <v>776</v>
      </c>
      <c r="B708" s="61" t="s">
        <v>1071</v>
      </c>
      <c r="C708" s="61" t="s">
        <v>4271</v>
      </c>
      <c r="D708" s="61" t="s">
        <v>7838</v>
      </c>
      <c r="E708" s="61">
        <v>57569</v>
      </c>
      <c r="F708" s="61">
        <v>71258</v>
      </c>
      <c r="G708" s="61">
        <v>2025</v>
      </c>
      <c r="H708" s="61" t="s">
        <v>8250</v>
      </c>
      <c r="I708" s="61" t="s">
        <v>508</v>
      </c>
      <c r="J708" s="61"/>
      <c r="K708" s="61" t="s">
        <v>1982</v>
      </c>
      <c r="L708" s="61" t="s">
        <v>8251</v>
      </c>
      <c r="M708" s="475">
        <v>45793</v>
      </c>
      <c r="N708" s="475">
        <v>45794</v>
      </c>
      <c r="O708" s="61"/>
      <c r="P708" s="475">
        <v>45796</v>
      </c>
      <c r="Q708" s="475">
        <v>45797</v>
      </c>
      <c r="R708" s="61">
        <f t="shared" si="48"/>
        <v>1</v>
      </c>
      <c r="S708" s="61" t="str">
        <f t="shared" si="49"/>
        <v/>
      </c>
      <c r="T708" s="61">
        <f t="shared" si="50"/>
        <v>1</v>
      </c>
      <c r="U708" s="61">
        <f t="shared" si="51"/>
        <v>1</v>
      </c>
      <c r="V708" s="61" t="s">
        <v>150</v>
      </c>
      <c r="W708" s="61" t="s">
        <v>1078</v>
      </c>
      <c r="X708" s="61" t="s">
        <v>50</v>
      </c>
      <c r="Y708" s="61">
        <v>14.7829</v>
      </c>
      <c r="Z708" s="61">
        <v>120.0129</v>
      </c>
      <c r="AA708" s="61" t="s">
        <v>8239</v>
      </c>
      <c r="AB708" s="61"/>
    </row>
    <row r="709" spans="1:28" s="2" customFormat="1" ht="28.5">
      <c r="A709" s="61" t="s">
        <v>776</v>
      </c>
      <c r="B709" s="61" t="s">
        <v>1071</v>
      </c>
      <c r="C709" s="61" t="s">
        <v>4274</v>
      </c>
      <c r="D709" s="61" t="s">
        <v>7838</v>
      </c>
      <c r="E709" s="61">
        <v>7501</v>
      </c>
      <c r="F709" s="61">
        <v>8419</v>
      </c>
      <c r="G709" s="61">
        <v>2025</v>
      </c>
      <c r="H709" s="61" t="s">
        <v>3532</v>
      </c>
      <c r="I709" s="61" t="s">
        <v>508</v>
      </c>
      <c r="J709" s="61"/>
      <c r="K709" s="61" t="s">
        <v>1982</v>
      </c>
      <c r="L709" s="61" t="s">
        <v>8252</v>
      </c>
      <c r="M709" s="475">
        <v>45791</v>
      </c>
      <c r="N709" s="475">
        <v>45794</v>
      </c>
      <c r="O709" s="61"/>
      <c r="P709" s="475">
        <v>45796</v>
      </c>
      <c r="Q709" s="475">
        <v>45796</v>
      </c>
      <c r="R709" s="61">
        <f t="shared" si="48"/>
        <v>2</v>
      </c>
      <c r="S709" s="61" t="str">
        <f t="shared" si="49"/>
        <v/>
      </c>
      <c r="T709" s="61">
        <f t="shared" si="50"/>
        <v>1</v>
      </c>
      <c r="U709" s="61">
        <f t="shared" si="51"/>
        <v>1</v>
      </c>
      <c r="V709" s="61" t="s">
        <v>150</v>
      </c>
      <c r="W709" s="61" t="s">
        <v>1078</v>
      </c>
      <c r="X709" s="61" t="s">
        <v>50</v>
      </c>
      <c r="Y709" s="61">
        <v>14.775600000000001</v>
      </c>
      <c r="Z709" s="61">
        <v>120.96</v>
      </c>
      <c r="AA709" s="61" t="s">
        <v>8239</v>
      </c>
      <c r="AB709" s="61"/>
    </row>
    <row r="710" spans="1:28" s="2" customFormat="1" ht="15">
      <c r="A710" s="61" t="s">
        <v>776</v>
      </c>
      <c r="B710" s="61" t="s">
        <v>1071</v>
      </c>
      <c r="C710" s="61" t="s">
        <v>4206</v>
      </c>
      <c r="D710" s="61" t="s">
        <v>7838</v>
      </c>
      <c r="E710" s="61">
        <v>1826</v>
      </c>
      <c r="F710" s="61">
        <v>1419</v>
      </c>
      <c r="G710" s="61">
        <v>2025</v>
      </c>
      <c r="H710" s="61" t="s">
        <v>3689</v>
      </c>
      <c r="I710" s="61" t="s">
        <v>508</v>
      </c>
      <c r="J710" s="61"/>
      <c r="K710" s="61" t="s">
        <v>1982</v>
      </c>
      <c r="L710" s="61" t="s">
        <v>8253</v>
      </c>
      <c r="M710" s="475">
        <v>45818</v>
      </c>
      <c r="N710" s="475">
        <v>45826</v>
      </c>
      <c r="O710" s="61"/>
      <c r="P710" s="475">
        <v>45827</v>
      </c>
      <c r="Q710" s="475">
        <v>45827</v>
      </c>
      <c r="R710" s="61">
        <f t="shared" si="48"/>
        <v>6</v>
      </c>
      <c r="S710" s="61" t="str">
        <f t="shared" si="49"/>
        <v/>
      </c>
      <c r="T710" s="61">
        <f t="shared" si="50"/>
        <v>1</v>
      </c>
      <c r="U710" s="61">
        <f t="shared" si="51"/>
        <v>1</v>
      </c>
      <c r="V710" s="61" t="s">
        <v>150</v>
      </c>
      <c r="W710" s="61" t="s">
        <v>1078</v>
      </c>
      <c r="X710" s="61" t="s">
        <v>50</v>
      </c>
      <c r="Y710" s="61" t="s">
        <v>8254</v>
      </c>
      <c r="Z710" s="61" t="s">
        <v>8255</v>
      </c>
      <c r="AA710" s="61" t="s">
        <v>292</v>
      </c>
      <c r="AB710" s="61"/>
    </row>
    <row r="711" spans="1:28" s="2" customFormat="1" ht="15">
      <c r="A711" s="61" t="s">
        <v>776</v>
      </c>
      <c r="B711" s="61" t="s">
        <v>1071</v>
      </c>
      <c r="C711" s="61" t="s">
        <v>4277</v>
      </c>
      <c r="D711" s="61" t="s">
        <v>7838</v>
      </c>
      <c r="E711" s="61">
        <v>5475</v>
      </c>
      <c r="F711" s="61">
        <v>4968</v>
      </c>
      <c r="G711" s="61">
        <v>2025</v>
      </c>
      <c r="H711" s="61" t="s">
        <v>3689</v>
      </c>
      <c r="I711" s="61" t="s">
        <v>508</v>
      </c>
      <c r="J711" s="61"/>
      <c r="K711" s="61" t="s">
        <v>1982</v>
      </c>
      <c r="L711" s="61" t="s">
        <v>8256</v>
      </c>
      <c r="M711" s="475">
        <v>45818</v>
      </c>
      <c r="N711" s="475">
        <v>45826</v>
      </c>
      <c r="O711" s="61"/>
      <c r="P711" s="475">
        <v>45827</v>
      </c>
      <c r="Q711" s="475">
        <v>45827</v>
      </c>
      <c r="R711" s="61">
        <f t="shared" si="48"/>
        <v>6</v>
      </c>
      <c r="S711" s="61" t="str">
        <f t="shared" si="49"/>
        <v/>
      </c>
      <c r="T711" s="61">
        <f t="shared" si="50"/>
        <v>1</v>
      </c>
      <c r="U711" s="61">
        <f t="shared" si="51"/>
        <v>1</v>
      </c>
      <c r="V711" s="61" t="s">
        <v>150</v>
      </c>
      <c r="W711" s="61" t="s">
        <v>1078</v>
      </c>
      <c r="X711" s="61" t="s">
        <v>50</v>
      </c>
      <c r="Y711" s="61" t="s">
        <v>8257</v>
      </c>
      <c r="Z711" s="61" t="s">
        <v>8258</v>
      </c>
      <c r="AA711" s="61" t="s">
        <v>292</v>
      </c>
      <c r="AB711" s="61"/>
    </row>
    <row r="712" spans="1:28" s="2" customFormat="1" ht="15">
      <c r="A712" s="61" t="s">
        <v>776</v>
      </c>
      <c r="B712" s="61" t="s">
        <v>1071</v>
      </c>
      <c r="C712" s="61" t="s">
        <v>1822</v>
      </c>
      <c r="D712" s="61" t="s">
        <v>7838</v>
      </c>
      <c r="E712" s="61">
        <v>7065</v>
      </c>
      <c r="F712" s="61">
        <v>9019</v>
      </c>
      <c r="G712" s="61">
        <v>2025</v>
      </c>
      <c r="H712" s="61" t="s">
        <v>3126</v>
      </c>
      <c r="I712" s="61" t="s">
        <v>508</v>
      </c>
      <c r="J712" s="61"/>
      <c r="K712" s="61" t="s">
        <v>1982</v>
      </c>
      <c r="L712" s="61" t="s">
        <v>8259</v>
      </c>
      <c r="M712" s="475">
        <v>45876</v>
      </c>
      <c r="N712" s="475">
        <v>45886</v>
      </c>
      <c r="O712" s="61"/>
      <c r="P712" s="475">
        <v>45887</v>
      </c>
      <c r="Q712" s="475">
        <v>45888</v>
      </c>
      <c r="R712" s="61">
        <f t="shared" si="48"/>
        <v>6</v>
      </c>
      <c r="S712" s="61" t="str">
        <f t="shared" si="49"/>
        <v/>
      </c>
      <c r="T712" s="61">
        <f t="shared" si="50"/>
        <v>1</v>
      </c>
      <c r="U712" s="61">
        <f t="shared" si="51"/>
        <v>1</v>
      </c>
      <c r="V712" s="61" t="s">
        <v>150</v>
      </c>
      <c r="W712" s="61" t="s">
        <v>1078</v>
      </c>
      <c r="X712" s="61" t="s">
        <v>50</v>
      </c>
      <c r="Y712" s="61">
        <v>14.785</v>
      </c>
      <c r="Z712" s="61">
        <v>120.98690000000001</v>
      </c>
      <c r="AA712" s="61"/>
      <c r="AB712" s="61"/>
    </row>
    <row r="713" spans="1:28" s="2" customFormat="1" ht="15">
      <c r="A713" s="61" t="s">
        <v>776</v>
      </c>
      <c r="B713" s="61" t="s">
        <v>1071</v>
      </c>
      <c r="C713" s="61" t="s">
        <v>4280</v>
      </c>
      <c r="D713" s="61" t="s">
        <v>7838</v>
      </c>
      <c r="E713" s="61">
        <v>11229</v>
      </c>
      <c r="F713" s="61">
        <v>13784</v>
      </c>
      <c r="G713" s="61">
        <v>2025</v>
      </c>
      <c r="H713" s="61" t="s">
        <v>3126</v>
      </c>
      <c r="I713" s="61" t="s">
        <v>508</v>
      </c>
      <c r="J713" s="61"/>
      <c r="K713" s="61" t="s">
        <v>1982</v>
      </c>
      <c r="L713" s="61" t="s">
        <v>8260</v>
      </c>
      <c r="M713" s="475">
        <v>45876</v>
      </c>
      <c r="N713" s="475">
        <v>45886</v>
      </c>
      <c r="O713" s="61"/>
      <c r="P713" s="475">
        <v>45887</v>
      </c>
      <c r="Q713" s="475">
        <v>45888</v>
      </c>
      <c r="R713" s="61">
        <f t="shared" si="48"/>
        <v>6</v>
      </c>
      <c r="S713" s="61" t="str">
        <f t="shared" si="49"/>
        <v/>
      </c>
      <c r="T713" s="61">
        <f t="shared" si="50"/>
        <v>1</v>
      </c>
      <c r="U713" s="61">
        <f t="shared" si="51"/>
        <v>1</v>
      </c>
      <c r="V713" s="61" t="s">
        <v>150</v>
      </c>
      <c r="W713" s="61" t="s">
        <v>1078</v>
      </c>
      <c r="X713" s="61" t="s">
        <v>50</v>
      </c>
      <c r="Y713" s="61">
        <v>14.783300000000001</v>
      </c>
      <c r="Z713" s="61">
        <v>120.9863</v>
      </c>
      <c r="AA713" s="61"/>
      <c r="AB713" s="61"/>
    </row>
    <row r="714" spans="1:28" s="2" customFormat="1" ht="28.5">
      <c r="A714" s="61" t="s">
        <v>776</v>
      </c>
      <c r="B714" s="61" t="s">
        <v>1071</v>
      </c>
      <c r="C714" s="61" t="s">
        <v>4284</v>
      </c>
      <c r="D714" s="61" t="s">
        <v>7838</v>
      </c>
      <c r="E714" s="61">
        <v>14950</v>
      </c>
      <c r="F714" s="61">
        <v>15612</v>
      </c>
      <c r="G714" s="61">
        <v>2025</v>
      </c>
      <c r="H714" s="61" t="s">
        <v>3458</v>
      </c>
      <c r="I714" s="61" t="s">
        <v>508</v>
      </c>
      <c r="J714" s="61" t="s">
        <v>328</v>
      </c>
      <c r="K714" s="61" t="s">
        <v>1982</v>
      </c>
      <c r="L714" s="61" t="s">
        <v>8261</v>
      </c>
      <c r="M714" s="475">
        <v>45694</v>
      </c>
      <c r="N714" s="475">
        <v>45701</v>
      </c>
      <c r="O714" s="475">
        <v>45705</v>
      </c>
      <c r="P714" s="475">
        <v>45705</v>
      </c>
      <c r="Q714" s="475">
        <v>45706</v>
      </c>
      <c r="R714" s="61">
        <f t="shared" si="48"/>
        <v>5</v>
      </c>
      <c r="S714" s="61">
        <f t="shared" si="49"/>
        <v>2</v>
      </c>
      <c r="T714" s="61">
        <f t="shared" si="50"/>
        <v>2</v>
      </c>
      <c r="U714" s="61">
        <f t="shared" si="51"/>
        <v>1</v>
      </c>
      <c r="V714" s="61" t="s">
        <v>150</v>
      </c>
      <c r="W714" s="61" t="s">
        <v>1078</v>
      </c>
      <c r="X714" s="61" t="s">
        <v>50</v>
      </c>
      <c r="Y714" s="61"/>
      <c r="Z714" s="61"/>
      <c r="AA714" s="61" t="s">
        <v>8239</v>
      </c>
      <c r="AB714" s="61"/>
    </row>
    <row r="715" spans="1:28" s="2" customFormat="1" ht="28.5">
      <c r="A715" s="61" t="s">
        <v>776</v>
      </c>
      <c r="B715" s="61" t="s">
        <v>1071</v>
      </c>
      <c r="C715" s="61" t="s">
        <v>3918</v>
      </c>
      <c r="D715" s="61" t="s">
        <v>7838</v>
      </c>
      <c r="E715" s="61">
        <v>7021</v>
      </c>
      <c r="F715" s="61">
        <v>8056</v>
      </c>
      <c r="G715" s="61">
        <v>2025</v>
      </c>
      <c r="H715" s="61" t="s">
        <v>3458</v>
      </c>
      <c r="I715" s="61" t="s">
        <v>508</v>
      </c>
      <c r="J715" s="61" t="s">
        <v>328</v>
      </c>
      <c r="K715" s="61" t="s">
        <v>1982</v>
      </c>
      <c r="L715" s="61" t="s">
        <v>8262</v>
      </c>
      <c r="M715" s="475">
        <v>45694</v>
      </c>
      <c r="N715" s="475">
        <v>45701</v>
      </c>
      <c r="O715" s="475">
        <v>45705</v>
      </c>
      <c r="P715" s="475">
        <v>45705</v>
      </c>
      <c r="Q715" s="475">
        <v>45706</v>
      </c>
      <c r="R715" s="61">
        <f t="shared" si="48"/>
        <v>5</v>
      </c>
      <c r="S715" s="61">
        <f t="shared" si="49"/>
        <v>2</v>
      </c>
      <c r="T715" s="61">
        <f t="shared" si="50"/>
        <v>2</v>
      </c>
      <c r="U715" s="61">
        <f t="shared" si="51"/>
        <v>1</v>
      </c>
      <c r="V715" s="61" t="s">
        <v>150</v>
      </c>
      <c r="W715" s="61" t="s">
        <v>1078</v>
      </c>
      <c r="X715" s="61" t="s">
        <v>50</v>
      </c>
      <c r="Y715" s="61"/>
      <c r="Z715" s="61"/>
      <c r="AA715" s="61" t="s">
        <v>8239</v>
      </c>
      <c r="AB715" s="61"/>
    </row>
    <row r="716" spans="1:28" s="2" customFormat="1" ht="15">
      <c r="A716" s="61" t="s">
        <v>776</v>
      </c>
      <c r="B716" s="61" t="s">
        <v>1071</v>
      </c>
      <c r="C716" s="61" t="s">
        <v>4273</v>
      </c>
      <c r="D716" s="61" t="s">
        <v>7838</v>
      </c>
      <c r="E716" s="61">
        <v>4015</v>
      </c>
      <c r="F716" s="61">
        <v>3518</v>
      </c>
      <c r="G716" s="61"/>
      <c r="H716" s="61"/>
      <c r="I716" s="61" t="s">
        <v>508</v>
      </c>
      <c r="J716" s="61"/>
      <c r="K716" s="61" t="s">
        <v>1982</v>
      </c>
      <c r="L716" s="61"/>
      <c r="M716" s="61"/>
      <c r="N716" s="61"/>
      <c r="O716" s="61"/>
      <c r="P716" s="61"/>
      <c r="Q716" s="61"/>
      <c r="R716" s="61" t="str">
        <f t="shared" si="48"/>
        <v/>
      </c>
      <c r="S716" s="61" t="str">
        <f t="shared" si="49"/>
        <v/>
      </c>
      <c r="T716" s="61" t="str">
        <f t="shared" si="50"/>
        <v/>
      </c>
      <c r="U716" s="61" t="str">
        <f t="shared" si="51"/>
        <v/>
      </c>
      <c r="V716" s="61"/>
      <c r="W716" s="61"/>
      <c r="X716" s="61"/>
      <c r="Y716" s="61"/>
      <c r="Z716" s="61"/>
      <c r="AA716" s="61"/>
      <c r="AB716" s="61"/>
    </row>
    <row r="717" spans="1:28" s="2" customFormat="1" ht="15">
      <c r="A717" s="61" t="s">
        <v>776</v>
      </c>
      <c r="B717" s="61" t="s">
        <v>1071</v>
      </c>
      <c r="C717" s="61" t="s">
        <v>4282</v>
      </c>
      <c r="D717" s="61" t="s">
        <v>7838</v>
      </c>
      <c r="E717" s="61">
        <v>10793</v>
      </c>
      <c r="F717" s="61">
        <v>11260</v>
      </c>
      <c r="G717" s="61"/>
      <c r="H717" s="61"/>
      <c r="I717" s="61" t="s">
        <v>508</v>
      </c>
      <c r="J717" s="61"/>
      <c r="K717" s="61" t="s">
        <v>1982</v>
      </c>
      <c r="L717" s="61"/>
      <c r="M717" s="61"/>
      <c r="N717" s="61"/>
      <c r="O717" s="61"/>
      <c r="P717" s="61"/>
      <c r="Q717" s="61"/>
      <c r="R717" s="61" t="str">
        <f t="shared" si="48"/>
        <v/>
      </c>
      <c r="S717" s="61" t="str">
        <f t="shared" si="49"/>
        <v/>
      </c>
      <c r="T717" s="61" t="str">
        <f t="shared" si="50"/>
        <v/>
      </c>
      <c r="U717" s="61" t="str">
        <f t="shared" si="51"/>
        <v/>
      </c>
      <c r="V717" s="61"/>
      <c r="W717" s="61"/>
      <c r="X717" s="61"/>
      <c r="Y717" s="61"/>
      <c r="Z717" s="61"/>
      <c r="AA717" s="61"/>
      <c r="AB717" s="61"/>
    </row>
    <row r="718" spans="1:28" s="2" customFormat="1" ht="15">
      <c r="A718" s="61" t="s">
        <v>776</v>
      </c>
      <c r="B718" s="61" t="s">
        <v>1071</v>
      </c>
      <c r="C718" s="61" t="s">
        <v>4283</v>
      </c>
      <c r="D718" s="61" t="s">
        <v>7838</v>
      </c>
      <c r="E718" s="61">
        <v>9648</v>
      </c>
      <c r="F718" s="61">
        <v>13378</v>
      </c>
      <c r="G718" s="61"/>
      <c r="H718" s="61"/>
      <c r="I718" s="61" t="s">
        <v>508</v>
      </c>
      <c r="J718" s="61"/>
      <c r="K718" s="61" t="s">
        <v>1982</v>
      </c>
      <c r="L718" s="61"/>
      <c r="M718" s="61"/>
      <c r="N718" s="61"/>
      <c r="O718" s="61"/>
      <c r="P718" s="61"/>
      <c r="Q718" s="61"/>
      <c r="R718" s="61" t="str">
        <f t="shared" si="48"/>
        <v/>
      </c>
      <c r="S718" s="61" t="str">
        <f t="shared" si="49"/>
        <v/>
      </c>
      <c r="T718" s="61" t="str">
        <f t="shared" si="50"/>
        <v/>
      </c>
      <c r="U718" s="61" t="str">
        <f t="shared" si="51"/>
        <v/>
      </c>
      <c r="V718" s="61"/>
      <c r="W718" s="61"/>
      <c r="X718" s="61"/>
      <c r="Y718" s="61"/>
      <c r="Z718" s="61"/>
      <c r="AA718" s="61"/>
      <c r="AB718" s="61"/>
    </row>
    <row r="719" spans="1:28" s="2" customFormat="1" ht="15">
      <c r="A719" s="61" t="s">
        <v>776</v>
      </c>
      <c r="B719" s="61" t="s">
        <v>1090</v>
      </c>
      <c r="C719" s="61" t="s">
        <v>4290</v>
      </c>
      <c r="D719" s="61" t="s">
        <v>7838</v>
      </c>
      <c r="E719" s="61">
        <v>12118</v>
      </c>
      <c r="F719" s="61">
        <v>15119</v>
      </c>
      <c r="G719" s="61">
        <v>2025</v>
      </c>
      <c r="H719" s="61" t="s">
        <v>3416</v>
      </c>
      <c r="I719" s="61" t="s">
        <v>508</v>
      </c>
      <c r="J719" s="61" t="s">
        <v>328</v>
      </c>
      <c r="K719" s="61" t="s">
        <v>1982</v>
      </c>
      <c r="L719" s="61" t="s">
        <v>8263</v>
      </c>
      <c r="M719" s="475">
        <v>45728</v>
      </c>
      <c r="N719" s="475">
        <v>45733</v>
      </c>
      <c r="O719" s="475">
        <v>45733</v>
      </c>
      <c r="P719" s="475">
        <v>45734</v>
      </c>
      <c r="Q719" s="475">
        <v>45735</v>
      </c>
      <c r="R719" s="61">
        <f t="shared" si="48"/>
        <v>3</v>
      </c>
      <c r="S719" s="61">
        <f t="shared" si="49"/>
        <v>1</v>
      </c>
      <c r="T719" s="61">
        <f t="shared" si="50"/>
        <v>1</v>
      </c>
      <c r="U719" s="61">
        <f t="shared" si="51"/>
        <v>1</v>
      </c>
      <c r="V719" s="61" t="s">
        <v>150</v>
      </c>
      <c r="W719" s="61" t="s">
        <v>4</v>
      </c>
      <c r="X719" s="61" t="s">
        <v>50</v>
      </c>
      <c r="Y719" s="61">
        <v>14.854200000000001</v>
      </c>
      <c r="Z719" s="61">
        <v>121.084</v>
      </c>
      <c r="AA719" s="61"/>
      <c r="AB719" s="61"/>
    </row>
    <row r="720" spans="1:28" s="2" customFormat="1" ht="15">
      <c r="A720" s="61" t="s">
        <v>776</v>
      </c>
      <c r="B720" s="61" t="s">
        <v>1090</v>
      </c>
      <c r="C720" s="61" t="s">
        <v>1091</v>
      </c>
      <c r="D720" s="61" t="s">
        <v>7838</v>
      </c>
      <c r="E720" s="61">
        <v>10177</v>
      </c>
      <c r="F720" s="61">
        <v>18427</v>
      </c>
      <c r="G720" s="61">
        <v>2025</v>
      </c>
      <c r="H720" s="61" t="s">
        <v>3416</v>
      </c>
      <c r="I720" s="61" t="s">
        <v>508</v>
      </c>
      <c r="J720" s="61"/>
      <c r="K720" s="61" t="s">
        <v>1982</v>
      </c>
      <c r="L720" s="61" t="s">
        <v>8264</v>
      </c>
      <c r="M720" s="475">
        <v>45728</v>
      </c>
      <c r="N720" s="475">
        <v>45733</v>
      </c>
      <c r="O720" s="475">
        <v>45733</v>
      </c>
      <c r="P720" s="475">
        <v>45734</v>
      </c>
      <c r="Q720" s="475">
        <v>45735</v>
      </c>
      <c r="R720" s="61">
        <f t="shared" si="48"/>
        <v>3</v>
      </c>
      <c r="S720" s="61">
        <f t="shared" si="49"/>
        <v>1</v>
      </c>
      <c r="T720" s="61">
        <f t="shared" si="50"/>
        <v>1</v>
      </c>
      <c r="U720" s="61">
        <f t="shared" si="51"/>
        <v>1</v>
      </c>
      <c r="V720" s="61" t="s">
        <v>150</v>
      </c>
      <c r="W720" s="61" t="s">
        <v>4</v>
      </c>
      <c r="X720" s="61" t="s">
        <v>50</v>
      </c>
      <c r="Y720" s="61">
        <v>14.8765</v>
      </c>
      <c r="Z720" s="61">
        <v>121.05119999999999</v>
      </c>
      <c r="AA720" s="61"/>
      <c r="AB720" s="61"/>
    </row>
    <row r="721" spans="1:28" s="2" customFormat="1" ht="15">
      <c r="A721" s="61" t="s">
        <v>776</v>
      </c>
      <c r="B721" s="61" t="s">
        <v>1090</v>
      </c>
      <c r="C721" s="61" t="s">
        <v>1093</v>
      </c>
      <c r="D721" s="61" t="s">
        <v>7838</v>
      </c>
      <c r="E721" s="61">
        <v>12025</v>
      </c>
      <c r="F721" s="61">
        <v>13553</v>
      </c>
      <c r="G721" s="61">
        <v>2025</v>
      </c>
      <c r="H721" s="61" t="s">
        <v>3532</v>
      </c>
      <c r="I721" s="61" t="s">
        <v>508</v>
      </c>
      <c r="J721" s="61"/>
      <c r="K721" s="61" t="s">
        <v>1982</v>
      </c>
      <c r="L721" s="61" t="s">
        <v>8265</v>
      </c>
      <c r="M721" s="475">
        <v>45779</v>
      </c>
      <c r="N721" s="475">
        <v>45782</v>
      </c>
      <c r="O721" s="475">
        <v>45790</v>
      </c>
      <c r="P721" s="475">
        <v>45790</v>
      </c>
      <c r="Q721" s="475">
        <v>45793</v>
      </c>
      <c r="R721" s="61">
        <f t="shared" ref="R721:R784" si="52">IF(
    OR(ISBLANK(M721), ISBLANK(N721)),
    "",
    MAX(1, IF(
        NETWORKDAYS(M721, N721) &lt;= 0,
        1,
        NETWORKDAYS(M721, N721) - IF(M721 = N721, 0, 1)
    ))
)</f>
        <v>1</v>
      </c>
      <c r="S721" s="61">
        <f t="shared" ref="S721:S784" si="53">IF(
    OR(ISBLANK(N721), ISBLANK(O721)),
    "",
    MAX(1, IF(
        NETWORKDAYS(N721, O721) &lt;= 0,
        1,
        NETWORKDAYS(N721, O721) - IF(N721 = O721, 0, 1)
    ))
)</f>
        <v>6</v>
      </c>
      <c r="T721" s="61">
        <f t="shared" si="50"/>
        <v>6</v>
      </c>
      <c r="U721" s="61">
        <f t="shared" si="51"/>
        <v>3</v>
      </c>
      <c r="V721" s="61" t="s">
        <v>150</v>
      </c>
      <c r="W721" s="61" t="s">
        <v>4</v>
      </c>
      <c r="X721" s="61" t="s">
        <v>50</v>
      </c>
      <c r="Y721" s="61">
        <v>14.9131</v>
      </c>
      <c r="Z721" s="61">
        <v>121.0612</v>
      </c>
      <c r="AA721" s="61"/>
      <c r="AB721" s="61"/>
    </row>
    <row r="722" spans="1:28" s="2" customFormat="1" ht="15">
      <c r="A722" s="61" t="s">
        <v>776</v>
      </c>
      <c r="B722" s="61" t="s">
        <v>1090</v>
      </c>
      <c r="C722" s="61" t="s">
        <v>4199</v>
      </c>
      <c r="D722" s="61" t="s">
        <v>7838</v>
      </c>
      <c r="E722" s="61">
        <v>10038</v>
      </c>
      <c r="F722" s="61">
        <v>11186</v>
      </c>
      <c r="G722" s="61">
        <v>2025</v>
      </c>
      <c r="H722" s="61" t="s">
        <v>3532</v>
      </c>
      <c r="I722" s="61" t="s">
        <v>508</v>
      </c>
      <c r="J722" s="61"/>
      <c r="K722" s="61" t="s">
        <v>1982</v>
      </c>
      <c r="L722" s="61" t="s">
        <v>8266</v>
      </c>
      <c r="M722" s="475">
        <v>45779</v>
      </c>
      <c r="N722" s="475">
        <v>45783</v>
      </c>
      <c r="O722" s="475">
        <v>45783</v>
      </c>
      <c r="P722" s="475">
        <v>45790</v>
      </c>
      <c r="Q722" s="475">
        <v>45796</v>
      </c>
      <c r="R722" s="61">
        <f t="shared" si="52"/>
        <v>2</v>
      </c>
      <c r="S722" s="61">
        <f t="shared" si="53"/>
        <v>1</v>
      </c>
      <c r="T722" s="61">
        <f t="shared" si="50"/>
        <v>5</v>
      </c>
      <c r="U722" s="61">
        <f t="shared" si="51"/>
        <v>4</v>
      </c>
      <c r="V722" s="61" t="s">
        <v>150</v>
      </c>
      <c r="W722" s="61" t="s">
        <v>4</v>
      </c>
      <c r="X722" s="61" t="s">
        <v>50</v>
      </c>
      <c r="Y722" s="61">
        <v>14.8705</v>
      </c>
      <c r="Z722" s="61">
        <v>121.0793</v>
      </c>
      <c r="AA722" s="61"/>
      <c r="AB722" s="61"/>
    </row>
    <row r="723" spans="1:28" s="2" customFormat="1" ht="15">
      <c r="A723" s="61" t="s">
        <v>776</v>
      </c>
      <c r="B723" s="61" t="s">
        <v>1090</v>
      </c>
      <c r="C723" s="61" t="s">
        <v>3591</v>
      </c>
      <c r="D723" s="61" t="s">
        <v>7838</v>
      </c>
      <c r="E723" s="61">
        <v>1419</v>
      </c>
      <c r="F723" s="61">
        <v>907</v>
      </c>
      <c r="G723" s="61">
        <v>2025</v>
      </c>
      <c r="H723" s="61" t="s">
        <v>3416</v>
      </c>
      <c r="I723" s="61" t="s">
        <v>508</v>
      </c>
      <c r="J723" s="61" t="s">
        <v>328</v>
      </c>
      <c r="K723" s="61" t="s">
        <v>1982</v>
      </c>
      <c r="L723" s="61" t="s">
        <v>8267</v>
      </c>
      <c r="M723" s="475">
        <v>45728</v>
      </c>
      <c r="N723" s="475">
        <v>45733</v>
      </c>
      <c r="O723" s="475">
        <v>45733</v>
      </c>
      <c r="P723" s="475">
        <v>45734</v>
      </c>
      <c r="Q723" s="475">
        <v>45735</v>
      </c>
      <c r="R723" s="61">
        <f t="shared" si="52"/>
        <v>3</v>
      </c>
      <c r="S723" s="61">
        <f t="shared" si="53"/>
        <v>1</v>
      </c>
      <c r="T723" s="61">
        <f t="shared" si="50"/>
        <v>1</v>
      </c>
      <c r="U723" s="61">
        <f t="shared" si="51"/>
        <v>1</v>
      </c>
      <c r="V723" s="61" t="s">
        <v>150</v>
      </c>
      <c r="W723" s="61" t="s">
        <v>1078</v>
      </c>
      <c r="X723" s="61" t="s">
        <v>50</v>
      </c>
      <c r="Y723" s="61">
        <v>14.927</v>
      </c>
      <c r="Z723" s="61">
        <v>121.1001</v>
      </c>
      <c r="AA723" s="61"/>
      <c r="AB723" s="61"/>
    </row>
    <row r="724" spans="1:28" s="2" customFormat="1" ht="15">
      <c r="A724" s="61" t="s">
        <v>776</v>
      </c>
      <c r="B724" s="61" t="s">
        <v>1090</v>
      </c>
      <c r="C724" s="61" t="s">
        <v>4288</v>
      </c>
      <c r="D724" s="61" t="s">
        <v>7838</v>
      </c>
      <c r="E724" s="61">
        <v>523</v>
      </c>
      <c r="F724" s="61">
        <v>548</v>
      </c>
      <c r="G724" s="61">
        <v>2025</v>
      </c>
      <c r="H724" s="61" t="s">
        <v>3416</v>
      </c>
      <c r="I724" s="61" t="s">
        <v>508</v>
      </c>
      <c r="J724" s="61" t="s">
        <v>328</v>
      </c>
      <c r="K724" s="61" t="s">
        <v>1982</v>
      </c>
      <c r="L724" s="61" t="s">
        <v>8268</v>
      </c>
      <c r="M724" s="475">
        <v>45728</v>
      </c>
      <c r="N724" s="475">
        <v>45733</v>
      </c>
      <c r="O724" s="475">
        <v>45733</v>
      </c>
      <c r="P724" s="475">
        <v>45734</v>
      </c>
      <c r="Q724" s="475">
        <v>45735</v>
      </c>
      <c r="R724" s="61">
        <f t="shared" si="52"/>
        <v>3</v>
      </c>
      <c r="S724" s="61">
        <f t="shared" si="53"/>
        <v>1</v>
      </c>
      <c r="T724" s="61">
        <f t="shared" si="50"/>
        <v>1</v>
      </c>
      <c r="U724" s="61">
        <f t="shared" si="51"/>
        <v>1</v>
      </c>
      <c r="V724" s="61" t="s">
        <v>150</v>
      </c>
      <c r="W724" s="61" t="s">
        <v>1078</v>
      </c>
      <c r="X724" s="61" t="s">
        <v>50</v>
      </c>
      <c r="Y724" s="61">
        <v>14.8795</v>
      </c>
      <c r="Z724" s="61">
        <v>121.0774</v>
      </c>
      <c r="AA724" s="61"/>
      <c r="AB724" s="61"/>
    </row>
    <row r="725" spans="1:28" s="2" customFormat="1" ht="15">
      <c r="A725" s="61" t="s">
        <v>776</v>
      </c>
      <c r="B725" s="61" t="s">
        <v>1090</v>
      </c>
      <c r="C725" s="61" t="s">
        <v>4291</v>
      </c>
      <c r="D725" s="61" t="s">
        <v>7838</v>
      </c>
      <c r="E725" s="61">
        <v>14690</v>
      </c>
      <c r="F725" s="61">
        <v>14208</v>
      </c>
      <c r="G725" s="61"/>
      <c r="H725" s="61"/>
      <c r="I725" s="61"/>
      <c r="J725" s="61"/>
      <c r="K725" s="61" t="s">
        <v>1982</v>
      </c>
      <c r="L725" s="61"/>
      <c r="M725" s="61"/>
      <c r="N725" s="61"/>
      <c r="O725" s="61"/>
      <c r="P725" s="61"/>
      <c r="Q725" s="61"/>
      <c r="R725" s="61" t="str">
        <f t="shared" si="52"/>
        <v/>
      </c>
      <c r="S725" s="61" t="str">
        <f t="shared" si="53"/>
        <v/>
      </c>
      <c r="T725" s="61" t="str">
        <f t="shared" si="50"/>
        <v/>
      </c>
      <c r="U725" s="61" t="str">
        <f t="shared" si="51"/>
        <v/>
      </c>
      <c r="V725" s="61"/>
      <c r="W725" s="61"/>
      <c r="X725" s="61"/>
      <c r="Y725" s="61"/>
      <c r="Z725" s="61"/>
      <c r="AA725" s="61"/>
      <c r="AB725" s="61"/>
    </row>
    <row r="726" spans="1:28" s="2" customFormat="1" ht="15">
      <c r="A726" s="61" t="s">
        <v>776</v>
      </c>
      <c r="B726" s="61" t="s">
        <v>1090</v>
      </c>
      <c r="C726" s="61" t="s">
        <v>4292</v>
      </c>
      <c r="D726" s="61" t="s">
        <v>7838</v>
      </c>
      <c r="E726" s="61">
        <v>5422</v>
      </c>
      <c r="F726" s="61">
        <v>6827</v>
      </c>
      <c r="G726" s="61"/>
      <c r="H726" s="61"/>
      <c r="I726" s="61"/>
      <c r="J726" s="61"/>
      <c r="K726" s="61" t="s">
        <v>1982</v>
      </c>
      <c r="L726" s="61"/>
      <c r="M726" s="61"/>
      <c r="N726" s="61"/>
      <c r="O726" s="61"/>
      <c r="P726" s="61"/>
      <c r="Q726" s="61"/>
      <c r="R726" s="61" t="str">
        <f t="shared" si="52"/>
        <v/>
      </c>
      <c r="S726" s="61" t="str">
        <f t="shared" si="53"/>
        <v/>
      </c>
      <c r="T726" s="61" t="str">
        <f t="shared" si="50"/>
        <v/>
      </c>
      <c r="U726" s="61" t="str">
        <f t="shared" si="51"/>
        <v/>
      </c>
      <c r="V726" s="61"/>
      <c r="W726" s="61"/>
      <c r="X726" s="61"/>
      <c r="Y726" s="61"/>
      <c r="Z726" s="61"/>
      <c r="AA726" s="61"/>
      <c r="AB726" s="61"/>
    </row>
    <row r="727" spans="1:28" s="2" customFormat="1" ht="15">
      <c r="A727" s="61" t="s">
        <v>776</v>
      </c>
      <c r="B727" s="61" t="s">
        <v>1090</v>
      </c>
      <c r="C727" s="61" t="s">
        <v>4293</v>
      </c>
      <c r="D727" s="61" t="s">
        <v>7838</v>
      </c>
      <c r="E727" s="61">
        <v>1996</v>
      </c>
      <c r="F727" s="61">
        <v>1799</v>
      </c>
      <c r="G727" s="61"/>
      <c r="H727" s="61"/>
      <c r="I727" s="61"/>
      <c r="J727" s="61"/>
      <c r="K727" s="61" t="s">
        <v>1982</v>
      </c>
      <c r="L727" s="61"/>
      <c r="M727" s="61"/>
      <c r="N727" s="61"/>
      <c r="O727" s="61"/>
      <c r="P727" s="61"/>
      <c r="Q727" s="61"/>
      <c r="R727" s="61" t="str">
        <f t="shared" si="52"/>
        <v/>
      </c>
      <c r="S727" s="61" t="str">
        <f t="shared" si="53"/>
        <v/>
      </c>
      <c r="T727" s="61" t="str">
        <f t="shared" si="50"/>
        <v/>
      </c>
      <c r="U727" s="61" t="str">
        <f t="shared" si="51"/>
        <v/>
      </c>
      <c r="V727" s="61"/>
      <c r="W727" s="61"/>
      <c r="X727" s="61"/>
      <c r="Y727" s="61"/>
      <c r="Z727" s="61"/>
      <c r="AA727" s="61"/>
      <c r="AB727" s="61"/>
    </row>
    <row r="728" spans="1:28" s="2" customFormat="1" ht="15">
      <c r="A728" s="61" t="s">
        <v>776</v>
      </c>
      <c r="B728" s="61" t="s">
        <v>1090</v>
      </c>
      <c r="C728" s="61" t="s">
        <v>1056</v>
      </c>
      <c r="D728" s="61" t="s">
        <v>7838</v>
      </c>
      <c r="E728" s="61">
        <v>16262</v>
      </c>
      <c r="F728" s="61">
        <v>15265</v>
      </c>
      <c r="G728" s="61"/>
      <c r="H728" s="61"/>
      <c r="I728" s="61"/>
      <c r="J728" s="61"/>
      <c r="K728" s="61" t="s">
        <v>1982</v>
      </c>
      <c r="L728" s="61"/>
      <c r="M728" s="61"/>
      <c r="N728" s="61"/>
      <c r="O728" s="61"/>
      <c r="P728" s="61"/>
      <c r="Q728" s="61"/>
      <c r="R728" s="61" t="str">
        <f t="shared" si="52"/>
        <v/>
      </c>
      <c r="S728" s="61" t="str">
        <f t="shared" si="53"/>
        <v/>
      </c>
      <c r="T728" s="61" t="str">
        <f t="shared" si="50"/>
        <v/>
      </c>
      <c r="U728" s="61" t="str">
        <f t="shared" si="51"/>
        <v/>
      </c>
      <c r="V728" s="61"/>
      <c r="W728" s="61"/>
      <c r="X728" s="61"/>
      <c r="Y728" s="61"/>
      <c r="Z728" s="61"/>
      <c r="AA728" s="61"/>
      <c r="AB728" s="61"/>
    </row>
    <row r="729" spans="1:28" s="2" customFormat="1" ht="15">
      <c r="A729" s="61" t="s">
        <v>776</v>
      </c>
      <c r="B729" s="61" t="s">
        <v>1090</v>
      </c>
      <c r="C729" s="61" t="s">
        <v>950</v>
      </c>
      <c r="D729" s="61" t="s">
        <v>7838</v>
      </c>
      <c r="E729" s="61">
        <v>1990</v>
      </c>
      <c r="F729" s="61">
        <v>2402</v>
      </c>
      <c r="G729" s="61"/>
      <c r="H729" s="61"/>
      <c r="I729" s="61"/>
      <c r="J729" s="61"/>
      <c r="K729" s="61" t="s">
        <v>1982</v>
      </c>
      <c r="L729" s="61"/>
      <c r="M729" s="61"/>
      <c r="N729" s="61"/>
      <c r="O729" s="61"/>
      <c r="P729" s="61"/>
      <c r="Q729" s="61"/>
      <c r="R729" s="61" t="str">
        <f t="shared" si="52"/>
        <v/>
      </c>
      <c r="S729" s="61" t="str">
        <f t="shared" si="53"/>
        <v/>
      </c>
      <c r="T729" s="61" t="str">
        <f t="shared" si="50"/>
        <v/>
      </c>
      <c r="U729" s="61" t="str">
        <f t="shared" si="51"/>
        <v/>
      </c>
      <c r="V729" s="61"/>
      <c r="W729" s="61"/>
      <c r="X729" s="61"/>
      <c r="Y729" s="61"/>
      <c r="Z729" s="61"/>
      <c r="AA729" s="61"/>
      <c r="AB729" s="61"/>
    </row>
    <row r="730" spans="1:28" s="2" customFormat="1" ht="15">
      <c r="A730" s="61" t="s">
        <v>776</v>
      </c>
      <c r="B730" s="61" t="s">
        <v>1090</v>
      </c>
      <c r="C730" s="61" t="s">
        <v>4294</v>
      </c>
      <c r="D730" s="61" t="s">
        <v>7838</v>
      </c>
      <c r="E730" s="61">
        <v>8630</v>
      </c>
      <c r="F730" s="61">
        <v>12145</v>
      </c>
      <c r="G730" s="61"/>
      <c r="H730" s="61"/>
      <c r="I730" s="61"/>
      <c r="J730" s="61"/>
      <c r="K730" s="61" t="s">
        <v>1982</v>
      </c>
      <c r="L730" s="61"/>
      <c r="M730" s="61"/>
      <c r="N730" s="61"/>
      <c r="O730" s="61"/>
      <c r="P730" s="61"/>
      <c r="Q730" s="61"/>
      <c r="R730" s="61" t="str">
        <f t="shared" si="52"/>
        <v/>
      </c>
      <c r="S730" s="61" t="str">
        <f t="shared" si="53"/>
        <v/>
      </c>
      <c r="T730" s="61" t="str">
        <f t="shared" si="50"/>
        <v/>
      </c>
      <c r="U730" s="61" t="str">
        <f t="shared" si="51"/>
        <v/>
      </c>
      <c r="V730" s="61"/>
      <c r="W730" s="61"/>
      <c r="X730" s="61"/>
      <c r="Y730" s="61"/>
      <c r="Z730" s="61"/>
      <c r="AA730" s="61"/>
      <c r="AB730" s="61"/>
    </row>
    <row r="731" spans="1:28" s="2" customFormat="1" ht="15">
      <c r="A731" s="61" t="s">
        <v>776</v>
      </c>
      <c r="B731" s="61" t="s">
        <v>1090</v>
      </c>
      <c r="C731" s="61" t="s">
        <v>4295</v>
      </c>
      <c r="D731" s="61" t="s">
        <v>7838</v>
      </c>
      <c r="E731" s="61">
        <v>16058</v>
      </c>
      <c r="F731" s="61">
        <v>23678</v>
      </c>
      <c r="G731" s="61"/>
      <c r="H731" s="61"/>
      <c r="I731" s="61"/>
      <c r="J731" s="61"/>
      <c r="K731" s="61" t="s">
        <v>1982</v>
      </c>
      <c r="L731" s="61"/>
      <c r="M731" s="61"/>
      <c r="N731" s="61"/>
      <c r="O731" s="61"/>
      <c r="P731" s="61"/>
      <c r="Q731" s="61"/>
      <c r="R731" s="61" t="str">
        <f t="shared" si="52"/>
        <v/>
      </c>
      <c r="S731" s="61" t="str">
        <f t="shared" si="53"/>
        <v/>
      </c>
      <c r="T731" s="61" t="str">
        <f t="shared" si="50"/>
        <v/>
      </c>
      <c r="U731" s="61" t="str">
        <f t="shared" si="51"/>
        <v/>
      </c>
      <c r="V731" s="61"/>
      <c r="W731" s="61"/>
      <c r="X731" s="61"/>
      <c r="Y731" s="61"/>
      <c r="Z731" s="61"/>
      <c r="AA731" s="61"/>
      <c r="AB731" s="61"/>
    </row>
    <row r="732" spans="1:28" s="2" customFormat="1" ht="15">
      <c r="A732" s="61" t="s">
        <v>776</v>
      </c>
      <c r="B732" s="61" t="s">
        <v>1102</v>
      </c>
      <c r="C732" s="61" t="s">
        <v>1111</v>
      </c>
      <c r="D732" s="61" t="s">
        <v>7838</v>
      </c>
      <c r="E732" s="61">
        <v>1857</v>
      </c>
      <c r="F732" s="61">
        <v>1853</v>
      </c>
      <c r="G732" s="61">
        <v>2025</v>
      </c>
      <c r="H732" s="61" t="s">
        <v>3689</v>
      </c>
      <c r="I732" s="61" t="s">
        <v>508</v>
      </c>
      <c r="J732" s="61"/>
      <c r="K732" s="61" t="s">
        <v>1982</v>
      </c>
      <c r="L732" s="61" t="s">
        <v>8269</v>
      </c>
      <c r="M732" s="475">
        <v>45821</v>
      </c>
      <c r="N732" s="475">
        <v>45826</v>
      </c>
      <c r="O732" s="61"/>
      <c r="P732" s="475">
        <v>45827</v>
      </c>
      <c r="Q732" s="475">
        <v>45827</v>
      </c>
      <c r="R732" s="61">
        <f t="shared" si="52"/>
        <v>3</v>
      </c>
      <c r="S732" s="61" t="str">
        <f t="shared" si="53"/>
        <v/>
      </c>
      <c r="T732" s="61">
        <f t="shared" si="50"/>
        <v>1</v>
      </c>
      <c r="U732" s="61">
        <f t="shared" si="51"/>
        <v>1</v>
      </c>
      <c r="V732" s="61" t="s">
        <v>150</v>
      </c>
      <c r="W732" s="61" t="s">
        <v>4</v>
      </c>
      <c r="X732" s="61" t="s">
        <v>50</v>
      </c>
      <c r="Y732" s="61" t="s">
        <v>8270</v>
      </c>
      <c r="Z732" s="61" t="s">
        <v>8271</v>
      </c>
      <c r="AA732" s="61" t="s">
        <v>8272</v>
      </c>
      <c r="AB732" s="61"/>
    </row>
    <row r="733" spans="1:28" s="2" customFormat="1" ht="15">
      <c r="A733" s="61" t="s">
        <v>776</v>
      </c>
      <c r="B733" s="61" t="s">
        <v>1102</v>
      </c>
      <c r="C733" s="61" t="s">
        <v>4296</v>
      </c>
      <c r="D733" s="61" t="s">
        <v>7838</v>
      </c>
      <c r="E733" s="61">
        <v>3164</v>
      </c>
      <c r="F733" s="61">
        <v>3238</v>
      </c>
      <c r="G733" s="61">
        <v>2025</v>
      </c>
      <c r="H733" s="61" t="s">
        <v>3416</v>
      </c>
      <c r="I733" s="61" t="s">
        <v>508</v>
      </c>
      <c r="J733" s="61"/>
      <c r="K733" s="61" t="s">
        <v>1982</v>
      </c>
      <c r="L733" s="61" t="s">
        <v>8273</v>
      </c>
      <c r="M733" s="475">
        <v>45722</v>
      </c>
      <c r="N733" s="475">
        <v>45733</v>
      </c>
      <c r="O733" s="475">
        <v>45733</v>
      </c>
      <c r="P733" s="475">
        <v>45734</v>
      </c>
      <c r="Q733" s="475">
        <v>45735</v>
      </c>
      <c r="R733" s="61">
        <f t="shared" si="52"/>
        <v>7</v>
      </c>
      <c r="S733" s="61">
        <f t="shared" si="53"/>
        <v>1</v>
      </c>
      <c r="T733" s="61">
        <f t="shared" si="50"/>
        <v>1</v>
      </c>
      <c r="U733" s="61">
        <f t="shared" si="51"/>
        <v>1</v>
      </c>
      <c r="V733" s="61" t="s">
        <v>150</v>
      </c>
      <c r="W733" s="61" t="s">
        <v>1078</v>
      </c>
      <c r="X733" s="61" t="s">
        <v>50</v>
      </c>
      <c r="Y733" s="61">
        <v>14.7056</v>
      </c>
      <c r="Z733" s="61">
        <v>120.9409</v>
      </c>
      <c r="AA733" s="61"/>
      <c r="AB733" s="61"/>
    </row>
    <row r="734" spans="1:28" s="2" customFormat="1" ht="15">
      <c r="A734" s="61" t="s">
        <v>776</v>
      </c>
      <c r="B734" s="61" t="s">
        <v>1102</v>
      </c>
      <c r="C734" s="61" t="s">
        <v>4298</v>
      </c>
      <c r="D734" s="61" t="s">
        <v>7838</v>
      </c>
      <c r="E734" s="61">
        <v>6866</v>
      </c>
      <c r="F734" s="61">
        <v>7078</v>
      </c>
      <c r="G734" s="61">
        <v>2025</v>
      </c>
      <c r="H734" s="61" t="s">
        <v>3689</v>
      </c>
      <c r="I734" s="61" t="s">
        <v>508</v>
      </c>
      <c r="J734" s="61"/>
      <c r="K734" s="61" t="s">
        <v>1982</v>
      </c>
      <c r="L734" s="61" t="s">
        <v>8274</v>
      </c>
      <c r="M734" s="475">
        <v>45821</v>
      </c>
      <c r="N734" s="475">
        <v>45826</v>
      </c>
      <c r="O734" s="61"/>
      <c r="P734" s="475">
        <v>45827</v>
      </c>
      <c r="Q734" s="475">
        <v>45827</v>
      </c>
      <c r="R734" s="61">
        <f t="shared" si="52"/>
        <v>3</v>
      </c>
      <c r="S734" s="61" t="str">
        <f t="shared" si="53"/>
        <v/>
      </c>
      <c r="T734" s="61">
        <f t="shared" si="50"/>
        <v>1</v>
      </c>
      <c r="U734" s="61">
        <f t="shared" si="51"/>
        <v>1</v>
      </c>
      <c r="V734" s="61" t="s">
        <v>150</v>
      </c>
      <c r="W734" s="61" t="s">
        <v>1078</v>
      </c>
      <c r="X734" s="61" t="s">
        <v>50</v>
      </c>
      <c r="Y734" s="61" t="s">
        <v>8275</v>
      </c>
      <c r="Z734" s="61" t="s">
        <v>8276</v>
      </c>
      <c r="AA734" s="61" t="s">
        <v>8272</v>
      </c>
      <c r="AB734" s="61"/>
    </row>
    <row r="735" spans="1:28" s="2" customFormat="1" ht="15">
      <c r="A735" s="61" t="s">
        <v>776</v>
      </c>
      <c r="B735" s="61" t="s">
        <v>1102</v>
      </c>
      <c r="C735" s="61" t="s">
        <v>902</v>
      </c>
      <c r="D735" s="61" t="s">
        <v>7838</v>
      </c>
      <c r="E735" s="61">
        <v>5218</v>
      </c>
      <c r="F735" s="61">
        <v>5045</v>
      </c>
      <c r="G735" s="61"/>
      <c r="H735" s="61"/>
      <c r="I735" s="61"/>
      <c r="J735" s="61"/>
      <c r="K735" s="61" t="s">
        <v>1982</v>
      </c>
      <c r="L735" s="61"/>
      <c r="M735" s="61"/>
      <c r="N735" s="61"/>
      <c r="O735" s="61"/>
      <c r="P735" s="61"/>
      <c r="Q735" s="61"/>
      <c r="R735" s="61" t="str">
        <f t="shared" si="52"/>
        <v/>
      </c>
      <c r="S735" s="61" t="str">
        <f t="shared" si="53"/>
        <v/>
      </c>
      <c r="T735" s="61" t="str">
        <f t="shared" si="50"/>
        <v/>
      </c>
      <c r="U735" s="61" t="str">
        <f t="shared" si="51"/>
        <v/>
      </c>
      <c r="V735" s="61"/>
      <c r="W735" s="61"/>
      <c r="X735" s="61"/>
      <c r="Y735" s="61"/>
      <c r="Z735" s="61"/>
      <c r="AA735" s="61"/>
      <c r="AB735" s="61"/>
    </row>
    <row r="736" spans="1:28" s="2" customFormat="1" ht="15">
      <c r="A736" s="61" t="s">
        <v>776</v>
      </c>
      <c r="B736" s="61" t="s">
        <v>1102</v>
      </c>
      <c r="C736" s="61" t="s">
        <v>4150</v>
      </c>
      <c r="D736" s="61" t="s">
        <v>7838</v>
      </c>
      <c r="E736" s="61">
        <v>2503</v>
      </c>
      <c r="F736" s="61">
        <v>2465</v>
      </c>
      <c r="G736" s="61"/>
      <c r="H736" s="61"/>
      <c r="I736" s="61"/>
      <c r="J736" s="61"/>
      <c r="K736" s="61" t="s">
        <v>1982</v>
      </c>
      <c r="L736" s="61"/>
      <c r="M736" s="61"/>
      <c r="N736" s="61"/>
      <c r="O736" s="61"/>
      <c r="P736" s="61"/>
      <c r="Q736" s="61"/>
      <c r="R736" s="61" t="str">
        <f t="shared" si="52"/>
        <v/>
      </c>
      <c r="S736" s="61" t="str">
        <f t="shared" si="53"/>
        <v/>
      </c>
      <c r="T736" s="61" t="str">
        <f t="shared" si="50"/>
        <v/>
      </c>
      <c r="U736" s="61" t="str">
        <f t="shared" si="51"/>
        <v/>
      </c>
      <c r="V736" s="61"/>
      <c r="W736" s="61"/>
      <c r="X736" s="61"/>
      <c r="Y736" s="61"/>
      <c r="Z736" s="61"/>
      <c r="AA736" s="61"/>
      <c r="AB736" s="61"/>
    </row>
    <row r="737" spans="1:28" s="2" customFormat="1" ht="15">
      <c r="A737" s="61" t="s">
        <v>776</v>
      </c>
      <c r="B737" s="61" t="s">
        <v>1102</v>
      </c>
      <c r="C737" s="61" t="s">
        <v>4154</v>
      </c>
      <c r="D737" s="61" t="s">
        <v>7838</v>
      </c>
      <c r="E737" s="61">
        <v>8452</v>
      </c>
      <c r="F737" s="61">
        <v>8885</v>
      </c>
      <c r="G737" s="61"/>
      <c r="H737" s="61"/>
      <c r="I737" s="61"/>
      <c r="J737" s="61"/>
      <c r="K737" s="61" t="s">
        <v>1982</v>
      </c>
      <c r="L737" s="61"/>
      <c r="M737" s="61"/>
      <c r="N737" s="61"/>
      <c r="O737" s="61"/>
      <c r="P737" s="61"/>
      <c r="Q737" s="61"/>
      <c r="R737" s="61" t="str">
        <f t="shared" si="52"/>
        <v/>
      </c>
      <c r="S737" s="61" t="str">
        <f t="shared" si="53"/>
        <v/>
      </c>
      <c r="T737" s="61" t="str">
        <f t="shared" si="50"/>
        <v/>
      </c>
      <c r="U737" s="61" t="str">
        <f t="shared" si="51"/>
        <v/>
      </c>
      <c r="V737" s="61"/>
      <c r="W737" s="61"/>
      <c r="X737" s="61"/>
      <c r="Y737" s="61"/>
      <c r="Z737" s="61"/>
      <c r="AA737" s="61"/>
      <c r="AB737" s="61"/>
    </row>
    <row r="738" spans="1:28" s="2" customFormat="1" ht="15">
      <c r="A738" s="61" t="s">
        <v>776</v>
      </c>
      <c r="B738" s="61" t="s">
        <v>1102</v>
      </c>
      <c r="C738" s="61" t="s">
        <v>4299</v>
      </c>
      <c r="D738" s="61" t="s">
        <v>7838</v>
      </c>
      <c r="E738" s="61">
        <v>3458</v>
      </c>
      <c r="F738" s="61">
        <v>3448</v>
      </c>
      <c r="G738" s="61"/>
      <c r="H738" s="61"/>
      <c r="I738" s="61"/>
      <c r="J738" s="61"/>
      <c r="K738" s="61" t="s">
        <v>1982</v>
      </c>
      <c r="L738" s="61"/>
      <c r="M738" s="61"/>
      <c r="N738" s="61"/>
      <c r="O738" s="61"/>
      <c r="P738" s="61"/>
      <c r="Q738" s="61"/>
      <c r="R738" s="61" t="str">
        <f t="shared" si="52"/>
        <v/>
      </c>
      <c r="S738" s="61" t="str">
        <f t="shared" si="53"/>
        <v/>
      </c>
      <c r="T738" s="61" t="str">
        <f t="shared" si="50"/>
        <v/>
      </c>
      <c r="U738" s="61" t="str">
        <f t="shared" si="51"/>
        <v/>
      </c>
      <c r="V738" s="61"/>
      <c r="W738" s="61"/>
      <c r="X738" s="61"/>
      <c r="Y738" s="61"/>
      <c r="Z738" s="61"/>
      <c r="AA738" s="61"/>
      <c r="AB738" s="61"/>
    </row>
    <row r="739" spans="1:28" s="2" customFormat="1" ht="15">
      <c r="A739" s="61" t="s">
        <v>776</v>
      </c>
      <c r="B739" s="61" t="s">
        <v>1102</v>
      </c>
      <c r="C739" s="61" t="s">
        <v>4300</v>
      </c>
      <c r="D739" s="61" t="s">
        <v>7838</v>
      </c>
      <c r="E739" s="61">
        <v>6113</v>
      </c>
      <c r="F739" s="61">
        <v>5500</v>
      </c>
      <c r="G739" s="61"/>
      <c r="H739" s="61"/>
      <c r="I739" s="61"/>
      <c r="J739" s="61"/>
      <c r="K739" s="61" t="s">
        <v>1982</v>
      </c>
      <c r="L739" s="61"/>
      <c r="M739" s="61"/>
      <c r="N739" s="61"/>
      <c r="O739" s="61"/>
      <c r="P739" s="61"/>
      <c r="Q739" s="61"/>
      <c r="R739" s="61" t="str">
        <f t="shared" si="52"/>
        <v/>
      </c>
      <c r="S739" s="61" t="str">
        <f t="shared" si="53"/>
        <v/>
      </c>
      <c r="T739" s="61" t="str">
        <f t="shared" si="50"/>
        <v/>
      </c>
      <c r="U739" s="61" t="str">
        <f t="shared" si="51"/>
        <v/>
      </c>
      <c r="V739" s="61"/>
      <c r="W739" s="61"/>
      <c r="X739" s="61"/>
      <c r="Y739" s="61"/>
      <c r="Z739" s="61"/>
      <c r="AA739" s="61"/>
      <c r="AB739" s="61"/>
    </row>
    <row r="740" spans="1:28" s="2" customFormat="1" ht="15">
      <c r="A740" s="61" t="s">
        <v>776</v>
      </c>
      <c r="B740" s="61" t="s">
        <v>1102</v>
      </c>
      <c r="C740" s="61" t="s">
        <v>1107</v>
      </c>
      <c r="D740" s="61" t="s">
        <v>7838</v>
      </c>
      <c r="E740" s="61">
        <v>12763</v>
      </c>
      <c r="F740" s="61">
        <v>13122</v>
      </c>
      <c r="G740" s="61"/>
      <c r="H740" s="61"/>
      <c r="I740" s="61"/>
      <c r="J740" s="61"/>
      <c r="K740" s="61" t="s">
        <v>1982</v>
      </c>
      <c r="L740" s="61"/>
      <c r="M740" s="61"/>
      <c r="N740" s="61"/>
      <c r="O740" s="61"/>
      <c r="P740" s="61"/>
      <c r="Q740" s="61"/>
      <c r="R740" s="61" t="str">
        <f t="shared" si="52"/>
        <v/>
      </c>
      <c r="S740" s="61" t="str">
        <f t="shared" si="53"/>
        <v/>
      </c>
      <c r="T740" s="61" t="str">
        <f t="shared" si="50"/>
        <v/>
      </c>
      <c r="U740" s="61" t="str">
        <f t="shared" si="51"/>
        <v/>
      </c>
      <c r="V740" s="61"/>
      <c r="W740" s="61"/>
      <c r="X740" s="61"/>
      <c r="Y740" s="61"/>
      <c r="Z740" s="61"/>
      <c r="AA740" s="61"/>
      <c r="AB740" s="61"/>
    </row>
    <row r="741" spans="1:28" s="2" customFormat="1" ht="15">
      <c r="A741" s="61" t="s">
        <v>776</v>
      </c>
      <c r="B741" s="61" t="s">
        <v>1102</v>
      </c>
      <c r="C741" s="61" t="s">
        <v>4301</v>
      </c>
      <c r="D741" s="61" t="s">
        <v>7838</v>
      </c>
      <c r="E741" s="61">
        <v>1575</v>
      </c>
      <c r="F741" s="61">
        <v>1575</v>
      </c>
      <c r="G741" s="61"/>
      <c r="H741" s="61"/>
      <c r="I741" s="61"/>
      <c r="J741" s="61"/>
      <c r="K741" s="61" t="s">
        <v>1982</v>
      </c>
      <c r="L741" s="61"/>
      <c r="M741" s="61"/>
      <c r="N741" s="61"/>
      <c r="O741" s="61"/>
      <c r="P741" s="61"/>
      <c r="Q741" s="61"/>
      <c r="R741" s="61" t="str">
        <f t="shared" si="52"/>
        <v/>
      </c>
      <c r="S741" s="61" t="str">
        <f t="shared" si="53"/>
        <v/>
      </c>
      <c r="T741" s="61" t="str">
        <f t="shared" ref="T741:T772" si="54">IF(
  OR(A741 = "Nueva_Ecija", A741 = "Zambales"),
  IF(
    OR(ISBLANK(O741), ISBLANK(P741)),
    "",
    MAX(1, IF(
      NETWORKDAYS(O741, P741) &lt;= 0,
      1,
      NETWORKDAYS(O741, P741) - IF(O741 = P741, 0, 1)
    ))
  ),
  IF(
    OR(ISBLANK(N741), ISBLANK(P741)),
    "",
    MAX(1, IF(
      NETWORKDAYS(N741, P741) &lt;= 0,
      1,
      NETWORKDAYS(N741, P741) - IF(N741 = P741, 0, 1)
    ))
  )
)</f>
        <v/>
      </c>
      <c r="U741" s="61" t="str">
        <f t="shared" si="51"/>
        <v/>
      </c>
      <c r="V741" s="61"/>
      <c r="W741" s="61"/>
      <c r="X741" s="61"/>
      <c r="Y741" s="61"/>
      <c r="Z741" s="61"/>
      <c r="AA741" s="61"/>
      <c r="AB741" s="61"/>
    </row>
    <row r="742" spans="1:28" s="2" customFormat="1" ht="15">
      <c r="A742" s="61" t="s">
        <v>776</v>
      </c>
      <c r="B742" s="61" t="s">
        <v>1102</v>
      </c>
      <c r="C742" s="61" t="s">
        <v>1234</v>
      </c>
      <c r="D742" s="61" t="s">
        <v>7838</v>
      </c>
      <c r="E742" s="61">
        <v>7228</v>
      </c>
      <c r="F742" s="61">
        <v>7769</v>
      </c>
      <c r="G742" s="61"/>
      <c r="H742" s="61"/>
      <c r="I742" s="61"/>
      <c r="J742" s="61"/>
      <c r="K742" s="61" t="s">
        <v>1982</v>
      </c>
      <c r="L742" s="61"/>
      <c r="M742" s="61"/>
      <c r="N742" s="61"/>
      <c r="O742" s="61"/>
      <c r="P742" s="61"/>
      <c r="Q742" s="61"/>
      <c r="R742" s="61" t="str">
        <f t="shared" si="52"/>
        <v/>
      </c>
      <c r="S742" s="61" t="str">
        <f t="shared" si="53"/>
        <v/>
      </c>
      <c r="T742" s="61" t="str">
        <f t="shared" si="54"/>
        <v/>
      </c>
      <c r="U742" s="61" t="str">
        <f t="shared" si="51"/>
        <v/>
      </c>
      <c r="V742" s="61"/>
      <c r="W742" s="61"/>
      <c r="X742" s="61"/>
      <c r="Y742" s="61"/>
      <c r="Z742" s="61"/>
      <c r="AA742" s="61"/>
      <c r="AB742" s="61"/>
    </row>
    <row r="743" spans="1:28" s="2" customFormat="1" ht="15">
      <c r="A743" s="61" t="s">
        <v>776</v>
      </c>
      <c r="B743" s="61" t="s">
        <v>1114</v>
      </c>
      <c r="C743" s="61" t="s">
        <v>4140</v>
      </c>
      <c r="D743" s="61" t="s">
        <v>7838</v>
      </c>
      <c r="E743" s="61">
        <v>2327</v>
      </c>
      <c r="F743" s="61">
        <v>2445</v>
      </c>
      <c r="G743" s="61">
        <v>2025</v>
      </c>
      <c r="H743" s="61" t="s">
        <v>3470</v>
      </c>
      <c r="I743" s="61" t="s">
        <v>200</v>
      </c>
      <c r="J743" s="61"/>
      <c r="K743" s="61" t="s">
        <v>1982</v>
      </c>
      <c r="L743" s="61" t="s">
        <v>8277</v>
      </c>
      <c r="M743" s="475">
        <v>45750</v>
      </c>
      <c r="N743" s="475">
        <v>45752</v>
      </c>
      <c r="O743" s="475"/>
      <c r="P743" s="475">
        <v>45757</v>
      </c>
      <c r="Q743" s="475">
        <v>45761</v>
      </c>
      <c r="R743" s="61">
        <f t="shared" si="52"/>
        <v>1</v>
      </c>
      <c r="S743" s="61" t="str">
        <f t="shared" si="53"/>
        <v/>
      </c>
      <c r="T743" s="61">
        <f t="shared" si="54"/>
        <v>3</v>
      </c>
      <c r="U743" s="61">
        <f t="shared" si="51"/>
        <v>2</v>
      </c>
      <c r="V743" s="61" t="s">
        <v>150</v>
      </c>
      <c r="W743" s="61" t="s">
        <v>4</v>
      </c>
      <c r="X743" s="61" t="s">
        <v>50</v>
      </c>
      <c r="Y743" s="61" t="s">
        <v>8278</v>
      </c>
      <c r="Z743" s="61" t="s">
        <v>8279</v>
      </c>
      <c r="AA743" s="61" t="s">
        <v>404</v>
      </c>
      <c r="AB743" s="61"/>
    </row>
    <row r="744" spans="1:28" s="2" customFormat="1" ht="15">
      <c r="A744" s="61" t="s">
        <v>776</v>
      </c>
      <c r="B744" s="61" t="s">
        <v>1114</v>
      </c>
      <c r="C744" s="61" t="s">
        <v>4303</v>
      </c>
      <c r="D744" s="61" t="s">
        <v>7838</v>
      </c>
      <c r="E744" s="61">
        <v>10857</v>
      </c>
      <c r="F744" s="61">
        <v>15340</v>
      </c>
      <c r="G744" s="61">
        <v>2025</v>
      </c>
      <c r="H744" s="61" t="s">
        <v>3458</v>
      </c>
      <c r="I744" s="61" t="s">
        <v>200</v>
      </c>
      <c r="J744" s="61" t="s">
        <v>328</v>
      </c>
      <c r="K744" s="61" t="s">
        <v>1982</v>
      </c>
      <c r="L744" s="61" t="s">
        <v>8280</v>
      </c>
      <c r="M744" s="475">
        <v>45706</v>
      </c>
      <c r="N744" s="475">
        <v>45706</v>
      </c>
      <c r="O744" s="475">
        <v>45706</v>
      </c>
      <c r="P744" s="475">
        <v>45706</v>
      </c>
      <c r="Q744" s="475">
        <v>45707</v>
      </c>
      <c r="R744" s="61">
        <f t="shared" si="52"/>
        <v>1</v>
      </c>
      <c r="S744" s="61">
        <f t="shared" si="53"/>
        <v>1</v>
      </c>
      <c r="T744" s="61">
        <f t="shared" si="54"/>
        <v>1</v>
      </c>
      <c r="U744" s="61">
        <f t="shared" si="51"/>
        <v>1</v>
      </c>
      <c r="V744" s="61" t="s">
        <v>150</v>
      </c>
      <c r="W744" s="61" t="s">
        <v>4</v>
      </c>
      <c r="X744" s="61" t="s">
        <v>50</v>
      </c>
      <c r="Y744" s="61"/>
      <c r="Z744" s="61"/>
      <c r="AA744" s="61" t="s">
        <v>404</v>
      </c>
      <c r="AB744" s="61"/>
    </row>
    <row r="745" spans="1:28" s="2" customFormat="1" ht="15">
      <c r="A745" s="61" t="s">
        <v>776</v>
      </c>
      <c r="B745" s="61" t="s">
        <v>1114</v>
      </c>
      <c r="C745" s="61" t="s">
        <v>4305</v>
      </c>
      <c r="D745" s="61" t="s">
        <v>7838</v>
      </c>
      <c r="E745" s="61">
        <v>4607</v>
      </c>
      <c r="F745" s="61">
        <v>5326</v>
      </c>
      <c r="G745" s="61">
        <v>2025</v>
      </c>
      <c r="H745" s="61" t="s">
        <v>4334</v>
      </c>
      <c r="I745" s="61" t="s">
        <v>200</v>
      </c>
      <c r="J745" s="61" t="s">
        <v>388</v>
      </c>
      <c r="K745" s="61" t="s">
        <v>1982</v>
      </c>
      <c r="L745" s="61" t="s">
        <v>8281</v>
      </c>
      <c r="M745" s="475">
        <v>45819</v>
      </c>
      <c r="N745" s="475">
        <v>45822</v>
      </c>
      <c r="O745" s="475">
        <v>45823</v>
      </c>
      <c r="P745" s="475">
        <v>45826</v>
      </c>
      <c r="Q745" s="475">
        <v>45827</v>
      </c>
      <c r="R745" s="61">
        <f t="shared" si="52"/>
        <v>2</v>
      </c>
      <c r="S745" s="61">
        <f t="shared" si="53"/>
        <v>1</v>
      </c>
      <c r="T745" s="61">
        <f t="shared" si="54"/>
        <v>2</v>
      </c>
      <c r="U745" s="61">
        <f t="shared" si="51"/>
        <v>1</v>
      </c>
      <c r="V745" s="61" t="s">
        <v>150</v>
      </c>
      <c r="W745" s="61" t="s">
        <v>4</v>
      </c>
      <c r="X745" s="61" t="s">
        <v>50</v>
      </c>
      <c r="Y745" s="61">
        <v>14.863300000000001</v>
      </c>
      <c r="Z745" s="61">
        <v>120.9371</v>
      </c>
      <c r="AA745" s="61" t="s">
        <v>330</v>
      </c>
      <c r="AB745" s="61"/>
    </row>
    <row r="746" spans="1:28" s="2" customFormat="1" ht="15">
      <c r="A746" s="61" t="s">
        <v>776</v>
      </c>
      <c r="B746" s="61" t="s">
        <v>1114</v>
      </c>
      <c r="C746" s="61" t="s">
        <v>4307</v>
      </c>
      <c r="D746" s="61" t="s">
        <v>7838</v>
      </c>
      <c r="E746" s="61">
        <v>3404</v>
      </c>
      <c r="F746" s="61">
        <v>3651</v>
      </c>
      <c r="G746" s="61">
        <v>2025</v>
      </c>
      <c r="H746" s="61" t="s">
        <v>3458</v>
      </c>
      <c r="I746" s="61" t="s">
        <v>200</v>
      </c>
      <c r="J746" s="61" t="s">
        <v>328</v>
      </c>
      <c r="K746" s="61" t="s">
        <v>1982</v>
      </c>
      <c r="L746" s="61" t="s">
        <v>8282</v>
      </c>
      <c r="M746" s="475">
        <v>45706</v>
      </c>
      <c r="N746" s="475">
        <v>45706</v>
      </c>
      <c r="O746" s="475">
        <v>45706</v>
      </c>
      <c r="P746" s="475">
        <v>45706</v>
      </c>
      <c r="Q746" s="475">
        <v>45707</v>
      </c>
      <c r="R746" s="61">
        <f t="shared" si="52"/>
        <v>1</v>
      </c>
      <c r="S746" s="61">
        <f t="shared" si="53"/>
        <v>1</v>
      </c>
      <c r="T746" s="61">
        <f t="shared" si="54"/>
        <v>1</v>
      </c>
      <c r="U746" s="61">
        <f t="shared" si="51"/>
        <v>1</v>
      </c>
      <c r="V746" s="61" t="s">
        <v>150</v>
      </c>
      <c r="W746" s="61" t="s">
        <v>4</v>
      </c>
      <c r="X746" s="61" t="s">
        <v>50</v>
      </c>
      <c r="Y746" s="61"/>
      <c r="Z746" s="61"/>
      <c r="AA746" s="61" t="s">
        <v>404</v>
      </c>
      <c r="AB746" s="61"/>
    </row>
    <row r="747" spans="1:28" s="2" customFormat="1" ht="15">
      <c r="A747" s="61" t="s">
        <v>776</v>
      </c>
      <c r="B747" s="61" t="s">
        <v>1114</v>
      </c>
      <c r="C747" s="61" t="s">
        <v>4308</v>
      </c>
      <c r="D747" s="61" t="s">
        <v>7838</v>
      </c>
      <c r="E747" s="61">
        <v>2416</v>
      </c>
      <c r="F747" s="61">
        <v>2451</v>
      </c>
      <c r="G747" s="61">
        <v>2025</v>
      </c>
      <c r="H747" s="61" t="s">
        <v>4334</v>
      </c>
      <c r="I747" s="61" t="s">
        <v>200</v>
      </c>
      <c r="J747" s="61" t="s">
        <v>388</v>
      </c>
      <c r="K747" s="61" t="s">
        <v>1982</v>
      </c>
      <c r="L747" s="61" t="s">
        <v>8283</v>
      </c>
      <c r="M747" s="475">
        <v>45819</v>
      </c>
      <c r="N747" s="475">
        <v>45822</v>
      </c>
      <c r="O747" s="475">
        <v>45823</v>
      </c>
      <c r="P747" s="475">
        <v>45826</v>
      </c>
      <c r="Q747" s="475">
        <v>45827</v>
      </c>
      <c r="R747" s="61">
        <f t="shared" si="52"/>
        <v>2</v>
      </c>
      <c r="S747" s="61">
        <f t="shared" si="53"/>
        <v>1</v>
      </c>
      <c r="T747" s="61">
        <f t="shared" si="54"/>
        <v>2</v>
      </c>
      <c r="U747" s="61">
        <f t="shared" si="51"/>
        <v>1</v>
      </c>
      <c r="V747" s="61" t="s">
        <v>150</v>
      </c>
      <c r="W747" s="61" t="s">
        <v>4</v>
      </c>
      <c r="X747" s="61" t="s">
        <v>50</v>
      </c>
      <c r="Y747" s="61">
        <v>14.8621</v>
      </c>
      <c r="Z747" s="61">
        <v>120.9299</v>
      </c>
      <c r="AA747" s="61" t="s">
        <v>330</v>
      </c>
      <c r="AB747" s="61"/>
    </row>
    <row r="748" spans="1:28" s="2" customFormat="1" ht="15">
      <c r="A748" s="61" t="s">
        <v>776</v>
      </c>
      <c r="B748" s="61" t="s">
        <v>1114</v>
      </c>
      <c r="C748" s="61" t="s">
        <v>4310</v>
      </c>
      <c r="D748" s="61" t="s">
        <v>7838</v>
      </c>
      <c r="E748" s="61">
        <v>1434</v>
      </c>
      <c r="F748" s="61">
        <v>14638</v>
      </c>
      <c r="G748" s="61">
        <v>2025</v>
      </c>
      <c r="H748" s="61" t="s">
        <v>4334</v>
      </c>
      <c r="I748" s="61" t="s">
        <v>200</v>
      </c>
      <c r="J748" s="61" t="s">
        <v>388</v>
      </c>
      <c r="K748" s="61" t="s">
        <v>1982</v>
      </c>
      <c r="L748" s="61" t="s">
        <v>8284</v>
      </c>
      <c r="M748" s="475">
        <v>45819</v>
      </c>
      <c r="N748" s="475">
        <v>45822</v>
      </c>
      <c r="O748" s="475">
        <v>45823</v>
      </c>
      <c r="P748" s="475">
        <v>45826</v>
      </c>
      <c r="Q748" s="475">
        <v>45827</v>
      </c>
      <c r="R748" s="61">
        <f t="shared" si="52"/>
        <v>2</v>
      </c>
      <c r="S748" s="61">
        <f t="shared" si="53"/>
        <v>1</v>
      </c>
      <c r="T748" s="61">
        <f t="shared" si="54"/>
        <v>2</v>
      </c>
      <c r="U748" s="61">
        <f t="shared" si="51"/>
        <v>1</v>
      </c>
      <c r="V748" s="61" t="s">
        <v>150</v>
      </c>
      <c r="W748" s="61" t="s">
        <v>4</v>
      </c>
      <c r="X748" s="61" t="s">
        <v>50</v>
      </c>
      <c r="Y748" s="61">
        <v>14.9053</v>
      </c>
      <c r="Z748" s="61">
        <v>120.96080000000001</v>
      </c>
      <c r="AA748" s="61"/>
      <c r="AB748" s="61"/>
    </row>
    <row r="749" spans="1:28" s="2" customFormat="1" ht="15">
      <c r="A749" s="61" t="s">
        <v>776</v>
      </c>
      <c r="B749" s="61" t="s">
        <v>1114</v>
      </c>
      <c r="C749" s="61" t="s">
        <v>1115</v>
      </c>
      <c r="D749" s="61" t="s">
        <v>7838</v>
      </c>
      <c r="E749" s="61">
        <v>6193</v>
      </c>
      <c r="F749" s="61">
        <v>12494</v>
      </c>
      <c r="G749" s="61">
        <v>2025</v>
      </c>
      <c r="H749" s="61" t="s">
        <v>3458</v>
      </c>
      <c r="I749" s="61" t="s">
        <v>200</v>
      </c>
      <c r="J749" s="61" t="s">
        <v>328</v>
      </c>
      <c r="K749" s="61" t="s">
        <v>1982</v>
      </c>
      <c r="L749" s="61" t="s">
        <v>8285</v>
      </c>
      <c r="M749" s="475">
        <v>45695</v>
      </c>
      <c r="N749" s="475">
        <v>45697</v>
      </c>
      <c r="O749" s="475">
        <v>45698</v>
      </c>
      <c r="P749" s="475">
        <v>45699</v>
      </c>
      <c r="Q749" s="475">
        <v>45701</v>
      </c>
      <c r="R749" s="61">
        <f t="shared" si="52"/>
        <v>1</v>
      </c>
      <c r="S749" s="61">
        <f t="shared" si="53"/>
        <v>1</v>
      </c>
      <c r="T749" s="61">
        <f t="shared" si="54"/>
        <v>1</v>
      </c>
      <c r="U749" s="61">
        <f t="shared" si="51"/>
        <v>2</v>
      </c>
      <c r="V749" s="61" t="s">
        <v>150</v>
      </c>
      <c r="W749" s="61" t="s">
        <v>4</v>
      </c>
      <c r="X749" s="61" t="s">
        <v>50</v>
      </c>
      <c r="Y749" s="61"/>
      <c r="Z749" s="61"/>
      <c r="AA749" s="61" t="s">
        <v>404</v>
      </c>
      <c r="AB749" s="61"/>
    </row>
    <row r="750" spans="1:28" s="2" customFormat="1" ht="15">
      <c r="A750" s="61" t="s">
        <v>776</v>
      </c>
      <c r="B750" s="61" t="s">
        <v>1114</v>
      </c>
      <c r="C750" s="61" t="s">
        <v>1123</v>
      </c>
      <c r="D750" s="61" t="s">
        <v>7838</v>
      </c>
      <c r="E750" s="61">
        <v>8775</v>
      </c>
      <c r="F750" s="61">
        <v>30233</v>
      </c>
      <c r="G750" s="61">
        <v>2025</v>
      </c>
      <c r="H750" s="61" t="s">
        <v>3458</v>
      </c>
      <c r="I750" s="61" t="s">
        <v>200</v>
      </c>
      <c r="J750" s="61" t="s">
        <v>328</v>
      </c>
      <c r="K750" s="61" t="s">
        <v>1982</v>
      </c>
      <c r="L750" s="61" t="s">
        <v>8286</v>
      </c>
      <c r="M750" s="475">
        <v>45695</v>
      </c>
      <c r="N750" s="475">
        <v>45697</v>
      </c>
      <c r="O750" s="475">
        <v>45705</v>
      </c>
      <c r="P750" s="475">
        <v>45705</v>
      </c>
      <c r="Q750" s="475">
        <v>45706</v>
      </c>
      <c r="R750" s="61">
        <f t="shared" si="52"/>
        <v>1</v>
      </c>
      <c r="S750" s="61">
        <f t="shared" si="53"/>
        <v>5</v>
      </c>
      <c r="T750" s="61">
        <f t="shared" si="54"/>
        <v>5</v>
      </c>
      <c r="U750" s="61">
        <f t="shared" si="51"/>
        <v>1</v>
      </c>
      <c r="V750" s="61" t="s">
        <v>150</v>
      </c>
      <c r="W750" s="61" t="s">
        <v>4</v>
      </c>
      <c r="X750" s="61" t="s">
        <v>50</v>
      </c>
      <c r="Y750" s="61"/>
      <c r="Z750" s="61"/>
      <c r="AA750" s="61" t="s">
        <v>404</v>
      </c>
      <c r="AB750" s="61"/>
    </row>
    <row r="751" spans="1:28" s="2" customFormat="1" ht="15">
      <c r="A751" s="61" t="s">
        <v>776</v>
      </c>
      <c r="B751" s="61" t="s">
        <v>1114</v>
      </c>
      <c r="C751" s="61" t="s">
        <v>4318</v>
      </c>
      <c r="D751" s="61" t="s">
        <v>7838</v>
      </c>
      <c r="E751" s="61">
        <v>2496</v>
      </c>
      <c r="F751" s="61">
        <v>2938</v>
      </c>
      <c r="G751" s="61">
        <v>2025</v>
      </c>
      <c r="H751" s="61" t="s">
        <v>3470</v>
      </c>
      <c r="I751" s="61" t="s">
        <v>200</v>
      </c>
      <c r="J751" s="61"/>
      <c r="K751" s="61" t="s">
        <v>1982</v>
      </c>
      <c r="L751" s="61" t="s">
        <v>8287</v>
      </c>
      <c r="M751" s="475">
        <v>45750</v>
      </c>
      <c r="N751" s="475">
        <v>45752</v>
      </c>
      <c r="O751" s="61"/>
      <c r="P751" s="475">
        <v>45757</v>
      </c>
      <c r="Q751" s="475">
        <v>45761</v>
      </c>
      <c r="R751" s="61">
        <f t="shared" si="52"/>
        <v>1</v>
      </c>
      <c r="S751" s="61" t="str">
        <f t="shared" si="53"/>
        <v/>
      </c>
      <c r="T751" s="61">
        <f t="shared" si="54"/>
        <v>3</v>
      </c>
      <c r="U751" s="61">
        <f t="shared" si="51"/>
        <v>2</v>
      </c>
      <c r="V751" s="61" t="s">
        <v>150</v>
      </c>
      <c r="W751" s="61" t="s">
        <v>4</v>
      </c>
      <c r="X751" s="61" t="s">
        <v>50</v>
      </c>
      <c r="Y751" s="61">
        <v>14.883900000000001</v>
      </c>
      <c r="Z751" s="61">
        <v>120.9288</v>
      </c>
      <c r="AA751" s="61"/>
      <c r="AB751" s="61"/>
    </row>
    <row r="752" spans="1:28" s="2" customFormat="1" ht="15">
      <c r="A752" s="61" t="s">
        <v>776</v>
      </c>
      <c r="B752" s="61" t="s">
        <v>1114</v>
      </c>
      <c r="C752" s="61" t="s">
        <v>4304</v>
      </c>
      <c r="D752" s="61" t="s">
        <v>7838</v>
      </c>
      <c r="E752" s="61">
        <v>848</v>
      </c>
      <c r="F752" s="61">
        <v>759</v>
      </c>
      <c r="G752" s="61"/>
      <c r="H752" s="61"/>
      <c r="I752" s="61" t="s">
        <v>200</v>
      </c>
      <c r="J752" s="61"/>
      <c r="K752" s="61" t="s">
        <v>1982</v>
      </c>
      <c r="L752" s="61"/>
      <c r="M752" s="61"/>
      <c r="N752" s="61"/>
      <c r="O752" s="61"/>
      <c r="P752" s="61"/>
      <c r="Q752" s="61"/>
      <c r="R752" s="61" t="str">
        <f t="shared" si="52"/>
        <v/>
      </c>
      <c r="S752" s="61" t="str">
        <f t="shared" si="53"/>
        <v/>
      </c>
      <c r="T752" s="61" t="str">
        <f t="shared" si="54"/>
        <v/>
      </c>
      <c r="U752" s="61" t="str">
        <f t="shared" si="51"/>
        <v/>
      </c>
      <c r="V752" s="61"/>
      <c r="W752" s="61"/>
      <c r="X752" s="61"/>
      <c r="Y752" s="61"/>
      <c r="Z752" s="61"/>
      <c r="AA752" s="61"/>
      <c r="AB752" s="61"/>
    </row>
    <row r="753" spans="1:28" s="2" customFormat="1" ht="15">
      <c r="A753" s="61" t="s">
        <v>776</v>
      </c>
      <c r="B753" s="61" t="s">
        <v>1114</v>
      </c>
      <c r="C753" s="61" t="s">
        <v>4313</v>
      </c>
      <c r="D753" s="61" t="s">
        <v>7838</v>
      </c>
      <c r="E753" s="61">
        <v>2719</v>
      </c>
      <c r="F753" s="61">
        <v>2965</v>
      </c>
      <c r="G753" s="61"/>
      <c r="H753" s="61"/>
      <c r="I753" s="61" t="s">
        <v>200</v>
      </c>
      <c r="J753" s="61"/>
      <c r="K753" s="61" t="s">
        <v>1982</v>
      </c>
      <c r="L753" s="61"/>
      <c r="M753" s="61"/>
      <c r="N753" s="61"/>
      <c r="O753" s="61"/>
      <c r="P753" s="61"/>
      <c r="Q753" s="61"/>
      <c r="R753" s="61" t="str">
        <f t="shared" si="52"/>
        <v/>
      </c>
      <c r="S753" s="61" t="str">
        <f t="shared" si="53"/>
        <v/>
      </c>
      <c r="T753" s="61" t="str">
        <f t="shared" si="54"/>
        <v/>
      </c>
      <c r="U753" s="61" t="str">
        <f t="shared" si="51"/>
        <v/>
      </c>
      <c r="V753" s="61"/>
      <c r="W753" s="61"/>
      <c r="X753" s="61"/>
      <c r="Y753" s="61"/>
      <c r="Z753" s="61"/>
      <c r="AA753" s="61"/>
      <c r="AB753" s="61"/>
    </row>
    <row r="754" spans="1:28" s="2" customFormat="1" ht="15">
      <c r="A754" s="61" t="s">
        <v>776</v>
      </c>
      <c r="B754" s="61" t="s">
        <v>1114</v>
      </c>
      <c r="C754" s="61" t="s">
        <v>4314</v>
      </c>
      <c r="D754" s="61" t="s">
        <v>7838</v>
      </c>
      <c r="E754" s="61">
        <v>2387</v>
      </c>
      <c r="F754" s="61">
        <v>2578</v>
      </c>
      <c r="G754" s="61"/>
      <c r="H754" s="61"/>
      <c r="I754" s="61" t="s">
        <v>200</v>
      </c>
      <c r="J754" s="61"/>
      <c r="K754" s="61" t="s">
        <v>1982</v>
      </c>
      <c r="L754" s="61"/>
      <c r="M754" s="61"/>
      <c r="N754" s="61"/>
      <c r="O754" s="61"/>
      <c r="P754" s="61"/>
      <c r="Q754" s="61"/>
      <c r="R754" s="61" t="str">
        <f t="shared" si="52"/>
        <v/>
      </c>
      <c r="S754" s="61" t="str">
        <f t="shared" si="53"/>
        <v/>
      </c>
      <c r="T754" s="61" t="str">
        <f t="shared" si="54"/>
        <v/>
      </c>
      <c r="U754" s="61" t="str">
        <f t="shared" si="51"/>
        <v/>
      </c>
      <c r="V754" s="61"/>
      <c r="W754" s="61"/>
      <c r="X754" s="61"/>
      <c r="Y754" s="61"/>
      <c r="Z754" s="61"/>
      <c r="AA754" s="61"/>
      <c r="AB754" s="61"/>
    </row>
    <row r="755" spans="1:28" s="2" customFormat="1" ht="15">
      <c r="A755" s="61" t="s">
        <v>776</v>
      </c>
      <c r="B755" s="61" t="s">
        <v>1114</v>
      </c>
      <c r="C755" s="61" t="s">
        <v>4315</v>
      </c>
      <c r="D755" s="61" t="s">
        <v>7838</v>
      </c>
      <c r="E755" s="61">
        <v>6296</v>
      </c>
      <c r="F755" s="61">
        <v>6813</v>
      </c>
      <c r="G755" s="61"/>
      <c r="H755" s="61"/>
      <c r="I755" s="61" t="s">
        <v>200</v>
      </c>
      <c r="J755" s="61"/>
      <c r="K755" s="61" t="s">
        <v>1982</v>
      </c>
      <c r="L755" s="61"/>
      <c r="M755" s="61"/>
      <c r="N755" s="61"/>
      <c r="O755" s="61"/>
      <c r="P755" s="61"/>
      <c r="Q755" s="61"/>
      <c r="R755" s="61" t="str">
        <f t="shared" si="52"/>
        <v/>
      </c>
      <c r="S755" s="61" t="str">
        <f t="shared" si="53"/>
        <v/>
      </c>
      <c r="T755" s="61" t="str">
        <f t="shared" si="54"/>
        <v/>
      </c>
      <c r="U755" s="61" t="str">
        <f t="shared" si="51"/>
        <v/>
      </c>
      <c r="V755" s="61"/>
      <c r="W755" s="61"/>
      <c r="X755" s="61"/>
      <c r="Y755" s="61"/>
      <c r="Z755" s="61"/>
      <c r="AA755" s="61"/>
      <c r="AB755" s="61"/>
    </row>
    <row r="756" spans="1:28" s="2" customFormat="1" ht="15">
      <c r="A756" s="61" t="s">
        <v>776</v>
      </c>
      <c r="B756" s="61" t="s">
        <v>1114</v>
      </c>
      <c r="C756" s="61" t="s">
        <v>4316</v>
      </c>
      <c r="D756" s="61" t="s">
        <v>7838</v>
      </c>
      <c r="E756" s="61">
        <v>3047</v>
      </c>
      <c r="F756" s="61">
        <v>3153</v>
      </c>
      <c r="G756" s="61"/>
      <c r="H756" s="61"/>
      <c r="I756" s="61" t="s">
        <v>200</v>
      </c>
      <c r="J756" s="61"/>
      <c r="K756" s="61" t="s">
        <v>1982</v>
      </c>
      <c r="L756" s="61"/>
      <c r="M756" s="61"/>
      <c r="N756" s="61"/>
      <c r="O756" s="61"/>
      <c r="P756" s="61"/>
      <c r="Q756" s="61"/>
      <c r="R756" s="61" t="str">
        <f t="shared" si="52"/>
        <v/>
      </c>
      <c r="S756" s="61" t="str">
        <f t="shared" si="53"/>
        <v/>
      </c>
      <c r="T756" s="61" t="str">
        <f t="shared" si="54"/>
        <v/>
      </c>
      <c r="U756" s="61" t="str">
        <f t="shared" si="51"/>
        <v/>
      </c>
      <c r="V756" s="61"/>
      <c r="W756" s="61"/>
      <c r="X756" s="61"/>
      <c r="Y756" s="61"/>
      <c r="Z756" s="61"/>
      <c r="AA756" s="61"/>
      <c r="AB756" s="61"/>
    </row>
    <row r="757" spans="1:28" s="2" customFormat="1" ht="15">
      <c r="A757" s="61" t="s">
        <v>776</v>
      </c>
      <c r="B757" s="61" t="s">
        <v>1114</v>
      </c>
      <c r="C757" s="61" t="s">
        <v>4320</v>
      </c>
      <c r="D757" s="61" t="s">
        <v>7838</v>
      </c>
      <c r="E757" s="61">
        <v>3240</v>
      </c>
      <c r="F757" s="61">
        <v>8312</v>
      </c>
      <c r="G757" s="61"/>
      <c r="H757" s="61"/>
      <c r="I757" s="61" t="s">
        <v>200</v>
      </c>
      <c r="J757" s="61"/>
      <c r="K757" s="61" t="s">
        <v>1982</v>
      </c>
      <c r="L757" s="61"/>
      <c r="M757" s="61"/>
      <c r="N757" s="61"/>
      <c r="O757" s="61"/>
      <c r="P757" s="61"/>
      <c r="Q757" s="61"/>
      <c r="R757" s="61" t="str">
        <f t="shared" si="52"/>
        <v/>
      </c>
      <c r="S757" s="61" t="str">
        <f t="shared" si="53"/>
        <v/>
      </c>
      <c r="T757" s="61" t="str">
        <f t="shared" si="54"/>
        <v/>
      </c>
      <c r="U757" s="61" t="str">
        <f t="shared" si="51"/>
        <v/>
      </c>
      <c r="V757" s="61"/>
      <c r="W757" s="61"/>
      <c r="X757" s="61"/>
      <c r="Y757" s="61"/>
      <c r="Z757" s="61"/>
      <c r="AA757" s="61"/>
      <c r="AB757" s="61"/>
    </row>
    <row r="758" spans="1:28" s="2" customFormat="1" ht="15">
      <c r="A758" s="61" t="s">
        <v>776</v>
      </c>
      <c r="B758" s="61" t="s">
        <v>1114</v>
      </c>
      <c r="C758" s="61" t="s">
        <v>4321</v>
      </c>
      <c r="D758" s="61" t="s">
        <v>7838</v>
      </c>
      <c r="E758" s="61">
        <v>4013</v>
      </c>
      <c r="F758" s="61">
        <v>6899</v>
      </c>
      <c r="G758" s="61"/>
      <c r="H758" s="61"/>
      <c r="I758" s="61" t="s">
        <v>200</v>
      </c>
      <c r="J758" s="61"/>
      <c r="K758" s="61" t="s">
        <v>1982</v>
      </c>
      <c r="L758" s="61"/>
      <c r="M758" s="61"/>
      <c r="N758" s="61"/>
      <c r="O758" s="61"/>
      <c r="P758" s="61"/>
      <c r="Q758" s="61"/>
      <c r="R758" s="61" t="str">
        <f t="shared" si="52"/>
        <v/>
      </c>
      <c r="S758" s="61" t="str">
        <f t="shared" si="53"/>
        <v/>
      </c>
      <c r="T758" s="61" t="str">
        <f t="shared" si="54"/>
        <v/>
      </c>
      <c r="U758" s="61" t="str">
        <f t="shared" si="51"/>
        <v/>
      </c>
      <c r="V758" s="61"/>
      <c r="W758" s="61"/>
      <c r="X758" s="61"/>
      <c r="Y758" s="61"/>
      <c r="Z758" s="61"/>
      <c r="AA758" s="61"/>
      <c r="AB758" s="61"/>
    </row>
    <row r="759" spans="1:28" s="2" customFormat="1" ht="15">
      <c r="A759" s="61" t="s">
        <v>776</v>
      </c>
      <c r="B759" s="61" t="s">
        <v>1114</v>
      </c>
      <c r="C759" s="61" t="s">
        <v>1056</v>
      </c>
      <c r="D759" s="61" t="s">
        <v>7838</v>
      </c>
      <c r="E759" s="61">
        <v>7764</v>
      </c>
      <c r="F759" s="61">
        <v>8679</v>
      </c>
      <c r="G759" s="61"/>
      <c r="H759" s="61"/>
      <c r="I759" s="61" t="s">
        <v>200</v>
      </c>
      <c r="J759" s="61"/>
      <c r="K759" s="61" t="s">
        <v>1982</v>
      </c>
      <c r="L759" s="61"/>
      <c r="M759" s="61"/>
      <c r="N759" s="61"/>
      <c r="O759" s="61"/>
      <c r="P759" s="61"/>
      <c r="Q759" s="61"/>
      <c r="R759" s="61" t="str">
        <f t="shared" si="52"/>
        <v/>
      </c>
      <c r="S759" s="61" t="str">
        <f t="shared" si="53"/>
        <v/>
      </c>
      <c r="T759" s="61" t="str">
        <f t="shared" si="54"/>
        <v/>
      </c>
      <c r="U759" s="61" t="str">
        <f t="shared" si="51"/>
        <v/>
      </c>
      <c r="V759" s="61"/>
      <c r="W759" s="61"/>
      <c r="X759" s="61"/>
      <c r="Y759" s="61"/>
      <c r="Z759" s="61"/>
      <c r="AA759" s="61"/>
      <c r="AB759" s="61"/>
    </row>
    <row r="760" spans="1:28" s="2" customFormat="1" ht="15">
      <c r="A760" s="61" t="s">
        <v>776</v>
      </c>
      <c r="B760" s="61" t="s">
        <v>1114</v>
      </c>
      <c r="C760" s="61" t="s">
        <v>4322</v>
      </c>
      <c r="D760" s="61" t="s">
        <v>7838</v>
      </c>
      <c r="E760" s="61">
        <v>3421</v>
      </c>
      <c r="F760" s="61">
        <v>4660</v>
      </c>
      <c r="G760" s="61"/>
      <c r="H760" s="61"/>
      <c r="I760" s="61" t="s">
        <v>200</v>
      </c>
      <c r="J760" s="61"/>
      <c r="K760" s="61" t="s">
        <v>1982</v>
      </c>
      <c r="L760" s="61"/>
      <c r="M760" s="61"/>
      <c r="N760" s="61"/>
      <c r="O760" s="61"/>
      <c r="P760" s="61"/>
      <c r="Q760" s="61"/>
      <c r="R760" s="61" t="str">
        <f t="shared" si="52"/>
        <v/>
      </c>
      <c r="S760" s="61" t="str">
        <f t="shared" si="53"/>
        <v/>
      </c>
      <c r="T760" s="61" t="str">
        <f t="shared" si="54"/>
        <v/>
      </c>
      <c r="U760" s="61" t="str">
        <f t="shared" si="51"/>
        <v/>
      </c>
      <c r="V760" s="61"/>
      <c r="W760" s="61"/>
      <c r="X760" s="61"/>
      <c r="Y760" s="61"/>
      <c r="Z760" s="61"/>
      <c r="AA760" s="61"/>
      <c r="AB760" s="61"/>
    </row>
    <row r="761" spans="1:28" s="2" customFormat="1" ht="15">
      <c r="A761" s="61" t="s">
        <v>776</v>
      </c>
      <c r="B761" s="61" t="s">
        <v>1114</v>
      </c>
      <c r="C761" s="61" t="s">
        <v>3974</v>
      </c>
      <c r="D761" s="61" t="s">
        <v>7838</v>
      </c>
      <c r="E761" s="61">
        <v>2676</v>
      </c>
      <c r="F761" s="61">
        <v>2894</v>
      </c>
      <c r="G761" s="61"/>
      <c r="H761" s="61"/>
      <c r="I761" s="61" t="s">
        <v>200</v>
      </c>
      <c r="J761" s="61"/>
      <c r="K761" s="61" t="s">
        <v>1982</v>
      </c>
      <c r="L761" s="61"/>
      <c r="M761" s="61"/>
      <c r="N761" s="61"/>
      <c r="O761" s="61"/>
      <c r="P761" s="61"/>
      <c r="Q761" s="61"/>
      <c r="R761" s="61" t="str">
        <f t="shared" si="52"/>
        <v/>
      </c>
      <c r="S761" s="61" t="str">
        <f t="shared" si="53"/>
        <v/>
      </c>
      <c r="T761" s="61" t="str">
        <f t="shared" si="54"/>
        <v/>
      </c>
      <c r="U761" s="61" t="str">
        <f t="shared" si="51"/>
        <v/>
      </c>
      <c r="V761" s="61"/>
      <c r="W761" s="61"/>
      <c r="X761" s="61"/>
      <c r="Y761" s="61"/>
      <c r="Z761" s="61"/>
      <c r="AA761" s="61"/>
      <c r="AB761" s="61"/>
    </row>
    <row r="762" spans="1:28" s="2" customFormat="1" ht="15">
      <c r="A762" s="61" t="s">
        <v>776</v>
      </c>
      <c r="B762" s="61" t="s">
        <v>1114</v>
      </c>
      <c r="C762" s="61" t="s">
        <v>3727</v>
      </c>
      <c r="D762" s="61" t="s">
        <v>7838</v>
      </c>
      <c r="E762" s="61">
        <v>1601</v>
      </c>
      <c r="F762" s="61">
        <v>1749</v>
      </c>
      <c r="G762" s="61"/>
      <c r="H762" s="61"/>
      <c r="I762" s="61" t="s">
        <v>200</v>
      </c>
      <c r="J762" s="61"/>
      <c r="K762" s="61" t="s">
        <v>1982</v>
      </c>
      <c r="L762" s="61"/>
      <c r="M762" s="61"/>
      <c r="N762" s="61"/>
      <c r="O762" s="61"/>
      <c r="P762" s="61"/>
      <c r="Q762" s="61"/>
      <c r="R762" s="61" t="str">
        <f t="shared" si="52"/>
        <v/>
      </c>
      <c r="S762" s="61" t="str">
        <f t="shared" si="53"/>
        <v/>
      </c>
      <c r="T762" s="61" t="str">
        <f t="shared" si="54"/>
        <v/>
      </c>
      <c r="U762" s="61" t="str">
        <f t="shared" si="51"/>
        <v/>
      </c>
      <c r="V762" s="61"/>
      <c r="W762" s="61"/>
      <c r="X762" s="61"/>
      <c r="Y762" s="61"/>
      <c r="Z762" s="61"/>
      <c r="AA762" s="61"/>
      <c r="AB762" s="61"/>
    </row>
    <row r="763" spans="1:28" s="2" customFormat="1" ht="15">
      <c r="A763" s="61" t="s">
        <v>776</v>
      </c>
      <c r="B763" s="61" t="s">
        <v>1114</v>
      </c>
      <c r="C763" s="61" t="s">
        <v>1125</v>
      </c>
      <c r="D763" s="61" t="s">
        <v>7838</v>
      </c>
      <c r="E763" s="61">
        <v>4875</v>
      </c>
      <c r="F763" s="61">
        <v>12578</v>
      </c>
      <c r="G763" s="61"/>
      <c r="H763" s="61"/>
      <c r="I763" s="61" t="s">
        <v>200</v>
      </c>
      <c r="J763" s="61"/>
      <c r="K763" s="61" t="s">
        <v>1982</v>
      </c>
      <c r="L763" s="61"/>
      <c r="M763" s="61"/>
      <c r="N763" s="61"/>
      <c r="O763" s="61"/>
      <c r="P763" s="61"/>
      <c r="Q763" s="61"/>
      <c r="R763" s="61" t="str">
        <f t="shared" si="52"/>
        <v/>
      </c>
      <c r="S763" s="61" t="str">
        <f t="shared" si="53"/>
        <v/>
      </c>
      <c r="T763" s="61" t="str">
        <f t="shared" si="54"/>
        <v/>
      </c>
      <c r="U763" s="61" t="str">
        <f t="shared" si="51"/>
        <v/>
      </c>
      <c r="V763" s="61"/>
      <c r="W763" s="61"/>
      <c r="X763" s="61"/>
      <c r="Y763" s="61"/>
      <c r="Z763" s="61"/>
      <c r="AA763" s="61"/>
      <c r="AB763" s="61"/>
    </row>
    <row r="764" spans="1:28" s="2" customFormat="1" ht="15">
      <c r="A764" s="61" t="s">
        <v>776</v>
      </c>
      <c r="B764" s="61" t="s">
        <v>1114</v>
      </c>
      <c r="C764" s="61" t="s">
        <v>4323</v>
      </c>
      <c r="D764" s="61" t="s">
        <v>7838</v>
      </c>
      <c r="E764" s="61">
        <v>3679</v>
      </c>
      <c r="F764" s="61">
        <v>3560</v>
      </c>
      <c r="G764" s="61"/>
      <c r="H764" s="61"/>
      <c r="I764" s="61" t="s">
        <v>200</v>
      </c>
      <c r="J764" s="61"/>
      <c r="K764" s="61" t="s">
        <v>1982</v>
      </c>
      <c r="L764" s="61"/>
      <c r="M764" s="61"/>
      <c r="N764" s="61"/>
      <c r="O764" s="61"/>
      <c r="P764" s="61"/>
      <c r="Q764" s="61"/>
      <c r="R764" s="61" t="str">
        <f t="shared" si="52"/>
        <v/>
      </c>
      <c r="S764" s="61" t="str">
        <f t="shared" si="53"/>
        <v/>
      </c>
      <c r="T764" s="61" t="str">
        <f t="shared" si="54"/>
        <v/>
      </c>
      <c r="U764" s="61" t="str">
        <f t="shared" si="51"/>
        <v/>
      </c>
      <c r="V764" s="61"/>
      <c r="W764" s="61"/>
      <c r="X764" s="61"/>
      <c r="Y764" s="61"/>
      <c r="Z764" s="61"/>
      <c r="AA764" s="61"/>
      <c r="AB764" s="61"/>
    </row>
    <row r="765" spans="1:28" s="2" customFormat="1" ht="15.75">
      <c r="A765" s="61" t="s">
        <v>776</v>
      </c>
      <c r="B765" s="61" t="s">
        <v>1127</v>
      </c>
      <c r="C765" s="61" t="s">
        <v>4327</v>
      </c>
      <c r="D765" s="61" t="s">
        <v>7838</v>
      </c>
      <c r="E765" s="61">
        <v>4262</v>
      </c>
      <c r="F765" s="61">
        <v>4708</v>
      </c>
      <c r="G765" s="61">
        <v>2025</v>
      </c>
      <c r="H765" s="61" t="s">
        <v>3470</v>
      </c>
      <c r="I765" s="61" t="s">
        <v>200</v>
      </c>
      <c r="J765" s="61" t="s">
        <v>328</v>
      </c>
      <c r="K765" s="61" t="s">
        <v>1982</v>
      </c>
      <c r="L765" s="61" t="s">
        <v>8288</v>
      </c>
      <c r="M765" s="475">
        <v>45755</v>
      </c>
      <c r="N765" s="475">
        <v>45758</v>
      </c>
      <c r="O765" s="475">
        <v>45762</v>
      </c>
      <c r="P765" s="475">
        <v>45762</v>
      </c>
      <c r="Q765" s="475">
        <v>45762</v>
      </c>
      <c r="R765" s="61">
        <f t="shared" si="52"/>
        <v>3</v>
      </c>
      <c r="S765" s="61">
        <f t="shared" si="53"/>
        <v>2</v>
      </c>
      <c r="T765" s="61">
        <f t="shared" si="54"/>
        <v>2</v>
      </c>
      <c r="U765" s="61">
        <f t="shared" si="51"/>
        <v>1</v>
      </c>
      <c r="V765" s="61" t="s">
        <v>150</v>
      </c>
      <c r="W765" s="61" t="s">
        <v>4</v>
      </c>
      <c r="X765" s="61" t="s">
        <v>50</v>
      </c>
      <c r="Y765" s="482">
        <v>14.864000000000001</v>
      </c>
      <c r="Z765" s="61">
        <v>120.7788</v>
      </c>
      <c r="AA765" s="61" t="s">
        <v>330</v>
      </c>
      <c r="AB765" s="61"/>
    </row>
    <row r="766" spans="1:28" s="2" customFormat="1" ht="15.75">
      <c r="A766" s="61" t="s">
        <v>776</v>
      </c>
      <c r="B766" s="61" t="s">
        <v>1127</v>
      </c>
      <c r="C766" s="61" t="s">
        <v>1056</v>
      </c>
      <c r="D766" s="61" t="s">
        <v>7838</v>
      </c>
      <c r="E766" s="61">
        <v>1194</v>
      </c>
      <c r="F766" s="61">
        <v>1462</v>
      </c>
      <c r="G766" s="61">
        <v>2025</v>
      </c>
      <c r="H766" s="61" t="s">
        <v>3689</v>
      </c>
      <c r="I766" s="61" t="s">
        <v>200</v>
      </c>
      <c r="J766" s="61" t="s">
        <v>388</v>
      </c>
      <c r="K766" s="61" t="s">
        <v>1982</v>
      </c>
      <c r="L766" s="61" t="s">
        <v>8289</v>
      </c>
      <c r="M766" s="475">
        <v>45821</v>
      </c>
      <c r="N766" s="475">
        <v>45822</v>
      </c>
      <c r="O766" s="475">
        <v>45823</v>
      </c>
      <c r="P766" s="475">
        <v>45825</v>
      </c>
      <c r="Q766" s="475">
        <v>45826</v>
      </c>
      <c r="R766" s="61">
        <f t="shared" si="52"/>
        <v>1</v>
      </c>
      <c r="S766" s="61">
        <f t="shared" si="53"/>
        <v>1</v>
      </c>
      <c r="T766" s="61">
        <f t="shared" si="54"/>
        <v>1</v>
      </c>
      <c r="U766" s="61">
        <f t="shared" si="51"/>
        <v>1</v>
      </c>
      <c r="V766" s="61" t="s">
        <v>150</v>
      </c>
      <c r="W766" s="61" t="s">
        <v>4</v>
      </c>
      <c r="X766" s="61" t="s">
        <v>50</v>
      </c>
      <c r="Y766" s="482">
        <v>14.833</v>
      </c>
      <c r="Z766" s="61">
        <v>120.78700000000001</v>
      </c>
      <c r="AA766" s="61"/>
      <c r="AB766" s="61"/>
    </row>
    <row r="767" spans="1:28" s="2" customFormat="1" ht="15.75">
      <c r="A767" s="61" t="s">
        <v>776</v>
      </c>
      <c r="B767" s="61" t="s">
        <v>1127</v>
      </c>
      <c r="C767" s="61" t="s">
        <v>4332</v>
      </c>
      <c r="D767" s="61" t="s">
        <v>7838</v>
      </c>
      <c r="E767" s="61">
        <v>3641</v>
      </c>
      <c r="F767" s="61">
        <v>3427</v>
      </c>
      <c r="G767" s="61">
        <v>2025</v>
      </c>
      <c r="H767" s="61" t="s">
        <v>3689</v>
      </c>
      <c r="I767" s="61" t="s">
        <v>200</v>
      </c>
      <c r="J767" s="61" t="s">
        <v>388</v>
      </c>
      <c r="K767" s="61" t="s">
        <v>1982</v>
      </c>
      <c r="L767" s="61" t="s">
        <v>8290</v>
      </c>
      <c r="M767" s="475">
        <v>45821</v>
      </c>
      <c r="N767" s="475">
        <v>45822</v>
      </c>
      <c r="O767" s="475">
        <v>45823</v>
      </c>
      <c r="P767" s="475">
        <v>45825</v>
      </c>
      <c r="Q767" s="475">
        <v>45826</v>
      </c>
      <c r="R767" s="61">
        <f t="shared" si="52"/>
        <v>1</v>
      </c>
      <c r="S767" s="61">
        <f t="shared" si="53"/>
        <v>1</v>
      </c>
      <c r="T767" s="61">
        <f t="shared" si="54"/>
        <v>1</v>
      </c>
      <c r="U767" s="61">
        <f t="shared" si="51"/>
        <v>1</v>
      </c>
      <c r="V767" s="61" t="s">
        <v>150</v>
      </c>
      <c r="W767" s="61" t="s">
        <v>4</v>
      </c>
      <c r="X767" s="61" t="s">
        <v>62</v>
      </c>
      <c r="Y767" s="482" t="s">
        <v>8291</v>
      </c>
      <c r="Z767" s="61" t="s">
        <v>8292</v>
      </c>
      <c r="AA767" s="61" t="s">
        <v>330</v>
      </c>
      <c r="AB767" s="61"/>
    </row>
    <row r="768" spans="1:28" s="2" customFormat="1" ht="15.75">
      <c r="A768" s="61" t="s">
        <v>776</v>
      </c>
      <c r="B768" s="61" t="s">
        <v>1127</v>
      </c>
      <c r="C768" s="61" t="s">
        <v>1128</v>
      </c>
      <c r="D768" s="61" t="s">
        <v>7838</v>
      </c>
      <c r="E768" s="61">
        <v>11177</v>
      </c>
      <c r="F768" s="61">
        <v>12011</v>
      </c>
      <c r="G768" s="61">
        <v>2025</v>
      </c>
      <c r="H768" s="61" t="s">
        <v>3689</v>
      </c>
      <c r="I768" s="61" t="s">
        <v>200</v>
      </c>
      <c r="J768" s="61" t="s">
        <v>388</v>
      </c>
      <c r="K768" s="61" t="s">
        <v>1982</v>
      </c>
      <c r="L768" s="61" t="s">
        <v>8293</v>
      </c>
      <c r="M768" s="475">
        <v>45821</v>
      </c>
      <c r="N768" s="475">
        <v>45822</v>
      </c>
      <c r="O768" s="475">
        <v>45823</v>
      </c>
      <c r="P768" s="475">
        <v>45825</v>
      </c>
      <c r="Q768" s="475">
        <v>45826</v>
      </c>
      <c r="R768" s="61">
        <f t="shared" si="52"/>
        <v>1</v>
      </c>
      <c r="S768" s="61">
        <f t="shared" si="53"/>
        <v>1</v>
      </c>
      <c r="T768" s="61">
        <f t="shared" si="54"/>
        <v>1</v>
      </c>
      <c r="U768" s="61">
        <f t="shared" si="51"/>
        <v>1</v>
      </c>
      <c r="V768" s="61" t="s">
        <v>150</v>
      </c>
      <c r="W768" s="61" t="s">
        <v>4</v>
      </c>
      <c r="X768" s="61" t="s">
        <v>50</v>
      </c>
      <c r="Y768" s="482">
        <v>14.839399999999999</v>
      </c>
      <c r="Z768" s="61">
        <v>120.7671</v>
      </c>
      <c r="AA768" s="61" t="s">
        <v>330</v>
      </c>
      <c r="AB768" s="61"/>
    </row>
    <row r="769" spans="1:28" s="2" customFormat="1" ht="15">
      <c r="A769" s="61" t="s">
        <v>776</v>
      </c>
      <c r="B769" s="61" t="s">
        <v>1127</v>
      </c>
      <c r="C769" s="61" t="s">
        <v>3974</v>
      </c>
      <c r="D769" s="61" t="s">
        <v>7838</v>
      </c>
      <c r="E769" s="61">
        <v>4847</v>
      </c>
      <c r="F769" s="61">
        <v>4810</v>
      </c>
      <c r="G769" s="61">
        <v>2025</v>
      </c>
      <c r="H769" s="61" t="s">
        <v>3127</v>
      </c>
      <c r="I769" s="61" t="s">
        <v>200</v>
      </c>
      <c r="J769" s="61"/>
      <c r="K769" s="61" t="s">
        <v>1982</v>
      </c>
      <c r="L769" s="61" t="s">
        <v>8294</v>
      </c>
      <c r="M769" s="475">
        <v>45875</v>
      </c>
      <c r="N769" s="475">
        <v>45880</v>
      </c>
      <c r="O769" s="475"/>
      <c r="P769" s="475">
        <v>45904</v>
      </c>
      <c r="Q769" s="475">
        <v>45909</v>
      </c>
      <c r="R769" s="61">
        <f t="shared" si="52"/>
        <v>3</v>
      </c>
      <c r="S769" s="61" t="str">
        <f t="shared" si="53"/>
        <v/>
      </c>
      <c r="T769" s="61">
        <f t="shared" si="54"/>
        <v>18</v>
      </c>
      <c r="U769" s="61">
        <f t="shared" si="51"/>
        <v>3</v>
      </c>
      <c r="V769" s="61" t="s">
        <v>150</v>
      </c>
      <c r="W769" s="61" t="s">
        <v>4</v>
      </c>
      <c r="X769" s="61" t="s">
        <v>50</v>
      </c>
      <c r="Y769" s="61" t="s">
        <v>8295</v>
      </c>
      <c r="Z769" s="61" t="s">
        <v>8296</v>
      </c>
      <c r="AA769" s="61" t="s">
        <v>330</v>
      </c>
      <c r="AB769" s="61"/>
    </row>
    <row r="770" spans="1:28" s="2" customFormat="1" ht="15.75">
      <c r="A770" s="61" t="s">
        <v>776</v>
      </c>
      <c r="B770" s="61" t="s">
        <v>1127</v>
      </c>
      <c r="C770" s="61" t="s">
        <v>1166</v>
      </c>
      <c r="D770" s="61" t="s">
        <v>7838</v>
      </c>
      <c r="E770" s="61">
        <v>2811</v>
      </c>
      <c r="F770" s="61">
        <v>3176</v>
      </c>
      <c r="G770" s="61">
        <v>2025</v>
      </c>
      <c r="H770" s="61" t="s">
        <v>3689</v>
      </c>
      <c r="I770" s="61" t="s">
        <v>200</v>
      </c>
      <c r="J770" s="61" t="s">
        <v>388</v>
      </c>
      <c r="K770" s="61" t="s">
        <v>1982</v>
      </c>
      <c r="L770" s="61" t="s">
        <v>8297</v>
      </c>
      <c r="M770" s="475">
        <v>45821</v>
      </c>
      <c r="N770" s="475">
        <v>45822</v>
      </c>
      <c r="O770" s="475">
        <v>45823</v>
      </c>
      <c r="P770" s="475">
        <v>45825</v>
      </c>
      <c r="Q770" s="475">
        <v>45826</v>
      </c>
      <c r="R770" s="61">
        <f t="shared" si="52"/>
        <v>1</v>
      </c>
      <c r="S770" s="61">
        <f t="shared" si="53"/>
        <v>1</v>
      </c>
      <c r="T770" s="61">
        <f t="shared" si="54"/>
        <v>1</v>
      </c>
      <c r="U770" s="61">
        <f t="shared" ref="U770:U833" si="55">IF(
    OR(ISBLANK(P770), ISBLANK(Q770)),
    "",
    MAX(1, IF(
        NETWORKDAYS(P770, Q770) &lt;= 0,
        1,
        NETWORKDAYS(P770, Q770) - IF(P770 = Q770, 0, 1)
    ))
)</f>
        <v>1</v>
      </c>
      <c r="V770" s="61" t="s">
        <v>150</v>
      </c>
      <c r="W770" s="61" t="s">
        <v>4</v>
      </c>
      <c r="X770" s="61" t="s">
        <v>50</v>
      </c>
      <c r="Y770" s="482">
        <v>14.835000000000001</v>
      </c>
      <c r="Z770" s="482">
        <v>120.789</v>
      </c>
      <c r="AA770" s="61"/>
      <c r="AB770" s="61"/>
    </row>
    <row r="771" spans="1:28" s="2" customFormat="1" ht="15.75">
      <c r="A771" s="61" t="s">
        <v>776</v>
      </c>
      <c r="B771" s="61" t="s">
        <v>1127</v>
      </c>
      <c r="C771" s="61" t="s">
        <v>3727</v>
      </c>
      <c r="D771" s="61" t="s">
        <v>7838</v>
      </c>
      <c r="E771" s="61">
        <v>3640</v>
      </c>
      <c r="F771" s="61">
        <v>3574</v>
      </c>
      <c r="G771" s="61">
        <v>2025</v>
      </c>
      <c r="H771" s="61" t="s">
        <v>3689</v>
      </c>
      <c r="I771" s="61" t="s">
        <v>200</v>
      </c>
      <c r="J771" s="61" t="s">
        <v>388</v>
      </c>
      <c r="K771" s="61" t="s">
        <v>1982</v>
      </c>
      <c r="L771" s="61" t="s">
        <v>8298</v>
      </c>
      <c r="M771" s="475">
        <v>45821</v>
      </c>
      <c r="N771" s="475">
        <v>45822</v>
      </c>
      <c r="O771" s="475">
        <v>45823</v>
      </c>
      <c r="P771" s="475">
        <v>45825</v>
      </c>
      <c r="Q771" s="475">
        <v>45826</v>
      </c>
      <c r="R771" s="61">
        <f t="shared" si="52"/>
        <v>1</v>
      </c>
      <c r="S771" s="61">
        <f t="shared" si="53"/>
        <v>1</v>
      </c>
      <c r="T771" s="61">
        <f t="shared" si="54"/>
        <v>1</v>
      </c>
      <c r="U771" s="61">
        <f t="shared" si="55"/>
        <v>1</v>
      </c>
      <c r="V771" s="61" t="s">
        <v>150</v>
      </c>
      <c r="W771" s="61" t="s">
        <v>4</v>
      </c>
      <c r="X771" s="61" t="s">
        <v>62</v>
      </c>
      <c r="Y771" s="482">
        <v>14.837</v>
      </c>
      <c r="Z771" s="482">
        <v>120.792</v>
      </c>
      <c r="AA771" s="61"/>
      <c r="AB771" s="61"/>
    </row>
    <row r="772" spans="1:28" s="2" customFormat="1" ht="15.75">
      <c r="A772" s="61" t="s">
        <v>776</v>
      </c>
      <c r="B772" s="61" t="s">
        <v>1127</v>
      </c>
      <c r="C772" s="61" t="s">
        <v>4261</v>
      </c>
      <c r="D772" s="61" t="s">
        <v>7838</v>
      </c>
      <c r="E772" s="61">
        <v>7171</v>
      </c>
      <c r="F772" s="61">
        <v>7982</v>
      </c>
      <c r="G772" s="61">
        <v>2025</v>
      </c>
      <c r="H772" s="61" t="s">
        <v>3470</v>
      </c>
      <c r="I772" s="61" t="s">
        <v>200</v>
      </c>
      <c r="J772" s="61" t="s">
        <v>328</v>
      </c>
      <c r="K772" s="61" t="s">
        <v>1982</v>
      </c>
      <c r="L772" s="61" t="s">
        <v>8299</v>
      </c>
      <c r="M772" s="475">
        <v>45755</v>
      </c>
      <c r="N772" s="475">
        <v>45758</v>
      </c>
      <c r="O772" s="475">
        <v>45762</v>
      </c>
      <c r="P772" s="475">
        <v>45762</v>
      </c>
      <c r="Q772" s="475">
        <v>45762</v>
      </c>
      <c r="R772" s="61">
        <f t="shared" si="52"/>
        <v>3</v>
      </c>
      <c r="S772" s="61">
        <f t="shared" si="53"/>
        <v>2</v>
      </c>
      <c r="T772" s="61">
        <f t="shared" si="54"/>
        <v>2</v>
      </c>
      <c r="U772" s="61">
        <f t="shared" si="55"/>
        <v>1</v>
      </c>
      <c r="V772" s="61" t="s">
        <v>150</v>
      </c>
      <c r="W772" s="61" t="s">
        <v>4</v>
      </c>
      <c r="X772" s="61" t="s">
        <v>50</v>
      </c>
      <c r="Y772" s="482">
        <v>14.864000000000001</v>
      </c>
      <c r="Z772" s="482">
        <v>120.7788</v>
      </c>
      <c r="AA772" s="61" t="s">
        <v>330</v>
      </c>
      <c r="AB772" s="61"/>
    </row>
    <row r="773" spans="1:28" s="2" customFormat="1" ht="15">
      <c r="A773" s="61" t="s">
        <v>776</v>
      </c>
      <c r="B773" s="61" t="s">
        <v>1127</v>
      </c>
      <c r="C773" s="61" t="s">
        <v>4326</v>
      </c>
      <c r="D773" s="61" t="s">
        <v>7838</v>
      </c>
      <c r="E773" s="61">
        <v>1582</v>
      </c>
      <c r="F773" s="61">
        <v>1886</v>
      </c>
      <c r="G773" s="61">
        <v>2025</v>
      </c>
      <c r="H773" s="61" t="s">
        <v>3129</v>
      </c>
      <c r="I773" s="61" t="s">
        <v>200</v>
      </c>
      <c r="J773" s="61" t="s">
        <v>1838</v>
      </c>
      <c r="K773" s="61" t="s">
        <v>1982</v>
      </c>
      <c r="L773" s="61" t="s">
        <v>8300</v>
      </c>
      <c r="M773" s="475">
        <v>45933</v>
      </c>
      <c r="N773" s="475">
        <v>45936</v>
      </c>
      <c r="O773" s="475">
        <v>45947</v>
      </c>
      <c r="P773" s="475">
        <v>45949</v>
      </c>
      <c r="Q773" s="475">
        <v>45950</v>
      </c>
      <c r="R773" s="61">
        <f t="shared" si="52"/>
        <v>1</v>
      </c>
      <c r="S773" s="61">
        <f t="shared" si="53"/>
        <v>9</v>
      </c>
      <c r="T773" s="61">
        <f>IF(
    OR(ISBLANK(O773), ISBLANK(P773)),
    "",
    MAX(1, IF(
        NETWORKDAYS(O773, P773) &lt;= 0,
        1,
        NETWORKDAYS(O773, P773) - IF(O773 = P773, 0, 1)
    ))
)</f>
        <v>1</v>
      </c>
      <c r="U773" s="61">
        <f t="shared" si="55"/>
        <v>1</v>
      </c>
      <c r="V773" s="61" t="s">
        <v>150</v>
      </c>
      <c r="W773" s="61" t="s">
        <v>3527</v>
      </c>
      <c r="X773" s="61" t="s">
        <v>3528</v>
      </c>
      <c r="Y773" s="61" t="s">
        <v>69</v>
      </c>
      <c r="Z773" s="61" t="s">
        <v>69</v>
      </c>
      <c r="AA773" s="61"/>
      <c r="AB773" s="61" t="s">
        <v>8301</v>
      </c>
    </row>
    <row r="774" spans="1:28" s="2" customFormat="1" ht="15">
      <c r="A774" s="61" t="s">
        <v>776</v>
      </c>
      <c r="B774" s="61" t="s">
        <v>1127</v>
      </c>
      <c r="C774" s="61" t="s">
        <v>4331</v>
      </c>
      <c r="D774" s="61" t="s">
        <v>7838</v>
      </c>
      <c r="E774" s="61">
        <v>1439</v>
      </c>
      <c r="F774" s="61">
        <v>1423</v>
      </c>
      <c r="G774" s="61">
        <v>2025</v>
      </c>
      <c r="H774" s="61" t="s">
        <v>3129</v>
      </c>
      <c r="I774" s="61" t="s">
        <v>200</v>
      </c>
      <c r="J774" s="61" t="s">
        <v>1838</v>
      </c>
      <c r="K774" s="61" t="s">
        <v>1982</v>
      </c>
      <c r="L774" s="61" t="s">
        <v>8300</v>
      </c>
      <c r="M774" s="475">
        <v>45933</v>
      </c>
      <c r="N774" s="475">
        <v>45936</v>
      </c>
      <c r="O774" s="475">
        <v>45947</v>
      </c>
      <c r="P774" s="475">
        <v>45949</v>
      </c>
      <c r="Q774" s="475">
        <v>45950</v>
      </c>
      <c r="R774" s="61">
        <f t="shared" si="52"/>
        <v>1</v>
      </c>
      <c r="S774" s="61">
        <f t="shared" si="53"/>
        <v>9</v>
      </c>
      <c r="T774" s="61">
        <f>IF(
    OR(ISBLANK(O774), ISBLANK(P774)),
    "",
    MAX(1, IF(
        NETWORKDAYS(O774, P774) &lt;= 0,
        1,
        NETWORKDAYS(O774, P774) - IF(O774 = P774, 0, 1)
    ))
)</f>
        <v>1</v>
      </c>
      <c r="U774" s="61">
        <f t="shared" si="55"/>
        <v>1</v>
      </c>
      <c r="V774" s="61" t="s">
        <v>150</v>
      </c>
      <c r="W774" s="61" t="s">
        <v>3527</v>
      </c>
      <c r="X774" s="61" t="s">
        <v>3528</v>
      </c>
      <c r="Y774" s="61" t="s">
        <v>69</v>
      </c>
      <c r="Z774" s="61" t="s">
        <v>69</v>
      </c>
      <c r="AA774" s="61"/>
      <c r="AB774" s="61" t="s">
        <v>8301</v>
      </c>
    </row>
    <row r="775" spans="1:28" s="2" customFormat="1" ht="15">
      <c r="A775" s="61" t="s">
        <v>776</v>
      </c>
      <c r="B775" s="61" t="s">
        <v>1127</v>
      </c>
      <c r="C775" s="61" t="s">
        <v>4329</v>
      </c>
      <c r="D775" s="61" t="s">
        <v>7838</v>
      </c>
      <c r="E775" s="61">
        <v>1545</v>
      </c>
      <c r="F775" s="61">
        <v>1389</v>
      </c>
      <c r="G775" s="61">
        <v>2025</v>
      </c>
      <c r="H775" s="61" t="s">
        <v>3129</v>
      </c>
      <c r="I775" s="61" t="s">
        <v>200</v>
      </c>
      <c r="J775" s="61" t="s">
        <v>1838</v>
      </c>
      <c r="K775" s="61" t="s">
        <v>1982</v>
      </c>
      <c r="L775" s="61" t="s">
        <v>8300</v>
      </c>
      <c r="M775" s="475">
        <v>45933</v>
      </c>
      <c r="N775" s="475">
        <v>45936</v>
      </c>
      <c r="O775" s="475">
        <v>45947</v>
      </c>
      <c r="P775" s="475">
        <v>45949</v>
      </c>
      <c r="Q775" s="475">
        <v>45950</v>
      </c>
      <c r="R775" s="61">
        <f t="shared" si="52"/>
        <v>1</v>
      </c>
      <c r="S775" s="61">
        <f t="shared" si="53"/>
        <v>9</v>
      </c>
      <c r="T775" s="61">
        <f>IF(
    OR(ISBLANK(O775), ISBLANK(P775)),
    "",
    MAX(1, IF(
        NETWORKDAYS(O775, P775) &lt;= 0,
        1,
        NETWORKDAYS(O775, P775) - IF(O775 = P775, 0, 1)
    ))
)</f>
        <v>1</v>
      </c>
      <c r="U775" s="61">
        <f t="shared" si="55"/>
        <v>1</v>
      </c>
      <c r="V775" s="61" t="s">
        <v>150</v>
      </c>
      <c r="W775" s="61" t="s">
        <v>3527</v>
      </c>
      <c r="X775" s="61" t="s">
        <v>3528</v>
      </c>
      <c r="Y775" s="61" t="s">
        <v>69</v>
      </c>
      <c r="Z775" s="61" t="s">
        <v>69</v>
      </c>
      <c r="AA775" s="61"/>
      <c r="AB775" s="61" t="s">
        <v>8301</v>
      </c>
    </row>
    <row r="776" spans="1:28" s="2" customFormat="1" ht="15">
      <c r="A776" s="61" t="s">
        <v>776</v>
      </c>
      <c r="B776" s="61" t="s">
        <v>1127</v>
      </c>
      <c r="C776" s="61" t="s">
        <v>858</v>
      </c>
      <c r="D776" s="61" t="s">
        <v>7838</v>
      </c>
      <c r="E776" s="61">
        <v>5211</v>
      </c>
      <c r="F776" s="61">
        <v>5209</v>
      </c>
      <c r="G776" s="61">
        <v>2025</v>
      </c>
      <c r="H776" s="61" t="s">
        <v>3129</v>
      </c>
      <c r="I776" s="61" t="s">
        <v>200</v>
      </c>
      <c r="J776" s="61" t="s">
        <v>1838</v>
      </c>
      <c r="K776" s="61" t="s">
        <v>1982</v>
      </c>
      <c r="L776" s="61" t="s">
        <v>8300</v>
      </c>
      <c r="M776" s="475">
        <v>45933</v>
      </c>
      <c r="N776" s="475">
        <v>45936</v>
      </c>
      <c r="O776" s="475">
        <v>45947</v>
      </c>
      <c r="P776" s="475">
        <v>45949</v>
      </c>
      <c r="Q776" s="475">
        <v>45950</v>
      </c>
      <c r="R776" s="61">
        <f t="shared" si="52"/>
        <v>1</v>
      </c>
      <c r="S776" s="61">
        <f t="shared" si="53"/>
        <v>9</v>
      </c>
      <c r="T776" s="61">
        <f>IF(
    OR(ISBLANK(O776), ISBLANK(P776)),
    "",
    MAX(1, IF(
        NETWORKDAYS(O776, P776) &lt;= 0,
        1,
        NETWORKDAYS(O776, P776) - IF(O776 = P776, 0, 1)
    ))
)</f>
        <v>1</v>
      </c>
      <c r="U776" s="61">
        <f t="shared" si="55"/>
        <v>1</v>
      </c>
      <c r="V776" s="61" t="s">
        <v>150</v>
      </c>
      <c r="W776" s="61" t="s">
        <v>3527</v>
      </c>
      <c r="X776" s="61" t="s">
        <v>3528</v>
      </c>
      <c r="Y776" s="61" t="s">
        <v>69</v>
      </c>
      <c r="Z776" s="61" t="s">
        <v>69</v>
      </c>
      <c r="AA776" s="61"/>
      <c r="AB776" s="61" t="s">
        <v>8301</v>
      </c>
    </row>
    <row r="777" spans="1:28" s="2" customFormat="1" ht="15">
      <c r="A777" s="61" t="s">
        <v>776</v>
      </c>
      <c r="B777" s="61" t="s">
        <v>1127</v>
      </c>
      <c r="C777" s="61" t="s">
        <v>1899</v>
      </c>
      <c r="D777" s="61" t="s">
        <v>7838</v>
      </c>
      <c r="E777" s="61">
        <v>1611</v>
      </c>
      <c r="F777" s="61">
        <v>1386</v>
      </c>
      <c r="G777" s="61">
        <v>2025</v>
      </c>
      <c r="H777" s="61" t="s">
        <v>3129</v>
      </c>
      <c r="I777" s="61" t="s">
        <v>200</v>
      </c>
      <c r="J777" s="61" t="s">
        <v>1838</v>
      </c>
      <c r="K777" s="61" t="s">
        <v>1982</v>
      </c>
      <c r="L777" s="61" t="s">
        <v>8300</v>
      </c>
      <c r="M777" s="475">
        <v>45933</v>
      </c>
      <c r="N777" s="475">
        <v>45936</v>
      </c>
      <c r="O777" s="475">
        <v>45947</v>
      </c>
      <c r="P777" s="475">
        <v>45949</v>
      </c>
      <c r="Q777" s="475">
        <v>45950</v>
      </c>
      <c r="R777" s="61">
        <f t="shared" si="52"/>
        <v>1</v>
      </c>
      <c r="S777" s="61">
        <f t="shared" si="53"/>
        <v>9</v>
      </c>
      <c r="T777" s="61">
        <f>IF(
    OR(ISBLANK(O777), ISBLANK(P777)),
    "",
    MAX(1, IF(
        NETWORKDAYS(O777, P777) &lt;= 0,
        1,
        NETWORKDAYS(O777, P777) - IF(O777 = P777, 0, 1)
    ))
)</f>
        <v>1</v>
      </c>
      <c r="U777" s="61">
        <f t="shared" si="55"/>
        <v>1</v>
      </c>
      <c r="V777" s="61" t="s">
        <v>150</v>
      </c>
      <c r="W777" s="61" t="s">
        <v>3527</v>
      </c>
      <c r="X777" s="61" t="s">
        <v>3528</v>
      </c>
      <c r="Y777" s="61" t="s">
        <v>69</v>
      </c>
      <c r="Z777" s="61" t="s">
        <v>69</v>
      </c>
      <c r="AA777" s="61"/>
      <c r="AB777" s="61" t="s">
        <v>8301</v>
      </c>
    </row>
    <row r="778" spans="1:28" s="2" customFormat="1" ht="15.75">
      <c r="A778" s="61" t="s">
        <v>776</v>
      </c>
      <c r="B778" s="61" t="s">
        <v>1127</v>
      </c>
      <c r="C778" s="61" t="s">
        <v>4324</v>
      </c>
      <c r="D778" s="61" t="s">
        <v>7838</v>
      </c>
      <c r="E778" s="61">
        <v>3163</v>
      </c>
      <c r="F778" s="61">
        <v>3253</v>
      </c>
      <c r="G778" s="61">
        <v>2025</v>
      </c>
      <c r="H778" s="61" t="s">
        <v>3127</v>
      </c>
      <c r="I778" s="61" t="s">
        <v>200</v>
      </c>
      <c r="J778" s="61"/>
      <c r="K778" s="61" t="s">
        <v>1982</v>
      </c>
      <c r="L778" s="61" t="s">
        <v>8302</v>
      </c>
      <c r="M778" s="475">
        <v>45875</v>
      </c>
      <c r="N778" s="475">
        <v>45880</v>
      </c>
      <c r="O778" s="475"/>
      <c r="P778" s="475">
        <v>45904</v>
      </c>
      <c r="Q778" s="475">
        <v>45909</v>
      </c>
      <c r="R778" s="61">
        <f t="shared" si="52"/>
        <v>3</v>
      </c>
      <c r="S778" s="61" t="str">
        <f t="shared" si="53"/>
        <v/>
      </c>
      <c r="T778" s="61">
        <f t="shared" ref="T778:T809" si="56">IF(
  OR(A778 = "Nueva_Ecija", A778 = "Zambales"),
  IF(
    OR(ISBLANK(O778), ISBLANK(P778)),
    "",
    MAX(1, IF(
      NETWORKDAYS(O778, P778) &lt;= 0,
      1,
      NETWORKDAYS(O778, P778) - IF(O778 = P778, 0, 1)
    ))
  ),
  IF(
    OR(ISBLANK(N778), ISBLANK(P778)),
    "",
    MAX(1, IF(
      NETWORKDAYS(N778, P778) &lt;= 0,
      1,
      NETWORKDAYS(N778, P778) - IF(N778 = P778, 0, 1)
    ))
  )
)</f>
        <v>18</v>
      </c>
      <c r="U778" s="61">
        <f t="shared" si="55"/>
        <v>3</v>
      </c>
      <c r="V778" s="61" t="s">
        <v>150</v>
      </c>
      <c r="W778" s="61" t="s">
        <v>4</v>
      </c>
      <c r="X778" s="61" t="s">
        <v>57</v>
      </c>
      <c r="Y778" s="482" t="s">
        <v>8303</v>
      </c>
      <c r="Z778" s="61" t="s">
        <v>8304</v>
      </c>
      <c r="AA778" s="61" t="s">
        <v>330</v>
      </c>
      <c r="AB778" s="61"/>
    </row>
    <row r="779" spans="1:28" s="507" customFormat="1" ht="15.75">
      <c r="A779" s="506" t="s">
        <v>776</v>
      </c>
      <c r="B779" s="506" t="s">
        <v>1135</v>
      </c>
      <c r="C779" s="506" t="s">
        <v>4337</v>
      </c>
      <c r="D779" s="506" t="s">
        <v>7838</v>
      </c>
      <c r="E779" s="506">
        <v>2585</v>
      </c>
      <c r="F779" s="506">
        <v>2821</v>
      </c>
      <c r="G779" s="506">
        <v>2025</v>
      </c>
      <c r="H779" s="506" t="s">
        <v>3532</v>
      </c>
      <c r="I779" s="506" t="s">
        <v>388</v>
      </c>
      <c r="J779" s="506"/>
      <c r="K779" s="506" t="s">
        <v>1982</v>
      </c>
      <c r="L779" s="506" t="s">
        <v>8305</v>
      </c>
      <c r="M779" s="508">
        <v>45791</v>
      </c>
      <c r="N779" s="508">
        <v>45794</v>
      </c>
      <c r="O779" s="506"/>
      <c r="P779" s="508">
        <v>45796</v>
      </c>
      <c r="Q779" s="508">
        <v>45797</v>
      </c>
      <c r="R779" s="506">
        <f t="shared" si="52"/>
        <v>2</v>
      </c>
      <c r="S779" s="506" t="str">
        <f t="shared" si="53"/>
        <v/>
      </c>
      <c r="T779" s="506">
        <f t="shared" si="56"/>
        <v>1</v>
      </c>
      <c r="U779" s="506">
        <f t="shared" si="55"/>
        <v>1</v>
      </c>
      <c r="V779" s="506" t="s">
        <v>150</v>
      </c>
      <c r="W779" s="506" t="s">
        <v>4</v>
      </c>
      <c r="X779" s="61" t="s">
        <v>50</v>
      </c>
      <c r="Y779" s="509">
        <v>14.887</v>
      </c>
      <c r="Z779" s="509">
        <v>120.852</v>
      </c>
      <c r="AA779" s="506" t="s">
        <v>330</v>
      </c>
      <c r="AB779" s="506"/>
    </row>
    <row r="780" spans="1:28" s="2" customFormat="1" ht="15.75">
      <c r="A780" s="61" t="s">
        <v>776</v>
      </c>
      <c r="B780" s="61" t="s">
        <v>1135</v>
      </c>
      <c r="C780" s="61" t="s">
        <v>1332</v>
      </c>
      <c r="D780" s="61" t="s">
        <v>7838</v>
      </c>
      <c r="E780" s="61">
        <v>3322</v>
      </c>
      <c r="F780" s="61">
        <v>4237</v>
      </c>
      <c r="G780" s="61">
        <v>2025</v>
      </c>
      <c r="H780" s="61" t="s">
        <v>3532</v>
      </c>
      <c r="I780" s="61" t="s">
        <v>388</v>
      </c>
      <c r="J780" s="61"/>
      <c r="K780" s="61" t="s">
        <v>1982</v>
      </c>
      <c r="L780" s="61" t="s">
        <v>8306</v>
      </c>
      <c r="M780" s="475">
        <v>45790</v>
      </c>
      <c r="N780" s="475">
        <v>45792</v>
      </c>
      <c r="O780" s="475">
        <v>45793</v>
      </c>
      <c r="P780" s="475">
        <v>45793</v>
      </c>
      <c r="Q780" s="475">
        <v>45796</v>
      </c>
      <c r="R780" s="61">
        <f t="shared" si="52"/>
        <v>2</v>
      </c>
      <c r="S780" s="61">
        <f t="shared" si="53"/>
        <v>1</v>
      </c>
      <c r="T780" s="61">
        <f t="shared" si="56"/>
        <v>1</v>
      </c>
      <c r="U780" s="61">
        <f t="shared" si="55"/>
        <v>1</v>
      </c>
      <c r="V780" s="61" t="s">
        <v>150</v>
      </c>
      <c r="W780" s="61" t="s">
        <v>4</v>
      </c>
      <c r="X780" s="61" t="s">
        <v>50</v>
      </c>
      <c r="Y780" s="482">
        <v>14.867800000000001</v>
      </c>
      <c r="Z780" s="482">
        <v>120.8746</v>
      </c>
      <c r="AA780" s="61"/>
      <c r="AB780" s="61"/>
    </row>
    <row r="781" spans="1:28" s="2" customFormat="1" ht="15">
      <c r="A781" s="61" t="s">
        <v>776</v>
      </c>
      <c r="B781" s="61" t="s">
        <v>1135</v>
      </c>
      <c r="C781" s="61" t="s">
        <v>1136</v>
      </c>
      <c r="D781" s="61" t="s">
        <v>7838</v>
      </c>
      <c r="E781" s="61">
        <v>5721</v>
      </c>
      <c r="F781" s="61">
        <v>6755</v>
      </c>
      <c r="G781" s="61">
        <v>2025</v>
      </c>
      <c r="H781" s="61" t="s">
        <v>3416</v>
      </c>
      <c r="I781" s="61" t="s">
        <v>388</v>
      </c>
      <c r="J781" s="61" t="s">
        <v>328</v>
      </c>
      <c r="K781" s="61" t="s">
        <v>1982</v>
      </c>
      <c r="L781" s="61" t="s">
        <v>8307</v>
      </c>
      <c r="M781" s="475">
        <v>45721</v>
      </c>
      <c r="N781" s="475">
        <v>45732</v>
      </c>
      <c r="O781" s="475">
        <v>45733</v>
      </c>
      <c r="P781" s="475">
        <v>45733</v>
      </c>
      <c r="Q781" s="475">
        <v>45735</v>
      </c>
      <c r="R781" s="61">
        <f t="shared" si="52"/>
        <v>7</v>
      </c>
      <c r="S781" s="61">
        <f t="shared" si="53"/>
        <v>1</v>
      </c>
      <c r="T781" s="61">
        <f t="shared" si="56"/>
        <v>1</v>
      </c>
      <c r="U781" s="61">
        <f t="shared" si="55"/>
        <v>2</v>
      </c>
      <c r="V781" s="61" t="s">
        <v>150</v>
      </c>
      <c r="W781" s="61" t="s">
        <v>4</v>
      </c>
      <c r="X781" s="61" t="s">
        <v>50</v>
      </c>
      <c r="Y781" s="61">
        <v>14.8781</v>
      </c>
      <c r="Z781" s="61">
        <v>120.90009999999999</v>
      </c>
      <c r="AA781" s="61" t="s">
        <v>330</v>
      </c>
      <c r="AB781" s="61"/>
    </row>
    <row r="782" spans="1:28" s="2" customFormat="1" ht="15">
      <c r="A782" s="61" t="s">
        <v>776</v>
      </c>
      <c r="B782" s="61" t="s">
        <v>1135</v>
      </c>
      <c r="C782" s="61" t="s">
        <v>4341</v>
      </c>
      <c r="D782" s="61" t="s">
        <v>7838</v>
      </c>
      <c r="E782" s="61">
        <v>4130</v>
      </c>
      <c r="F782" s="61">
        <v>6731</v>
      </c>
      <c r="G782" s="61">
        <v>2025</v>
      </c>
      <c r="H782" s="61" t="s">
        <v>3125</v>
      </c>
      <c r="I782" s="61" t="s">
        <v>388</v>
      </c>
      <c r="J782" s="61"/>
      <c r="K782" s="61" t="s">
        <v>1982</v>
      </c>
      <c r="L782" s="61" t="s">
        <v>8308</v>
      </c>
      <c r="M782" s="475">
        <v>45853</v>
      </c>
      <c r="N782" s="475">
        <v>45855</v>
      </c>
      <c r="O782" s="475"/>
      <c r="P782" s="475">
        <v>45856</v>
      </c>
      <c r="Q782" s="475">
        <v>45856</v>
      </c>
      <c r="R782" s="61">
        <f t="shared" si="52"/>
        <v>2</v>
      </c>
      <c r="S782" s="61" t="str">
        <f t="shared" si="53"/>
        <v/>
      </c>
      <c r="T782" s="61">
        <f t="shared" si="56"/>
        <v>1</v>
      </c>
      <c r="U782" s="61">
        <f t="shared" si="55"/>
        <v>1</v>
      </c>
      <c r="V782" s="61" t="s">
        <v>150</v>
      </c>
      <c r="W782" s="61" t="s">
        <v>4</v>
      </c>
      <c r="X782" s="61" t="s">
        <v>50</v>
      </c>
      <c r="Y782" s="61">
        <v>14.9092</v>
      </c>
      <c r="Z782" s="61">
        <v>120.8954</v>
      </c>
      <c r="AA782" s="61" t="s">
        <v>330</v>
      </c>
      <c r="AB782" s="61"/>
    </row>
    <row r="783" spans="1:28" s="2" customFormat="1" ht="15">
      <c r="A783" s="61" t="s">
        <v>776</v>
      </c>
      <c r="B783" s="61" t="s">
        <v>1135</v>
      </c>
      <c r="C783" s="61" t="s">
        <v>4342</v>
      </c>
      <c r="D783" s="61" t="s">
        <v>7838</v>
      </c>
      <c r="E783" s="61">
        <v>3183</v>
      </c>
      <c r="F783" s="61">
        <v>3476</v>
      </c>
      <c r="G783" s="61">
        <v>2025</v>
      </c>
      <c r="H783" s="61" t="s">
        <v>3458</v>
      </c>
      <c r="I783" s="61" t="s">
        <v>388</v>
      </c>
      <c r="J783" s="61" t="s">
        <v>328</v>
      </c>
      <c r="K783" s="61" t="s">
        <v>1982</v>
      </c>
      <c r="L783" s="483" t="s">
        <v>8309</v>
      </c>
      <c r="M783" s="475">
        <v>45702</v>
      </c>
      <c r="N783" s="475">
        <v>45705</v>
      </c>
      <c r="O783" s="475">
        <v>45705</v>
      </c>
      <c r="P783" s="475">
        <v>45706</v>
      </c>
      <c r="Q783" s="475">
        <v>45706</v>
      </c>
      <c r="R783" s="61">
        <f t="shared" si="52"/>
        <v>1</v>
      </c>
      <c r="S783" s="61">
        <f t="shared" si="53"/>
        <v>1</v>
      </c>
      <c r="T783" s="61">
        <f t="shared" si="56"/>
        <v>1</v>
      </c>
      <c r="U783" s="61">
        <f t="shared" si="55"/>
        <v>1</v>
      </c>
      <c r="V783" s="61" t="s">
        <v>150</v>
      </c>
      <c r="W783" s="61" t="s">
        <v>4</v>
      </c>
      <c r="X783" s="61" t="s">
        <v>50</v>
      </c>
      <c r="Y783" s="61"/>
      <c r="Z783" s="61"/>
      <c r="AA783" s="61" t="s">
        <v>330</v>
      </c>
      <c r="AB783" s="61"/>
    </row>
    <row r="784" spans="1:28" s="2" customFormat="1" ht="15">
      <c r="A784" s="61" t="s">
        <v>776</v>
      </c>
      <c r="B784" s="61" t="s">
        <v>1135</v>
      </c>
      <c r="C784" s="61" t="s">
        <v>4348</v>
      </c>
      <c r="D784" s="61" t="s">
        <v>7838</v>
      </c>
      <c r="E784" s="61">
        <v>7590</v>
      </c>
      <c r="F784" s="61">
        <v>8935</v>
      </c>
      <c r="G784" s="61">
        <v>2025</v>
      </c>
      <c r="H784" s="61" t="s">
        <v>3125</v>
      </c>
      <c r="I784" s="61" t="s">
        <v>388</v>
      </c>
      <c r="J784" s="61"/>
      <c r="K784" s="61" t="s">
        <v>1982</v>
      </c>
      <c r="L784" s="61" t="s">
        <v>8310</v>
      </c>
      <c r="M784" s="475">
        <v>45841</v>
      </c>
      <c r="N784" s="475">
        <v>45855</v>
      </c>
      <c r="O784" s="475"/>
      <c r="P784" s="475">
        <v>45856</v>
      </c>
      <c r="Q784" s="475">
        <v>45856</v>
      </c>
      <c r="R784" s="61">
        <f t="shared" si="52"/>
        <v>10</v>
      </c>
      <c r="S784" s="61" t="str">
        <f t="shared" si="53"/>
        <v/>
      </c>
      <c r="T784" s="61">
        <f t="shared" si="56"/>
        <v>1</v>
      </c>
      <c r="U784" s="61">
        <f t="shared" si="55"/>
        <v>1</v>
      </c>
      <c r="V784" s="61" t="s">
        <v>150</v>
      </c>
      <c r="W784" s="61" t="s">
        <v>4</v>
      </c>
      <c r="X784" s="61" t="s">
        <v>50</v>
      </c>
      <c r="Y784" s="61">
        <v>14.8849</v>
      </c>
      <c r="Z784" s="61">
        <v>120.8837</v>
      </c>
      <c r="AA784" s="61" t="s">
        <v>330</v>
      </c>
      <c r="AB784" s="61"/>
    </row>
    <row r="785" spans="1:28" s="2" customFormat="1" ht="15">
      <c r="A785" s="61" t="s">
        <v>776</v>
      </c>
      <c r="B785" s="61" t="s">
        <v>1135</v>
      </c>
      <c r="C785" s="61" t="s">
        <v>4351</v>
      </c>
      <c r="D785" s="61" t="s">
        <v>7838</v>
      </c>
      <c r="E785" s="61">
        <v>1803</v>
      </c>
      <c r="F785" s="61">
        <v>1821</v>
      </c>
      <c r="G785" s="61">
        <v>2025</v>
      </c>
      <c r="H785" s="61" t="s">
        <v>3458</v>
      </c>
      <c r="I785" s="61" t="s">
        <v>388</v>
      </c>
      <c r="J785" s="61" t="s">
        <v>328</v>
      </c>
      <c r="K785" s="61" t="s">
        <v>1982</v>
      </c>
      <c r="L785" s="61" t="s">
        <v>8311</v>
      </c>
      <c r="M785" s="475">
        <v>45693</v>
      </c>
      <c r="N785" s="475">
        <v>45700</v>
      </c>
      <c r="O785" s="475">
        <v>45705</v>
      </c>
      <c r="P785" s="475">
        <v>45705</v>
      </c>
      <c r="Q785" s="475">
        <v>45705</v>
      </c>
      <c r="R785" s="61">
        <f t="shared" ref="R785:R848" si="57">IF(
    OR(ISBLANK(M785), ISBLANK(N785)),
    "",
    MAX(1, IF(
        NETWORKDAYS(M785, N785) &lt;= 0,
        1,
        NETWORKDAYS(M785, N785) - IF(M785 = N785, 0, 1)
    ))
)</f>
        <v>5</v>
      </c>
      <c r="S785" s="61">
        <f t="shared" ref="S785:S848" si="58">IF(
    OR(ISBLANK(N785), ISBLANK(O785)),
    "",
    MAX(1, IF(
        NETWORKDAYS(N785, O785) &lt;= 0,
        1,
        NETWORKDAYS(N785, O785) - IF(N785 = O785, 0, 1)
    ))
)</f>
        <v>3</v>
      </c>
      <c r="T785" s="61">
        <f t="shared" si="56"/>
        <v>3</v>
      </c>
      <c r="U785" s="61">
        <f t="shared" si="55"/>
        <v>1</v>
      </c>
      <c r="V785" s="61" t="s">
        <v>150</v>
      </c>
      <c r="W785" s="61" t="s">
        <v>4</v>
      </c>
      <c r="X785" s="61" t="s">
        <v>50</v>
      </c>
      <c r="Y785" s="61"/>
      <c r="Z785" s="61"/>
      <c r="AA785" s="61" t="s">
        <v>330</v>
      </c>
      <c r="AB785" s="61"/>
    </row>
    <row r="786" spans="1:28" s="2" customFormat="1" ht="15">
      <c r="A786" s="61" t="s">
        <v>776</v>
      </c>
      <c r="B786" s="61" t="s">
        <v>1135</v>
      </c>
      <c r="C786" s="61" t="s">
        <v>858</v>
      </c>
      <c r="D786" s="61" t="s">
        <v>7838</v>
      </c>
      <c r="E786" s="61">
        <v>4448</v>
      </c>
      <c r="F786" s="61">
        <v>5016</v>
      </c>
      <c r="G786" s="61">
        <v>2025</v>
      </c>
      <c r="H786" s="61" t="s">
        <v>3125</v>
      </c>
      <c r="I786" s="61" t="s">
        <v>388</v>
      </c>
      <c r="J786" s="61"/>
      <c r="K786" s="61" t="s">
        <v>1982</v>
      </c>
      <c r="L786" s="61" t="s">
        <v>8312</v>
      </c>
      <c r="M786" s="475">
        <v>45853</v>
      </c>
      <c r="N786" s="475">
        <v>45855</v>
      </c>
      <c r="O786" s="475"/>
      <c r="P786" s="475">
        <v>45856</v>
      </c>
      <c r="Q786" s="475">
        <v>45856</v>
      </c>
      <c r="R786" s="61">
        <f t="shared" si="57"/>
        <v>2</v>
      </c>
      <c r="S786" s="61" t="str">
        <f t="shared" si="58"/>
        <v/>
      </c>
      <c r="T786" s="61">
        <f t="shared" si="56"/>
        <v>1</v>
      </c>
      <c r="U786" s="61">
        <f t="shared" si="55"/>
        <v>1</v>
      </c>
      <c r="V786" s="61" t="s">
        <v>150</v>
      </c>
      <c r="W786" s="61" t="s">
        <v>4</v>
      </c>
      <c r="X786" s="61" t="s">
        <v>50</v>
      </c>
      <c r="Y786" s="61">
        <v>14.9064</v>
      </c>
      <c r="Z786" s="61">
        <v>120.90430000000001</v>
      </c>
      <c r="AA786" s="61" t="s">
        <v>330</v>
      </c>
      <c r="AB786" s="61"/>
    </row>
    <row r="787" spans="1:28" s="2" customFormat="1" ht="15">
      <c r="A787" s="61" t="s">
        <v>776</v>
      </c>
      <c r="B787" s="61" t="s">
        <v>1135</v>
      </c>
      <c r="C787" s="61" t="s">
        <v>4027</v>
      </c>
      <c r="D787" s="61" t="s">
        <v>7838</v>
      </c>
      <c r="E787" s="61">
        <v>2953</v>
      </c>
      <c r="F787" s="61">
        <v>2922</v>
      </c>
      <c r="G787" s="61">
        <v>2025</v>
      </c>
      <c r="H787" s="61" t="s">
        <v>3125</v>
      </c>
      <c r="I787" s="61" t="s">
        <v>388</v>
      </c>
      <c r="J787" s="61"/>
      <c r="K787" s="61" t="s">
        <v>1982</v>
      </c>
      <c r="L787" s="61" t="s">
        <v>8313</v>
      </c>
      <c r="M787" s="475">
        <v>45853</v>
      </c>
      <c r="N787" s="475">
        <v>45855</v>
      </c>
      <c r="O787" s="475"/>
      <c r="P787" s="475">
        <v>45856</v>
      </c>
      <c r="Q787" s="475">
        <v>45856</v>
      </c>
      <c r="R787" s="61">
        <f t="shared" si="57"/>
        <v>2</v>
      </c>
      <c r="S787" s="61" t="str">
        <f t="shared" si="58"/>
        <v/>
      </c>
      <c r="T787" s="61">
        <f t="shared" si="56"/>
        <v>1</v>
      </c>
      <c r="U787" s="61">
        <f t="shared" si="55"/>
        <v>1</v>
      </c>
      <c r="V787" s="61" t="s">
        <v>150</v>
      </c>
      <c r="W787" s="61" t="s">
        <v>4</v>
      </c>
      <c r="X787" s="61" t="s">
        <v>50</v>
      </c>
      <c r="Y787" s="61">
        <v>14.882099999999999</v>
      </c>
      <c r="Z787" s="61">
        <v>120.855</v>
      </c>
      <c r="AA787" s="61" t="s">
        <v>330</v>
      </c>
      <c r="AB787" s="61"/>
    </row>
    <row r="788" spans="1:28" s="2" customFormat="1" ht="15">
      <c r="A788" s="61" t="s">
        <v>776</v>
      </c>
      <c r="B788" s="61" t="s">
        <v>1135</v>
      </c>
      <c r="C788" s="61" t="s">
        <v>3727</v>
      </c>
      <c r="D788" s="61" t="s">
        <v>7838</v>
      </c>
      <c r="E788" s="61">
        <v>10761</v>
      </c>
      <c r="F788" s="61">
        <v>10721</v>
      </c>
      <c r="G788" s="61">
        <v>2025</v>
      </c>
      <c r="H788" s="61" t="s">
        <v>3532</v>
      </c>
      <c r="I788" s="61" t="s">
        <v>388</v>
      </c>
      <c r="J788" s="61"/>
      <c r="K788" s="61" t="s">
        <v>1982</v>
      </c>
      <c r="L788" s="61" t="s">
        <v>8314</v>
      </c>
      <c r="M788" s="475">
        <v>45791</v>
      </c>
      <c r="N788" s="475">
        <v>45794</v>
      </c>
      <c r="O788" s="475"/>
      <c r="P788" s="475">
        <v>45796</v>
      </c>
      <c r="Q788" s="475">
        <v>45797</v>
      </c>
      <c r="R788" s="61">
        <f t="shared" si="57"/>
        <v>2</v>
      </c>
      <c r="S788" s="61" t="str">
        <f t="shared" si="58"/>
        <v/>
      </c>
      <c r="T788" s="61">
        <f t="shared" si="56"/>
        <v>1</v>
      </c>
      <c r="U788" s="61">
        <f t="shared" si="55"/>
        <v>1</v>
      </c>
      <c r="V788" s="61" t="s">
        <v>150</v>
      </c>
      <c r="W788" s="61" t="s">
        <v>4</v>
      </c>
      <c r="X788" s="61" t="s">
        <v>50</v>
      </c>
      <c r="Y788" s="61">
        <v>14.8858</v>
      </c>
      <c r="Z788" s="61">
        <v>120.8462</v>
      </c>
      <c r="AA788" s="61" t="s">
        <v>330</v>
      </c>
      <c r="AB788" s="61"/>
    </row>
    <row r="789" spans="1:28" s="2" customFormat="1" ht="15">
      <c r="A789" s="61" t="s">
        <v>776</v>
      </c>
      <c r="B789" s="61" t="s">
        <v>1135</v>
      </c>
      <c r="C789" s="61" t="s">
        <v>4353</v>
      </c>
      <c r="D789" s="61" t="s">
        <v>7838</v>
      </c>
      <c r="E789" s="61">
        <v>5856</v>
      </c>
      <c r="F789" s="61">
        <v>7822</v>
      </c>
      <c r="G789" s="61">
        <v>2025</v>
      </c>
      <c r="H789" s="61" t="s">
        <v>3416</v>
      </c>
      <c r="I789" s="61" t="s">
        <v>388</v>
      </c>
      <c r="J789" s="61" t="s">
        <v>328</v>
      </c>
      <c r="K789" s="61" t="s">
        <v>1982</v>
      </c>
      <c r="L789" s="61" t="s">
        <v>8315</v>
      </c>
      <c r="M789" s="475">
        <v>45721</v>
      </c>
      <c r="N789" s="475">
        <v>45732</v>
      </c>
      <c r="O789" s="475">
        <v>45733</v>
      </c>
      <c r="P789" s="475">
        <v>45733</v>
      </c>
      <c r="Q789" s="475">
        <v>45735</v>
      </c>
      <c r="R789" s="61">
        <f t="shared" si="57"/>
        <v>7</v>
      </c>
      <c r="S789" s="61">
        <f t="shared" si="58"/>
        <v>1</v>
      </c>
      <c r="T789" s="61">
        <f t="shared" si="56"/>
        <v>1</v>
      </c>
      <c r="U789" s="61">
        <f t="shared" si="55"/>
        <v>2</v>
      </c>
      <c r="V789" s="61" t="s">
        <v>150</v>
      </c>
      <c r="W789" s="61" t="s">
        <v>4</v>
      </c>
      <c r="X789" s="61" t="s">
        <v>50</v>
      </c>
      <c r="Y789" s="61">
        <v>14.900600000000001</v>
      </c>
      <c r="Z789" s="61">
        <v>120.82640000000001</v>
      </c>
      <c r="AA789" s="61" t="s">
        <v>330</v>
      </c>
      <c r="AB789" s="61"/>
    </row>
    <row r="790" spans="1:28" s="2" customFormat="1" ht="15">
      <c r="A790" s="61" t="s">
        <v>776</v>
      </c>
      <c r="B790" s="61" t="s">
        <v>1135</v>
      </c>
      <c r="C790" s="61" t="s">
        <v>4344</v>
      </c>
      <c r="D790" s="61" t="s">
        <v>7838</v>
      </c>
      <c r="E790" s="61">
        <v>4243</v>
      </c>
      <c r="F790" s="61">
        <v>4962</v>
      </c>
      <c r="G790" s="61">
        <v>2025</v>
      </c>
      <c r="H790" s="61" t="s">
        <v>3458</v>
      </c>
      <c r="I790" s="61" t="s">
        <v>388</v>
      </c>
      <c r="J790" s="61" t="s">
        <v>328</v>
      </c>
      <c r="K790" s="61" t="s">
        <v>1982</v>
      </c>
      <c r="L790" s="61" t="s">
        <v>8316</v>
      </c>
      <c r="M790" s="475">
        <v>45693</v>
      </c>
      <c r="N790" s="475">
        <v>45700</v>
      </c>
      <c r="O790" s="475">
        <v>45705</v>
      </c>
      <c r="P790" s="475">
        <v>45705</v>
      </c>
      <c r="Q790" s="475">
        <v>45705</v>
      </c>
      <c r="R790" s="61">
        <f t="shared" si="57"/>
        <v>5</v>
      </c>
      <c r="S790" s="61">
        <f t="shared" si="58"/>
        <v>3</v>
      </c>
      <c r="T790" s="61">
        <f t="shared" si="56"/>
        <v>3</v>
      </c>
      <c r="U790" s="61">
        <f t="shared" si="55"/>
        <v>1</v>
      </c>
      <c r="V790" s="61" t="s">
        <v>150</v>
      </c>
      <c r="W790" s="61" t="s">
        <v>1078</v>
      </c>
      <c r="X790" s="61" t="s">
        <v>50</v>
      </c>
      <c r="Y790" s="61"/>
      <c r="Z790" s="61"/>
      <c r="AA790" s="61" t="s">
        <v>330</v>
      </c>
      <c r="AB790" s="61"/>
    </row>
    <row r="791" spans="1:28" s="507" customFormat="1" ht="15">
      <c r="A791" s="61" t="s">
        <v>776</v>
      </c>
      <c r="B791" s="61" t="s">
        <v>1135</v>
      </c>
      <c r="C791" s="61" t="s">
        <v>4243</v>
      </c>
      <c r="D791" s="61" t="s">
        <v>7838</v>
      </c>
      <c r="E791" s="61">
        <v>19683</v>
      </c>
      <c r="F791" s="61">
        <v>17249</v>
      </c>
      <c r="G791" s="61">
        <v>2025</v>
      </c>
      <c r="H791" s="61" t="s">
        <v>3532</v>
      </c>
      <c r="I791" s="61" t="s">
        <v>388</v>
      </c>
      <c r="J791" s="61"/>
      <c r="K791" s="61" t="s">
        <v>1982</v>
      </c>
      <c r="L791" s="61" t="s">
        <v>8317</v>
      </c>
      <c r="M791" s="475">
        <v>45790</v>
      </c>
      <c r="N791" s="475">
        <v>45792</v>
      </c>
      <c r="O791" s="475">
        <v>45792</v>
      </c>
      <c r="P791" s="475">
        <v>45793</v>
      </c>
      <c r="Q791" s="475">
        <v>45793</v>
      </c>
      <c r="R791" s="61">
        <f t="shared" si="57"/>
        <v>2</v>
      </c>
      <c r="S791" s="61">
        <f t="shared" si="58"/>
        <v>1</v>
      </c>
      <c r="T791" s="61">
        <f t="shared" si="56"/>
        <v>1</v>
      </c>
      <c r="U791" s="61">
        <f t="shared" si="55"/>
        <v>1</v>
      </c>
      <c r="V791" s="61" t="s">
        <v>150</v>
      </c>
      <c r="W791" s="61" t="s">
        <v>1078</v>
      </c>
      <c r="X791" s="61" t="s">
        <v>57</v>
      </c>
      <c r="Y791" s="61">
        <v>14.868</v>
      </c>
      <c r="Z791" s="61">
        <v>120.8721</v>
      </c>
      <c r="AA791" s="61" t="s">
        <v>330</v>
      </c>
      <c r="AB791" s="61"/>
    </row>
    <row r="792" spans="1:28" s="2" customFormat="1" ht="15">
      <c r="A792" s="61" t="s">
        <v>776</v>
      </c>
      <c r="B792" s="61" t="s">
        <v>1135</v>
      </c>
      <c r="C792" s="61" t="s">
        <v>4338</v>
      </c>
      <c r="D792" s="61" t="s">
        <v>7838</v>
      </c>
      <c r="E792" s="61">
        <v>7030</v>
      </c>
      <c r="F792" s="61">
        <v>5892</v>
      </c>
      <c r="G792" s="61"/>
      <c r="H792" s="61"/>
      <c r="I792" s="61" t="s">
        <v>388</v>
      </c>
      <c r="J792" s="61"/>
      <c r="K792" s="61" t="s">
        <v>1982</v>
      </c>
      <c r="L792" s="61"/>
      <c r="M792" s="61"/>
      <c r="N792" s="61"/>
      <c r="O792" s="61"/>
      <c r="P792" s="61"/>
      <c r="Q792" s="61"/>
      <c r="R792" s="61" t="str">
        <f t="shared" si="57"/>
        <v/>
      </c>
      <c r="S792" s="61" t="str">
        <f t="shared" si="58"/>
        <v/>
      </c>
      <c r="T792" s="61" t="str">
        <f t="shared" si="56"/>
        <v/>
      </c>
      <c r="U792" s="61" t="str">
        <f t="shared" si="55"/>
        <v/>
      </c>
      <c r="V792" s="61"/>
      <c r="W792" s="61"/>
      <c r="X792" s="61"/>
      <c r="Y792" s="61"/>
      <c r="Z792" s="61"/>
      <c r="AA792" s="61"/>
      <c r="AB792" s="61"/>
    </row>
    <row r="793" spans="1:28" s="2" customFormat="1" ht="15">
      <c r="A793" s="61" t="s">
        <v>776</v>
      </c>
      <c r="B793" s="61" t="s">
        <v>1135</v>
      </c>
      <c r="C793" s="61" t="s">
        <v>4339</v>
      </c>
      <c r="D793" s="61" t="s">
        <v>7838</v>
      </c>
      <c r="E793" s="61">
        <v>9036</v>
      </c>
      <c r="F793" s="61">
        <v>8741</v>
      </c>
      <c r="G793" s="61"/>
      <c r="H793" s="61"/>
      <c r="I793" s="61" t="s">
        <v>388</v>
      </c>
      <c r="J793" s="61"/>
      <c r="K793" s="61" t="s">
        <v>1982</v>
      </c>
      <c r="L793" s="61"/>
      <c r="M793" s="61"/>
      <c r="N793" s="61"/>
      <c r="O793" s="61"/>
      <c r="P793" s="61"/>
      <c r="Q793" s="61"/>
      <c r="R793" s="61" t="str">
        <f t="shared" si="57"/>
        <v/>
      </c>
      <c r="S793" s="61" t="str">
        <f t="shared" si="58"/>
        <v/>
      </c>
      <c r="T793" s="61" t="str">
        <f t="shared" si="56"/>
        <v/>
      </c>
      <c r="U793" s="61" t="str">
        <f t="shared" si="55"/>
        <v/>
      </c>
      <c r="V793" s="61"/>
      <c r="W793" s="61"/>
      <c r="X793" s="61"/>
      <c r="Y793" s="61"/>
      <c r="Z793" s="61"/>
      <c r="AA793" s="61"/>
      <c r="AB793" s="61"/>
    </row>
    <row r="794" spans="1:28" s="2" customFormat="1" ht="15">
      <c r="A794" s="61" t="s">
        <v>776</v>
      </c>
      <c r="B794" s="61" t="s">
        <v>1135</v>
      </c>
      <c r="C794" s="61" t="s">
        <v>4340</v>
      </c>
      <c r="D794" s="61" t="s">
        <v>7838</v>
      </c>
      <c r="E794" s="61">
        <v>4122</v>
      </c>
      <c r="F794" s="61">
        <v>4585</v>
      </c>
      <c r="G794" s="61"/>
      <c r="H794" s="61"/>
      <c r="I794" s="61" t="s">
        <v>388</v>
      </c>
      <c r="J794" s="61"/>
      <c r="K794" s="61" t="s">
        <v>1982</v>
      </c>
      <c r="L794" s="61"/>
      <c r="M794" s="61"/>
      <c r="N794" s="61"/>
      <c r="O794" s="61"/>
      <c r="P794" s="61"/>
      <c r="Q794" s="61"/>
      <c r="R794" s="61" t="str">
        <f t="shared" si="57"/>
        <v/>
      </c>
      <c r="S794" s="61" t="str">
        <f t="shared" si="58"/>
        <v/>
      </c>
      <c r="T794" s="61" t="str">
        <f t="shared" si="56"/>
        <v/>
      </c>
      <c r="U794" s="61" t="str">
        <f t="shared" si="55"/>
        <v/>
      </c>
      <c r="V794" s="61"/>
      <c r="W794" s="61"/>
      <c r="X794" s="61"/>
      <c r="Y794" s="61"/>
      <c r="Z794" s="61"/>
      <c r="AA794" s="61"/>
      <c r="AB794" s="61"/>
    </row>
    <row r="795" spans="1:28" s="2" customFormat="1" ht="15">
      <c r="A795" s="61" t="s">
        <v>776</v>
      </c>
      <c r="B795" s="61" t="s">
        <v>1135</v>
      </c>
      <c r="C795" s="61" t="s">
        <v>4346</v>
      </c>
      <c r="D795" s="61" t="s">
        <v>7838</v>
      </c>
      <c r="E795" s="61">
        <v>2077</v>
      </c>
      <c r="F795" s="61">
        <v>2259</v>
      </c>
      <c r="G795" s="61"/>
      <c r="H795" s="61"/>
      <c r="I795" s="61" t="s">
        <v>388</v>
      </c>
      <c r="J795" s="61"/>
      <c r="K795" s="61" t="s">
        <v>1982</v>
      </c>
      <c r="L795" s="61"/>
      <c r="M795" s="61"/>
      <c r="N795" s="61"/>
      <c r="O795" s="61"/>
      <c r="P795" s="61"/>
      <c r="Q795" s="61"/>
      <c r="R795" s="61" t="str">
        <f t="shared" si="57"/>
        <v/>
      </c>
      <c r="S795" s="61" t="str">
        <f t="shared" si="58"/>
        <v/>
      </c>
      <c r="T795" s="61" t="str">
        <f t="shared" si="56"/>
        <v/>
      </c>
      <c r="U795" s="61" t="str">
        <f t="shared" si="55"/>
        <v/>
      </c>
      <c r="V795" s="61"/>
      <c r="W795" s="61"/>
      <c r="X795" s="61"/>
      <c r="Y795" s="61"/>
      <c r="Z795" s="61"/>
      <c r="AA795" s="61"/>
      <c r="AB795" s="61"/>
    </row>
    <row r="796" spans="1:28" s="2" customFormat="1" ht="15">
      <c r="A796" s="61" t="s">
        <v>776</v>
      </c>
      <c r="B796" s="61" t="s">
        <v>1135</v>
      </c>
      <c r="C796" s="61" t="s">
        <v>4347</v>
      </c>
      <c r="D796" s="61" t="s">
        <v>7838</v>
      </c>
      <c r="E796" s="61">
        <v>5361</v>
      </c>
      <c r="F796" s="61">
        <v>5609</v>
      </c>
      <c r="G796" s="61"/>
      <c r="H796" s="61"/>
      <c r="I796" s="61" t="s">
        <v>388</v>
      </c>
      <c r="J796" s="61"/>
      <c r="K796" s="61" t="s">
        <v>1982</v>
      </c>
      <c r="L796" s="61"/>
      <c r="M796" s="61"/>
      <c r="N796" s="61"/>
      <c r="O796" s="61"/>
      <c r="P796" s="61"/>
      <c r="Q796" s="61"/>
      <c r="R796" s="61" t="str">
        <f t="shared" si="57"/>
        <v/>
      </c>
      <c r="S796" s="61" t="str">
        <f t="shared" si="58"/>
        <v/>
      </c>
      <c r="T796" s="61" t="str">
        <f t="shared" si="56"/>
        <v/>
      </c>
      <c r="U796" s="61" t="str">
        <f t="shared" si="55"/>
        <v/>
      </c>
      <c r="V796" s="61"/>
      <c r="W796" s="61"/>
      <c r="X796" s="61"/>
      <c r="Y796" s="61"/>
      <c r="Z796" s="61"/>
      <c r="AA796" s="61"/>
      <c r="AB796" s="61"/>
    </row>
    <row r="797" spans="1:28" s="2" customFormat="1" ht="15">
      <c r="A797" s="506" t="s">
        <v>776</v>
      </c>
      <c r="B797" s="506" t="s">
        <v>1135</v>
      </c>
      <c r="C797" s="506" t="s">
        <v>1056</v>
      </c>
      <c r="D797" s="506" t="s">
        <v>7838</v>
      </c>
      <c r="E797" s="506">
        <v>3901</v>
      </c>
      <c r="F797" s="506">
        <v>3878</v>
      </c>
      <c r="G797" s="506">
        <v>2025</v>
      </c>
      <c r="H797" s="506" t="s">
        <v>3127</v>
      </c>
      <c r="I797" s="506" t="s">
        <v>388</v>
      </c>
      <c r="J797" s="506"/>
      <c r="K797" s="506" t="s">
        <v>1982</v>
      </c>
      <c r="L797" s="61" t="s">
        <v>8318</v>
      </c>
      <c r="M797" s="508">
        <v>45876</v>
      </c>
      <c r="N797" s="508">
        <v>45885</v>
      </c>
      <c r="O797" s="506"/>
      <c r="P797" s="508">
        <v>45887</v>
      </c>
      <c r="Q797" s="508">
        <v>45888</v>
      </c>
      <c r="R797" s="506">
        <f t="shared" si="57"/>
        <v>6</v>
      </c>
      <c r="S797" s="506" t="str">
        <f t="shared" si="58"/>
        <v/>
      </c>
      <c r="T797" s="506">
        <f t="shared" si="56"/>
        <v>1</v>
      </c>
      <c r="U797" s="506">
        <f t="shared" si="55"/>
        <v>1</v>
      </c>
      <c r="V797" s="506" t="s">
        <v>150</v>
      </c>
      <c r="W797" s="61" t="s">
        <v>3527</v>
      </c>
      <c r="X797" s="61" t="s">
        <v>3528</v>
      </c>
      <c r="Y797" s="506" t="s">
        <v>69</v>
      </c>
      <c r="Z797" s="506" t="s">
        <v>69</v>
      </c>
      <c r="AA797" s="506" t="s">
        <v>330</v>
      </c>
      <c r="AB797" s="506"/>
    </row>
    <row r="798" spans="1:28" s="2" customFormat="1" ht="15">
      <c r="A798" s="61" t="s">
        <v>776</v>
      </c>
      <c r="B798" s="61" t="s">
        <v>1141</v>
      </c>
      <c r="C798" s="61" t="s">
        <v>1831</v>
      </c>
      <c r="D798" s="61" t="s">
        <v>7838</v>
      </c>
      <c r="E798" s="61">
        <v>5426</v>
      </c>
      <c r="F798" s="61">
        <v>5817</v>
      </c>
      <c r="G798" s="61">
        <v>2025</v>
      </c>
      <c r="H798" s="61" t="s">
        <v>3532</v>
      </c>
      <c r="I798" s="61" t="s">
        <v>388</v>
      </c>
      <c r="J798" s="61"/>
      <c r="K798" s="61" t="s">
        <v>1982</v>
      </c>
      <c r="L798" s="61" t="s">
        <v>8319</v>
      </c>
      <c r="M798" s="475">
        <v>45793</v>
      </c>
      <c r="N798" s="475">
        <v>45794</v>
      </c>
      <c r="O798" s="475">
        <v>45796</v>
      </c>
      <c r="P798" s="475">
        <v>45796</v>
      </c>
      <c r="Q798" s="475">
        <v>45797</v>
      </c>
      <c r="R798" s="61">
        <f t="shared" si="57"/>
        <v>1</v>
      </c>
      <c r="S798" s="61">
        <f t="shared" si="58"/>
        <v>1</v>
      </c>
      <c r="T798" s="61">
        <f t="shared" si="56"/>
        <v>1</v>
      </c>
      <c r="U798" s="61">
        <f t="shared" si="55"/>
        <v>1</v>
      </c>
      <c r="V798" s="61" t="s">
        <v>150</v>
      </c>
      <c r="W798" s="61" t="s">
        <v>7840</v>
      </c>
      <c r="X798" s="61" t="s">
        <v>3528</v>
      </c>
      <c r="Y798" s="61">
        <v>14.893599999999999</v>
      </c>
      <c r="Z798" s="61">
        <v>120.8657</v>
      </c>
      <c r="AA798" s="61" t="s">
        <v>330</v>
      </c>
      <c r="AB798" s="61"/>
    </row>
    <row r="799" spans="1:28" s="2" customFormat="1" ht="15">
      <c r="A799" s="61" t="s">
        <v>776</v>
      </c>
      <c r="B799" s="61" t="s">
        <v>1141</v>
      </c>
      <c r="C799" s="61" t="s">
        <v>4375</v>
      </c>
      <c r="D799" s="61" t="s">
        <v>7838</v>
      </c>
      <c r="E799" s="61">
        <v>6543</v>
      </c>
      <c r="F799" s="61">
        <v>6457</v>
      </c>
      <c r="G799" s="61">
        <v>2025</v>
      </c>
      <c r="H799" s="61" t="s">
        <v>3125</v>
      </c>
      <c r="I799" s="61" t="s">
        <v>388</v>
      </c>
      <c r="J799" s="61"/>
      <c r="K799" s="61" t="s">
        <v>1982</v>
      </c>
      <c r="L799" s="61" t="s">
        <v>8320</v>
      </c>
      <c r="M799" s="475">
        <v>45847</v>
      </c>
      <c r="N799" s="475">
        <v>45855</v>
      </c>
      <c r="O799" s="475"/>
      <c r="P799" s="475">
        <v>45856</v>
      </c>
      <c r="Q799" s="475">
        <v>45856</v>
      </c>
      <c r="R799" s="61">
        <f t="shared" si="57"/>
        <v>6</v>
      </c>
      <c r="S799" s="61" t="str">
        <f t="shared" si="58"/>
        <v/>
      </c>
      <c r="T799" s="61">
        <f t="shared" si="56"/>
        <v>1</v>
      </c>
      <c r="U799" s="61">
        <f t="shared" si="55"/>
        <v>1</v>
      </c>
      <c r="V799" s="61" t="s">
        <v>150</v>
      </c>
      <c r="W799" s="61" t="s">
        <v>4</v>
      </c>
      <c r="X799" s="61" t="s">
        <v>50</v>
      </c>
      <c r="Y799" s="61">
        <v>14.909800000000001</v>
      </c>
      <c r="Z799" s="61">
        <v>120.8592</v>
      </c>
      <c r="AA799" s="61" t="s">
        <v>330</v>
      </c>
      <c r="AB799" s="61"/>
    </row>
    <row r="800" spans="1:28" s="2" customFormat="1" ht="15">
      <c r="A800" s="61" t="s">
        <v>776</v>
      </c>
      <c r="B800" s="61" t="s">
        <v>1141</v>
      </c>
      <c r="C800" s="61" t="s">
        <v>1056</v>
      </c>
      <c r="D800" s="61" t="s">
        <v>7838</v>
      </c>
      <c r="E800" s="61">
        <v>12227</v>
      </c>
      <c r="F800" s="61">
        <v>13353</v>
      </c>
      <c r="G800" s="61">
        <v>2025</v>
      </c>
      <c r="H800" s="61" t="s">
        <v>3126</v>
      </c>
      <c r="I800" s="61" t="s">
        <v>388</v>
      </c>
      <c r="J800" s="61"/>
      <c r="K800" s="61" t="s">
        <v>1982</v>
      </c>
      <c r="L800" s="61" t="s">
        <v>8321</v>
      </c>
      <c r="M800" s="475">
        <v>45876</v>
      </c>
      <c r="N800" s="475">
        <v>45885</v>
      </c>
      <c r="O800" s="61"/>
      <c r="P800" s="475">
        <v>45887</v>
      </c>
      <c r="Q800" s="475">
        <v>45888</v>
      </c>
      <c r="R800" s="61">
        <f t="shared" si="57"/>
        <v>6</v>
      </c>
      <c r="S800" s="61" t="str">
        <f t="shared" si="58"/>
        <v/>
      </c>
      <c r="T800" s="61">
        <f t="shared" si="56"/>
        <v>1</v>
      </c>
      <c r="U800" s="61">
        <f t="shared" si="55"/>
        <v>1</v>
      </c>
      <c r="V800" s="61" t="s">
        <v>150</v>
      </c>
      <c r="W800" s="61" t="s">
        <v>4</v>
      </c>
      <c r="X800" s="61" t="s">
        <v>50</v>
      </c>
      <c r="Y800" s="61">
        <v>14.9161</v>
      </c>
      <c r="Z800" s="61">
        <v>120.843</v>
      </c>
      <c r="AA800" s="506" t="s">
        <v>330</v>
      </c>
      <c r="AB800" s="61"/>
    </row>
    <row r="801" spans="1:28" s="2" customFormat="1" ht="15">
      <c r="A801" s="61" t="s">
        <v>776</v>
      </c>
      <c r="B801" s="61" t="s">
        <v>1141</v>
      </c>
      <c r="C801" s="61" t="s">
        <v>1462</v>
      </c>
      <c r="D801" s="61" t="s">
        <v>7838</v>
      </c>
      <c r="E801" s="61">
        <v>4235</v>
      </c>
      <c r="F801" s="61">
        <v>4857</v>
      </c>
      <c r="G801" s="61">
        <v>2025</v>
      </c>
      <c r="H801" s="61" t="s">
        <v>3470</v>
      </c>
      <c r="I801" s="61" t="s">
        <v>388</v>
      </c>
      <c r="J801" s="61"/>
      <c r="K801" s="61" t="s">
        <v>1982</v>
      </c>
      <c r="L801" s="61" t="s">
        <v>8322</v>
      </c>
      <c r="M801" s="475">
        <v>45757</v>
      </c>
      <c r="N801" s="475">
        <v>45761</v>
      </c>
      <c r="O801" s="475">
        <v>45761</v>
      </c>
      <c r="P801" s="475">
        <v>45761</v>
      </c>
      <c r="Q801" s="475">
        <v>45761</v>
      </c>
      <c r="R801" s="61">
        <f t="shared" si="57"/>
        <v>2</v>
      </c>
      <c r="S801" s="61">
        <f t="shared" si="58"/>
        <v>1</v>
      </c>
      <c r="T801" s="61">
        <f t="shared" si="56"/>
        <v>1</v>
      </c>
      <c r="U801" s="61">
        <f t="shared" si="55"/>
        <v>1</v>
      </c>
      <c r="V801" s="61" t="s">
        <v>150</v>
      </c>
      <c r="W801" s="61" t="s">
        <v>4</v>
      </c>
      <c r="X801" s="61" t="s">
        <v>50</v>
      </c>
      <c r="Y801" s="118">
        <v>14.906499999999999</v>
      </c>
      <c r="Z801" s="118">
        <v>120.82680000000001</v>
      </c>
      <c r="AA801" s="61" t="s">
        <v>330</v>
      </c>
      <c r="AB801" s="61"/>
    </row>
    <row r="802" spans="1:28" s="2" customFormat="1" ht="15">
      <c r="A802" s="61" t="s">
        <v>776</v>
      </c>
      <c r="B802" s="61" t="s">
        <v>1141</v>
      </c>
      <c r="C802" s="61" t="s">
        <v>3977</v>
      </c>
      <c r="D802" s="61" t="s">
        <v>7838</v>
      </c>
      <c r="E802" s="61">
        <v>6831</v>
      </c>
      <c r="F802" s="61">
        <v>7700</v>
      </c>
      <c r="G802" s="61">
        <v>2025</v>
      </c>
      <c r="H802" s="61" t="s">
        <v>3470</v>
      </c>
      <c r="I802" s="61" t="s">
        <v>388</v>
      </c>
      <c r="J802" s="61"/>
      <c r="K802" s="61" t="s">
        <v>1982</v>
      </c>
      <c r="L802" s="61" t="s">
        <v>8323</v>
      </c>
      <c r="M802" s="475">
        <v>45757</v>
      </c>
      <c r="N802" s="475">
        <v>45761</v>
      </c>
      <c r="O802" s="475"/>
      <c r="P802" s="475">
        <v>45762</v>
      </c>
      <c r="Q802" s="475">
        <v>45762</v>
      </c>
      <c r="R802" s="61">
        <f t="shared" si="57"/>
        <v>2</v>
      </c>
      <c r="S802" s="61" t="str">
        <f t="shared" si="58"/>
        <v/>
      </c>
      <c r="T802" s="61">
        <f t="shared" si="56"/>
        <v>1</v>
      </c>
      <c r="U802" s="61">
        <f t="shared" si="55"/>
        <v>1</v>
      </c>
      <c r="V802" s="61" t="s">
        <v>150</v>
      </c>
      <c r="W802" s="61" t="s">
        <v>1078</v>
      </c>
      <c r="X802" s="61" t="s">
        <v>50</v>
      </c>
      <c r="Y802" s="118">
        <v>14.901</v>
      </c>
      <c r="Z802" s="118">
        <v>120.8763</v>
      </c>
      <c r="AA802" s="61" t="s">
        <v>330</v>
      </c>
      <c r="AB802" s="61"/>
    </row>
    <row r="803" spans="1:28" s="2" customFormat="1" ht="15">
      <c r="A803" s="61" t="s">
        <v>776</v>
      </c>
      <c r="B803" s="61" t="s">
        <v>1141</v>
      </c>
      <c r="C803" s="61" t="s">
        <v>4357</v>
      </c>
      <c r="D803" s="61" t="s">
        <v>7838</v>
      </c>
      <c r="E803" s="61">
        <v>1656</v>
      </c>
      <c r="F803" s="61">
        <v>1877</v>
      </c>
      <c r="G803" s="61">
        <v>2025</v>
      </c>
      <c r="H803" s="61" t="s">
        <v>3532</v>
      </c>
      <c r="I803" s="61" t="s">
        <v>388</v>
      </c>
      <c r="J803" s="61"/>
      <c r="K803" s="61" t="s">
        <v>1982</v>
      </c>
      <c r="L803" s="61" t="s">
        <v>8324</v>
      </c>
      <c r="M803" s="475">
        <v>45793</v>
      </c>
      <c r="N803" s="475">
        <v>45794</v>
      </c>
      <c r="O803" s="475"/>
      <c r="P803" s="475">
        <v>45796</v>
      </c>
      <c r="Q803" s="475">
        <v>45797</v>
      </c>
      <c r="R803" s="61">
        <f t="shared" si="57"/>
        <v>1</v>
      </c>
      <c r="S803" s="61" t="str">
        <f t="shared" si="58"/>
        <v/>
      </c>
      <c r="T803" s="61">
        <f t="shared" si="56"/>
        <v>1</v>
      </c>
      <c r="U803" s="61">
        <f t="shared" si="55"/>
        <v>1</v>
      </c>
      <c r="V803" s="61" t="s">
        <v>150</v>
      </c>
      <c r="W803" s="61" t="s">
        <v>3527</v>
      </c>
      <c r="X803" s="61" t="s">
        <v>3528</v>
      </c>
      <c r="Y803" s="61">
        <v>14.931699999999999</v>
      </c>
      <c r="Z803" s="61">
        <v>120.8433</v>
      </c>
      <c r="AA803" s="61" t="s">
        <v>330</v>
      </c>
      <c r="AB803" s="61"/>
    </row>
    <row r="804" spans="1:28" s="2" customFormat="1" ht="15">
      <c r="A804" s="61" t="s">
        <v>776</v>
      </c>
      <c r="B804" s="61" t="s">
        <v>1141</v>
      </c>
      <c r="C804" s="61" t="s">
        <v>4359</v>
      </c>
      <c r="D804" s="61" t="s">
        <v>7838</v>
      </c>
      <c r="E804" s="61">
        <v>3691</v>
      </c>
      <c r="F804" s="61">
        <v>4100</v>
      </c>
      <c r="G804" s="61">
        <v>2025</v>
      </c>
      <c r="H804" s="61" t="s">
        <v>3532</v>
      </c>
      <c r="I804" s="61" t="s">
        <v>388</v>
      </c>
      <c r="J804" s="61"/>
      <c r="K804" s="61" t="s">
        <v>1982</v>
      </c>
      <c r="L804" s="61" t="s">
        <v>8325</v>
      </c>
      <c r="M804" s="475">
        <v>45793</v>
      </c>
      <c r="N804" s="475">
        <v>45794</v>
      </c>
      <c r="O804" s="475"/>
      <c r="P804" s="475">
        <v>45796</v>
      </c>
      <c r="Q804" s="475">
        <v>45797</v>
      </c>
      <c r="R804" s="61">
        <f t="shared" si="57"/>
        <v>1</v>
      </c>
      <c r="S804" s="61" t="str">
        <f t="shared" si="58"/>
        <v/>
      </c>
      <c r="T804" s="61">
        <f t="shared" si="56"/>
        <v>1</v>
      </c>
      <c r="U804" s="61">
        <f t="shared" si="55"/>
        <v>1</v>
      </c>
      <c r="V804" s="61" t="s">
        <v>150</v>
      </c>
      <c r="W804" s="61" t="s">
        <v>3527</v>
      </c>
      <c r="X804" s="61" t="s">
        <v>3528</v>
      </c>
      <c r="Y804" s="61">
        <v>14.9413</v>
      </c>
      <c r="Z804" s="61">
        <v>120.8443</v>
      </c>
      <c r="AA804" s="61" t="s">
        <v>330</v>
      </c>
      <c r="AB804" s="61"/>
    </row>
    <row r="805" spans="1:28" s="2" customFormat="1" ht="15">
      <c r="A805" s="61" t="s">
        <v>776</v>
      </c>
      <c r="B805" s="61" t="s">
        <v>1141</v>
      </c>
      <c r="C805" s="61" t="s">
        <v>4361</v>
      </c>
      <c r="D805" s="61" t="s">
        <v>7838</v>
      </c>
      <c r="E805" s="61">
        <v>7152</v>
      </c>
      <c r="F805" s="61">
        <v>8320</v>
      </c>
      <c r="G805" s="61">
        <v>2025</v>
      </c>
      <c r="H805" s="61" t="s">
        <v>3532</v>
      </c>
      <c r="I805" s="61" t="s">
        <v>388</v>
      </c>
      <c r="J805" s="61"/>
      <c r="K805" s="61" t="s">
        <v>1982</v>
      </c>
      <c r="L805" s="61" t="s">
        <v>8326</v>
      </c>
      <c r="M805" s="475">
        <v>45793</v>
      </c>
      <c r="N805" s="475">
        <v>45794</v>
      </c>
      <c r="O805" s="475"/>
      <c r="P805" s="475">
        <v>45796</v>
      </c>
      <c r="Q805" s="475">
        <v>45797</v>
      </c>
      <c r="R805" s="61">
        <f t="shared" si="57"/>
        <v>1</v>
      </c>
      <c r="S805" s="61" t="str">
        <f t="shared" si="58"/>
        <v/>
      </c>
      <c r="T805" s="61">
        <f t="shared" si="56"/>
        <v>1</v>
      </c>
      <c r="U805" s="61">
        <f t="shared" si="55"/>
        <v>1</v>
      </c>
      <c r="V805" s="61" t="s">
        <v>150</v>
      </c>
      <c r="W805" s="61" t="s">
        <v>3527</v>
      </c>
      <c r="X805" s="61" t="s">
        <v>3528</v>
      </c>
      <c r="Y805" s="61">
        <v>14.9018</v>
      </c>
      <c r="Z805" s="61">
        <v>120.867</v>
      </c>
      <c r="AA805" s="61" t="s">
        <v>330</v>
      </c>
      <c r="AB805" s="61"/>
    </row>
    <row r="806" spans="1:28" s="2" customFormat="1" ht="15">
      <c r="A806" s="61" t="s">
        <v>776</v>
      </c>
      <c r="B806" s="61" t="s">
        <v>1141</v>
      </c>
      <c r="C806" s="61" t="s">
        <v>4363</v>
      </c>
      <c r="D806" s="61" t="s">
        <v>7838</v>
      </c>
      <c r="E806" s="61">
        <v>6028</v>
      </c>
      <c r="F806" s="61">
        <v>6770</v>
      </c>
      <c r="G806" s="61">
        <v>2025</v>
      </c>
      <c r="H806" s="61" t="s">
        <v>3125</v>
      </c>
      <c r="I806" s="61" t="s">
        <v>388</v>
      </c>
      <c r="J806" s="61"/>
      <c r="K806" s="61" t="s">
        <v>1982</v>
      </c>
      <c r="L806" s="61" t="s">
        <v>8327</v>
      </c>
      <c r="M806" s="475">
        <v>45848</v>
      </c>
      <c r="N806" s="475">
        <v>45855</v>
      </c>
      <c r="O806" s="475"/>
      <c r="P806" s="475">
        <v>45856</v>
      </c>
      <c r="Q806" s="475">
        <v>45856</v>
      </c>
      <c r="R806" s="61">
        <f t="shared" si="57"/>
        <v>5</v>
      </c>
      <c r="S806" s="61" t="str">
        <f t="shared" si="58"/>
        <v/>
      </c>
      <c r="T806" s="61">
        <f t="shared" si="56"/>
        <v>1</v>
      </c>
      <c r="U806" s="61">
        <f t="shared" si="55"/>
        <v>1</v>
      </c>
      <c r="V806" s="61" t="s">
        <v>150</v>
      </c>
      <c r="W806" s="61" t="s">
        <v>3527</v>
      </c>
      <c r="X806" s="61" t="s">
        <v>3528</v>
      </c>
      <c r="Y806" s="61">
        <v>14.9015</v>
      </c>
      <c r="Z806" s="61">
        <v>120.8323</v>
      </c>
      <c r="AA806" s="61" t="s">
        <v>330</v>
      </c>
      <c r="AB806" s="61"/>
    </row>
    <row r="807" spans="1:28" s="2" customFormat="1" ht="15">
      <c r="A807" s="61" t="s">
        <v>776</v>
      </c>
      <c r="B807" s="61" t="s">
        <v>1141</v>
      </c>
      <c r="C807" s="61" t="s">
        <v>4365</v>
      </c>
      <c r="D807" s="61" t="s">
        <v>7838</v>
      </c>
      <c r="E807" s="61">
        <v>4225</v>
      </c>
      <c r="F807" s="61">
        <v>4896</v>
      </c>
      <c r="G807" s="61">
        <v>2025</v>
      </c>
      <c r="H807" s="61" t="s">
        <v>3125</v>
      </c>
      <c r="I807" s="61" t="s">
        <v>388</v>
      </c>
      <c r="J807" s="61"/>
      <c r="K807" s="61" t="s">
        <v>1982</v>
      </c>
      <c r="L807" s="61" t="s">
        <v>8328</v>
      </c>
      <c r="M807" s="475">
        <v>45854</v>
      </c>
      <c r="N807" s="475">
        <v>45855</v>
      </c>
      <c r="O807" s="475"/>
      <c r="P807" s="475">
        <v>45856</v>
      </c>
      <c r="Q807" s="475">
        <v>45856</v>
      </c>
      <c r="R807" s="61">
        <f t="shared" si="57"/>
        <v>1</v>
      </c>
      <c r="S807" s="61" t="str">
        <f t="shared" si="58"/>
        <v/>
      </c>
      <c r="T807" s="61">
        <f t="shared" si="56"/>
        <v>1</v>
      </c>
      <c r="U807" s="61">
        <f t="shared" si="55"/>
        <v>1</v>
      </c>
      <c r="V807" s="61" t="s">
        <v>150</v>
      </c>
      <c r="W807" s="61" t="s">
        <v>3527</v>
      </c>
      <c r="X807" s="61" t="s">
        <v>3528</v>
      </c>
      <c r="Y807" s="61">
        <v>14.9033</v>
      </c>
      <c r="Z807" s="61">
        <v>120.8139</v>
      </c>
      <c r="AA807" s="61" t="s">
        <v>330</v>
      </c>
      <c r="AB807" s="61"/>
    </row>
    <row r="808" spans="1:28" s="2" customFormat="1" ht="15">
      <c r="A808" s="61" t="s">
        <v>776</v>
      </c>
      <c r="B808" s="61" t="s">
        <v>1141</v>
      </c>
      <c r="C808" s="61" t="s">
        <v>4367</v>
      </c>
      <c r="D808" s="61" t="s">
        <v>7838</v>
      </c>
      <c r="E808" s="61">
        <v>4706</v>
      </c>
      <c r="F808" s="61">
        <v>5317</v>
      </c>
      <c r="G808" s="61">
        <v>2025</v>
      </c>
      <c r="H808" s="61" t="s">
        <v>3125</v>
      </c>
      <c r="I808" s="61" t="s">
        <v>388</v>
      </c>
      <c r="J808" s="61"/>
      <c r="K808" s="61" t="s">
        <v>1982</v>
      </c>
      <c r="L808" s="61" t="s">
        <v>8329</v>
      </c>
      <c r="M808" s="475">
        <v>45854</v>
      </c>
      <c r="N808" s="475">
        <v>45855</v>
      </c>
      <c r="O808" s="61"/>
      <c r="P808" s="475">
        <v>45856</v>
      </c>
      <c r="Q808" s="475">
        <v>45856</v>
      </c>
      <c r="R808" s="61">
        <f t="shared" si="57"/>
        <v>1</v>
      </c>
      <c r="S808" s="61" t="str">
        <f t="shared" si="58"/>
        <v/>
      </c>
      <c r="T808" s="61">
        <f t="shared" si="56"/>
        <v>1</v>
      </c>
      <c r="U808" s="61">
        <f t="shared" si="55"/>
        <v>1</v>
      </c>
      <c r="V808" s="61" t="s">
        <v>150</v>
      </c>
      <c r="W808" s="61" t="s">
        <v>3527</v>
      </c>
      <c r="X808" s="61" t="s">
        <v>3528</v>
      </c>
      <c r="Y808" s="61">
        <v>14.9033</v>
      </c>
      <c r="Z808" s="61">
        <v>120.8139</v>
      </c>
      <c r="AA808" s="61" t="s">
        <v>330</v>
      </c>
      <c r="AB808" s="61"/>
    </row>
    <row r="809" spans="1:28" s="507" customFormat="1" ht="15">
      <c r="A809" s="506" t="s">
        <v>776</v>
      </c>
      <c r="B809" s="506" t="s">
        <v>1141</v>
      </c>
      <c r="C809" s="506" t="s">
        <v>4377</v>
      </c>
      <c r="D809" s="506" t="s">
        <v>7838</v>
      </c>
      <c r="E809" s="506">
        <v>1996</v>
      </c>
      <c r="F809" s="506">
        <v>2377</v>
      </c>
      <c r="G809" s="506">
        <v>2025</v>
      </c>
      <c r="H809" s="61" t="s">
        <v>3126</v>
      </c>
      <c r="I809" s="506" t="s">
        <v>388</v>
      </c>
      <c r="J809" s="506"/>
      <c r="K809" s="506" t="s">
        <v>1982</v>
      </c>
      <c r="L809" s="61" t="s">
        <v>8330</v>
      </c>
      <c r="M809" s="508">
        <v>45876</v>
      </c>
      <c r="N809" s="508">
        <v>45885</v>
      </c>
      <c r="O809" s="506"/>
      <c r="P809" s="508">
        <v>45887</v>
      </c>
      <c r="Q809" s="475">
        <v>45888</v>
      </c>
      <c r="R809" s="506">
        <f t="shared" si="57"/>
        <v>6</v>
      </c>
      <c r="S809" s="506" t="str">
        <f t="shared" si="58"/>
        <v/>
      </c>
      <c r="T809" s="506">
        <f t="shared" si="56"/>
        <v>1</v>
      </c>
      <c r="U809" s="506">
        <f t="shared" si="55"/>
        <v>1</v>
      </c>
      <c r="V809" s="506" t="s">
        <v>150</v>
      </c>
      <c r="W809" s="61" t="s">
        <v>3527</v>
      </c>
      <c r="X809" s="61" t="s">
        <v>3528</v>
      </c>
      <c r="Y809" s="61" t="s">
        <v>69</v>
      </c>
      <c r="Z809" s="61" t="s">
        <v>69</v>
      </c>
      <c r="AA809" s="506" t="s">
        <v>330</v>
      </c>
      <c r="AB809" s="506"/>
    </row>
    <row r="810" spans="1:28" s="2" customFormat="1" ht="15">
      <c r="A810" s="61" t="s">
        <v>776</v>
      </c>
      <c r="B810" s="61" t="s">
        <v>1141</v>
      </c>
      <c r="C810" s="61" t="s">
        <v>4014</v>
      </c>
      <c r="D810" s="61" t="s">
        <v>7838</v>
      </c>
      <c r="E810" s="61">
        <v>6774</v>
      </c>
      <c r="F810" s="61">
        <v>7912</v>
      </c>
      <c r="G810" s="61">
        <v>2025</v>
      </c>
      <c r="H810" s="61" t="s">
        <v>3470</v>
      </c>
      <c r="I810" s="61" t="s">
        <v>388</v>
      </c>
      <c r="J810" s="61"/>
      <c r="K810" s="61" t="s">
        <v>1982</v>
      </c>
      <c r="L810" s="61" t="s">
        <v>8331</v>
      </c>
      <c r="M810" s="475">
        <v>45757</v>
      </c>
      <c r="N810" s="475">
        <v>45761</v>
      </c>
      <c r="O810" s="475"/>
      <c r="P810" s="475">
        <v>45762</v>
      </c>
      <c r="Q810" s="475">
        <v>45762</v>
      </c>
      <c r="R810" s="61">
        <f t="shared" si="57"/>
        <v>2</v>
      </c>
      <c r="S810" s="61" t="str">
        <f t="shared" si="58"/>
        <v/>
      </c>
      <c r="T810" s="61">
        <f t="shared" ref="T810:T841" si="59">IF(
  OR(A810 = "Nueva_Ecija", A810 = "Zambales"),
  IF(
    OR(ISBLANK(O810), ISBLANK(P810)),
    "",
    MAX(1, IF(
      NETWORKDAYS(O810, P810) &lt;= 0,
      1,
      NETWORKDAYS(O810, P810) - IF(O810 = P810, 0, 1)
    ))
  ),
  IF(
    OR(ISBLANK(N810), ISBLANK(P810)),
    "",
    MAX(1, IF(
      NETWORKDAYS(N810, P810) &lt;= 0,
      1,
      NETWORKDAYS(N810, P810) - IF(N810 = P810, 0, 1)
    ))
  )
)</f>
        <v>1</v>
      </c>
      <c r="U810" s="61">
        <f t="shared" si="55"/>
        <v>1</v>
      </c>
      <c r="V810" s="61" t="s">
        <v>150</v>
      </c>
      <c r="W810" s="61" t="s">
        <v>3527</v>
      </c>
      <c r="X810" s="61" t="s">
        <v>3528</v>
      </c>
      <c r="Y810" s="118">
        <v>14.9077</v>
      </c>
      <c r="Z810" s="118">
        <v>120.8802</v>
      </c>
      <c r="AA810" s="61" t="s">
        <v>330</v>
      </c>
      <c r="AB810" s="61"/>
    </row>
    <row r="811" spans="1:28" s="2" customFormat="1" ht="15">
      <c r="A811" s="61" t="s">
        <v>776</v>
      </c>
      <c r="B811" s="61" t="s">
        <v>1141</v>
      </c>
      <c r="C811" s="61" t="s">
        <v>1305</v>
      </c>
      <c r="D811" s="61" t="s">
        <v>7838</v>
      </c>
      <c r="E811" s="61">
        <v>4355</v>
      </c>
      <c r="F811" s="61">
        <v>4931</v>
      </c>
      <c r="G811" s="61"/>
      <c r="H811" s="61"/>
      <c r="I811" s="61" t="s">
        <v>388</v>
      </c>
      <c r="J811" s="61"/>
      <c r="K811" s="61" t="s">
        <v>1982</v>
      </c>
      <c r="L811" s="61"/>
      <c r="M811" s="61"/>
      <c r="N811" s="61"/>
      <c r="O811" s="61"/>
      <c r="P811" s="61"/>
      <c r="Q811" s="61"/>
      <c r="R811" s="61" t="str">
        <f t="shared" si="57"/>
        <v/>
      </c>
      <c r="S811" s="61" t="str">
        <f t="shared" si="58"/>
        <v/>
      </c>
      <c r="T811" s="61" t="str">
        <f t="shared" si="59"/>
        <v/>
      </c>
      <c r="U811" s="61" t="str">
        <f t="shared" si="55"/>
        <v/>
      </c>
      <c r="V811" s="61"/>
      <c r="W811" s="61"/>
      <c r="X811" s="61"/>
      <c r="Y811" s="61"/>
      <c r="Z811" s="61"/>
      <c r="AA811" s="61"/>
      <c r="AB811" s="61"/>
    </row>
    <row r="812" spans="1:28" s="2" customFormat="1" ht="15">
      <c r="A812" s="506" t="s">
        <v>776</v>
      </c>
      <c r="B812" s="506" t="s">
        <v>1141</v>
      </c>
      <c r="C812" s="506" t="s">
        <v>4379</v>
      </c>
      <c r="D812" s="506" t="s">
        <v>7838</v>
      </c>
      <c r="E812" s="506">
        <v>3889</v>
      </c>
      <c r="F812" s="506">
        <v>4153</v>
      </c>
      <c r="G812" s="506">
        <v>2025</v>
      </c>
      <c r="H812" s="506" t="s">
        <v>3127</v>
      </c>
      <c r="I812" s="506" t="s">
        <v>388</v>
      </c>
      <c r="J812" s="506"/>
      <c r="K812" s="506" t="s">
        <v>1982</v>
      </c>
      <c r="L812" s="61" t="s">
        <v>8332</v>
      </c>
      <c r="M812" s="508">
        <v>45876</v>
      </c>
      <c r="N812" s="508">
        <v>45885</v>
      </c>
      <c r="O812" s="506"/>
      <c r="P812" s="508">
        <v>45887</v>
      </c>
      <c r="Q812" s="508">
        <v>45888</v>
      </c>
      <c r="R812" s="506">
        <f t="shared" si="57"/>
        <v>6</v>
      </c>
      <c r="S812" s="506" t="str">
        <f t="shared" si="58"/>
        <v/>
      </c>
      <c r="T812" s="506">
        <f t="shared" si="59"/>
        <v>1</v>
      </c>
      <c r="U812" s="506">
        <f t="shared" si="55"/>
        <v>1</v>
      </c>
      <c r="V812" s="61" t="s">
        <v>150</v>
      </c>
      <c r="W812" s="61" t="s">
        <v>3527</v>
      </c>
      <c r="X812" s="61" t="s">
        <v>3528</v>
      </c>
      <c r="Y812" s="118" t="s">
        <v>69</v>
      </c>
      <c r="Z812" s="118" t="s">
        <v>69</v>
      </c>
      <c r="AA812" s="506" t="s">
        <v>330</v>
      </c>
      <c r="AB812" s="506"/>
    </row>
    <row r="813" spans="1:28" s="2" customFormat="1" ht="15">
      <c r="A813" s="61" t="s">
        <v>776</v>
      </c>
      <c r="B813" s="61" t="s">
        <v>1141</v>
      </c>
      <c r="C813" s="61" t="s">
        <v>4355</v>
      </c>
      <c r="D813" s="61" t="s">
        <v>7838</v>
      </c>
      <c r="E813" s="61">
        <v>3926</v>
      </c>
      <c r="F813" s="61">
        <v>4114</v>
      </c>
      <c r="G813" s="61">
        <v>2025</v>
      </c>
      <c r="H813" s="61" t="s">
        <v>3127</v>
      </c>
      <c r="I813" s="61" t="s">
        <v>388</v>
      </c>
      <c r="J813" s="61" t="s">
        <v>1838</v>
      </c>
      <c r="K813" s="61" t="s">
        <v>1982</v>
      </c>
      <c r="L813" s="61" t="s">
        <v>8333</v>
      </c>
      <c r="M813" s="475">
        <v>45903</v>
      </c>
      <c r="N813" s="475">
        <v>45917</v>
      </c>
      <c r="O813" s="475">
        <v>45918</v>
      </c>
      <c r="P813" s="475">
        <v>45923</v>
      </c>
      <c r="Q813" s="475">
        <v>45923</v>
      </c>
      <c r="R813" s="61">
        <f t="shared" si="57"/>
        <v>10</v>
      </c>
      <c r="S813" s="61">
        <f t="shared" si="58"/>
        <v>1</v>
      </c>
      <c r="T813" s="61">
        <f t="shared" si="59"/>
        <v>4</v>
      </c>
      <c r="U813" s="61">
        <f t="shared" si="55"/>
        <v>1</v>
      </c>
      <c r="V813" s="61" t="s">
        <v>150</v>
      </c>
      <c r="W813" s="61" t="s">
        <v>1078</v>
      </c>
      <c r="X813" s="61" t="s">
        <v>50</v>
      </c>
      <c r="Y813" s="61" t="s">
        <v>69</v>
      </c>
      <c r="Z813" s="61" t="s">
        <v>69</v>
      </c>
      <c r="AA813" s="61" t="s">
        <v>330</v>
      </c>
      <c r="AB813" s="61" t="s">
        <v>8334</v>
      </c>
    </row>
    <row r="814" spans="1:28" s="2" customFormat="1" ht="15">
      <c r="A814" s="61" t="s">
        <v>776</v>
      </c>
      <c r="B814" s="61" t="s">
        <v>1141</v>
      </c>
      <c r="C814" s="61" t="s">
        <v>4368</v>
      </c>
      <c r="D814" s="61" t="s">
        <v>7838</v>
      </c>
      <c r="E814" s="61">
        <v>8037</v>
      </c>
      <c r="F814" s="61">
        <v>9453</v>
      </c>
      <c r="G814" s="61">
        <v>2025</v>
      </c>
      <c r="H814" s="61" t="s">
        <v>3127</v>
      </c>
      <c r="I814" s="61" t="s">
        <v>388</v>
      </c>
      <c r="J814" s="61" t="s">
        <v>1838</v>
      </c>
      <c r="K814" s="61" t="s">
        <v>1982</v>
      </c>
      <c r="L814" s="61" t="s">
        <v>8333</v>
      </c>
      <c r="M814" s="475">
        <v>45903</v>
      </c>
      <c r="N814" s="475">
        <v>45917</v>
      </c>
      <c r="O814" s="475">
        <v>45918</v>
      </c>
      <c r="P814" s="475">
        <v>45923</v>
      </c>
      <c r="Q814" s="475">
        <v>45923</v>
      </c>
      <c r="R814" s="61">
        <f t="shared" si="57"/>
        <v>10</v>
      </c>
      <c r="S814" s="61">
        <f t="shared" si="58"/>
        <v>1</v>
      </c>
      <c r="T814" s="61">
        <f t="shared" si="59"/>
        <v>4</v>
      </c>
      <c r="U814" s="61">
        <f t="shared" si="55"/>
        <v>1</v>
      </c>
      <c r="V814" s="61" t="s">
        <v>150</v>
      </c>
      <c r="W814" s="61" t="s">
        <v>3527</v>
      </c>
      <c r="X814" s="61" t="s">
        <v>3528</v>
      </c>
      <c r="Y814" s="61" t="s">
        <v>69</v>
      </c>
      <c r="Z814" s="61" t="s">
        <v>69</v>
      </c>
      <c r="AA814" s="61" t="s">
        <v>330</v>
      </c>
      <c r="AB814" s="61" t="s">
        <v>8334</v>
      </c>
    </row>
    <row r="815" spans="1:28" s="2" customFormat="1" ht="15">
      <c r="A815" s="61" t="s">
        <v>776</v>
      </c>
      <c r="B815" s="61" t="s">
        <v>1141</v>
      </c>
      <c r="C815" s="61" t="s">
        <v>4370</v>
      </c>
      <c r="D815" s="61" t="s">
        <v>7838</v>
      </c>
      <c r="E815" s="61">
        <v>4073</v>
      </c>
      <c r="F815" s="61">
        <v>4766</v>
      </c>
      <c r="G815" s="61">
        <v>2025</v>
      </c>
      <c r="H815" s="61" t="s">
        <v>3127</v>
      </c>
      <c r="I815" s="61" t="s">
        <v>388</v>
      </c>
      <c r="J815" s="61" t="s">
        <v>1838</v>
      </c>
      <c r="K815" s="61" t="s">
        <v>1982</v>
      </c>
      <c r="L815" s="61" t="s">
        <v>8333</v>
      </c>
      <c r="M815" s="475">
        <v>45903</v>
      </c>
      <c r="N815" s="475">
        <v>45917</v>
      </c>
      <c r="O815" s="475">
        <v>45918</v>
      </c>
      <c r="P815" s="475">
        <v>45923</v>
      </c>
      <c r="Q815" s="475">
        <v>45923</v>
      </c>
      <c r="R815" s="61">
        <f t="shared" si="57"/>
        <v>10</v>
      </c>
      <c r="S815" s="61">
        <f t="shared" si="58"/>
        <v>1</v>
      </c>
      <c r="T815" s="61">
        <f t="shared" si="59"/>
        <v>4</v>
      </c>
      <c r="U815" s="61">
        <f t="shared" si="55"/>
        <v>1</v>
      </c>
      <c r="V815" s="61" t="s">
        <v>150</v>
      </c>
      <c r="W815" s="61" t="s">
        <v>3527</v>
      </c>
      <c r="X815" s="61" t="s">
        <v>3528</v>
      </c>
      <c r="Y815" s="61" t="s">
        <v>69</v>
      </c>
      <c r="Z815" s="61" t="s">
        <v>69</v>
      </c>
      <c r="AA815" s="61" t="s">
        <v>330</v>
      </c>
      <c r="AB815" s="61" t="s">
        <v>8334</v>
      </c>
    </row>
    <row r="816" spans="1:28" s="507" customFormat="1" ht="15">
      <c r="A816" s="61" t="s">
        <v>776</v>
      </c>
      <c r="B816" s="61" t="s">
        <v>1141</v>
      </c>
      <c r="C816" s="61" t="s">
        <v>4373</v>
      </c>
      <c r="D816" s="61" t="s">
        <v>7838</v>
      </c>
      <c r="E816" s="61">
        <v>1553</v>
      </c>
      <c r="F816" s="61">
        <v>1666</v>
      </c>
      <c r="G816" s="61">
        <v>2025</v>
      </c>
      <c r="H816" s="61" t="s">
        <v>3127</v>
      </c>
      <c r="I816" s="61" t="s">
        <v>388</v>
      </c>
      <c r="J816" s="61" t="s">
        <v>1838</v>
      </c>
      <c r="K816" s="61" t="s">
        <v>1982</v>
      </c>
      <c r="L816" s="61" t="s">
        <v>8333</v>
      </c>
      <c r="M816" s="475">
        <v>45903</v>
      </c>
      <c r="N816" s="475">
        <v>45917</v>
      </c>
      <c r="O816" s="475">
        <v>45918</v>
      </c>
      <c r="P816" s="475">
        <v>45923</v>
      </c>
      <c r="Q816" s="475">
        <v>45923</v>
      </c>
      <c r="R816" s="61">
        <f t="shared" si="57"/>
        <v>10</v>
      </c>
      <c r="S816" s="61">
        <f t="shared" si="58"/>
        <v>1</v>
      </c>
      <c r="T816" s="61">
        <f t="shared" si="59"/>
        <v>4</v>
      </c>
      <c r="U816" s="61">
        <f t="shared" si="55"/>
        <v>1</v>
      </c>
      <c r="V816" s="61" t="s">
        <v>150</v>
      </c>
      <c r="W816" s="61" t="s">
        <v>3527</v>
      </c>
      <c r="X816" s="61" t="s">
        <v>3528</v>
      </c>
      <c r="Y816" s="61" t="s">
        <v>69</v>
      </c>
      <c r="Z816" s="61" t="s">
        <v>69</v>
      </c>
      <c r="AA816" s="61" t="s">
        <v>330</v>
      </c>
      <c r="AB816" s="61" t="s">
        <v>8334</v>
      </c>
    </row>
    <row r="817" spans="1:28" s="2" customFormat="1" ht="15">
      <c r="A817" s="61" t="s">
        <v>776</v>
      </c>
      <c r="B817" s="61" t="s">
        <v>1148</v>
      </c>
      <c r="C817" s="61" t="s">
        <v>4386</v>
      </c>
      <c r="D817" s="61" t="s">
        <v>7838</v>
      </c>
      <c r="E817" s="61">
        <v>4169</v>
      </c>
      <c r="F817" s="61">
        <v>5271</v>
      </c>
      <c r="G817" s="61"/>
      <c r="H817" s="61"/>
      <c r="I817" s="61"/>
      <c r="J817" s="61"/>
      <c r="K817" s="61" t="s">
        <v>1982</v>
      </c>
      <c r="L817" s="61"/>
      <c r="M817" s="61"/>
      <c r="N817" s="61"/>
      <c r="O817" s="61"/>
      <c r="P817" s="61"/>
      <c r="Q817" s="61"/>
      <c r="R817" s="61" t="str">
        <f t="shared" si="57"/>
        <v/>
      </c>
      <c r="S817" s="61" t="str">
        <f t="shared" si="58"/>
        <v/>
      </c>
      <c r="T817" s="61" t="str">
        <f t="shared" si="59"/>
        <v/>
      </c>
      <c r="U817" s="61" t="str">
        <f t="shared" si="55"/>
        <v/>
      </c>
      <c r="V817" s="61"/>
      <c r="W817" s="61"/>
      <c r="X817" s="61"/>
      <c r="Y817" s="61"/>
      <c r="Z817" s="61"/>
      <c r="AA817" s="61"/>
      <c r="AB817" s="61"/>
    </row>
    <row r="818" spans="1:28" s="2" customFormat="1" ht="15">
      <c r="A818" s="61" t="s">
        <v>776</v>
      </c>
      <c r="B818" s="61" t="s">
        <v>1148</v>
      </c>
      <c r="C818" s="61" t="s">
        <v>4387</v>
      </c>
      <c r="D818" s="61" t="s">
        <v>7838</v>
      </c>
      <c r="E818" s="61">
        <v>2068</v>
      </c>
      <c r="F818" s="61">
        <v>2199</v>
      </c>
      <c r="G818" s="61"/>
      <c r="H818" s="61"/>
      <c r="I818" s="61"/>
      <c r="J818" s="61"/>
      <c r="K818" s="61" t="s">
        <v>1982</v>
      </c>
      <c r="L818" s="61"/>
      <c r="M818" s="61"/>
      <c r="N818" s="61"/>
      <c r="O818" s="61"/>
      <c r="P818" s="61"/>
      <c r="Q818" s="61"/>
      <c r="R818" s="61" t="str">
        <f t="shared" si="57"/>
        <v/>
      </c>
      <c r="S818" s="61" t="str">
        <f t="shared" si="58"/>
        <v/>
      </c>
      <c r="T818" s="61" t="str">
        <f t="shared" si="59"/>
        <v/>
      </c>
      <c r="U818" s="61" t="str">
        <f t="shared" si="55"/>
        <v/>
      </c>
      <c r="V818" s="61"/>
      <c r="W818" s="61"/>
      <c r="X818" s="61"/>
      <c r="Y818" s="61"/>
      <c r="Z818" s="61"/>
      <c r="AA818" s="61"/>
      <c r="AB818" s="61"/>
    </row>
    <row r="819" spans="1:28" s="2" customFormat="1" ht="15">
      <c r="A819" s="61" t="s">
        <v>776</v>
      </c>
      <c r="B819" s="61" t="s">
        <v>1148</v>
      </c>
      <c r="C819" s="61" t="s">
        <v>4388</v>
      </c>
      <c r="D819" s="61" t="s">
        <v>7838</v>
      </c>
      <c r="E819" s="61">
        <v>2069</v>
      </c>
      <c r="F819" s="61">
        <v>2200</v>
      </c>
      <c r="G819" s="61"/>
      <c r="H819" s="61"/>
      <c r="I819" s="61"/>
      <c r="J819" s="61"/>
      <c r="K819" s="61" t="s">
        <v>1982</v>
      </c>
      <c r="L819" s="61"/>
      <c r="M819" s="61"/>
      <c r="N819" s="61"/>
      <c r="O819" s="61"/>
      <c r="P819" s="61"/>
      <c r="Q819" s="61"/>
      <c r="R819" s="61" t="str">
        <f t="shared" si="57"/>
        <v/>
      </c>
      <c r="S819" s="61" t="str">
        <f t="shared" si="58"/>
        <v/>
      </c>
      <c r="T819" s="61" t="str">
        <f t="shared" si="59"/>
        <v/>
      </c>
      <c r="U819" s="61" t="str">
        <f t="shared" si="55"/>
        <v/>
      </c>
      <c r="V819" s="61"/>
      <c r="W819" s="61"/>
      <c r="X819" s="61"/>
      <c r="Y819" s="61"/>
      <c r="Z819" s="61"/>
      <c r="AA819" s="61"/>
      <c r="AB819" s="61"/>
    </row>
    <row r="820" spans="1:28" s="2" customFormat="1" ht="15">
      <c r="A820" s="61" t="s">
        <v>776</v>
      </c>
      <c r="B820" s="61" t="s">
        <v>1148</v>
      </c>
      <c r="C820" s="61" t="s">
        <v>4392</v>
      </c>
      <c r="D820" s="61" t="s">
        <v>7838</v>
      </c>
      <c r="E820" s="61">
        <v>3578</v>
      </c>
      <c r="F820" s="61">
        <v>3705</v>
      </c>
      <c r="G820" s="61"/>
      <c r="H820" s="61"/>
      <c r="I820" s="61"/>
      <c r="J820" s="61"/>
      <c r="K820" s="61" t="s">
        <v>1982</v>
      </c>
      <c r="L820" s="61"/>
      <c r="M820" s="61"/>
      <c r="N820" s="61"/>
      <c r="O820" s="61"/>
      <c r="P820" s="61"/>
      <c r="Q820" s="61"/>
      <c r="R820" s="61" t="str">
        <f t="shared" si="57"/>
        <v/>
      </c>
      <c r="S820" s="61" t="str">
        <f t="shared" si="58"/>
        <v/>
      </c>
      <c r="T820" s="61" t="str">
        <f t="shared" si="59"/>
        <v/>
      </c>
      <c r="U820" s="61" t="str">
        <f t="shared" si="55"/>
        <v/>
      </c>
      <c r="V820" s="61"/>
      <c r="W820" s="61"/>
      <c r="X820" s="61"/>
      <c r="Y820" s="61"/>
      <c r="Z820" s="61"/>
      <c r="AA820" s="61"/>
      <c r="AB820" s="61"/>
    </row>
    <row r="821" spans="1:28" s="2" customFormat="1" ht="15">
      <c r="A821" s="61" t="s">
        <v>776</v>
      </c>
      <c r="B821" s="61" t="s">
        <v>1148</v>
      </c>
      <c r="C821" s="61" t="s">
        <v>4393</v>
      </c>
      <c r="D821" s="61" t="s">
        <v>7838</v>
      </c>
      <c r="E821" s="61">
        <v>3435</v>
      </c>
      <c r="F821" s="61">
        <v>3717</v>
      </c>
      <c r="G821" s="61"/>
      <c r="H821" s="61"/>
      <c r="I821" s="61"/>
      <c r="J821" s="61"/>
      <c r="K821" s="61" t="s">
        <v>1982</v>
      </c>
      <c r="L821" s="61"/>
      <c r="M821" s="61"/>
      <c r="N821" s="61"/>
      <c r="O821" s="61"/>
      <c r="P821" s="61"/>
      <c r="Q821" s="61"/>
      <c r="R821" s="61" t="str">
        <f t="shared" si="57"/>
        <v/>
      </c>
      <c r="S821" s="61" t="str">
        <f t="shared" si="58"/>
        <v/>
      </c>
      <c r="T821" s="61" t="str">
        <f t="shared" si="59"/>
        <v/>
      </c>
      <c r="U821" s="61" t="str">
        <f t="shared" si="55"/>
        <v/>
      </c>
      <c r="V821" s="61"/>
      <c r="W821" s="61"/>
      <c r="X821" s="61"/>
      <c r="Y821" s="61"/>
      <c r="Z821" s="61"/>
      <c r="AA821" s="61"/>
      <c r="AB821" s="61"/>
    </row>
    <row r="822" spans="1:28" s="2" customFormat="1" ht="15">
      <c r="A822" s="61" t="s">
        <v>776</v>
      </c>
      <c r="B822" s="61" t="s">
        <v>1148</v>
      </c>
      <c r="C822" s="61" t="s">
        <v>4395</v>
      </c>
      <c r="D822" s="61" t="s">
        <v>7838</v>
      </c>
      <c r="E822" s="61">
        <v>3393</v>
      </c>
      <c r="F822" s="61">
        <v>3699</v>
      </c>
      <c r="G822" s="61"/>
      <c r="H822" s="61"/>
      <c r="I822" s="61"/>
      <c r="J822" s="61"/>
      <c r="K822" s="61" t="s">
        <v>1982</v>
      </c>
      <c r="L822" s="61"/>
      <c r="M822" s="61"/>
      <c r="N822" s="61"/>
      <c r="O822" s="61"/>
      <c r="P822" s="61"/>
      <c r="Q822" s="61"/>
      <c r="R822" s="61" t="str">
        <f t="shared" si="57"/>
        <v/>
      </c>
      <c r="S822" s="61" t="str">
        <f t="shared" si="58"/>
        <v/>
      </c>
      <c r="T822" s="61" t="str">
        <f t="shared" si="59"/>
        <v/>
      </c>
      <c r="U822" s="61" t="str">
        <f t="shared" si="55"/>
        <v/>
      </c>
      <c r="V822" s="61"/>
      <c r="W822" s="61"/>
      <c r="X822" s="61"/>
      <c r="Y822" s="61"/>
      <c r="Z822" s="61"/>
      <c r="AA822" s="61"/>
      <c r="AB822" s="61"/>
    </row>
    <row r="823" spans="1:28" s="2" customFormat="1" ht="15">
      <c r="A823" s="61" t="s">
        <v>776</v>
      </c>
      <c r="B823" s="61" t="s">
        <v>1148</v>
      </c>
      <c r="C823" s="61" t="s">
        <v>4396</v>
      </c>
      <c r="D823" s="61" t="s">
        <v>7838</v>
      </c>
      <c r="E823" s="61">
        <v>1183</v>
      </c>
      <c r="F823" s="61">
        <v>1273</v>
      </c>
      <c r="G823" s="61"/>
      <c r="H823" s="61"/>
      <c r="I823" s="61"/>
      <c r="J823" s="61"/>
      <c r="K823" s="61" t="s">
        <v>1982</v>
      </c>
      <c r="L823" s="61"/>
      <c r="M823" s="61"/>
      <c r="N823" s="61"/>
      <c r="O823" s="61"/>
      <c r="P823" s="61"/>
      <c r="Q823" s="61"/>
      <c r="R823" s="61" t="str">
        <f t="shared" si="57"/>
        <v/>
      </c>
      <c r="S823" s="61" t="str">
        <f t="shared" si="58"/>
        <v/>
      </c>
      <c r="T823" s="61" t="str">
        <f t="shared" si="59"/>
        <v/>
      </c>
      <c r="U823" s="61" t="str">
        <f t="shared" si="55"/>
        <v/>
      </c>
      <c r="V823" s="61"/>
      <c r="W823" s="61"/>
      <c r="X823" s="61"/>
      <c r="Y823" s="61"/>
      <c r="Z823" s="61"/>
      <c r="AA823" s="61"/>
      <c r="AB823" s="61"/>
    </row>
    <row r="824" spans="1:28" s="2" customFormat="1" ht="15">
      <c r="A824" s="61" t="s">
        <v>776</v>
      </c>
      <c r="B824" s="61" t="s">
        <v>1148</v>
      </c>
      <c r="C824" s="61" t="s">
        <v>4397</v>
      </c>
      <c r="D824" s="61" t="s">
        <v>7838</v>
      </c>
      <c r="E824" s="61">
        <v>3134</v>
      </c>
      <c r="F824" s="61">
        <v>3268</v>
      </c>
      <c r="G824" s="61"/>
      <c r="H824" s="61"/>
      <c r="I824" s="61"/>
      <c r="J824" s="61"/>
      <c r="K824" s="61" t="s">
        <v>1982</v>
      </c>
      <c r="L824" s="61"/>
      <c r="M824" s="61"/>
      <c r="N824" s="61"/>
      <c r="O824" s="61"/>
      <c r="P824" s="61"/>
      <c r="Q824" s="61"/>
      <c r="R824" s="61" t="str">
        <f t="shared" si="57"/>
        <v/>
      </c>
      <c r="S824" s="61" t="str">
        <f t="shared" si="58"/>
        <v/>
      </c>
      <c r="T824" s="61" t="str">
        <f t="shared" si="59"/>
        <v/>
      </c>
      <c r="U824" s="61" t="str">
        <f t="shared" si="55"/>
        <v/>
      </c>
      <c r="V824" s="61"/>
      <c r="W824" s="61"/>
      <c r="X824" s="61"/>
      <c r="Y824" s="61"/>
      <c r="Z824" s="61"/>
      <c r="AA824" s="61"/>
      <c r="AB824" s="61"/>
    </row>
    <row r="825" spans="1:28" s="2" customFormat="1" ht="15">
      <c r="A825" s="61" t="s">
        <v>776</v>
      </c>
      <c r="B825" s="61" t="s">
        <v>1148</v>
      </c>
      <c r="C825" s="61" t="s">
        <v>4398</v>
      </c>
      <c r="D825" s="61" t="s">
        <v>7838</v>
      </c>
      <c r="E825" s="61">
        <v>3774</v>
      </c>
      <c r="F825" s="61">
        <v>3693</v>
      </c>
      <c r="G825" s="61"/>
      <c r="H825" s="61"/>
      <c r="I825" s="61"/>
      <c r="J825" s="61"/>
      <c r="K825" s="61" t="s">
        <v>1982</v>
      </c>
      <c r="L825" s="61"/>
      <c r="M825" s="61"/>
      <c r="N825" s="61"/>
      <c r="O825" s="61"/>
      <c r="P825" s="61"/>
      <c r="Q825" s="61"/>
      <c r="R825" s="61" t="str">
        <f t="shared" si="57"/>
        <v/>
      </c>
      <c r="S825" s="61" t="str">
        <f t="shared" si="58"/>
        <v/>
      </c>
      <c r="T825" s="61" t="str">
        <f t="shared" si="59"/>
        <v/>
      </c>
      <c r="U825" s="61" t="str">
        <f t="shared" si="55"/>
        <v/>
      </c>
      <c r="V825" s="61"/>
      <c r="W825" s="61"/>
      <c r="X825" s="61"/>
      <c r="Y825" s="61"/>
      <c r="Z825" s="61"/>
      <c r="AA825" s="61"/>
      <c r="AB825" s="61"/>
    </row>
    <row r="826" spans="1:28" s="2" customFormat="1" ht="15">
      <c r="A826" s="61" t="s">
        <v>776</v>
      </c>
      <c r="B826" s="61" t="s">
        <v>1148</v>
      </c>
      <c r="C826" s="61" t="s">
        <v>4399</v>
      </c>
      <c r="D826" s="61" t="s">
        <v>7838</v>
      </c>
      <c r="E826" s="61">
        <v>2234</v>
      </c>
      <c r="F826" s="61">
        <v>2744</v>
      </c>
      <c r="G826" s="61"/>
      <c r="H826" s="61"/>
      <c r="I826" s="61"/>
      <c r="J826" s="61"/>
      <c r="K826" s="61" t="s">
        <v>1982</v>
      </c>
      <c r="L826" s="61"/>
      <c r="M826" s="61"/>
      <c r="N826" s="61"/>
      <c r="O826" s="61"/>
      <c r="P826" s="61"/>
      <c r="Q826" s="61"/>
      <c r="R826" s="61" t="str">
        <f t="shared" si="57"/>
        <v/>
      </c>
      <c r="S826" s="61" t="str">
        <f t="shared" si="58"/>
        <v/>
      </c>
      <c r="T826" s="61" t="str">
        <f t="shared" si="59"/>
        <v/>
      </c>
      <c r="U826" s="61" t="str">
        <f t="shared" si="55"/>
        <v/>
      </c>
      <c r="V826" s="61"/>
      <c r="W826" s="61"/>
      <c r="X826" s="61"/>
      <c r="Y826" s="61"/>
      <c r="Z826" s="61"/>
      <c r="AA826" s="61"/>
      <c r="AB826" s="61"/>
    </row>
    <row r="827" spans="1:28" s="2" customFormat="1" ht="15">
      <c r="A827" s="61" t="s">
        <v>776</v>
      </c>
      <c r="B827" s="61" t="s">
        <v>1148</v>
      </c>
      <c r="C827" s="61" t="s">
        <v>4400</v>
      </c>
      <c r="D827" s="61" t="s">
        <v>7838</v>
      </c>
      <c r="E827" s="61">
        <v>5897</v>
      </c>
      <c r="F827" s="61">
        <v>6605</v>
      </c>
      <c r="G827" s="61"/>
      <c r="H827" s="61"/>
      <c r="I827" s="61"/>
      <c r="J827" s="61"/>
      <c r="K827" s="61" t="s">
        <v>1982</v>
      </c>
      <c r="L827" s="61"/>
      <c r="M827" s="61"/>
      <c r="N827" s="61"/>
      <c r="O827" s="61"/>
      <c r="P827" s="61"/>
      <c r="Q827" s="61"/>
      <c r="R827" s="61" t="str">
        <f t="shared" si="57"/>
        <v/>
      </c>
      <c r="S827" s="61" t="str">
        <f t="shared" si="58"/>
        <v/>
      </c>
      <c r="T827" s="61" t="str">
        <f t="shared" si="59"/>
        <v/>
      </c>
      <c r="U827" s="61" t="str">
        <f t="shared" si="55"/>
        <v/>
      </c>
      <c r="V827" s="61"/>
      <c r="W827" s="61"/>
      <c r="X827" s="61"/>
      <c r="Y827" s="61"/>
      <c r="Z827" s="61"/>
      <c r="AA827" s="61"/>
      <c r="AB827" s="61"/>
    </row>
    <row r="828" spans="1:28" s="2" customFormat="1" ht="15">
      <c r="A828" s="61" t="s">
        <v>776</v>
      </c>
      <c r="B828" s="61" t="s">
        <v>1148</v>
      </c>
      <c r="C828" s="61" t="s">
        <v>4402</v>
      </c>
      <c r="D828" s="61" t="s">
        <v>7838</v>
      </c>
      <c r="E828" s="61">
        <v>2583</v>
      </c>
      <c r="F828" s="61">
        <v>2806</v>
      </c>
      <c r="G828" s="61"/>
      <c r="H828" s="61"/>
      <c r="I828" s="61"/>
      <c r="J828" s="61"/>
      <c r="K828" s="61" t="s">
        <v>1982</v>
      </c>
      <c r="L828" s="61"/>
      <c r="M828" s="61"/>
      <c r="N828" s="61"/>
      <c r="O828" s="61"/>
      <c r="P828" s="61"/>
      <c r="Q828" s="61"/>
      <c r="R828" s="61" t="str">
        <f t="shared" si="57"/>
        <v/>
      </c>
      <c r="S828" s="61" t="str">
        <f t="shared" si="58"/>
        <v/>
      </c>
      <c r="T828" s="61" t="str">
        <f t="shared" si="59"/>
        <v/>
      </c>
      <c r="U828" s="61" t="str">
        <f t="shared" si="55"/>
        <v/>
      </c>
      <c r="V828" s="61"/>
      <c r="W828" s="61"/>
      <c r="X828" s="61"/>
      <c r="Y828" s="61"/>
      <c r="Z828" s="61"/>
      <c r="AA828" s="61"/>
      <c r="AB828" s="61"/>
    </row>
    <row r="829" spans="1:28" s="2" customFormat="1" ht="15">
      <c r="A829" s="61" t="s">
        <v>776</v>
      </c>
      <c r="B829" s="61" t="s">
        <v>1148</v>
      </c>
      <c r="C829" s="61" t="s">
        <v>1834</v>
      </c>
      <c r="D829" s="61" t="s">
        <v>7838</v>
      </c>
      <c r="E829" s="61">
        <v>6087</v>
      </c>
      <c r="F829" s="61">
        <v>6743</v>
      </c>
      <c r="G829" s="61"/>
      <c r="H829" s="61"/>
      <c r="I829" s="61"/>
      <c r="J829" s="61"/>
      <c r="K829" s="61" t="s">
        <v>1982</v>
      </c>
      <c r="L829" s="61"/>
      <c r="M829" s="61"/>
      <c r="N829" s="61"/>
      <c r="O829" s="61"/>
      <c r="P829" s="61"/>
      <c r="Q829" s="61"/>
      <c r="R829" s="61" t="str">
        <f t="shared" si="57"/>
        <v/>
      </c>
      <c r="S829" s="61" t="str">
        <f t="shared" si="58"/>
        <v/>
      </c>
      <c r="T829" s="61" t="str">
        <f t="shared" si="59"/>
        <v/>
      </c>
      <c r="U829" s="61" t="str">
        <f t="shared" si="55"/>
        <v/>
      </c>
      <c r="V829" s="61"/>
      <c r="W829" s="61"/>
      <c r="X829" s="61"/>
      <c r="Y829" s="61"/>
      <c r="Z829" s="61"/>
      <c r="AA829" s="61"/>
      <c r="AB829" s="61"/>
    </row>
    <row r="830" spans="1:28" s="2" customFormat="1" ht="15">
      <c r="A830" s="61" t="s">
        <v>776</v>
      </c>
      <c r="B830" s="61" t="s">
        <v>1148</v>
      </c>
      <c r="C830" s="61" t="s">
        <v>4405</v>
      </c>
      <c r="D830" s="61" t="s">
        <v>7838</v>
      </c>
      <c r="E830" s="61">
        <v>7283</v>
      </c>
      <c r="F830" s="61">
        <v>7738</v>
      </c>
      <c r="G830" s="61"/>
      <c r="H830" s="61"/>
      <c r="I830" s="61"/>
      <c r="J830" s="61"/>
      <c r="K830" s="61" t="s">
        <v>1982</v>
      </c>
      <c r="L830" s="61"/>
      <c r="M830" s="61"/>
      <c r="N830" s="61"/>
      <c r="O830" s="61"/>
      <c r="P830" s="61"/>
      <c r="Q830" s="61"/>
      <c r="R830" s="61" t="str">
        <f t="shared" si="57"/>
        <v/>
      </c>
      <c r="S830" s="61" t="str">
        <f t="shared" si="58"/>
        <v/>
      </c>
      <c r="T830" s="61" t="str">
        <f t="shared" si="59"/>
        <v/>
      </c>
      <c r="U830" s="61" t="str">
        <f t="shared" si="55"/>
        <v/>
      </c>
      <c r="V830" s="61"/>
      <c r="W830" s="61"/>
      <c r="X830" s="61"/>
      <c r="Y830" s="61"/>
      <c r="Z830" s="61"/>
      <c r="AA830" s="61"/>
      <c r="AB830" s="61"/>
    </row>
    <row r="831" spans="1:28" s="2" customFormat="1" ht="15">
      <c r="A831" s="61" t="s">
        <v>776</v>
      </c>
      <c r="B831" s="61" t="s">
        <v>1148</v>
      </c>
      <c r="C831" s="61" t="s">
        <v>1056</v>
      </c>
      <c r="D831" s="61" t="s">
        <v>7838</v>
      </c>
      <c r="E831" s="61">
        <v>4080</v>
      </c>
      <c r="F831" s="61">
        <v>4901</v>
      </c>
      <c r="G831" s="61"/>
      <c r="H831" s="61"/>
      <c r="I831" s="61"/>
      <c r="J831" s="61"/>
      <c r="K831" s="61" t="s">
        <v>1982</v>
      </c>
      <c r="L831" s="61"/>
      <c r="M831" s="61"/>
      <c r="N831" s="61"/>
      <c r="O831" s="61"/>
      <c r="P831" s="61"/>
      <c r="Q831" s="61"/>
      <c r="R831" s="61" t="str">
        <f t="shared" si="57"/>
        <v/>
      </c>
      <c r="S831" s="61" t="str">
        <f t="shared" si="58"/>
        <v/>
      </c>
      <c r="T831" s="61" t="str">
        <f t="shared" si="59"/>
        <v/>
      </c>
      <c r="U831" s="61" t="str">
        <f t="shared" si="55"/>
        <v/>
      </c>
      <c r="V831" s="61"/>
      <c r="W831" s="61"/>
      <c r="X831" s="61"/>
      <c r="Y831" s="61"/>
      <c r="Z831" s="61"/>
      <c r="AA831" s="61"/>
      <c r="AB831" s="61"/>
    </row>
    <row r="832" spans="1:28" s="2" customFormat="1" ht="15">
      <c r="A832" s="61" t="s">
        <v>776</v>
      </c>
      <c r="B832" s="61" t="s">
        <v>1148</v>
      </c>
      <c r="C832" s="61" t="s">
        <v>918</v>
      </c>
      <c r="D832" s="61" t="s">
        <v>7838</v>
      </c>
      <c r="E832" s="61">
        <v>5149</v>
      </c>
      <c r="F832" s="61">
        <v>4986</v>
      </c>
      <c r="G832" s="61"/>
      <c r="H832" s="61"/>
      <c r="I832" s="61"/>
      <c r="J832" s="61"/>
      <c r="K832" s="61" t="s">
        <v>1982</v>
      </c>
      <c r="L832" s="61"/>
      <c r="M832" s="61"/>
      <c r="N832" s="61"/>
      <c r="O832" s="61"/>
      <c r="P832" s="61"/>
      <c r="Q832" s="61"/>
      <c r="R832" s="61" t="str">
        <f t="shared" si="57"/>
        <v/>
      </c>
      <c r="S832" s="61" t="str">
        <f t="shared" si="58"/>
        <v/>
      </c>
      <c r="T832" s="61" t="str">
        <f t="shared" si="59"/>
        <v/>
      </c>
      <c r="U832" s="61" t="str">
        <f t="shared" si="55"/>
        <v/>
      </c>
      <c r="V832" s="61"/>
      <c r="W832" s="61"/>
      <c r="X832" s="61"/>
      <c r="Y832" s="61"/>
      <c r="Z832" s="61"/>
      <c r="AA832" s="61"/>
      <c r="AB832" s="61"/>
    </row>
    <row r="833" spans="1:28" s="2" customFormat="1" ht="15">
      <c r="A833" s="61" t="s">
        <v>776</v>
      </c>
      <c r="B833" s="61" t="s">
        <v>1148</v>
      </c>
      <c r="C833" s="61" t="s">
        <v>4411</v>
      </c>
      <c r="D833" s="61" t="s">
        <v>7838</v>
      </c>
      <c r="E833" s="61">
        <v>1988</v>
      </c>
      <c r="F833" s="61">
        <v>2383</v>
      </c>
      <c r="G833" s="61"/>
      <c r="H833" s="61"/>
      <c r="I833" s="61"/>
      <c r="J833" s="61"/>
      <c r="K833" s="61" t="s">
        <v>1982</v>
      </c>
      <c r="L833" s="61"/>
      <c r="M833" s="61"/>
      <c r="N833" s="61"/>
      <c r="O833" s="61"/>
      <c r="P833" s="61"/>
      <c r="Q833" s="61"/>
      <c r="R833" s="61" t="str">
        <f t="shared" si="57"/>
        <v/>
      </c>
      <c r="S833" s="61" t="str">
        <f t="shared" si="58"/>
        <v/>
      </c>
      <c r="T833" s="61" t="str">
        <f t="shared" si="59"/>
        <v/>
      </c>
      <c r="U833" s="61" t="str">
        <f t="shared" si="55"/>
        <v/>
      </c>
      <c r="V833" s="61"/>
      <c r="W833" s="61"/>
      <c r="X833" s="61"/>
      <c r="Y833" s="61"/>
      <c r="Z833" s="61"/>
      <c r="AA833" s="61"/>
      <c r="AB833" s="61"/>
    </row>
    <row r="834" spans="1:28" s="2" customFormat="1" ht="15">
      <c r="A834" s="61" t="s">
        <v>776</v>
      </c>
      <c r="B834" s="61" t="s">
        <v>1148</v>
      </c>
      <c r="C834" s="61" t="s">
        <v>4412</v>
      </c>
      <c r="D834" s="61" t="s">
        <v>7838</v>
      </c>
      <c r="E834" s="61">
        <v>2257</v>
      </c>
      <c r="F834" s="61">
        <v>2407</v>
      </c>
      <c r="G834" s="61"/>
      <c r="H834" s="61"/>
      <c r="I834" s="61"/>
      <c r="J834" s="61"/>
      <c r="K834" s="61" t="s">
        <v>1982</v>
      </c>
      <c r="L834" s="61"/>
      <c r="M834" s="61"/>
      <c r="N834" s="61"/>
      <c r="O834" s="61"/>
      <c r="P834" s="61"/>
      <c r="Q834" s="61"/>
      <c r="R834" s="61" t="str">
        <f t="shared" si="57"/>
        <v/>
      </c>
      <c r="S834" s="61" t="str">
        <f t="shared" si="58"/>
        <v/>
      </c>
      <c r="T834" s="61" t="str">
        <f t="shared" si="59"/>
        <v/>
      </c>
      <c r="U834" s="61" t="str">
        <f t="shared" ref="U834:U897" si="60">IF(
    OR(ISBLANK(P834), ISBLANK(Q834)),
    "",
    MAX(1, IF(
        NETWORKDAYS(P834, Q834) &lt;= 0,
        1,
        NETWORKDAYS(P834, Q834) - IF(P834 = Q834, 0, 1)
    ))
)</f>
        <v/>
      </c>
      <c r="V834" s="61"/>
      <c r="W834" s="61"/>
      <c r="X834" s="61"/>
      <c r="Y834" s="61"/>
      <c r="Z834" s="61"/>
      <c r="AA834" s="61"/>
      <c r="AB834" s="61"/>
    </row>
    <row r="835" spans="1:28" s="2" customFormat="1" ht="28.5">
      <c r="A835" s="61" t="s">
        <v>776</v>
      </c>
      <c r="B835" s="61" t="s">
        <v>1148</v>
      </c>
      <c r="C835" s="61" t="s">
        <v>2100</v>
      </c>
      <c r="D835" s="61" t="s">
        <v>7838</v>
      </c>
      <c r="E835" s="61">
        <v>4330</v>
      </c>
      <c r="F835" s="61">
        <v>4653</v>
      </c>
      <c r="G835" s="61">
        <v>2025</v>
      </c>
      <c r="H835" s="61" t="s">
        <v>3128</v>
      </c>
      <c r="I835" s="61" t="s">
        <v>200</v>
      </c>
      <c r="J835" s="61" t="s">
        <v>1838</v>
      </c>
      <c r="K835" s="61" t="s">
        <v>1982</v>
      </c>
      <c r="L835" s="61" t="s">
        <v>8335</v>
      </c>
      <c r="M835" s="475">
        <v>45917</v>
      </c>
      <c r="N835" s="475">
        <v>45917</v>
      </c>
      <c r="O835" s="475">
        <v>45923</v>
      </c>
      <c r="P835" s="475">
        <v>45924</v>
      </c>
      <c r="Q835" s="475">
        <v>45929</v>
      </c>
      <c r="R835" s="61">
        <f t="shared" si="57"/>
        <v>1</v>
      </c>
      <c r="S835" s="61">
        <f t="shared" si="58"/>
        <v>4</v>
      </c>
      <c r="T835" s="61">
        <f t="shared" si="59"/>
        <v>5</v>
      </c>
      <c r="U835" s="61">
        <f t="shared" si="60"/>
        <v>3</v>
      </c>
      <c r="V835" s="61" t="s">
        <v>150</v>
      </c>
      <c r="W835" s="61" t="s">
        <v>3527</v>
      </c>
      <c r="X835" s="61" t="s">
        <v>3528</v>
      </c>
      <c r="Y835" s="61" t="s">
        <v>69</v>
      </c>
      <c r="Z835" s="61" t="s">
        <v>69</v>
      </c>
      <c r="AA835" s="61"/>
      <c r="AB835" s="61" t="s">
        <v>8336</v>
      </c>
    </row>
    <row r="836" spans="1:28" s="2" customFormat="1" ht="28.5">
      <c r="A836" s="61" t="s">
        <v>776</v>
      </c>
      <c r="B836" s="61" t="s">
        <v>1148</v>
      </c>
      <c r="C836" s="61" t="s">
        <v>4385</v>
      </c>
      <c r="D836" s="61" t="s">
        <v>7838</v>
      </c>
      <c r="E836" s="61">
        <v>3506</v>
      </c>
      <c r="F836" s="61">
        <v>3607</v>
      </c>
      <c r="G836" s="61">
        <v>2025</v>
      </c>
      <c r="H836" s="61" t="s">
        <v>3128</v>
      </c>
      <c r="I836" s="61" t="s">
        <v>200</v>
      </c>
      <c r="J836" s="61" t="s">
        <v>1838</v>
      </c>
      <c r="K836" s="61" t="s">
        <v>1982</v>
      </c>
      <c r="L836" s="61" t="s">
        <v>8335</v>
      </c>
      <c r="M836" s="475">
        <v>45917</v>
      </c>
      <c r="N836" s="475">
        <v>45917</v>
      </c>
      <c r="O836" s="475">
        <v>45923</v>
      </c>
      <c r="P836" s="475">
        <v>45924</v>
      </c>
      <c r="Q836" s="475">
        <v>45929</v>
      </c>
      <c r="R836" s="61">
        <f t="shared" si="57"/>
        <v>1</v>
      </c>
      <c r="S836" s="61">
        <f t="shared" si="58"/>
        <v>4</v>
      </c>
      <c r="T836" s="61">
        <f t="shared" si="59"/>
        <v>5</v>
      </c>
      <c r="U836" s="61">
        <f t="shared" si="60"/>
        <v>3</v>
      </c>
      <c r="V836" s="61" t="s">
        <v>150</v>
      </c>
      <c r="W836" s="61" t="s">
        <v>3527</v>
      </c>
      <c r="X836" s="61" t="s">
        <v>3528</v>
      </c>
      <c r="Y836" s="61" t="s">
        <v>69</v>
      </c>
      <c r="Z836" s="61" t="s">
        <v>69</v>
      </c>
      <c r="AA836" s="61"/>
      <c r="AB836" s="61" t="s">
        <v>8336</v>
      </c>
    </row>
    <row r="837" spans="1:28" s="2" customFormat="1" ht="28.5">
      <c r="A837" s="61" t="s">
        <v>776</v>
      </c>
      <c r="B837" s="61" t="s">
        <v>1148</v>
      </c>
      <c r="C837" s="61" t="s">
        <v>4303</v>
      </c>
      <c r="D837" s="61" t="s">
        <v>7838</v>
      </c>
      <c r="E837" s="61">
        <v>2150</v>
      </c>
      <c r="F837" s="61">
        <v>2407</v>
      </c>
      <c r="G837" s="61">
        <v>2025</v>
      </c>
      <c r="H837" s="61" t="s">
        <v>3128</v>
      </c>
      <c r="I837" s="61" t="s">
        <v>200</v>
      </c>
      <c r="J837" s="61" t="s">
        <v>1838</v>
      </c>
      <c r="K837" s="61" t="s">
        <v>1982</v>
      </c>
      <c r="L837" s="61" t="s">
        <v>8335</v>
      </c>
      <c r="M837" s="475">
        <v>45917</v>
      </c>
      <c r="N837" s="475">
        <v>45917</v>
      </c>
      <c r="O837" s="475">
        <v>45923</v>
      </c>
      <c r="P837" s="475">
        <v>45924</v>
      </c>
      <c r="Q837" s="475">
        <v>45929</v>
      </c>
      <c r="R837" s="61">
        <f t="shared" si="57"/>
        <v>1</v>
      </c>
      <c r="S837" s="61">
        <f t="shared" si="58"/>
        <v>4</v>
      </c>
      <c r="T837" s="61">
        <f t="shared" si="59"/>
        <v>5</v>
      </c>
      <c r="U837" s="61">
        <f t="shared" si="60"/>
        <v>3</v>
      </c>
      <c r="V837" s="61" t="s">
        <v>150</v>
      </c>
      <c r="W837" s="61" t="s">
        <v>3527</v>
      </c>
      <c r="X837" s="61" t="s">
        <v>3528</v>
      </c>
      <c r="Y837" s="61" t="s">
        <v>69</v>
      </c>
      <c r="Z837" s="61" t="s">
        <v>69</v>
      </c>
      <c r="AA837" s="61"/>
      <c r="AB837" s="61" t="s">
        <v>8336</v>
      </c>
    </row>
    <row r="838" spans="1:28" s="2" customFormat="1" ht="28.5">
      <c r="A838" s="61" t="s">
        <v>776</v>
      </c>
      <c r="B838" s="61" t="s">
        <v>1148</v>
      </c>
      <c r="C838" s="61" t="s">
        <v>4389</v>
      </c>
      <c r="D838" s="61" t="s">
        <v>7838</v>
      </c>
      <c r="E838" s="61">
        <v>2245</v>
      </c>
      <c r="F838" s="61">
        <v>2560</v>
      </c>
      <c r="G838" s="61">
        <v>2025</v>
      </c>
      <c r="H838" s="61" t="s">
        <v>3128</v>
      </c>
      <c r="I838" s="61" t="s">
        <v>200</v>
      </c>
      <c r="J838" s="61" t="s">
        <v>1838</v>
      </c>
      <c r="K838" s="61" t="s">
        <v>1982</v>
      </c>
      <c r="L838" s="61" t="s">
        <v>8335</v>
      </c>
      <c r="M838" s="475">
        <v>45917</v>
      </c>
      <c r="N838" s="475">
        <v>45917</v>
      </c>
      <c r="O838" s="475">
        <v>45923</v>
      </c>
      <c r="P838" s="475">
        <v>45924</v>
      </c>
      <c r="Q838" s="475">
        <v>45929</v>
      </c>
      <c r="R838" s="61">
        <f t="shared" si="57"/>
        <v>1</v>
      </c>
      <c r="S838" s="61">
        <f t="shared" si="58"/>
        <v>4</v>
      </c>
      <c r="T838" s="61">
        <f t="shared" si="59"/>
        <v>5</v>
      </c>
      <c r="U838" s="61">
        <f t="shared" si="60"/>
        <v>3</v>
      </c>
      <c r="V838" s="61" t="s">
        <v>150</v>
      </c>
      <c r="W838" s="61" t="s">
        <v>3527</v>
      </c>
      <c r="X838" s="61" t="s">
        <v>3528</v>
      </c>
      <c r="Y838" s="61" t="s">
        <v>69</v>
      </c>
      <c r="Z838" s="61" t="s">
        <v>69</v>
      </c>
      <c r="AA838" s="61"/>
      <c r="AB838" s="61" t="s">
        <v>8336</v>
      </c>
    </row>
    <row r="839" spans="1:28" s="2" customFormat="1" ht="28.5">
      <c r="A839" s="61" t="s">
        <v>776</v>
      </c>
      <c r="B839" s="61" t="s">
        <v>1148</v>
      </c>
      <c r="C839" s="61" t="s">
        <v>4390</v>
      </c>
      <c r="D839" s="61" t="s">
        <v>7838</v>
      </c>
      <c r="E839" s="61">
        <v>1402</v>
      </c>
      <c r="F839" s="61">
        <v>1973</v>
      </c>
      <c r="G839" s="61">
        <v>2025</v>
      </c>
      <c r="H839" s="61" t="s">
        <v>3128</v>
      </c>
      <c r="I839" s="61" t="s">
        <v>200</v>
      </c>
      <c r="J839" s="61" t="s">
        <v>1838</v>
      </c>
      <c r="K839" s="61" t="s">
        <v>1982</v>
      </c>
      <c r="L839" s="61" t="s">
        <v>8335</v>
      </c>
      <c r="M839" s="475">
        <v>45917</v>
      </c>
      <c r="N839" s="475">
        <v>45917</v>
      </c>
      <c r="O839" s="475">
        <v>45923</v>
      </c>
      <c r="P839" s="475">
        <v>45924</v>
      </c>
      <c r="Q839" s="475">
        <v>45929</v>
      </c>
      <c r="R839" s="61">
        <f t="shared" si="57"/>
        <v>1</v>
      </c>
      <c r="S839" s="61">
        <f t="shared" si="58"/>
        <v>4</v>
      </c>
      <c r="T839" s="61">
        <f t="shared" si="59"/>
        <v>5</v>
      </c>
      <c r="U839" s="61">
        <f t="shared" si="60"/>
        <v>3</v>
      </c>
      <c r="V839" s="61" t="s">
        <v>150</v>
      </c>
      <c r="W839" s="61" t="s">
        <v>3527</v>
      </c>
      <c r="X839" s="61" t="s">
        <v>3528</v>
      </c>
      <c r="Y839" s="61" t="s">
        <v>69</v>
      </c>
      <c r="Z839" s="61" t="s">
        <v>69</v>
      </c>
      <c r="AA839" s="61"/>
      <c r="AB839" s="61" t="s">
        <v>8336</v>
      </c>
    </row>
    <row r="840" spans="1:28" s="2" customFormat="1" ht="28.5">
      <c r="A840" s="61" t="s">
        <v>776</v>
      </c>
      <c r="B840" s="61" t="s">
        <v>1148</v>
      </c>
      <c r="C840" s="61" t="s">
        <v>4391</v>
      </c>
      <c r="D840" s="61" t="s">
        <v>7838</v>
      </c>
      <c r="E840" s="61">
        <v>1948</v>
      </c>
      <c r="F840" s="61">
        <v>2118</v>
      </c>
      <c r="G840" s="61">
        <v>2025</v>
      </c>
      <c r="H840" s="61" t="s">
        <v>3128</v>
      </c>
      <c r="I840" s="61" t="s">
        <v>200</v>
      </c>
      <c r="J840" s="61" t="s">
        <v>1838</v>
      </c>
      <c r="K840" s="61" t="s">
        <v>1982</v>
      </c>
      <c r="L840" s="61" t="s">
        <v>8335</v>
      </c>
      <c r="M840" s="475">
        <v>45917</v>
      </c>
      <c r="N840" s="475">
        <v>45917</v>
      </c>
      <c r="O840" s="475">
        <v>45923</v>
      </c>
      <c r="P840" s="475">
        <v>45924</v>
      </c>
      <c r="Q840" s="475">
        <v>45929</v>
      </c>
      <c r="R840" s="61">
        <f t="shared" si="57"/>
        <v>1</v>
      </c>
      <c r="S840" s="61">
        <f t="shared" si="58"/>
        <v>4</v>
      </c>
      <c r="T840" s="61">
        <f t="shared" si="59"/>
        <v>5</v>
      </c>
      <c r="U840" s="61">
        <f t="shared" si="60"/>
        <v>3</v>
      </c>
      <c r="V840" s="61" t="s">
        <v>150</v>
      </c>
      <c r="W840" s="61" t="s">
        <v>3527</v>
      </c>
      <c r="X840" s="61" t="s">
        <v>3528</v>
      </c>
      <c r="Y840" s="61" t="s">
        <v>69</v>
      </c>
      <c r="Z840" s="61" t="s">
        <v>69</v>
      </c>
      <c r="AA840" s="61"/>
      <c r="AB840" s="61" t="s">
        <v>8336</v>
      </c>
    </row>
    <row r="841" spans="1:28" s="2" customFormat="1" ht="28.5">
      <c r="A841" s="61" t="s">
        <v>776</v>
      </c>
      <c r="B841" s="61" t="s">
        <v>1148</v>
      </c>
      <c r="C841" s="61" t="s">
        <v>4394</v>
      </c>
      <c r="D841" s="61" t="s">
        <v>7838</v>
      </c>
      <c r="E841" s="61">
        <v>1811</v>
      </c>
      <c r="F841" s="61">
        <v>2030</v>
      </c>
      <c r="G841" s="61">
        <v>2025</v>
      </c>
      <c r="H841" s="61" t="s">
        <v>3128</v>
      </c>
      <c r="I841" s="61" t="s">
        <v>200</v>
      </c>
      <c r="J841" s="61" t="s">
        <v>1838</v>
      </c>
      <c r="K841" s="61" t="s">
        <v>1982</v>
      </c>
      <c r="L841" s="61" t="s">
        <v>8335</v>
      </c>
      <c r="M841" s="475">
        <v>45917</v>
      </c>
      <c r="N841" s="475">
        <v>45917</v>
      </c>
      <c r="O841" s="475">
        <v>45923</v>
      </c>
      <c r="P841" s="475">
        <v>45924</v>
      </c>
      <c r="Q841" s="475">
        <v>45929</v>
      </c>
      <c r="R841" s="61">
        <f t="shared" si="57"/>
        <v>1</v>
      </c>
      <c r="S841" s="61">
        <f t="shared" si="58"/>
        <v>4</v>
      </c>
      <c r="T841" s="61">
        <f t="shared" si="59"/>
        <v>5</v>
      </c>
      <c r="U841" s="61">
        <f t="shared" si="60"/>
        <v>3</v>
      </c>
      <c r="V841" s="61" t="s">
        <v>150</v>
      </c>
      <c r="W841" s="61" t="s">
        <v>3527</v>
      </c>
      <c r="X841" s="61" t="s">
        <v>3528</v>
      </c>
      <c r="Y841" s="61" t="s">
        <v>69</v>
      </c>
      <c r="Z841" s="61" t="s">
        <v>69</v>
      </c>
      <c r="AA841" s="61"/>
      <c r="AB841" s="61" t="s">
        <v>8336</v>
      </c>
    </row>
    <row r="842" spans="1:28" s="2" customFormat="1" ht="28.5">
      <c r="A842" s="61" t="s">
        <v>776</v>
      </c>
      <c r="B842" s="61" t="s">
        <v>1148</v>
      </c>
      <c r="C842" s="61" t="s">
        <v>4401</v>
      </c>
      <c r="D842" s="61" t="s">
        <v>7838</v>
      </c>
      <c r="E842" s="61">
        <v>2460</v>
      </c>
      <c r="F842" s="61">
        <v>3070</v>
      </c>
      <c r="G842" s="61">
        <v>2025</v>
      </c>
      <c r="H842" s="61" t="s">
        <v>3128</v>
      </c>
      <c r="I842" s="61" t="s">
        <v>200</v>
      </c>
      <c r="J842" s="61" t="s">
        <v>1838</v>
      </c>
      <c r="K842" s="61" t="s">
        <v>1982</v>
      </c>
      <c r="L842" s="61" t="s">
        <v>8335</v>
      </c>
      <c r="M842" s="475">
        <v>45917</v>
      </c>
      <c r="N842" s="475">
        <v>45917</v>
      </c>
      <c r="O842" s="475">
        <v>45923</v>
      </c>
      <c r="P842" s="475">
        <v>45924</v>
      </c>
      <c r="Q842" s="475">
        <v>45929</v>
      </c>
      <c r="R842" s="61">
        <f t="shared" si="57"/>
        <v>1</v>
      </c>
      <c r="S842" s="61">
        <f t="shared" si="58"/>
        <v>4</v>
      </c>
      <c r="T842" s="61">
        <f t="shared" ref="T842:T873" si="61">IF(
  OR(A842 = "Nueva_Ecija", A842 = "Zambales"),
  IF(
    OR(ISBLANK(O842), ISBLANK(P842)),
    "",
    MAX(1, IF(
      NETWORKDAYS(O842, P842) &lt;= 0,
      1,
      NETWORKDAYS(O842, P842) - IF(O842 = P842, 0, 1)
    ))
  ),
  IF(
    OR(ISBLANK(N842), ISBLANK(P842)),
    "",
    MAX(1, IF(
      NETWORKDAYS(N842, P842) &lt;= 0,
      1,
      NETWORKDAYS(N842, P842) - IF(N842 = P842, 0, 1)
    ))
  )
)</f>
        <v>5</v>
      </c>
      <c r="U842" s="61">
        <f t="shared" si="60"/>
        <v>3</v>
      </c>
      <c r="V842" s="61" t="s">
        <v>150</v>
      </c>
      <c r="W842" s="61" t="s">
        <v>3527</v>
      </c>
      <c r="X842" s="61" t="s">
        <v>3528</v>
      </c>
      <c r="Y842" s="61" t="s">
        <v>69</v>
      </c>
      <c r="Z842" s="61" t="s">
        <v>69</v>
      </c>
      <c r="AA842" s="61"/>
      <c r="AB842" s="61" t="s">
        <v>8336</v>
      </c>
    </row>
    <row r="843" spans="1:28" s="2" customFormat="1" ht="28.5">
      <c r="A843" s="61" t="s">
        <v>776</v>
      </c>
      <c r="B843" s="61" t="s">
        <v>1148</v>
      </c>
      <c r="C843" s="61" t="s">
        <v>4403</v>
      </c>
      <c r="D843" s="61" t="s">
        <v>7838</v>
      </c>
      <c r="E843" s="61">
        <v>1914</v>
      </c>
      <c r="F843" s="61">
        <v>2389</v>
      </c>
      <c r="G843" s="61">
        <v>2025</v>
      </c>
      <c r="H843" s="61" t="s">
        <v>3128</v>
      </c>
      <c r="I843" s="61" t="s">
        <v>200</v>
      </c>
      <c r="J843" s="61" t="s">
        <v>1838</v>
      </c>
      <c r="K843" s="61" t="s">
        <v>1982</v>
      </c>
      <c r="L843" s="61" t="s">
        <v>8335</v>
      </c>
      <c r="M843" s="475">
        <v>45917</v>
      </c>
      <c r="N843" s="475">
        <v>45917</v>
      </c>
      <c r="O843" s="475">
        <v>45923</v>
      </c>
      <c r="P843" s="475">
        <v>45924</v>
      </c>
      <c r="Q843" s="475">
        <v>45929</v>
      </c>
      <c r="R843" s="61">
        <f t="shared" si="57"/>
        <v>1</v>
      </c>
      <c r="S843" s="61">
        <f t="shared" si="58"/>
        <v>4</v>
      </c>
      <c r="T843" s="61">
        <f t="shared" si="61"/>
        <v>5</v>
      </c>
      <c r="U843" s="61">
        <f t="shared" si="60"/>
        <v>3</v>
      </c>
      <c r="V843" s="61" t="s">
        <v>150</v>
      </c>
      <c r="W843" s="61" t="s">
        <v>3527</v>
      </c>
      <c r="X843" s="61" t="s">
        <v>3528</v>
      </c>
      <c r="Y843" s="61" t="s">
        <v>69</v>
      </c>
      <c r="Z843" s="61" t="s">
        <v>69</v>
      </c>
      <c r="AA843" s="61"/>
      <c r="AB843" s="61" t="s">
        <v>8336</v>
      </c>
    </row>
    <row r="844" spans="1:28" s="2" customFormat="1" ht="28.5">
      <c r="A844" s="61" t="s">
        <v>776</v>
      </c>
      <c r="B844" s="61" t="s">
        <v>1148</v>
      </c>
      <c r="C844" s="61" t="s">
        <v>4404</v>
      </c>
      <c r="D844" s="61" t="s">
        <v>7838</v>
      </c>
      <c r="E844" s="61">
        <v>839</v>
      </c>
      <c r="F844" s="61">
        <v>1145</v>
      </c>
      <c r="G844" s="61">
        <v>2025</v>
      </c>
      <c r="H844" s="61" t="s">
        <v>3128</v>
      </c>
      <c r="I844" s="61" t="s">
        <v>200</v>
      </c>
      <c r="J844" s="61" t="s">
        <v>1838</v>
      </c>
      <c r="K844" s="61" t="s">
        <v>1982</v>
      </c>
      <c r="L844" s="61" t="s">
        <v>8335</v>
      </c>
      <c r="M844" s="475">
        <v>45917</v>
      </c>
      <c r="N844" s="475">
        <v>45917</v>
      </c>
      <c r="O844" s="475">
        <v>45923</v>
      </c>
      <c r="P844" s="475">
        <v>45924</v>
      </c>
      <c r="Q844" s="475">
        <v>45929</v>
      </c>
      <c r="R844" s="61">
        <f t="shared" si="57"/>
        <v>1</v>
      </c>
      <c r="S844" s="61">
        <f t="shared" si="58"/>
        <v>4</v>
      </c>
      <c r="T844" s="61">
        <f t="shared" si="61"/>
        <v>5</v>
      </c>
      <c r="U844" s="61">
        <f t="shared" si="60"/>
        <v>3</v>
      </c>
      <c r="V844" s="61" t="s">
        <v>150</v>
      </c>
      <c r="W844" s="61" t="s">
        <v>3527</v>
      </c>
      <c r="X844" s="61" t="s">
        <v>3528</v>
      </c>
      <c r="Y844" s="61" t="s">
        <v>69</v>
      </c>
      <c r="Z844" s="61" t="s">
        <v>69</v>
      </c>
      <c r="AA844" s="61"/>
      <c r="AB844" s="61" t="s">
        <v>8336</v>
      </c>
    </row>
    <row r="845" spans="1:28" s="2" customFormat="1" ht="28.5">
      <c r="A845" s="61" t="s">
        <v>776</v>
      </c>
      <c r="B845" s="61" t="s">
        <v>1148</v>
      </c>
      <c r="C845" s="61" t="s">
        <v>4406</v>
      </c>
      <c r="D845" s="61" t="s">
        <v>7838</v>
      </c>
      <c r="E845" s="61">
        <v>1987</v>
      </c>
      <c r="F845" s="61">
        <v>2198</v>
      </c>
      <c r="G845" s="61">
        <v>2025</v>
      </c>
      <c r="H845" s="61" t="s">
        <v>3128</v>
      </c>
      <c r="I845" s="61" t="s">
        <v>200</v>
      </c>
      <c r="J845" s="61" t="s">
        <v>1838</v>
      </c>
      <c r="K845" s="61" t="s">
        <v>1982</v>
      </c>
      <c r="L845" s="61" t="s">
        <v>8335</v>
      </c>
      <c r="M845" s="475">
        <v>45917</v>
      </c>
      <c r="N845" s="475">
        <v>45917</v>
      </c>
      <c r="O845" s="475">
        <v>45923</v>
      </c>
      <c r="P845" s="475">
        <v>45924</v>
      </c>
      <c r="Q845" s="475">
        <v>45929</v>
      </c>
      <c r="R845" s="61">
        <f t="shared" si="57"/>
        <v>1</v>
      </c>
      <c r="S845" s="61">
        <f t="shared" si="58"/>
        <v>4</v>
      </c>
      <c r="T845" s="61">
        <f t="shared" si="61"/>
        <v>5</v>
      </c>
      <c r="U845" s="61">
        <f t="shared" si="60"/>
        <v>3</v>
      </c>
      <c r="V845" s="61" t="s">
        <v>150</v>
      </c>
      <c r="W845" s="61" t="s">
        <v>3527</v>
      </c>
      <c r="X845" s="61" t="s">
        <v>3528</v>
      </c>
      <c r="Y845" s="61" t="s">
        <v>69</v>
      </c>
      <c r="Z845" s="61" t="s">
        <v>69</v>
      </c>
      <c r="AA845" s="61"/>
      <c r="AB845" s="61" t="s">
        <v>8336</v>
      </c>
    </row>
    <row r="846" spans="1:28" s="2" customFormat="1" ht="28.5">
      <c r="A846" s="61" t="s">
        <v>776</v>
      </c>
      <c r="B846" s="61" t="s">
        <v>1148</v>
      </c>
      <c r="C846" s="61" t="s">
        <v>4407</v>
      </c>
      <c r="D846" s="61" t="s">
        <v>7838</v>
      </c>
      <c r="E846" s="61">
        <v>1502</v>
      </c>
      <c r="F846" s="61">
        <v>1422</v>
      </c>
      <c r="G846" s="61">
        <v>2025</v>
      </c>
      <c r="H846" s="61" t="s">
        <v>3128</v>
      </c>
      <c r="I846" s="61" t="s">
        <v>200</v>
      </c>
      <c r="J846" s="61" t="s">
        <v>1838</v>
      </c>
      <c r="K846" s="61" t="s">
        <v>1982</v>
      </c>
      <c r="L846" s="61" t="s">
        <v>8335</v>
      </c>
      <c r="M846" s="475">
        <v>45917</v>
      </c>
      <c r="N846" s="475">
        <v>45917</v>
      </c>
      <c r="O846" s="475">
        <v>45923</v>
      </c>
      <c r="P846" s="475">
        <v>45924</v>
      </c>
      <c r="Q846" s="475">
        <v>45929</v>
      </c>
      <c r="R846" s="61">
        <f t="shared" si="57"/>
        <v>1</v>
      </c>
      <c r="S846" s="61">
        <f t="shared" si="58"/>
        <v>4</v>
      </c>
      <c r="T846" s="61">
        <f t="shared" si="61"/>
        <v>5</v>
      </c>
      <c r="U846" s="61">
        <f t="shared" si="60"/>
        <v>3</v>
      </c>
      <c r="V846" s="61" t="s">
        <v>150</v>
      </c>
      <c r="W846" s="61" t="s">
        <v>3527</v>
      </c>
      <c r="X846" s="61" t="s">
        <v>3528</v>
      </c>
      <c r="Y846" s="61" t="s">
        <v>69</v>
      </c>
      <c r="Z846" s="61" t="s">
        <v>69</v>
      </c>
      <c r="AA846" s="61"/>
      <c r="AB846" s="61" t="s">
        <v>8336</v>
      </c>
    </row>
    <row r="847" spans="1:28" s="2" customFormat="1" ht="28.5">
      <c r="A847" s="61" t="s">
        <v>776</v>
      </c>
      <c r="B847" s="61" t="s">
        <v>1148</v>
      </c>
      <c r="C847" s="61" t="s">
        <v>4408</v>
      </c>
      <c r="D847" s="61" t="s">
        <v>7838</v>
      </c>
      <c r="E847" s="61">
        <v>2620</v>
      </c>
      <c r="F847" s="61">
        <v>2971</v>
      </c>
      <c r="G847" s="61">
        <v>2025</v>
      </c>
      <c r="H847" s="61" t="s">
        <v>3128</v>
      </c>
      <c r="I847" s="61" t="s">
        <v>200</v>
      </c>
      <c r="J847" s="61" t="s">
        <v>1838</v>
      </c>
      <c r="K847" s="61" t="s">
        <v>1982</v>
      </c>
      <c r="L847" s="61" t="s">
        <v>8335</v>
      </c>
      <c r="M847" s="475">
        <v>45917</v>
      </c>
      <c r="N847" s="475">
        <v>45917</v>
      </c>
      <c r="O847" s="475">
        <v>45923</v>
      </c>
      <c r="P847" s="475">
        <v>45924</v>
      </c>
      <c r="Q847" s="475">
        <v>45929</v>
      </c>
      <c r="R847" s="61">
        <f t="shared" si="57"/>
        <v>1</v>
      </c>
      <c r="S847" s="61">
        <f t="shared" si="58"/>
        <v>4</v>
      </c>
      <c r="T847" s="61">
        <f t="shared" si="61"/>
        <v>5</v>
      </c>
      <c r="U847" s="61">
        <f t="shared" si="60"/>
        <v>3</v>
      </c>
      <c r="V847" s="61" t="s">
        <v>150</v>
      </c>
      <c r="W847" s="61" t="s">
        <v>3527</v>
      </c>
      <c r="X847" s="61" t="s">
        <v>3528</v>
      </c>
      <c r="Y847" s="61" t="s">
        <v>69</v>
      </c>
      <c r="Z847" s="61" t="s">
        <v>69</v>
      </c>
      <c r="AA847" s="61"/>
      <c r="AB847" s="61" t="s">
        <v>8336</v>
      </c>
    </row>
    <row r="848" spans="1:28" s="2" customFormat="1" ht="28.5">
      <c r="A848" s="61" t="s">
        <v>776</v>
      </c>
      <c r="B848" s="61" t="s">
        <v>1148</v>
      </c>
      <c r="C848" s="61" t="s">
        <v>4409</v>
      </c>
      <c r="D848" s="61" t="s">
        <v>7838</v>
      </c>
      <c r="E848" s="61">
        <v>1483</v>
      </c>
      <c r="F848" s="61">
        <v>1626</v>
      </c>
      <c r="G848" s="61">
        <v>2025</v>
      </c>
      <c r="H848" s="61" t="s">
        <v>3128</v>
      </c>
      <c r="I848" s="61" t="s">
        <v>200</v>
      </c>
      <c r="J848" s="61" t="s">
        <v>1838</v>
      </c>
      <c r="K848" s="61" t="s">
        <v>1982</v>
      </c>
      <c r="L848" s="61" t="s">
        <v>8335</v>
      </c>
      <c r="M848" s="475">
        <v>45917</v>
      </c>
      <c r="N848" s="475">
        <v>45917</v>
      </c>
      <c r="O848" s="475">
        <v>45923</v>
      </c>
      <c r="P848" s="475">
        <v>45924</v>
      </c>
      <c r="Q848" s="475">
        <v>45929</v>
      </c>
      <c r="R848" s="61">
        <f t="shared" si="57"/>
        <v>1</v>
      </c>
      <c r="S848" s="61">
        <f t="shared" si="58"/>
        <v>4</v>
      </c>
      <c r="T848" s="61">
        <f t="shared" si="61"/>
        <v>5</v>
      </c>
      <c r="U848" s="61">
        <f t="shared" si="60"/>
        <v>3</v>
      </c>
      <c r="V848" s="61" t="s">
        <v>150</v>
      </c>
      <c r="W848" s="61" t="s">
        <v>3527</v>
      </c>
      <c r="X848" s="61" t="s">
        <v>3528</v>
      </c>
      <c r="Y848" s="61" t="s">
        <v>69</v>
      </c>
      <c r="Z848" s="61" t="s">
        <v>69</v>
      </c>
      <c r="AA848" s="61"/>
      <c r="AB848" s="61" t="s">
        <v>8336</v>
      </c>
    </row>
    <row r="849" spans="1:28" s="2" customFormat="1" ht="28.5">
      <c r="A849" s="61" t="s">
        <v>776</v>
      </c>
      <c r="B849" s="61" t="s">
        <v>1148</v>
      </c>
      <c r="C849" s="61" t="s">
        <v>4410</v>
      </c>
      <c r="D849" s="61" t="s">
        <v>7838</v>
      </c>
      <c r="E849" s="61">
        <v>3946</v>
      </c>
      <c r="F849" s="61">
        <v>4858</v>
      </c>
      <c r="G849" s="61">
        <v>2025</v>
      </c>
      <c r="H849" s="61" t="s">
        <v>3128</v>
      </c>
      <c r="I849" s="61" t="s">
        <v>200</v>
      </c>
      <c r="J849" s="61" t="s">
        <v>1838</v>
      </c>
      <c r="K849" s="61" t="s">
        <v>1982</v>
      </c>
      <c r="L849" s="61" t="s">
        <v>8335</v>
      </c>
      <c r="M849" s="475">
        <v>45917</v>
      </c>
      <c r="N849" s="475">
        <v>45917</v>
      </c>
      <c r="O849" s="475">
        <v>45923</v>
      </c>
      <c r="P849" s="475">
        <v>45924</v>
      </c>
      <c r="Q849" s="475">
        <v>45929</v>
      </c>
      <c r="R849" s="61">
        <f t="shared" ref="R849:R912" si="62">IF(
    OR(ISBLANK(M849), ISBLANK(N849)),
    "",
    MAX(1, IF(
        NETWORKDAYS(M849, N849) &lt;= 0,
        1,
        NETWORKDAYS(M849, N849) - IF(M849 = N849, 0, 1)
    ))
)</f>
        <v>1</v>
      </c>
      <c r="S849" s="61">
        <f t="shared" ref="S849:S912" si="63">IF(
    OR(ISBLANK(N849), ISBLANK(O849)),
    "",
    MAX(1, IF(
        NETWORKDAYS(N849, O849) &lt;= 0,
        1,
        NETWORKDAYS(N849, O849) - IF(N849 = O849, 0, 1)
    ))
)</f>
        <v>4</v>
      </c>
      <c r="T849" s="61">
        <f t="shared" si="61"/>
        <v>5</v>
      </c>
      <c r="U849" s="61">
        <f t="shared" si="60"/>
        <v>3</v>
      </c>
      <c r="V849" s="61" t="s">
        <v>150</v>
      </c>
      <c r="W849" s="61" t="s">
        <v>3527</v>
      </c>
      <c r="X849" s="61" t="s">
        <v>3528</v>
      </c>
      <c r="Y849" s="61" t="s">
        <v>69</v>
      </c>
      <c r="Z849" s="61" t="s">
        <v>69</v>
      </c>
      <c r="AA849" s="61"/>
      <c r="AB849" s="61" t="s">
        <v>8336</v>
      </c>
    </row>
    <row r="850" spans="1:28" s="2" customFormat="1" ht="28.5">
      <c r="A850" s="61" t="s">
        <v>776</v>
      </c>
      <c r="B850" s="61" t="s">
        <v>1148</v>
      </c>
      <c r="C850" s="61" t="s">
        <v>4413</v>
      </c>
      <c r="D850" s="61" t="s">
        <v>7838</v>
      </c>
      <c r="E850" s="61">
        <v>1020</v>
      </c>
      <c r="F850" s="61">
        <v>1110</v>
      </c>
      <c r="G850" s="61">
        <v>2025</v>
      </c>
      <c r="H850" s="61" t="s">
        <v>3128</v>
      </c>
      <c r="I850" s="61" t="s">
        <v>200</v>
      </c>
      <c r="J850" s="61" t="s">
        <v>1838</v>
      </c>
      <c r="K850" s="61" t="s">
        <v>1982</v>
      </c>
      <c r="L850" s="61" t="s">
        <v>8335</v>
      </c>
      <c r="M850" s="475">
        <v>45917</v>
      </c>
      <c r="N850" s="475">
        <v>45917</v>
      </c>
      <c r="O850" s="475">
        <v>45923</v>
      </c>
      <c r="P850" s="475">
        <v>45924</v>
      </c>
      <c r="Q850" s="475">
        <v>45929</v>
      </c>
      <c r="R850" s="61">
        <f t="shared" si="62"/>
        <v>1</v>
      </c>
      <c r="S850" s="61">
        <f t="shared" si="63"/>
        <v>4</v>
      </c>
      <c r="T850" s="61">
        <f t="shared" si="61"/>
        <v>5</v>
      </c>
      <c r="U850" s="61">
        <f t="shared" si="60"/>
        <v>3</v>
      </c>
      <c r="V850" s="61" t="s">
        <v>150</v>
      </c>
      <c r="W850" s="61" t="s">
        <v>3527</v>
      </c>
      <c r="X850" s="61" t="s">
        <v>3528</v>
      </c>
      <c r="Y850" s="61" t="s">
        <v>69</v>
      </c>
      <c r="Z850" s="61" t="s">
        <v>69</v>
      </c>
      <c r="AA850" s="61"/>
      <c r="AB850" s="61" t="s">
        <v>8336</v>
      </c>
    </row>
    <row r="851" spans="1:28" s="2" customFormat="1" ht="28.5">
      <c r="A851" s="61" t="s">
        <v>776</v>
      </c>
      <c r="B851" s="61" t="s">
        <v>1148</v>
      </c>
      <c r="C851" s="61" t="s">
        <v>4414</v>
      </c>
      <c r="D851" s="61" t="s">
        <v>7838</v>
      </c>
      <c r="E851" s="61">
        <v>2423</v>
      </c>
      <c r="F851" s="61">
        <v>2509</v>
      </c>
      <c r="G851" s="61">
        <v>2025</v>
      </c>
      <c r="H851" s="61" t="s">
        <v>3128</v>
      </c>
      <c r="I851" s="61" t="s">
        <v>200</v>
      </c>
      <c r="J851" s="61" t="s">
        <v>1838</v>
      </c>
      <c r="K851" s="61" t="s">
        <v>1982</v>
      </c>
      <c r="L851" s="61" t="s">
        <v>8335</v>
      </c>
      <c r="M851" s="475">
        <v>45917</v>
      </c>
      <c r="N851" s="475">
        <v>45917</v>
      </c>
      <c r="O851" s="475">
        <v>45923</v>
      </c>
      <c r="P851" s="475">
        <v>45924</v>
      </c>
      <c r="Q851" s="475">
        <v>45929</v>
      </c>
      <c r="R851" s="61">
        <f t="shared" si="62"/>
        <v>1</v>
      </c>
      <c r="S851" s="61">
        <f t="shared" si="63"/>
        <v>4</v>
      </c>
      <c r="T851" s="61">
        <f t="shared" si="61"/>
        <v>5</v>
      </c>
      <c r="U851" s="61">
        <f t="shared" si="60"/>
        <v>3</v>
      </c>
      <c r="V851" s="61" t="s">
        <v>150</v>
      </c>
      <c r="W851" s="61" t="s">
        <v>3527</v>
      </c>
      <c r="X851" s="61" t="s">
        <v>3528</v>
      </c>
      <c r="Y851" s="61" t="s">
        <v>69</v>
      </c>
      <c r="Z851" s="61" t="s">
        <v>69</v>
      </c>
      <c r="AA851" s="61"/>
      <c r="AB851" s="61" t="s">
        <v>8336</v>
      </c>
    </row>
    <row r="852" spans="1:28" s="2" customFormat="1" ht="28.5">
      <c r="A852" s="61" t="s">
        <v>776</v>
      </c>
      <c r="B852" s="61" t="s">
        <v>1148</v>
      </c>
      <c r="C852" s="61" t="s">
        <v>4415</v>
      </c>
      <c r="D852" s="61" t="s">
        <v>7838</v>
      </c>
      <c r="E852" s="61">
        <v>2524</v>
      </c>
      <c r="F852" s="61">
        <v>2729</v>
      </c>
      <c r="G852" s="61">
        <v>2025</v>
      </c>
      <c r="H852" s="61" t="s">
        <v>3128</v>
      </c>
      <c r="I852" s="61" t="s">
        <v>200</v>
      </c>
      <c r="J852" s="61" t="s">
        <v>1838</v>
      </c>
      <c r="K852" s="61" t="s">
        <v>1982</v>
      </c>
      <c r="L852" s="61" t="s">
        <v>8335</v>
      </c>
      <c r="M852" s="475">
        <v>45917</v>
      </c>
      <c r="N852" s="475">
        <v>45917</v>
      </c>
      <c r="O852" s="475">
        <v>45923</v>
      </c>
      <c r="P852" s="475">
        <v>45924</v>
      </c>
      <c r="Q852" s="475">
        <v>45929</v>
      </c>
      <c r="R852" s="61">
        <f t="shared" si="62"/>
        <v>1</v>
      </c>
      <c r="S852" s="61">
        <f t="shared" si="63"/>
        <v>4</v>
      </c>
      <c r="T852" s="61">
        <f t="shared" si="61"/>
        <v>5</v>
      </c>
      <c r="U852" s="61">
        <f t="shared" si="60"/>
        <v>3</v>
      </c>
      <c r="V852" s="61" t="s">
        <v>150</v>
      </c>
      <c r="W852" s="61" t="s">
        <v>3527</v>
      </c>
      <c r="X852" s="61" t="s">
        <v>3528</v>
      </c>
      <c r="Y852" s="61" t="s">
        <v>69</v>
      </c>
      <c r="Z852" s="61" t="s">
        <v>69</v>
      </c>
      <c r="AA852" s="61"/>
      <c r="AB852" s="61" t="s">
        <v>8336</v>
      </c>
    </row>
    <row r="853" spans="1:28" s="2" customFormat="1" ht="15">
      <c r="A853" s="61" t="s">
        <v>776</v>
      </c>
      <c r="B853" s="61" t="s">
        <v>1151</v>
      </c>
      <c r="C853" s="61" t="s">
        <v>4416</v>
      </c>
      <c r="D853" s="61" t="s">
        <v>7838</v>
      </c>
      <c r="E853" s="61">
        <v>1314</v>
      </c>
      <c r="F853" s="61">
        <v>1438</v>
      </c>
      <c r="G853" s="61"/>
      <c r="H853" s="61"/>
      <c r="I853" s="61"/>
      <c r="J853" s="61"/>
      <c r="K853" s="61" t="s">
        <v>1982</v>
      </c>
      <c r="L853" s="61"/>
      <c r="M853" s="61"/>
      <c r="N853" s="61"/>
      <c r="O853" s="61"/>
      <c r="P853" s="61"/>
      <c r="Q853" s="61"/>
      <c r="R853" s="61" t="str">
        <f t="shared" si="62"/>
        <v/>
      </c>
      <c r="S853" s="61" t="str">
        <f t="shared" si="63"/>
        <v/>
      </c>
      <c r="T853" s="61" t="str">
        <f t="shared" si="61"/>
        <v/>
      </c>
      <c r="U853" s="61" t="str">
        <f t="shared" si="60"/>
        <v/>
      </c>
      <c r="V853" s="61"/>
      <c r="W853" s="61"/>
      <c r="X853" s="61"/>
      <c r="Y853" s="61"/>
      <c r="Z853" s="61"/>
      <c r="AA853" s="61"/>
      <c r="AB853" s="61"/>
    </row>
    <row r="854" spans="1:28" s="2" customFormat="1" ht="15">
      <c r="A854" s="61" t="s">
        <v>776</v>
      </c>
      <c r="B854" s="61" t="s">
        <v>1151</v>
      </c>
      <c r="C854" s="61" t="s">
        <v>1332</v>
      </c>
      <c r="D854" s="61" t="s">
        <v>7838</v>
      </c>
      <c r="E854" s="61">
        <v>1876</v>
      </c>
      <c r="F854" s="61">
        <v>2092</v>
      </c>
      <c r="G854" s="61"/>
      <c r="H854" s="61"/>
      <c r="I854" s="61"/>
      <c r="J854" s="61"/>
      <c r="K854" s="61" t="s">
        <v>1982</v>
      </c>
      <c r="L854" s="61"/>
      <c r="M854" s="61"/>
      <c r="N854" s="61"/>
      <c r="O854" s="61"/>
      <c r="P854" s="61"/>
      <c r="Q854" s="61"/>
      <c r="R854" s="61" t="str">
        <f t="shared" si="62"/>
        <v/>
      </c>
      <c r="S854" s="61" t="str">
        <f t="shared" si="63"/>
        <v/>
      </c>
      <c r="T854" s="61" t="str">
        <f t="shared" si="61"/>
        <v/>
      </c>
      <c r="U854" s="61" t="str">
        <f t="shared" si="60"/>
        <v/>
      </c>
      <c r="V854" s="61"/>
      <c r="W854" s="61"/>
      <c r="X854" s="61"/>
      <c r="Y854" s="61"/>
      <c r="Z854" s="61"/>
      <c r="AA854" s="61"/>
      <c r="AB854" s="61"/>
    </row>
    <row r="855" spans="1:28" s="2" customFormat="1" ht="15">
      <c r="A855" s="61" t="s">
        <v>776</v>
      </c>
      <c r="B855" s="61" t="s">
        <v>1151</v>
      </c>
      <c r="C855" s="61" t="s">
        <v>4417</v>
      </c>
      <c r="D855" s="61" t="s">
        <v>7838</v>
      </c>
      <c r="E855" s="61">
        <v>2670</v>
      </c>
      <c r="F855" s="61">
        <v>2823</v>
      </c>
      <c r="G855" s="61"/>
      <c r="H855" s="61"/>
      <c r="I855" s="61"/>
      <c r="J855" s="61"/>
      <c r="K855" s="61" t="s">
        <v>1982</v>
      </c>
      <c r="L855" s="61"/>
      <c r="M855" s="61"/>
      <c r="N855" s="61"/>
      <c r="O855" s="61"/>
      <c r="P855" s="61"/>
      <c r="Q855" s="61"/>
      <c r="R855" s="61" t="str">
        <f t="shared" si="62"/>
        <v/>
      </c>
      <c r="S855" s="61" t="str">
        <f t="shared" si="63"/>
        <v/>
      </c>
      <c r="T855" s="61" t="str">
        <f t="shared" si="61"/>
        <v/>
      </c>
      <c r="U855" s="61" t="str">
        <f t="shared" si="60"/>
        <v/>
      </c>
      <c r="V855" s="61"/>
      <c r="W855" s="61"/>
      <c r="X855" s="61"/>
      <c r="Y855" s="61"/>
      <c r="Z855" s="61"/>
      <c r="AA855" s="61"/>
      <c r="AB855" s="61"/>
    </row>
    <row r="856" spans="1:28" s="2" customFormat="1" ht="15">
      <c r="A856" s="61" t="s">
        <v>776</v>
      </c>
      <c r="B856" s="61" t="s">
        <v>1151</v>
      </c>
      <c r="C856" s="61" t="s">
        <v>4045</v>
      </c>
      <c r="D856" s="61" t="s">
        <v>7838</v>
      </c>
      <c r="E856" s="61">
        <v>2598</v>
      </c>
      <c r="F856" s="61">
        <v>3669</v>
      </c>
      <c r="G856" s="61"/>
      <c r="H856" s="61"/>
      <c r="I856" s="61"/>
      <c r="J856" s="61"/>
      <c r="K856" s="61" t="s">
        <v>1982</v>
      </c>
      <c r="L856" s="61"/>
      <c r="M856" s="61"/>
      <c r="N856" s="61"/>
      <c r="O856" s="61"/>
      <c r="P856" s="61"/>
      <c r="Q856" s="61"/>
      <c r="R856" s="61" t="str">
        <f t="shared" si="62"/>
        <v/>
      </c>
      <c r="S856" s="61" t="str">
        <f t="shared" si="63"/>
        <v/>
      </c>
      <c r="T856" s="61" t="str">
        <f t="shared" si="61"/>
        <v/>
      </c>
      <c r="U856" s="61" t="str">
        <f t="shared" si="60"/>
        <v/>
      </c>
      <c r="V856" s="61"/>
      <c r="W856" s="61"/>
      <c r="X856" s="61"/>
      <c r="Y856" s="61"/>
      <c r="Z856" s="61"/>
      <c r="AA856" s="61"/>
      <c r="AB856" s="61"/>
    </row>
    <row r="857" spans="1:28" s="2" customFormat="1" ht="15">
      <c r="A857" s="61" t="s">
        <v>776</v>
      </c>
      <c r="B857" s="61" t="s">
        <v>1151</v>
      </c>
      <c r="C857" s="61" t="s">
        <v>1475</v>
      </c>
      <c r="D857" s="61" t="s">
        <v>7838</v>
      </c>
      <c r="E857" s="61">
        <v>3695</v>
      </c>
      <c r="F857" s="61">
        <v>3955</v>
      </c>
      <c r="G857" s="61"/>
      <c r="H857" s="61"/>
      <c r="I857" s="61"/>
      <c r="J857" s="61"/>
      <c r="K857" s="61" t="s">
        <v>1982</v>
      </c>
      <c r="L857" s="61"/>
      <c r="M857" s="61"/>
      <c r="N857" s="61"/>
      <c r="O857" s="61"/>
      <c r="P857" s="61"/>
      <c r="Q857" s="61"/>
      <c r="R857" s="61" t="str">
        <f t="shared" si="62"/>
        <v/>
      </c>
      <c r="S857" s="61" t="str">
        <f t="shared" si="63"/>
        <v/>
      </c>
      <c r="T857" s="61" t="str">
        <f t="shared" si="61"/>
        <v/>
      </c>
      <c r="U857" s="61" t="str">
        <f t="shared" si="60"/>
        <v/>
      </c>
      <c r="V857" s="61"/>
      <c r="W857" s="61"/>
      <c r="X857" s="61"/>
      <c r="Y857" s="61"/>
      <c r="Z857" s="61"/>
      <c r="AA857" s="61"/>
      <c r="AB857" s="61"/>
    </row>
    <row r="858" spans="1:28" s="2" customFormat="1" ht="15">
      <c r="A858" s="61" t="s">
        <v>776</v>
      </c>
      <c r="B858" s="61" t="s">
        <v>1151</v>
      </c>
      <c r="C858" s="61" t="s">
        <v>4418</v>
      </c>
      <c r="D858" s="61" t="s">
        <v>7838</v>
      </c>
      <c r="E858" s="61">
        <v>1636</v>
      </c>
      <c r="F858" s="61">
        <v>2080</v>
      </c>
      <c r="G858" s="61"/>
      <c r="H858" s="61"/>
      <c r="I858" s="61"/>
      <c r="J858" s="61"/>
      <c r="K858" s="61" t="s">
        <v>1982</v>
      </c>
      <c r="L858" s="61"/>
      <c r="M858" s="61"/>
      <c r="N858" s="61"/>
      <c r="O858" s="61"/>
      <c r="P858" s="61"/>
      <c r="Q858" s="61"/>
      <c r="R858" s="61" t="str">
        <f t="shared" si="62"/>
        <v/>
      </c>
      <c r="S858" s="61" t="str">
        <f t="shared" si="63"/>
        <v/>
      </c>
      <c r="T858" s="61" t="str">
        <f t="shared" si="61"/>
        <v/>
      </c>
      <c r="U858" s="61" t="str">
        <f t="shared" si="60"/>
        <v/>
      </c>
      <c r="V858" s="61"/>
      <c r="W858" s="61"/>
      <c r="X858" s="61"/>
      <c r="Y858" s="61"/>
      <c r="Z858" s="61"/>
      <c r="AA858" s="61"/>
      <c r="AB858" s="61"/>
    </row>
    <row r="859" spans="1:28" s="2" customFormat="1" ht="15">
      <c r="A859" s="61" t="s">
        <v>776</v>
      </c>
      <c r="B859" s="61" t="s">
        <v>1151</v>
      </c>
      <c r="C859" s="61" t="s">
        <v>4419</v>
      </c>
      <c r="D859" s="61" t="s">
        <v>7838</v>
      </c>
      <c r="E859" s="61">
        <v>1553</v>
      </c>
      <c r="F859" s="61">
        <v>1704</v>
      </c>
      <c r="G859" s="61"/>
      <c r="H859" s="61"/>
      <c r="I859" s="61"/>
      <c r="J859" s="61"/>
      <c r="K859" s="61" t="s">
        <v>1982</v>
      </c>
      <c r="L859" s="61"/>
      <c r="M859" s="61"/>
      <c r="N859" s="61"/>
      <c r="O859" s="61"/>
      <c r="P859" s="61"/>
      <c r="Q859" s="61"/>
      <c r="R859" s="61" t="str">
        <f t="shared" si="62"/>
        <v/>
      </c>
      <c r="S859" s="61" t="str">
        <f t="shared" si="63"/>
        <v/>
      </c>
      <c r="T859" s="61" t="str">
        <f t="shared" si="61"/>
        <v/>
      </c>
      <c r="U859" s="61" t="str">
        <f t="shared" si="60"/>
        <v/>
      </c>
      <c r="V859" s="61"/>
      <c r="W859" s="61"/>
      <c r="X859" s="61"/>
      <c r="Y859" s="61"/>
      <c r="Z859" s="61"/>
      <c r="AA859" s="61"/>
      <c r="AB859" s="61"/>
    </row>
    <row r="860" spans="1:28" s="2" customFormat="1" ht="15">
      <c r="A860" s="61" t="s">
        <v>776</v>
      </c>
      <c r="B860" s="61" t="s">
        <v>1151</v>
      </c>
      <c r="C860" s="61" t="s">
        <v>4420</v>
      </c>
      <c r="D860" s="61" t="s">
        <v>7838</v>
      </c>
      <c r="E860" s="61">
        <v>2037</v>
      </c>
      <c r="F860" s="61">
        <v>2336</v>
      </c>
      <c r="G860" s="61"/>
      <c r="H860" s="61"/>
      <c r="I860" s="61"/>
      <c r="J860" s="61"/>
      <c r="K860" s="61" t="s">
        <v>1982</v>
      </c>
      <c r="L860" s="61"/>
      <c r="M860" s="61"/>
      <c r="N860" s="61"/>
      <c r="O860" s="61"/>
      <c r="P860" s="61"/>
      <c r="Q860" s="61"/>
      <c r="R860" s="61" t="str">
        <f t="shared" si="62"/>
        <v/>
      </c>
      <c r="S860" s="61" t="str">
        <f t="shared" si="63"/>
        <v/>
      </c>
      <c r="T860" s="61" t="str">
        <f t="shared" si="61"/>
        <v/>
      </c>
      <c r="U860" s="61" t="str">
        <f t="shared" si="60"/>
        <v/>
      </c>
      <c r="V860" s="61"/>
      <c r="W860" s="61"/>
      <c r="X860" s="61"/>
      <c r="Y860" s="61"/>
      <c r="Z860" s="61"/>
      <c r="AA860" s="61"/>
      <c r="AB860" s="61"/>
    </row>
    <row r="861" spans="1:28" s="2" customFormat="1" ht="15">
      <c r="A861" s="61" t="s">
        <v>776</v>
      </c>
      <c r="B861" s="61" t="s">
        <v>1151</v>
      </c>
      <c r="C861" s="61" t="s">
        <v>4421</v>
      </c>
      <c r="D861" s="61" t="s">
        <v>7838</v>
      </c>
      <c r="E861" s="61">
        <v>3003</v>
      </c>
      <c r="F861" s="61">
        <v>3404</v>
      </c>
      <c r="G861" s="61"/>
      <c r="H861" s="61"/>
      <c r="I861" s="61"/>
      <c r="J861" s="61"/>
      <c r="K861" s="61" t="s">
        <v>1982</v>
      </c>
      <c r="L861" s="61"/>
      <c r="M861" s="61"/>
      <c r="N861" s="61"/>
      <c r="O861" s="61"/>
      <c r="P861" s="61"/>
      <c r="Q861" s="61"/>
      <c r="R861" s="61" t="str">
        <f t="shared" si="62"/>
        <v/>
      </c>
      <c r="S861" s="61" t="str">
        <f t="shared" si="63"/>
        <v/>
      </c>
      <c r="T861" s="61" t="str">
        <f t="shared" si="61"/>
        <v/>
      </c>
      <c r="U861" s="61" t="str">
        <f t="shared" si="60"/>
        <v/>
      </c>
      <c r="V861" s="61"/>
      <c r="W861" s="61"/>
      <c r="X861" s="61"/>
      <c r="Y861" s="61"/>
      <c r="Z861" s="61"/>
      <c r="AA861" s="61"/>
      <c r="AB861" s="61"/>
    </row>
    <row r="862" spans="1:28" s="2" customFormat="1" ht="15">
      <c r="A862" s="61" t="s">
        <v>776</v>
      </c>
      <c r="B862" s="61" t="s">
        <v>1151</v>
      </c>
      <c r="C862" s="61" t="s">
        <v>4422</v>
      </c>
      <c r="D862" s="61" t="s">
        <v>7838</v>
      </c>
      <c r="E862" s="61">
        <v>1737</v>
      </c>
      <c r="F862" s="61">
        <v>2433</v>
      </c>
      <c r="G862" s="61"/>
      <c r="H862" s="61"/>
      <c r="I862" s="61"/>
      <c r="J862" s="61"/>
      <c r="K862" s="61" t="s">
        <v>1982</v>
      </c>
      <c r="L862" s="61"/>
      <c r="M862" s="61"/>
      <c r="N862" s="61"/>
      <c r="O862" s="61"/>
      <c r="P862" s="61"/>
      <c r="Q862" s="61"/>
      <c r="R862" s="61" t="str">
        <f t="shared" si="62"/>
        <v/>
      </c>
      <c r="S862" s="61" t="str">
        <f t="shared" si="63"/>
        <v/>
      </c>
      <c r="T862" s="61" t="str">
        <f t="shared" si="61"/>
        <v/>
      </c>
      <c r="U862" s="61" t="str">
        <f t="shared" si="60"/>
        <v/>
      </c>
      <c r="V862" s="61"/>
      <c r="W862" s="61"/>
      <c r="X862" s="61"/>
      <c r="Y862" s="61"/>
      <c r="Z862" s="61"/>
      <c r="AA862" s="61"/>
      <c r="AB862" s="61"/>
    </row>
    <row r="863" spans="1:28" s="2" customFormat="1" ht="15">
      <c r="A863" s="61" t="s">
        <v>776</v>
      </c>
      <c r="B863" s="61" t="s">
        <v>1151</v>
      </c>
      <c r="C863" s="61" t="s">
        <v>4423</v>
      </c>
      <c r="D863" s="61" t="s">
        <v>7838</v>
      </c>
      <c r="E863" s="61">
        <v>1870</v>
      </c>
      <c r="F863" s="61">
        <v>1761</v>
      </c>
      <c r="G863" s="61"/>
      <c r="H863" s="61"/>
      <c r="I863" s="61"/>
      <c r="J863" s="61"/>
      <c r="K863" s="61" t="s">
        <v>1982</v>
      </c>
      <c r="L863" s="61"/>
      <c r="M863" s="61"/>
      <c r="N863" s="61"/>
      <c r="O863" s="61"/>
      <c r="P863" s="61"/>
      <c r="Q863" s="61"/>
      <c r="R863" s="61" t="str">
        <f t="shared" si="62"/>
        <v/>
      </c>
      <c r="S863" s="61" t="str">
        <f t="shared" si="63"/>
        <v/>
      </c>
      <c r="T863" s="61" t="str">
        <f t="shared" si="61"/>
        <v/>
      </c>
      <c r="U863" s="61" t="str">
        <f t="shared" si="60"/>
        <v/>
      </c>
      <c r="V863" s="61"/>
      <c r="W863" s="61"/>
      <c r="X863" s="61"/>
      <c r="Y863" s="61"/>
      <c r="Z863" s="61"/>
      <c r="AA863" s="61"/>
      <c r="AB863" s="61"/>
    </row>
    <row r="864" spans="1:28" s="2" customFormat="1" ht="15">
      <c r="A864" s="61" t="s">
        <v>776</v>
      </c>
      <c r="B864" s="61" t="s">
        <v>1151</v>
      </c>
      <c r="C864" s="61" t="s">
        <v>4424</v>
      </c>
      <c r="D864" s="61" t="s">
        <v>7838</v>
      </c>
      <c r="E864" s="61">
        <v>1512</v>
      </c>
      <c r="F864" s="61">
        <v>1680</v>
      </c>
      <c r="G864" s="61"/>
      <c r="H864" s="61"/>
      <c r="I864" s="61"/>
      <c r="J864" s="61"/>
      <c r="K864" s="61" t="s">
        <v>1982</v>
      </c>
      <c r="L864" s="61"/>
      <c r="M864" s="61"/>
      <c r="N864" s="61"/>
      <c r="O864" s="61"/>
      <c r="P864" s="61"/>
      <c r="Q864" s="61"/>
      <c r="R864" s="61" t="str">
        <f t="shared" si="62"/>
        <v/>
      </c>
      <c r="S864" s="61" t="str">
        <f t="shared" si="63"/>
        <v/>
      </c>
      <c r="T864" s="61" t="str">
        <f t="shared" si="61"/>
        <v/>
      </c>
      <c r="U864" s="61" t="str">
        <f t="shared" si="60"/>
        <v/>
      </c>
      <c r="V864" s="61"/>
      <c r="W864" s="61"/>
      <c r="X864" s="61"/>
      <c r="Y864" s="61"/>
      <c r="Z864" s="61"/>
      <c r="AA864" s="61"/>
      <c r="AB864" s="61"/>
    </row>
    <row r="865" spans="1:28" s="2" customFormat="1" ht="15">
      <c r="A865" s="61" t="s">
        <v>776</v>
      </c>
      <c r="B865" s="61" t="s">
        <v>1151</v>
      </c>
      <c r="C865" s="61" t="s">
        <v>4425</v>
      </c>
      <c r="D865" s="61" t="s">
        <v>7838</v>
      </c>
      <c r="E865" s="61">
        <v>4862</v>
      </c>
      <c r="F865" s="61">
        <v>5499</v>
      </c>
      <c r="G865" s="61"/>
      <c r="H865" s="61"/>
      <c r="I865" s="61"/>
      <c r="J865" s="61"/>
      <c r="K865" s="61" t="s">
        <v>1982</v>
      </c>
      <c r="L865" s="61"/>
      <c r="M865" s="61"/>
      <c r="N865" s="61"/>
      <c r="O865" s="61"/>
      <c r="P865" s="61"/>
      <c r="Q865" s="61"/>
      <c r="R865" s="61" t="str">
        <f t="shared" si="62"/>
        <v/>
      </c>
      <c r="S865" s="61" t="str">
        <f t="shared" si="63"/>
        <v/>
      </c>
      <c r="T865" s="61" t="str">
        <f t="shared" si="61"/>
        <v/>
      </c>
      <c r="U865" s="61" t="str">
        <f t="shared" si="60"/>
        <v/>
      </c>
      <c r="V865" s="61"/>
      <c r="W865" s="61"/>
      <c r="X865" s="61"/>
      <c r="Y865" s="61"/>
      <c r="Z865" s="61"/>
      <c r="AA865" s="61"/>
      <c r="AB865" s="61"/>
    </row>
    <row r="866" spans="1:28" s="2" customFormat="1" ht="15">
      <c r="A866" s="61" t="s">
        <v>776</v>
      </c>
      <c r="B866" s="61" t="s">
        <v>1151</v>
      </c>
      <c r="C866" s="61" t="s">
        <v>4426</v>
      </c>
      <c r="D866" s="61" t="s">
        <v>7838</v>
      </c>
      <c r="E866" s="61">
        <v>2873</v>
      </c>
      <c r="F866" s="61">
        <v>2890</v>
      </c>
      <c r="G866" s="61"/>
      <c r="H866" s="61"/>
      <c r="I866" s="61"/>
      <c r="J866" s="61"/>
      <c r="K866" s="61" t="s">
        <v>1982</v>
      </c>
      <c r="L866" s="61"/>
      <c r="M866" s="61"/>
      <c r="N866" s="61"/>
      <c r="O866" s="61"/>
      <c r="P866" s="61"/>
      <c r="Q866" s="61"/>
      <c r="R866" s="61" t="str">
        <f t="shared" si="62"/>
        <v/>
      </c>
      <c r="S866" s="61" t="str">
        <f t="shared" si="63"/>
        <v/>
      </c>
      <c r="T866" s="61" t="str">
        <f t="shared" si="61"/>
        <v/>
      </c>
      <c r="U866" s="61" t="str">
        <f t="shared" si="60"/>
        <v/>
      </c>
      <c r="V866" s="61"/>
      <c r="W866" s="61"/>
      <c r="X866" s="61"/>
      <c r="Y866" s="61"/>
      <c r="Z866" s="61"/>
      <c r="AA866" s="61"/>
      <c r="AB866" s="61"/>
    </row>
    <row r="867" spans="1:28" s="2" customFormat="1" ht="15">
      <c r="A867" s="61" t="s">
        <v>776</v>
      </c>
      <c r="B867" s="61" t="s">
        <v>1151</v>
      </c>
      <c r="C867" s="61" t="s">
        <v>4051</v>
      </c>
      <c r="D867" s="61" t="s">
        <v>7838</v>
      </c>
      <c r="E867" s="61">
        <v>3980</v>
      </c>
      <c r="F867" s="61">
        <v>5531</v>
      </c>
      <c r="G867" s="61"/>
      <c r="H867" s="61"/>
      <c r="I867" s="61"/>
      <c r="J867" s="61"/>
      <c r="K867" s="61" t="s">
        <v>1982</v>
      </c>
      <c r="L867" s="61"/>
      <c r="M867" s="61"/>
      <c r="N867" s="61"/>
      <c r="O867" s="61"/>
      <c r="P867" s="61"/>
      <c r="Q867" s="61"/>
      <c r="R867" s="61" t="str">
        <f t="shared" si="62"/>
        <v/>
      </c>
      <c r="S867" s="61" t="str">
        <f t="shared" si="63"/>
        <v/>
      </c>
      <c r="T867" s="61" t="str">
        <f t="shared" si="61"/>
        <v/>
      </c>
      <c r="U867" s="61" t="str">
        <f t="shared" si="60"/>
        <v/>
      </c>
      <c r="V867" s="61"/>
      <c r="W867" s="61"/>
      <c r="X867" s="61"/>
      <c r="Y867" s="61"/>
      <c r="Z867" s="61"/>
      <c r="AA867" s="61"/>
      <c r="AB867" s="61"/>
    </row>
    <row r="868" spans="1:28" s="2" customFormat="1" ht="15">
      <c r="A868" s="61" t="s">
        <v>776</v>
      </c>
      <c r="B868" s="61" t="s">
        <v>1151</v>
      </c>
      <c r="C868" s="61" t="s">
        <v>4427</v>
      </c>
      <c r="D868" s="61" t="s">
        <v>7838</v>
      </c>
      <c r="E868" s="61">
        <v>1886</v>
      </c>
      <c r="F868" s="61">
        <v>2223</v>
      </c>
      <c r="G868" s="61"/>
      <c r="H868" s="61"/>
      <c r="I868" s="61"/>
      <c r="J868" s="61"/>
      <c r="K868" s="61" t="s">
        <v>1982</v>
      </c>
      <c r="L868" s="61"/>
      <c r="M868" s="61"/>
      <c r="N868" s="61"/>
      <c r="O868" s="61"/>
      <c r="P868" s="61"/>
      <c r="Q868" s="61"/>
      <c r="R868" s="61" t="str">
        <f t="shared" si="62"/>
        <v/>
      </c>
      <c r="S868" s="61" t="str">
        <f t="shared" si="63"/>
        <v/>
      </c>
      <c r="T868" s="61" t="str">
        <f t="shared" si="61"/>
        <v/>
      </c>
      <c r="U868" s="61" t="str">
        <f t="shared" si="60"/>
        <v/>
      </c>
      <c r="V868" s="61"/>
      <c r="W868" s="61"/>
      <c r="X868" s="61"/>
      <c r="Y868" s="61"/>
      <c r="Z868" s="61"/>
      <c r="AA868" s="61"/>
      <c r="AB868" s="61"/>
    </row>
    <row r="869" spans="1:28" s="2" customFormat="1" ht="15">
      <c r="A869" s="61" t="s">
        <v>776</v>
      </c>
      <c r="B869" s="61" t="s">
        <v>1151</v>
      </c>
      <c r="C869" s="61" t="s">
        <v>4428</v>
      </c>
      <c r="D869" s="61" t="s">
        <v>7838</v>
      </c>
      <c r="E869" s="61">
        <v>7560</v>
      </c>
      <c r="F869" s="61">
        <v>8555</v>
      </c>
      <c r="G869" s="61"/>
      <c r="H869" s="61"/>
      <c r="I869" s="61"/>
      <c r="J869" s="61"/>
      <c r="K869" s="61" t="s">
        <v>1982</v>
      </c>
      <c r="L869" s="61"/>
      <c r="M869" s="61"/>
      <c r="N869" s="61"/>
      <c r="O869" s="61"/>
      <c r="P869" s="61"/>
      <c r="Q869" s="61"/>
      <c r="R869" s="61" t="str">
        <f t="shared" si="62"/>
        <v/>
      </c>
      <c r="S869" s="61" t="str">
        <f t="shared" si="63"/>
        <v/>
      </c>
      <c r="T869" s="61" t="str">
        <f t="shared" si="61"/>
        <v/>
      </c>
      <c r="U869" s="61" t="str">
        <f t="shared" si="60"/>
        <v/>
      </c>
      <c r="V869" s="61"/>
      <c r="W869" s="61"/>
      <c r="X869" s="61"/>
      <c r="Y869" s="61"/>
      <c r="Z869" s="61"/>
      <c r="AA869" s="61"/>
      <c r="AB869" s="61"/>
    </row>
    <row r="870" spans="1:28" s="2" customFormat="1" ht="15">
      <c r="A870" s="61" t="s">
        <v>776</v>
      </c>
      <c r="B870" s="61" t="s">
        <v>1151</v>
      </c>
      <c r="C870" s="61" t="s">
        <v>4429</v>
      </c>
      <c r="D870" s="61" t="s">
        <v>7838</v>
      </c>
      <c r="E870" s="61">
        <v>1604</v>
      </c>
      <c r="F870" s="61">
        <v>1695</v>
      </c>
      <c r="G870" s="61"/>
      <c r="H870" s="61"/>
      <c r="I870" s="61"/>
      <c r="J870" s="61"/>
      <c r="K870" s="61" t="s">
        <v>1982</v>
      </c>
      <c r="L870" s="61"/>
      <c r="M870" s="61"/>
      <c r="N870" s="61"/>
      <c r="O870" s="61"/>
      <c r="P870" s="61"/>
      <c r="Q870" s="61"/>
      <c r="R870" s="61" t="str">
        <f t="shared" si="62"/>
        <v/>
      </c>
      <c r="S870" s="61" t="str">
        <f t="shared" si="63"/>
        <v/>
      </c>
      <c r="T870" s="61" t="str">
        <f t="shared" si="61"/>
        <v/>
      </c>
      <c r="U870" s="61" t="str">
        <f t="shared" si="60"/>
        <v/>
      </c>
      <c r="V870" s="61"/>
      <c r="W870" s="61"/>
      <c r="X870" s="61"/>
      <c r="Y870" s="61"/>
      <c r="Z870" s="61"/>
      <c r="AA870" s="61"/>
      <c r="AB870" s="61"/>
    </row>
    <row r="871" spans="1:28" s="2" customFormat="1" ht="15">
      <c r="A871" s="61" t="s">
        <v>776</v>
      </c>
      <c r="B871" s="61" t="s">
        <v>1151</v>
      </c>
      <c r="C871" s="61" t="s">
        <v>4430</v>
      </c>
      <c r="D871" s="61" t="s">
        <v>7838</v>
      </c>
      <c r="E871" s="61">
        <v>1662</v>
      </c>
      <c r="F871" s="61">
        <v>1851</v>
      </c>
      <c r="G871" s="61"/>
      <c r="H871" s="61"/>
      <c r="I871" s="61"/>
      <c r="J871" s="61"/>
      <c r="K871" s="61" t="s">
        <v>1982</v>
      </c>
      <c r="L871" s="61"/>
      <c r="M871" s="61"/>
      <c r="N871" s="61"/>
      <c r="O871" s="61"/>
      <c r="P871" s="61"/>
      <c r="Q871" s="61"/>
      <c r="R871" s="61" t="str">
        <f t="shared" si="62"/>
        <v/>
      </c>
      <c r="S871" s="61" t="str">
        <f t="shared" si="63"/>
        <v/>
      </c>
      <c r="T871" s="61" t="str">
        <f t="shared" si="61"/>
        <v/>
      </c>
      <c r="U871" s="61" t="str">
        <f t="shared" si="60"/>
        <v/>
      </c>
      <c r="V871" s="61"/>
      <c r="W871" s="61"/>
      <c r="X871" s="61"/>
      <c r="Y871" s="61"/>
      <c r="Z871" s="61"/>
      <c r="AA871" s="61"/>
      <c r="AB871" s="61"/>
    </row>
    <row r="872" spans="1:28" s="2" customFormat="1" ht="15">
      <c r="A872" s="61" t="s">
        <v>776</v>
      </c>
      <c r="B872" s="61" t="s">
        <v>1151</v>
      </c>
      <c r="C872" s="61" t="s">
        <v>4431</v>
      </c>
      <c r="D872" s="61" t="s">
        <v>7838</v>
      </c>
      <c r="E872" s="61">
        <v>1431</v>
      </c>
      <c r="F872" s="61">
        <v>1562</v>
      </c>
      <c r="G872" s="61"/>
      <c r="H872" s="61"/>
      <c r="I872" s="61"/>
      <c r="J872" s="61"/>
      <c r="K872" s="61" t="s">
        <v>1982</v>
      </c>
      <c r="L872" s="61"/>
      <c r="M872" s="61"/>
      <c r="N872" s="61"/>
      <c r="O872" s="61"/>
      <c r="P872" s="61"/>
      <c r="Q872" s="61"/>
      <c r="R872" s="61" t="str">
        <f t="shared" si="62"/>
        <v/>
      </c>
      <c r="S872" s="61" t="str">
        <f t="shared" si="63"/>
        <v/>
      </c>
      <c r="T872" s="61" t="str">
        <f t="shared" si="61"/>
        <v/>
      </c>
      <c r="U872" s="61" t="str">
        <f t="shared" si="60"/>
        <v/>
      </c>
      <c r="V872" s="61"/>
      <c r="W872" s="61"/>
      <c r="X872" s="61"/>
      <c r="Y872" s="61"/>
      <c r="Z872" s="61"/>
      <c r="AA872" s="61"/>
      <c r="AB872" s="61"/>
    </row>
    <row r="873" spans="1:28" s="2" customFormat="1" ht="15">
      <c r="A873" s="61" t="s">
        <v>776</v>
      </c>
      <c r="B873" s="61" t="s">
        <v>1151</v>
      </c>
      <c r="C873" s="61" t="s">
        <v>1072</v>
      </c>
      <c r="D873" s="61" t="s">
        <v>7838</v>
      </c>
      <c r="E873" s="61">
        <v>2805</v>
      </c>
      <c r="F873" s="61">
        <v>3108</v>
      </c>
      <c r="G873" s="61"/>
      <c r="H873" s="61"/>
      <c r="I873" s="61"/>
      <c r="J873" s="61"/>
      <c r="K873" s="61" t="s">
        <v>1982</v>
      </c>
      <c r="L873" s="61"/>
      <c r="M873" s="61"/>
      <c r="N873" s="61"/>
      <c r="O873" s="61"/>
      <c r="P873" s="61"/>
      <c r="Q873" s="61"/>
      <c r="R873" s="61" t="str">
        <f t="shared" si="62"/>
        <v/>
      </c>
      <c r="S873" s="61" t="str">
        <f t="shared" si="63"/>
        <v/>
      </c>
      <c r="T873" s="61" t="str">
        <f t="shared" si="61"/>
        <v/>
      </c>
      <c r="U873" s="61" t="str">
        <f t="shared" si="60"/>
        <v/>
      </c>
      <c r="V873" s="61"/>
      <c r="W873" s="61"/>
      <c r="X873" s="61"/>
      <c r="Y873" s="61"/>
      <c r="Z873" s="61"/>
      <c r="AA873" s="61"/>
      <c r="AB873" s="61"/>
    </row>
    <row r="874" spans="1:28" s="2" customFormat="1" ht="15">
      <c r="A874" s="61" t="s">
        <v>776</v>
      </c>
      <c r="B874" s="61" t="s">
        <v>1151</v>
      </c>
      <c r="C874" s="61" t="s">
        <v>4432</v>
      </c>
      <c r="D874" s="61" t="s">
        <v>7838</v>
      </c>
      <c r="E874" s="61">
        <v>2163</v>
      </c>
      <c r="F874" s="61">
        <v>2544</v>
      </c>
      <c r="G874" s="61"/>
      <c r="H874" s="61"/>
      <c r="I874" s="61"/>
      <c r="J874" s="61"/>
      <c r="K874" s="61" t="s">
        <v>1982</v>
      </c>
      <c r="L874" s="61"/>
      <c r="M874" s="61"/>
      <c r="N874" s="61"/>
      <c r="O874" s="61"/>
      <c r="P874" s="61"/>
      <c r="Q874" s="61"/>
      <c r="R874" s="61" t="str">
        <f t="shared" si="62"/>
        <v/>
      </c>
      <c r="S874" s="61" t="str">
        <f t="shared" si="63"/>
        <v/>
      </c>
      <c r="T874" s="61" t="str">
        <f t="shared" ref="T874:T905" si="64">IF(
  OR(A874 = "Nueva_Ecija", A874 = "Zambales"),
  IF(
    OR(ISBLANK(O874), ISBLANK(P874)),
    "",
    MAX(1, IF(
      NETWORKDAYS(O874, P874) &lt;= 0,
      1,
      NETWORKDAYS(O874, P874) - IF(O874 = P874, 0, 1)
    ))
  ),
  IF(
    OR(ISBLANK(N874), ISBLANK(P874)),
    "",
    MAX(1, IF(
      NETWORKDAYS(N874, P874) &lt;= 0,
      1,
      NETWORKDAYS(N874, P874) - IF(N874 = P874, 0, 1)
    ))
  )
)</f>
        <v/>
      </c>
      <c r="U874" s="61" t="str">
        <f t="shared" si="60"/>
        <v/>
      </c>
      <c r="V874" s="61"/>
      <c r="W874" s="61"/>
      <c r="X874" s="61"/>
      <c r="Y874" s="61"/>
      <c r="Z874" s="61"/>
      <c r="AA874" s="61"/>
      <c r="AB874" s="61"/>
    </row>
    <row r="875" spans="1:28" s="2" customFormat="1" ht="15">
      <c r="A875" s="61" t="s">
        <v>776</v>
      </c>
      <c r="B875" s="61" t="s">
        <v>1151</v>
      </c>
      <c r="C875" s="61" t="s">
        <v>4433</v>
      </c>
      <c r="D875" s="61" t="s">
        <v>7838</v>
      </c>
      <c r="E875" s="61">
        <v>1935</v>
      </c>
      <c r="F875" s="61">
        <v>2619</v>
      </c>
      <c r="G875" s="61"/>
      <c r="H875" s="61"/>
      <c r="I875" s="61"/>
      <c r="J875" s="61"/>
      <c r="K875" s="61" t="s">
        <v>1982</v>
      </c>
      <c r="L875" s="61"/>
      <c r="M875" s="61"/>
      <c r="N875" s="61"/>
      <c r="O875" s="61"/>
      <c r="P875" s="61"/>
      <c r="Q875" s="61"/>
      <c r="R875" s="61" t="str">
        <f t="shared" si="62"/>
        <v/>
      </c>
      <c r="S875" s="61" t="str">
        <f t="shared" si="63"/>
        <v/>
      </c>
      <c r="T875" s="61" t="str">
        <f t="shared" si="64"/>
        <v/>
      </c>
      <c r="U875" s="61" t="str">
        <f t="shared" si="60"/>
        <v/>
      </c>
      <c r="V875" s="61"/>
      <c r="W875" s="61"/>
      <c r="X875" s="61"/>
      <c r="Y875" s="61"/>
      <c r="Z875" s="61"/>
      <c r="AA875" s="61"/>
      <c r="AB875" s="61"/>
    </row>
    <row r="876" spans="1:28" s="2" customFormat="1" ht="15">
      <c r="A876" s="61" t="s">
        <v>776</v>
      </c>
      <c r="B876" s="61" t="s">
        <v>1151</v>
      </c>
      <c r="C876" s="61" t="s">
        <v>1245</v>
      </c>
      <c r="D876" s="61" t="s">
        <v>7838</v>
      </c>
      <c r="E876" s="61">
        <v>2092</v>
      </c>
      <c r="F876" s="61">
        <v>2415</v>
      </c>
      <c r="G876" s="61"/>
      <c r="H876" s="61"/>
      <c r="I876" s="61"/>
      <c r="J876" s="61"/>
      <c r="K876" s="61" t="s">
        <v>1982</v>
      </c>
      <c r="L876" s="61"/>
      <c r="M876" s="61"/>
      <c r="N876" s="61"/>
      <c r="O876" s="61"/>
      <c r="P876" s="61"/>
      <c r="Q876" s="61"/>
      <c r="R876" s="61" t="str">
        <f t="shared" si="62"/>
        <v/>
      </c>
      <c r="S876" s="61" t="str">
        <f t="shared" si="63"/>
        <v/>
      </c>
      <c r="T876" s="61" t="str">
        <f t="shared" si="64"/>
        <v/>
      </c>
      <c r="U876" s="61" t="str">
        <f t="shared" si="60"/>
        <v/>
      </c>
      <c r="V876" s="61"/>
      <c r="W876" s="61"/>
      <c r="X876" s="61"/>
      <c r="Y876" s="61"/>
      <c r="Z876" s="61"/>
      <c r="AA876" s="61"/>
      <c r="AB876" s="61"/>
    </row>
    <row r="877" spans="1:28" s="2" customFormat="1" ht="15">
      <c r="A877" s="61" t="s">
        <v>776</v>
      </c>
      <c r="B877" s="61" t="s">
        <v>1151</v>
      </c>
      <c r="C877" s="61" t="s">
        <v>4434</v>
      </c>
      <c r="D877" s="61" t="s">
        <v>7838</v>
      </c>
      <c r="E877" s="61">
        <v>1878</v>
      </c>
      <c r="F877" s="61">
        <v>2147</v>
      </c>
      <c r="G877" s="61"/>
      <c r="H877" s="61"/>
      <c r="I877" s="61"/>
      <c r="J877" s="61"/>
      <c r="K877" s="61" t="s">
        <v>1982</v>
      </c>
      <c r="L877" s="61"/>
      <c r="M877" s="61"/>
      <c r="N877" s="61"/>
      <c r="O877" s="61"/>
      <c r="P877" s="61"/>
      <c r="Q877" s="61"/>
      <c r="R877" s="61" t="str">
        <f t="shared" si="62"/>
        <v/>
      </c>
      <c r="S877" s="61" t="str">
        <f t="shared" si="63"/>
        <v/>
      </c>
      <c r="T877" s="61" t="str">
        <f t="shared" si="64"/>
        <v/>
      </c>
      <c r="U877" s="61" t="str">
        <f t="shared" si="60"/>
        <v/>
      </c>
      <c r="V877" s="61"/>
      <c r="W877" s="61"/>
      <c r="X877" s="61"/>
      <c r="Y877" s="61"/>
      <c r="Z877" s="61"/>
      <c r="AA877" s="61"/>
      <c r="AB877" s="61"/>
    </row>
    <row r="878" spans="1:28" s="2" customFormat="1" ht="15">
      <c r="A878" s="61" t="s">
        <v>776</v>
      </c>
      <c r="B878" s="61" t="s">
        <v>1151</v>
      </c>
      <c r="C878" s="61" t="s">
        <v>4435</v>
      </c>
      <c r="D878" s="61" t="s">
        <v>7838</v>
      </c>
      <c r="E878" s="61">
        <v>2883</v>
      </c>
      <c r="F878" s="61">
        <v>3370</v>
      </c>
      <c r="G878" s="61"/>
      <c r="H878" s="61"/>
      <c r="I878" s="61"/>
      <c r="J878" s="61"/>
      <c r="K878" s="61" t="s">
        <v>1982</v>
      </c>
      <c r="L878" s="61"/>
      <c r="M878" s="61"/>
      <c r="N878" s="61"/>
      <c r="O878" s="61"/>
      <c r="P878" s="61"/>
      <c r="Q878" s="61"/>
      <c r="R878" s="61" t="str">
        <f t="shared" si="62"/>
        <v/>
      </c>
      <c r="S878" s="61" t="str">
        <f t="shared" si="63"/>
        <v/>
      </c>
      <c r="T878" s="61" t="str">
        <f t="shared" si="64"/>
        <v/>
      </c>
      <c r="U878" s="61" t="str">
        <f t="shared" si="60"/>
        <v/>
      </c>
      <c r="V878" s="61"/>
      <c r="W878" s="61"/>
      <c r="X878" s="61"/>
      <c r="Y878" s="61"/>
      <c r="Z878" s="61"/>
      <c r="AA878" s="61"/>
      <c r="AB878" s="61"/>
    </row>
    <row r="879" spans="1:28" s="2" customFormat="1" ht="15">
      <c r="A879" s="61" t="s">
        <v>776</v>
      </c>
      <c r="B879" s="61" t="s">
        <v>1151</v>
      </c>
      <c r="C879" s="61" t="s">
        <v>4436</v>
      </c>
      <c r="D879" s="61" t="s">
        <v>7838</v>
      </c>
      <c r="E879" s="61">
        <v>1165</v>
      </c>
      <c r="F879" s="61">
        <v>1222</v>
      </c>
      <c r="G879" s="61"/>
      <c r="H879" s="61"/>
      <c r="I879" s="61"/>
      <c r="J879" s="61"/>
      <c r="K879" s="61" t="s">
        <v>1982</v>
      </c>
      <c r="L879" s="61"/>
      <c r="M879" s="61"/>
      <c r="N879" s="61"/>
      <c r="O879" s="61"/>
      <c r="P879" s="61"/>
      <c r="Q879" s="61"/>
      <c r="R879" s="61" t="str">
        <f t="shared" si="62"/>
        <v/>
      </c>
      <c r="S879" s="61" t="str">
        <f t="shared" si="63"/>
        <v/>
      </c>
      <c r="T879" s="61" t="str">
        <f t="shared" si="64"/>
        <v/>
      </c>
      <c r="U879" s="61" t="str">
        <f t="shared" si="60"/>
        <v/>
      </c>
      <c r="V879" s="61"/>
      <c r="W879" s="61"/>
      <c r="X879" s="61"/>
      <c r="Y879" s="61"/>
      <c r="Z879" s="61"/>
      <c r="AA879" s="61"/>
      <c r="AB879" s="61"/>
    </row>
    <row r="880" spans="1:28" s="2" customFormat="1" ht="15">
      <c r="A880" s="61" t="s">
        <v>776</v>
      </c>
      <c r="B880" s="61" t="s">
        <v>1151</v>
      </c>
      <c r="C880" s="61" t="s">
        <v>4437</v>
      </c>
      <c r="D880" s="61" t="s">
        <v>7838</v>
      </c>
      <c r="E880" s="61">
        <v>2849</v>
      </c>
      <c r="F880" s="61">
        <v>3240</v>
      </c>
      <c r="G880" s="61"/>
      <c r="H880" s="61"/>
      <c r="I880" s="61"/>
      <c r="J880" s="61"/>
      <c r="K880" s="61" t="s">
        <v>1982</v>
      </c>
      <c r="L880" s="61"/>
      <c r="M880" s="61"/>
      <c r="N880" s="61"/>
      <c r="O880" s="61"/>
      <c r="P880" s="61"/>
      <c r="Q880" s="61"/>
      <c r="R880" s="61" t="str">
        <f t="shared" si="62"/>
        <v/>
      </c>
      <c r="S880" s="61" t="str">
        <f t="shared" si="63"/>
        <v/>
      </c>
      <c r="T880" s="61" t="str">
        <f t="shared" si="64"/>
        <v/>
      </c>
      <c r="U880" s="61" t="str">
        <f t="shared" si="60"/>
        <v/>
      </c>
      <c r="V880" s="61"/>
      <c r="W880" s="61"/>
      <c r="X880" s="61"/>
      <c r="Y880" s="61"/>
      <c r="Z880" s="61"/>
      <c r="AA880" s="61"/>
      <c r="AB880" s="61"/>
    </row>
    <row r="881" spans="1:28" s="2" customFormat="1" ht="15">
      <c r="A881" s="61" t="s">
        <v>776</v>
      </c>
      <c r="B881" s="61" t="s">
        <v>1151</v>
      </c>
      <c r="C881" s="61" t="s">
        <v>4292</v>
      </c>
      <c r="D881" s="61" t="s">
        <v>7838</v>
      </c>
      <c r="E881" s="61">
        <v>3205</v>
      </c>
      <c r="F881" s="61">
        <v>3503</v>
      </c>
      <c r="G881" s="61"/>
      <c r="H881" s="61"/>
      <c r="I881" s="61"/>
      <c r="J881" s="61"/>
      <c r="K881" s="61" t="s">
        <v>1982</v>
      </c>
      <c r="L881" s="61"/>
      <c r="M881" s="61"/>
      <c r="N881" s="61"/>
      <c r="O881" s="61"/>
      <c r="P881" s="61"/>
      <c r="Q881" s="61"/>
      <c r="R881" s="61" t="str">
        <f t="shared" si="62"/>
        <v/>
      </c>
      <c r="S881" s="61" t="str">
        <f t="shared" si="63"/>
        <v/>
      </c>
      <c r="T881" s="61" t="str">
        <f t="shared" si="64"/>
        <v/>
      </c>
      <c r="U881" s="61" t="str">
        <f t="shared" si="60"/>
        <v/>
      </c>
      <c r="V881" s="61"/>
      <c r="W881" s="61"/>
      <c r="X881" s="61"/>
      <c r="Y881" s="61"/>
      <c r="Z881" s="61"/>
      <c r="AA881" s="61"/>
      <c r="AB881" s="61"/>
    </row>
    <row r="882" spans="1:28" s="2" customFormat="1" ht="15">
      <c r="A882" s="61" t="s">
        <v>776</v>
      </c>
      <c r="B882" s="61" t="s">
        <v>1151</v>
      </c>
      <c r="C882" s="61" t="s">
        <v>4438</v>
      </c>
      <c r="D882" s="61" t="s">
        <v>7838</v>
      </c>
      <c r="E882" s="61">
        <v>3860</v>
      </c>
      <c r="F882" s="61">
        <v>4573</v>
      </c>
      <c r="G882" s="61"/>
      <c r="H882" s="61"/>
      <c r="I882" s="61"/>
      <c r="J882" s="61"/>
      <c r="K882" s="61" t="s">
        <v>1982</v>
      </c>
      <c r="L882" s="61"/>
      <c r="M882" s="61"/>
      <c r="N882" s="61"/>
      <c r="O882" s="61"/>
      <c r="P882" s="61"/>
      <c r="Q882" s="61"/>
      <c r="R882" s="61" t="str">
        <f t="shared" si="62"/>
        <v/>
      </c>
      <c r="S882" s="61" t="str">
        <f t="shared" si="63"/>
        <v/>
      </c>
      <c r="T882" s="61" t="str">
        <f t="shared" si="64"/>
        <v/>
      </c>
      <c r="U882" s="61" t="str">
        <f t="shared" si="60"/>
        <v/>
      </c>
      <c r="V882" s="61"/>
      <c r="W882" s="61"/>
      <c r="X882" s="61"/>
      <c r="Y882" s="61"/>
      <c r="Z882" s="61"/>
      <c r="AA882" s="61"/>
      <c r="AB882" s="61"/>
    </row>
    <row r="883" spans="1:28" s="2" customFormat="1" ht="15">
      <c r="A883" s="61" t="s">
        <v>776</v>
      </c>
      <c r="B883" s="61" t="s">
        <v>1151</v>
      </c>
      <c r="C883" s="61" t="s">
        <v>1056</v>
      </c>
      <c r="D883" s="61" t="s">
        <v>7838</v>
      </c>
      <c r="E883" s="61">
        <v>3127</v>
      </c>
      <c r="F883" s="61">
        <v>3127</v>
      </c>
      <c r="G883" s="61"/>
      <c r="H883" s="61"/>
      <c r="I883" s="61"/>
      <c r="J883" s="61"/>
      <c r="K883" s="61" t="s">
        <v>1982</v>
      </c>
      <c r="L883" s="61"/>
      <c r="M883" s="61"/>
      <c r="N883" s="61"/>
      <c r="O883" s="61"/>
      <c r="P883" s="61"/>
      <c r="Q883" s="61"/>
      <c r="R883" s="61" t="str">
        <f t="shared" si="62"/>
        <v/>
      </c>
      <c r="S883" s="61" t="str">
        <f t="shared" si="63"/>
        <v/>
      </c>
      <c r="T883" s="61" t="str">
        <f t="shared" si="64"/>
        <v/>
      </c>
      <c r="U883" s="61" t="str">
        <f t="shared" si="60"/>
        <v/>
      </c>
      <c r="V883" s="61"/>
      <c r="W883" s="61"/>
      <c r="X883" s="61"/>
      <c r="Y883" s="61"/>
      <c r="Z883" s="61"/>
      <c r="AA883" s="61"/>
      <c r="AB883" s="61"/>
    </row>
    <row r="884" spans="1:28" s="2" customFormat="1" ht="15">
      <c r="A884" s="61" t="s">
        <v>776</v>
      </c>
      <c r="B884" s="61" t="s">
        <v>1151</v>
      </c>
      <c r="C884" s="61" t="s">
        <v>4439</v>
      </c>
      <c r="D884" s="61" t="s">
        <v>7838</v>
      </c>
      <c r="E884" s="61">
        <v>2030</v>
      </c>
      <c r="F884" s="61">
        <v>2420</v>
      </c>
      <c r="G884" s="61"/>
      <c r="H884" s="61"/>
      <c r="I884" s="61"/>
      <c r="J884" s="61"/>
      <c r="K884" s="61" t="s">
        <v>1982</v>
      </c>
      <c r="L884" s="61"/>
      <c r="M884" s="61"/>
      <c r="N884" s="61"/>
      <c r="O884" s="61"/>
      <c r="P884" s="61"/>
      <c r="Q884" s="61"/>
      <c r="R884" s="61" t="str">
        <f t="shared" si="62"/>
        <v/>
      </c>
      <c r="S884" s="61" t="str">
        <f t="shared" si="63"/>
        <v/>
      </c>
      <c r="T884" s="61" t="str">
        <f t="shared" si="64"/>
        <v/>
      </c>
      <c r="U884" s="61" t="str">
        <f t="shared" si="60"/>
        <v/>
      </c>
      <c r="V884" s="61"/>
      <c r="W884" s="61"/>
      <c r="X884" s="61"/>
      <c r="Y884" s="61"/>
      <c r="Z884" s="61"/>
      <c r="AA884" s="61"/>
      <c r="AB884" s="61"/>
    </row>
    <row r="885" spans="1:28" s="2" customFormat="1" ht="15">
      <c r="A885" s="61" t="s">
        <v>776</v>
      </c>
      <c r="B885" s="61" t="s">
        <v>1151</v>
      </c>
      <c r="C885" s="61" t="s">
        <v>4440</v>
      </c>
      <c r="D885" s="61" t="s">
        <v>7838</v>
      </c>
      <c r="E885" s="61">
        <v>1389</v>
      </c>
      <c r="F885" s="61">
        <v>1439</v>
      </c>
      <c r="G885" s="61"/>
      <c r="H885" s="61"/>
      <c r="I885" s="61"/>
      <c r="J885" s="61"/>
      <c r="K885" s="61" t="s">
        <v>1982</v>
      </c>
      <c r="L885" s="61"/>
      <c r="M885" s="61"/>
      <c r="N885" s="61"/>
      <c r="O885" s="61"/>
      <c r="P885" s="61"/>
      <c r="Q885" s="61"/>
      <c r="R885" s="61" t="str">
        <f t="shared" si="62"/>
        <v/>
      </c>
      <c r="S885" s="61" t="str">
        <f t="shared" si="63"/>
        <v/>
      </c>
      <c r="T885" s="61" t="str">
        <f t="shared" si="64"/>
        <v/>
      </c>
      <c r="U885" s="61" t="str">
        <f t="shared" si="60"/>
        <v/>
      </c>
      <c r="V885" s="61"/>
      <c r="W885" s="61"/>
      <c r="X885" s="61"/>
      <c r="Y885" s="61"/>
      <c r="Z885" s="61"/>
      <c r="AA885" s="61"/>
      <c r="AB885" s="61"/>
    </row>
    <row r="886" spans="1:28" s="2" customFormat="1" ht="15">
      <c r="A886" s="61" t="s">
        <v>776</v>
      </c>
      <c r="B886" s="61" t="s">
        <v>1151</v>
      </c>
      <c r="C886" s="61" t="s">
        <v>4441</v>
      </c>
      <c r="D886" s="61" t="s">
        <v>7838</v>
      </c>
      <c r="E886" s="61">
        <v>2216</v>
      </c>
      <c r="F886" s="61">
        <v>2279</v>
      </c>
      <c r="G886" s="61"/>
      <c r="H886" s="61"/>
      <c r="I886" s="61"/>
      <c r="J886" s="61"/>
      <c r="K886" s="61" t="s">
        <v>1982</v>
      </c>
      <c r="L886" s="61"/>
      <c r="M886" s="61"/>
      <c r="N886" s="61"/>
      <c r="O886" s="61"/>
      <c r="P886" s="61"/>
      <c r="Q886" s="61"/>
      <c r="R886" s="61" t="str">
        <f t="shared" si="62"/>
        <v/>
      </c>
      <c r="S886" s="61" t="str">
        <f t="shared" si="63"/>
        <v/>
      </c>
      <c r="T886" s="61" t="str">
        <f t="shared" si="64"/>
        <v/>
      </c>
      <c r="U886" s="61" t="str">
        <f t="shared" si="60"/>
        <v/>
      </c>
      <c r="V886" s="61"/>
      <c r="W886" s="61"/>
      <c r="X886" s="61"/>
      <c r="Y886" s="61"/>
      <c r="Z886" s="61"/>
      <c r="AA886" s="61"/>
      <c r="AB886" s="61"/>
    </row>
    <row r="887" spans="1:28" s="2" customFormat="1" ht="15">
      <c r="A887" s="61" t="s">
        <v>776</v>
      </c>
      <c r="B887" s="61" t="s">
        <v>1151</v>
      </c>
      <c r="C887" s="61" t="s">
        <v>4442</v>
      </c>
      <c r="D887" s="61" t="s">
        <v>7838</v>
      </c>
      <c r="E887" s="61">
        <v>3127</v>
      </c>
      <c r="F887" s="61">
        <v>3378</v>
      </c>
      <c r="G887" s="61"/>
      <c r="H887" s="61"/>
      <c r="I887" s="61"/>
      <c r="J887" s="61"/>
      <c r="K887" s="61" t="s">
        <v>1982</v>
      </c>
      <c r="L887" s="61"/>
      <c r="M887" s="61"/>
      <c r="N887" s="61"/>
      <c r="O887" s="61"/>
      <c r="P887" s="61"/>
      <c r="Q887" s="61"/>
      <c r="R887" s="61" t="str">
        <f t="shared" si="62"/>
        <v/>
      </c>
      <c r="S887" s="61" t="str">
        <f t="shared" si="63"/>
        <v/>
      </c>
      <c r="T887" s="61" t="str">
        <f t="shared" si="64"/>
        <v/>
      </c>
      <c r="U887" s="61" t="str">
        <f t="shared" si="60"/>
        <v/>
      </c>
      <c r="V887" s="61"/>
      <c r="W887" s="61"/>
      <c r="X887" s="61"/>
      <c r="Y887" s="61"/>
      <c r="Z887" s="61"/>
      <c r="AA887" s="61"/>
      <c r="AB887" s="61"/>
    </row>
    <row r="888" spans="1:28" s="2" customFormat="1" ht="15">
      <c r="A888" s="61" t="s">
        <v>776</v>
      </c>
      <c r="B888" s="61" t="s">
        <v>1151</v>
      </c>
      <c r="C888" s="61" t="s">
        <v>4443</v>
      </c>
      <c r="D888" s="61" t="s">
        <v>7838</v>
      </c>
      <c r="E888" s="61">
        <v>5056</v>
      </c>
      <c r="F888" s="61">
        <v>5363</v>
      </c>
      <c r="G888" s="61"/>
      <c r="H888" s="61"/>
      <c r="I888" s="61"/>
      <c r="J888" s="61"/>
      <c r="K888" s="61" t="s">
        <v>1982</v>
      </c>
      <c r="L888" s="61"/>
      <c r="M888" s="61"/>
      <c r="N888" s="61"/>
      <c r="O888" s="61"/>
      <c r="P888" s="61"/>
      <c r="Q888" s="61"/>
      <c r="R888" s="61" t="str">
        <f t="shared" si="62"/>
        <v/>
      </c>
      <c r="S888" s="61" t="str">
        <f t="shared" si="63"/>
        <v/>
      </c>
      <c r="T888" s="61" t="str">
        <f t="shared" si="64"/>
        <v/>
      </c>
      <c r="U888" s="61" t="str">
        <f t="shared" si="60"/>
        <v/>
      </c>
      <c r="V888" s="61"/>
      <c r="W888" s="61"/>
      <c r="X888" s="61"/>
      <c r="Y888" s="61"/>
      <c r="Z888" s="61"/>
      <c r="AA888" s="61"/>
      <c r="AB888" s="61"/>
    </row>
    <row r="889" spans="1:28" s="2" customFormat="1" ht="15">
      <c r="A889" s="61" t="s">
        <v>776</v>
      </c>
      <c r="B889" s="61" t="s">
        <v>1151</v>
      </c>
      <c r="C889" s="61" t="s">
        <v>4126</v>
      </c>
      <c r="D889" s="61" t="s">
        <v>7838</v>
      </c>
      <c r="E889" s="61">
        <v>3755</v>
      </c>
      <c r="F889" s="61">
        <v>4323</v>
      </c>
      <c r="G889" s="61"/>
      <c r="H889" s="61"/>
      <c r="I889" s="61"/>
      <c r="J889" s="61"/>
      <c r="K889" s="61" t="s">
        <v>1982</v>
      </c>
      <c r="L889" s="61"/>
      <c r="M889" s="61"/>
      <c r="N889" s="61"/>
      <c r="O889" s="61"/>
      <c r="P889" s="61"/>
      <c r="Q889" s="61"/>
      <c r="R889" s="61" t="str">
        <f t="shared" si="62"/>
        <v/>
      </c>
      <c r="S889" s="61" t="str">
        <f t="shared" si="63"/>
        <v/>
      </c>
      <c r="T889" s="61" t="str">
        <f t="shared" si="64"/>
        <v/>
      </c>
      <c r="U889" s="61" t="str">
        <f t="shared" si="60"/>
        <v/>
      </c>
      <c r="V889" s="61"/>
      <c r="W889" s="61"/>
      <c r="X889" s="61"/>
      <c r="Y889" s="61"/>
      <c r="Z889" s="61"/>
      <c r="AA889" s="61"/>
      <c r="AB889" s="61"/>
    </row>
    <row r="890" spans="1:28" s="2" customFormat="1" ht="15">
      <c r="A890" s="61" t="s">
        <v>776</v>
      </c>
      <c r="B890" s="61" t="s">
        <v>1151</v>
      </c>
      <c r="C890" s="61" t="s">
        <v>858</v>
      </c>
      <c r="D890" s="61" t="s">
        <v>7838</v>
      </c>
      <c r="E890" s="61">
        <v>4951</v>
      </c>
      <c r="F890" s="61">
        <v>4613</v>
      </c>
      <c r="G890" s="61"/>
      <c r="H890" s="61"/>
      <c r="I890" s="61"/>
      <c r="J890" s="61"/>
      <c r="K890" s="61" t="s">
        <v>1982</v>
      </c>
      <c r="L890" s="61"/>
      <c r="M890" s="61"/>
      <c r="N890" s="61"/>
      <c r="O890" s="61"/>
      <c r="P890" s="61"/>
      <c r="Q890" s="61"/>
      <c r="R890" s="61" t="str">
        <f t="shared" si="62"/>
        <v/>
      </c>
      <c r="S890" s="61" t="str">
        <f t="shared" si="63"/>
        <v/>
      </c>
      <c r="T890" s="61" t="str">
        <f t="shared" si="64"/>
        <v/>
      </c>
      <c r="U890" s="61" t="str">
        <f t="shared" si="60"/>
        <v/>
      </c>
      <c r="V890" s="61"/>
      <c r="W890" s="61"/>
      <c r="X890" s="61"/>
      <c r="Y890" s="61"/>
      <c r="Z890" s="61"/>
      <c r="AA890" s="61"/>
      <c r="AB890" s="61"/>
    </row>
    <row r="891" spans="1:28" s="2" customFormat="1" ht="15">
      <c r="A891" s="61" t="s">
        <v>776</v>
      </c>
      <c r="B891" s="61" t="s">
        <v>1151</v>
      </c>
      <c r="C891" s="61" t="s">
        <v>918</v>
      </c>
      <c r="D891" s="61" t="s">
        <v>7838</v>
      </c>
      <c r="E891" s="61">
        <v>8602</v>
      </c>
      <c r="F891" s="61">
        <v>8950</v>
      </c>
      <c r="G891" s="61"/>
      <c r="H891" s="61"/>
      <c r="I891" s="61"/>
      <c r="J891" s="61"/>
      <c r="K891" s="61" t="s">
        <v>1982</v>
      </c>
      <c r="L891" s="61"/>
      <c r="M891" s="61"/>
      <c r="N891" s="61"/>
      <c r="O891" s="61"/>
      <c r="P891" s="61"/>
      <c r="Q891" s="61"/>
      <c r="R891" s="61" t="str">
        <f t="shared" si="62"/>
        <v/>
      </c>
      <c r="S891" s="61" t="str">
        <f t="shared" si="63"/>
        <v/>
      </c>
      <c r="T891" s="61" t="str">
        <f t="shared" si="64"/>
        <v/>
      </c>
      <c r="U891" s="61" t="str">
        <f t="shared" si="60"/>
        <v/>
      </c>
      <c r="V891" s="61"/>
      <c r="W891" s="61"/>
      <c r="X891" s="61"/>
      <c r="Y891" s="61"/>
      <c r="Z891" s="61"/>
      <c r="AA891" s="61"/>
      <c r="AB891" s="61"/>
    </row>
    <row r="892" spans="1:28" s="2" customFormat="1" ht="15">
      <c r="A892" s="61" t="s">
        <v>776</v>
      </c>
      <c r="B892" s="61" t="s">
        <v>1151</v>
      </c>
      <c r="C892" s="61" t="s">
        <v>1166</v>
      </c>
      <c r="D892" s="61" t="s">
        <v>7838</v>
      </c>
      <c r="E892" s="61">
        <v>2860</v>
      </c>
      <c r="F892" s="61">
        <v>2746</v>
      </c>
      <c r="G892" s="61"/>
      <c r="H892" s="61"/>
      <c r="I892" s="61"/>
      <c r="J892" s="61"/>
      <c r="K892" s="61" t="s">
        <v>1982</v>
      </c>
      <c r="L892" s="61"/>
      <c r="M892" s="61"/>
      <c r="N892" s="61"/>
      <c r="O892" s="61"/>
      <c r="P892" s="61"/>
      <c r="Q892" s="61"/>
      <c r="R892" s="61" t="str">
        <f t="shared" si="62"/>
        <v/>
      </c>
      <c r="S892" s="61" t="str">
        <f t="shared" si="63"/>
        <v/>
      </c>
      <c r="T892" s="61" t="str">
        <f t="shared" si="64"/>
        <v/>
      </c>
      <c r="U892" s="61" t="str">
        <f t="shared" si="60"/>
        <v/>
      </c>
      <c r="V892" s="61"/>
      <c r="W892" s="61"/>
      <c r="X892" s="61"/>
      <c r="Y892" s="61"/>
      <c r="Z892" s="61"/>
      <c r="AA892" s="61"/>
      <c r="AB892" s="61"/>
    </row>
    <row r="893" spans="1:28" s="2" customFormat="1" ht="15">
      <c r="A893" s="61" t="s">
        <v>776</v>
      </c>
      <c r="B893" s="61" t="s">
        <v>1151</v>
      </c>
      <c r="C893" s="61" t="s">
        <v>4027</v>
      </c>
      <c r="D893" s="61" t="s">
        <v>7838</v>
      </c>
      <c r="E893" s="61">
        <v>6000</v>
      </c>
      <c r="F893" s="61">
        <v>6509</v>
      </c>
      <c r="G893" s="61"/>
      <c r="H893" s="61"/>
      <c r="I893" s="61"/>
      <c r="J893" s="61"/>
      <c r="K893" s="61" t="s">
        <v>1982</v>
      </c>
      <c r="L893" s="61"/>
      <c r="M893" s="61"/>
      <c r="N893" s="61"/>
      <c r="O893" s="61"/>
      <c r="P893" s="61"/>
      <c r="Q893" s="61"/>
      <c r="R893" s="61" t="str">
        <f t="shared" si="62"/>
        <v/>
      </c>
      <c r="S893" s="61" t="str">
        <f t="shared" si="63"/>
        <v/>
      </c>
      <c r="T893" s="61" t="str">
        <f t="shared" si="64"/>
        <v/>
      </c>
      <c r="U893" s="61" t="str">
        <f t="shared" si="60"/>
        <v/>
      </c>
      <c r="V893" s="61"/>
      <c r="W893" s="61"/>
      <c r="X893" s="61"/>
      <c r="Y893" s="61"/>
      <c r="Z893" s="61"/>
      <c r="AA893" s="61"/>
      <c r="AB893" s="61"/>
    </row>
    <row r="894" spans="1:28" s="2" customFormat="1" ht="15">
      <c r="A894" s="61" t="s">
        <v>776</v>
      </c>
      <c r="B894" s="61" t="s">
        <v>1151</v>
      </c>
      <c r="C894" s="61" t="s">
        <v>3565</v>
      </c>
      <c r="D894" s="61" t="s">
        <v>7838</v>
      </c>
      <c r="E894" s="61">
        <v>3335</v>
      </c>
      <c r="F894" s="61">
        <v>4005</v>
      </c>
      <c r="G894" s="61"/>
      <c r="H894" s="61"/>
      <c r="I894" s="61"/>
      <c r="J894" s="61"/>
      <c r="K894" s="61" t="s">
        <v>1982</v>
      </c>
      <c r="L894" s="61"/>
      <c r="M894" s="61"/>
      <c r="N894" s="61"/>
      <c r="O894" s="61"/>
      <c r="P894" s="61"/>
      <c r="Q894" s="61"/>
      <c r="R894" s="61" t="str">
        <f t="shared" si="62"/>
        <v/>
      </c>
      <c r="S894" s="61" t="str">
        <f t="shared" si="63"/>
        <v/>
      </c>
      <c r="T894" s="61" t="str">
        <f t="shared" si="64"/>
        <v/>
      </c>
      <c r="U894" s="61" t="str">
        <f t="shared" si="60"/>
        <v/>
      </c>
      <c r="V894" s="61"/>
      <c r="W894" s="61"/>
      <c r="X894" s="61"/>
      <c r="Y894" s="61"/>
      <c r="Z894" s="61"/>
      <c r="AA894" s="61"/>
      <c r="AB894" s="61"/>
    </row>
    <row r="895" spans="1:28" s="2" customFormat="1" ht="15">
      <c r="A895" s="61" t="s">
        <v>776</v>
      </c>
      <c r="B895" s="61" t="s">
        <v>1151</v>
      </c>
      <c r="C895" s="61" t="s">
        <v>4444</v>
      </c>
      <c r="D895" s="61" t="s">
        <v>7838</v>
      </c>
      <c r="E895" s="61">
        <v>2945</v>
      </c>
      <c r="F895" s="61">
        <v>3829</v>
      </c>
      <c r="G895" s="61"/>
      <c r="H895" s="61"/>
      <c r="I895" s="61"/>
      <c r="J895" s="61"/>
      <c r="K895" s="61" t="s">
        <v>1982</v>
      </c>
      <c r="L895" s="61"/>
      <c r="M895" s="61"/>
      <c r="N895" s="61"/>
      <c r="O895" s="61"/>
      <c r="P895" s="61"/>
      <c r="Q895" s="61"/>
      <c r="R895" s="61" t="str">
        <f t="shared" si="62"/>
        <v/>
      </c>
      <c r="S895" s="61" t="str">
        <f t="shared" si="63"/>
        <v/>
      </c>
      <c r="T895" s="61" t="str">
        <f t="shared" si="64"/>
        <v/>
      </c>
      <c r="U895" s="61" t="str">
        <f t="shared" si="60"/>
        <v/>
      </c>
      <c r="V895" s="61"/>
      <c r="W895" s="61"/>
      <c r="X895" s="61"/>
      <c r="Y895" s="61"/>
      <c r="Z895" s="61"/>
      <c r="AA895" s="61"/>
      <c r="AB895" s="61"/>
    </row>
    <row r="896" spans="1:28" s="2" customFormat="1" ht="15">
      <c r="A896" s="61" t="s">
        <v>776</v>
      </c>
      <c r="B896" s="61" t="s">
        <v>1151</v>
      </c>
      <c r="C896" s="61" t="s">
        <v>4445</v>
      </c>
      <c r="D896" s="61" t="s">
        <v>7838</v>
      </c>
      <c r="E896" s="61">
        <v>2829</v>
      </c>
      <c r="F896" s="61">
        <v>2983</v>
      </c>
      <c r="G896" s="61"/>
      <c r="H896" s="61"/>
      <c r="I896" s="61"/>
      <c r="J896" s="61"/>
      <c r="K896" s="61" t="s">
        <v>1982</v>
      </c>
      <c r="L896" s="61"/>
      <c r="M896" s="61"/>
      <c r="N896" s="61"/>
      <c r="O896" s="61"/>
      <c r="P896" s="61"/>
      <c r="Q896" s="61"/>
      <c r="R896" s="61" t="str">
        <f t="shared" si="62"/>
        <v/>
      </c>
      <c r="S896" s="61" t="str">
        <f t="shared" si="63"/>
        <v/>
      </c>
      <c r="T896" s="61" t="str">
        <f t="shared" si="64"/>
        <v/>
      </c>
      <c r="U896" s="61" t="str">
        <f t="shared" si="60"/>
        <v/>
      </c>
      <c r="V896" s="61"/>
      <c r="W896" s="61"/>
      <c r="X896" s="61"/>
      <c r="Y896" s="61"/>
      <c r="Z896" s="61"/>
      <c r="AA896" s="61"/>
      <c r="AB896" s="61"/>
    </row>
    <row r="897" spans="1:28" s="2" customFormat="1" ht="15">
      <c r="A897" s="61" t="s">
        <v>776</v>
      </c>
      <c r="B897" s="61" t="s">
        <v>1151</v>
      </c>
      <c r="C897" s="61" t="s">
        <v>4446</v>
      </c>
      <c r="D897" s="61" t="s">
        <v>7838</v>
      </c>
      <c r="E897" s="61">
        <v>1632</v>
      </c>
      <c r="F897" s="61">
        <v>1997</v>
      </c>
      <c r="G897" s="61"/>
      <c r="H897" s="61"/>
      <c r="I897" s="61"/>
      <c r="J897" s="61"/>
      <c r="K897" s="61" t="s">
        <v>1982</v>
      </c>
      <c r="L897" s="61"/>
      <c r="M897" s="61"/>
      <c r="N897" s="61"/>
      <c r="O897" s="61"/>
      <c r="P897" s="61"/>
      <c r="Q897" s="61"/>
      <c r="R897" s="61" t="str">
        <f t="shared" si="62"/>
        <v/>
      </c>
      <c r="S897" s="61" t="str">
        <f t="shared" si="63"/>
        <v/>
      </c>
      <c r="T897" s="61" t="str">
        <f t="shared" si="64"/>
        <v/>
      </c>
      <c r="U897" s="61" t="str">
        <f t="shared" si="60"/>
        <v/>
      </c>
      <c r="V897" s="61"/>
      <c r="W897" s="61"/>
      <c r="X897" s="61"/>
      <c r="Y897" s="61"/>
      <c r="Z897" s="61"/>
      <c r="AA897" s="61"/>
      <c r="AB897" s="61"/>
    </row>
    <row r="898" spans="1:28" s="2" customFormat="1" ht="15">
      <c r="A898" s="61" t="s">
        <v>776</v>
      </c>
      <c r="B898" s="61" t="s">
        <v>1151</v>
      </c>
      <c r="C898" s="61" t="s">
        <v>3848</v>
      </c>
      <c r="D898" s="61" t="s">
        <v>7838</v>
      </c>
      <c r="E898" s="61">
        <v>10161</v>
      </c>
      <c r="F898" s="61">
        <v>11092</v>
      </c>
      <c r="G898" s="61"/>
      <c r="H898" s="61"/>
      <c r="I898" s="61"/>
      <c r="J898" s="61"/>
      <c r="K898" s="61" t="s">
        <v>1982</v>
      </c>
      <c r="L898" s="61"/>
      <c r="M898" s="61"/>
      <c r="N898" s="61"/>
      <c r="O898" s="61"/>
      <c r="P898" s="61"/>
      <c r="Q898" s="61"/>
      <c r="R898" s="61" t="str">
        <f t="shared" si="62"/>
        <v/>
      </c>
      <c r="S898" s="61" t="str">
        <f t="shared" si="63"/>
        <v/>
      </c>
      <c r="T898" s="61" t="str">
        <f t="shared" si="64"/>
        <v/>
      </c>
      <c r="U898" s="61" t="str">
        <f t="shared" ref="U898:U961" si="65">IF(
    OR(ISBLANK(P898), ISBLANK(Q898)),
    "",
    MAX(1, IF(
        NETWORKDAYS(P898, Q898) &lt;= 0,
        1,
        NETWORKDAYS(P898, Q898) - IF(P898 = Q898, 0, 1)
    ))
)</f>
        <v/>
      </c>
      <c r="V898" s="61"/>
      <c r="W898" s="61"/>
      <c r="X898" s="61"/>
      <c r="Y898" s="61"/>
      <c r="Z898" s="61"/>
      <c r="AA898" s="61"/>
      <c r="AB898" s="61"/>
    </row>
    <row r="899" spans="1:28" s="2" customFormat="1" ht="15">
      <c r="A899" s="61" t="s">
        <v>776</v>
      </c>
      <c r="B899" s="61" t="s">
        <v>1151</v>
      </c>
      <c r="C899" s="61" t="s">
        <v>4447</v>
      </c>
      <c r="D899" s="61" t="s">
        <v>7838</v>
      </c>
      <c r="E899" s="61">
        <v>6001</v>
      </c>
      <c r="F899" s="61">
        <v>6039</v>
      </c>
      <c r="G899" s="61"/>
      <c r="H899" s="61"/>
      <c r="I899" s="61"/>
      <c r="J899" s="61"/>
      <c r="K899" s="61" t="s">
        <v>1982</v>
      </c>
      <c r="L899" s="61"/>
      <c r="M899" s="61"/>
      <c r="N899" s="61"/>
      <c r="O899" s="61"/>
      <c r="P899" s="61"/>
      <c r="Q899" s="61"/>
      <c r="R899" s="61" t="str">
        <f t="shared" si="62"/>
        <v/>
      </c>
      <c r="S899" s="61" t="str">
        <f t="shared" si="63"/>
        <v/>
      </c>
      <c r="T899" s="61" t="str">
        <f t="shared" si="64"/>
        <v/>
      </c>
      <c r="U899" s="61" t="str">
        <f t="shared" si="65"/>
        <v/>
      </c>
      <c r="V899" s="61"/>
      <c r="W899" s="61"/>
      <c r="X899" s="61"/>
      <c r="Y899" s="61"/>
      <c r="Z899" s="61"/>
      <c r="AA899" s="61"/>
      <c r="AB899" s="61"/>
    </row>
    <row r="900" spans="1:28" s="2" customFormat="1" ht="15">
      <c r="A900" s="61" t="s">
        <v>776</v>
      </c>
      <c r="B900" s="61" t="s">
        <v>1151</v>
      </c>
      <c r="C900" s="61" t="s">
        <v>4044</v>
      </c>
      <c r="D900" s="61" t="s">
        <v>7838</v>
      </c>
      <c r="E900" s="61">
        <v>3678</v>
      </c>
      <c r="F900" s="61">
        <v>4662</v>
      </c>
      <c r="G900" s="61"/>
      <c r="H900" s="61"/>
      <c r="I900" s="61"/>
      <c r="J900" s="61"/>
      <c r="K900" s="61" t="s">
        <v>1982</v>
      </c>
      <c r="L900" s="61"/>
      <c r="M900" s="61"/>
      <c r="N900" s="61"/>
      <c r="O900" s="61"/>
      <c r="P900" s="61"/>
      <c r="Q900" s="61"/>
      <c r="R900" s="61" t="str">
        <f t="shared" si="62"/>
        <v/>
      </c>
      <c r="S900" s="61" t="str">
        <f t="shared" si="63"/>
        <v/>
      </c>
      <c r="T900" s="61" t="str">
        <f t="shared" si="64"/>
        <v/>
      </c>
      <c r="U900" s="61" t="str">
        <f t="shared" si="65"/>
        <v/>
      </c>
      <c r="V900" s="61"/>
      <c r="W900" s="61"/>
      <c r="X900" s="61"/>
      <c r="Y900" s="61"/>
      <c r="Z900" s="61"/>
      <c r="AA900" s="61"/>
      <c r="AB900" s="61"/>
    </row>
    <row r="901" spans="1:28" s="2" customFormat="1" ht="15">
      <c r="A901" s="61" t="s">
        <v>776</v>
      </c>
      <c r="B901" s="61" t="s">
        <v>1151</v>
      </c>
      <c r="C901" s="61" t="s">
        <v>4448</v>
      </c>
      <c r="D901" s="61" t="s">
        <v>7838</v>
      </c>
      <c r="E901" s="61">
        <v>3994</v>
      </c>
      <c r="F901" s="61">
        <v>4397</v>
      </c>
      <c r="G901" s="61"/>
      <c r="H901" s="61"/>
      <c r="I901" s="61"/>
      <c r="J901" s="61"/>
      <c r="K901" s="61" t="s">
        <v>1982</v>
      </c>
      <c r="L901" s="61"/>
      <c r="M901" s="61"/>
      <c r="N901" s="61"/>
      <c r="O901" s="61"/>
      <c r="P901" s="61"/>
      <c r="Q901" s="61"/>
      <c r="R901" s="61" t="str">
        <f t="shared" si="62"/>
        <v/>
      </c>
      <c r="S901" s="61" t="str">
        <f t="shared" si="63"/>
        <v/>
      </c>
      <c r="T901" s="61" t="str">
        <f t="shared" si="64"/>
        <v/>
      </c>
      <c r="U901" s="61" t="str">
        <f t="shared" si="65"/>
        <v/>
      </c>
      <c r="V901" s="61"/>
      <c r="W901" s="61"/>
      <c r="X901" s="61"/>
      <c r="Y901" s="61"/>
      <c r="Z901" s="61"/>
      <c r="AA901" s="61"/>
      <c r="AB901" s="61"/>
    </row>
    <row r="902" spans="1:28" s="2" customFormat="1" ht="15">
      <c r="A902" s="61" t="s">
        <v>776</v>
      </c>
      <c r="B902" s="61" t="s">
        <v>1155</v>
      </c>
      <c r="C902" s="61" t="s">
        <v>4449</v>
      </c>
      <c r="D902" s="61" t="s">
        <v>7838</v>
      </c>
      <c r="E902" s="61">
        <v>1174</v>
      </c>
      <c r="F902" s="61">
        <v>1354</v>
      </c>
      <c r="G902" s="61">
        <v>2025</v>
      </c>
      <c r="H902" s="61" t="s">
        <v>3128</v>
      </c>
      <c r="I902" s="61" t="s">
        <v>8053</v>
      </c>
      <c r="J902" s="61" t="s">
        <v>1838</v>
      </c>
      <c r="K902" s="61" t="s">
        <v>1982</v>
      </c>
      <c r="L902" s="61" t="s">
        <v>8337</v>
      </c>
      <c r="M902" s="475">
        <v>45944</v>
      </c>
      <c r="N902" s="475">
        <v>45946</v>
      </c>
      <c r="O902" s="475">
        <v>45947</v>
      </c>
      <c r="P902" s="475">
        <v>45950</v>
      </c>
      <c r="Q902" s="475">
        <v>45950</v>
      </c>
      <c r="R902" s="61">
        <f t="shared" si="62"/>
        <v>2</v>
      </c>
      <c r="S902" s="61">
        <f t="shared" si="63"/>
        <v>1</v>
      </c>
      <c r="T902" s="61">
        <f t="shared" si="64"/>
        <v>2</v>
      </c>
      <c r="U902" s="61">
        <f t="shared" si="65"/>
        <v>1</v>
      </c>
      <c r="V902" s="61" t="s">
        <v>150</v>
      </c>
      <c r="W902" s="61" t="s">
        <v>1078</v>
      </c>
      <c r="X902" s="61" t="s">
        <v>8338</v>
      </c>
      <c r="Y902" s="61" t="s">
        <v>69</v>
      </c>
      <c r="Z902" s="61" t="s">
        <v>69</v>
      </c>
      <c r="AA902" s="61"/>
      <c r="AB902" s="61" t="s">
        <v>8339</v>
      </c>
    </row>
    <row r="903" spans="1:28" s="2" customFormat="1" ht="15">
      <c r="A903" s="61" t="s">
        <v>776</v>
      </c>
      <c r="B903" s="61" t="s">
        <v>1155</v>
      </c>
      <c r="C903" s="61" t="s">
        <v>4451</v>
      </c>
      <c r="D903" s="61" t="s">
        <v>7838</v>
      </c>
      <c r="E903" s="61">
        <v>1515</v>
      </c>
      <c r="F903" s="61">
        <v>2263</v>
      </c>
      <c r="G903" s="61">
        <v>2025</v>
      </c>
      <c r="H903" s="61" t="s">
        <v>3128</v>
      </c>
      <c r="I903" s="61" t="s">
        <v>8053</v>
      </c>
      <c r="J903" s="61" t="s">
        <v>1838</v>
      </c>
      <c r="K903" s="61" t="s">
        <v>1982</v>
      </c>
      <c r="L903" s="61" t="s">
        <v>8337</v>
      </c>
      <c r="M903" s="475">
        <v>45944</v>
      </c>
      <c r="N903" s="475">
        <v>45946</v>
      </c>
      <c r="O903" s="475">
        <v>45947</v>
      </c>
      <c r="P903" s="475">
        <v>45950</v>
      </c>
      <c r="Q903" s="475">
        <v>45950</v>
      </c>
      <c r="R903" s="61">
        <f t="shared" si="62"/>
        <v>2</v>
      </c>
      <c r="S903" s="61">
        <f t="shared" si="63"/>
        <v>1</v>
      </c>
      <c r="T903" s="61">
        <f t="shared" si="64"/>
        <v>2</v>
      </c>
      <c r="U903" s="61">
        <f t="shared" si="65"/>
        <v>1</v>
      </c>
      <c r="V903" s="61" t="s">
        <v>150</v>
      </c>
      <c r="W903" s="61" t="s">
        <v>1078</v>
      </c>
      <c r="X903" s="61" t="s">
        <v>8340</v>
      </c>
      <c r="Y903" s="61" t="s">
        <v>69</v>
      </c>
      <c r="Z903" s="61" t="s">
        <v>69</v>
      </c>
      <c r="AA903" s="61"/>
      <c r="AB903" s="61" t="s">
        <v>8339</v>
      </c>
    </row>
    <row r="904" spans="1:28" s="2" customFormat="1" ht="15">
      <c r="A904" s="61" t="s">
        <v>776</v>
      </c>
      <c r="B904" s="61" t="s">
        <v>1155</v>
      </c>
      <c r="C904" s="61" t="s">
        <v>1083</v>
      </c>
      <c r="D904" s="61" t="s">
        <v>7838</v>
      </c>
      <c r="E904" s="61">
        <v>10262</v>
      </c>
      <c r="F904" s="61">
        <v>10836</v>
      </c>
      <c r="G904" s="61"/>
      <c r="H904" s="61"/>
      <c r="I904" s="61"/>
      <c r="J904" s="61"/>
      <c r="K904" s="61" t="s">
        <v>1982</v>
      </c>
      <c r="L904" s="61"/>
      <c r="M904" s="61"/>
      <c r="N904" s="61"/>
      <c r="O904" s="61"/>
      <c r="P904" s="61"/>
      <c r="Q904" s="61"/>
      <c r="R904" s="61" t="str">
        <f t="shared" si="62"/>
        <v/>
      </c>
      <c r="S904" s="61" t="str">
        <f t="shared" si="63"/>
        <v/>
      </c>
      <c r="T904" s="61" t="str">
        <f t="shared" si="64"/>
        <v/>
      </c>
      <c r="U904" s="61" t="str">
        <f t="shared" si="65"/>
        <v/>
      </c>
      <c r="V904" s="61"/>
      <c r="W904" s="61"/>
      <c r="X904" s="61"/>
      <c r="Y904" s="61"/>
      <c r="Z904" s="61"/>
      <c r="AA904" s="61"/>
      <c r="AB904" s="61"/>
    </row>
    <row r="905" spans="1:28" s="2" customFormat="1" ht="15">
      <c r="A905" s="61" t="s">
        <v>776</v>
      </c>
      <c r="B905" s="61" t="s">
        <v>1155</v>
      </c>
      <c r="C905" s="61" t="s">
        <v>4453</v>
      </c>
      <c r="D905" s="61" t="s">
        <v>7838</v>
      </c>
      <c r="E905" s="61">
        <v>6423</v>
      </c>
      <c r="F905" s="61">
        <v>6128</v>
      </c>
      <c r="G905" s="61">
        <v>2025</v>
      </c>
      <c r="H905" s="61" t="s">
        <v>3128</v>
      </c>
      <c r="I905" s="61" t="s">
        <v>8053</v>
      </c>
      <c r="J905" s="61" t="s">
        <v>1838</v>
      </c>
      <c r="K905" s="61" t="s">
        <v>1982</v>
      </c>
      <c r="L905" s="61" t="s">
        <v>8337</v>
      </c>
      <c r="M905" s="475">
        <v>45944</v>
      </c>
      <c r="N905" s="475">
        <v>45946</v>
      </c>
      <c r="O905" s="475">
        <v>45947</v>
      </c>
      <c r="P905" s="475">
        <v>45950</v>
      </c>
      <c r="Q905" s="475">
        <v>45950</v>
      </c>
      <c r="R905" s="61">
        <f t="shared" si="62"/>
        <v>2</v>
      </c>
      <c r="S905" s="61">
        <f t="shared" si="63"/>
        <v>1</v>
      </c>
      <c r="T905" s="61">
        <f t="shared" si="64"/>
        <v>2</v>
      </c>
      <c r="U905" s="61">
        <f t="shared" si="65"/>
        <v>1</v>
      </c>
      <c r="V905" s="61" t="s">
        <v>150</v>
      </c>
      <c r="W905" s="61" t="s">
        <v>1078</v>
      </c>
      <c r="X905" s="61" t="s">
        <v>8340</v>
      </c>
      <c r="Y905" s="61" t="s">
        <v>69</v>
      </c>
      <c r="Z905" s="61" t="s">
        <v>69</v>
      </c>
      <c r="AA905" s="61"/>
      <c r="AB905" s="61" t="s">
        <v>8339</v>
      </c>
    </row>
    <row r="906" spans="1:28" s="2" customFormat="1" ht="15">
      <c r="A906" s="61" t="s">
        <v>776</v>
      </c>
      <c r="B906" s="61" t="s">
        <v>1155</v>
      </c>
      <c r="C906" s="61" t="s">
        <v>4455</v>
      </c>
      <c r="D906" s="61" t="s">
        <v>7838</v>
      </c>
      <c r="E906" s="61">
        <v>1500</v>
      </c>
      <c r="F906" s="61">
        <v>1804</v>
      </c>
      <c r="G906" s="61">
        <v>2025</v>
      </c>
      <c r="H906" s="61" t="s">
        <v>3128</v>
      </c>
      <c r="I906" s="61" t="s">
        <v>8053</v>
      </c>
      <c r="J906" s="61" t="s">
        <v>1838</v>
      </c>
      <c r="K906" s="61" t="s">
        <v>1982</v>
      </c>
      <c r="L906" s="61" t="s">
        <v>8337</v>
      </c>
      <c r="M906" s="475">
        <v>45944</v>
      </c>
      <c r="N906" s="475">
        <v>45946</v>
      </c>
      <c r="O906" s="475">
        <v>45947</v>
      </c>
      <c r="P906" s="475">
        <v>45950</v>
      </c>
      <c r="Q906" s="475">
        <v>45950</v>
      </c>
      <c r="R906" s="61">
        <f t="shared" si="62"/>
        <v>2</v>
      </c>
      <c r="S906" s="61">
        <f t="shared" si="63"/>
        <v>1</v>
      </c>
      <c r="T906" s="61">
        <f t="shared" ref="T906:T937" si="66">IF(
  OR(A906 = "Nueva_Ecija", A906 = "Zambales"),
  IF(
    OR(ISBLANK(O906), ISBLANK(P906)),
    "",
    MAX(1, IF(
      NETWORKDAYS(O906, P906) &lt;= 0,
      1,
      NETWORKDAYS(O906, P906) - IF(O906 = P906, 0, 1)
    ))
  ),
  IF(
    OR(ISBLANK(N906), ISBLANK(P906)),
    "",
    MAX(1, IF(
      NETWORKDAYS(N906, P906) &lt;= 0,
      1,
      NETWORKDAYS(N906, P906) - IF(N906 = P906, 0, 1)
    ))
  )
)</f>
        <v>2</v>
      </c>
      <c r="U906" s="61">
        <f t="shared" si="65"/>
        <v>1</v>
      </c>
      <c r="V906" s="61" t="s">
        <v>150</v>
      </c>
      <c r="W906" s="61" t="s">
        <v>1078</v>
      </c>
      <c r="X906" s="61" t="s">
        <v>8340</v>
      </c>
      <c r="Y906" s="61" t="s">
        <v>69</v>
      </c>
      <c r="Z906" s="61" t="s">
        <v>69</v>
      </c>
      <c r="AA906" s="61"/>
      <c r="AB906" s="61" t="s">
        <v>8339</v>
      </c>
    </row>
    <row r="907" spans="1:28" s="2" customFormat="1" ht="15">
      <c r="A907" s="61" t="s">
        <v>776</v>
      </c>
      <c r="B907" s="61" t="s">
        <v>1155</v>
      </c>
      <c r="C907" s="61" t="s">
        <v>4457</v>
      </c>
      <c r="D907" s="61" t="s">
        <v>7838</v>
      </c>
      <c r="E907" s="61">
        <v>1372</v>
      </c>
      <c r="F907" s="61">
        <v>1135</v>
      </c>
      <c r="G907" s="61">
        <v>2025</v>
      </c>
      <c r="H907" s="61" t="s">
        <v>3128</v>
      </c>
      <c r="I907" s="61" t="s">
        <v>8053</v>
      </c>
      <c r="J907" s="61" t="s">
        <v>1838</v>
      </c>
      <c r="K907" s="61" t="s">
        <v>1982</v>
      </c>
      <c r="L907" s="61" t="s">
        <v>8337</v>
      </c>
      <c r="M907" s="475">
        <v>45944</v>
      </c>
      <c r="N907" s="475">
        <v>45946</v>
      </c>
      <c r="O907" s="475">
        <v>45947</v>
      </c>
      <c r="P907" s="475">
        <v>45950</v>
      </c>
      <c r="Q907" s="475">
        <v>45950</v>
      </c>
      <c r="R907" s="61">
        <f t="shared" si="62"/>
        <v>2</v>
      </c>
      <c r="S907" s="61">
        <f t="shared" si="63"/>
        <v>1</v>
      </c>
      <c r="T907" s="61">
        <f t="shared" si="66"/>
        <v>2</v>
      </c>
      <c r="U907" s="61">
        <f t="shared" si="65"/>
        <v>1</v>
      </c>
      <c r="V907" s="61" t="s">
        <v>150</v>
      </c>
      <c r="W907" s="61" t="s">
        <v>1078</v>
      </c>
      <c r="X907" s="61" t="s">
        <v>8340</v>
      </c>
      <c r="Y907" s="61" t="s">
        <v>69</v>
      </c>
      <c r="Z907" s="61" t="s">
        <v>69</v>
      </c>
      <c r="AA907" s="61"/>
      <c r="AB907" s="61" t="s">
        <v>8339</v>
      </c>
    </row>
    <row r="908" spans="1:28" s="2" customFormat="1" ht="15">
      <c r="A908" s="61" t="s">
        <v>776</v>
      </c>
      <c r="B908" s="61" t="s">
        <v>1155</v>
      </c>
      <c r="C908" s="61" t="s">
        <v>4459</v>
      </c>
      <c r="D908" s="61" t="s">
        <v>7838</v>
      </c>
      <c r="E908" s="61">
        <v>1347</v>
      </c>
      <c r="F908" s="61">
        <v>1485</v>
      </c>
      <c r="G908" s="61">
        <v>2025</v>
      </c>
      <c r="H908" s="61" t="s">
        <v>3128</v>
      </c>
      <c r="I908" s="61" t="s">
        <v>8053</v>
      </c>
      <c r="J908" s="61" t="s">
        <v>1838</v>
      </c>
      <c r="K908" s="61" t="s">
        <v>1982</v>
      </c>
      <c r="L908" s="61" t="s">
        <v>8337</v>
      </c>
      <c r="M908" s="475">
        <v>45944</v>
      </c>
      <c r="N908" s="475">
        <v>45946</v>
      </c>
      <c r="O908" s="475">
        <v>45947</v>
      </c>
      <c r="P908" s="475">
        <v>45950</v>
      </c>
      <c r="Q908" s="475">
        <v>45950</v>
      </c>
      <c r="R908" s="61">
        <f t="shared" si="62"/>
        <v>2</v>
      </c>
      <c r="S908" s="61">
        <f t="shared" si="63"/>
        <v>1</v>
      </c>
      <c r="T908" s="61">
        <f t="shared" si="66"/>
        <v>2</v>
      </c>
      <c r="U908" s="61">
        <f t="shared" si="65"/>
        <v>1</v>
      </c>
      <c r="V908" s="61" t="s">
        <v>150</v>
      </c>
      <c r="W908" s="61" t="s">
        <v>1078</v>
      </c>
      <c r="X908" s="61" t="s">
        <v>8340</v>
      </c>
      <c r="Y908" s="61" t="s">
        <v>69</v>
      </c>
      <c r="Z908" s="61" t="s">
        <v>69</v>
      </c>
      <c r="AA908" s="61"/>
      <c r="AB908" s="61" t="s">
        <v>8339</v>
      </c>
    </row>
    <row r="909" spans="1:28" s="2" customFormat="1" ht="15">
      <c r="A909" s="61" t="s">
        <v>776</v>
      </c>
      <c r="B909" s="61" t="s">
        <v>1155</v>
      </c>
      <c r="C909" s="61" t="s">
        <v>4461</v>
      </c>
      <c r="D909" s="61" t="s">
        <v>7838</v>
      </c>
      <c r="E909" s="61">
        <v>3340</v>
      </c>
      <c r="F909" s="61">
        <v>3634</v>
      </c>
      <c r="G909" s="61"/>
      <c r="H909" s="61"/>
      <c r="I909" s="61"/>
      <c r="J909" s="61"/>
      <c r="K909" s="61" t="s">
        <v>1982</v>
      </c>
      <c r="L909" s="61"/>
      <c r="M909" s="61"/>
      <c r="N909" s="61"/>
      <c r="O909" s="61"/>
      <c r="P909" s="61"/>
      <c r="Q909" s="61"/>
      <c r="R909" s="61" t="str">
        <f t="shared" si="62"/>
        <v/>
      </c>
      <c r="S909" s="61" t="str">
        <f t="shared" si="63"/>
        <v/>
      </c>
      <c r="T909" s="61" t="str">
        <f t="shared" si="66"/>
        <v/>
      </c>
      <c r="U909" s="61" t="str">
        <f t="shared" si="65"/>
        <v/>
      </c>
      <c r="V909" s="61"/>
      <c r="W909" s="61"/>
      <c r="X909" s="61"/>
      <c r="Y909" s="61"/>
      <c r="Z909" s="61"/>
      <c r="AA909" s="61"/>
      <c r="AB909" s="61"/>
    </row>
    <row r="910" spans="1:28" s="2" customFormat="1" ht="15">
      <c r="A910" s="61" t="s">
        <v>776</v>
      </c>
      <c r="B910" s="61" t="s">
        <v>1155</v>
      </c>
      <c r="C910" s="61" t="s">
        <v>4462</v>
      </c>
      <c r="D910" s="61" t="s">
        <v>7838</v>
      </c>
      <c r="E910" s="61">
        <v>850</v>
      </c>
      <c r="F910" s="61">
        <v>871</v>
      </c>
      <c r="G910" s="61">
        <v>2025</v>
      </c>
      <c r="H910" s="61" t="s">
        <v>3128</v>
      </c>
      <c r="I910" s="61" t="s">
        <v>8053</v>
      </c>
      <c r="J910" s="61" t="s">
        <v>1838</v>
      </c>
      <c r="K910" s="61" t="s">
        <v>1982</v>
      </c>
      <c r="L910" s="61" t="s">
        <v>8337</v>
      </c>
      <c r="M910" s="475">
        <v>45944</v>
      </c>
      <c r="N910" s="475">
        <v>45946</v>
      </c>
      <c r="O910" s="475">
        <v>45947</v>
      </c>
      <c r="P910" s="475">
        <v>45950</v>
      </c>
      <c r="Q910" s="475">
        <v>45950</v>
      </c>
      <c r="R910" s="61">
        <f t="shared" si="62"/>
        <v>2</v>
      </c>
      <c r="S910" s="61">
        <f t="shared" si="63"/>
        <v>1</v>
      </c>
      <c r="T910" s="61">
        <f t="shared" si="66"/>
        <v>2</v>
      </c>
      <c r="U910" s="61">
        <f t="shared" si="65"/>
        <v>1</v>
      </c>
      <c r="V910" s="61" t="s">
        <v>150</v>
      </c>
      <c r="W910" s="61" t="s">
        <v>1078</v>
      </c>
      <c r="X910" s="61" t="s">
        <v>8340</v>
      </c>
      <c r="Y910" s="61" t="s">
        <v>69</v>
      </c>
      <c r="Z910" s="61" t="s">
        <v>69</v>
      </c>
      <c r="AA910" s="61"/>
      <c r="AB910" s="61" t="s">
        <v>8339</v>
      </c>
    </row>
    <row r="911" spans="1:28" s="2" customFormat="1" ht="15">
      <c r="A911" s="61" t="s">
        <v>776</v>
      </c>
      <c r="B911" s="61" t="s">
        <v>1155</v>
      </c>
      <c r="C911" s="61" t="s">
        <v>4464</v>
      </c>
      <c r="D911" s="61" t="s">
        <v>7838</v>
      </c>
      <c r="E911" s="61">
        <v>2228</v>
      </c>
      <c r="F911" s="61">
        <v>1910</v>
      </c>
      <c r="G911" s="61">
        <v>2025</v>
      </c>
      <c r="H911" s="61" t="s">
        <v>3128</v>
      </c>
      <c r="I911" s="61" t="s">
        <v>8053</v>
      </c>
      <c r="J911" s="61" t="s">
        <v>1838</v>
      </c>
      <c r="K911" s="61" t="s">
        <v>1982</v>
      </c>
      <c r="L911" s="61" t="s">
        <v>8337</v>
      </c>
      <c r="M911" s="475">
        <v>45944</v>
      </c>
      <c r="N911" s="475">
        <v>45946</v>
      </c>
      <c r="O911" s="475">
        <v>45947</v>
      </c>
      <c r="P911" s="475">
        <v>45950</v>
      </c>
      <c r="Q911" s="475">
        <v>45950</v>
      </c>
      <c r="R911" s="61">
        <f t="shared" si="62"/>
        <v>2</v>
      </c>
      <c r="S911" s="61">
        <f t="shared" si="63"/>
        <v>1</v>
      </c>
      <c r="T911" s="61">
        <f t="shared" si="66"/>
        <v>2</v>
      </c>
      <c r="U911" s="61">
        <f t="shared" si="65"/>
        <v>1</v>
      </c>
      <c r="V911" s="61" t="s">
        <v>150</v>
      </c>
      <c r="W911" s="61" t="s">
        <v>1078</v>
      </c>
      <c r="X911" s="61" t="s">
        <v>8340</v>
      </c>
      <c r="Y911" s="61" t="s">
        <v>69</v>
      </c>
      <c r="Z911" s="61" t="s">
        <v>69</v>
      </c>
      <c r="AA911" s="61"/>
      <c r="AB911" s="61" t="s">
        <v>8339</v>
      </c>
    </row>
    <row r="912" spans="1:28" s="2" customFormat="1" ht="15">
      <c r="A912" s="61" t="s">
        <v>776</v>
      </c>
      <c r="B912" s="61" t="s">
        <v>1155</v>
      </c>
      <c r="C912" s="61" t="s">
        <v>4466</v>
      </c>
      <c r="D912" s="61" t="s">
        <v>7838</v>
      </c>
      <c r="E912" s="61">
        <v>2023</v>
      </c>
      <c r="F912" s="61">
        <v>2001</v>
      </c>
      <c r="G912" s="61">
        <v>2025</v>
      </c>
      <c r="H912" s="61" t="s">
        <v>3128</v>
      </c>
      <c r="I912" s="61" t="s">
        <v>8053</v>
      </c>
      <c r="J912" s="61" t="s">
        <v>1838</v>
      </c>
      <c r="K912" s="61" t="s">
        <v>1982</v>
      </c>
      <c r="L912" s="61" t="s">
        <v>8337</v>
      </c>
      <c r="M912" s="475">
        <v>45944</v>
      </c>
      <c r="N912" s="475">
        <v>45946</v>
      </c>
      <c r="O912" s="475">
        <v>45947</v>
      </c>
      <c r="P912" s="475">
        <v>45950</v>
      </c>
      <c r="Q912" s="475">
        <v>45950</v>
      </c>
      <c r="R912" s="61">
        <f t="shared" si="62"/>
        <v>2</v>
      </c>
      <c r="S912" s="61">
        <f t="shared" si="63"/>
        <v>1</v>
      </c>
      <c r="T912" s="61">
        <f t="shared" si="66"/>
        <v>2</v>
      </c>
      <c r="U912" s="61">
        <f t="shared" si="65"/>
        <v>1</v>
      </c>
      <c r="V912" s="61" t="s">
        <v>150</v>
      </c>
      <c r="W912" s="61" t="s">
        <v>1078</v>
      </c>
      <c r="X912" s="61" t="s">
        <v>8340</v>
      </c>
      <c r="Y912" s="61" t="s">
        <v>69</v>
      </c>
      <c r="Z912" s="61" t="s">
        <v>69</v>
      </c>
      <c r="AA912" s="61"/>
      <c r="AB912" s="61" t="s">
        <v>8339</v>
      </c>
    </row>
    <row r="913" spans="1:28" s="2" customFormat="1" ht="15">
      <c r="A913" s="61" t="s">
        <v>776</v>
      </c>
      <c r="B913" s="61" t="s">
        <v>1155</v>
      </c>
      <c r="C913" s="61" t="s">
        <v>4398</v>
      </c>
      <c r="D913" s="61" t="s">
        <v>7838</v>
      </c>
      <c r="E913" s="61">
        <v>1346</v>
      </c>
      <c r="F913" s="61">
        <v>1383</v>
      </c>
      <c r="G913" s="61">
        <v>2025</v>
      </c>
      <c r="H913" s="61" t="s">
        <v>3128</v>
      </c>
      <c r="I913" s="61" t="s">
        <v>8053</v>
      </c>
      <c r="J913" s="61" t="s">
        <v>1838</v>
      </c>
      <c r="K913" s="61" t="s">
        <v>1982</v>
      </c>
      <c r="L913" s="61" t="s">
        <v>8337</v>
      </c>
      <c r="M913" s="475">
        <v>45944</v>
      </c>
      <c r="N913" s="475">
        <v>45946</v>
      </c>
      <c r="O913" s="475">
        <v>45947</v>
      </c>
      <c r="P913" s="475">
        <v>45950</v>
      </c>
      <c r="Q913" s="475">
        <v>45950</v>
      </c>
      <c r="R913" s="61">
        <f t="shared" ref="R913:R971" si="67">IF(
    OR(ISBLANK(M913), ISBLANK(N913)),
    "",
    MAX(1, IF(
        NETWORKDAYS(M913, N913) &lt;= 0,
        1,
        NETWORKDAYS(M913, N913) - IF(M913 = N913, 0, 1)
    ))
)</f>
        <v>2</v>
      </c>
      <c r="S913" s="61">
        <f t="shared" ref="S913:S971" si="68">IF(
    OR(ISBLANK(N913), ISBLANK(O913)),
    "",
    MAX(1, IF(
        NETWORKDAYS(N913, O913) &lt;= 0,
        1,
        NETWORKDAYS(N913, O913) - IF(N913 = O913, 0, 1)
    ))
)</f>
        <v>1</v>
      </c>
      <c r="T913" s="61">
        <f t="shared" si="66"/>
        <v>2</v>
      </c>
      <c r="U913" s="61">
        <f t="shared" si="65"/>
        <v>1</v>
      </c>
      <c r="V913" s="61" t="s">
        <v>150</v>
      </c>
      <c r="W913" s="61" t="s">
        <v>1078</v>
      </c>
      <c r="X913" s="61" t="s">
        <v>8340</v>
      </c>
      <c r="Y913" s="61" t="s">
        <v>69</v>
      </c>
      <c r="Z913" s="61" t="s">
        <v>69</v>
      </c>
      <c r="AA913" s="61"/>
      <c r="AB913" s="61" t="s">
        <v>8339</v>
      </c>
    </row>
    <row r="914" spans="1:28" s="2" customFormat="1" ht="15">
      <c r="A914" s="61" t="s">
        <v>776</v>
      </c>
      <c r="B914" s="61" t="s">
        <v>1155</v>
      </c>
      <c r="C914" s="61" t="s">
        <v>4467</v>
      </c>
      <c r="D914" s="61" t="s">
        <v>7838</v>
      </c>
      <c r="E914" s="61">
        <v>3667</v>
      </c>
      <c r="F914" s="61">
        <v>4168</v>
      </c>
      <c r="G914" s="61">
        <v>2025</v>
      </c>
      <c r="H914" s="61" t="s">
        <v>3128</v>
      </c>
      <c r="I914" s="61" t="s">
        <v>8053</v>
      </c>
      <c r="J914" s="61" t="s">
        <v>1838</v>
      </c>
      <c r="K914" s="61" t="s">
        <v>1982</v>
      </c>
      <c r="L914" s="61" t="s">
        <v>8337</v>
      </c>
      <c r="M914" s="475">
        <v>45944</v>
      </c>
      <c r="N914" s="475">
        <v>45946</v>
      </c>
      <c r="O914" s="475">
        <v>45947</v>
      </c>
      <c r="P914" s="475">
        <v>45950</v>
      </c>
      <c r="Q914" s="475">
        <v>45950</v>
      </c>
      <c r="R914" s="61">
        <f t="shared" si="67"/>
        <v>2</v>
      </c>
      <c r="S914" s="61">
        <f t="shared" si="68"/>
        <v>1</v>
      </c>
      <c r="T914" s="61">
        <f t="shared" si="66"/>
        <v>2</v>
      </c>
      <c r="U914" s="61">
        <f t="shared" si="65"/>
        <v>1</v>
      </c>
      <c r="V914" s="61" t="s">
        <v>150</v>
      </c>
      <c r="W914" s="61" t="s">
        <v>1078</v>
      </c>
      <c r="X914" s="61" t="s">
        <v>8340</v>
      </c>
      <c r="Y914" s="61" t="s">
        <v>69</v>
      </c>
      <c r="Z914" s="61" t="s">
        <v>69</v>
      </c>
      <c r="AA914" s="61"/>
      <c r="AB914" s="61" t="s">
        <v>8339</v>
      </c>
    </row>
    <row r="915" spans="1:28" s="2" customFormat="1" ht="15">
      <c r="A915" s="61" t="s">
        <v>776</v>
      </c>
      <c r="B915" s="61" t="s">
        <v>1155</v>
      </c>
      <c r="C915" s="61" t="s">
        <v>4468</v>
      </c>
      <c r="D915" s="61" t="s">
        <v>7838</v>
      </c>
      <c r="E915" s="61">
        <v>4123</v>
      </c>
      <c r="F915" s="61">
        <v>4940</v>
      </c>
      <c r="G915" s="61">
        <v>2025</v>
      </c>
      <c r="H915" s="61" t="s">
        <v>3128</v>
      </c>
      <c r="I915" s="61" t="s">
        <v>8053</v>
      </c>
      <c r="J915" s="61" t="s">
        <v>1838</v>
      </c>
      <c r="K915" s="61" t="s">
        <v>1982</v>
      </c>
      <c r="L915" s="61" t="s">
        <v>8337</v>
      </c>
      <c r="M915" s="475">
        <v>45944</v>
      </c>
      <c r="N915" s="475">
        <v>45946</v>
      </c>
      <c r="O915" s="475">
        <v>45947</v>
      </c>
      <c r="P915" s="475">
        <v>45950</v>
      </c>
      <c r="Q915" s="475">
        <v>45950</v>
      </c>
      <c r="R915" s="61">
        <f t="shared" si="67"/>
        <v>2</v>
      </c>
      <c r="S915" s="61">
        <f t="shared" si="68"/>
        <v>1</v>
      </c>
      <c r="T915" s="61">
        <f t="shared" si="66"/>
        <v>2</v>
      </c>
      <c r="U915" s="61">
        <f t="shared" si="65"/>
        <v>1</v>
      </c>
      <c r="V915" s="61" t="s">
        <v>150</v>
      </c>
      <c r="W915" s="61" t="s">
        <v>1078</v>
      </c>
      <c r="X915" s="61" t="s">
        <v>8340</v>
      </c>
      <c r="Y915" s="61" t="s">
        <v>69</v>
      </c>
      <c r="Z915" s="61" t="s">
        <v>69</v>
      </c>
      <c r="AA915" s="61"/>
      <c r="AB915" s="61" t="s">
        <v>8339</v>
      </c>
    </row>
    <row r="916" spans="1:28" s="2" customFormat="1" ht="15">
      <c r="A916" s="61" t="s">
        <v>776</v>
      </c>
      <c r="B916" s="61" t="s">
        <v>1155</v>
      </c>
      <c r="C916" s="61" t="s">
        <v>4469</v>
      </c>
      <c r="D916" s="61" t="s">
        <v>7838</v>
      </c>
      <c r="E916" s="61">
        <v>3284</v>
      </c>
      <c r="F916" s="61">
        <v>3958</v>
      </c>
      <c r="G916" s="61">
        <v>2025</v>
      </c>
      <c r="H916" s="61" t="s">
        <v>3128</v>
      </c>
      <c r="I916" s="61" t="s">
        <v>8053</v>
      </c>
      <c r="J916" s="61" t="s">
        <v>1838</v>
      </c>
      <c r="K916" s="61" t="s">
        <v>1982</v>
      </c>
      <c r="L916" s="61" t="s">
        <v>8337</v>
      </c>
      <c r="M916" s="475">
        <v>45944</v>
      </c>
      <c r="N916" s="475">
        <v>45946</v>
      </c>
      <c r="O916" s="475">
        <v>45947</v>
      </c>
      <c r="P916" s="475">
        <v>45950</v>
      </c>
      <c r="Q916" s="475">
        <v>45950</v>
      </c>
      <c r="R916" s="61">
        <f t="shared" si="67"/>
        <v>2</v>
      </c>
      <c r="S916" s="61">
        <f t="shared" si="68"/>
        <v>1</v>
      </c>
      <c r="T916" s="61">
        <f t="shared" si="66"/>
        <v>2</v>
      </c>
      <c r="U916" s="61">
        <f t="shared" si="65"/>
        <v>1</v>
      </c>
      <c r="V916" s="61" t="s">
        <v>150</v>
      </c>
      <c r="W916" s="61" t="s">
        <v>1078</v>
      </c>
      <c r="X916" s="61" t="s">
        <v>8340</v>
      </c>
      <c r="Y916" s="61" t="s">
        <v>69</v>
      </c>
      <c r="Z916" s="61" t="s">
        <v>69</v>
      </c>
      <c r="AA916" s="61"/>
      <c r="AB916" s="61" t="s">
        <v>8339</v>
      </c>
    </row>
    <row r="917" spans="1:28" s="2" customFormat="1" ht="15">
      <c r="A917" s="61" t="s">
        <v>776</v>
      </c>
      <c r="B917" s="61" t="s">
        <v>1155</v>
      </c>
      <c r="C917" s="61" t="s">
        <v>4298</v>
      </c>
      <c r="D917" s="61" t="s">
        <v>7838</v>
      </c>
      <c r="E917" s="61">
        <v>1101</v>
      </c>
      <c r="F917" s="61">
        <v>1043</v>
      </c>
      <c r="G917" s="61">
        <v>2025</v>
      </c>
      <c r="H917" s="61" t="s">
        <v>3128</v>
      </c>
      <c r="I917" s="61" t="s">
        <v>8053</v>
      </c>
      <c r="J917" s="61" t="s">
        <v>1838</v>
      </c>
      <c r="K917" s="61" t="s">
        <v>1982</v>
      </c>
      <c r="L917" s="61" t="s">
        <v>8337</v>
      </c>
      <c r="M917" s="475">
        <v>45944</v>
      </c>
      <c r="N917" s="475">
        <v>45946</v>
      </c>
      <c r="O917" s="475">
        <v>45947</v>
      </c>
      <c r="P917" s="475">
        <v>45950</v>
      </c>
      <c r="Q917" s="475">
        <v>45950</v>
      </c>
      <c r="R917" s="61">
        <f t="shared" si="67"/>
        <v>2</v>
      </c>
      <c r="S917" s="61">
        <f t="shared" si="68"/>
        <v>1</v>
      </c>
      <c r="T917" s="61">
        <f t="shared" si="66"/>
        <v>2</v>
      </c>
      <c r="U917" s="61">
        <f t="shared" si="65"/>
        <v>1</v>
      </c>
      <c r="V917" s="61" t="s">
        <v>150</v>
      </c>
      <c r="W917" s="61" t="s">
        <v>1078</v>
      </c>
      <c r="X917" s="61" t="s">
        <v>8340</v>
      </c>
      <c r="Y917" s="61" t="s">
        <v>69</v>
      </c>
      <c r="Z917" s="61" t="s">
        <v>69</v>
      </c>
      <c r="AA917" s="61"/>
      <c r="AB917" s="61" t="s">
        <v>8339</v>
      </c>
    </row>
    <row r="918" spans="1:28" s="2" customFormat="1" ht="15">
      <c r="A918" s="61" t="s">
        <v>776</v>
      </c>
      <c r="B918" s="61" t="s">
        <v>1155</v>
      </c>
      <c r="C918" s="61" t="s">
        <v>4470</v>
      </c>
      <c r="D918" s="61" t="s">
        <v>7838</v>
      </c>
      <c r="E918" s="61">
        <v>997</v>
      </c>
      <c r="F918" s="61">
        <v>1118</v>
      </c>
      <c r="G918" s="61">
        <v>2025</v>
      </c>
      <c r="H918" s="61" t="s">
        <v>3128</v>
      </c>
      <c r="I918" s="61" t="s">
        <v>8053</v>
      </c>
      <c r="J918" s="61" t="s">
        <v>1838</v>
      </c>
      <c r="K918" s="61" t="s">
        <v>1982</v>
      </c>
      <c r="L918" s="61" t="s">
        <v>8337</v>
      </c>
      <c r="M918" s="475">
        <v>45944</v>
      </c>
      <c r="N918" s="475">
        <v>45946</v>
      </c>
      <c r="O918" s="475">
        <v>45947</v>
      </c>
      <c r="P918" s="475">
        <v>45950</v>
      </c>
      <c r="Q918" s="475">
        <v>45950</v>
      </c>
      <c r="R918" s="61">
        <f t="shared" si="67"/>
        <v>2</v>
      </c>
      <c r="S918" s="61">
        <f t="shared" si="68"/>
        <v>1</v>
      </c>
      <c r="T918" s="61">
        <f t="shared" si="66"/>
        <v>2</v>
      </c>
      <c r="U918" s="61">
        <f t="shared" si="65"/>
        <v>1</v>
      </c>
      <c r="V918" s="61" t="s">
        <v>150</v>
      </c>
      <c r="W918" s="61" t="s">
        <v>1078</v>
      </c>
      <c r="X918" s="61" t="s">
        <v>8340</v>
      </c>
      <c r="Y918" s="61" t="s">
        <v>69</v>
      </c>
      <c r="Z918" s="61" t="s">
        <v>69</v>
      </c>
      <c r="AA918" s="61"/>
      <c r="AB918" s="61" t="s">
        <v>8339</v>
      </c>
    </row>
    <row r="919" spans="1:28" s="2" customFormat="1" ht="15">
      <c r="A919" s="61" t="s">
        <v>776</v>
      </c>
      <c r="B919" s="61" t="s">
        <v>1155</v>
      </c>
      <c r="C919" s="61" t="s">
        <v>4471</v>
      </c>
      <c r="D919" s="61" t="s">
        <v>7838</v>
      </c>
      <c r="E919" s="61">
        <v>3750</v>
      </c>
      <c r="F919" s="61">
        <v>3789</v>
      </c>
      <c r="G919" s="61">
        <v>2025</v>
      </c>
      <c r="H919" s="61" t="s">
        <v>3128</v>
      </c>
      <c r="I919" s="61" t="s">
        <v>8053</v>
      </c>
      <c r="J919" s="61" t="s">
        <v>1838</v>
      </c>
      <c r="K919" s="61" t="s">
        <v>1982</v>
      </c>
      <c r="L919" s="61" t="s">
        <v>8337</v>
      </c>
      <c r="M919" s="475">
        <v>45944</v>
      </c>
      <c r="N919" s="475">
        <v>45946</v>
      </c>
      <c r="O919" s="475">
        <v>45947</v>
      </c>
      <c r="P919" s="475">
        <v>45950</v>
      </c>
      <c r="Q919" s="475">
        <v>45950</v>
      </c>
      <c r="R919" s="61">
        <f t="shared" si="67"/>
        <v>2</v>
      </c>
      <c r="S919" s="61">
        <f t="shared" si="68"/>
        <v>1</v>
      </c>
      <c r="T919" s="61">
        <f t="shared" si="66"/>
        <v>2</v>
      </c>
      <c r="U919" s="61">
        <f t="shared" si="65"/>
        <v>1</v>
      </c>
      <c r="V919" s="61" t="s">
        <v>150</v>
      </c>
      <c r="W919" s="61" t="s">
        <v>1078</v>
      </c>
      <c r="X919" s="61" t="s">
        <v>8340</v>
      </c>
      <c r="Y919" s="61" t="s">
        <v>69</v>
      </c>
      <c r="Z919" s="61" t="s">
        <v>69</v>
      </c>
      <c r="AA919" s="61"/>
      <c r="AB919" s="61" t="s">
        <v>8339</v>
      </c>
    </row>
    <row r="920" spans="1:28" s="2" customFormat="1" ht="15">
      <c r="A920" s="61" t="s">
        <v>776</v>
      </c>
      <c r="B920" s="61" t="s">
        <v>1155</v>
      </c>
      <c r="C920" s="61" t="s">
        <v>4404</v>
      </c>
      <c r="D920" s="61" t="s">
        <v>7838</v>
      </c>
      <c r="E920" s="61">
        <v>955</v>
      </c>
      <c r="F920" s="61">
        <v>1107</v>
      </c>
      <c r="G920" s="61"/>
      <c r="H920" s="61"/>
      <c r="I920" s="61"/>
      <c r="J920" s="61"/>
      <c r="K920" s="61" t="s">
        <v>1982</v>
      </c>
      <c r="L920" s="61"/>
      <c r="M920" s="61"/>
      <c r="N920" s="61"/>
      <c r="O920" s="61"/>
      <c r="P920" s="61"/>
      <c r="Q920" s="61"/>
      <c r="R920" s="61" t="str">
        <f t="shared" si="67"/>
        <v/>
      </c>
      <c r="S920" s="61" t="str">
        <f t="shared" si="68"/>
        <v/>
      </c>
      <c r="T920" s="61" t="str">
        <f t="shared" si="66"/>
        <v/>
      </c>
      <c r="U920" s="61" t="str">
        <f t="shared" si="65"/>
        <v/>
      </c>
      <c r="V920" s="61"/>
      <c r="W920" s="61"/>
      <c r="X920" s="61"/>
      <c r="Y920" s="61"/>
      <c r="Z920" s="61"/>
      <c r="AA920" s="61"/>
      <c r="AB920" s="61"/>
    </row>
    <row r="921" spans="1:28" s="2" customFormat="1" ht="15">
      <c r="A921" s="61" t="s">
        <v>776</v>
      </c>
      <c r="B921" s="61" t="s">
        <v>1155</v>
      </c>
      <c r="C921" s="61" t="s">
        <v>4472</v>
      </c>
      <c r="D921" s="61" t="s">
        <v>7838</v>
      </c>
      <c r="E921" s="61">
        <v>818</v>
      </c>
      <c r="F921" s="61">
        <v>911</v>
      </c>
      <c r="G921" s="61">
        <v>2025</v>
      </c>
      <c r="H921" s="61" t="s">
        <v>3128</v>
      </c>
      <c r="I921" s="61" t="s">
        <v>8053</v>
      </c>
      <c r="J921" s="61" t="s">
        <v>1838</v>
      </c>
      <c r="K921" s="61" t="s">
        <v>1982</v>
      </c>
      <c r="L921" s="61" t="s">
        <v>8337</v>
      </c>
      <c r="M921" s="475">
        <v>45944</v>
      </c>
      <c r="N921" s="475">
        <v>45946</v>
      </c>
      <c r="O921" s="475">
        <v>45947</v>
      </c>
      <c r="P921" s="475">
        <v>45950</v>
      </c>
      <c r="Q921" s="475">
        <v>45950</v>
      </c>
      <c r="R921" s="61">
        <f t="shared" si="67"/>
        <v>2</v>
      </c>
      <c r="S921" s="61">
        <f t="shared" si="68"/>
        <v>1</v>
      </c>
      <c r="T921" s="61">
        <f t="shared" si="66"/>
        <v>2</v>
      </c>
      <c r="U921" s="61">
        <f t="shared" si="65"/>
        <v>1</v>
      </c>
      <c r="V921" s="61" t="s">
        <v>150</v>
      </c>
      <c r="W921" s="61" t="s">
        <v>1078</v>
      </c>
      <c r="X921" s="61" t="s">
        <v>8340</v>
      </c>
      <c r="Y921" s="61" t="s">
        <v>69</v>
      </c>
      <c r="Z921" s="61" t="s">
        <v>69</v>
      </c>
      <c r="AA921" s="61"/>
      <c r="AB921" s="61" t="s">
        <v>8339</v>
      </c>
    </row>
    <row r="922" spans="1:28" s="2" customFormat="1" ht="15">
      <c r="A922" s="61" t="s">
        <v>776</v>
      </c>
      <c r="B922" s="61" t="s">
        <v>1155</v>
      </c>
      <c r="C922" s="61" t="s">
        <v>4473</v>
      </c>
      <c r="D922" s="61" t="s">
        <v>7838</v>
      </c>
      <c r="E922" s="61">
        <v>1459</v>
      </c>
      <c r="F922" s="61">
        <v>1492</v>
      </c>
      <c r="G922" s="61">
        <v>2025</v>
      </c>
      <c r="H922" s="61" t="s">
        <v>3128</v>
      </c>
      <c r="I922" s="61" t="s">
        <v>8053</v>
      </c>
      <c r="J922" s="61" t="s">
        <v>1838</v>
      </c>
      <c r="K922" s="61" t="s">
        <v>1982</v>
      </c>
      <c r="L922" s="61" t="s">
        <v>8337</v>
      </c>
      <c r="M922" s="475">
        <v>45944</v>
      </c>
      <c r="N922" s="475">
        <v>45946</v>
      </c>
      <c r="O922" s="475">
        <v>45947</v>
      </c>
      <c r="P922" s="475">
        <v>45950</v>
      </c>
      <c r="Q922" s="475">
        <v>45950</v>
      </c>
      <c r="R922" s="61">
        <f t="shared" si="67"/>
        <v>2</v>
      </c>
      <c r="S922" s="61">
        <f t="shared" si="68"/>
        <v>1</v>
      </c>
      <c r="T922" s="61">
        <f t="shared" si="66"/>
        <v>2</v>
      </c>
      <c r="U922" s="61">
        <f t="shared" si="65"/>
        <v>1</v>
      </c>
      <c r="V922" s="61" t="s">
        <v>150</v>
      </c>
      <c r="W922" s="61" t="s">
        <v>1078</v>
      </c>
      <c r="X922" s="61" t="s">
        <v>8340</v>
      </c>
      <c r="Y922" s="61" t="s">
        <v>69</v>
      </c>
      <c r="Z922" s="61" t="s">
        <v>69</v>
      </c>
      <c r="AA922" s="61"/>
      <c r="AB922" s="61" t="s">
        <v>8339</v>
      </c>
    </row>
    <row r="923" spans="1:28" s="2" customFormat="1" ht="15">
      <c r="A923" s="61" t="s">
        <v>776</v>
      </c>
      <c r="B923" s="61" t="s">
        <v>1155</v>
      </c>
      <c r="C923" s="61" t="s">
        <v>4474</v>
      </c>
      <c r="D923" s="61" t="s">
        <v>7838</v>
      </c>
      <c r="E923" s="61">
        <v>1815</v>
      </c>
      <c r="F923" s="61">
        <v>1840</v>
      </c>
      <c r="G923" s="61"/>
      <c r="H923" s="61"/>
      <c r="I923" s="61"/>
      <c r="J923" s="61"/>
      <c r="K923" s="61" t="s">
        <v>1982</v>
      </c>
      <c r="L923" s="61"/>
      <c r="M923" s="61"/>
      <c r="N923" s="61"/>
      <c r="O923" s="61"/>
      <c r="P923" s="61"/>
      <c r="Q923" s="61"/>
      <c r="R923" s="61" t="str">
        <f t="shared" si="67"/>
        <v/>
      </c>
      <c r="S923" s="61" t="str">
        <f t="shared" si="68"/>
        <v/>
      </c>
      <c r="T923" s="61" t="str">
        <f t="shared" si="66"/>
        <v/>
      </c>
      <c r="U923" s="61" t="str">
        <f t="shared" si="65"/>
        <v/>
      </c>
      <c r="V923" s="61"/>
      <c r="W923" s="61"/>
      <c r="X923" s="61"/>
      <c r="Y923" s="61"/>
      <c r="Z923" s="61"/>
      <c r="AA923" s="61"/>
      <c r="AB923" s="61"/>
    </row>
    <row r="924" spans="1:28" s="2" customFormat="1" ht="15">
      <c r="A924" s="61" t="s">
        <v>776</v>
      </c>
      <c r="B924" s="61" t="s">
        <v>1155</v>
      </c>
      <c r="C924" s="61" t="s">
        <v>1056</v>
      </c>
      <c r="D924" s="61" t="s">
        <v>7838</v>
      </c>
      <c r="E924" s="61">
        <v>1636</v>
      </c>
      <c r="F924" s="61">
        <v>1640</v>
      </c>
      <c r="G924" s="61">
        <v>2025</v>
      </c>
      <c r="H924" s="61" t="s">
        <v>3128</v>
      </c>
      <c r="I924" s="61" t="s">
        <v>8053</v>
      </c>
      <c r="J924" s="61" t="s">
        <v>1838</v>
      </c>
      <c r="K924" s="61" t="s">
        <v>1982</v>
      </c>
      <c r="L924" s="61" t="s">
        <v>8337</v>
      </c>
      <c r="M924" s="475">
        <v>45944</v>
      </c>
      <c r="N924" s="475">
        <v>45946</v>
      </c>
      <c r="O924" s="475">
        <v>45947</v>
      </c>
      <c r="P924" s="475">
        <v>45950</v>
      </c>
      <c r="Q924" s="475">
        <v>45950</v>
      </c>
      <c r="R924" s="61">
        <f t="shared" si="67"/>
        <v>2</v>
      </c>
      <c r="S924" s="61">
        <f t="shared" si="68"/>
        <v>1</v>
      </c>
      <c r="T924" s="61">
        <f t="shared" si="66"/>
        <v>2</v>
      </c>
      <c r="U924" s="61">
        <f t="shared" si="65"/>
        <v>1</v>
      </c>
      <c r="V924" s="61" t="s">
        <v>150</v>
      </c>
      <c r="W924" s="61" t="s">
        <v>1078</v>
      </c>
      <c r="X924" s="61" t="s">
        <v>8340</v>
      </c>
      <c r="Y924" s="61" t="s">
        <v>69</v>
      </c>
      <c r="Z924" s="61" t="s">
        <v>69</v>
      </c>
      <c r="AA924" s="61"/>
      <c r="AB924" s="61" t="s">
        <v>8339</v>
      </c>
    </row>
    <row r="925" spans="1:28" s="2" customFormat="1" ht="15">
      <c r="A925" s="61" t="s">
        <v>776</v>
      </c>
      <c r="B925" s="61" t="s">
        <v>1155</v>
      </c>
      <c r="C925" s="61" t="s">
        <v>3763</v>
      </c>
      <c r="D925" s="61" t="s">
        <v>7838</v>
      </c>
      <c r="E925" s="61">
        <v>3488</v>
      </c>
      <c r="F925" s="61">
        <v>3600</v>
      </c>
      <c r="G925" s="61">
        <v>2025</v>
      </c>
      <c r="H925" s="61" t="s">
        <v>3128</v>
      </c>
      <c r="I925" s="61" t="s">
        <v>8053</v>
      </c>
      <c r="J925" s="61" t="s">
        <v>1838</v>
      </c>
      <c r="K925" s="61" t="s">
        <v>1982</v>
      </c>
      <c r="L925" s="61" t="s">
        <v>8337</v>
      </c>
      <c r="M925" s="475">
        <v>45944</v>
      </c>
      <c r="N925" s="475">
        <v>45946</v>
      </c>
      <c r="O925" s="475">
        <v>45947</v>
      </c>
      <c r="P925" s="475">
        <v>45950</v>
      </c>
      <c r="Q925" s="475">
        <v>45950</v>
      </c>
      <c r="R925" s="61">
        <f t="shared" si="67"/>
        <v>2</v>
      </c>
      <c r="S925" s="61">
        <f t="shared" si="68"/>
        <v>1</v>
      </c>
      <c r="T925" s="61">
        <f t="shared" si="66"/>
        <v>2</v>
      </c>
      <c r="U925" s="61">
        <f t="shared" si="65"/>
        <v>1</v>
      </c>
      <c r="V925" s="61" t="s">
        <v>150</v>
      </c>
      <c r="W925" s="61" t="s">
        <v>1078</v>
      </c>
      <c r="X925" s="61" t="s">
        <v>8340</v>
      </c>
      <c r="Y925" s="61" t="s">
        <v>69</v>
      </c>
      <c r="Z925" s="61" t="s">
        <v>69</v>
      </c>
      <c r="AA925" s="61"/>
      <c r="AB925" s="61" t="s">
        <v>8339</v>
      </c>
    </row>
    <row r="926" spans="1:28" s="2" customFormat="1" ht="15">
      <c r="A926" s="61" t="s">
        <v>776</v>
      </c>
      <c r="B926" s="61" t="s">
        <v>1155</v>
      </c>
      <c r="C926" s="61" t="s">
        <v>4439</v>
      </c>
      <c r="D926" s="61" t="s">
        <v>7838</v>
      </c>
      <c r="E926" s="61">
        <v>1071</v>
      </c>
      <c r="F926" s="61">
        <v>1259</v>
      </c>
      <c r="G926" s="61">
        <v>2025</v>
      </c>
      <c r="H926" s="61" t="s">
        <v>3128</v>
      </c>
      <c r="I926" s="61" t="s">
        <v>8053</v>
      </c>
      <c r="J926" s="61" t="s">
        <v>1838</v>
      </c>
      <c r="K926" s="61" t="s">
        <v>1982</v>
      </c>
      <c r="L926" s="61" t="s">
        <v>8337</v>
      </c>
      <c r="M926" s="475">
        <v>45944</v>
      </c>
      <c r="N926" s="475">
        <v>45946</v>
      </c>
      <c r="O926" s="475">
        <v>45947</v>
      </c>
      <c r="P926" s="475">
        <v>45950</v>
      </c>
      <c r="Q926" s="475">
        <v>45950</v>
      </c>
      <c r="R926" s="61">
        <f t="shared" si="67"/>
        <v>2</v>
      </c>
      <c r="S926" s="61">
        <f t="shared" si="68"/>
        <v>1</v>
      </c>
      <c r="T926" s="61">
        <f t="shared" si="66"/>
        <v>2</v>
      </c>
      <c r="U926" s="61">
        <f t="shared" si="65"/>
        <v>1</v>
      </c>
      <c r="V926" s="61" t="s">
        <v>150</v>
      </c>
      <c r="W926" s="61" t="s">
        <v>1078</v>
      </c>
      <c r="X926" s="61" t="s">
        <v>8340</v>
      </c>
      <c r="Y926" s="61" t="s">
        <v>69</v>
      </c>
      <c r="Z926" s="61" t="s">
        <v>69</v>
      </c>
      <c r="AA926" s="61"/>
      <c r="AB926" s="61" t="s">
        <v>8339</v>
      </c>
    </row>
    <row r="927" spans="1:28" s="2" customFormat="1" ht="15">
      <c r="A927" s="61" t="s">
        <v>776</v>
      </c>
      <c r="B927" s="61" t="s">
        <v>1155</v>
      </c>
      <c r="C927" s="61" t="s">
        <v>4475</v>
      </c>
      <c r="D927" s="61" t="s">
        <v>7838</v>
      </c>
      <c r="E927" s="61">
        <v>2058</v>
      </c>
      <c r="F927" s="61">
        <v>2442</v>
      </c>
      <c r="G927" s="61">
        <v>2025</v>
      </c>
      <c r="H927" s="61" t="s">
        <v>3128</v>
      </c>
      <c r="I927" s="61" t="s">
        <v>8053</v>
      </c>
      <c r="J927" s="61" t="s">
        <v>1838</v>
      </c>
      <c r="K927" s="61" t="s">
        <v>1982</v>
      </c>
      <c r="L927" s="61" t="s">
        <v>8337</v>
      </c>
      <c r="M927" s="475">
        <v>45944</v>
      </c>
      <c r="N927" s="475">
        <v>45946</v>
      </c>
      <c r="O927" s="475">
        <v>45947</v>
      </c>
      <c r="P927" s="475">
        <v>45950</v>
      </c>
      <c r="Q927" s="475">
        <v>45950</v>
      </c>
      <c r="R927" s="61">
        <f t="shared" si="67"/>
        <v>2</v>
      </c>
      <c r="S927" s="61">
        <f t="shared" si="68"/>
        <v>1</v>
      </c>
      <c r="T927" s="61">
        <f t="shared" si="66"/>
        <v>2</v>
      </c>
      <c r="U927" s="61">
        <f t="shared" si="65"/>
        <v>1</v>
      </c>
      <c r="V927" s="61" t="s">
        <v>150</v>
      </c>
      <c r="W927" s="61" t="s">
        <v>1078</v>
      </c>
      <c r="X927" s="61" t="s">
        <v>8340</v>
      </c>
      <c r="Y927" s="61" t="s">
        <v>69</v>
      </c>
      <c r="Z927" s="61" t="s">
        <v>69</v>
      </c>
      <c r="AA927" s="61"/>
      <c r="AB927" s="61" t="s">
        <v>8339</v>
      </c>
    </row>
    <row r="928" spans="1:28" s="2" customFormat="1" ht="15">
      <c r="A928" s="61" t="s">
        <v>776</v>
      </c>
      <c r="B928" s="61" t="s">
        <v>1155</v>
      </c>
      <c r="C928" s="61" t="s">
        <v>4476</v>
      </c>
      <c r="D928" s="61" t="s">
        <v>7838</v>
      </c>
      <c r="E928" s="61">
        <v>4009</v>
      </c>
      <c r="F928" s="61">
        <v>4480</v>
      </c>
      <c r="G928" s="61"/>
      <c r="H928" s="61"/>
      <c r="I928" s="61"/>
      <c r="J928" s="61"/>
      <c r="K928" s="61" t="s">
        <v>1982</v>
      </c>
      <c r="L928" s="61"/>
      <c r="M928" s="61"/>
      <c r="N928" s="61"/>
      <c r="O928" s="61"/>
      <c r="P928" s="475"/>
      <c r="Q928" s="61"/>
      <c r="R928" s="61" t="str">
        <f t="shared" si="67"/>
        <v/>
      </c>
      <c r="S928" s="61" t="str">
        <f t="shared" si="68"/>
        <v/>
      </c>
      <c r="T928" s="61" t="str">
        <f t="shared" si="66"/>
        <v/>
      </c>
      <c r="U928" s="61" t="str">
        <f t="shared" si="65"/>
        <v/>
      </c>
      <c r="V928" s="61"/>
      <c r="W928" s="61"/>
      <c r="X928" s="61"/>
      <c r="Y928" s="61"/>
      <c r="Z928" s="61"/>
      <c r="AA928" s="61"/>
      <c r="AB928" s="61"/>
    </row>
    <row r="929" spans="1:28" s="2" customFormat="1" ht="15">
      <c r="A929" s="61" t="s">
        <v>776</v>
      </c>
      <c r="B929" s="61" t="s">
        <v>1155</v>
      </c>
      <c r="C929" s="61" t="s">
        <v>4126</v>
      </c>
      <c r="D929" s="61" t="s">
        <v>7838</v>
      </c>
      <c r="E929" s="61">
        <v>1486</v>
      </c>
      <c r="F929" s="61">
        <v>1745</v>
      </c>
      <c r="G929" s="61">
        <v>2025</v>
      </c>
      <c r="H929" s="61" t="s">
        <v>3128</v>
      </c>
      <c r="I929" s="61" t="s">
        <v>8053</v>
      </c>
      <c r="J929" s="61" t="s">
        <v>1838</v>
      </c>
      <c r="K929" s="61" t="s">
        <v>1982</v>
      </c>
      <c r="L929" s="61" t="s">
        <v>8337</v>
      </c>
      <c r="M929" s="475">
        <v>45944</v>
      </c>
      <c r="N929" s="475">
        <v>45946</v>
      </c>
      <c r="O929" s="475">
        <v>45947</v>
      </c>
      <c r="P929" s="475">
        <v>45950</v>
      </c>
      <c r="Q929" s="475">
        <v>45950</v>
      </c>
      <c r="R929" s="61">
        <f t="shared" si="67"/>
        <v>2</v>
      </c>
      <c r="S929" s="61">
        <f t="shared" si="68"/>
        <v>1</v>
      </c>
      <c r="T929" s="61">
        <f t="shared" si="66"/>
        <v>2</v>
      </c>
      <c r="U929" s="61">
        <f t="shared" si="65"/>
        <v>1</v>
      </c>
      <c r="V929" s="61" t="s">
        <v>150</v>
      </c>
      <c r="W929" s="61" t="s">
        <v>1078</v>
      </c>
      <c r="X929" s="61" t="s">
        <v>8340</v>
      </c>
      <c r="Y929" s="61" t="s">
        <v>69</v>
      </c>
      <c r="Z929" s="61" t="s">
        <v>69</v>
      </c>
      <c r="AA929" s="61"/>
      <c r="AB929" s="61" t="s">
        <v>8339</v>
      </c>
    </row>
    <row r="930" spans="1:28" s="2" customFormat="1" ht="15">
      <c r="A930" s="61" t="s">
        <v>776</v>
      </c>
      <c r="B930" s="61" t="s">
        <v>1155</v>
      </c>
      <c r="C930" s="61" t="s">
        <v>3974</v>
      </c>
      <c r="D930" s="61" t="s">
        <v>7838</v>
      </c>
      <c r="E930" s="61">
        <v>8233</v>
      </c>
      <c r="F930" s="61">
        <v>9674</v>
      </c>
      <c r="G930" s="61"/>
      <c r="H930" s="61"/>
      <c r="I930" s="61"/>
      <c r="J930" s="61"/>
      <c r="K930" s="61" t="s">
        <v>1982</v>
      </c>
      <c r="L930" s="61"/>
      <c r="M930" s="61"/>
      <c r="N930" s="61"/>
      <c r="O930" s="61"/>
      <c r="P930" s="61"/>
      <c r="Q930" s="61"/>
      <c r="R930" s="61" t="str">
        <f t="shared" si="67"/>
        <v/>
      </c>
      <c r="S930" s="61" t="str">
        <f t="shared" si="68"/>
        <v/>
      </c>
      <c r="T930" s="61" t="str">
        <f t="shared" si="66"/>
        <v/>
      </c>
      <c r="U930" s="61" t="str">
        <f t="shared" si="65"/>
        <v/>
      </c>
      <c r="V930" s="61"/>
      <c r="W930" s="61"/>
      <c r="X930" s="61"/>
      <c r="Y930" s="61"/>
      <c r="Z930" s="61"/>
      <c r="AA930" s="61"/>
      <c r="AB930" s="61"/>
    </row>
    <row r="931" spans="1:28" s="2" customFormat="1" ht="15">
      <c r="A931" s="61" t="s">
        <v>776</v>
      </c>
      <c r="B931" s="61" t="s">
        <v>1155</v>
      </c>
      <c r="C931" s="61" t="s">
        <v>4477</v>
      </c>
      <c r="D931" s="61" t="s">
        <v>7838</v>
      </c>
      <c r="E931" s="61">
        <v>822</v>
      </c>
      <c r="F931" s="61">
        <v>926</v>
      </c>
      <c r="G931" s="61"/>
      <c r="H931" s="61"/>
      <c r="I931" s="61"/>
      <c r="J931" s="61"/>
      <c r="K931" s="61" t="s">
        <v>1982</v>
      </c>
      <c r="L931" s="61"/>
      <c r="M931" s="61"/>
      <c r="N931" s="61"/>
      <c r="O931" s="61"/>
      <c r="P931" s="61"/>
      <c r="Q931" s="61"/>
      <c r="R931" s="61" t="str">
        <f t="shared" si="67"/>
        <v/>
      </c>
      <c r="S931" s="61" t="str">
        <f t="shared" si="68"/>
        <v/>
      </c>
      <c r="T931" s="61" t="str">
        <f t="shared" si="66"/>
        <v/>
      </c>
      <c r="U931" s="61" t="str">
        <f t="shared" si="65"/>
        <v/>
      </c>
      <c r="V931" s="61"/>
      <c r="W931" s="61"/>
      <c r="X931" s="61"/>
      <c r="Y931" s="61"/>
      <c r="Z931" s="61"/>
      <c r="AA931" s="61"/>
      <c r="AB931" s="61"/>
    </row>
    <row r="932" spans="1:28" s="2" customFormat="1" ht="15">
      <c r="A932" s="61" t="s">
        <v>776</v>
      </c>
      <c r="B932" s="61" t="s">
        <v>1155</v>
      </c>
      <c r="C932" s="61" t="s">
        <v>4478</v>
      </c>
      <c r="D932" s="61" t="s">
        <v>7838</v>
      </c>
      <c r="E932" s="61">
        <v>3659</v>
      </c>
      <c r="F932" s="61">
        <v>4152</v>
      </c>
      <c r="G932" s="61">
        <v>2025</v>
      </c>
      <c r="H932" s="61" t="s">
        <v>3128</v>
      </c>
      <c r="I932" s="61" t="s">
        <v>8053</v>
      </c>
      <c r="J932" s="61" t="s">
        <v>1838</v>
      </c>
      <c r="K932" s="61" t="s">
        <v>1982</v>
      </c>
      <c r="L932" s="61" t="s">
        <v>8337</v>
      </c>
      <c r="M932" s="475">
        <v>45944</v>
      </c>
      <c r="N932" s="475">
        <v>45946</v>
      </c>
      <c r="O932" s="475">
        <v>45947</v>
      </c>
      <c r="P932" s="475">
        <v>45950</v>
      </c>
      <c r="Q932" s="475">
        <v>45950</v>
      </c>
      <c r="R932" s="61">
        <f t="shared" si="67"/>
        <v>2</v>
      </c>
      <c r="S932" s="61">
        <f t="shared" si="68"/>
        <v>1</v>
      </c>
      <c r="T932" s="61">
        <f t="shared" si="66"/>
        <v>2</v>
      </c>
      <c r="U932" s="61">
        <f t="shared" si="65"/>
        <v>1</v>
      </c>
      <c r="V932" s="61" t="s">
        <v>150</v>
      </c>
      <c r="W932" s="61" t="s">
        <v>1078</v>
      </c>
      <c r="X932" s="61" t="s">
        <v>8340</v>
      </c>
      <c r="Y932" s="61" t="s">
        <v>69</v>
      </c>
      <c r="Z932" s="61" t="s">
        <v>69</v>
      </c>
      <c r="AA932" s="61"/>
      <c r="AB932" s="61" t="s">
        <v>8339</v>
      </c>
    </row>
    <row r="933" spans="1:28" s="2" customFormat="1" ht="15">
      <c r="A933" s="61" t="s">
        <v>776</v>
      </c>
      <c r="B933" s="61" t="s">
        <v>1155</v>
      </c>
      <c r="C933" s="61" t="s">
        <v>4479</v>
      </c>
      <c r="D933" s="61" t="s">
        <v>7838</v>
      </c>
      <c r="E933" s="61">
        <v>7810</v>
      </c>
      <c r="F933" s="61">
        <v>7719</v>
      </c>
      <c r="G933" s="61"/>
      <c r="H933" s="61"/>
      <c r="I933" s="61"/>
      <c r="J933" s="61"/>
      <c r="K933" s="61" t="s">
        <v>1982</v>
      </c>
      <c r="L933" s="61"/>
      <c r="M933" s="61"/>
      <c r="N933" s="61"/>
      <c r="O933" s="61"/>
      <c r="P933" s="61"/>
      <c r="Q933" s="61"/>
      <c r="R933" s="61" t="str">
        <f t="shared" si="67"/>
        <v/>
      </c>
      <c r="S933" s="61" t="str">
        <f t="shared" si="68"/>
        <v/>
      </c>
      <c r="T933" s="61" t="str">
        <f t="shared" si="66"/>
        <v/>
      </c>
      <c r="U933" s="61" t="str">
        <f t="shared" si="65"/>
        <v/>
      </c>
      <c r="V933" s="61"/>
      <c r="W933" s="61"/>
      <c r="X933" s="61"/>
      <c r="Y933" s="61"/>
      <c r="Z933" s="61"/>
      <c r="AA933" s="61"/>
      <c r="AB933" s="61"/>
    </row>
    <row r="934" spans="1:28" s="2" customFormat="1" ht="15">
      <c r="A934" s="61" t="s">
        <v>776</v>
      </c>
      <c r="B934" s="61" t="s">
        <v>1155</v>
      </c>
      <c r="C934" s="61" t="s">
        <v>4480</v>
      </c>
      <c r="D934" s="61" t="s">
        <v>7838</v>
      </c>
      <c r="E934" s="61">
        <v>2381</v>
      </c>
      <c r="F934" s="61">
        <v>2579</v>
      </c>
      <c r="G934" s="61">
        <v>2025</v>
      </c>
      <c r="H934" s="61" t="s">
        <v>3128</v>
      </c>
      <c r="I934" s="61" t="s">
        <v>8053</v>
      </c>
      <c r="J934" s="61" t="s">
        <v>1838</v>
      </c>
      <c r="K934" s="61" t="s">
        <v>1982</v>
      </c>
      <c r="L934" s="61" t="s">
        <v>8337</v>
      </c>
      <c r="M934" s="475">
        <v>45944</v>
      </c>
      <c r="N934" s="475">
        <v>45946</v>
      </c>
      <c r="O934" s="475">
        <v>45947</v>
      </c>
      <c r="P934" s="475">
        <v>45950</v>
      </c>
      <c r="Q934" s="475">
        <v>45950</v>
      </c>
      <c r="R934" s="61">
        <f t="shared" si="67"/>
        <v>2</v>
      </c>
      <c r="S934" s="61">
        <f t="shared" si="68"/>
        <v>1</v>
      </c>
      <c r="T934" s="61">
        <f t="shared" si="66"/>
        <v>2</v>
      </c>
      <c r="U934" s="61">
        <f t="shared" si="65"/>
        <v>1</v>
      </c>
      <c r="V934" s="61" t="s">
        <v>150</v>
      </c>
      <c r="W934" s="61" t="s">
        <v>1078</v>
      </c>
      <c r="X934" s="61" t="s">
        <v>8340</v>
      </c>
      <c r="Y934" s="61" t="s">
        <v>69</v>
      </c>
      <c r="Z934" s="61" t="s">
        <v>69</v>
      </c>
      <c r="AA934" s="61"/>
      <c r="AB934" s="61" t="s">
        <v>8339</v>
      </c>
    </row>
    <row r="935" spans="1:28" s="2" customFormat="1" ht="15">
      <c r="A935" s="61" t="s">
        <v>776</v>
      </c>
      <c r="B935" s="61" t="s">
        <v>1155</v>
      </c>
      <c r="C935" s="61" t="s">
        <v>4481</v>
      </c>
      <c r="D935" s="61" t="s">
        <v>7838</v>
      </c>
      <c r="E935" s="61">
        <v>2653</v>
      </c>
      <c r="F935" s="61">
        <v>3711</v>
      </c>
      <c r="G935" s="61"/>
      <c r="H935" s="61"/>
      <c r="I935" s="61"/>
      <c r="J935" s="61"/>
      <c r="K935" s="61" t="s">
        <v>1982</v>
      </c>
      <c r="L935" s="61"/>
      <c r="M935" s="61"/>
      <c r="N935" s="61"/>
      <c r="O935" s="61"/>
      <c r="P935" s="61"/>
      <c r="Q935" s="61"/>
      <c r="R935" s="61" t="str">
        <f t="shared" si="67"/>
        <v/>
      </c>
      <c r="S935" s="61" t="str">
        <f t="shared" si="68"/>
        <v/>
      </c>
      <c r="T935" s="61" t="str">
        <f t="shared" si="66"/>
        <v/>
      </c>
      <c r="U935" s="61" t="str">
        <f t="shared" si="65"/>
        <v/>
      </c>
      <c r="V935" s="61"/>
      <c r="W935" s="61"/>
      <c r="X935" s="61"/>
      <c r="Y935" s="61"/>
      <c r="Z935" s="61"/>
      <c r="AA935" s="61"/>
      <c r="AB935" s="61"/>
    </row>
    <row r="936" spans="1:28" s="2" customFormat="1" ht="15">
      <c r="A936" s="61" t="s">
        <v>776</v>
      </c>
      <c r="B936" s="61" t="s">
        <v>1160</v>
      </c>
      <c r="C936" s="61" t="s">
        <v>4099</v>
      </c>
      <c r="D936" s="61" t="s">
        <v>7838</v>
      </c>
      <c r="E936" s="61">
        <v>13334</v>
      </c>
      <c r="F936" s="61">
        <v>15938</v>
      </c>
      <c r="G936" s="61">
        <v>2025</v>
      </c>
      <c r="H936" s="61" t="s">
        <v>3458</v>
      </c>
      <c r="I936" s="61" t="s">
        <v>508</v>
      </c>
      <c r="J936" s="61" t="s">
        <v>328</v>
      </c>
      <c r="K936" s="61" t="s">
        <v>1982</v>
      </c>
      <c r="L936" s="61" t="s">
        <v>8341</v>
      </c>
      <c r="M936" s="475">
        <v>45693</v>
      </c>
      <c r="N936" s="475">
        <v>45701</v>
      </c>
      <c r="O936" s="475">
        <v>45705</v>
      </c>
      <c r="P936" s="475">
        <v>45705</v>
      </c>
      <c r="Q936" s="475">
        <v>45706</v>
      </c>
      <c r="R936" s="61">
        <f t="shared" si="67"/>
        <v>6</v>
      </c>
      <c r="S936" s="61">
        <f t="shared" si="68"/>
        <v>2</v>
      </c>
      <c r="T936" s="61">
        <f t="shared" si="66"/>
        <v>2</v>
      </c>
      <c r="U936" s="61">
        <f t="shared" si="65"/>
        <v>1</v>
      </c>
      <c r="V936" s="61" t="s">
        <v>150</v>
      </c>
      <c r="W936" s="61" t="s">
        <v>4</v>
      </c>
      <c r="X936" s="61" t="s">
        <v>50</v>
      </c>
      <c r="Y936" s="61"/>
      <c r="Z936" s="61"/>
      <c r="AA936" s="61" t="s">
        <v>182</v>
      </c>
      <c r="AB936" s="61"/>
    </row>
    <row r="937" spans="1:28" s="2" customFormat="1" ht="15">
      <c r="A937" s="61" t="s">
        <v>776</v>
      </c>
      <c r="B937" s="61" t="s">
        <v>1160</v>
      </c>
      <c r="C937" s="61" t="s">
        <v>4127</v>
      </c>
      <c r="D937" s="61" t="s">
        <v>7838</v>
      </c>
      <c r="E937" s="61">
        <v>8465</v>
      </c>
      <c r="F937" s="61">
        <v>9630</v>
      </c>
      <c r="G937" s="61">
        <v>2025</v>
      </c>
      <c r="H937" s="61" t="s">
        <v>3458</v>
      </c>
      <c r="I937" s="61" t="s">
        <v>508</v>
      </c>
      <c r="J937" s="61" t="s">
        <v>328</v>
      </c>
      <c r="K937" s="61" t="s">
        <v>1982</v>
      </c>
      <c r="L937" s="61" t="s">
        <v>8342</v>
      </c>
      <c r="M937" s="475">
        <v>45693</v>
      </c>
      <c r="N937" s="475">
        <v>45706</v>
      </c>
      <c r="O937" s="475">
        <v>45707</v>
      </c>
      <c r="P937" s="475">
        <v>45707</v>
      </c>
      <c r="Q937" s="475">
        <v>45707</v>
      </c>
      <c r="R937" s="61">
        <f t="shared" si="67"/>
        <v>9</v>
      </c>
      <c r="S937" s="61">
        <f t="shared" si="68"/>
        <v>1</v>
      </c>
      <c r="T937" s="61">
        <f t="shared" si="66"/>
        <v>1</v>
      </c>
      <c r="U937" s="61">
        <f t="shared" si="65"/>
        <v>1</v>
      </c>
      <c r="V937" s="61" t="s">
        <v>150</v>
      </c>
      <c r="W937" s="61" t="s">
        <v>4</v>
      </c>
      <c r="X937" s="61" t="s">
        <v>50</v>
      </c>
      <c r="Y937" s="61"/>
      <c r="Z937" s="61"/>
      <c r="AA937" s="61" t="s">
        <v>182</v>
      </c>
      <c r="AB937" s="61"/>
    </row>
    <row r="938" spans="1:28" s="2" customFormat="1" ht="15">
      <c r="A938" s="61" t="s">
        <v>776</v>
      </c>
      <c r="B938" s="61" t="s">
        <v>1160</v>
      </c>
      <c r="C938" s="61" t="s">
        <v>3508</v>
      </c>
      <c r="D938" s="61" t="s">
        <v>7838</v>
      </c>
      <c r="E938" s="61">
        <v>2436</v>
      </c>
      <c r="F938" s="61">
        <v>2821</v>
      </c>
      <c r="G938" s="61">
        <v>2025</v>
      </c>
      <c r="H938" s="61" t="s">
        <v>3126</v>
      </c>
      <c r="I938" s="61" t="s">
        <v>508</v>
      </c>
      <c r="J938" s="61"/>
      <c r="K938" s="61" t="s">
        <v>1982</v>
      </c>
      <c r="L938" s="61" t="s">
        <v>8343</v>
      </c>
      <c r="M938" s="475">
        <v>45883</v>
      </c>
      <c r="N938" s="475">
        <v>45886</v>
      </c>
      <c r="O938" s="61"/>
      <c r="P938" s="475">
        <v>45887</v>
      </c>
      <c r="Q938" s="475">
        <v>45888</v>
      </c>
      <c r="R938" s="61">
        <f t="shared" si="67"/>
        <v>1</v>
      </c>
      <c r="S938" s="61" t="str">
        <f t="shared" si="68"/>
        <v/>
      </c>
      <c r="T938" s="61">
        <f t="shared" ref="T938:T971" si="69">IF(
  OR(A938 = "Nueva_Ecija", A938 = "Zambales"),
  IF(
    OR(ISBLANK(O938), ISBLANK(P938)),
    "",
    MAX(1, IF(
      NETWORKDAYS(O938, P938) &lt;= 0,
      1,
      NETWORKDAYS(O938, P938) - IF(O938 = P938, 0, 1)
    ))
  ),
  IF(
    OR(ISBLANK(N938), ISBLANK(P938)),
    "",
    MAX(1, IF(
      NETWORKDAYS(N938, P938) &lt;= 0,
      1,
      NETWORKDAYS(N938, P938) - IF(N938 = P938, 0, 1)
    ))
  )
)</f>
        <v>1</v>
      </c>
      <c r="U938" s="61">
        <f t="shared" si="65"/>
        <v>1</v>
      </c>
      <c r="V938" s="61" t="s">
        <v>150</v>
      </c>
      <c r="W938" s="61" t="s">
        <v>1078</v>
      </c>
      <c r="X938" s="61" t="s">
        <v>50</v>
      </c>
      <c r="Y938" s="61">
        <v>14.798299999999999</v>
      </c>
      <c r="Z938" s="61">
        <v>120.9879</v>
      </c>
      <c r="AA938" s="61"/>
      <c r="AB938" s="61"/>
    </row>
    <row r="939" spans="1:28" s="2" customFormat="1" ht="15">
      <c r="A939" s="61" t="s">
        <v>776</v>
      </c>
      <c r="B939" s="61" t="s">
        <v>1160</v>
      </c>
      <c r="C939" s="61" t="s">
        <v>4491</v>
      </c>
      <c r="D939" s="61" t="s">
        <v>7838</v>
      </c>
      <c r="E939" s="61">
        <v>2337</v>
      </c>
      <c r="F939" s="61">
        <v>2319</v>
      </c>
      <c r="G939" s="61">
        <v>2025</v>
      </c>
      <c r="H939" s="61" t="s">
        <v>3126</v>
      </c>
      <c r="I939" s="61" t="s">
        <v>508</v>
      </c>
      <c r="J939" s="61"/>
      <c r="K939" s="61" t="s">
        <v>1982</v>
      </c>
      <c r="L939" s="61" t="s">
        <v>8344</v>
      </c>
      <c r="M939" s="475">
        <v>45882</v>
      </c>
      <c r="N939" s="475">
        <v>45886</v>
      </c>
      <c r="O939" s="61"/>
      <c r="P939" s="475">
        <v>45887</v>
      </c>
      <c r="Q939" s="475">
        <v>45888</v>
      </c>
      <c r="R939" s="61">
        <f t="shared" si="67"/>
        <v>2</v>
      </c>
      <c r="S939" s="61" t="str">
        <f t="shared" si="68"/>
        <v/>
      </c>
      <c r="T939" s="61">
        <f t="shared" si="69"/>
        <v>1</v>
      </c>
      <c r="U939" s="61">
        <f t="shared" si="65"/>
        <v>1</v>
      </c>
      <c r="V939" s="61" t="s">
        <v>150</v>
      </c>
      <c r="W939" s="61" t="s">
        <v>1078</v>
      </c>
      <c r="X939" s="61" t="s">
        <v>50</v>
      </c>
      <c r="Y939" s="61" t="s">
        <v>8345</v>
      </c>
      <c r="Z939" s="61" t="s">
        <v>8345</v>
      </c>
      <c r="AA939" s="61"/>
      <c r="AB939" s="61"/>
    </row>
    <row r="940" spans="1:28" s="2" customFormat="1" ht="15">
      <c r="A940" s="61" t="s">
        <v>776</v>
      </c>
      <c r="B940" s="61" t="s">
        <v>1160</v>
      </c>
      <c r="C940" s="61" t="s">
        <v>4492</v>
      </c>
      <c r="D940" s="61" t="s">
        <v>7838</v>
      </c>
      <c r="E940" s="61">
        <v>9373</v>
      </c>
      <c r="F940" s="61">
        <v>10381</v>
      </c>
      <c r="G940" s="61">
        <v>2025</v>
      </c>
      <c r="H940" s="61" t="s">
        <v>3126</v>
      </c>
      <c r="I940" s="61" t="s">
        <v>508</v>
      </c>
      <c r="J940" s="61"/>
      <c r="K940" s="61" t="s">
        <v>1982</v>
      </c>
      <c r="L940" s="61" t="s">
        <v>8346</v>
      </c>
      <c r="M940" s="475">
        <v>45877</v>
      </c>
      <c r="N940" s="475">
        <v>45886</v>
      </c>
      <c r="O940" s="475"/>
      <c r="P940" s="475">
        <v>45888</v>
      </c>
      <c r="Q940" s="475">
        <v>45888</v>
      </c>
      <c r="R940" s="61">
        <f t="shared" si="67"/>
        <v>5</v>
      </c>
      <c r="S940" s="61" t="str">
        <f t="shared" si="68"/>
        <v/>
      </c>
      <c r="T940" s="61">
        <f t="shared" si="69"/>
        <v>1</v>
      </c>
      <c r="U940" s="61">
        <f t="shared" si="65"/>
        <v>1</v>
      </c>
      <c r="V940" s="61" t="s">
        <v>150</v>
      </c>
      <c r="W940" s="61" t="s">
        <v>1078</v>
      </c>
      <c r="X940" s="61" t="s">
        <v>50</v>
      </c>
      <c r="Y940" s="61">
        <v>14.8741</v>
      </c>
      <c r="Z940" s="61">
        <v>120.9796</v>
      </c>
      <c r="AA940" s="61"/>
      <c r="AB940" s="61"/>
    </row>
    <row r="941" spans="1:28" s="2" customFormat="1" ht="15">
      <c r="A941" s="61" t="s">
        <v>776</v>
      </c>
      <c r="B941" s="61" t="s">
        <v>1160</v>
      </c>
      <c r="C941" s="61" t="s">
        <v>4494</v>
      </c>
      <c r="D941" s="61" t="s">
        <v>7838</v>
      </c>
      <c r="E941" s="61">
        <v>2398</v>
      </c>
      <c r="F941" s="61">
        <v>2779</v>
      </c>
      <c r="G941" s="61">
        <v>2025</v>
      </c>
      <c r="H941" s="61" t="s">
        <v>3126</v>
      </c>
      <c r="I941" s="61" t="s">
        <v>508</v>
      </c>
      <c r="J941" s="61"/>
      <c r="K941" s="61" t="s">
        <v>1982</v>
      </c>
      <c r="L941" s="61" t="s">
        <v>8347</v>
      </c>
      <c r="M941" s="475">
        <v>45882</v>
      </c>
      <c r="N941" s="475">
        <v>45886</v>
      </c>
      <c r="O941" s="61"/>
      <c r="P941" s="475">
        <v>45887</v>
      </c>
      <c r="Q941" s="475">
        <v>45888</v>
      </c>
      <c r="R941" s="61">
        <f t="shared" si="67"/>
        <v>2</v>
      </c>
      <c r="S941" s="61" t="str">
        <f t="shared" si="68"/>
        <v/>
      </c>
      <c r="T941" s="61">
        <f t="shared" si="69"/>
        <v>1</v>
      </c>
      <c r="U941" s="61">
        <f t="shared" si="65"/>
        <v>1</v>
      </c>
      <c r="V941" s="61" t="s">
        <v>150</v>
      </c>
      <c r="W941" s="61" t="s">
        <v>1078</v>
      </c>
      <c r="X941" s="61" t="s">
        <v>50</v>
      </c>
      <c r="Y941" s="61" t="s">
        <v>8348</v>
      </c>
      <c r="Z941" s="61" t="s">
        <v>8348</v>
      </c>
      <c r="AA941" s="61"/>
      <c r="AB941" s="61"/>
    </row>
    <row r="942" spans="1:28" s="2" customFormat="1" ht="15">
      <c r="A942" s="61" t="s">
        <v>776</v>
      </c>
      <c r="B942" s="61" t="s">
        <v>1160</v>
      </c>
      <c r="C942" s="61" t="s">
        <v>1164</v>
      </c>
      <c r="D942" s="61" t="s">
        <v>7838</v>
      </c>
      <c r="E942" s="61">
        <v>8448</v>
      </c>
      <c r="F942" s="61">
        <v>9419</v>
      </c>
      <c r="G942" s="61">
        <v>2025</v>
      </c>
      <c r="H942" s="61" t="s">
        <v>3126</v>
      </c>
      <c r="I942" s="61" t="s">
        <v>508</v>
      </c>
      <c r="J942" s="61"/>
      <c r="K942" s="61" t="s">
        <v>1982</v>
      </c>
      <c r="L942" s="61" t="s">
        <v>8349</v>
      </c>
      <c r="M942" s="475">
        <v>45883</v>
      </c>
      <c r="N942" s="475">
        <v>45886</v>
      </c>
      <c r="O942" s="61"/>
      <c r="P942" s="475">
        <v>45887</v>
      </c>
      <c r="Q942" s="475">
        <v>45888</v>
      </c>
      <c r="R942" s="61">
        <f t="shared" si="67"/>
        <v>1</v>
      </c>
      <c r="S942" s="61" t="str">
        <f t="shared" si="68"/>
        <v/>
      </c>
      <c r="T942" s="61">
        <f t="shared" si="69"/>
        <v>1</v>
      </c>
      <c r="U942" s="61">
        <f t="shared" si="65"/>
        <v>1</v>
      </c>
      <c r="V942" s="61" t="s">
        <v>150</v>
      </c>
      <c r="W942" s="61" t="s">
        <v>1078</v>
      </c>
      <c r="X942" s="61" t="s">
        <v>50</v>
      </c>
      <c r="Y942" s="61">
        <v>14.810600000000001</v>
      </c>
      <c r="Z942" s="61">
        <v>120.9863</v>
      </c>
      <c r="AA942" s="61"/>
      <c r="AB942" s="61"/>
    </row>
    <row r="943" spans="1:28" s="2" customFormat="1" ht="15">
      <c r="A943" s="61" t="s">
        <v>776</v>
      </c>
      <c r="B943" s="61" t="s">
        <v>1160</v>
      </c>
      <c r="C943" s="61" t="s">
        <v>4496</v>
      </c>
      <c r="D943" s="61" t="s">
        <v>7838</v>
      </c>
      <c r="E943" s="61">
        <v>36893</v>
      </c>
      <c r="F943" s="61">
        <v>41218</v>
      </c>
      <c r="G943" s="61">
        <v>2025</v>
      </c>
      <c r="H943" s="61" t="s">
        <v>3126</v>
      </c>
      <c r="I943" s="61" t="s">
        <v>508</v>
      </c>
      <c r="J943" s="61"/>
      <c r="K943" s="61" t="s">
        <v>1982</v>
      </c>
      <c r="L943" s="61" t="s">
        <v>8350</v>
      </c>
      <c r="M943" s="475">
        <v>45877</v>
      </c>
      <c r="N943" s="475">
        <v>45886</v>
      </c>
      <c r="O943" s="61"/>
      <c r="P943" s="475">
        <v>45888</v>
      </c>
      <c r="Q943" s="475">
        <v>45888</v>
      </c>
      <c r="R943" s="61">
        <f t="shared" si="67"/>
        <v>5</v>
      </c>
      <c r="S943" s="61" t="str">
        <f t="shared" si="68"/>
        <v/>
      </c>
      <c r="T943" s="61">
        <f t="shared" si="69"/>
        <v>1</v>
      </c>
      <c r="U943" s="61">
        <f t="shared" si="65"/>
        <v>1</v>
      </c>
      <c r="V943" s="61" t="s">
        <v>150</v>
      </c>
      <c r="W943" s="61" t="s">
        <v>1078</v>
      </c>
      <c r="X943" s="61" t="s">
        <v>50</v>
      </c>
      <c r="Y943" s="61">
        <v>14.8713</v>
      </c>
      <c r="Z943" s="61">
        <v>121.0017</v>
      </c>
      <c r="AA943" s="61"/>
      <c r="AB943" s="61"/>
    </row>
    <row r="944" spans="1:28" s="2" customFormat="1" ht="15">
      <c r="A944" s="61" t="s">
        <v>776</v>
      </c>
      <c r="B944" s="61" t="s">
        <v>1160</v>
      </c>
      <c r="C944" s="61" t="s">
        <v>4497</v>
      </c>
      <c r="D944" s="61" t="s">
        <v>7838</v>
      </c>
      <c r="E944" s="61">
        <v>11282</v>
      </c>
      <c r="F944" s="61">
        <v>13985</v>
      </c>
      <c r="G944" s="61">
        <v>2025</v>
      </c>
      <c r="H944" s="61" t="s">
        <v>3126</v>
      </c>
      <c r="I944" s="61" t="s">
        <v>508</v>
      </c>
      <c r="J944" s="61"/>
      <c r="K944" s="61" t="s">
        <v>1982</v>
      </c>
      <c r="L944" s="61" t="s">
        <v>8351</v>
      </c>
      <c r="M944" s="475">
        <v>45882</v>
      </c>
      <c r="N944" s="475">
        <v>45886</v>
      </c>
      <c r="O944" s="61"/>
      <c r="P944" s="475">
        <v>45887</v>
      </c>
      <c r="Q944" s="475">
        <v>45888</v>
      </c>
      <c r="R944" s="61">
        <f t="shared" si="67"/>
        <v>2</v>
      </c>
      <c r="S944" s="61" t="str">
        <f t="shared" si="68"/>
        <v/>
      </c>
      <c r="T944" s="61">
        <f t="shared" si="69"/>
        <v>1</v>
      </c>
      <c r="U944" s="61">
        <f t="shared" si="65"/>
        <v>1</v>
      </c>
      <c r="V944" s="61" t="s">
        <v>150</v>
      </c>
      <c r="W944" s="61" t="s">
        <v>1078</v>
      </c>
      <c r="X944" s="61" t="s">
        <v>50</v>
      </c>
      <c r="Y944" s="61" t="s">
        <v>8352</v>
      </c>
      <c r="Z944" s="61" t="s">
        <v>8353</v>
      </c>
      <c r="AA944" s="61"/>
      <c r="AB944" s="61"/>
    </row>
    <row r="945" spans="1:28" s="2" customFormat="1" ht="15">
      <c r="A945" s="61" t="s">
        <v>776</v>
      </c>
      <c r="B945" s="61" t="s">
        <v>1160</v>
      </c>
      <c r="C945" s="61" t="s">
        <v>1166</v>
      </c>
      <c r="D945" s="61" t="s">
        <v>7838</v>
      </c>
      <c r="E945" s="61">
        <v>16871</v>
      </c>
      <c r="F945" s="61">
        <v>24451</v>
      </c>
      <c r="G945" s="61">
        <v>2025</v>
      </c>
      <c r="H945" s="61" t="s">
        <v>3126</v>
      </c>
      <c r="I945" s="61" t="s">
        <v>508</v>
      </c>
      <c r="J945" s="61"/>
      <c r="K945" s="61" t="s">
        <v>1982</v>
      </c>
      <c r="L945" s="61" t="s">
        <v>8354</v>
      </c>
      <c r="M945" s="475">
        <v>45883</v>
      </c>
      <c r="N945" s="475">
        <v>45886</v>
      </c>
      <c r="O945" s="61"/>
      <c r="P945" s="475">
        <v>45887</v>
      </c>
      <c r="Q945" s="475">
        <v>45888</v>
      </c>
      <c r="R945" s="61">
        <f t="shared" si="67"/>
        <v>1</v>
      </c>
      <c r="S945" s="61" t="str">
        <f t="shared" si="68"/>
        <v/>
      </c>
      <c r="T945" s="61">
        <f t="shared" si="69"/>
        <v>1</v>
      </c>
      <c r="U945" s="61">
        <f t="shared" si="65"/>
        <v>1</v>
      </c>
      <c r="V945" s="61" t="s">
        <v>150</v>
      </c>
      <c r="W945" s="61" t="s">
        <v>1078</v>
      </c>
      <c r="X945" s="61" t="s">
        <v>50</v>
      </c>
      <c r="Y945" s="484">
        <v>14.806900000000001</v>
      </c>
      <c r="Z945" s="484">
        <v>121.0039</v>
      </c>
      <c r="AA945" s="61"/>
      <c r="AB945" s="61"/>
    </row>
    <row r="946" spans="1:28" s="2" customFormat="1" ht="15">
      <c r="A946" s="61" t="s">
        <v>776</v>
      </c>
      <c r="B946" s="61" t="s">
        <v>1160</v>
      </c>
      <c r="C946" s="61" t="s">
        <v>4499</v>
      </c>
      <c r="D946" s="61" t="s">
        <v>7838</v>
      </c>
      <c r="E946" s="61">
        <v>12115</v>
      </c>
      <c r="F946" s="61">
        <v>12419</v>
      </c>
      <c r="G946" s="61">
        <v>2025</v>
      </c>
      <c r="H946" s="61" t="s">
        <v>3126</v>
      </c>
      <c r="I946" s="61" t="s">
        <v>508</v>
      </c>
      <c r="J946" s="61"/>
      <c r="K946" s="61" t="s">
        <v>1982</v>
      </c>
      <c r="L946" s="61" t="s">
        <v>8355</v>
      </c>
      <c r="M946" s="475">
        <v>45882</v>
      </c>
      <c r="N946" s="475">
        <v>45886</v>
      </c>
      <c r="O946" s="61"/>
      <c r="P946" s="475">
        <v>45887</v>
      </c>
      <c r="Q946" s="475">
        <v>45888</v>
      </c>
      <c r="R946" s="61">
        <f t="shared" si="67"/>
        <v>2</v>
      </c>
      <c r="S946" s="61" t="str">
        <f t="shared" si="68"/>
        <v/>
      </c>
      <c r="T946" s="61">
        <f t="shared" si="69"/>
        <v>1</v>
      </c>
      <c r="U946" s="61">
        <f t="shared" si="65"/>
        <v>1</v>
      </c>
      <c r="V946" s="61" t="s">
        <v>150</v>
      </c>
      <c r="W946" s="61" t="s">
        <v>1078</v>
      </c>
      <c r="X946" s="61" t="s">
        <v>50</v>
      </c>
      <c r="Y946" s="484">
        <v>14.8225</v>
      </c>
      <c r="Z946" s="484">
        <v>120.9504</v>
      </c>
      <c r="AA946" s="61"/>
      <c r="AB946" s="61"/>
    </row>
    <row r="947" spans="1:28" s="2" customFormat="1" ht="15">
      <c r="A947" s="61" t="s">
        <v>776</v>
      </c>
      <c r="B947" s="61" t="s">
        <v>1160</v>
      </c>
      <c r="C947" s="61" t="s">
        <v>4487</v>
      </c>
      <c r="D947" s="61" t="s">
        <v>7838</v>
      </c>
      <c r="E947" s="61">
        <v>28947</v>
      </c>
      <c r="F947" s="61">
        <v>32674</v>
      </c>
      <c r="G947" s="61"/>
      <c r="H947" s="61"/>
      <c r="I947" s="61" t="s">
        <v>508</v>
      </c>
      <c r="J947" s="61"/>
      <c r="K947" s="61" t="s">
        <v>1982</v>
      </c>
      <c r="L947" s="61"/>
      <c r="M947" s="475"/>
      <c r="N947" s="475"/>
      <c r="O947" s="475"/>
      <c r="P947" s="475"/>
      <c r="Q947" s="61"/>
      <c r="R947" s="61" t="str">
        <f t="shared" si="67"/>
        <v/>
      </c>
      <c r="S947" s="61" t="str">
        <f t="shared" si="68"/>
        <v/>
      </c>
      <c r="T947" s="61" t="str">
        <f t="shared" si="69"/>
        <v/>
      </c>
      <c r="U947" s="61" t="str">
        <f t="shared" si="65"/>
        <v/>
      </c>
      <c r="V947" s="61"/>
      <c r="W947" s="61" t="s">
        <v>3527</v>
      </c>
      <c r="X947" s="61" t="s">
        <v>3528</v>
      </c>
      <c r="Y947" s="61"/>
      <c r="Z947" s="61"/>
      <c r="AA947" s="61" t="s">
        <v>182</v>
      </c>
      <c r="AB947" s="61"/>
    </row>
    <row r="948" spans="1:28" s="2" customFormat="1" ht="15">
      <c r="A948" s="61" t="s">
        <v>776</v>
      </c>
      <c r="B948" s="61" t="s">
        <v>1160</v>
      </c>
      <c r="C948" s="61" t="s">
        <v>4493</v>
      </c>
      <c r="D948" s="61" t="s">
        <v>7838</v>
      </c>
      <c r="E948" s="61">
        <v>4361</v>
      </c>
      <c r="F948" s="61">
        <v>5140</v>
      </c>
      <c r="G948" s="61">
        <v>2025</v>
      </c>
      <c r="H948" s="61" t="s">
        <v>3458</v>
      </c>
      <c r="I948" s="61" t="s">
        <v>508</v>
      </c>
      <c r="J948" s="61" t="s">
        <v>328</v>
      </c>
      <c r="K948" s="61" t="s">
        <v>1982</v>
      </c>
      <c r="L948" s="61" t="s">
        <v>8356</v>
      </c>
      <c r="M948" s="475">
        <v>45693</v>
      </c>
      <c r="N948" s="475">
        <v>45706</v>
      </c>
      <c r="O948" s="475">
        <v>45707</v>
      </c>
      <c r="P948" s="475">
        <v>45707</v>
      </c>
      <c r="Q948" s="475">
        <v>45707</v>
      </c>
      <c r="R948" s="61">
        <f t="shared" si="67"/>
        <v>9</v>
      </c>
      <c r="S948" s="61">
        <f t="shared" si="68"/>
        <v>1</v>
      </c>
      <c r="T948" s="61">
        <f t="shared" si="69"/>
        <v>1</v>
      </c>
      <c r="U948" s="61">
        <f t="shared" si="65"/>
        <v>1</v>
      </c>
      <c r="V948" s="61" t="s">
        <v>150</v>
      </c>
      <c r="W948" s="61" t="s">
        <v>3527</v>
      </c>
      <c r="X948" s="61" t="s">
        <v>3528</v>
      </c>
      <c r="Y948" s="61"/>
      <c r="Z948" s="61"/>
      <c r="AA948" s="61" t="s">
        <v>182</v>
      </c>
      <c r="AB948" s="61"/>
    </row>
    <row r="949" spans="1:28" s="2" customFormat="1" ht="15">
      <c r="A949" s="61" t="s">
        <v>776</v>
      </c>
      <c r="B949" s="61" t="s">
        <v>1160</v>
      </c>
      <c r="C949" s="61" t="s">
        <v>4140</v>
      </c>
      <c r="D949" s="61" t="s">
        <v>7838</v>
      </c>
      <c r="E949" s="61">
        <v>8912</v>
      </c>
      <c r="F949" s="61">
        <v>7839</v>
      </c>
      <c r="G949" s="61"/>
      <c r="H949" s="61"/>
      <c r="I949" s="61" t="s">
        <v>508</v>
      </c>
      <c r="J949" s="61"/>
      <c r="K949" s="61" t="s">
        <v>1982</v>
      </c>
      <c r="L949" s="61"/>
      <c r="M949" s="61"/>
      <c r="N949" s="61"/>
      <c r="O949" s="61"/>
      <c r="P949" s="61"/>
      <c r="Q949" s="61"/>
      <c r="R949" s="61" t="str">
        <f t="shared" si="67"/>
        <v/>
      </c>
      <c r="S949" s="61" t="str">
        <f t="shared" si="68"/>
        <v/>
      </c>
      <c r="T949" s="61" t="str">
        <f t="shared" si="69"/>
        <v/>
      </c>
      <c r="U949" s="61" t="str">
        <f t="shared" si="65"/>
        <v/>
      </c>
      <c r="V949" s="61"/>
      <c r="W949" s="61"/>
      <c r="X949" s="61"/>
      <c r="Y949" s="61"/>
      <c r="Z949" s="61"/>
      <c r="AA949" s="61"/>
      <c r="AB949" s="61"/>
    </row>
    <row r="950" spans="1:28" s="2" customFormat="1" ht="15">
      <c r="A950" s="61" t="s">
        <v>776</v>
      </c>
      <c r="B950" s="61" t="s">
        <v>1160</v>
      </c>
      <c r="C950" s="61" t="s">
        <v>4482</v>
      </c>
      <c r="D950" s="61" t="s">
        <v>7838</v>
      </c>
      <c r="E950" s="61">
        <v>7900</v>
      </c>
      <c r="F950" s="61">
        <v>9732</v>
      </c>
      <c r="G950" s="61"/>
      <c r="H950" s="61"/>
      <c r="I950" s="61" t="s">
        <v>508</v>
      </c>
      <c r="J950" s="61"/>
      <c r="K950" s="61" t="s">
        <v>1982</v>
      </c>
      <c r="L950" s="61"/>
      <c r="M950" s="61"/>
      <c r="N950" s="61"/>
      <c r="O950" s="61"/>
      <c r="P950" s="61"/>
      <c r="Q950" s="61"/>
      <c r="R950" s="61" t="str">
        <f t="shared" si="67"/>
        <v/>
      </c>
      <c r="S950" s="61" t="str">
        <f t="shared" si="68"/>
        <v/>
      </c>
      <c r="T950" s="61" t="str">
        <f t="shared" si="69"/>
        <v/>
      </c>
      <c r="U950" s="61" t="str">
        <f t="shared" si="65"/>
        <v/>
      </c>
      <c r="V950" s="61"/>
      <c r="W950" s="61"/>
      <c r="X950" s="61"/>
      <c r="Y950" s="61"/>
      <c r="Z950" s="61"/>
      <c r="AA950" s="61"/>
      <c r="AB950" s="61"/>
    </row>
    <row r="951" spans="1:28" s="2" customFormat="1" ht="15">
      <c r="A951" s="61" t="s">
        <v>776</v>
      </c>
      <c r="B951" s="61" t="s">
        <v>1160</v>
      </c>
      <c r="C951" s="61" t="s">
        <v>4484</v>
      </c>
      <c r="D951" s="61" t="s">
        <v>7838</v>
      </c>
      <c r="E951" s="61">
        <v>9225</v>
      </c>
      <c r="F951" s="61">
        <v>10015</v>
      </c>
      <c r="G951" s="61"/>
      <c r="H951" s="61"/>
      <c r="I951" s="61" t="s">
        <v>508</v>
      </c>
      <c r="J951" s="61"/>
      <c r="K951" s="61" t="s">
        <v>1982</v>
      </c>
      <c r="L951" s="61"/>
      <c r="M951" s="61"/>
      <c r="N951" s="61"/>
      <c r="O951" s="61"/>
      <c r="P951" s="61"/>
      <c r="Q951" s="61"/>
      <c r="R951" s="61" t="str">
        <f t="shared" si="67"/>
        <v/>
      </c>
      <c r="S951" s="61" t="str">
        <f t="shared" si="68"/>
        <v/>
      </c>
      <c r="T951" s="61" t="str">
        <f t="shared" si="69"/>
        <v/>
      </c>
      <c r="U951" s="61" t="str">
        <f t="shared" si="65"/>
        <v/>
      </c>
      <c r="V951" s="61"/>
      <c r="W951" s="61"/>
      <c r="X951" s="61"/>
      <c r="Y951" s="61"/>
      <c r="Z951" s="61"/>
      <c r="AA951" s="61"/>
      <c r="AB951" s="61"/>
    </row>
    <row r="952" spans="1:28" s="2" customFormat="1" ht="15">
      <c r="A952" s="61" t="s">
        <v>776</v>
      </c>
      <c r="B952" s="61" t="s">
        <v>1160</v>
      </c>
      <c r="C952" s="61" t="s">
        <v>4485</v>
      </c>
      <c r="D952" s="61" t="s">
        <v>7838</v>
      </c>
      <c r="E952" s="61">
        <v>5388</v>
      </c>
      <c r="F952" s="61">
        <v>5019</v>
      </c>
      <c r="G952" s="61"/>
      <c r="H952" s="61"/>
      <c r="I952" s="61" t="s">
        <v>508</v>
      </c>
      <c r="J952" s="61"/>
      <c r="K952" s="61" t="s">
        <v>1982</v>
      </c>
      <c r="L952" s="61"/>
      <c r="M952" s="61"/>
      <c r="N952" s="61"/>
      <c r="O952" s="61"/>
      <c r="P952" s="61"/>
      <c r="Q952" s="61"/>
      <c r="R952" s="61" t="str">
        <f t="shared" si="67"/>
        <v/>
      </c>
      <c r="S952" s="61" t="str">
        <f t="shared" si="68"/>
        <v/>
      </c>
      <c r="T952" s="61" t="str">
        <f t="shared" si="69"/>
        <v/>
      </c>
      <c r="U952" s="61" t="str">
        <f t="shared" si="65"/>
        <v/>
      </c>
      <c r="V952" s="61"/>
      <c r="W952" s="61"/>
      <c r="X952" s="61"/>
      <c r="Y952" s="61"/>
      <c r="Z952" s="61"/>
      <c r="AA952" s="61"/>
      <c r="AB952" s="61"/>
    </row>
    <row r="953" spans="1:28" s="2" customFormat="1" ht="15">
      <c r="A953" s="61" t="s">
        <v>776</v>
      </c>
      <c r="B953" s="61" t="s">
        <v>1160</v>
      </c>
      <c r="C953" s="61" t="s">
        <v>4489</v>
      </c>
      <c r="D953" s="61" t="s">
        <v>7838</v>
      </c>
      <c r="E953" s="61">
        <v>14365</v>
      </c>
      <c r="F953" s="61">
        <v>14979</v>
      </c>
      <c r="G953" s="61"/>
      <c r="H953" s="61"/>
      <c r="I953" s="61" t="s">
        <v>508</v>
      </c>
      <c r="J953" s="61"/>
      <c r="K953" s="61" t="s">
        <v>1982</v>
      </c>
      <c r="L953" s="61"/>
      <c r="M953" s="61"/>
      <c r="N953" s="61"/>
      <c r="O953" s="61"/>
      <c r="P953" s="61"/>
      <c r="Q953" s="61"/>
      <c r="R953" s="61" t="str">
        <f t="shared" si="67"/>
        <v/>
      </c>
      <c r="S953" s="61" t="str">
        <f t="shared" si="68"/>
        <v/>
      </c>
      <c r="T953" s="61" t="str">
        <f t="shared" si="69"/>
        <v/>
      </c>
      <c r="U953" s="61" t="str">
        <f t="shared" si="65"/>
        <v/>
      </c>
      <c r="V953" s="61"/>
      <c r="W953" s="61"/>
      <c r="X953" s="61"/>
      <c r="Y953" s="61"/>
      <c r="Z953" s="61"/>
      <c r="AA953" s="61"/>
      <c r="AB953" s="61"/>
    </row>
    <row r="954" spans="1:28" s="2" customFormat="1" ht="15">
      <c r="A954" s="61" t="s">
        <v>776</v>
      </c>
      <c r="B954" s="61" t="s">
        <v>1160</v>
      </c>
      <c r="C954" s="61" t="s">
        <v>4490</v>
      </c>
      <c r="D954" s="61" t="s">
        <v>7838</v>
      </c>
      <c r="E954" s="61">
        <v>14749</v>
      </c>
      <c r="F954" s="61">
        <v>16909</v>
      </c>
      <c r="G954" s="61"/>
      <c r="H954" s="61"/>
      <c r="I954" s="61" t="s">
        <v>508</v>
      </c>
      <c r="J954" s="61"/>
      <c r="K954" s="61" t="s">
        <v>1982</v>
      </c>
      <c r="L954" s="61"/>
      <c r="M954" s="61"/>
      <c r="N954" s="61"/>
      <c r="O954" s="61"/>
      <c r="P954" s="61"/>
      <c r="Q954" s="61"/>
      <c r="R954" s="61" t="str">
        <f t="shared" si="67"/>
        <v/>
      </c>
      <c r="S954" s="61" t="str">
        <f t="shared" si="68"/>
        <v/>
      </c>
      <c r="T954" s="61" t="str">
        <f t="shared" si="69"/>
        <v/>
      </c>
      <c r="U954" s="61" t="str">
        <f t="shared" si="65"/>
        <v/>
      </c>
      <c r="V954" s="61"/>
      <c r="W954" s="61"/>
      <c r="X954" s="61"/>
      <c r="Y954" s="61"/>
      <c r="Z954" s="61"/>
      <c r="AA954" s="61"/>
      <c r="AB954" s="61"/>
    </row>
    <row r="955" spans="1:28" s="2" customFormat="1" ht="15">
      <c r="A955" s="61" t="s">
        <v>776</v>
      </c>
      <c r="B955" s="61" t="s">
        <v>1160</v>
      </c>
      <c r="C955" s="61" t="s">
        <v>1899</v>
      </c>
      <c r="D955" s="61" t="s">
        <v>7838</v>
      </c>
      <c r="E955" s="61">
        <v>9211</v>
      </c>
      <c r="F955" s="61">
        <v>11364</v>
      </c>
      <c r="G955" s="61"/>
      <c r="H955" s="61"/>
      <c r="I955" s="61" t="s">
        <v>508</v>
      </c>
      <c r="J955" s="61"/>
      <c r="K955" s="61" t="s">
        <v>1982</v>
      </c>
      <c r="L955" s="61"/>
      <c r="M955" s="61"/>
      <c r="N955" s="61"/>
      <c r="O955" s="61"/>
      <c r="P955" s="61"/>
      <c r="Q955" s="61"/>
      <c r="R955" s="61" t="str">
        <f t="shared" si="67"/>
        <v/>
      </c>
      <c r="S955" s="61" t="str">
        <f t="shared" si="68"/>
        <v/>
      </c>
      <c r="T955" s="61" t="str">
        <f t="shared" si="69"/>
        <v/>
      </c>
      <c r="U955" s="61" t="str">
        <f t="shared" si="65"/>
        <v/>
      </c>
      <c r="V955" s="61"/>
      <c r="W955" s="61"/>
      <c r="X955" s="61"/>
      <c r="Y955" s="61"/>
      <c r="Z955" s="61"/>
      <c r="AA955" s="61"/>
      <c r="AB955" s="61"/>
    </row>
    <row r="956" spans="1:28" s="2" customFormat="1" ht="15">
      <c r="A956" s="61" t="s">
        <v>776</v>
      </c>
      <c r="B956" s="61" t="s">
        <v>1160</v>
      </c>
      <c r="C956" s="61" t="s">
        <v>4500</v>
      </c>
      <c r="D956" s="61" t="s">
        <v>7838</v>
      </c>
      <c r="E956" s="61">
        <v>2028</v>
      </c>
      <c r="F956" s="61">
        <v>2102</v>
      </c>
      <c r="G956" s="61"/>
      <c r="H956" s="61"/>
      <c r="I956" s="61" t="s">
        <v>508</v>
      </c>
      <c r="J956" s="61"/>
      <c r="K956" s="61" t="s">
        <v>1982</v>
      </c>
      <c r="L956" s="61"/>
      <c r="M956" s="61"/>
      <c r="N956" s="61"/>
      <c r="O956" s="61"/>
      <c r="P956" s="61"/>
      <c r="Q956" s="61"/>
      <c r="R956" s="61" t="str">
        <f t="shared" si="67"/>
        <v/>
      </c>
      <c r="S956" s="61" t="str">
        <f t="shared" si="68"/>
        <v/>
      </c>
      <c r="T956" s="61" t="str">
        <f t="shared" si="69"/>
        <v/>
      </c>
      <c r="U956" s="61" t="str">
        <f t="shared" si="65"/>
        <v/>
      </c>
      <c r="V956" s="61"/>
      <c r="W956" s="61"/>
      <c r="X956" s="61"/>
      <c r="Y956" s="61"/>
      <c r="Z956" s="61"/>
      <c r="AA956" s="61"/>
      <c r="AB956" s="61"/>
    </row>
    <row r="957" spans="1:28" s="2" customFormat="1" ht="15">
      <c r="A957" s="61" t="s">
        <v>776</v>
      </c>
      <c r="B957" s="61" t="s">
        <v>1160</v>
      </c>
      <c r="C957" s="61" t="s">
        <v>4501</v>
      </c>
      <c r="D957" s="61" t="s">
        <v>7838</v>
      </c>
      <c r="E957" s="61">
        <v>5716</v>
      </c>
      <c r="F957" s="61">
        <v>5410</v>
      </c>
      <c r="G957" s="61"/>
      <c r="H957" s="61"/>
      <c r="I957" s="61" t="s">
        <v>508</v>
      </c>
      <c r="J957" s="61"/>
      <c r="K957" s="61" t="s">
        <v>1982</v>
      </c>
      <c r="L957" s="61"/>
      <c r="M957" s="61"/>
      <c r="N957" s="61"/>
      <c r="O957" s="61"/>
      <c r="P957" s="61"/>
      <c r="Q957" s="61"/>
      <c r="R957" s="61" t="str">
        <f t="shared" si="67"/>
        <v/>
      </c>
      <c r="S957" s="61" t="str">
        <f t="shared" si="68"/>
        <v/>
      </c>
      <c r="T957" s="61" t="str">
        <f t="shared" si="69"/>
        <v/>
      </c>
      <c r="U957" s="61" t="str">
        <f t="shared" si="65"/>
        <v/>
      </c>
      <c r="V957" s="61"/>
      <c r="W957" s="61"/>
      <c r="X957" s="61"/>
      <c r="Y957" s="61"/>
      <c r="Z957" s="61"/>
      <c r="AA957" s="61"/>
      <c r="AB957" s="61"/>
    </row>
    <row r="958" spans="1:28" s="2" customFormat="1" ht="15">
      <c r="A958" s="61" t="s">
        <v>776</v>
      </c>
      <c r="B958" s="61" t="s">
        <v>1160</v>
      </c>
      <c r="C958" s="61" t="s">
        <v>4502</v>
      </c>
      <c r="D958" s="61" t="s">
        <v>7838</v>
      </c>
      <c r="E958" s="61">
        <v>8824</v>
      </c>
      <c r="F958" s="61">
        <v>10406</v>
      </c>
      <c r="G958" s="61"/>
      <c r="H958" s="61"/>
      <c r="I958" s="61" t="s">
        <v>508</v>
      </c>
      <c r="J958" s="61"/>
      <c r="K958" s="61" t="s">
        <v>1982</v>
      </c>
      <c r="L958" s="61"/>
      <c r="M958" s="61"/>
      <c r="N958" s="61"/>
      <c r="O958" s="61"/>
      <c r="P958" s="61"/>
      <c r="Q958" s="61"/>
      <c r="R958" s="61" t="str">
        <f t="shared" si="67"/>
        <v/>
      </c>
      <c r="S958" s="61" t="str">
        <f t="shared" si="68"/>
        <v/>
      </c>
      <c r="T958" s="61" t="str">
        <f t="shared" si="69"/>
        <v/>
      </c>
      <c r="U958" s="61" t="str">
        <f t="shared" si="65"/>
        <v/>
      </c>
      <c r="V958" s="61"/>
      <c r="W958" s="61"/>
      <c r="X958" s="61"/>
      <c r="Y958" s="61"/>
      <c r="Z958" s="61"/>
      <c r="AA958" s="61"/>
      <c r="AB958" s="61"/>
    </row>
    <row r="959" spans="1:28" s="2" customFormat="1" ht="15">
      <c r="A959" s="61" t="s">
        <v>776</v>
      </c>
      <c r="B959" s="61" t="s">
        <v>1160</v>
      </c>
      <c r="C959" s="61" t="s">
        <v>1056</v>
      </c>
      <c r="D959" s="61" t="s">
        <v>7838</v>
      </c>
      <c r="E959" s="61">
        <v>12876</v>
      </c>
      <c r="F959" s="61">
        <v>12871</v>
      </c>
      <c r="G959" s="61">
        <v>2025</v>
      </c>
      <c r="H959" s="61" t="s">
        <v>3127</v>
      </c>
      <c r="I959" s="61" t="s">
        <v>508</v>
      </c>
      <c r="J959" s="61"/>
      <c r="K959" s="61" t="s">
        <v>1982</v>
      </c>
      <c r="L959" s="61" t="s">
        <v>8357</v>
      </c>
      <c r="M959" s="475">
        <v>45882</v>
      </c>
      <c r="N959" s="475">
        <v>45886</v>
      </c>
      <c r="O959" s="61"/>
      <c r="P959" s="475">
        <v>45887</v>
      </c>
      <c r="Q959" s="475">
        <v>45888</v>
      </c>
      <c r="R959" s="61">
        <f t="shared" si="67"/>
        <v>2</v>
      </c>
      <c r="S959" s="61" t="str">
        <f t="shared" si="68"/>
        <v/>
      </c>
      <c r="T959" s="61">
        <f t="shared" si="69"/>
        <v>1</v>
      </c>
      <c r="U959" s="61">
        <f t="shared" si="65"/>
        <v>1</v>
      </c>
      <c r="V959" s="61" t="s">
        <v>150</v>
      </c>
      <c r="W959" s="61" t="s">
        <v>1078</v>
      </c>
      <c r="X959" s="61" t="s">
        <v>50</v>
      </c>
      <c r="Y959" s="61" t="s">
        <v>8358</v>
      </c>
      <c r="Z959" s="61" t="s">
        <v>8359</v>
      </c>
      <c r="AA959" s="61"/>
      <c r="AB959" s="61"/>
    </row>
    <row r="960" spans="1:28" s="2" customFormat="1" ht="15">
      <c r="A960" s="61" t="s">
        <v>2286</v>
      </c>
      <c r="B960" s="61" t="s">
        <v>1169</v>
      </c>
      <c r="C960" s="61" t="s">
        <v>4505</v>
      </c>
      <c r="D960" s="61" t="s">
        <v>7838</v>
      </c>
      <c r="E960" s="61">
        <v>2083</v>
      </c>
      <c r="F960" s="61">
        <v>2472</v>
      </c>
      <c r="G960" s="61">
        <v>2025</v>
      </c>
      <c r="H960" s="61" t="s">
        <v>3532</v>
      </c>
      <c r="I960" s="61" t="s">
        <v>224</v>
      </c>
      <c r="J960" s="61" t="s">
        <v>2289</v>
      </c>
      <c r="K960" s="61" t="s">
        <v>212</v>
      </c>
      <c r="L960" s="61" t="s">
        <v>8360</v>
      </c>
      <c r="M960" s="475">
        <v>45793</v>
      </c>
      <c r="N960" s="475">
        <v>45794</v>
      </c>
      <c r="O960" s="475">
        <v>45796</v>
      </c>
      <c r="P960" s="475">
        <v>45796</v>
      </c>
      <c r="Q960" s="475">
        <v>45796</v>
      </c>
      <c r="R960" s="61">
        <f t="shared" si="67"/>
        <v>1</v>
      </c>
      <c r="S960" s="61">
        <f t="shared" si="68"/>
        <v>1</v>
      </c>
      <c r="T960" s="61">
        <f t="shared" si="69"/>
        <v>1</v>
      </c>
      <c r="U960" s="61">
        <f t="shared" si="65"/>
        <v>1</v>
      </c>
      <c r="V960" s="61" t="s">
        <v>150</v>
      </c>
      <c r="W960" s="61" t="s">
        <v>1078</v>
      </c>
      <c r="X960" s="61" t="s">
        <v>50</v>
      </c>
      <c r="Y960" s="484">
        <v>15.540900000000001</v>
      </c>
      <c r="Z960" s="484">
        <v>120.9016</v>
      </c>
      <c r="AA960" s="61" t="s">
        <v>8361</v>
      </c>
      <c r="AB960" s="61"/>
    </row>
    <row r="961" spans="1:28" s="474" customFormat="1">
      <c r="A961" s="61" t="s">
        <v>2286</v>
      </c>
      <c r="B961" s="61" t="s">
        <v>1169</v>
      </c>
      <c r="C961" s="61" t="s">
        <v>4506</v>
      </c>
      <c r="D961" s="61" t="s">
        <v>7838</v>
      </c>
      <c r="E961" s="61">
        <v>7467</v>
      </c>
      <c r="F961" s="61">
        <v>8355</v>
      </c>
      <c r="G961" s="61">
        <v>2025</v>
      </c>
      <c r="H961" s="61" t="s">
        <v>3416</v>
      </c>
      <c r="I961" s="61" t="s">
        <v>224</v>
      </c>
      <c r="J961" s="61" t="s">
        <v>2289</v>
      </c>
      <c r="K961" s="61" t="s">
        <v>212</v>
      </c>
      <c r="L961" s="61" t="s">
        <v>8362</v>
      </c>
      <c r="M961" s="475">
        <v>45707</v>
      </c>
      <c r="N961" s="475">
        <v>45707</v>
      </c>
      <c r="O961" s="475">
        <v>45713</v>
      </c>
      <c r="P961" s="475">
        <v>45714</v>
      </c>
      <c r="Q961" s="475">
        <v>45719</v>
      </c>
      <c r="R961" s="61">
        <f t="shared" si="67"/>
        <v>1</v>
      </c>
      <c r="S961" s="61">
        <f t="shared" si="68"/>
        <v>4</v>
      </c>
      <c r="T961" s="61">
        <f t="shared" si="69"/>
        <v>1</v>
      </c>
      <c r="U961" s="61">
        <f t="shared" si="65"/>
        <v>3</v>
      </c>
      <c r="V961" s="61" t="s">
        <v>150</v>
      </c>
      <c r="W961" s="61" t="s">
        <v>1078</v>
      </c>
      <c r="X961" s="61" t="s">
        <v>50</v>
      </c>
      <c r="Y961" s="484">
        <v>15.523</v>
      </c>
      <c r="Z961" s="484" t="s">
        <v>8363</v>
      </c>
      <c r="AA961" s="61" t="s">
        <v>8361</v>
      </c>
      <c r="AB961" s="61"/>
    </row>
    <row r="962" spans="1:28" s="474" customFormat="1">
      <c r="A962" s="61" t="s">
        <v>2286</v>
      </c>
      <c r="B962" s="61" t="s">
        <v>1169</v>
      </c>
      <c r="C962" s="61" t="s">
        <v>4508</v>
      </c>
      <c r="D962" s="61" t="s">
        <v>7838</v>
      </c>
      <c r="E962" s="61">
        <v>5156</v>
      </c>
      <c r="F962" s="61">
        <v>5355</v>
      </c>
      <c r="G962" s="61">
        <v>2025</v>
      </c>
      <c r="H962" s="61" t="s">
        <v>3416</v>
      </c>
      <c r="I962" s="61" t="s">
        <v>224</v>
      </c>
      <c r="J962" s="61" t="s">
        <v>2289</v>
      </c>
      <c r="K962" s="61" t="s">
        <v>212</v>
      </c>
      <c r="L962" s="61" t="s">
        <v>8364</v>
      </c>
      <c r="M962" s="475">
        <v>45707</v>
      </c>
      <c r="N962" s="475">
        <v>45707</v>
      </c>
      <c r="O962" s="475">
        <v>45713</v>
      </c>
      <c r="P962" s="475">
        <v>45714</v>
      </c>
      <c r="Q962" s="475">
        <v>45721</v>
      </c>
      <c r="R962" s="61">
        <f t="shared" si="67"/>
        <v>1</v>
      </c>
      <c r="S962" s="61">
        <f t="shared" si="68"/>
        <v>4</v>
      </c>
      <c r="T962" s="61">
        <f t="shared" si="69"/>
        <v>1</v>
      </c>
      <c r="U962" s="61">
        <f t="shared" ref="U962:U971" si="70">IF(
    OR(ISBLANK(P962), ISBLANK(Q962)),
    "",
    MAX(1, IF(
        NETWORKDAYS(P962, Q962) &lt;= 0,
        1,
        NETWORKDAYS(P962, Q962) - IF(P962 = Q962, 0, 1)
    ))
)</f>
        <v>5</v>
      </c>
      <c r="V962" s="61" t="s">
        <v>150</v>
      </c>
      <c r="W962" s="61" t="s">
        <v>1078</v>
      </c>
      <c r="X962" s="61" t="s">
        <v>50</v>
      </c>
      <c r="Y962" s="484">
        <v>15.5024</v>
      </c>
      <c r="Z962" s="484" t="s">
        <v>8365</v>
      </c>
      <c r="AA962" s="61" t="s">
        <v>8361</v>
      </c>
      <c r="AB962" s="61"/>
    </row>
    <row r="963" spans="1:28" s="2" customFormat="1" ht="15">
      <c r="A963" s="61" t="s">
        <v>2286</v>
      </c>
      <c r="B963" s="61" t="s">
        <v>1169</v>
      </c>
      <c r="C963" s="61" t="s">
        <v>4510</v>
      </c>
      <c r="D963" s="61" t="s">
        <v>7838</v>
      </c>
      <c r="E963" s="61">
        <v>1969</v>
      </c>
      <c r="F963" s="61">
        <v>2086</v>
      </c>
      <c r="G963" s="61">
        <v>2025</v>
      </c>
      <c r="H963" s="61" t="s">
        <v>3416</v>
      </c>
      <c r="I963" s="61" t="s">
        <v>224</v>
      </c>
      <c r="J963" s="61" t="s">
        <v>2289</v>
      </c>
      <c r="K963" s="61" t="s">
        <v>212</v>
      </c>
      <c r="L963" s="61" t="s">
        <v>8366</v>
      </c>
      <c r="M963" s="475">
        <v>45728</v>
      </c>
      <c r="N963" s="475">
        <v>45734</v>
      </c>
      <c r="O963" s="475">
        <v>45734</v>
      </c>
      <c r="P963" s="475">
        <v>45734</v>
      </c>
      <c r="Q963" s="475">
        <v>45735</v>
      </c>
      <c r="R963" s="61">
        <f t="shared" si="67"/>
        <v>4</v>
      </c>
      <c r="S963" s="61">
        <f t="shared" si="68"/>
        <v>1</v>
      </c>
      <c r="T963" s="61">
        <f t="shared" si="69"/>
        <v>1</v>
      </c>
      <c r="U963" s="61">
        <f t="shared" si="70"/>
        <v>1</v>
      </c>
      <c r="V963" s="61" t="s">
        <v>150</v>
      </c>
      <c r="W963" s="61" t="s">
        <v>1078</v>
      </c>
      <c r="X963" s="61" t="s">
        <v>50</v>
      </c>
      <c r="Y963" s="473">
        <v>15.5181</v>
      </c>
      <c r="Z963" s="473" t="s">
        <v>8367</v>
      </c>
      <c r="AA963" s="61"/>
      <c r="AB963" s="61"/>
    </row>
    <row r="964" spans="1:28" s="2" customFormat="1" ht="15">
      <c r="A964" s="61" t="s">
        <v>2286</v>
      </c>
      <c r="B964" s="61" t="s">
        <v>1169</v>
      </c>
      <c r="C964" s="61" t="s">
        <v>3699</v>
      </c>
      <c r="D964" s="61" t="s">
        <v>7838</v>
      </c>
      <c r="E964" s="61">
        <v>2503</v>
      </c>
      <c r="F964" s="61">
        <v>2631</v>
      </c>
      <c r="G964" s="61">
        <v>2025</v>
      </c>
      <c r="H964" s="61" t="s">
        <v>3689</v>
      </c>
      <c r="I964" s="61" t="s">
        <v>224</v>
      </c>
      <c r="J964" s="61" t="s">
        <v>2289</v>
      </c>
      <c r="K964" s="61" t="s">
        <v>212</v>
      </c>
      <c r="L964" s="61" t="s">
        <v>8368</v>
      </c>
      <c r="M964" s="475">
        <v>45800</v>
      </c>
      <c r="N964" s="475">
        <v>45803</v>
      </c>
      <c r="O964" s="475">
        <v>45805</v>
      </c>
      <c r="P964" s="475">
        <v>45806</v>
      </c>
      <c r="Q964" s="475">
        <v>45807</v>
      </c>
      <c r="R964" s="61">
        <f t="shared" si="67"/>
        <v>1</v>
      </c>
      <c r="S964" s="61">
        <f t="shared" si="68"/>
        <v>2</v>
      </c>
      <c r="T964" s="61">
        <f t="shared" si="69"/>
        <v>1</v>
      </c>
      <c r="U964" s="61">
        <f t="shared" si="70"/>
        <v>1</v>
      </c>
      <c r="V964" s="61" t="s">
        <v>150</v>
      </c>
      <c r="W964" s="61" t="s">
        <v>1078</v>
      </c>
      <c r="X964" s="61" t="s">
        <v>50</v>
      </c>
      <c r="Y964" s="485">
        <v>15.485799999999999</v>
      </c>
      <c r="Z964" s="485">
        <v>120.8211</v>
      </c>
      <c r="AA964" s="61" t="s">
        <v>8361</v>
      </c>
      <c r="AB964" s="61"/>
    </row>
    <row r="965" spans="1:28" s="2" customFormat="1" ht="15">
      <c r="A965" s="61" t="s">
        <v>2286</v>
      </c>
      <c r="B965" s="61" t="s">
        <v>1169</v>
      </c>
      <c r="C965" s="61" t="s">
        <v>4515</v>
      </c>
      <c r="D965" s="61" t="s">
        <v>7838</v>
      </c>
      <c r="E965" s="61">
        <v>1660</v>
      </c>
      <c r="F965" s="61">
        <v>2306</v>
      </c>
      <c r="G965" s="61">
        <v>2025</v>
      </c>
      <c r="H965" s="61" t="s">
        <v>3416</v>
      </c>
      <c r="I965" s="61" t="s">
        <v>224</v>
      </c>
      <c r="J965" s="61" t="s">
        <v>2289</v>
      </c>
      <c r="K965" s="61" t="s">
        <v>212</v>
      </c>
      <c r="L965" s="476" t="s">
        <v>8369</v>
      </c>
      <c r="M965" s="475">
        <v>45722</v>
      </c>
      <c r="N965" s="475">
        <v>45722</v>
      </c>
      <c r="O965" s="475">
        <v>45729</v>
      </c>
      <c r="P965" s="475">
        <v>45735</v>
      </c>
      <c r="Q965" s="475">
        <v>45735</v>
      </c>
      <c r="R965" s="61">
        <f t="shared" si="67"/>
        <v>1</v>
      </c>
      <c r="S965" s="61">
        <f t="shared" si="68"/>
        <v>5</v>
      </c>
      <c r="T965" s="61">
        <f t="shared" si="69"/>
        <v>4</v>
      </c>
      <c r="U965" s="61">
        <f t="shared" si="70"/>
        <v>1</v>
      </c>
      <c r="V965" s="61" t="s">
        <v>150</v>
      </c>
      <c r="W965" s="61" t="s">
        <v>1078</v>
      </c>
      <c r="X965" s="61" t="s">
        <v>50</v>
      </c>
      <c r="Y965" s="471">
        <v>15.5024</v>
      </c>
      <c r="Z965" s="471" t="s">
        <v>8370</v>
      </c>
      <c r="AA965" s="61" t="s">
        <v>8361</v>
      </c>
      <c r="AB965" s="61"/>
    </row>
    <row r="966" spans="1:28" s="2" customFormat="1" ht="15">
      <c r="A966" s="61" t="s">
        <v>2286</v>
      </c>
      <c r="B966" s="61" t="s">
        <v>1169</v>
      </c>
      <c r="C966" s="61" t="s">
        <v>4524</v>
      </c>
      <c r="D966" s="61" t="s">
        <v>7838</v>
      </c>
      <c r="E966" s="61">
        <v>2251</v>
      </c>
      <c r="F966" s="61">
        <v>2771</v>
      </c>
      <c r="G966" s="61">
        <v>2025</v>
      </c>
      <c r="H966" s="61" t="s">
        <v>3470</v>
      </c>
      <c r="I966" s="61" t="s">
        <v>224</v>
      </c>
      <c r="J966" s="61" t="s">
        <v>2289</v>
      </c>
      <c r="K966" s="61" t="s">
        <v>212</v>
      </c>
      <c r="L966" s="61" t="s">
        <v>8371</v>
      </c>
      <c r="M966" s="475">
        <v>45757</v>
      </c>
      <c r="N966" s="475">
        <v>45758</v>
      </c>
      <c r="O966" s="475">
        <v>45758</v>
      </c>
      <c r="P966" s="475">
        <v>45761</v>
      </c>
      <c r="Q966" s="475">
        <v>45761</v>
      </c>
      <c r="R966" s="61">
        <f t="shared" si="67"/>
        <v>1</v>
      </c>
      <c r="S966" s="61">
        <f t="shared" si="68"/>
        <v>1</v>
      </c>
      <c r="T966" s="61">
        <f t="shared" si="69"/>
        <v>1</v>
      </c>
      <c r="U966" s="61">
        <f t="shared" si="70"/>
        <v>1</v>
      </c>
      <c r="V966" s="61" t="s">
        <v>150</v>
      </c>
      <c r="W966" s="61" t="s">
        <v>1078</v>
      </c>
      <c r="X966" s="61" t="s">
        <v>50</v>
      </c>
      <c r="Y966" s="471">
        <v>15.500400000000001</v>
      </c>
      <c r="Z966" s="471">
        <v>120.9081</v>
      </c>
      <c r="AA966" s="61" t="s">
        <v>8361</v>
      </c>
      <c r="AB966" s="61"/>
    </row>
    <row r="967" spans="1:28" s="2" customFormat="1" ht="15">
      <c r="A967" s="61" t="s">
        <v>2286</v>
      </c>
      <c r="B967" s="61" t="s">
        <v>1169</v>
      </c>
      <c r="C967" s="61" t="s">
        <v>918</v>
      </c>
      <c r="D967" s="61" t="s">
        <v>7838</v>
      </c>
      <c r="E967" s="61">
        <v>4768</v>
      </c>
      <c r="F967" s="61">
        <v>5255</v>
      </c>
      <c r="G967" s="61">
        <v>2025</v>
      </c>
      <c r="H967" s="61" t="s">
        <v>3470</v>
      </c>
      <c r="I967" s="61" t="s">
        <v>224</v>
      </c>
      <c r="J967" s="61" t="s">
        <v>2289</v>
      </c>
      <c r="K967" s="61" t="s">
        <v>212</v>
      </c>
      <c r="L967" s="61" t="s">
        <v>8372</v>
      </c>
      <c r="M967" s="475">
        <v>45744</v>
      </c>
      <c r="N967" s="475">
        <v>45747</v>
      </c>
      <c r="O967" s="475">
        <v>45754</v>
      </c>
      <c r="P967" s="475">
        <v>45754</v>
      </c>
      <c r="Q967" s="475">
        <v>45757</v>
      </c>
      <c r="R967" s="61">
        <f t="shared" si="67"/>
        <v>1</v>
      </c>
      <c r="S967" s="61">
        <f t="shared" si="68"/>
        <v>5</v>
      </c>
      <c r="T967" s="61">
        <f t="shared" si="69"/>
        <v>1</v>
      </c>
      <c r="U967" s="61">
        <f t="shared" si="70"/>
        <v>3</v>
      </c>
      <c r="V967" s="61" t="s">
        <v>150</v>
      </c>
      <c r="W967" s="61" t="s">
        <v>1078</v>
      </c>
      <c r="X967" s="61" t="s">
        <v>57</v>
      </c>
      <c r="Y967" s="471">
        <v>15.5068</v>
      </c>
      <c r="Z967" s="471">
        <v>120.8908</v>
      </c>
      <c r="AA967" s="61" t="s">
        <v>8361</v>
      </c>
      <c r="AB967" s="61"/>
    </row>
    <row r="968" spans="1:28" s="2" customFormat="1" ht="15">
      <c r="A968" s="61" t="s">
        <v>2286</v>
      </c>
      <c r="B968" s="61" t="s">
        <v>1169</v>
      </c>
      <c r="C968" s="61" t="s">
        <v>1170</v>
      </c>
      <c r="D968" s="61" t="s">
        <v>7838</v>
      </c>
      <c r="E968" s="61">
        <v>2197</v>
      </c>
      <c r="F968" s="61">
        <v>2427</v>
      </c>
      <c r="G968" s="61">
        <v>2025</v>
      </c>
      <c r="H968" s="61" t="s">
        <v>3470</v>
      </c>
      <c r="I968" s="61" t="s">
        <v>224</v>
      </c>
      <c r="J968" s="61" t="s">
        <v>2289</v>
      </c>
      <c r="K968" s="61" t="s">
        <v>212</v>
      </c>
      <c r="L968" s="61" t="s">
        <v>8373</v>
      </c>
      <c r="M968" s="475">
        <v>45735</v>
      </c>
      <c r="N968" s="475">
        <v>45738</v>
      </c>
      <c r="O968" s="475">
        <v>45754</v>
      </c>
      <c r="P968" s="475">
        <v>45754</v>
      </c>
      <c r="Q968" s="475">
        <v>45757</v>
      </c>
      <c r="R968" s="61">
        <f t="shared" si="67"/>
        <v>2</v>
      </c>
      <c r="S968" s="61">
        <f t="shared" si="68"/>
        <v>10</v>
      </c>
      <c r="T968" s="61">
        <f t="shared" si="69"/>
        <v>1</v>
      </c>
      <c r="U968" s="61">
        <f t="shared" si="70"/>
        <v>3</v>
      </c>
      <c r="V968" s="61" t="s">
        <v>150</v>
      </c>
      <c r="W968" s="61" t="s">
        <v>1078</v>
      </c>
      <c r="X968" s="61" t="s">
        <v>50</v>
      </c>
      <c r="Y968" s="471">
        <v>15.4826</v>
      </c>
      <c r="Z968" s="471">
        <v>120.8282</v>
      </c>
      <c r="AA968" s="61" t="s">
        <v>8361</v>
      </c>
      <c r="AB968" s="61"/>
    </row>
    <row r="969" spans="1:28" s="2" customFormat="1" ht="15">
      <c r="A969" s="61" t="s">
        <v>2286</v>
      </c>
      <c r="B969" s="61" t="s">
        <v>1169</v>
      </c>
      <c r="C969" s="61" t="s">
        <v>4261</v>
      </c>
      <c r="D969" s="61" t="s">
        <v>7838</v>
      </c>
      <c r="E969" s="61">
        <v>2268</v>
      </c>
      <c r="F969" s="61">
        <v>2645</v>
      </c>
      <c r="G969" s="61">
        <v>2025</v>
      </c>
      <c r="H969" s="61" t="s">
        <v>3470</v>
      </c>
      <c r="I969" s="61" t="s">
        <v>224</v>
      </c>
      <c r="J969" s="61" t="s">
        <v>2289</v>
      </c>
      <c r="K969" s="61" t="s">
        <v>212</v>
      </c>
      <c r="L969" s="61" t="s">
        <v>8374</v>
      </c>
      <c r="M969" s="475">
        <v>45757</v>
      </c>
      <c r="N969" s="475">
        <v>45758</v>
      </c>
      <c r="O969" s="475">
        <v>45758</v>
      </c>
      <c r="P969" s="475">
        <v>45761</v>
      </c>
      <c r="Q969" s="475">
        <v>45761</v>
      </c>
      <c r="R969" s="61">
        <f t="shared" si="67"/>
        <v>1</v>
      </c>
      <c r="S969" s="61">
        <f t="shared" si="68"/>
        <v>1</v>
      </c>
      <c r="T969" s="61">
        <f t="shared" si="69"/>
        <v>1</v>
      </c>
      <c r="U969" s="61">
        <f t="shared" si="70"/>
        <v>1</v>
      </c>
      <c r="V969" s="61" t="s">
        <v>150</v>
      </c>
      <c r="W969" s="61" t="s">
        <v>1078</v>
      </c>
      <c r="X969" s="61" t="s">
        <v>50</v>
      </c>
      <c r="Y969" s="471">
        <v>15.501899999999999</v>
      </c>
      <c r="Z969" s="471">
        <v>120.8329</v>
      </c>
      <c r="AA969" s="61" t="s">
        <v>8361</v>
      </c>
      <c r="AB969" s="61"/>
    </row>
    <row r="970" spans="1:28" s="2" customFormat="1" ht="15">
      <c r="A970" s="61" t="s">
        <v>2286</v>
      </c>
      <c r="B970" s="61" t="s">
        <v>1169</v>
      </c>
      <c r="C970" s="61" t="s">
        <v>4530</v>
      </c>
      <c r="D970" s="61" t="s">
        <v>7838</v>
      </c>
      <c r="E970" s="61">
        <v>3705</v>
      </c>
      <c r="F970" s="61">
        <v>3908</v>
      </c>
      <c r="G970" s="61">
        <v>2025</v>
      </c>
      <c r="H970" s="61" t="s">
        <v>3532</v>
      </c>
      <c r="I970" s="61" t="s">
        <v>224</v>
      </c>
      <c r="J970" s="61" t="s">
        <v>2289</v>
      </c>
      <c r="K970" s="61" t="s">
        <v>212</v>
      </c>
      <c r="L970" s="61" t="s">
        <v>8375</v>
      </c>
      <c r="M970" s="475">
        <v>45793</v>
      </c>
      <c r="N970" s="475">
        <v>45794</v>
      </c>
      <c r="O970" s="475">
        <v>45796</v>
      </c>
      <c r="P970" s="475">
        <v>45796</v>
      </c>
      <c r="Q970" s="475">
        <v>45796</v>
      </c>
      <c r="R970" s="61">
        <f t="shared" si="67"/>
        <v>1</v>
      </c>
      <c r="S970" s="61">
        <f t="shared" si="68"/>
        <v>1</v>
      </c>
      <c r="T970" s="61">
        <f t="shared" si="69"/>
        <v>1</v>
      </c>
      <c r="U970" s="61">
        <f t="shared" si="70"/>
        <v>1</v>
      </c>
      <c r="V970" s="61" t="s">
        <v>150</v>
      </c>
      <c r="W970" s="61" t="s">
        <v>1078</v>
      </c>
      <c r="X970" s="61" t="s">
        <v>50</v>
      </c>
      <c r="Y970" s="471">
        <v>15.521599999999999</v>
      </c>
      <c r="Z970" s="471">
        <v>120.9225</v>
      </c>
      <c r="AA970" s="61" t="s">
        <v>8361</v>
      </c>
      <c r="AB970" s="61"/>
    </row>
    <row r="971" spans="1:28" s="2" customFormat="1" ht="15">
      <c r="A971" s="61" t="s">
        <v>2286</v>
      </c>
      <c r="B971" s="61" t="s">
        <v>1169</v>
      </c>
      <c r="C971" s="61" t="s">
        <v>1197</v>
      </c>
      <c r="D971" s="61" t="s">
        <v>7838</v>
      </c>
      <c r="E971" s="61">
        <v>2192</v>
      </c>
      <c r="F971" s="61">
        <v>2527</v>
      </c>
      <c r="G971" s="61"/>
      <c r="H971" s="61"/>
      <c r="I971" s="61" t="s">
        <v>224</v>
      </c>
      <c r="J971" s="61"/>
      <c r="K971" s="61" t="s">
        <v>212</v>
      </c>
      <c r="L971" s="61"/>
      <c r="M971" s="61"/>
      <c r="N971" s="61"/>
      <c r="O971" s="61"/>
      <c r="P971" s="61"/>
      <c r="Q971" s="61"/>
      <c r="R971" s="61" t="str">
        <f t="shared" si="67"/>
        <v/>
      </c>
      <c r="S971" s="61" t="str">
        <f t="shared" si="68"/>
        <v/>
      </c>
      <c r="T971" s="61" t="str">
        <f t="shared" si="69"/>
        <v/>
      </c>
      <c r="U971" s="61" t="str">
        <f t="shared" si="70"/>
        <v/>
      </c>
      <c r="V971" s="61"/>
      <c r="W971" s="61"/>
      <c r="X971" s="61"/>
      <c r="Y971" s="471"/>
      <c r="Z971" s="471"/>
      <c r="AA971" s="61"/>
      <c r="AB971" s="61"/>
    </row>
    <row r="972" spans="1:28" s="2" customFormat="1" ht="15">
      <c r="A972" s="61" t="s">
        <v>2286</v>
      </c>
      <c r="B972" s="61" t="s">
        <v>1169</v>
      </c>
      <c r="C972" s="61" t="s">
        <v>4516</v>
      </c>
      <c r="D972" s="61" t="s">
        <v>7838</v>
      </c>
      <c r="E972" s="61">
        <v>2122</v>
      </c>
      <c r="F972" s="61">
        <v>2383</v>
      </c>
      <c r="I972" s="61" t="s">
        <v>224</v>
      </c>
      <c r="R972" s="61" t="str">
        <f>IF(
    OR(ISBLANK(M973), ISBLANK(N973)),
    "",
    MAX(1, IF(
        NETWORKDAYS(M973, N973) &lt;= 0,
        1,
        NETWORKDAYS(M973, N973) - IF(M973 = N973, 0, 1)
    ))
)</f>
        <v/>
      </c>
      <c r="S972" s="61" t="str">
        <f>IF(
    OR(ISBLANK(N973), ISBLANK(O973)),
    "",
    MAX(1, IF(
        NETWORKDAYS(N973, O973) &lt;= 0,
        1,
        NETWORKDAYS(N973, O973) - IF(N973 = O973, 0, 1)
    ))
)</f>
        <v/>
      </c>
      <c r="T972" s="61" t="str">
        <f>IF(
  OR(A972 = "Nueva_Ecija", A972 = "Zambales"),
  IF(
    OR(ISBLANK(O973), ISBLANK(P973)),
    "",
    MAX(1, IF(
      NETWORKDAYS(O973, P973) &lt;= 0,
      1,
      NETWORKDAYS(O973, P973) - IF(O973 = P973, 0, 1)
    ))
  ),
  IF(
    OR(ISBLANK(N973), ISBLANK(P973)),
    "",
    MAX(1, IF(
      NETWORKDAYS(N973, P973) &lt;= 0,
      1,
      NETWORKDAYS(N973, P973) - IF(N973 = P973, 0, 1)
    ))
  )
)</f>
        <v/>
      </c>
      <c r="U972" s="61" t="str">
        <f>IF(
    OR(ISBLANK(P973), ISBLANK(Q973)),
    "",
    MAX(1, IF(
        NETWORKDAYS(P973, Q973) &lt;= 0,
        1,
        NETWORKDAYS(P973, Q973) - IF(P973 = Q973, 0, 1)
    ))
)</f>
        <v/>
      </c>
      <c r="V972" s="61"/>
      <c r="W972" s="61" t="s">
        <v>4</v>
      </c>
      <c r="X972" s="61" t="s">
        <v>50</v>
      </c>
      <c r="Y972" s="471"/>
      <c r="Z972" s="471"/>
      <c r="AA972" s="61"/>
      <c r="AB972" s="61"/>
    </row>
    <row r="973" spans="1:28" s="2" customFormat="1" ht="15">
      <c r="A973" s="61" t="s">
        <v>2286</v>
      </c>
      <c r="B973" s="61" t="s">
        <v>1169</v>
      </c>
      <c r="C973" s="61" t="s">
        <v>4518</v>
      </c>
      <c r="D973" s="61" t="s">
        <v>7838</v>
      </c>
      <c r="E973" s="61">
        <v>1338</v>
      </c>
      <c r="F973" s="61">
        <v>1208</v>
      </c>
      <c r="G973" s="61"/>
      <c r="H973" s="61"/>
      <c r="I973" s="61" t="s">
        <v>224</v>
      </c>
      <c r="J973" s="61"/>
      <c r="K973" s="61" t="s">
        <v>212</v>
      </c>
      <c r="L973" s="61"/>
      <c r="M973" s="61"/>
      <c r="N973" s="61"/>
      <c r="O973" s="61"/>
      <c r="P973" s="61"/>
      <c r="Q973" s="61"/>
      <c r="R973" s="61" t="str">
        <f t="shared" ref="R973:R982" si="71">IF(
    OR(ISBLANK(M973), ISBLANK(N973)),
    "",
    MAX(1, IF(
        NETWORKDAYS(M973, N973) &lt;= 0,
        1,
        NETWORKDAYS(M973, N973) - IF(M973 = N973, 0, 1)
    ))
)</f>
        <v/>
      </c>
      <c r="S973" s="61" t="str">
        <f t="shared" ref="S973:S982" si="72">IF(
    OR(ISBLANK(N973), ISBLANK(O973)),
    "",
    MAX(1, IF(
        NETWORKDAYS(N973, O973) &lt;= 0,
        1,
        NETWORKDAYS(N973, O973) - IF(N973 = O973, 0, 1)
    ))
)</f>
        <v/>
      </c>
      <c r="T973" s="61" t="str">
        <f>IF(
  OR(A973 = "Nueva_Ecija", A973 = "Zambales"),
  IF(
    OR(ISBLANK(O974), ISBLANK(P974)),
    "",
    MAX(1, IF(
      NETWORKDAYS(O974, P974) &lt;= 0,
      1,
      NETWORKDAYS(O974, P974) - IF(O974 = P974, 0, 1)
    ))
  ),
  IF(
    OR(ISBLANK(N974), ISBLANK(P974)),
    "",
    MAX(1, IF(
      NETWORKDAYS(N974, P974) &lt;= 0,
      1,
      NETWORKDAYS(N974, P974) - IF(N974 = P974, 0, 1)
    ))
  )
)</f>
        <v/>
      </c>
      <c r="U973" s="61" t="str">
        <f>IF(
    OR(ISBLANK(P974), ISBLANK(Q974)),
    "",
    MAX(1, IF(
        NETWORKDAYS(P974, Q974) &lt;= 0,
        1,
        NETWORKDAYS(P974, Q974) - IF(P974 = Q974, 0, 1)
    ))
)</f>
        <v/>
      </c>
      <c r="V973" s="61"/>
      <c r="W973" s="61"/>
      <c r="X973" s="61"/>
      <c r="Y973" s="471"/>
      <c r="Z973" s="471"/>
      <c r="AA973" s="61"/>
      <c r="AB973" s="61"/>
    </row>
    <row r="974" spans="1:28" s="2" customFormat="1" ht="15">
      <c r="A974" s="61" t="s">
        <v>2286</v>
      </c>
      <c r="B974" s="61" t="s">
        <v>1169</v>
      </c>
      <c r="C974" s="61" t="s">
        <v>4519</v>
      </c>
      <c r="D974" s="61" t="s">
        <v>7838</v>
      </c>
      <c r="E974" s="61">
        <v>726</v>
      </c>
      <c r="F974" s="61">
        <v>696</v>
      </c>
      <c r="G974" s="61"/>
      <c r="H974" s="61"/>
      <c r="I974" s="61" t="s">
        <v>224</v>
      </c>
      <c r="J974" s="61"/>
      <c r="K974" s="61" t="s">
        <v>212</v>
      </c>
      <c r="L974" s="61"/>
      <c r="M974" s="61"/>
      <c r="N974" s="61"/>
      <c r="O974" s="61"/>
      <c r="P974" s="61"/>
      <c r="Q974" s="61"/>
      <c r="R974" s="61" t="str">
        <f t="shared" si="71"/>
        <v/>
      </c>
      <c r="S974" s="61" t="str">
        <f t="shared" si="72"/>
        <v/>
      </c>
      <c r="T974" s="61" t="str">
        <f t="shared" ref="T974:T982" si="73">IF(
  OR(A974 = "Nueva_Ecija", A974 = "Zambales"),
  IF(
    OR(ISBLANK(O974), ISBLANK(P974)),
    "",
    MAX(1, IF(
      NETWORKDAYS(O974, P974) &lt;= 0,
      1,
      NETWORKDAYS(O974, P974) - IF(O974 = P974, 0, 1)
    ))
  ),
  IF(
    OR(ISBLANK(N974), ISBLANK(P974)),
    "",
    MAX(1, IF(
      NETWORKDAYS(N974, P974) &lt;= 0,
      1,
      NETWORKDAYS(N974, P974) - IF(N974 = P974, 0, 1)
    ))
  )
)</f>
        <v/>
      </c>
      <c r="U974" s="61" t="str">
        <f t="shared" ref="U974:U982" si="74">IF(
    OR(ISBLANK(P974), ISBLANK(Q974)),
    "",
    MAX(1, IF(
        NETWORKDAYS(P974, Q974) &lt;= 0,
        1,
        NETWORKDAYS(P974, Q974) - IF(P974 = Q974, 0, 1)
    ))
)</f>
        <v/>
      </c>
      <c r="V974" s="61"/>
      <c r="W974" s="61"/>
      <c r="X974" s="61"/>
      <c r="Y974" s="471"/>
      <c r="Z974" s="471"/>
      <c r="AA974" s="61"/>
      <c r="AB974" s="61"/>
    </row>
    <row r="975" spans="1:28" s="2" customFormat="1" ht="15">
      <c r="A975" s="61" t="s">
        <v>2286</v>
      </c>
      <c r="B975" s="61" t="s">
        <v>1169</v>
      </c>
      <c r="C975" s="61" t="s">
        <v>3809</v>
      </c>
      <c r="D975" s="61" t="s">
        <v>7838</v>
      </c>
      <c r="E975" s="61">
        <v>2953</v>
      </c>
      <c r="F975" s="61">
        <v>3272</v>
      </c>
      <c r="G975" s="61"/>
      <c r="H975" s="61"/>
      <c r="I975" s="61" t="s">
        <v>224</v>
      </c>
      <c r="J975" s="61"/>
      <c r="K975" s="61" t="s">
        <v>212</v>
      </c>
      <c r="L975" s="61"/>
      <c r="M975" s="61"/>
      <c r="N975" s="61"/>
      <c r="O975" s="61"/>
      <c r="P975" s="61"/>
      <c r="Q975" s="61"/>
      <c r="R975" s="61" t="str">
        <f t="shared" si="71"/>
        <v/>
      </c>
      <c r="S975" s="61" t="str">
        <f t="shared" si="72"/>
        <v/>
      </c>
      <c r="T975" s="61" t="str">
        <f t="shared" si="73"/>
        <v/>
      </c>
      <c r="U975" s="61" t="str">
        <f t="shared" si="74"/>
        <v/>
      </c>
      <c r="V975" s="61"/>
      <c r="W975" s="61"/>
      <c r="X975" s="61"/>
      <c r="Y975" s="471"/>
      <c r="Z975" s="471"/>
      <c r="AA975" s="61"/>
      <c r="AB975" s="61"/>
    </row>
    <row r="976" spans="1:28" s="2" customFormat="1" ht="15">
      <c r="A976" s="61" t="s">
        <v>2286</v>
      </c>
      <c r="B976" s="61" t="s">
        <v>1169</v>
      </c>
      <c r="C976" s="61" t="s">
        <v>4521</v>
      </c>
      <c r="D976" s="61" t="s">
        <v>7838</v>
      </c>
      <c r="E976" s="61">
        <v>1731</v>
      </c>
      <c r="F976" s="61">
        <v>2355</v>
      </c>
      <c r="G976" s="61"/>
      <c r="H976" s="61"/>
      <c r="I976" s="61" t="s">
        <v>224</v>
      </c>
      <c r="J976" s="61"/>
      <c r="K976" s="61" t="s">
        <v>212</v>
      </c>
      <c r="L976" s="61"/>
      <c r="M976" s="61"/>
      <c r="N976" s="61"/>
      <c r="O976" s="61"/>
      <c r="P976" s="61"/>
      <c r="Q976" s="61"/>
      <c r="R976" s="61" t="str">
        <f t="shared" si="71"/>
        <v/>
      </c>
      <c r="S976" s="61" t="str">
        <f t="shared" si="72"/>
        <v/>
      </c>
      <c r="T976" s="61" t="str">
        <f t="shared" si="73"/>
        <v/>
      </c>
      <c r="U976" s="61" t="str">
        <f t="shared" si="74"/>
        <v/>
      </c>
      <c r="V976" s="61"/>
      <c r="W976" s="61"/>
      <c r="X976" s="61"/>
      <c r="Y976" s="471"/>
      <c r="Z976" s="471"/>
      <c r="AA976" s="61"/>
      <c r="AB976" s="61"/>
    </row>
    <row r="977" spans="1:28" s="2" customFormat="1" ht="15">
      <c r="A977" s="61" t="s">
        <v>2286</v>
      </c>
      <c r="B977" s="61" t="s">
        <v>1169</v>
      </c>
      <c r="C977" s="61" t="s">
        <v>4523</v>
      </c>
      <c r="D977" s="61" t="s">
        <v>7838</v>
      </c>
      <c r="E977" s="61">
        <v>1780</v>
      </c>
      <c r="F977" s="61">
        <v>1934</v>
      </c>
      <c r="G977" s="61"/>
      <c r="H977" s="61"/>
      <c r="I977" s="61" t="s">
        <v>224</v>
      </c>
      <c r="J977" s="61"/>
      <c r="K977" s="61" t="s">
        <v>212</v>
      </c>
      <c r="L977" s="61"/>
      <c r="M977" s="61"/>
      <c r="N977" s="61"/>
      <c r="O977" s="61"/>
      <c r="P977" s="61"/>
      <c r="Q977" s="61"/>
      <c r="R977" s="61" t="str">
        <f t="shared" si="71"/>
        <v/>
      </c>
      <c r="S977" s="61" t="str">
        <f t="shared" si="72"/>
        <v/>
      </c>
      <c r="T977" s="61" t="str">
        <f t="shared" si="73"/>
        <v/>
      </c>
      <c r="U977" s="61" t="str">
        <f t="shared" si="74"/>
        <v/>
      </c>
      <c r="V977" s="61"/>
      <c r="W977" s="61"/>
      <c r="X977" s="61"/>
      <c r="Y977" s="471"/>
      <c r="Z977" s="471"/>
      <c r="AA977" s="61"/>
      <c r="AB977" s="61"/>
    </row>
    <row r="978" spans="1:28" s="2" customFormat="1" ht="15">
      <c r="A978" s="61" t="s">
        <v>2286</v>
      </c>
      <c r="B978" s="61" t="s">
        <v>1169</v>
      </c>
      <c r="C978" s="61" t="s">
        <v>4525</v>
      </c>
      <c r="D978" s="61" t="s">
        <v>7838</v>
      </c>
      <c r="E978" s="61">
        <v>1979</v>
      </c>
      <c r="F978" s="61">
        <v>2056</v>
      </c>
      <c r="G978" s="61"/>
      <c r="H978" s="61"/>
      <c r="I978" s="61" t="s">
        <v>224</v>
      </c>
      <c r="J978" s="61" t="s">
        <v>2289</v>
      </c>
      <c r="K978" s="61" t="s">
        <v>212</v>
      </c>
      <c r="L978" s="61"/>
      <c r="M978" s="475"/>
      <c r="N978" s="475"/>
      <c r="O978" s="475"/>
      <c r="P978" s="475"/>
      <c r="Q978" s="61"/>
      <c r="R978" s="61" t="str">
        <f t="shared" si="71"/>
        <v/>
      </c>
      <c r="S978" s="61" t="str">
        <f t="shared" si="72"/>
        <v/>
      </c>
      <c r="T978" s="61" t="str">
        <f t="shared" si="73"/>
        <v/>
      </c>
      <c r="U978" s="61" t="str">
        <f t="shared" si="74"/>
        <v/>
      </c>
      <c r="V978" s="61"/>
      <c r="W978" s="61"/>
      <c r="X978" s="61"/>
      <c r="Y978" s="471"/>
      <c r="Z978" s="471"/>
      <c r="AA978" s="61"/>
      <c r="AB978" s="61"/>
    </row>
    <row r="979" spans="1:28" s="2" customFormat="1" ht="15">
      <c r="A979" s="61" t="s">
        <v>2286</v>
      </c>
      <c r="B979" s="61" t="s">
        <v>1169</v>
      </c>
      <c r="C979" s="61" t="s">
        <v>1424</v>
      </c>
      <c r="D979" s="61" t="s">
        <v>7838</v>
      </c>
      <c r="E979" s="61">
        <v>1195</v>
      </c>
      <c r="F979" s="61">
        <v>1185</v>
      </c>
      <c r="G979" s="61"/>
      <c r="H979" s="61"/>
      <c r="I979" s="61" t="s">
        <v>224</v>
      </c>
      <c r="J979" s="61"/>
      <c r="K979" s="61" t="s">
        <v>212</v>
      </c>
      <c r="L979" s="61"/>
      <c r="M979" s="61"/>
      <c r="N979" s="61"/>
      <c r="O979" s="61"/>
      <c r="P979" s="61"/>
      <c r="Q979" s="61"/>
      <c r="R979" s="61" t="str">
        <f t="shared" si="71"/>
        <v/>
      </c>
      <c r="S979" s="61" t="str">
        <f t="shared" si="72"/>
        <v/>
      </c>
      <c r="T979" s="61" t="str">
        <f t="shared" si="73"/>
        <v/>
      </c>
      <c r="U979" s="61" t="str">
        <f t="shared" si="74"/>
        <v/>
      </c>
      <c r="V979" s="61"/>
      <c r="W979" s="61"/>
      <c r="X979" s="61"/>
      <c r="Y979" s="471"/>
      <c r="Z979" s="471"/>
      <c r="AA979" s="61"/>
      <c r="AB979" s="61"/>
    </row>
    <row r="980" spans="1:28" s="2" customFormat="1" ht="15">
      <c r="A980" s="61" t="s">
        <v>2286</v>
      </c>
      <c r="B980" s="61" t="s">
        <v>1169</v>
      </c>
      <c r="C980" s="61" t="s">
        <v>3566</v>
      </c>
      <c r="D980" s="61" t="s">
        <v>7838</v>
      </c>
      <c r="E980" s="61">
        <v>5117</v>
      </c>
      <c r="F980" s="61">
        <v>5708</v>
      </c>
      <c r="G980" s="61"/>
      <c r="H980" s="61"/>
      <c r="I980" s="61" t="s">
        <v>224</v>
      </c>
      <c r="J980" s="61"/>
      <c r="K980" s="61" t="s">
        <v>212</v>
      </c>
      <c r="L980" s="61"/>
      <c r="M980" s="61"/>
      <c r="N980" s="61"/>
      <c r="O980" s="61"/>
      <c r="P980" s="61"/>
      <c r="Q980" s="61"/>
      <c r="R980" s="61" t="str">
        <f t="shared" si="71"/>
        <v/>
      </c>
      <c r="S980" s="61" t="str">
        <f t="shared" si="72"/>
        <v/>
      </c>
      <c r="T980" s="61" t="str">
        <f t="shared" si="73"/>
        <v/>
      </c>
      <c r="U980" s="61" t="str">
        <f t="shared" si="74"/>
        <v/>
      </c>
      <c r="V980" s="61"/>
      <c r="W980" s="61"/>
      <c r="X980" s="61"/>
      <c r="Y980" s="471"/>
      <c r="Z980" s="471"/>
      <c r="AA980" s="61"/>
      <c r="AB980" s="61"/>
    </row>
    <row r="981" spans="1:28" s="2" customFormat="1" ht="15">
      <c r="A981" s="61" t="s">
        <v>2286</v>
      </c>
      <c r="B981" s="61" t="s">
        <v>1169</v>
      </c>
      <c r="C981" s="61" t="s">
        <v>4529</v>
      </c>
      <c r="D981" s="61" t="s">
        <v>7838</v>
      </c>
      <c r="E981" s="61">
        <v>1039</v>
      </c>
      <c r="F981" s="61">
        <v>887</v>
      </c>
      <c r="G981" s="61"/>
      <c r="H981" s="61"/>
      <c r="I981" s="61" t="s">
        <v>224</v>
      </c>
      <c r="J981" s="61"/>
      <c r="K981" s="61" t="s">
        <v>212</v>
      </c>
      <c r="L981" s="61"/>
      <c r="M981" s="61"/>
      <c r="N981" s="61"/>
      <c r="O981" s="61"/>
      <c r="P981" s="61"/>
      <c r="Q981" s="61"/>
      <c r="R981" s="61" t="str">
        <f t="shared" si="71"/>
        <v/>
      </c>
      <c r="S981" s="61" t="str">
        <f t="shared" si="72"/>
        <v/>
      </c>
      <c r="T981" s="61" t="str">
        <f t="shared" si="73"/>
        <v/>
      </c>
      <c r="U981" s="61" t="str">
        <f t="shared" si="74"/>
        <v/>
      </c>
      <c r="V981" s="61"/>
      <c r="W981" s="61"/>
      <c r="X981" s="61"/>
      <c r="Y981" s="471"/>
      <c r="Z981" s="471"/>
      <c r="AA981" s="61"/>
      <c r="AB981" s="61"/>
    </row>
    <row r="982" spans="1:28" s="2" customFormat="1" ht="15">
      <c r="A982" s="61" t="s">
        <v>2286</v>
      </c>
      <c r="B982" s="61" t="s">
        <v>1169</v>
      </c>
      <c r="C982" s="61" t="s">
        <v>4503</v>
      </c>
      <c r="D982" s="61" t="s">
        <v>7838</v>
      </c>
      <c r="E982" s="61">
        <v>1396</v>
      </c>
      <c r="F982" s="61">
        <v>1679</v>
      </c>
      <c r="G982" s="61">
        <v>2025</v>
      </c>
      <c r="H982" s="61" t="s">
        <v>3127</v>
      </c>
      <c r="I982" s="61" t="s">
        <v>224</v>
      </c>
      <c r="J982" s="61" t="s">
        <v>2289</v>
      </c>
      <c r="K982" s="61" t="s">
        <v>212</v>
      </c>
      <c r="L982" s="61" t="s">
        <v>8376</v>
      </c>
      <c r="M982" s="475">
        <v>45918</v>
      </c>
      <c r="N982" s="475">
        <v>45918</v>
      </c>
      <c r="O982" s="475">
        <v>45923</v>
      </c>
      <c r="P982" s="475">
        <v>45924</v>
      </c>
      <c r="Q982" s="475">
        <v>45925</v>
      </c>
      <c r="R982" s="61">
        <f t="shared" si="71"/>
        <v>1</v>
      </c>
      <c r="S982" s="61">
        <f t="shared" si="72"/>
        <v>3</v>
      </c>
      <c r="T982" s="61">
        <f t="shared" si="73"/>
        <v>1</v>
      </c>
      <c r="U982" s="61">
        <f t="shared" si="74"/>
        <v>1</v>
      </c>
      <c r="V982" s="61" t="s">
        <v>150</v>
      </c>
      <c r="W982" s="61" t="s">
        <v>1078</v>
      </c>
      <c r="X982" s="61" t="s">
        <v>50</v>
      </c>
      <c r="Y982" s="473" t="s">
        <v>8377</v>
      </c>
      <c r="Z982" s="473" t="s">
        <v>8378</v>
      </c>
      <c r="AA982" s="61"/>
      <c r="AB982" s="61"/>
    </row>
    <row r="983" spans="1:28" s="2" customFormat="1" ht="15">
      <c r="A983" s="61" t="s">
        <v>2286</v>
      </c>
      <c r="B983" s="61" t="s">
        <v>1169</v>
      </c>
      <c r="C983" s="61" t="s">
        <v>4517</v>
      </c>
      <c r="D983" s="61" t="s">
        <v>7838</v>
      </c>
      <c r="E983" s="61">
        <v>1646</v>
      </c>
      <c r="F983" s="61">
        <v>1512</v>
      </c>
      <c r="G983" s="61">
        <v>2025</v>
      </c>
      <c r="H983" s="61" t="s">
        <v>3127</v>
      </c>
      <c r="I983" s="61" t="s">
        <v>224</v>
      </c>
      <c r="J983" s="61" t="s">
        <v>2289</v>
      </c>
      <c r="K983" s="61" t="s">
        <v>212</v>
      </c>
      <c r="L983" s="61" t="s">
        <v>8379</v>
      </c>
      <c r="M983" s="475">
        <v>45918</v>
      </c>
      <c r="N983" s="475">
        <v>45918</v>
      </c>
      <c r="O983" s="475">
        <v>45918</v>
      </c>
      <c r="P983" s="475">
        <v>45918</v>
      </c>
      <c r="Q983" s="475">
        <v>45918</v>
      </c>
      <c r="R983" s="61">
        <f>IF(
    OR(ISBLANK(M984), ISBLANK(N984)),
    "",
    MAX(1, IF(
        NETWORKDAYS(M984, N984) &lt;= 0,
        1,
        NETWORKDAYS(M984, N984) - IF(M984 = N984, 0, 1)
    ))
)</f>
        <v>1</v>
      </c>
      <c r="S983" s="61">
        <f>IF(
    OR(ISBLANK(N984), ISBLANK(O984)),
    "",
    MAX(1, IF(
        NETWORKDAYS(N984, O984) &lt;= 0,
        1,
        NETWORKDAYS(N984, O984) - IF(N984 = O984, 0, 1)
    ))
)</f>
        <v>1</v>
      </c>
      <c r="T983" s="61">
        <f>IF(
  OR(A983 = "Nueva_Ecija", A983 = "Zambales"),
  IF(
    OR(ISBLANK(O984), ISBLANK(P984)),
    "",
    MAX(1, IF(
      NETWORKDAYS(O984, P984) &lt;= 0,
      1,
      NETWORKDAYS(O984, P984) - IF(O984 = P984, 0, 1)
    ))
  ),
  IF(
    OR(ISBLANK(N984), ISBLANK(P984)),
    "",
    MAX(1, IF(
      NETWORKDAYS(N984, P984) &lt;= 0,
      1,
      NETWORKDAYS(N984, P984) - IF(N984 = P984, 0, 1)
    ))
  )
)</f>
        <v>1</v>
      </c>
      <c r="U983" s="61">
        <f>IF(
    OR(ISBLANK(P984), ISBLANK(Q984)),
    "",
    MAX(1, IF(
        NETWORKDAYS(P984, Q984) &lt;= 0,
        1,
        NETWORKDAYS(P984, Q984) - IF(P984 = Q984, 0, 1)
    ))
)</f>
        <v>1</v>
      </c>
      <c r="V983" s="61" t="s">
        <v>150</v>
      </c>
      <c r="W983" s="61" t="s">
        <v>1078</v>
      </c>
      <c r="X983" s="61" t="s">
        <v>50</v>
      </c>
      <c r="Y983" s="471" t="s">
        <v>8380</v>
      </c>
      <c r="Z983" s="471" t="s">
        <v>8381</v>
      </c>
      <c r="AA983" s="61" t="s">
        <v>8361</v>
      </c>
      <c r="AB983" s="61"/>
    </row>
    <row r="984" spans="1:28" s="2" customFormat="1" ht="15">
      <c r="A984" s="61" t="s">
        <v>2286</v>
      </c>
      <c r="B984" s="61" t="s">
        <v>1169</v>
      </c>
      <c r="C984" s="61" t="s">
        <v>4520</v>
      </c>
      <c r="D984" s="61" t="s">
        <v>7838</v>
      </c>
      <c r="E984" s="61">
        <v>1221</v>
      </c>
      <c r="F984" s="61">
        <v>1520</v>
      </c>
      <c r="G984" s="61">
        <v>2025</v>
      </c>
      <c r="H984" s="61" t="s">
        <v>3127</v>
      </c>
      <c r="I984" s="61" t="s">
        <v>224</v>
      </c>
      <c r="J984" s="61" t="s">
        <v>2289</v>
      </c>
      <c r="K984" s="61" t="s">
        <v>212</v>
      </c>
      <c r="L984" s="61" t="s">
        <v>8382</v>
      </c>
      <c r="M984" s="475">
        <v>45918</v>
      </c>
      <c r="N984" s="475">
        <v>45918</v>
      </c>
      <c r="O984" s="475">
        <v>45918</v>
      </c>
      <c r="P984" s="475">
        <v>45918</v>
      </c>
      <c r="Q984" s="475">
        <v>45918</v>
      </c>
      <c r="R984" s="61">
        <f t="shared" ref="R984:R1047" si="75">IF(
    OR(ISBLANK(M984), ISBLANK(N984)),
    "",
    MAX(1, IF(
        NETWORKDAYS(M984, N984) &lt;= 0,
        1,
        NETWORKDAYS(M984, N984) - IF(M984 = N984, 0, 1)
    ))
)</f>
        <v>1</v>
      </c>
      <c r="S984" s="61">
        <f t="shared" ref="S984:S1047" si="76">IF(
    OR(ISBLANK(N984), ISBLANK(O984)),
    "",
    MAX(1, IF(
        NETWORKDAYS(N984, O984) &lt;= 0,
        1,
        NETWORKDAYS(N984, O984) - IF(N984 = O984, 0, 1)
    ))
)</f>
        <v>1</v>
      </c>
      <c r="T984" s="61">
        <f t="shared" ref="T984:T1047" si="77">IF(
  OR(A984 = "Nueva_Ecija", A984 = "Zambales"),
  IF(
    OR(ISBLANK(O984), ISBLANK(P984)),
    "",
    MAX(1, IF(
      NETWORKDAYS(O984, P984) &lt;= 0,
      1,
      NETWORKDAYS(O984, P984) - IF(O984 = P984, 0, 1)
    ))
  ),
  IF(
    OR(ISBLANK(N984), ISBLANK(P984)),
    "",
    MAX(1, IF(
      NETWORKDAYS(N984, P984) &lt;= 0,
      1,
      NETWORKDAYS(N984, P984) - IF(N984 = P984, 0, 1)
    ))
  )
)</f>
        <v>1</v>
      </c>
      <c r="U984" s="61">
        <f t="shared" ref="U984:U1047" si="78">IF(
    OR(ISBLANK(P984), ISBLANK(Q984)),
    "",
    MAX(1, IF(
        NETWORKDAYS(P984, Q984) &lt;= 0,
        1,
        NETWORKDAYS(P984, Q984) - IF(P984 = Q984, 0, 1)
    ))
)</f>
        <v>1</v>
      </c>
      <c r="V984" s="61" t="s">
        <v>150</v>
      </c>
      <c r="W984" s="61" t="s">
        <v>1078</v>
      </c>
      <c r="X984" s="61" t="s">
        <v>50</v>
      </c>
      <c r="Y984" s="471" t="s">
        <v>8380</v>
      </c>
      <c r="Z984" s="471" t="s">
        <v>8381</v>
      </c>
      <c r="AA984" s="61" t="s">
        <v>8361</v>
      </c>
      <c r="AB984" s="61"/>
    </row>
    <row r="985" spans="1:28" s="2" customFormat="1" ht="15">
      <c r="A985" s="61" t="s">
        <v>2286</v>
      </c>
      <c r="B985" s="61" t="s">
        <v>1169</v>
      </c>
      <c r="C985" s="61" t="s">
        <v>4511</v>
      </c>
      <c r="D985" s="61" t="s">
        <v>7838</v>
      </c>
      <c r="E985" s="61">
        <v>1081</v>
      </c>
      <c r="F985" s="61">
        <v>1230</v>
      </c>
      <c r="G985" s="61">
        <v>2025</v>
      </c>
      <c r="H985" s="61" t="s">
        <v>3127</v>
      </c>
      <c r="I985" s="61" t="s">
        <v>224</v>
      </c>
      <c r="J985" s="61" t="s">
        <v>2289</v>
      </c>
      <c r="K985" s="61" t="s">
        <v>212</v>
      </c>
      <c r="L985" s="61" t="s">
        <v>8383</v>
      </c>
      <c r="M985" s="475">
        <v>45918</v>
      </c>
      <c r="N985" s="475">
        <v>45918</v>
      </c>
      <c r="O985" s="475">
        <v>45918</v>
      </c>
      <c r="P985" s="475">
        <v>45918</v>
      </c>
      <c r="Q985" s="475">
        <v>45918</v>
      </c>
      <c r="R985" s="61">
        <f t="shared" si="75"/>
        <v>1</v>
      </c>
      <c r="S985" s="61">
        <f t="shared" si="76"/>
        <v>1</v>
      </c>
      <c r="T985" s="61">
        <f t="shared" si="77"/>
        <v>1</v>
      </c>
      <c r="U985" s="61">
        <f t="shared" si="78"/>
        <v>1</v>
      </c>
      <c r="V985" s="61" t="s">
        <v>150</v>
      </c>
      <c r="W985" s="61" t="s">
        <v>1078</v>
      </c>
      <c r="X985" s="61" t="s">
        <v>50</v>
      </c>
      <c r="Y985" s="471" t="s">
        <v>8384</v>
      </c>
      <c r="Z985" s="471" t="s">
        <v>8384</v>
      </c>
      <c r="AA985" s="61" t="s">
        <v>8361</v>
      </c>
      <c r="AB985" s="61"/>
    </row>
    <row r="986" spans="1:28" s="2" customFormat="1" ht="15">
      <c r="A986" s="61" t="s">
        <v>2286</v>
      </c>
      <c r="B986" s="61" t="s">
        <v>1173</v>
      </c>
      <c r="C986" s="61" t="s">
        <v>1174</v>
      </c>
      <c r="D986" s="61" t="s">
        <v>7838</v>
      </c>
      <c r="E986" s="61">
        <v>2281</v>
      </c>
      <c r="F986" s="61">
        <v>2651</v>
      </c>
      <c r="G986" s="61">
        <v>2025</v>
      </c>
      <c r="H986" s="61" t="s">
        <v>3458</v>
      </c>
      <c r="I986" s="61" t="s">
        <v>28</v>
      </c>
      <c r="J986" s="61" t="s">
        <v>2289</v>
      </c>
      <c r="K986" s="61" t="s">
        <v>212</v>
      </c>
      <c r="L986" s="476" t="s">
        <v>8385</v>
      </c>
      <c r="M986" s="475">
        <v>45688</v>
      </c>
      <c r="N986" s="475">
        <v>45691</v>
      </c>
      <c r="O986" s="475">
        <v>45695</v>
      </c>
      <c r="P986" s="475">
        <v>45695</v>
      </c>
      <c r="Q986" s="475">
        <v>45701</v>
      </c>
      <c r="R986" s="61">
        <f t="shared" si="75"/>
        <v>1</v>
      </c>
      <c r="S986" s="61">
        <f t="shared" si="76"/>
        <v>4</v>
      </c>
      <c r="T986" s="61">
        <f t="shared" si="77"/>
        <v>1</v>
      </c>
      <c r="U986" s="61">
        <f t="shared" si="78"/>
        <v>4</v>
      </c>
      <c r="V986" s="61" t="s">
        <v>150</v>
      </c>
      <c r="W986" s="61" t="s">
        <v>4</v>
      </c>
      <c r="X986" s="61" t="s">
        <v>50</v>
      </c>
      <c r="Y986" s="473">
        <v>15.6488</v>
      </c>
      <c r="Z986" s="473">
        <v>121.1854</v>
      </c>
      <c r="AA986" s="61" t="s">
        <v>182</v>
      </c>
      <c r="AB986" s="61"/>
    </row>
    <row r="987" spans="1:28" s="2" customFormat="1" ht="15">
      <c r="A987" s="61" t="s">
        <v>2286</v>
      </c>
      <c r="B987" s="61" t="s">
        <v>1173</v>
      </c>
      <c r="C987" s="61" t="s">
        <v>3713</v>
      </c>
      <c r="D987" s="61" t="s">
        <v>7838</v>
      </c>
      <c r="E987" s="61">
        <v>2946</v>
      </c>
      <c r="F987" s="61">
        <v>3194</v>
      </c>
      <c r="G987" s="61">
        <v>2025</v>
      </c>
      <c r="H987" s="61" t="s">
        <v>3458</v>
      </c>
      <c r="I987" s="61" t="s">
        <v>28</v>
      </c>
      <c r="J987" s="61" t="s">
        <v>2289</v>
      </c>
      <c r="K987" s="61" t="s">
        <v>212</v>
      </c>
      <c r="L987" s="61" t="s">
        <v>8386</v>
      </c>
      <c r="M987" s="475">
        <v>45688</v>
      </c>
      <c r="N987" s="475">
        <v>45704</v>
      </c>
      <c r="O987" s="475">
        <v>45705</v>
      </c>
      <c r="P987" s="475">
        <v>45705</v>
      </c>
      <c r="Q987" s="475">
        <v>45706</v>
      </c>
      <c r="R987" s="61">
        <f t="shared" si="75"/>
        <v>10</v>
      </c>
      <c r="S987" s="61">
        <f t="shared" si="76"/>
        <v>1</v>
      </c>
      <c r="T987" s="61">
        <f t="shared" si="77"/>
        <v>1</v>
      </c>
      <c r="U987" s="61">
        <f t="shared" si="78"/>
        <v>1</v>
      </c>
      <c r="V987" s="61" t="s">
        <v>150</v>
      </c>
      <c r="W987" s="61" t="s">
        <v>4</v>
      </c>
      <c r="X987" s="61" t="s">
        <v>50</v>
      </c>
      <c r="Y987" s="473">
        <v>15.6294</v>
      </c>
      <c r="Z987" s="473">
        <v>121.14019999999999</v>
      </c>
      <c r="AA987" s="61" t="s">
        <v>182</v>
      </c>
      <c r="AB987" s="61"/>
    </row>
    <row r="988" spans="1:28" s="2" customFormat="1" ht="15">
      <c r="A988" s="61" t="s">
        <v>2286</v>
      </c>
      <c r="B988" s="61" t="s">
        <v>1173</v>
      </c>
      <c r="C988" s="61" t="s">
        <v>4556</v>
      </c>
      <c r="D988" s="61" t="s">
        <v>7838</v>
      </c>
      <c r="E988" s="61">
        <v>6037</v>
      </c>
      <c r="F988" s="61">
        <v>6046</v>
      </c>
      <c r="G988" s="61">
        <v>2025</v>
      </c>
      <c r="H988" s="61" t="s">
        <v>3458</v>
      </c>
      <c r="I988" s="61" t="s">
        <v>28</v>
      </c>
      <c r="J988" s="61" t="s">
        <v>2289</v>
      </c>
      <c r="K988" s="61" t="s">
        <v>212</v>
      </c>
      <c r="L988" s="476" t="s">
        <v>8387</v>
      </c>
      <c r="M988" s="475">
        <v>45688</v>
      </c>
      <c r="N988" s="475">
        <v>45691</v>
      </c>
      <c r="O988" s="475">
        <v>45692</v>
      </c>
      <c r="P988" s="475">
        <v>45694</v>
      </c>
      <c r="Q988" s="475">
        <v>45699</v>
      </c>
      <c r="R988" s="61">
        <f t="shared" si="75"/>
        <v>1</v>
      </c>
      <c r="S988" s="61">
        <f t="shared" si="76"/>
        <v>1</v>
      </c>
      <c r="T988" s="61">
        <f t="shared" si="77"/>
        <v>2</v>
      </c>
      <c r="U988" s="61">
        <f t="shared" si="78"/>
        <v>3</v>
      </c>
      <c r="V988" s="61" t="s">
        <v>150</v>
      </c>
      <c r="W988" s="61" t="s">
        <v>4</v>
      </c>
      <c r="X988" s="61" t="s">
        <v>50</v>
      </c>
      <c r="Y988" s="473">
        <v>15.611000000000001</v>
      </c>
      <c r="Z988" s="473">
        <v>121.16670000000001</v>
      </c>
      <c r="AA988" s="61" t="s">
        <v>182</v>
      </c>
      <c r="AB988" s="61"/>
    </row>
    <row r="989" spans="1:28" s="2" customFormat="1" ht="15">
      <c r="A989" s="61" t="s">
        <v>2286</v>
      </c>
      <c r="B989" s="61" t="s">
        <v>1173</v>
      </c>
      <c r="C989" s="61" t="s">
        <v>4558</v>
      </c>
      <c r="D989" s="61" t="s">
        <v>7838</v>
      </c>
      <c r="E989" s="61">
        <v>623</v>
      </c>
      <c r="F989" s="61">
        <v>587</v>
      </c>
      <c r="G989" s="61">
        <v>2025</v>
      </c>
      <c r="H989" s="61" t="s">
        <v>3532</v>
      </c>
      <c r="I989" s="61" t="s">
        <v>267</v>
      </c>
      <c r="J989" s="61" t="s">
        <v>28</v>
      </c>
      <c r="K989" s="61" t="s">
        <v>212</v>
      </c>
      <c r="L989" s="476" t="s">
        <v>8388</v>
      </c>
      <c r="M989" s="475">
        <v>45777</v>
      </c>
      <c r="N989" s="475">
        <v>45780</v>
      </c>
      <c r="O989" s="475">
        <v>45782</v>
      </c>
      <c r="P989" s="475">
        <v>45782</v>
      </c>
      <c r="Q989" s="475">
        <v>45792</v>
      </c>
      <c r="R989" s="61">
        <f t="shared" si="75"/>
        <v>2</v>
      </c>
      <c r="S989" s="61">
        <f t="shared" si="76"/>
        <v>1</v>
      </c>
      <c r="T989" s="61">
        <f t="shared" si="77"/>
        <v>1</v>
      </c>
      <c r="U989" s="61">
        <f t="shared" si="78"/>
        <v>8</v>
      </c>
      <c r="V989" s="61" t="s">
        <v>150</v>
      </c>
      <c r="W989" s="61" t="s">
        <v>4</v>
      </c>
      <c r="X989" s="61" t="s">
        <v>50</v>
      </c>
      <c r="Y989" s="486">
        <v>15.6281</v>
      </c>
      <c r="Z989" s="486">
        <v>121.1431</v>
      </c>
      <c r="AA989" s="61" t="s">
        <v>2590</v>
      </c>
      <c r="AB989" s="61"/>
    </row>
    <row r="990" spans="1:28" s="2" customFormat="1" ht="15">
      <c r="A990" s="61" t="s">
        <v>2286</v>
      </c>
      <c r="B990" s="61" t="s">
        <v>1173</v>
      </c>
      <c r="C990" s="61" t="s">
        <v>4562</v>
      </c>
      <c r="D990" s="61" t="s">
        <v>7838</v>
      </c>
      <c r="E990" s="61">
        <v>2034</v>
      </c>
      <c r="F990" s="61">
        <v>2291</v>
      </c>
      <c r="G990" s="61">
        <v>2025</v>
      </c>
      <c r="H990" s="61" t="s">
        <v>3458</v>
      </c>
      <c r="I990" s="61" t="s">
        <v>28</v>
      </c>
      <c r="J990" s="61" t="s">
        <v>2289</v>
      </c>
      <c r="K990" s="61" t="s">
        <v>212</v>
      </c>
      <c r="L990" s="476" t="s">
        <v>8389</v>
      </c>
      <c r="M990" s="475">
        <v>45687</v>
      </c>
      <c r="N990" s="475">
        <v>45704</v>
      </c>
      <c r="O990" s="475">
        <v>45705</v>
      </c>
      <c r="P990" s="475">
        <v>45705</v>
      </c>
      <c r="Q990" s="475">
        <v>45706</v>
      </c>
      <c r="R990" s="61">
        <f t="shared" si="75"/>
        <v>11</v>
      </c>
      <c r="S990" s="61">
        <f t="shared" si="76"/>
        <v>1</v>
      </c>
      <c r="T990" s="61">
        <f t="shared" si="77"/>
        <v>1</v>
      </c>
      <c r="U990" s="61">
        <f t="shared" si="78"/>
        <v>1</v>
      </c>
      <c r="V990" s="61" t="s">
        <v>150</v>
      </c>
      <c r="W990" s="61" t="s">
        <v>4</v>
      </c>
      <c r="X990" s="61" t="s">
        <v>50</v>
      </c>
      <c r="Y990" s="473">
        <v>15.623100000000001</v>
      </c>
      <c r="Z990" s="473">
        <v>121.1444</v>
      </c>
      <c r="AA990" s="61" t="s">
        <v>182</v>
      </c>
      <c r="AB990" s="61"/>
    </row>
    <row r="991" spans="1:28" s="2" customFormat="1" ht="15">
      <c r="A991" s="61" t="s">
        <v>2286</v>
      </c>
      <c r="B991" s="61" t="s">
        <v>1173</v>
      </c>
      <c r="C991" s="61" t="s">
        <v>4544</v>
      </c>
      <c r="D991" s="61" t="s">
        <v>7838</v>
      </c>
      <c r="E991" s="61">
        <v>1597</v>
      </c>
      <c r="F991" s="61">
        <v>1710</v>
      </c>
      <c r="G991" s="61">
        <v>2025</v>
      </c>
      <c r="H991" s="61" t="s">
        <v>3458</v>
      </c>
      <c r="I991" s="61" t="s">
        <v>28</v>
      </c>
      <c r="J991" s="61" t="s">
        <v>2289</v>
      </c>
      <c r="K991" s="61" t="s">
        <v>212</v>
      </c>
      <c r="L991" s="61" t="s">
        <v>8390</v>
      </c>
      <c r="M991" s="475">
        <v>45688</v>
      </c>
      <c r="N991" s="475">
        <v>45704</v>
      </c>
      <c r="O991" s="475">
        <v>45705</v>
      </c>
      <c r="P991" s="475">
        <v>45705</v>
      </c>
      <c r="Q991" s="475">
        <v>45706</v>
      </c>
      <c r="R991" s="61">
        <f t="shared" si="75"/>
        <v>10</v>
      </c>
      <c r="S991" s="61">
        <f t="shared" si="76"/>
        <v>1</v>
      </c>
      <c r="T991" s="61">
        <f t="shared" si="77"/>
        <v>1</v>
      </c>
      <c r="U991" s="61">
        <f t="shared" si="78"/>
        <v>1</v>
      </c>
      <c r="V991" s="61" t="s">
        <v>150</v>
      </c>
      <c r="W991" s="61" t="s">
        <v>1078</v>
      </c>
      <c r="X991" s="61" t="s">
        <v>50</v>
      </c>
      <c r="Y991" s="473">
        <v>15.6403</v>
      </c>
      <c r="Z991" s="473">
        <v>121.1609</v>
      </c>
      <c r="AA991" s="61" t="s">
        <v>182</v>
      </c>
      <c r="AB991" s="61"/>
    </row>
    <row r="992" spans="1:28" s="2" customFormat="1" ht="15">
      <c r="A992" s="61" t="s">
        <v>2286</v>
      </c>
      <c r="B992" s="61" t="s">
        <v>1173</v>
      </c>
      <c r="C992" s="61" t="s">
        <v>4547</v>
      </c>
      <c r="D992" s="61" t="s">
        <v>7838</v>
      </c>
      <c r="E992" s="61">
        <v>1715</v>
      </c>
      <c r="F992" s="61">
        <v>1437</v>
      </c>
      <c r="G992" s="61">
        <v>2025</v>
      </c>
      <c r="H992" s="61" t="s">
        <v>3458</v>
      </c>
      <c r="I992" s="61" t="s">
        <v>28</v>
      </c>
      <c r="J992" s="61" t="s">
        <v>2289</v>
      </c>
      <c r="K992" s="61" t="s">
        <v>212</v>
      </c>
      <c r="L992" s="61" t="s">
        <v>8391</v>
      </c>
      <c r="M992" s="475">
        <v>45688</v>
      </c>
      <c r="N992" s="475">
        <v>45704</v>
      </c>
      <c r="O992" s="475">
        <v>45705</v>
      </c>
      <c r="P992" s="475">
        <v>45705</v>
      </c>
      <c r="Q992" s="475">
        <v>45706</v>
      </c>
      <c r="R992" s="61">
        <f t="shared" si="75"/>
        <v>10</v>
      </c>
      <c r="S992" s="61">
        <f t="shared" si="76"/>
        <v>1</v>
      </c>
      <c r="T992" s="61">
        <f t="shared" si="77"/>
        <v>1</v>
      </c>
      <c r="U992" s="61">
        <f t="shared" si="78"/>
        <v>1</v>
      </c>
      <c r="V992" s="61" t="s">
        <v>150</v>
      </c>
      <c r="W992" s="61" t="s">
        <v>1078</v>
      </c>
      <c r="X992" s="61" t="s">
        <v>50</v>
      </c>
      <c r="Y992" s="473">
        <v>15.637499999999999</v>
      </c>
      <c r="Z992" s="473">
        <v>121.15009999999999</v>
      </c>
      <c r="AA992" s="61" t="s">
        <v>182</v>
      </c>
      <c r="AB992" s="61"/>
    </row>
    <row r="993" spans="1:28" s="2" customFormat="1" ht="15">
      <c r="A993" s="61" t="s">
        <v>2286</v>
      </c>
      <c r="B993" s="61" t="s">
        <v>1173</v>
      </c>
      <c r="C993" s="61" t="s">
        <v>4549</v>
      </c>
      <c r="D993" s="61" t="s">
        <v>7838</v>
      </c>
      <c r="E993" s="61">
        <v>1358</v>
      </c>
      <c r="F993" s="61">
        <v>1399</v>
      </c>
      <c r="G993" s="61">
        <v>2025</v>
      </c>
      <c r="H993" s="61" t="s">
        <v>3458</v>
      </c>
      <c r="I993" s="61" t="s">
        <v>28</v>
      </c>
      <c r="J993" s="61" t="s">
        <v>2289</v>
      </c>
      <c r="K993" s="61" t="s">
        <v>212</v>
      </c>
      <c r="L993" s="476" t="s">
        <v>8392</v>
      </c>
      <c r="M993" s="475">
        <v>45687</v>
      </c>
      <c r="N993" s="475">
        <v>45704</v>
      </c>
      <c r="O993" s="475">
        <v>45705</v>
      </c>
      <c r="P993" s="475">
        <v>45705</v>
      </c>
      <c r="Q993" s="475">
        <v>45706</v>
      </c>
      <c r="R993" s="61">
        <f t="shared" si="75"/>
        <v>11</v>
      </c>
      <c r="S993" s="61">
        <f t="shared" si="76"/>
        <v>1</v>
      </c>
      <c r="T993" s="61">
        <f t="shared" si="77"/>
        <v>1</v>
      </c>
      <c r="U993" s="61">
        <f t="shared" si="78"/>
        <v>1</v>
      </c>
      <c r="V993" s="61" t="s">
        <v>150</v>
      </c>
      <c r="W993" s="61" t="s">
        <v>1078</v>
      </c>
      <c r="X993" s="61" t="s">
        <v>50</v>
      </c>
      <c r="Y993" s="473">
        <v>15.633800000000001</v>
      </c>
      <c r="Z993" s="473">
        <v>121.142</v>
      </c>
      <c r="AA993" s="61" t="s">
        <v>182</v>
      </c>
      <c r="AB993" s="61"/>
    </row>
    <row r="994" spans="1:28" s="2" customFormat="1" ht="15">
      <c r="A994" s="61" t="s">
        <v>2286</v>
      </c>
      <c r="B994" s="61" t="s">
        <v>1173</v>
      </c>
      <c r="C994" s="61" t="s">
        <v>4559</v>
      </c>
      <c r="D994" s="61" t="s">
        <v>7838</v>
      </c>
      <c r="E994" s="61">
        <v>663</v>
      </c>
      <c r="F994" s="61">
        <v>795</v>
      </c>
      <c r="G994" s="61">
        <v>2025</v>
      </c>
      <c r="H994" s="61" t="s">
        <v>3458</v>
      </c>
      <c r="I994" s="61" t="s">
        <v>28</v>
      </c>
      <c r="J994" s="61" t="s">
        <v>2289</v>
      </c>
      <c r="K994" s="61" t="s">
        <v>212</v>
      </c>
      <c r="L994" s="61" t="s">
        <v>8393</v>
      </c>
      <c r="M994" s="475">
        <v>45687</v>
      </c>
      <c r="N994" s="475">
        <v>45704</v>
      </c>
      <c r="O994" s="475">
        <v>45705</v>
      </c>
      <c r="P994" s="475">
        <v>45705</v>
      </c>
      <c r="Q994" s="475">
        <v>45705</v>
      </c>
      <c r="R994" s="61">
        <f t="shared" si="75"/>
        <v>11</v>
      </c>
      <c r="S994" s="61">
        <f t="shared" si="76"/>
        <v>1</v>
      </c>
      <c r="T994" s="61">
        <f t="shared" si="77"/>
        <v>1</v>
      </c>
      <c r="U994" s="61">
        <f t="shared" si="78"/>
        <v>1</v>
      </c>
      <c r="V994" s="61" t="s">
        <v>150</v>
      </c>
      <c r="W994" s="61" t="s">
        <v>1078</v>
      </c>
      <c r="X994" s="61" t="s">
        <v>50</v>
      </c>
      <c r="Y994" s="473">
        <v>15.627599999999999</v>
      </c>
      <c r="Z994" s="473">
        <v>121.1401</v>
      </c>
      <c r="AA994" s="61" t="s">
        <v>182</v>
      </c>
      <c r="AB994" s="61"/>
    </row>
    <row r="995" spans="1:28" s="2" customFormat="1" ht="15">
      <c r="A995" s="61" t="s">
        <v>2286</v>
      </c>
      <c r="B995" s="61" t="s">
        <v>1173</v>
      </c>
      <c r="C995" s="61" t="s">
        <v>4533</v>
      </c>
      <c r="D995" s="61" t="s">
        <v>7838</v>
      </c>
      <c r="E995" s="61">
        <v>4124</v>
      </c>
      <c r="F995" s="61">
        <v>4684</v>
      </c>
      <c r="G995" s="61"/>
      <c r="H995" s="61"/>
      <c r="I995" s="61" t="s">
        <v>28</v>
      </c>
      <c r="J995" s="61"/>
      <c r="K995" s="61" t="s">
        <v>212</v>
      </c>
      <c r="L995" s="61"/>
      <c r="M995" s="61"/>
      <c r="N995" s="61"/>
      <c r="O995" s="61"/>
      <c r="P995" s="61"/>
      <c r="Q995" s="61"/>
      <c r="R995" s="61" t="str">
        <f t="shared" si="75"/>
        <v/>
      </c>
      <c r="S995" s="61" t="str">
        <f t="shared" si="76"/>
        <v/>
      </c>
      <c r="T995" s="61" t="str">
        <f t="shared" si="77"/>
        <v/>
      </c>
      <c r="U995" s="61" t="str">
        <f t="shared" si="78"/>
        <v/>
      </c>
      <c r="V995" s="61"/>
      <c r="W995" s="61"/>
      <c r="X995" s="61"/>
      <c r="Y995" s="471"/>
      <c r="Z995" s="471"/>
      <c r="AA995" s="61"/>
      <c r="AB995" s="61"/>
    </row>
    <row r="996" spans="1:28" s="2" customFormat="1" ht="15">
      <c r="A996" s="61" t="s">
        <v>2286</v>
      </c>
      <c r="B996" s="61" t="s">
        <v>1173</v>
      </c>
      <c r="C996" s="61" t="s">
        <v>4534</v>
      </c>
      <c r="D996" s="61" t="s">
        <v>7838</v>
      </c>
      <c r="E996" s="61">
        <v>1263</v>
      </c>
      <c r="F996" s="61">
        <v>1515</v>
      </c>
      <c r="G996" s="61"/>
      <c r="H996" s="61"/>
      <c r="I996" s="61" t="s">
        <v>28</v>
      </c>
      <c r="J996" s="61"/>
      <c r="K996" s="61" t="s">
        <v>212</v>
      </c>
      <c r="L996" s="61"/>
      <c r="M996" s="61"/>
      <c r="N996" s="61"/>
      <c r="O996" s="61"/>
      <c r="P996" s="61"/>
      <c r="Q996" s="61"/>
      <c r="R996" s="61" t="str">
        <f t="shared" si="75"/>
        <v/>
      </c>
      <c r="S996" s="61" t="str">
        <f t="shared" si="76"/>
        <v/>
      </c>
      <c r="T996" s="61" t="str">
        <f t="shared" si="77"/>
        <v/>
      </c>
      <c r="U996" s="61" t="str">
        <f t="shared" si="78"/>
        <v/>
      </c>
      <c r="V996" s="61"/>
      <c r="W996" s="61"/>
      <c r="X996" s="61"/>
      <c r="Y996" s="471"/>
      <c r="Z996" s="471"/>
      <c r="AA996" s="61"/>
      <c r="AB996" s="61"/>
    </row>
    <row r="997" spans="1:28" s="2" customFormat="1" ht="15">
      <c r="A997" s="61" t="s">
        <v>2286</v>
      </c>
      <c r="B997" s="61" t="s">
        <v>1173</v>
      </c>
      <c r="C997" s="61" t="s">
        <v>4535</v>
      </c>
      <c r="D997" s="61" t="s">
        <v>7838</v>
      </c>
      <c r="E997" s="61">
        <v>917</v>
      </c>
      <c r="F997" s="61">
        <v>877</v>
      </c>
      <c r="G997" s="61"/>
      <c r="H997" s="61"/>
      <c r="I997" s="61" t="s">
        <v>28</v>
      </c>
      <c r="J997" s="61"/>
      <c r="K997" s="61" t="s">
        <v>212</v>
      </c>
      <c r="L997" s="61"/>
      <c r="M997" s="61"/>
      <c r="N997" s="61"/>
      <c r="O997" s="61"/>
      <c r="P997" s="61"/>
      <c r="Q997" s="61"/>
      <c r="R997" s="61" t="str">
        <f t="shared" si="75"/>
        <v/>
      </c>
      <c r="S997" s="61" t="str">
        <f t="shared" si="76"/>
        <v/>
      </c>
      <c r="T997" s="61" t="str">
        <f t="shared" si="77"/>
        <v/>
      </c>
      <c r="U997" s="61" t="str">
        <f t="shared" si="78"/>
        <v/>
      </c>
      <c r="V997" s="61"/>
      <c r="W997" s="61"/>
      <c r="X997" s="61"/>
      <c r="Y997" s="471"/>
      <c r="Z997" s="471"/>
      <c r="AA997" s="61"/>
      <c r="AB997" s="61"/>
    </row>
    <row r="998" spans="1:28" s="2" customFormat="1" ht="15">
      <c r="A998" s="61" t="s">
        <v>2286</v>
      </c>
      <c r="B998" s="61" t="s">
        <v>1173</v>
      </c>
      <c r="C998" s="61" t="s">
        <v>4536</v>
      </c>
      <c r="D998" s="61" t="s">
        <v>7838</v>
      </c>
      <c r="E998" s="61">
        <v>2900</v>
      </c>
      <c r="F998" s="61">
        <v>2575</v>
      </c>
      <c r="G998" s="61"/>
      <c r="H998" s="61"/>
      <c r="I998" s="61" t="s">
        <v>28</v>
      </c>
      <c r="J998" s="61"/>
      <c r="K998" s="61" t="s">
        <v>212</v>
      </c>
      <c r="L998" s="61"/>
      <c r="M998" s="61"/>
      <c r="N998" s="61"/>
      <c r="O998" s="61"/>
      <c r="P998" s="61"/>
      <c r="Q998" s="61"/>
      <c r="R998" s="61" t="str">
        <f t="shared" si="75"/>
        <v/>
      </c>
      <c r="S998" s="61" t="str">
        <f t="shared" si="76"/>
        <v/>
      </c>
      <c r="T998" s="61" t="str">
        <f t="shared" si="77"/>
        <v/>
      </c>
      <c r="U998" s="61" t="str">
        <f t="shared" si="78"/>
        <v/>
      </c>
      <c r="V998" s="61"/>
      <c r="W998" s="61"/>
      <c r="X998" s="61"/>
      <c r="Y998" s="471"/>
      <c r="Z998" s="471"/>
      <c r="AA998" s="61"/>
      <c r="AB998" s="61"/>
    </row>
    <row r="999" spans="1:28" s="2" customFormat="1" ht="15">
      <c r="A999" s="61" t="s">
        <v>2286</v>
      </c>
      <c r="B999" s="61" t="s">
        <v>1173</v>
      </c>
      <c r="C999" s="61" t="s">
        <v>4537</v>
      </c>
      <c r="D999" s="61" t="s">
        <v>7838</v>
      </c>
      <c r="E999" s="61">
        <v>283</v>
      </c>
      <c r="F999" s="61">
        <v>208</v>
      </c>
      <c r="G999" s="61"/>
      <c r="H999" s="61"/>
      <c r="I999" s="61" t="s">
        <v>28</v>
      </c>
      <c r="J999" s="61"/>
      <c r="K999" s="61" t="s">
        <v>212</v>
      </c>
      <c r="L999" s="61"/>
      <c r="M999" s="61"/>
      <c r="N999" s="61"/>
      <c r="O999" s="61"/>
      <c r="P999" s="61"/>
      <c r="Q999" s="61"/>
      <c r="R999" s="61" t="str">
        <f t="shared" si="75"/>
        <v/>
      </c>
      <c r="S999" s="61" t="str">
        <f t="shared" si="76"/>
        <v/>
      </c>
      <c r="T999" s="61" t="str">
        <f t="shared" si="77"/>
        <v/>
      </c>
      <c r="U999" s="61" t="str">
        <f t="shared" si="78"/>
        <v/>
      </c>
      <c r="V999" s="61"/>
      <c r="W999" s="61"/>
      <c r="X999" s="61"/>
      <c r="Y999" s="471"/>
      <c r="Z999" s="471"/>
      <c r="AA999" s="61"/>
      <c r="AB999" s="61"/>
    </row>
    <row r="1000" spans="1:28" s="2" customFormat="1" ht="15">
      <c r="A1000" s="61" t="s">
        <v>2286</v>
      </c>
      <c r="B1000" s="61" t="s">
        <v>1173</v>
      </c>
      <c r="C1000" s="61" t="s">
        <v>4538</v>
      </c>
      <c r="D1000" s="61" t="s">
        <v>7838</v>
      </c>
      <c r="E1000" s="61">
        <v>2013</v>
      </c>
      <c r="F1000" s="61">
        <v>2087</v>
      </c>
      <c r="G1000" s="61"/>
      <c r="H1000" s="61"/>
      <c r="I1000" s="61" t="s">
        <v>28</v>
      </c>
      <c r="J1000" s="61"/>
      <c r="K1000" s="61" t="s">
        <v>212</v>
      </c>
      <c r="L1000" s="61"/>
      <c r="M1000" s="61"/>
      <c r="N1000" s="61"/>
      <c r="O1000" s="61"/>
      <c r="P1000" s="61"/>
      <c r="Q1000" s="61"/>
      <c r="R1000" s="61" t="str">
        <f t="shared" si="75"/>
        <v/>
      </c>
      <c r="S1000" s="61" t="str">
        <f t="shared" si="76"/>
        <v/>
      </c>
      <c r="T1000" s="61" t="str">
        <f t="shared" si="77"/>
        <v/>
      </c>
      <c r="U1000" s="61" t="str">
        <f t="shared" si="78"/>
        <v/>
      </c>
      <c r="V1000" s="61"/>
      <c r="W1000" s="61"/>
      <c r="X1000" s="61"/>
      <c r="Y1000" s="471"/>
      <c r="Z1000" s="471"/>
      <c r="AA1000" s="61"/>
      <c r="AB1000" s="61"/>
    </row>
    <row r="1001" spans="1:28" s="2" customFormat="1" ht="15">
      <c r="A1001" s="61" t="s">
        <v>2286</v>
      </c>
      <c r="B1001" s="61" t="s">
        <v>1173</v>
      </c>
      <c r="C1001" s="61" t="s">
        <v>4531</v>
      </c>
      <c r="D1001" s="61" t="s">
        <v>7838</v>
      </c>
      <c r="E1001" s="61">
        <v>3763</v>
      </c>
      <c r="F1001" s="61">
        <v>3819</v>
      </c>
      <c r="G1001" s="61"/>
      <c r="H1001" s="61"/>
      <c r="I1001" s="61" t="s">
        <v>28</v>
      </c>
      <c r="J1001" s="61"/>
      <c r="K1001" s="61" t="s">
        <v>212</v>
      </c>
      <c r="L1001" s="61"/>
      <c r="M1001" s="61"/>
      <c r="N1001" s="61"/>
      <c r="O1001" s="61"/>
      <c r="P1001" s="61"/>
      <c r="Q1001" s="61"/>
      <c r="R1001" s="61" t="str">
        <f t="shared" si="75"/>
        <v/>
      </c>
      <c r="S1001" s="61" t="str">
        <f t="shared" si="76"/>
        <v/>
      </c>
      <c r="T1001" s="61" t="str">
        <f t="shared" si="77"/>
        <v/>
      </c>
      <c r="U1001" s="61" t="str">
        <f t="shared" si="78"/>
        <v/>
      </c>
      <c r="V1001" s="61"/>
      <c r="W1001" s="61"/>
      <c r="X1001" s="61"/>
      <c r="Y1001" s="471"/>
      <c r="Z1001" s="471"/>
      <c r="AA1001" s="61"/>
      <c r="AB1001" s="61"/>
    </row>
    <row r="1002" spans="1:28" s="2" customFormat="1" ht="15">
      <c r="A1002" s="61" t="s">
        <v>2286</v>
      </c>
      <c r="B1002" s="61" t="s">
        <v>1173</v>
      </c>
      <c r="C1002" s="61" t="s">
        <v>4541</v>
      </c>
      <c r="D1002" s="61" t="s">
        <v>7838</v>
      </c>
      <c r="E1002" s="61">
        <v>1106</v>
      </c>
      <c r="F1002" s="61">
        <v>1544</v>
      </c>
      <c r="G1002" s="61"/>
      <c r="H1002" s="61"/>
      <c r="I1002" s="61" t="s">
        <v>28</v>
      </c>
      <c r="J1002" s="61"/>
      <c r="K1002" s="61" t="s">
        <v>212</v>
      </c>
      <c r="L1002" s="61"/>
      <c r="M1002" s="61"/>
      <c r="N1002" s="61"/>
      <c r="O1002" s="61"/>
      <c r="P1002" s="61"/>
      <c r="Q1002" s="61"/>
      <c r="R1002" s="61" t="str">
        <f t="shared" si="75"/>
        <v/>
      </c>
      <c r="S1002" s="61" t="str">
        <f t="shared" si="76"/>
        <v/>
      </c>
      <c r="T1002" s="61" t="str">
        <f t="shared" si="77"/>
        <v/>
      </c>
      <c r="U1002" s="61" t="str">
        <f t="shared" si="78"/>
        <v/>
      </c>
      <c r="V1002" s="61"/>
      <c r="W1002" s="61"/>
      <c r="X1002" s="61"/>
      <c r="Y1002" s="471"/>
      <c r="Z1002" s="471"/>
      <c r="AA1002" s="61"/>
      <c r="AB1002" s="61"/>
    </row>
    <row r="1003" spans="1:28" s="2" customFormat="1" ht="15">
      <c r="A1003" s="61" t="s">
        <v>2286</v>
      </c>
      <c r="B1003" s="61" t="s">
        <v>1173</v>
      </c>
      <c r="C1003" s="61" t="s">
        <v>4542</v>
      </c>
      <c r="D1003" s="61" t="s">
        <v>7838</v>
      </c>
      <c r="E1003" s="61">
        <v>2865</v>
      </c>
      <c r="F1003" s="61">
        <v>2735</v>
      </c>
      <c r="G1003" s="61"/>
      <c r="H1003" s="61"/>
      <c r="I1003" s="61" t="s">
        <v>28</v>
      </c>
      <c r="J1003" s="61"/>
      <c r="K1003" s="61" t="s">
        <v>212</v>
      </c>
      <c r="L1003" s="61"/>
      <c r="M1003" s="61"/>
      <c r="N1003" s="61"/>
      <c r="O1003" s="61"/>
      <c r="P1003" s="61"/>
      <c r="Q1003" s="61"/>
      <c r="R1003" s="61" t="str">
        <f t="shared" si="75"/>
        <v/>
      </c>
      <c r="S1003" s="61" t="str">
        <f t="shared" si="76"/>
        <v/>
      </c>
      <c r="T1003" s="61" t="str">
        <f t="shared" si="77"/>
        <v/>
      </c>
      <c r="U1003" s="61" t="str">
        <f t="shared" si="78"/>
        <v/>
      </c>
      <c r="V1003" s="61"/>
      <c r="W1003" s="61"/>
      <c r="X1003" s="61"/>
      <c r="Y1003" s="471"/>
      <c r="Z1003" s="471"/>
      <c r="AA1003" s="61"/>
      <c r="AB1003" s="61"/>
    </row>
    <row r="1004" spans="1:28" s="2" customFormat="1" ht="15">
      <c r="A1004" s="61" t="s">
        <v>2286</v>
      </c>
      <c r="B1004" s="61" t="s">
        <v>1173</v>
      </c>
      <c r="C1004" s="61" t="s">
        <v>4543</v>
      </c>
      <c r="D1004" s="61" t="s">
        <v>7838</v>
      </c>
      <c r="E1004" s="61">
        <v>1575</v>
      </c>
      <c r="F1004" s="61">
        <v>1644</v>
      </c>
      <c r="G1004" s="61"/>
      <c r="H1004" s="61"/>
      <c r="I1004" s="61" t="s">
        <v>28</v>
      </c>
      <c r="J1004" s="61"/>
      <c r="K1004" s="61" t="s">
        <v>212</v>
      </c>
      <c r="L1004" s="61"/>
      <c r="M1004" s="61"/>
      <c r="N1004" s="61"/>
      <c r="O1004" s="61"/>
      <c r="P1004" s="61"/>
      <c r="Q1004" s="61"/>
      <c r="R1004" s="61" t="str">
        <f t="shared" si="75"/>
        <v/>
      </c>
      <c r="S1004" s="61" t="str">
        <f t="shared" si="76"/>
        <v/>
      </c>
      <c r="T1004" s="61" t="str">
        <f t="shared" si="77"/>
        <v/>
      </c>
      <c r="U1004" s="61" t="str">
        <f t="shared" si="78"/>
        <v/>
      </c>
      <c r="V1004" s="61"/>
      <c r="W1004" s="61"/>
      <c r="X1004" s="61"/>
      <c r="Y1004" s="471"/>
      <c r="Z1004" s="471"/>
      <c r="AA1004" s="61"/>
      <c r="AB1004" s="61"/>
    </row>
    <row r="1005" spans="1:28" s="2" customFormat="1" ht="15">
      <c r="A1005" s="61" t="s">
        <v>2286</v>
      </c>
      <c r="B1005" s="61" t="s">
        <v>1173</v>
      </c>
      <c r="C1005" s="61" t="s">
        <v>4539</v>
      </c>
      <c r="D1005" s="61" t="s">
        <v>7838</v>
      </c>
      <c r="E1005" s="61">
        <v>2248</v>
      </c>
      <c r="F1005" s="61">
        <v>2347</v>
      </c>
      <c r="G1005" s="61"/>
      <c r="H1005" s="61"/>
      <c r="I1005" s="61" t="s">
        <v>28</v>
      </c>
      <c r="J1005" s="61"/>
      <c r="K1005" s="61" t="s">
        <v>212</v>
      </c>
      <c r="L1005" s="61"/>
      <c r="M1005" s="61"/>
      <c r="N1005" s="61"/>
      <c r="O1005" s="61"/>
      <c r="P1005" s="61"/>
      <c r="Q1005" s="61"/>
      <c r="R1005" s="61" t="str">
        <f t="shared" si="75"/>
        <v/>
      </c>
      <c r="S1005" s="61" t="str">
        <f t="shared" si="76"/>
        <v/>
      </c>
      <c r="T1005" s="61" t="str">
        <f t="shared" si="77"/>
        <v/>
      </c>
      <c r="U1005" s="61" t="str">
        <f t="shared" si="78"/>
        <v/>
      </c>
      <c r="V1005" s="61"/>
      <c r="W1005" s="61"/>
      <c r="X1005" s="61"/>
      <c r="Y1005" s="471"/>
      <c r="Z1005" s="471"/>
      <c r="AA1005" s="61"/>
      <c r="AB1005" s="61"/>
    </row>
    <row r="1006" spans="1:28" s="2" customFormat="1" ht="15">
      <c r="A1006" s="61" t="s">
        <v>2286</v>
      </c>
      <c r="B1006" s="61" t="s">
        <v>1173</v>
      </c>
      <c r="C1006" s="61" t="s">
        <v>4546</v>
      </c>
      <c r="D1006" s="61" t="s">
        <v>7838</v>
      </c>
      <c r="E1006" s="61">
        <v>2707</v>
      </c>
      <c r="F1006" s="61">
        <v>2735</v>
      </c>
      <c r="G1006" s="61"/>
      <c r="H1006" s="61"/>
      <c r="I1006" s="61" t="s">
        <v>28</v>
      </c>
      <c r="J1006" s="61"/>
      <c r="K1006" s="61" t="s">
        <v>212</v>
      </c>
      <c r="L1006" s="61"/>
      <c r="M1006" s="61"/>
      <c r="N1006" s="61"/>
      <c r="O1006" s="61"/>
      <c r="P1006" s="61"/>
      <c r="Q1006" s="61"/>
      <c r="R1006" s="61" t="str">
        <f t="shared" si="75"/>
        <v/>
      </c>
      <c r="S1006" s="61" t="str">
        <f t="shared" si="76"/>
        <v/>
      </c>
      <c r="T1006" s="61" t="str">
        <f t="shared" si="77"/>
        <v/>
      </c>
      <c r="U1006" s="61" t="str">
        <f t="shared" si="78"/>
        <v/>
      </c>
      <c r="V1006" s="61"/>
      <c r="W1006" s="61"/>
      <c r="X1006" s="61"/>
      <c r="Y1006" s="471"/>
      <c r="Z1006" s="471"/>
      <c r="AA1006" s="61"/>
      <c r="AB1006" s="61"/>
    </row>
    <row r="1007" spans="1:28" s="2" customFormat="1" ht="15">
      <c r="A1007" s="61" t="s">
        <v>2286</v>
      </c>
      <c r="B1007" s="61" t="s">
        <v>1173</v>
      </c>
      <c r="C1007" s="61" t="s">
        <v>4551</v>
      </c>
      <c r="D1007" s="61" t="s">
        <v>7838</v>
      </c>
      <c r="E1007" s="61">
        <v>1944</v>
      </c>
      <c r="F1007" s="61">
        <v>2275</v>
      </c>
      <c r="G1007" s="61"/>
      <c r="H1007" s="61"/>
      <c r="I1007" s="61" t="s">
        <v>28</v>
      </c>
      <c r="J1007" s="61"/>
      <c r="K1007" s="61" t="s">
        <v>212</v>
      </c>
      <c r="L1007" s="61"/>
      <c r="M1007" s="61"/>
      <c r="N1007" s="61"/>
      <c r="O1007" s="61"/>
      <c r="P1007" s="61"/>
      <c r="Q1007" s="61"/>
      <c r="R1007" s="61" t="str">
        <f t="shared" si="75"/>
        <v/>
      </c>
      <c r="S1007" s="61" t="str">
        <f t="shared" si="76"/>
        <v/>
      </c>
      <c r="T1007" s="61" t="str">
        <f t="shared" si="77"/>
        <v/>
      </c>
      <c r="U1007" s="61" t="str">
        <f t="shared" si="78"/>
        <v/>
      </c>
      <c r="V1007" s="61"/>
      <c r="W1007" s="61"/>
      <c r="X1007" s="61"/>
      <c r="Y1007" s="471"/>
      <c r="Z1007" s="471"/>
      <c r="AA1007" s="61"/>
      <c r="AB1007" s="61"/>
    </row>
    <row r="1008" spans="1:28" s="2" customFormat="1" ht="15">
      <c r="A1008" s="61" t="s">
        <v>2286</v>
      </c>
      <c r="B1008" s="61" t="s">
        <v>1173</v>
      </c>
      <c r="C1008" s="61" t="s">
        <v>4552</v>
      </c>
      <c r="D1008" s="61" t="s">
        <v>7838</v>
      </c>
      <c r="E1008" s="61">
        <v>2288</v>
      </c>
      <c r="F1008" s="61">
        <v>2423</v>
      </c>
      <c r="G1008" s="61"/>
      <c r="H1008" s="61"/>
      <c r="I1008" s="61" t="s">
        <v>28</v>
      </c>
      <c r="J1008" s="61"/>
      <c r="K1008" s="61" t="s">
        <v>212</v>
      </c>
      <c r="L1008" s="61"/>
      <c r="M1008" s="61"/>
      <c r="N1008" s="61"/>
      <c r="O1008" s="61"/>
      <c r="P1008" s="61"/>
      <c r="Q1008" s="61"/>
      <c r="R1008" s="61" t="str">
        <f t="shared" si="75"/>
        <v/>
      </c>
      <c r="S1008" s="61" t="str">
        <f t="shared" si="76"/>
        <v/>
      </c>
      <c r="T1008" s="61" t="str">
        <f t="shared" si="77"/>
        <v/>
      </c>
      <c r="U1008" s="61" t="str">
        <f t="shared" si="78"/>
        <v/>
      </c>
      <c r="V1008" s="61"/>
      <c r="W1008" s="61"/>
      <c r="X1008" s="61"/>
      <c r="Y1008" s="471"/>
      <c r="Z1008" s="471"/>
      <c r="AA1008" s="61"/>
      <c r="AB1008" s="61"/>
    </row>
    <row r="1009" spans="1:28" s="2" customFormat="1" ht="15">
      <c r="A1009" s="61" t="s">
        <v>2286</v>
      </c>
      <c r="B1009" s="61" t="s">
        <v>1173</v>
      </c>
      <c r="C1009" s="61" t="s">
        <v>4554</v>
      </c>
      <c r="D1009" s="61" t="s">
        <v>7838</v>
      </c>
      <c r="E1009" s="61">
        <v>1644</v>
      </c>
      <c r="F1009" s="61">
        <v>1525</v>
      </c>
      <c r="G1009" s="61"/>
      <c r="H1009" s="61"/>
      <c r="I1009" s="61" t="s">
        <v>28</v>
      </c>
      <c r="J1009" s="61"/>
      <c r="K1009" s="61" t="s">
        <v>212</v>
      </c>
      <c r="L1009" s="476"/>
      <c r="M1009" s="483"/>
      <c r="N1009" s="475"/>
      <c r="O1009" s="475"/>
      <c r="P1009" s="475"/>
      <c r="Q1009" s="475"/>
      <c r="R1009" s="61" t="str">
        <f t="shared" si="75"/>
        <v/>
      </c>
      <c r="S1009" s="61" t="str">
        <f t="shared" si="76"/>
        <v/>
      </c>
      <c r="T1009" s="61" t="str">
        <f t="shared" si="77"/>
        <v/>
      </c>
      <c r="U1009" s="61" t="str">
        <f t="shared" si="78"/>
        <v/>
      </c>
      <c r="V1009" s="61"/>
      <c r="W1009" s="61"/>
      <c r="X1009" s="61"/>
      <c r="Y1009" s="471"/>
      <c r="Z1009" s="471"/>
      <c r="AA1009" s="61"/>
      <c r="AB1009" s="61"/>
    </row>
    <row r="1010" spans="1:28" s="2" customFormat="1" ht="15">
      <c r="A1010" s="61" t="s">
        <v>2286</v>
      </c>
      <c r="B1010" s="61" t="s">
        <v>1173</v>
      </c>
      <c r="C1010" s="61" t="s">
        <v>3915</v>
      </c>
      <c r="D1010" s="61" t="s">
        <v>7838</v>
      </c>
      <c r="E1010" s="61">
        <v>2465</v>
      </c>
      <c r="F1010" s="61">
        <v>2773</v>
      </c>
      <c r="G1010" s="61"/>
      <c r="H1010" s="61"/>
      <c r="I1010" s="61" t="s">
        <v>28</v>
      </c>
      <c r="J1010" s="61"/>
      <c r="K1010" s="61" t="s">
        <v>212</v>
      </c>
      <c r="L1010" s="61"/>
      <c r="M1010" s="61"/>
      <c r="N1010" s="61"/>
      <c r="O1010" s="61"/>
      <c r="P1010" s="61"/>
      <c r="Q1010" s="61"/>
      <c r="R1010" s="61" t="str">
        <f t="shared" si="75"/>
        <v/>
      </c>
      <c r="S1010" s="61" t="str">
        <f t="shared" si="76"/>
        <v/>
      </c>
      <c r="T1010" s="61" t="str">
        <f t="shared" si="77"/>
        <v/>
      </c>
      <c r="U1010" s="61" t="str">
        <f t="shared" si="78"/>
        <v/>
      </c>
      <c r="V1010" s="61"/>
      <c r="W1010" s="61"/>
      <c r="X1010" s="61"/>
      <c r="Y1010" s="471"/>
      <c r="Z1010" s="471"/>
      <c r="AA1010" s="61"/>
      <c r="AB1010" s="61"/>
    </row>
    <row r="1011" spans="1:28" s="2" customFormat="1" ht="15">
      <c r="A1011" s="61" t="s">
        <v>2286</v>
      </c>
      <c r="B1011" s="61" t="s">
        <v>1173</v>
      </c>
      <c r="C1011" s="61" t="s">
        <v>4557</v>
      </c>
      <c r="D1011" s="61" t="s">
        <v>7838</v>
      </c>
      <c r="E1011" s="61">
        <v>2672</v>
      </c>
      <c r="F1011" s="61">
        <v>2542</v>
      </c>
      <c r="G1011" s="61"/>
      <c r="H1011" s="61"/>
      <c r="I1011" s="61" t="s">
        <v>28</v>
      </c>
      <c r="J1011" s="61"/>
      <c r="K1011" s="61" t="s">
        <v>212</v>
      </c>
      <c r="L1011" s="61"/>
      <c r="M1011" s="61"/>
      <c r="N1011" s="61"/>
      <c r="O1011" s="61"/>
      <c r="P1011" s="61"/>
      <c r="Q1011" s="61"/>
      <c r="R1011" s="61" t="str">
        <f t="shared" si="75"/>
        <v/>
      </c>
      <c r="S1011" s="61" t="str">
        <f t="shared" si="76"/>
        <v/>
      </c>
      <c r="T1011" s="61" t="str">
        <f t="shared" si="77"/>
        <v/>
      </c>
      <c r="U1011" s="61" t="str">
        <f t="shared" si="78"/>
        <v/>
      </c>
      <c r="V1011" s="61"/>
      <c r="W1011" s="61"/>
      <c r="X1011" s="61"/>
      <c r="Y1011" s="471"/>
      <c r="Z1011" s="471"/>
      <c r="AA1011" s="61"/>
      <c r="AB1011" s="61"/>
    </row>
    <row r="1012" spans="1:28" s="2" customFormat="1" ht="15">
      <c r="A1012" s="61" t="s">
        <v>2286</v>
      </c>
      <c r="B1012" s="61" t="s">
        <v>1173</v>
      </c>
      <c r="C1012" s="61" t="s">
        <v>4561</v>
      </c>
      <c r="D1012" s="61" t="s">
        <v>7838</v>
      </c>
      <c r="E1012" s="61">
        <v>2034</v>
      </c>
      <c r="F1012" s="61">
        <v>2259</v>
      </c>
      <c r="G1012" s="61"/>
      <c r="H1012" s="61"/>
      <c r="I1012" s="61" t="s">
        <v>28</v>
      </c>
      <c r="J1012" s="61"/>
      <c r="K1012" s="61" t="s">
        <v>212</v>
      </c>
      <c r="L1012" s="61"/>
      <c r="M1012" s="61"/>
      <c r="N1012" s="61"/>
      <c r="O1012" s="61"/>
      <c r="P1012" s="61"/>
      <c r="Q1012" s="61"/>
      <c r="R1012" s="61" t="str">
        <f t="shared" si="75"/>
        <v/>
      </c>
      <c r="S1012" s="61" t="str">
        <f t="shared" si="76"/>
        <v/>
      </c>
      <c r="T1012" s="61" t="str">
        <f t="shared" si="77"/>
        <v/>
      </c>
      <c r="U1012" s="61" t="str">
        <f t="shared" si="78"/>
        <v/>
      </c>
      <c r="V1012" s="61"/>
      <c r="W1012" s="61"/>
      <c r="X1012" s="61"/>
      <c r="Y1012" s="471"/>
      <c r="Z1012" s="471"/>
      <c r="AA1012" s="61"/>
      <c r="AB1012" s="61"/>
    </row>
    <row r="1013" spans="1:28" s="2" customFormat="1" ht="15">
      <c r="A1013" s="61" t="s">
        <v>2286</v>
      </c>
      <c r="B1013" s="61" t="s">
        <v>1173</v>
      </c>
      <c r="C1013" s="61" t="s">
        <v>4564</v>
      </c>
      <c r="D1013" s="61" t="s">
        <v>7838</v>
      </c>
      <c r="E1013" s="61">
        <v>6108</v>
      </c>
      <c r="F1013" s="61">
        <v>6162</v>
      </c>
      <c r="G1013" s="61"/>
      <c r="H1013" s="61"/>
      <c r="I1013" s="61" t="s">
        <v>28</v>
      </c>
      <c r="J1013" s="61"/>
      <c r="K1013" s="61" t="s">
        <v>212</v>
      </c>
      <c r="L1013" s="61"/>
      <c r="M1013" s="61"/>
      <c r="N1013" s="61"/>
      <c r="O1013" s="61"/>
      <c r="P1013" s="61"/>
      <c r="Q1013" s="61"/>
      <c r="R1013" s="61" t="str">
        <f t="shared" si="75"/>
        <v/>
      </c>
      <c r="S1013" s="61" t="str">
        <f t="shared" si="76"/>
        <v/>
      </c>
      <c r="T1013" s="61" t="str">
        <f t="shared" si="77"/>
        <v/>
      </c>
      <c r="U1013" s="61" t="str">
        <f t="shared" si="78"/>
        <v/>
      </c>
      <c r="V1013" s="61"/>
      <c r="W1013" s="61"/>
      <c r="X1013" s="61"/>
      <c r="Y1013" s="471"/>
      <c r="Z1013" s="471"/>
      <c r="AA1013" s="61"/>
      <c r="AB1013" s="61"/>
    </row>
    <row r="1014" spans="1:28" s="2" customFormat="1" ht="15">
      <c r="A1014" s="61" t="s">
        <v>2286</v>
      </c>
      <c r="B1014" s="61" t="s">
        <v>1176</v>
      </c>
      <c r="C1014" s="61" t="s">
        <v>4594</v>
      </c>
      <c r="D1014" s="61" t="s">
        <v>7838</v>
      </c>
      <c r="E1014" s="61">
        <v>7191</v>
      </c>
      <c r="F1014" s="61">
        <v>8030</v>
      </c>
      <c r="G1014" s="61">
        <v>2025</v>
      </c>
      <c r="H1014" s="61" t="s">
        <v>3126</v>
      </c>
      <c r="I1014" s="61" t="s">
        <v>267</v>
      </c>
      <c r="J1014" s="61" t="s">
        <v>28</v>
      </c>
      <c r="K1014" s="61" t="s">
        <v>212</v>
      </c>
      <c r="L1014" s="61" t="s">
        <v>8394</v>
      </c>
      <c r="M1014" s="475">
        <v>45881</v>
      </c>
      <c r="N1014" s="475">
        <v>45887</v>
      </c>
      <c r="O1014" s="475">
        <v>45887</v>
      </c>
      <c r="P1014" s="475">
        <v>45888</v>
      </c>
      <c r="Q1014" s="475">
        <v>45888</v>
      </c>
      <c r="R1014" s="61">
        <f t="shared" si="75"/>
        <v>4</v>
      </c>
      <c r="S1014" s="61">
        <f t="shared" si="76"/>
        <v>1</v>
      </c>
      <c r="T1014" s="61">
        <f t="shared" si="77"/>
        <v>1</v>
      </c>
      <c r="U1014" s="61">
        <f t="shared" si="78"/>
        <v>1</v>
      </c>
      <c r="V1014" s="61" t="s">
        <v>150</v>
      </c>
      <c r="W1014" s="61" t="s">
        <v>4</v>
      </c>
      <c r="X1014" s="61" t="s">
        <v>50</v>
      </c>
      <c r="Y1014" s="61">
        <v>15.5085</v>
      </c>
      <c r="Z1014" s="61">
        <v>120.9701</v>
      </c>
      <c r="AA1014" s="61" t="s">
        <v>404</v>
      </c>
      <c r="AB1014" s="61"/>
    </row>
    <row r="1015" spans="1:28" s="2" customFormat="1" ht="15">
      <c r="A1015" s="61" t="s">
        <v>2286</v>
      </c>
      <c r="B1015" s="61" t="s">
        <v>1176</v>
      </c>
      <c r="C1015" s="61" t="s">
        <v>4596</v>
      </c>
      <c r="D1015" s="61" t="s">
        <v>7838</v>
      </c>
      <c r="E1015" s="61">
        <v>2057</v>
      </c>
      <c r="F1015" s="61">
        <v>2202</v>
      </c>
      <c r="G1015" s="61">
        <v>2025</v>
      </c>
      <c r="H1015" s="61" t="s">
        <v>3125</v>
      </c>
      <c r="I1015" s="61" t="s">
        <v>267</v>
      </c>
      <c r="J1015" s="61" t="s">
        <v>28</v>
      </c>
      <c r="K1015" s="61" t="s">
        <v>212</v>
      </c>
      <c r="L1015" s="61" t="s">
        <v>8395</v>
      </c>
      <c r="M1015" s="475">
        <v>45839</v>
      </c>
      <c r="N1015" s="475">
        <v>45845</v>
      </c>
      <c r="O1015" s="475">
        <v>45846</v>
      </c>
      <c r="P1015" s="475">
        <v>45847</v>
      </c>
      <c r="Q1015" s="475">
        <v>45847</v>
      </c>
      <c r="R1015" s="61">
        <f t="shared" si="75"/>
        <v>4</v>
      </c>
      <c r="S1015" s="61">
        <f t="shared" si="76"/>
        <v>1</v>
      </c>
      <c r="T1015" s="61">
        <f t="shared" si="77"/>
        <v>1</v>
      </c>
      <c r="U1015" s="61">
        <f t="shared" si="78"/>
        <v>1</v>
      </c>
      <c r="V1015" s="61" t="s">
        <v>150</v>
      </c>
      <c r="W1015" s="61" t="s">
        <v>4</v>
      </c>
      <c r="X1015" s="61" t="s">
        <v>50</v>
      </c>
      <c r="Y1015" s="61">
        <v>15.5303</v>
      </c>
      <c r="Z1015" s="61">
        <v>120.9579</v>
      </c>
      <c r="AA1015" s="61" t="s">
        <v>404</v>
      </c>
      <c r="AB1015" s="61"/>
    </row>
    <row r="1016" spans="1:28" s="2" customFormat="1" ht="15">
      <c r="A1016" s="61" t="s">
        <v>2286</v>
      </c>
      <c r="B1016" s="61" t="s">
        <v>1176</v>
      </c>
      <c r="C1016" s="61" t="s">
        <v>1177</v>
      </c>
      <c r="D1016" s="61" t="s">
        <v>7838</v>
      </c>
      <c r="E1016" s="61">
        <v>2997</v>
      </c>
      <c r="F1016" s="61">
        <v>3261</v>
      </c>
      <c r="G1016" s="61">
        <v>2025</v>
      </c>
      <c r="H1016" s="61" t="s">
        <v>3532</v>
      </c>
      <c r="I1016" s="61" t="s">
        <v>267</v>
      </c>
      <c r="J1016" s="61" t="s">
        <v>28</v>
      </c>
      <c r="K1016" s="61" t="s">
        <v>212</v>
      </c>
      <c r="L1016" s="61" t="s">
        <v>8396</v>
      </c>
      <c r="M1016" s="475">
        <v>45792</v>
      </c>
      <c r="N1016" s="475">
        <v>45796</v>
      </c>
      <c r="O1016" s="475">
        <v>45796</v>
      </c>
      <c r="P1016" s="475">
        <v>45796</v>
      </c>
      <c r="Q1016" s="475">
        <v>45796</v>
      </c>
      <c r="R1016" s="61">
        <f t="shared" si="75"/>
        <v>2</v>
      </c>
      <c r="S1016" s="61">
        <f t="shared" si="76"/>
        <v>1</v>
      </c>
      <c r="T1016" s="61">
        <f t="shared" si="77"/>
        <v>1</v>
      </c>
      <c r="U1016" s="61">
        <f t="shared" si="78"/>
        <v>1</v>
      </c>
      <c r="V1016" s="61" t="s">
        <v>150</v>
      </c>
      <c r="W1016" s="61" t="s">
        <v>4</v>
      </c>
      <c r="X1016" s="61" t="s">
        <v>50</v>
      </c>
      <c r="Y1016" s="471">
        <v>15.502800000000001</v>
      </c>
      <c r="Z1016" s="471">
        <v>120.9529</v>
      </c>
      <c r="AA1016" s="61" t="s">
        <v>404</v>
      </c>
      <c r="AB1016" s="61"/>
    </row>
    <row r="1017" spans="1:28" s="2" customFormat="1" ht="15">
      <c r="A1017" s="61" t="s">
        <v>2286</v>
      </c>
      <c r="B1017" s="61" t="s">
        <v>1176</v>
      </c>
      <c r="C1017" s="61" t="s">
        <v>4045</v>
      </c>
      <c r="D1017" s="61" t="s">
        <v>7838</v>
      </c>
      <c r="E1017" s="61">
        <v>2141</v>
      </c>
      <c r="F1017" s="61">
        <v>2307</v>
      </c>
      <c r="G1017" s="61">
        <v>2025</v>
      </c>
      <c r="H1017" s="61" t="s">
        <v>3126</v>
      </c>
      <c r="I1017" s="61" t="s">
        <v>267</v>
      </c>
      <c r="J1017" s="61" t="s">
        <v>28</v>
      </c>
      <c r="K1017" s="61" t="s">
        <v>212</v>
      </c>
      <c r="L1017" s="61" t="s">
        <v>8397</v>
      </c>
      <c r="M1017" s="475">
        <v>45881</v>
      </c>
      <c r="N1017" s="475">
        <v>45887</v>
      </c>
      <c r="O1017" s="475">
        <v>45887</v>
      </c>
      <c r="P1017" s="475">
        <v>45888</v>
      </c>
      <c r="Q1017" s="475">
        <v>45888</v>
      </c>
      <c r="R1017" s="61">
        <f t="shared" si="75"/>
        <v>4</v>
      </c>
      <c r="S1017" s="61">
        <f t="shared" si="76"/>
        <v>1</v>
      </c>
      <c r="T1017" s="61">
        <f t="shared" si="77"/>
        <v>1</v>
      </c>
      <c r="U1017" s="61">
        <f t="shared" si="78"/>
        <v>1</v>
      </c>
      <c r="V1017" s="61" t="s">
        <v>150</v>
      </c>
      <c r="W1017" s="61" t="s">
        <v>1078</v>
      </c>
      <c r="X1017" s="61" t="s">
        <v>50</v>
      </c>
      <c r="Y1017" s="61">
        <v>15.538</v>
      </c>
      <c r="Z1017" s="61">
        <v>120.9769</v>
      </c>
      <c r="AA1017" s="61" t="s">
        <v>404</v>
      </c>
      <c r="AB1017" s="61"/>
    </row>
    <row r="1018" spans="1:28" s="2" customFormat="1" ht="15">
      <c r="A1018" s="61" t="s">
        <v>2286</v>
      </c>
      <c r="B1018" s="61" t="s">
        <v>1176</v>
      </c>
      <c r="C1018" s="61" t="s">
        <v>4565</v>
      </c>
      <c r="D1018" s="61" t="s">
        <v>7838</v>
      </c>
      <c r="E1018" s="61">
        <v>5116</v>
      </c>
      <c r="F1018" s="61">
        <v>5116</v>
      </c>
      <c r="G1018" s="61">
        <v>2025</v>
      </c>
      <c r="H1018" s="61" t="s">
        <v>3128</v>
      </c>
      <c r="I1018" s="61" t="s">
        <v>267</v>
      </c>
      <c r="J1018" s="61" t="s">
        <v>2289</v>
      </c>
      <c r="K1018" s="61" t="s">
        <v>212</v>
      </c>
      <c r="L1018" s="61" t="s">
        <v>8398</v>
      </c>
      <c r="M1018" s="475">
        <v>45944</v>
      </c>
      <c r="N1018" s="481">
        <v>45946</v>
      </c>
      <c r="O1018" s="475">
        <v>45947</v>
      </c>
      <c r="P1018" s="475">
        <v>45947</v>
      </c>
      <c r="Q1018" s="475">
        <v>45950</v>
      </c>
      <c r="R1018" s="61">
        <f t="shared" si="75"/>
        <v>2</v>
      </c>
      <c r="S1018" s="61">
        <f t="shared" si="76"/>
        <v>1</v>
      </c>
      <c r="T1018" s="61">
        <f t="shared" si="77"/>
        <v>1</v>
      </c>
      <c r="U1018" s="61">
        <f t="shared" si="78"/>
        <v>1</v>
      </c>
      <c r="V1018" s="61" t="s">
        <v>150</v>
      </c>
      <c r="W1018" s="61" t="s">
        <v>1078</v>
      </c>
      <c r="X1018" s="61" t="s">
        <v>50</v>
      </c>
      <c r="Y1018" s="471" t="s">
        <v>69</v>
      </c>
      <c r="Z1018" s="471" t="s">
        <v>69</v>
      </c>
      <c r="AA1018" s="61" t="s">
        <v>404</v>
      </c>
      <c r="AB1018" s="61" t="s">
        <v>8399</v>
      </c>
    </row>
    <row r="1019" spans="1:28" s="2" customFormat="1" ht="15">
      <c r="A1019" s="61" t="s">
        <v>2286</v>
      </c>
      <c r="B1019" s="61" t="s">
        <v>1176</v>
      </c>
      <c r="C1019" s="61" t="s">
        <v>4575</v>
      </c>
      <c r="D1019" s="61" t="s">
        <v>7838</v>
      </c>
      <c r="E1019" s="61">
        <v>2066</v>
      </c>
      <c r="F1019" s="61">
        <v>2258</v>
      </c>
      <c r="G1019" s="61">
        <v>2025</v>
      </c>
      <c r="H1019" s="61" t="s">
        <v>3126</v>
      </c>
      <c r="I1019" s="61" t="s">
        <v>267</v>
      </c>
      <c r="J1019" s="61" t="s">
        <v>28</v>
      </c>
      <c r="K1019" s="61" t="s">
        <v>212</v>
      </c>
      <c r="L1019" s="61" t="s">
        <v>8400</v>
      </c>
      <c r="M1019" s="475">
        <v>45881</v>
      </c>
      <c r="N1019" s="475">
        <v>45887</v>
      </c>
      <c r="O1019" s="475">
        <v>45887</v>
      </c>
      <c r="P1019" s="475">
        <v>45888</v>
      </c>
      <c r="Q1019" s="475">
        <v>45888</v>
      </c>
      <c r="R1019" s="61">
        <f t="shared" si="75"/>
        <v>4</v>
      </c>
      <c r="S1019" s="61">
        <f t="shared" si="76"/>
        <v>1</v>
      </c>
      <c r="T1019" s="61">
        <f t="shared" si="77"/>
        <v>1</v>
      </c>
      <c r="U1019" s="61">
        <f t="shared" si="78"/>
        <v>1</v>
      </c>
      <c r="V1019" s="61" t="s">
        <v>150</v>
      </c>
      <c r="W1019" s="61" t="s">
        <v>1078</v>
      </c>
      <c r="X1019" s="61" t="s">
        <v>50</v>
      </c>
      <c r="Y1019" s="61">
        <v>15.525700000000001</v>
      </c>
      <c r="Z1019" s="61">
        <v>120.96129999999999</v>
      </c>
      <c r="AA1019" s="61" t="s">
        <v>404</v>
      </c>
      <c r="AB1019" s="61"/>
    </row>
    <row r="1020" spans="1:28" s="2" customFormat="1" ht="15">
      <c r="A1020" s="61" t="s">
        <v>2286</v>
      </c>
      <c r="B1020" s="61" t="s">
        <v>1176</v>
      </c>
      <c r="C1020" s="61" t="s">
        <v>4577</v>
      </c>
      <c r="D1020" s="61" t="s">
        <v>7838</v>
      </c>
      <c r="E1020" s="61">
        <v>5374</v>
      </c>
      <c r="F1020" s="61">
        <v>5290</v>
      </c>
      <c r="G1020" s="61">
        <v>2025</v>
      </c>
      <c r="H1020" s="61" t="s">
        <v>3458</v>
      </c>
      <c r="I1020" s="61" t="s">
        <v>28</v>
      </c>
      <c r="J1020" s="61" t="s">
        <v>2289</v>
      </c>
      <c r="K1020" s="61" t="s">
        <v>212</v>
      </c>
      <c r="L1020" s="61" t="s">
        <v>8401</v>
      </c>
      <c r="M1020" s="475">
        <v>45693</v>
      </c>
      <c r="N1020" s="475">
        <v>45698</v>
      </c>
      <c r="O1020" s="475">
        <v>45699</v>
      </c>
      <c r="P1020" s="475">
        <v>45699</v>
      </c>
      <c r="Q1020" s="475">
        <v>45701</v>
      </c>
      <c r="R1020" s="61">
        <f t="shared" si="75"/>
        <v>3</v>
      </c>
      <c r="S1020" s="61">
        <f t="shared" si="76"/>
        <v>1</v>
      </c>
      <c r="T1020" s="61">
        <f t="shared" si="77"/>
        <v>1</v>
      </c>
      <c r="U1020" s="61">
        <f t="shared" si="78"/>
        <v>2</v>
      </c>
      <c r="V1020" s="61" t="s">
        <v>150</v>
      </c>
      <c r="W1020" s="61" t="s">
        <v>1078</v>
      </c>
      <c r="X1020" s="61" t="s">
        <v>50</v>
      </c>
      <c r="Y1020" s="61">
        <v>15.482900000000001</v>
      </c>
      <c r="Z1020" s="61">
        <v>120.9671</v>
      </c>
      <c r="AA1020" s="61" t="s">
        <v>404</v>
      </c>
      <c r="AB1020" s="61"/>
    </row>
    <row r="1021" spans="1:28" s="2" customFormat="1" ht="15">
      <c r="A1021" s="61" t="s">
        <v>2286</v>
      </c>
      <c r="B1021" s="61" t="s">
        <v>1176</v>
      </c>
      <c r="C1021" s="61" t="s">
        <v>4425</v>
      </c>
      <c r="D1021" s="61" t="s">
        <v>7838</v>
      </c>
      <c r="E1021" s="61">
        <v>3322</v>
      </c>
      <c r="F1021" s="61">
        <v>3461</v>
      </c>
      <c r="G1021" s="61">
        <v>2025</v>
      </c>
      <c r="H1021" s="61" t="s">
        <v>3126</v>
      </c>
      <c r="I1021" s="61" t="s">
        <v>267</v>
      </c>
      <c r="J1021" s="61" t="s">
        <v>28</v>
      </c>
      <c r="K1021" s="61" t="s">
        <v>212</v>
      </c>
      <c r="L1021" s="61" t="s">
        <v>8402</v>
      </c>
      <c r="M1021" s="475">
        <v>45869</v>
      </c>
      <c r="N1021" s="475">
        <v>45887</v>
      </c>
      <c r="O1021" s="475">
        <v>45887</v>
      </c>
      <c r="P1021" s="475">
        <v>45888</v>
      </c>
      <c r="Q1021" s="475">
        <v>45888</v>
      </c>
      <c r="R1021" s="61">
        <f t="shared" si="75"/>
        <v>12</v>
      </c>
      <c r="S1021" s="61">
        <f t="shared" si="76"/>
        <v>1</v>
      </c>
      <c r="T1021" s="61">
        <f t="shared" si="77"/>
        <v>1</v>
      </c>
      <c r="U1021" s="61">
        <f t="shared" si="78"/>
        <v>1</v>
      </c>
      <c r="V1021" s="61" t="s">
        <v>150</v>
      </c>
      <c r="W1021" s="61" t="s">
        <v>1078</v>
      </c>
      <c r="X1021" s="61" t="s">
        <v>50</v>
      </c>
      <c r="Y1021" s="61">
        <v>15.5571</v>
      </c>
      <c r="Z1021" s="61">
        <v>120.9693</v>
      </c>
      <c r="AA1021" s="61" t="s">
        <v>404</v>
      </c>
      <c r="AB1021" s="61"/>
    </row>
    <row r="1022" spans="1:28" s="2" customFormat="1" ht="15">
      <c r="A1022" s="61" t="s">
        <v>2286</v>
      </c>
      <c r="B1022" s="61" t="s">
        <v>1176</v>
      </c>
      <c r="C1022" s="61" t="s">
        <v>4582</v>
      </c>
      <c r="D1022" s="61" t="s">
        <v>7838</v>
      </c>
      <c r="E1022" s="61">
        <v>11112</v>
      </c>
      <c r="F1022" s="61">
        <v>11104</v>
      </c>
      <c r="G1022" s="61">
        <v>2025</v>
      </c>
      <c r="H1022" s="61" t="s">
        <v>3125</v>
      </c>
      <c r="I1022" s="61" t="s">
        <v>267</v>
      </c>
      <c r="J1022" s="61" t="s">
        <v>28</v>
      </c>
      <c r="K1022" s="61" t="s">
        <v>212</v>
      </c>
      <c r="L1022" s="61" t="s">
        <v>8403</v>
      </c>
      <c r="M1022" s="475">
        <v>45855</v>
      </c>
      <c r="N1022" s="475">
        <v>45858</v>
      </c>
      <c r="O1022" s="475">
        <v>45859</v>
      </c>
      <c r="P1022" s="475">
        <v>45859</v>
      </c>
      <c r="Q1022" s="475">
        <v>45859</v>
      </c>
      <c r="R1022" s="61">
        <f t="shared" si="75"/>
        <v>1</v>
      </c>
      <c r="S1022" s="61">
        <f t="shared" si="76"/>
        <v>1</v>
      </c>
      <c r="T1022" s="61">
        <f t="shared" si="77"/>
        <v>1</v>
      </c>
      <c r="U1022" s="61">
        <f t="shared" si="78"/>
        <v>1</v>
      </c>
      <c r="V1022" s="61" t="s">
        <v>150</v>
      </c>
      <c r="W1022" s="61" t="s">
        <v>1078</v>
      </c>
      <c r="X1022" s="61" t="s">
        <v>50</v>
      </c>
      <c r="Y1022" s="61">
        <v>15.5174</v>
      </c>
      <c r="Z1022" s="61">
        <v>120.9409</v>
      </c>
      <c r="AA1022" s="61" t="s">
        <v>404</v>
      </c>
      <c r="AB1022" s="61"/>
    </row>
    <row r="1023" spans="1:28" s="2" customFormat="1" ht="15">
      <c r="A1023" s="61" t="s">
        <v>2286</v>
      </c>
      <c r="B1023" s="61" t="s">
        <v>1176</v>
      </c>
      <c r="C1023" s="61" t="s">
        <v>4584</v>
      </c>
      <c r="D1023" s="61" t="s">
        <v>7838</v>
      </c>
      <c r="E1023" s="61">
        <v>4054</v>
      </c>
      <c r="F1023" s="61">
        <v>5182</v>
      </c>
      <c r="G1023" s="61">
        <v>2025</v>
      </c>
      <c r="H1023" s="61" t="s">
        <v>3532</v>
      </c>
      <c r="I1023" s="61" t="s">
        <v>267</v>
      </c>
      <c r="J1023" s="61" t="s">
        <v>28</v>
      </c>
      <c r="K1023" s="61" t="s">
        <v>212</v>
      </c>
      <c r="L1023" s="476" t="s">
        <v>8404</v>
      </c>
      <c r="M1023" s="475">
        <v>45776</v>
      </c>
      <c r="N1023" s="475">
        <v>45780</v>
      </c>
      <c r="O1023" s="475">
        <v>45783</v>
      </c>
      <c r="P1023" s="475">
        <v>45783</v>
      </c>
      <c r="Q1023" s="475">
        <v>45792</v>
      </c>
      <c r="R1023" s="61">
        <f t="shared" si="75"/>
        <v>3</v>
      </c>
      <c r="S1023" s="61">
        <f t="shared" si="76"/>
        <v>1</v>
      </c>
      <c r="T1023" s="61">
        <f t="shared" si="77"/>
        <v>1</v>
      </c>
      <c r="U1023" s="61">
        <f t="shared" si="78"/>
        <v>7</v>
      </c>
      <c r="V1023" s="61" t="s">
        <v>150</v>
      </c>
      <c r="W1023" s="61" t="s">
        <v>1078</v>
      </c>
      <c r="X1023" s="61" t="s">
        <v>50</v>
      </c>
      <c r="Y1023" s="486">
        <v>15.519</v>
      </c>
      <c r="Z1023" s="471">
        <v>121.0519</v>
      </c>
      <c r="AA1023" s="61" t="s">
        <v>404</v>
      </c>
      <c r="AB1023" s="61"/>
    </row>
    <row r="1024" spans="1:28" s="2" customFormat="1" ht="15">
      <c r="A1024" s="61" t="s">
        <v>2286</v>
      </c>
      <c r="B1024" s="61" t="s">
        <v>1176</v>
      </c>
      <c r="C1024" s="61" t="s">
        <v>4600</v>
      </c>
      <c r="D1024" s="61" t="s">
        <v>7838</v>
      </c>
      <c r="E1024" s="61">
        <v>7076</v>
      </c>
      <c r="F1024" s="61">
        <v>7405</v>
      </c>
      <c r="G1024" s="61">
        <v>2025</v>
      </c>
      <c r="H1024" s="61" t="s">
        <v>3532</v>
      </c>
      <c r="I1024" s="61" t="s">
        <v>267</v>
      </c>
      <c r="J1024" s="61" t="s">
        <v>28</v>
      </c>
      <c r="K1024" s="61" t="s">
        <v>212</v>
      </c>
      <c r="L1024" s="476" t="s">
        <v>8405</v>
      </c>
      <c r="M1024" s="475">
        <v>45792</v>
      </c>
      <c r="N1024" s="475">
        <v>45796</v>
      </c>
      <c r="O1024" s="475">
        <v>45796</v>
      </c>
      <c r="P1024" s="475">
        <v>45796</v>
      </c>
      <c r="Q1024" s="475">
        <v>45796</v>
      </c>
      <c r="R1024" s="61">
        <f t="shared" si="75"/>
        <v>2</v>
      </c>
      <c r="S1024" s="61">
        <f t="shared" si="76"/>
        <v>1</v>
      </c>
      <c r="T1024" s="61">
        <f t="shared" si="77"/>
        <v>1</v>
      </c>
      <c r="U1024" s="61">
        <f t="shared" si="78"/>
        <v>1</v>
      </c>
      <c r="V1024" s="61" t="s">
        <v>150</v>
      </c>
      <c r="W1024" s="61" t="s">
        <v>1078</v>
      </c>
      <c r="X1024" s="61" t="s">
        <v>50</v>
      </c>
      <c r="Y1024" s="486">
        <v>15.4719</v>
      </c>
      <c r="Z1024" s="486">
        <v>120.95910000000001</v>
      </c>
      <c r="AA1024" s="61" t="s">
        <v>404</v>
      </c>
      <c r="AB1024" s="61"/>
    </row>
    <row r="1025" spans="1:28" s="2" customFormat="1" ht="15">
      <c r="A1025" s="61" t="s">
        <v>2286</v>
      </c>
      <c r="B1025" s="61" t="s">
        <v>1176</v>
      </c>
      <c r="C1025" s="61" t="s">
        <v>4607</v>
      </c>
      <c r="D1025" s="61" t="s">
        <v>7838</v>
      </c>
      <c r="E1025" s="61">
        <v>4001</v>
      </c>
      <c r="F1025" s="61">
        <v>3639</v>
      </c>
      <c r="G1025" s="61">
        <v>2025</v>
      </c>
      <c r="H1025" s="61" t="s">
        <v>3458</v>
      </c>
      <c r="I1025" s="61" t="s">
        <v>28</v>
      </c>
      <c r="J1025" s="61" t="s">
        <v>2289</v>
      </c>
      <c r="K1025" s="61" t="s">
        <v>212</v>
      </c>
      <c r="L1025" s="476" t="s">
        <v>8406</v>
      </c>
      <c r="M1025" s="475">
        <v>45695</v>
      </c>
      <c r="N1025" s="475">
        <v>45698</v>
      </c>
      <c r="O1025" s="475">
        <v>45699</v>
      </c>
      <c r="P1025" s="475">
        <v>45699</v>
      </c>
      <c r="Q1025" s="475">
        <v>45701</v>
      </c>
      <c r="R1025" s="61">
        <f t="shared" si="75"/>
        <v>1</v>
      </c>
      <c r="S1025" s="61">
        <f t="shared" si="76"/>
        <v>1</v>
      </c>
      <c r="T1025" s="61">
        <f t="shared" si="77"/>
        <v>1</v>
      </c>
      <c r="U1025" s="61">
        <f t="shared" si="78"/>
        <v>2</v>
      </c>
      <c r="V1025" s="61" t="s">
        <v>150</v>
      </c>
      <c r="W1025" s="61" t="s">
        <v>1078</v>
      </c>
      <c r="X1025" s="61" t="s">
        <v>50</v>
      </c>
      <c r="Y1025" s="473">
        <v>15.476800000000001</v>
      </c>
      <c r="Z1025" s="473">
        <v>120.9618</v>
      </c>
      <c r="AA1025" s="61" t="s">
        <v>404</v>
      </c>
      <c r="AB1025" s="474" t="s">
        <v>8407</v>
      </c>
    </row>
    <row r="1026" spans="1:28" s="2" customFormat="1" ht="15">
      <c r="A1026" s="61" t="s">
        <v>2286</v>
      </c>
      <c r="B1026" s="61" t="s">
        <v>1176</v>
      </c>
      <c r="C1026" s="61" t="s">
        <v>4614</v>
      </c>
      <c r="D1026" s="61" t="s">
        <v>7838</v>
      </c>
      <c r="E1026" s="61">
        <v>4670</v>
      </c>
      <c r="F1026" s="61">
        <v>6148</v>
      </c>
      <c r="G1026" s="61">
        <v>2025</v>
      </c>
      <c r="H1026" s="61" t="s">
        <v>4933</v>
      </c>
      <c r="I1026" s="474" t="s">
        <v>267</v>
      </c>
      <c r="J1026" s="61" t="s">
        <v>28</v>
      </c>
      <c r="K1026" s="61" t="s">
        <v>212</v>
      </c>
      <c r="L1026" s="61" t="s">
        <v>8408</v>
      </c>
      <c r="M1026" s="475">
        <v>45792</v>
      </c>
      <c r="N1026" s="475">
        <v>45796</v>
      </c>
      <c r="O1026" s="475">
        <v>45796</v>
      </c>
      <c r="P1026" s="475">
        <v>45796</v>
      </c>
      <c r="Q1026" s="475">
        <v>45797</v>
      </c>
      <c r="R1026" s="61">
        <f t="shared" si="75"/>
        <v>2</v>
      </c>
      <c r="S1026" s="61">
        <f t="shared" si="76"/>
        <v>1</v>
      </c>
      <c r="T1026" s="61">
        <f t="shared" si="77"/>
        <v>1</v>
      </c>
      <c r="U1026" s="61">
        <f t="shared" si="78"/>
        <v>1</v>
      </c>
      <c r="V1026" s="61" t="s">
        <v>150</v>
      </c>
      <c r="W1026" s="61" t="s">
        <v>1078</v>
      </c>
      <c r="X1026" s="61" t="s">
        <v>50</v>
      </c>
      <c r="Y1026" s="473">
        <v>15.4772</v>
      </c>
      <c r="Z1026" s="473">
        <v>120.9631</v>
      </c>
      <c r="AA1026" s="61" t="s">
        <v>404</v>
      </c>
      <c r="AB1026" s="474" t="s">
        <v>8407</v>
      </c>
    </row>
    <row r="1027" spans="1:28" s="2" customFormat="1" ht="15">
      <c r="A1027" s="61" t="s">
        <v>2286</v>
      </c>
      <c r="B1027" s="61" t="s">
        <v>1176</v>
      </c>
      <c r="C1027" s="61" t="s">
        <v>4615</v>
      </c>
      <c r="D1027" s="61" t="s">
        <v>7838</v>
      </c>
      <c r="E1027" s="61">
        <v>3314</v>
      </c>
      <c r="F1027" s="61">
        <v>3208</v>
      </c>
      <c r="G1027" s="61">
        <v>2025</v>
      </c>
      <c r="H1027" s="61" t="s">
        <v>3458</v>
      </c>
      <c r="I1027" s="61" t="s">
        <v>28</v>
      </c>
      <c r="J1027" s="61" t="s">
        <v>2289</v>
      </c>
      <c r="K1027" s="61" t="s">
        <v>212</v>
      </c>
      <c r="L1027" s="61" t="s">
        <v>8409</v>
      </c>
      <c r="M1027" s="475">
        <v>45695</v>
      </c>
      <c r="N1027" s="475">
        <v>45698</v>
      </c>
      <c r="O1027" s="475">
        <v>45699</v>
      </c>
      <c r="P1027" s="475">
        <v>45699</v>
      </c>
      <c r="Q1027" s="475">
        <v>45701</v>
      </c>
      <c r="R1027" s="61">
        <f t="shared" si="75"/>
        <v>1</v>
      </c>
      <c r="S1027" s="61">
        <f t="shared" si="76"/>
        <v>1</v>
      </c>
      <c r="T1027" s="61">
        <f t="shared" si="77"/>
        <v>1</v>
      </c>
      <c r="U1027" s="61">
        <f t="shared" si="78"/>
        <v>2</v>
      </c>
      <c r="V1027" s="61" t="s">
        <v>150</v>
      </c>
      <c r="W1027" s="61" t="s">
        <v>1078</v>
      </c>
      <c r="X1027" s="61" t="s">
        <v>50</v>
      </c>
      <c r="Y1027" s="473">
        <v>15.485099999999999</v>
      </c>
      <c r="Z1027" s="473">
        <v>120.9739</v>
      </c>
      <c r="AA1027" s="61" t="s">
        <v>404</v>
      </c>
      <c r="AB1027" s="474" t="s">
        <v>8407</v>
      </c>
    </row>
    <row r="1028" spans="1:28" s="2" customFormat="1" ht="15">
      <c r="A1028" s="61" t="s">
        <v>2286</v>
      </c>
      <c r="B1028" s="61" t="s">
        <v>1176</v>
      </c>
      <c r="C1028" s="61" t="s">
        <v>4616</v>
      </c>
      <c r="D1028" s="61" t="s">
        <v>7838</v>
      </c>
      <c r="E1028" s="61">
        <v>4317</v>
      </c>
      <c r="F1028" s="61">
        <v>5501</v>
      </c>
      <c r="G1028" s="61">
        <v>2025</v>
      </c>
      <c r="H1028" s="61" t="s">
        <v>3458</v>
      </c>
      <c r="I1028" s="61" t="s">
        <v>28</v>
      </c>
      <c r="J1028" s="61" t="s">
        <v>2289</v>
      </c>
      <c r="K1028" s="61" t="s">
        <v>212</v>
      </c>
      <c r="L1028" s="476" t="s">
        <v>8410</v>
      </c>
      <c r="M1028" s="475">
        <v>45699</v>
      </c>
      <c r="N1028" s="475">
        <v>45704</v>
      </c>
      <c r="O1028" s="475">
        <v>45705</v>
      </c>
      <c r="P1028" s="475">
        <v>45705</v>
      </c>
      <c r="Q1028" s="475">
        <v>45706</v>
      </c>
      <c r="R1028" s="61">
        <f t="shared" si="75"/>
        <v>3</v>
      </c>
      <c r="S1028" s="61">
        <f t="shared" si="76"/>
        <v>1</v>
      </c>
      <c r="T1028" s="61">
        <f t="shared" si="77"/>
        <v>1</v>
      </c>
      <c r="U1028" s="61">
        <f t="shared" si="78"/>
        <v>1</v>
      </c>
      <c r="V1028" s="61" t="s">
        <v>150</v>
      </c>
      <c r="W1028" s="61" t="s">
        <v>1078</v>
      </c>
      <c r="X1028" s="61" t="s">
        <v>50</v>
      </c>
      <c r="Y1028" s="473">
        <v>15.475300000000001</v>
      </c>
      <c r="Z1028" s="473">
        <v>120.976</v>
      </c>
      <c r="AA1028" s="61" t="s">
        <v>404</v>
      </c>
      <c r="AB1028" s="61"/>
    </row>
    <row r="1029" spans="1:28" s="2" customFormat="1" ht="15">
      <c r="A1029" s="61" t="s">
        <v>2286</v>
      </c>
      <c r="B1029" s="61" t="s">
        <v>1176</v>
      </c>
      <c r="C1029" s="61" t="s">
        <v>4618</v>
      </c>
      <c r="D1029" s="61" t="s">
        <v>7838</v>
      </c>
      <c r="E1029" s="61">
        <v>4492</v>
      </c>
      <c r="F1029" s="61">
        <v>4242</v>
      </c>
      <c r="G1029" s="61">
        <v>2025</v>
      </c>
      <c r="H1029" s="61" t="s">
        <v>3689</v>
      </c>
      <c r="I1029" s="61" t="s">
        <v>267</v>
      </c>
      <c r="J1029" s="61" t="s">
        <v>28</v>
      </c>
      <c r="K1029" s="61" t="s">
        <v>212</v>
      </c>
      <c r="L1029" s="61" t="s">
        <v>8411</v>
      </c>
      <c r="M1029" s="475">
        <v>45805</v>
      </c>
      <c r="N1029" s="475">
        <v>45809</v>
      </c>
      <c r="O1029" s="475">
        <v>45811</v>
      </c>
      <c r="P1029" s="475">
        <v>45812</v>
      </c>
      <c r="Q1029" s="475">
        <v>45813</v>
      </c>
      <c r="R1029" s="61">
        <f t="shared" si="75"/>
        <v>2</v>
      </c>
      <c r="S1029" s="61">
        <f t="shared" si="76"/>
        <v>1</v>
      </c>
      <c r="T1029" s="61">
        <f t="shared" si="77"/>
        <v>1</v>
      </c>
      <c r="U1029" s="61">
        <f t="shared" si="78"/>
        <v>1</v>
      </c>
      <c r="V1029" s="61" t="s">
        <v>150</v>
      </c>
      <c r="W1029" s="61" t="s">
        <v>1078</v>
      </c>
      <c r="X1029" s="61" t="s">
        <v>50</v>
      </c>
      <c r="Y1029" s="485">
        <v>15.4876</v>
      </c>
      <c r="Z1029" s="485">
        <v>120.9804</v>
      </c>
      <c r="AA1029" s="61" t="s">
        <v>404</v>
      </c>
      <c r="AB1029" s="61"/>
    </row>
    <row r="1030" spans="1:28" s="2" customFormat="1" ht="15">
      <c r="A1030" s="61" t="s">
        <v>2286</v>
      </c>
      <c r="B1030" s="61" t="s">
        <v>1176</v>
      </c>
      <c r="C1030" s="61" t="s">
        <v>4620</v>
      </c>
      <c r="D1030" s="61" t="s">
        <v>7838</v>
      </c>
      <c r="E1030" s="61">
        <v>2800</v>
      </c>
      <c r="F1030" s="61">
        <v>2419</v>
      </c>
      <c r="G1030" s="61">
        <v>2025</v>
      </c>
      <c r="H1030" s="61" t="s">
        <v>3689</v>
      </c>
      <c r="I1030" s="61" t="s">
        <v>267</v>
      </c>
      <c r="J1030" s="61" t="s">
        <v>28</v>
      </c>
      <c r="K1030" s="61" t="s">
        <v>212</v>
      </c>
      <c r="L1030" s="61" t="s">
        <v>8412</v>
      </c>
      <c r="M1030" s="475">
        <v>45805</v>
      </c>
      <c r="N1030" s="475">
        <v>45809</v>
      </c>
      <c r="O1030" s="475">
        <v>45812</v>
      </c>
      <c r="P1030" s="475">
        <v>45812</v>
      </c>
      <c r="Q1030" s="475">
        <v>45813</v>
      </c>
      <c r="R1030" s="61">
        <f t="shared" si="75"/>
        <v>2</v>
      </c>
      <c r="S1030" s="61">
        <f t="shared" si="76"/>
        <v>2</v>
      </c>
      <c r="T1030" s="61">
        <f t="shared" si="77"/>
        <v>1</v>
      </c>
      <c r="U1030" s="61">
        <f t="shared" si="78"/>
        <v>1</v>
      </c>
      <c r="V1030" s="61" t="s">
        <v>150</v>
      </c>
      <c r="W1030" s="61" t="s">
        <v>1078</v>
      </c>
      <c r="X1030" s="61" t="s">
        <v>50</v>
      </c>
      <c r="Y1030" s="485">
        <v>15.4847</v>
      </c>
      <c r="Z1030" s="485">
        <v>120.9776</v>
      </c>
      <c r="AA1030" s="61" t="s">
        <v>404</v>
      </c>
      <c r="AB1030" s="61"/>
    </row>
    <row r="1031" spans="1:28" s="2" customFormat="1" ht="15">
      <c r="A1031" s="61" t="s">
        <v>2286</v>
      </c>
      <c r="B1031" s="61" t="s">
        <v>1176</v>
      </c>
      <c r="C1031" s="61" t="s">
        <v>4624</v>
      </c>
      <c r="D1031" s="61" t="s">
        <v>7838</v>
      </c>
      <c r="E1031" s="61">
        <v>2288</v>
      </c>
      <c r="F1031" s="61">
        <v>2750</v>
      </c>
      <c r="G1031" s="61">
        <v>2025</v>
      </c>
      <c r="H1031" s="61" t="s">
        <v>3126</v>
      </c>
      <c r="I1031" s="61" t="s">
        <v>267</v>
      </c>
      <c r="J1031" s="61" t="s">
        <v>28</v>
      </c>
      <c r="K1031" s="61" t="s">
        <v>212</v>
      </c>
      <c r="L1031" s="61" t="s">
        <v>8413</v>
      </c>
      <c r="M1031" s="475">
        <v>45876</v>
      </c>
      <c r="N1031" s="475">
        <v>45887</v>
      </c>
      <c r="O1031" s="475">
        <v>45887</v>
      </c>
      <c r="P1031" s="475">
        <v>45888</v>
      </c>
      <c r="Q1031" s="475">
        <v>45888</v>
      </c>
      <c r="R1031" s="61">
        <f t="shared" si="75"/>
        <v>7</v>
      </c>
      <c r="S1031" s="61">
        <f t="shared" si="76"/>
        <v>1</v>
      </c>
      <c r="T1031" s="61">
        <f t="shared" si="77"/>
        <v>1</v>
      </c>
      <c r="U1031" s="61">
        <f t="shared" si="78"/>
        <v>1</v>
      </c>
      <c r="V1031" s="61" t="s">
        <v>150</v>
      </c>
      <c r="W1031" s="61" t="s">
        <v>1078</v>
      </c>
      <c r="X1031" s="61" t="s">
        <v>50</v>
      </c>
      <c r="Y1031" s="471">
        <v>15.5252</v>
      </c>
      <c r="Z1031" s="471">
        <v>120.9854</v>
      </c>
      <c r="AA1031" s="61" t="s">
        <v>404</v>
      </c>
      <c r="AB1031" s="61"/>
    </row>
    <row r="1032" spans="1:28" s="2" customFormat="1" ht="15">
      <c r="A1032" s="61" t="s">
        <v>2286</v>
      </c>
      <c r="B1032" s="61" t="s">
        <v>1176</v>
      </c>
      <c r="C1032" s="61" t="s">
        <v>4605</v>
      </c>
      <c r="D1032" s="61" t="s">
        <v>7838</v>
      </c>
      <c r="E1032" s="61">
        <v>5473</v>
      </c>
      <c r="F1032" s="61">
        <v>5904</v>
      </c>
      <c r="G1032" s="61">
        <v>2025</v>
      </c>
      <c r="H1032" s="61" t="s">
        <v>3689</v>
      </c>
      <c r="I1032" s="61" t="s">
        <v>267</v>
      </c>
      <c r="J1032" s="61" t="s">
        <v>28</v>
      </c>
      <c r="K1032" s="61" t="s">
        <v>212</v>
      </c>
      <c r="L1032" s="61" t="s">
        <v>8414</v>
      </c>
      <c r="M1032" s="475">
        <v>45819</v>
      </c>
      <c r="N1032" s="475">
        <v>45823</v>
      </c>
      <c r="O1032" s="475">
        <v>45825</v>
      </c>
      <c r="P1032" s="475">
        <v>45825</v>
      </c>
      <c r="Q1032" s="475">
        <v>45826</v>
      </c>
      <c r="R1032" s="61">
        <f t="shared" si="75"/>
        <v>2</v>
      </c>
      <c r="S1032" s="61">
        <f t="shared" si="76"/>
        <v>1</v>
      </c>
      <c r="T1032" s="61">
        <f t="shared" si="77"/>
        <v>1</v>
      </c>
      <c r="U1032" s="61">
        <f t="shared" si="78"/>
        <v>1</v>
      </c>
      <c r="V1032" s="61" t="s">
        <v>150</v>
      </c>
      <c r="W1032" s="61" t="s">
        <v>1078</v>
      </c>
      <c r="X1032" s="61" t="s">
        <v>50</v>
      </c>
      <c r="Y1032" s="471">
        <v>15.5189</v>
      </c>
      <c r="Z1032" s="471">
        <v>120.9546</v>
      </c>
      <c r="AA1032" s="61" t="s">
        <v>404</v>
      </c>
      <c r="AB1032" s="61"/>
    </row>
    <row r="1033" spans="1:28" s="2" customFormat="1" ht="15">
      <c r="A1033" s="61" t="s">
        <v>2286</v>
      </c>
      <c r="B1033" s="61" t="s">
        <v>1176</v>
      </c>
      <c r="C1033" s="61" t="s">
        <v>4637</v>
      </c>
      <c r="D1033" s="61" t="s">
        <v>7838</v>
      </c>
      <c r="E1033" s="61">
        <v>1708</v>
      </c>
      <c r="F1033" s="61">
        <v>1306</v>
      </c>
      <c r="G1033" s="61">
        <v>2025</v>
      </c>
      <c r="H1033" s="61" t="s">
        <v>3126</v>
      </c>
      <c r="I1033" s="61" t="s">
        <v>267</v>
      </c>
      <c r="J1033" s="61" t="s">
        <v>28</v>
      </c>
      <c r="K1033" s="61" t="s">
        <v>212</v>
      </c>
      <c r="L1033" s="61" t="s">
        <v>8415</v>
      </c>
      <c r="M1033" s="475">
        <v>45867</v>
      </c>
      <c r="N1033" s="475">
        <v>45883</v>
      </c>
      <c r="O1033" s="475">
        <v>45884</v>
      </c>
      <c r="P1033" s="475">
        <v>45887</v>
      </c>
      <c r="Q1033" s="475">
        <v>45887</v>
      </c>
      <c r="R1033" s="61">
        <f t="shared" si="75"/>
        <v>12</v>
      </c>
      <c r="S1033" s="61">
        <f t="shared" si="76"/>
        <v>1</v>
      </c>
      <c r="T1033" s="61">
        <f t="shared" si="77"/>
        <v>1</v>
      </c>
      <c r="U1033" s="61">
        <f t="shared" si="78"/>
        <v>1</v>
      </c>
      <c r="V1033" s="61" t="s">
        <v>150</v>
      </c>
      <c r="W1033" s="61" t="s">
        <v>1078</v>
      </c>
      <c r="X1033" s="61" t="s">
        <v>50</v>
      </c>
      <c r="Y1033" s="473">
        <v>15.5571</v>
      </c>
      <c r="Z1033" s="473">
        <v>120.9693</v>
      </c>
      <c r="AA1033" s="61" t="s">
        <v>404</v>
      </c>
      <c r="AB1033" s="61"/>
    </row>
    <row r="1034" spans="1:28" s="2" customFormat="1" ht="28.5">
      <c r="A1034" s="61" t="s">
        <v>2286</v>
      </c>
      <c r="B1034" s="61" t="s">
        <v>1176</v>
      </c>
      <c r="C1034" s="61" t="s">
        <v>4640</v>
      </c>
      <c r="D1034" s="61" t="s">
        <v>7838</v>
      </c>
      <c r="E1034" s="61">
        <v>789</v>
      </c>
      <c r="F1034" s="61">
        <v>784</v>
      </c>
      <c r="G1034" s="61">
        <v>2025</v>
      </c>
      <c r="H1034" s="61" t="s">
        <v>3458</v>
      </c>
      <c r="I1034" s="61" t="s">
        <v>28</v>
      </c>
      <c r="J1034" s="61" t="s">
        <v>2289</v>
      </c>
      <c r="K1034" s="61" t="s">
        <v>212</v>
      </c>
      <c r="L1034" s="61" t="s">
        <v>8416</v>
      </c>
      <c r="M1034" s="475">
        <v>45693</v>
      </c>
      <c r="N1034" s="475">
        <v>45698</v>
      </c>
      <c r="O1034" s="475">
        <v>45699</v>
      </c>
      <c r="P1034" s="475">
        <v>45699</v>
      </c>
      <c r="Q1034" s="475">
        <v>45701</v>
      </c>
      <c r="R1034" s="61">
        <f t="shared" si="75"/>
        <v>3</v>
      </c>
      <c r="S1034" s="61">
        <f t="shared" si="76"/>
        <v>1</v>
      </c>
      <c r="T1034" s="61">
        <f t="shared" si="77"/>
        <v>1</v>
      </c>
      <c r="U1034" s="61">
        <f t="shared" si="78"/>
        <v>2</v>
      </c>
      <c r="V1034" s="61" t="s">
        <v>150</v>
      </c>
      <c r="W1034" s="61" t="s">
        <v>1078</v>
      </c>
      <c r="X1034" s="61" t="s">
        <v>50</v>
      </c>
      <c r="Y1034" s="473">
        <v>15.4884</v>
      </c>
      <c r="Z1034" s="473">
        <v>120.9601</v>
      </c>
      <c r="AA1034" s="61" t="s">
        <v>8417</v>
      </c>
      <c r="AB1034" s="61" t="s">
        <v>8418</v>
      </c>
    </row>
    <row r="1035" spans="1:28" s="2" customFormat="1" ht="15">
      <c r="A1035" s="61" t="s">
        <v>2286</v>
      </c>
      <c r="B1035" s="61" t="s">
        <v>1176</v>
      </c>
      <c r="C1035" s="61" t="s">
        <v>4651</v>
      </c>
      <c r="D1035" s="61" t="s">
        <v>7838</v>
      </c>
      <c r="E1035" s="61">
        <v>4598</v>
      </c>
      <c r="F1035" s="61">
        <v>5751</v>
      </c>
      <c r="G1035" s="61">
        <v>2025</v>
      </c>
      <c r="H1035" s="61" t="s">
        <v>3416</v>
      </c>
      <c r="I1035" s="61" t="s">
        <v>28</v>
      </c>
      <c r="J1035" s="61" t="s">
        <v>2289</v>
      </c>
      <c r="K1035" s="61" t="s">
        <v>212</v>
      </c>
      <c r="L1035" s="61" t="s">
        <v>8419</v>
      </c>
      <c r="M1035" s="475">
        <v>45713</v>
      </c>
      <c r="N1035" s="475">
        <v>45720</v>
      </c>
      <c r="O1035" s="475">
        <v>45720</v>
      </c>
      <c r="P1035" s="475">
        <v>45720</v>
      </c>
      <c r="Q1035" s="475">
        <v>45721</v>
      </c>
      <c r="R1035" s="61">
        <f t="shared" si="75"/>
        <v>5</v>
      </c>
      <c r="S1035" s="61">
        <f t="shared" si="76"/>
        <v>1</v>
      </c>
      <c r="T1035" s="61">
        <f t="shared" si="77"/>
        <v>1</v>
      </c>
      <c r="U1035" s="61">
        <f t="shared" si="78"/>
        <v>1</v>
      </c>
      <c r="V1035" s="61" t="s">
        <v>150</v>
      </c>
      <c r="W1035" s="61" t="s">
        <v>1078</v>
      </c>
      <c r="X1035" s="61" t="s">
        <v>50</v>
      </c>
      <c r="Y1035" s="478">
        <v>15.456200000000001</v>
      </c>
      <c r="Z1035" s="478">
        <v>120.9836</v>
      </c>
      <c r="AA1035" s="61" t="s">
        <v>404</v>
      </c>
      <c r="AB1035" s="61"/>
    </row>
    <row r="1036" spans="1:28" s="2" customFormat="1" ht="15">
      <c r="A1036" s="61" t="s">
        <v>2286</v>
      </c>
      <c r="B1036" s="61" t="s">
        <v>1176</v>
      </c>
      <c r="C1036" s="61" t="s">
        <v>4446</v>
      </c>
      <c r="D1036" s="61" t="s">
        <v>7838</v>
      </c>
      <c r="E1036" s="61">
        <v>1382</v>
      </c>
      <c r="F1036" s="61">
        <v>1590</v>
      </c>
      <c r="G1036" s="61">
        <v>2025</v>
      </c>
      <c r="H1036" s="61" t="s">
        <v>3126</v>
      </c>
      <c r="I1036" s="61" t="s">
        <v>267</v>
      </c>
      <c r="J1036" s="61" t="s">
        <v>28</v>
      </c>
      <c r="K1036" s="61" t="s">
        <v>212</v>
      </c>
      <c r="L1036" s="61" t="s">
        <v>8420</v>
      </c>
      <c r="M1036" s="475">
        <v>45881</v>
      </c>
      <c r="N1036" s="475">
        <v>45887</v>
      </c>
      <c r="O1036" s="475">
        <v>45887</v>
      </c>
      <c r="P1036" s="475">
        <v>45888</v>
      </c>
      <c r="Q1036" s="475">
        <v>45888</v>
      </c>
      <c r="R1036" s="61">
        <f t="shared" si="75"/>
        <v>4</v>
      </c>
      <c r="S1036" s="61">
        <f t="shared" si="76"/>
        <v>1</v>
      </c>
      <c r="T1036" s="61">
        <f t="shared" si="77"/>
        <v>1</v>
      </c>
      <c r="U1036" s="61">
        <f t="shared" si="78"/>
        <v>1</v>
      </c>
      <c r="V1036" s="61" t="s">
        <v>150</v>
      </c>
      <c r="W1036" s="61" t="s">
        <v>1078</v>
      </c>
      <c r="X1036" s="61" t="s">
        <v>50</v>
      </c>
      <c r="Y1036" s="478">
        <v>15.5343</v>
      </c>
      <c r="Z1036" s="478">
        <v>120.9746</v>
      </c>
      <c r="AA1036" s="61" t="s">
        <v>404</v>
      </c>
      <c r="AB1036" s="61"/>
    </row>
    <row r="1037" spans="1:28" s="2" customFormat="1" ht="15">
      <c r="A1037" s="61" t="s">
        <v>2286</v>
      </c>
      <c r="B1037" s="61" t="s">
        <v>1176</v>
      </c>
      <c r="C1037" s="61" t="s">
        <v>4652</v>
      </c>
      <c r="D1037" s="61" t="s">
        <v>7838</v>
      </c>
      <c r="E1037" s="61">
        <v>4118</v>
      </c>
      <c r="F1037" s="61">
        <v>4517</v>
      </c>
      <c r="G1037" s="61">
        <v>2025</v>
      </c>
      <c r="H1037" s="61" t="s">
        <v>3125</v>
      </c>
      <c r="I1037" s="61" t="s">
        <v>267</v>
      </c>
      <c r="J1037" s="61" t="s">
        <v>28</v>
      </c>
      <c r="K1037" s="61" t="s">
        <v>212</v>
      </c>
      <c r="L1037" s="61" t="s">
        <v>8421</v>
      </c>
      <c r="M1037" s="475">
        <v>45834</v>
      </c>
      <c r="N1037" s="475">
        <v>45844</v>
      </c>
      <c r="O1037" s="475">
        <v>45846</v>
      </c>
      <c r="P1037" s="475">
        <v>45847</v>
      </c>
      <c r="Q1037" s="475">
        <v>45847</v>
      </c>
      <c r="R1037" s="61">
        <f t="shared" si="75"/>
        <v>6</v>
      </c>
      <c r="S1037" s="61">
        <f t="shared" si="76"/>
        <v>1</v>
      </c>
      <c r="T1037" s="61">
        <f t="shared" si="77"/>
        <v>1</v>
      </c>
      <c r="U1037" s="61">
        <f t="shared" si="78"/>
        <v>1</v>
      </c>
      <c r="V1037" s="61" t="s">
        <v>150</v>
      </c>
      <c r="W1037" s="61" t="s">
        <v>1078</v>
      </c>
      <c r="X1037" s="61" t="s">
        <v>50</v>
      </c>
      <c r="Y1037" s="478">
        <v>15.451499999999999</v>
      </c>
      <c r="Z1037" s="478">
        <v>120.9482</v>
      </c>
      <c r="AA1037" s="61" t="s">
        <v>8422</v>
      </c>
      <c r="AB1037" s="61"/>
    </row>
    <row r="1038" spans="1:28" s="2" customFormat="1" ht="15">
      <c r="A1038" s="61" t="s">
        <v>2286</v>
      </c>
      <c r="B1038" s="61" t="s">
        <v>1176</v>
      </c>
      <c r="C1038" s="61" t="s">
        <v>4656</v>
      </c>
      <c r="D1038" s="61" t="s">
        <v>7838</v>
      </c>
      <c r="E1038" s="61">
        <v>4321</v>
      </c>
      <c r="F1038" s="61">
        <v>4216</v>
      </c>
      <c r="G1038" s="61">
        <v>2025</v>
      </c>
      <c r="H1038" s="61" t="s">
        <v>3126</v>
      </c>
      <c r="I1038" s="61" t="s">
        <v>267</v>
      </c>
      <c r="J1038" s="61" t="s">
        <v>28</v>
      </c>
      <c r="K1038" s="61" t="s">
        <v>212</v>
      </c>
      <c r="L1038" s="61" t="s">
        <v>8423</v>
      </c>
      <c r="M1038" s="475">
        <v>45881</v>
      </c>
      <c r="N1038" s="475">
        <v>45887</v>
      </c>
      <c r="O1038" s="475">
        <v>45887</v>
      </c>
      <c r="P1038" s="475">
        <v>45888</v>
      </c>
      <c r="Q1038" s="475">
        <v>45889</v>
      </c>
      <c r="R1038" s="61">
        <f t="shared" si="75"/>
        <v>4</v>
      </c>
      <c r="S1038" s="61">
        <f t="shared" si="76"/>
        <v>1</v>
      </c>
      <c r="T1038" s="61">
        <f t="shared" si="77"/>
        <v>1</v>
      </c>
      <c r="U1038" s="61">
        <f t="shared" si="78"/>
        <v>1</v>
      </c>
      <c r="V1038" s="61" t="s">
        <v>150</v>
      </c>
      <c r="W1038" s="61" t="s">
        <v>4</v>
      </c>
      <c r="X1038" s="61" t="s">
        <v>50</v>
      </c>
      <c r="Y1038" s="478">
        <v>15.510300000000001</v>
      </c>
      <c r="Z1038" s="478">
        <v>120.9662</v>
      </c>
      <c r="AA1038" s="61" t="s">
        <v>8422</v>
      </c>
      <c r="AB1038" s="61"/>
    </row>
    <row r="1039" spans="1:28" s="2" customFormat="1" ht="57">
      <c r="A1039" s="61" t="s">
        <v>2286</v>
      </c>
      <c r="B1039" s="61" t="s">
        <v>1176</v>
      </c>
      <c r="C1039" s="61" t="s">
        <v>4660</v>
      </c>
      <c r="D1039" s="61" t="s">
        <v>7838</v>
      </c>
      <c r="E1039" s="61">
        <v>1558</v>
      </c>
      <c r="F1039" s="61">
        <v>1495</v>
      </c>
      <c r="G1039" s="61">
        <v>2025</v>
      </c>
      <c r="H1039" s="61" t="s">
        <v>3532</v>
      </c>
      <c r="I1039" s="61" t="s">
        <v>267</v>
      </c>
      <c r="J1039" s="61" t="s">
        <v>28</v>
      </c>
      <c r="K1039" s="61" t="s">
        <v>212</v>
      </c>
      <c r="L1039" s="61" t="s">
        <v>8424</v>
      </c>
      <c r="M1039" s="475">
        <v>45792</v>
      </c>
      <c r="N1039" s="475">
        <v>45796</v>
      </c>
      <c r="O1039" s="475">
        <v>45796</v>
      </c>
      <c r="P1039" s="475">
        <v>45796</v>
      </c>
      <c r="Q1039" s="475">
        <v>45797</v>
      </c>
      <c r="R1039" s="61">
        <f t="shared" si="75"/>
        <v>2</v>
      </c>
      <c r="S1039" s="61">
        <f t="shared" si="76"/>
        <v>1</v>
      </c>
      <c r="T1039" s="61">
        <f t="shared" si="77"/>
        <v>1</v>
      </c>
      <c r="U1039" s="61">
        <f t="shared" si="78"/>
        <v>1</v>
      </c>
      <c r="V1039" s="61" t="s">
        <v>150</v>
      </c>
      <c r="W1039" s="61" t="s">
        <v>1078</v>
      </c>
      <c r="X1039" s="61" t="s">
        <v>50</v>
      </c>
      <c r="Y1039" s="478">
        <v>15.48</v>
      </c>
      <c r="Z1039" s="478">
        <v>120.95740000000001</v>
      </c>
      <c r="AA1039" s="61" t="s">
        <v>404</v>
      </c>
      <c r="AB1039" s="61" t="s">
        <v>8425</v>
      </c>
    </row>
    <row r="1040" spans="1:28" s="2" customFormat="1" ht="15">
      <c r="A1040" s="61" t="s">
        <v>2286</v>
      </c>
      <c r="B1040" s="61" t="s">
        <v>1176</v>
      </c>
      <c r="C1040" s="61" t="s">
        <v>4566</v>
      </c>
      <c r="D1040" s="61" t="s">
        <v>7838</v>
      </c>
      <c r="E1040" s="61">
        <v>5546</v>
      </c>
      <c r="F1040" s="61">
        <v>5755</v>
      </c>
      <c r="G1040" s="61">
        <v>2025</v>
      </c>
      <c r="H1040" s="61" t="s">
        <v>3128</v>
      </c>
      <c r="I1040" s="61" t="s">
        <v>267</v>
      </c>
      <c r="J1040" s="61" t="s">
        <v>2289</v>
      </c>
      <c r="K1040" s="61" t="s">
        <v>212</v>
      </c>
      <c r="L1040" s="61" t="s">
        <v>8398</v>
      </c>
      <c r="M1040" s="475">
        <v>45944</v>
      </c>
      <c r="N1040" s="481">
        <v>45946</v>
      </c>
      <c r="O1040" s="475">
        <v>45947</v>
      </c>
      <c r="P1040" s="475">
        <v>45947</v>
      </c>
      <c r="Q1040" s="475">
        <v>45950</v>
      </c>
      <c r="R1040" s="61">
        <f t="shared" si="75"/>
        <v>2</v>
      </c>
      <c r="S1040" s="61">
        <f t="shared" si="76"/>
        <v>1</v>
      </c>
      <c r="T1040" s="61">
        <f t="shared" si="77"/>
        <v>1</v>
      </c>
      <c r="U1040" s="61">
        <f t="shared" si="78"/>
        <v>1</v>
      </c>
      <c r="V1040" s="61" t="s">
        <v>150</v>
      </c>
      <c r="W1040" s="61" t="s">
        <v>1078</v>
      </c>
      <c r="X1040" s="61" t="s">
        <v>50</v>
      </c>
      <c r="Y1040" s="471" t="s">
        <v>69</v>
      </c>
      <c r="Z1040" s="471" t="s">
        <v>69</v>
      </c>
      <c r="AA1040" s="61" t="s">
        <v>404</v>
      </c>
      <c r="AB1040" s="61" t="s">
        <v>8399</v>
      </c>
    </row>
    <row r="1041" spans="1:28" s="2" customFormat="1" ht="15">
      <c r="A1041" s="61" t="s">
        <v>2286</v>
      </c>
      <c r="B1041" s="61" t="s">
        <v>1176</v>
      </c>
      <c r="C1041" s="61" t="s">
        <v>4568</v>
      </c>
      <c r="D1041" s="61" t="s">
        <v>7838</v>
      </c>
      <c r="E1041" s="61">
        <v>6745</v>
      </c>
      <c r="F1041" s="61">
        <v>7640</v>
      </c>
      <c r="G1041" s="61">
        <v>2025</v>
      </c>
      <c r="H1041" s="61" t="s">
        <v>3128</v>
      </c>
      <c r="I1041" s="61" t="s">
        <v>267</v>
      </c>
      <c r="J1041" s="61" t="s">
        <v>2289</v>
      </c>
      <c r="K1041" s="61" t="s">
        <v>212</v>
      </c>
      <c r="L1041" s="61" t="s">
        <v>8398</v>
      </c>
      <c r="M1041" s="475">
        <v>45944</v>
      </c>
      <c r="N1041" s="481">
        <v>45946</v>
      </c>
      <c r="O1041" s="475">
        <v>45947</v>
      </c>
      <c r="P1041" s="475">
        <v>45947</v>
      </c>
      <c r="Q1041" s="475">
        <v>45950</v>
      </c>
      <c r="R1041" s="61">
        <f t="shared" si="75"/>
        <v>2</v>
      </c>
      <c r="S1041" s="61">
        <f t="shared" si="76"/>
        <v>1</v>
      </c>
      <c r="T1041" s="61">
        <f t="shared" si="77"/>
        <v>1</v>
      </c>
      <c r="U1041" s="61">
        <f t="shared" si="78"/>
        <v>1</v>
      </c>
      <c r="V1041" s="61" t="s">
        <v>150</v>
      </c>
      <c r="W1041" s="61" t="s">
        <v>1078</v>
      </c>
      <c r="X1041" s="61" t="s">
        <v>50</v>
      </c>
      <c r="Y1041" s="471" t="s">
        <v>69</v>
      </c>
      <c r="Z1041" s="471" t="s">
        <v>69</v>
      </c>
      <c r="AA1041" s="61" t="s">
        <v>404</v>
      </c>
      <c r="AB1041" s="61" t="s">
        <v>8399</v>
      </c>
    </row>
    <row r="1042" spans="1:28" s="2" customFormat="1" ht="15">
      <c r="A1042" s="61" t="s">
        <v>2286</v>
      </c>
      <c r="B1042" s="61" t="s">
        <v>1176</v>
      </c>
      <c r="C1042" s="61" t="s">
        <v>4170</v>
      </c>
      <c r="D1042" s="61" t="s">
        <v>7838</v>
      </c>
      <c r="E1042" s="61">
        <v>852</v>
      </c>
      <c r="F1042" s="61">
        <v>934</v>
      </c>
      <c r="G1042" s="61">
        <v>2025</v>
      </c>
      <c r="H1042" s="61" t="s">
        <v>3128</v>
      </c>
      <c r="I1042" s="61" t="s">
        <v>267</v>
      </c>
      <c r="J1042" s="61" t="s">
        <v>2289</v>
      </c>
      <c r="K1042" s="61" t="s">
        <v>212</v>
      </c>
      <c r="L1042" s="61" t="s">
        <v>8398</v>
      </c>
      <c r="M1042" s="475">
        <v>45944</v>
      </c>
      <c r="N1042" s="481">
        <v>45946</v>
      </c>
      <c r="O1042" s="475">
        <v>45947</v>
      </c>
      <c r="P1042" s="475">
        <v>45947</v>
      </c>
      <c r="Q1042" s="475">
        <v>45950</v>
      </c>
      <c r="R1042" s="61">
        <f t="shared" si="75"/>
        <v>2</v>
      </c>
      <c r="S1042" s="61">
        <f t="shared" si="76"/>
        <v>1</v>
      </c>
      <c r="T1042" s="61">
        <f t="shared" si="77"/>
        <v>1</v>
      </c>
      <c r="U1042" s="61">
        <f t="shared" si="78"/>
        <v>1</v>
      </c>
      <c r="V1042" s="61" t="s">
        <v>150</v>
      </c>
      <c r="W1042" s="61" t="s">
        <v>4</v>
      </c>
      <c r="X1042" s="61" t="s">
        <v>50</v>
      </c>
      <c r="Y1042" s="471" t="s">
        <v>69</v>
      </c>
      <c r="Z1042" s="471" t="s">
        <v>69</v>
      </c>
      <c r="AA1042" s="61" t="s">
        <v>404</v>
      </c>
      <c r="AB1042" s="61" t="s">
        <v>8399</v>
      </c>
    </row>
    <row r="1043" spans="1:28" s="2" customFormat="1" ht="15">
      <c r="A1043" s="61" t="s">
        <v>2286</v>
      </c>
      <c r="B1043" s="61" t="s">
        <v>1176</v>
      </c>
      <c r="C1043" s="61" t="s">
        <v>4569</v>
      </c>
      <c r="D1043" s="61" t="s">
        <v>7838</v>
      </c>
      <c r="E1043" s="61">
        <v>4599</v>
      </c>
      <c r="F1043" s="61">
        <v>5272</v>
      </c>
      <c r="G1043" s="61">
        <v>2025</v>
      </c>
      <c r="H1043" s="61" t="s">
        <v>3128</v>
      </c>
      <c r="I1043" s="61" t="s">
        <v>267</v>
      </c>
      <c r="J1043" s="61" t="s">
        <v>2289</v>
      </c>
      <c r="K1043" s="61" t="s">
        <v>212</v>
      </c>
      <c r="L1043" s="61" t="s">
        <v>8398</v>
      </c>
      <c r="M1043" s="475">
        <v>45944</v>
      </c>
      <c r="N1043" s="481">
        <v>45946</v>
      </c>
      <c r="O1043" s="475">
        <v>45947</v>
      </c>
      <c r="P1043" s="475">
        <v>45947</v>
      </c>
      <c r="Q1043" s="475">
        <v>45950</v>
      </c>
      <c r="R1043" s="61">
        <f t="shared" si="75"/>
        <v>2</v>
      </c>
      <c r="S1043" s="61">
        <f t="shared" si="76"/>
        <v>1</v>
      </c>
      <c r="T1043" s="61">
        <f t="shared" si="77"/>
        <v>1</v>
      </c>
      <c r="U1043" s="61">
        <f t="shared" si="78"/>
        <v>1</v>
      </c>
      <c r="V1043" s="61" t="s">
        <v>150</v>
      </c>
      <c r="W1043" s="61" t="s">
        <v>4</v>
      </c>
      <c r="X1043" s="61" t="s">
        <v>50</v>
      </c>
      <c r="Y1043" s="471" t="s">
        <v>69</v>
      </c>
      <c r="Z1043" s="471" t="s">
        <v>69</v>
      </c>
      <c r="AA1043" s="61" t="s">
        <v>404</v>
      </c>
      <c r="AB1043" s="61" t="s">
        <v>8399</v>
      </c>
    </row>
    <row r="1044" spans="1:28" s="2" customFormat="1" ht="15">
      <c r="A1044" s="61" t="s">
        <v>2286</v>
      </c>
      <c r="B1044" s="61" t="s">
        <v>1176</v>
      </c>
      <c r="C1044" s="61" t="s">
        <v>4570</v>
      </c>
      <c r="D1044" s="61" t="s">
        <v>7838</v>
      </c>
      <c r="E1044" s="61">
        <v>3073</v>
      </c>
      <c r="F1044" s="61">
        <v>3359</v>
      </c>
      <c r="G1044" s="61">
        <v>2025</v>
      </c>
      <c r="H1044" s="61" t="s">
        <v>3128</v>
      </c>
      <c r="I1044" s="61" t="s">
        <v>267</v>
      </c>
      <c r="J1044" s="61" t="s">
        <v>2289</v>
      </c>
      <c r="K1044" s="61" t="s">
        <v>212</v>
      </c>
      <c r="L1044" s="61" t="s">
        <v>8398</v>
      </c>
      <c r="M1044" s="475">
        <v>45944</v>
      </c>
      <c r="N1044" s="481">
        <v>45946</v>
      </c>
      <c r="O1044" s="475">
        <v>45947</v>
      </c>
      <c r="P1044" s="475">
        <v>45947</v>
      </c>
      <c r="Q1044" s="475">
        <v>45950</v>
      </c>
      <c r="R1044" s="61">
        <f t="shared" si="75"/>
        <v>2</v>
      </c>
      <c r="S1044" s="61">
        <f t="shared" si="76"/>
        <v>1</v>
      </c>
      <c r="T1044" s="61">
        <f t="shared" si="77"/>
        <v>1</v>
      </c>
      <c r="U1044" s="61">
        <f t="shared" si="78"/>
        <v>1</v>
      </c>
      <c r="V1044" s="61" t="s">
        <v>150</v>
      </c>
      <c r="W1044" s="61" t="s">
        <v>4</v>
      </c>
      <c r="X1044" s="61" t="s">
        <v>50</v>
      </c>
      <c r="Y1044" s="471" t="s">
        <v>69</v>
      </c>
      <c r="Z1044" s="471" t="s">
        <v>69</v>
      </c>
      <c r="AA1044" s="61" t="s">
        <v>404</v>
      </c>
      <c r="AB1044" s="61" t="s">
        <v>8399</v>
      </c>
    </row>
    <row r="1045" spans="1:28" s="2" customFormat="1" ht="15">
      <c r="A1045" s="61" t="s">
        <v>2286</v>
      </c>
      <c r="B1045" s="61" t="s">
        <v>1176</v>
      </c>
      <c r="C1045" s="61" t="s">
        <v>4571</v>
      </c>
      <c r="D1045" s="61" t="s">
        <v>7838</v>
      </c>
      <c r="E1045" s="61">
        <v>7659</v>
      </c>
      <c r="F1045" s="61">
        <v>9981</v>
      </c>
      <c r="G1045" s="61">
        <v>2025</v>
      </c>
      <c r="H1045" s="61" t="s">
        <v>3128</v>
      </c>
      <c r="I1045" s="61" t="s">
        <v>267</v>
      </c>
      <c r="J1045" s="61" t="s">
        <v>2289</v>
      </c>
      <c r="K1045" s="61" t="s">
        <v>212</v>
      </c>
      <c r="L1045" s="61" t="s">
        <v>8398</v>
      </c>
      <c r="M1045" s="475">
        <v>45944</v>
      </c>
      <c r="N1045" s="481">
        <v>45946</v>
      </c>
      <c r="O1045" s="475">
        <v>45947</v>
      </c>
      <c r="P1045" s="475">
        <v>45947</v>
      </c>
      <c r="Q1045" s="475">
        <v>45950</v>
      </c>
      <c r="R1045" s="61">
        <f t="shared" si="75"/>
        <v>2</v>
      </c>
      <c r="S1045" s="61">
        <f t="shared" si="76"/>
        <v>1</v>
      </c>
      <c r="T1045" s="61">
        <f t="shared" si="77"/>
        <v>1</v>
      </c>
      <c r="U1045" s="61">
        <f t="shared" si="78"/>
        <v>1</v>
      </c>
      <c r="V1045" s="61" t="s">
        <v>150</v>
      </c>
      <c r="W1045" s="61" t="s">
        <v>4</v>
      </c>
      <c r="X1045" s="61" t="s">
        <v>50</v>
      </c>
      <c r="Y1045" s="471" t="s">
        <v>69</v>
      </c>
      <c r="Z1045" s="471" t="s">
        <v>69</v>
      </c>
      <c r="AA1045" s="61" t="s">
        <v>404</v>
      </c>
      <c r="AB1045" s="61" t="s">
        <v>8399</v>
      </c>
    </row>
    <row r="1046" spans="1:28" s="2" customFormat="1" ht="15">
      <c r="A1046" s="61" t="s">
        <v>2286</v>
      </c>
      <c r="B1046" s="61" t="s">
        <v>1176</v>
      </c>
      <c r="C1046" s="61" t="s">
        <v>4572</v>
      </c>
      <c r="D1046" s="61" t="s">
        <v>7838</v>
      </c>
      <c r="E1046" s="61">
        <v>7596</v>
      </c>
      <c r="F1046" s="61">
        <v>7688</v>
      </c>
      <c r="G1046" s="61">
        <v>2025</v>
      </c>
      <c r="H1046" s="61" t="s">
        <v>3128</v>
      </c>
      <c r="I1046" s="61" t="s">
        <v>267</v>
      </c>
      <c r="J1046" s="61" t="s">
        <v>2289</v>
      </c>
      <c r="K1046" s="61" t="s">
        <v>212</v>
      </c>
      <c r="L1046" s="61" t="s">
        <v>8398</v>
      </c>
      <c r="M1046" s="475">
        <v>45944</v>
      </c>
      <c r="N1046" s="481">
        <v>45946</v>
      </c>
      <c r="O1046" s="475">
        <v>45947</v>
      </c>
      <c r="P1046" s="475">
        <v>45947</v>
      </c>
      <c r="Q1046" s="475">
        <v>45950</v>
      </c>
      <c r="R1046" s="61">
        <f t="shared" si="75"/>
        <v>2</v>
      </c>
      <c r="S1046" s="61">
        <f t="shared" si="76"/>
        <v>1</v>
      </c>
      <c r="T1046" s="61">
        <f t="shared" si="77"/>
        <v>1</v>
      </c>
      <c r="U1046" s="61">
        <f t="shared" si="78"/>
        <v>1</v>
      </c>
      <c r="V1046" s="61" t="s">
        <v>150</v>
      </c>
      <c r="W1046" s="61" t="s">
        <v>4</v>
      </c>
      <c r="X1046" s="61" t="s">
        <v>50</v>
      </c>
      <c r="Y1046" s="471" t="s">
        <v>69</v>
      </c>
      <c r="Z1046" s="471" t="s">
        <v>69</v>
      </c>
      <c r="AA1046" s="61" t="s">
        <v>404</v>
      </c>
      <c r="AB1046" s="61" t="s">
        <v>8399</v>
      </c>
    </row>
    <row r="1047" spans="1:28" s="2" customFormat="1" ht="15">
      <c r="A1047" s="61" t="s">
        <v>2286</v>
      </c>
      <c r="B1047" s="61" t="s">
        <v>1176</v>
      </c>
      <c r="C1047" s="61" t="s">
        <v>4573</v>
      </c>
      <c r="D1047" s="61" t="s">
        <v>7838</v>
      </c>
      <c r="E1047" s="61">
        <v>2390</v>
      </c>
      <c r="F1047" s="61">
        <v>2009</v>
      </c>
      <c r="G1047" s="61">
        <v>2025</v>
      </c>
      <c r="H1047" s="61" t="s">
        <v>3128</v>
      </c>
      <c r="I1047" s="61" t="s">
        <v>267</v>
      </c>
      <c r="J1047" s="61" t="s">
        <v>2289</v>
      </c>
      <c r="K1047" s="61" t="s">
        <v>212</v>
      </c>
      <c r="L1047" s="61" t="s">
        <v>8398</v>
      </c>
      <c r="M1047" s="475">
        <v>45944</v>
      </c>
      <c r="N1047" s="481">
        <v>45946</v>
      </c>
      <c r="O1047" s="475">
        <v>45947</v>
      </c>
      <c r="P1047" s="475">
        <v>45947</v>
      </c>
      <c r="Q1047" s="475">
        <v>45950</v>
      </c>
      <c r="R1047" s="61">
        <f t="shared" si="75"/>
        <v>2</v>
      </c>
      <c r="S1047" s="61">
        <f t="shared" si="76"/>
        <v>1</v>
      </c>
      <c r="T1047" s="61">
        <f t="shared" si="77"/>
        <v>1</v>
      </c>
      <c r="U1047" s="61">
        <f t="shared" si="78"/>
        <v>1</v>
      </c>
      <c r="V1047" s="61" t="s">
        <v>150</v>
      </c>
      <c r="W1047" s="61" t="s">
        <v>4</v>
      </c>
      <c r="X1047" s="61" t="s">
        <v>50</v>
      </c>
      <c r="Y1047" s="471" t="s">
        <v>69</v>
      </c>
      <c r="Z1047" s="471" t="s">
        <v>69</v>
      </c>
      <c r="AA1047" s="61" t="s">
        <v>404</v>
      </c>
      <c r="AB1047" s="61" t="s">
        <v>8399</v>
      </c>
    </row>
    <row r="1048" spans="1:28" s="2" customFormat="1" ht="15">
      <c r="A1048" s="61" t="s">
        <v>2286</v>
      </c>
      <c r="B1048" s="61" t="s">
        <v>1176</v>
      </c>
      <c r="C1048" s="61" t="s">
        <v>4574</v>
      </c>
      <c r="D1048" s="61" t="s">
        <v>7838</v>
      </c>
      <c r="E1048" s="61">
        <v>8695</v>
      </c>
      <c r="F1048" s="61">
        <v>8686</v>
      </c>
      <c r="G1048" s="61">
        <v>2025</v>
      </c>
      <c r="H1048" s="61" t="s">
        <v>3128</v>
      </c>
      <c r="I1048" s="61" t="s">
        <v>267</v>
      </c>
      <c r="J1048" s="61" t="s">
        <v>2289</v>
      </c>
      <c r="K1048" s="61" t="s">
        <v>212</v>
      </c>
      <c r="L1048" s="61" t="s">
        <v>8398</v>
      </c>
      <c r="M1048" s="475">
        <v>45944</v>
      </c>
      <c r="N1048" s="481">
        <v>45946</v>
      </c>
      <c r="O1048" s="475">
        <v>45947</v>
      </c>
      <c r="P1048" s="475">
        <v>45947</v>
      </c>
      <c r="Q1048" s="475">
        <v>45950</v>
      </c>
      <c r="R1048" s="61">
        <f t="shared" ref="R1048:R1111" si="79">IF(
    OR(ISBLANK(M1048), ISBLANK(N1048)),
    "",
    MAX(1, IF(
        NETWORKDAYS(M1048, N1048) &lt;= 0,
        1,
        NETWORKDAYS(M1048, N1048) - IF(M1048 = N1048, 0, 1)
    ))
)</f>
        <v>2</v>
      </c>
      <c r="S1048" s="61">
        <f t="shared" ref="S1048:S1111" si="80">IF(
    OR(ISBLANK(N1048), ISBLANK(O1048)),
    "",
    MAX(1, IF(
        NETWORKDAYS(N1048, O1048) &lt;= 0,
        1,
        NETWORKDAYS(N1048, O1048) - IF(N1048 = O1048, 0, 1)
    ))
)</f>
        <v>1</v>
      </c>
      <c r="T1048" s="61">
        <f t="shared" ref="T1048:T1111" si="81">IF(
  OR(A1048 = "Nueva_Ecija", A1048 = "Zambales"),
  IF(
    OR(ISBLANK(O1048), ISBLANK(P1048)),
    "",
    MAX(1, IF(
      NETWORKDAYS(O1048, P1048) &lt;= 0,
      1,
      NETWORKDAYS(O1048, P1048) - IF(O1048 = P1048, 0, 1)
    ))
  ),
  IF(
    OR(ISBLANK(N1048), ISBLANK(P1048)),
    "",
    MAX(1, IF(
      NETWORKDAYS(N1048, P1048) &lt;= 0,
      1,
      NETWORKDAYS(N1048, P1048) - IF(N1048 = P1048, 0, 1)
    ))
  )
)</f>
        <v>1</v>
      </c>
      <c r="U1048" s="61">
        <f t="shared" ref="U1048:U1111" si="82">IF(
    OR(ISBLANK(P1048), ISBLANK(Q1048)),
    "",
    MAX(1, IF(
        NETWORKDAYS(P1048, Q1048) &lt;= 0,
        1,
        NETWORKDAYS(P1048, Q1048) - IF(P1048 = Q1048, 0, 1)
    ))
)</f>
        <v>1</v>
      </c>
      <c r="V1048" s="61" t="s">
        <v>150</v>
      </c>
      <c r="W1048" s="61" t="s">
        <v>1078</v>
      </c>
      <c r="X1048" s="61" t="s">
        <v>50</v>
      </c>
      <c r="Y1048" s="471" t="s">
        <v>69</v>
      </c>
      <c r="Z1048" s="471" t="s">
        <v>69</v>
      </c>
      <c r="AA1048" s="61" t="s">
        <v>404</v>
      </c>
      <c r="AB1048" s="61" t="s">
        <v>8399</v>
      </c>
    </row>
    <row r="1049" spans="1:28" s="2" customFormat="1" ht="15">
      <c r="A1049" s="61" t="s">
        <v>2286</v>
      </c>
      <c r="B1049" s="61" t="s">
        <v>1176</v>
      </c>
      <c r="C1049" s="61" t="s">
        <v>4576</v>
      </c>
      <c r="D1049" s="61" t="s">
        <v>7838</v>
      </c>
      <c r="E1049" s="61">
        <v>1233</v>
      </c>
      <c r="F1049" s="61">
        <v>1144</v>
      </c>
      <c r="G1049" s="61">
        <v>2025</v>
      </c>
      <c r="H1049" s="61" t="s">
        <v>3128</v>
      </c>
      <c r="I1049" s="61" t="s">
        <v>267</v>
      </c>
      <c r="J1049" s="61" t="s">
        <v>2289</v>
      </c>
      <c r="K1049" s="61" t="s">
        <v>212</v>
      </c>
      <c r="L1049" s="61" t="s">
        <v>8398</v>
      </c>
      <c r="M1049" s="475">
        <v>45944</v>
      </c>
      <c r="N1049" s="481">
        <v>45946</v>
      </c>
      <c r="O1049" s="475">
        <v>45947</v>
      </c>
      <c r="P1049" s="475">
        <v>45947</v>
      </c>
      <c r="Q1049" s="475">
        <v>45950</v>
      </c>
      <c r="R1049" s="61">
        <f t="shared" si="79"/>
        <v>2</v>
      </c>
      <c r="S1049" s="61">
        <f t="shared" si="80"/>
        <v>1</v>
      </c>
      <c r="T1049" s="61">
        <f t="shared" si="81"/>
        <v>1</v>
      </c>
      <c r="U1049" s="61">
        <f t="shared" si="82"/>
        <v>1</v>
      </c>
      <c r="V1049" s="61" t="s">
        <v>150</v>
      </c>
      <c r="W1049" s="61" t="s">
        <v>4</v>
      </c>
      <c r="X1049" s="61" t="s">
        <v>50</v>
      </c>
      <c r="Y1049" s="471" t="s">
        <v>69</v>
      </c>
      <c r="Z1049" s="471" t="s">
        <v>69</v>
      </c>
      <c r="AA1049" s="61" t="s">
        <v>404</v>
      </c>
      <c r="AB1049" s="61" t="s">
        <v>8399</v>
      </c>
    </row>
    <row r="1050" spans="1:28" s="2" customFormat="1" ht="15">
      <c r="A1050" s="61" t="s">
        <v>2286</v>
      </c>
      <c r="B1050" s="61" t="s">
        <v>1176</v>
      </c>
      <c r="C1050" s="61" t="s">
        <v>4579</v>
      </c>
      <c r="D1050" s="61" t="s">
        <v>7838</v>
      </c>
      <c r="E1050" s="61">
        <v>5779</v>
      </c>
      <c r="F1050" s="61">
        <v>5513</v>
      </c>
      <c r="G1050" s="61">
        <v>2025</v>
      </c>
      <c r="H1050" s="61" t="s">
        <v>3128</v>
      </c>
      <c r="I1050" s="61" t="s">
        <v>267</v>
      </c>
      <c r="J1050" s="61" t="s">
        <v>2289</v>
      </c>
      <c r="K1050" s="61" t="s">
        <v>212</v>
      </c>
      <c r="L1050" s="61" t="s">
        <v>8398</v>
      </c>
      <c r="M1050" s="475">
        <v>45944</v>
      </c>
      <c r="N1050" s="481">
        <v>45946</v>
      </c>
      <c r="O1050" s="475">
        <v>45947</v>
      </c>
      <c r="P1050" s="475">
        <v>45947</v>
      </c>
      <c r="Q1050" s="475">
        <v>45950</v>
      </c>
      <c r="R1050" s="61">
        <f t="shared" si="79"/>
        <v>2</v>
      </c>
      <c r="S1050" s="61">
        <f t="shared" si="80"/>
        <v>1</v>
      </c>
      <c r="T1050" s="61">
        <f t="shared" si="81"/>
        <v>1</v>
      </c>
      <c r="U1050" s="61">
        <f t="shared" si="82"/>
        <v>1</v>
      </c>
      <c r="V1050" s="61" t="s">
        <v>150</v>
      </c>
      <c r="W1050" s="61" t="s">
        <v>4</v>
      </c>
      <c r="X1050" s="61" t="s">
        <v>50</v>
      </c>
      <c r="Y1050" s="471" t="s">
        <v>69</v>
      </c>
      <c r="Z1050" s="471" t="s">
        <v>69</v>
      </c>
      <c r="AA1050" s="61" t="s">
        <v>404</v>
      </c>
      <c r="AB1050" s="61" t="s">
        <v>8399</v>
      </c>
    </row>
    <row r="1051" spans="1:28" s="2" customFormat="1" ht="15">
      <c r="A1051" s="61" t="s">
        <v>2286</v>
      </c>
      <c r="B1051" s="61" t="s">
        <v>1176</v>
      </c>
      <c r="C1051" s="61" t="s">
        <v>4578</v>
      </c>
      <c r="D1051" s="61" t="s">
        <v>7838</v>
      </c>
      <c r="E1051" s="61">
        <v>2917</v>
      </c>
      <c r="F1051" s="61">
        <v>3041</v>
      </c>
      <c r="G1051" s="61">
        <v>2025</v>
      </c>
      <c r="H1051" s="61" t="s">
        <v>3128</v>
      </c>
      <c r="I1051" s="61" t="s">
        <v>267</v>
      </c>
      <c r="J1051" s="61" t="s">
        <v>2289</v>
      </c>
      <c r="K1051" s="61" t="s">
        <v>212</v>
      </c>
      <c r="L1051" s="61" t="s">
        <v>8398</v>
      </c>
      <c r="M1051" s="475">
        <v>45944</v>
      </c>
      <c r="N1051" s="481">
        <v>45946</v>
      </c>
      <c r="O1051" s="475">
        <v>45947</v>
      </c>
      <c r="P1051" s="475">
        <v>45947</v>
      </c>
      <c r="Q1051" s="475">
        <v>45950</v>
      </c>
      <c r="R1051" s="61">
        <f t="shared" si="79"/>
        <v>2</v>
      </c>
      <c r="S1051" s="61">
        <f t="shared" si="80"/>
        <v>1</v>
      </c>
      <c r="T1051" s="61">
        <f t="shared" si="81"/>
        <v>1</v>
      </c>
      <c r="U1051" s="61">
        <f t="shared" si="82"/>
        <v>1</v>
      </c>
      <c r="V1051" s="61" t="s">
        <v>150</v>
      </c>
      <c r="W1051" s="61" t="s">
        <v>1078</v>
      </c>
      <c r="X1051" s="61" t="s">
        <v>50</v>
      </c>
      <c r="Y1051" s="471" t="s">
        <v>69</v>
      </c>
      <c r="Z1051" s="471" t="s">
        <v>69</v>
      </c>
      <c r="AA1051" s="61" t="s">
        <v>404</v>
      </c>
      <c r="AB1051" s="61" t="s">
        <v>8399</v>
      </c>
    </row>
    <row r="1052" spans="1:28" s="2" customFormat="1" ht="15">
      <c r="A1052" s="61" t="s">
        <v>2286</v>
      </c>
      <c r="B1052" s="61" t="s">
        <v>1176</v>
      </c>
      <c r="C1052" s="61" t="s">
        <v>4580</v>
      </c>
      <c r="D1052" s="61" t="s">
        <v>7838</v>
      </c>
      <c r="E1052" s="61">
        <v>1757</v>
      </c>
      <c r="F1052" s="61">
        <v>1836</v>
      </c>
      <c r="G1052" s="61">
        <v>2025</v>
      </c>
      <c r="H1052" s="61" t="s">
        <v>3128</v>
      </c>
      <c r="I1052" s="61" t="s">
        <v>267</v>
      </c>
      <c r="J1052" s="61" t="s">
        <v>2289</v>
      </c>
      <c r="K1052" s="61" t="s">
        <v>212</v>
      </c>
      <c r="L1052" s="61" t="s">
        <v>8398</v>
      </c>
      <c r="M1052" s="475">
        <v>45944</v>
      </c>
      <c r="N1052" s="481">
        <v>45946</v>
      </c>
      <c r="O1052" s="475">
        <v>45947</v>
      </c>
      <c r="P1052" s="475">
        <v>45947</v>
      </c>
      <c r="Q1052" s="475">
        <v>45950</v>
      </c>
      <c r="R1052" s="61">
        <f t="shared" si="79"/>
        <v>2</v>
      </c>
      <c r="S1052" s="61">
        <f t="shared" si="80"/>
        <v>1</v>
      </c>
      <c r="T1052" s="61">
        <f t="shared" si="81"/>
        <v>1</v>
      </c>
      <c r="U1052" s="61">
        <f t="shared" si="82"/>
        <v>1</v>
      </c>
      <c r="V1052" s="61" t="s">
        <v>150</v>
      </c>
      <c r="W1052" s="61" t="s">
        <v>4</v>
      </c>
      <c r="X1052" s="61" t="s">
        <v>50</v>
      </c>
      <c r="Y1052" s="471" t="s">
        <v>69</v>
      </c>
      <c r="Z1052" s="471" t="s">
        <v>69</v>
      </c>
      <c r="AA1052" s="61" t="s">
        <v>404</v>
      </c>
      <c r="AB1052" s="61" t="s">
        <v>8399</v>
      </c>
    </row>
    <row r="1053" spans="1:28" s="2" customFormat="1" ht="15">
      <c r="A1053" s="61" t="s">
        <v>2286</v>
      </c>
      <c r="B1053" s="61" t="s">
        <v>1176</v>
      </c>
      <c r="C1053" s="61" t="s">
        <v>4586</v>
      </c>
      <c r="D1053" s="61" t="s">
        <v>7838</v>
      </c>
      <c r="E1053" s="61">
        <v>11449</v>
      </c>
      <c r="F1053" s="61">
        <v>11917</v>
      </c>
      <c r="G1053" s="61">
        <v>2025</v>
      </c>
      <c r="H1053" s="61" t="s">
        <v>3128</v>
      </c>
      <c r="I1053" s="61" t="s">
        <v>267</v>
      </c>
      <c r="J1053" s="61" t="s">
        <v>2289</v>
      </c>
      <c r="K1053" s="61" t="s">
        <v>212</v>
      </c>
      <c r="L1053" s="61" t="s">
        <v>8398</v>
      </c>
      <c r="M1053" s="475">
        <v>45944</v>
      </c>
      <c r="N1053" s="481">
        <v>45946</v>
      </c>
      <c r="O1053" s="475">
        <v>45947</v>
      </c>
      <c r="P1053" s="475">
        <v>45947</v>
      </c>
      <c r="Q1053" s="475">
        <v>45950</v>
      </c>
      <c r="R1053" s="61">
        <f t="shared" si="79"/>
        <v>2</v>
      </c>
      <c r="S1053" s="61">
        <f t="shared" si="80"/>
        <v>1</v>
      </c>
      <c r="T1053" s="61">
        <f t="shared" si="81"/>
        <v>1</v>
      </c>
      <c r="U1053" s="61">
        <f t="shared" si="82"/>
        <v>1</v>
      </c>
      <c r="V1053" s="61" t="s">
        <v>150</v>
      </c>
      <c r="W1053" s="61" t="s">
        <v>4</v>
      </c>
      <c r="X1053" s="61" t="s">
        <v>50</v>
      </c>
      <c r="Y1053" s="471" t="s">
        <v>69</v>
      </c>
      <c r="Z1053" s="471" t="s">
        <v>69</v>
      </c>
      <c r="AA1053" s="61" t="s">
        <v>404</v>
      </c>
      <c r="AB1053" s="61" t="s">
        <v>8399</v>
      </c>
    </row>
    <row r="1054" spans="1:28" s="2" customFormat="1" ht="15">
      <c r="A1054" s="61" t="s">
        <v>2286</v>
      </c>
      <c r="B1054" s="61" t="s">
        <v>1176</v>
      </c>
      <c r="C1054" s="61" t="s">
        <v>4587</v>
      </c>
      <c r="D1054" s="61" t="s">
        <v>7838</v>
      </c>
      <c r="E1054" s="61">
        <v>1885</v>
      </c>
      <c r="F1054" s="61">
        <v>1905</v>
      </c>
      <c r="G1054" s="61">
        <v>2025</v>
      </c>
      <c r="H1054" s="61" t="s">
        <v>3128</v>
      </c>
      <c r="I1054" s="61" t="s">
        <v>267</v>
      </c>
      <c r="J1054" s="61" t="s">
        <v>2289</v>
      </c>
      <c r="K1054" s="61" t="s">
        <v>212</v>
      </c>
      <c r="L1054" s="61" t="s">
        <v>8398</v>
      </c>
      <c r="M1054" s="475">
        <v>45944</v>
      </c>
      <c r="N1054" s="481">
        <v>45946</v>
      </c>
      <c r="O1054" s="475">
        <v>45947</v>
      </c>
      <c r="P1054" s="475">
        <v>45947</v>
      </c>
      <c r="Q1054" s="475">
        <v>45950</v>
      </c>
      <c r="R1054" s="61">
        <f t="shared" si="79"/>
        <v>2</v>
      </c>
      <c r="S1054" s="61">
        <f t="shared" si="80"/>
        <v>1</v>
      </c>
      <c r="T1054" s="61">
        <f t="shared" si="81"/>
        <v>1</v>
      </c>
      <c r="U1054" s="61">
        <f t="shared" si="82"/>
        <v>1</v>
      </c>
      <c r="V1054" s="61" t="s">
        <v>150</v>
      </c>
      <c r="W1054" s="61" t="s">
        <v>1078</v>
      </c>
      <c r="X1054" s="61" t="s">
        <v>50</v>
      </c>
      <c r="Y1054" s="471" t="s">
        <v>69</v>
      </c>
      <c r="Z1054" s="471" t="s">
        <v>69</v>
      </c>
      <c r="AA1054" s="61" t="s">
        <v>404</v>
      </c>
      <c r="AB1054" s="61" t="s">
        <v>8399</v>
      </c>
    </row>
    <row r="1055" spans="1:28" s="2" customFormat="1" ht="15">
      <c r="A1055" s="61" t="s">
        <v>2286</v>
      </c>
      <c r="B1055" s="61" t="s">
        <v>1176</v>
      </c>
      <c r="C1055" s="61" t="s">
        <v>4588</v>
      </c>
      <c r="D1055" s="61" t="s">
        <v>7838</v>
      </c>
      <c r="E1055" s="61">
        <v>1614</v>
      </c>
      <c r="F1055" s="61">
        <v>1920</v>
      </c>
      <c r="G1055" s="61">
        <v>2025</v>
      </c>
      <c r="H1055" s="61" t="s">
        <v>3128</v>
      </c>
      <c r="I1055" s="61" t="s">
        <v>267</v>
      </c>
      <c r="J1055" s="61" t="s">
        <v>2289</v>
      </c>
      <c r="K1055" s="61" t="s">
        <v>212</v>
      </c>
      <c r="L1055" s="61" t="s">
        <v>8398</v>
      </c>
      <c r="M1055" s="475">
        <v>45944</v>
      </c>
      <c r="N1055" s="481">
        <v>45946</v>
      </c>
      <c r="O1055" s="475">
        <v>45947</v>
      </c>
      <c r="P1055" s="475">
        <v>45947</v>
      </c>
      <c r="Q1055" s="475">
        <v>45950</v>
      </c>
      <c r="R1055" s="61">
        <f t="shared" si="79"/>
        <v>2</v>
      </c>
      <c r="S1055" s="61">
        <f t="shared" si="80"/>
        <v>1</v>
      </c>
      <c r="T1055" s="61">
        <f t="shared" si="81"/>
        <v>1</v>
      </c>
      <c r="U1055" s="61">
        <f t="shared" si="82"/>
        <v>1</v>
      </c>
      <c r="V1055" s="61" t="s">
        <v>150</v>
      </c>
      <c r="W1055" s="61" t="s">
        <v>1078</v>
      </c>
      <c r="X1055" s="61" t="s">
        <v>50</v>
      </c>
      <c r="Y1055" s="471" t="s">
        <v>69</v>
      </c>
      <c r="Z1055" s="471" t="s">
        <v>69</v>
      </c>
      <c r="AA1055" s="61" t="s">
        <v>404</v>
      </c>
      <c r="AB1055" s="61" t="s">
        <v>8399</v>
      </c>
    </row>
    <row r="1056" spans="1:28" s="2" customFormat="1" ht="15">
      <c r="A1056" s="61" t="s">
        <v>2286</v>
      </c>
      <c r="B1056" s="61" t="s">
        <v>1176</v>
      </c>
      <c r="C1056" s="61" t="s">
        <v>4589</v>
      </c>
      <c r="D1056" s="61" t="s">
        <v>7838</v>
      </c>
      <c r="E1056" s="61">
        <v>1816</v>
      </c>
      <c r="F1056" s="61">
        <v>2163</v>
      </c>
      <c r="G1056" s="61">
        <v>2025</v>
      </c>
      <c r="H1056" s="61" t="s">
        <v>3128</v>
      </c>
      <c r="I1056" s="61" t="s">
        <v>267</v>
      </c>
      <c r="J1056" s="61" t="s">
        <v>2289</v>
      </c>
      <c r="K1056" s="61" t="s">
        <v>212</v>
      </c>
      <c r="L1056" s="61" t="s">
        <v>8398</v>
      </c>
      <c r="M1056" s="475">
        <v>45944</v>
      </c>
      <c r="N1056" s="481">
        <v>45946</v>
      </c>
      <c r="O1056" s="475">
        <v>45947</v>
      </c>
      <c r="P1056" s="475">
        <v>45947</v>
      </c>
      <c r="Q1056" s="475">
        <v>45950</v>
      </c>
      <c r="R1056" s="61">
        <f t="shared" si="79"/>
        <v>2</v>
      </c>
      <c r="S1056" s="61">
        <f t="shared" si="80"/>
        <v>1</v>
      </c>
      <c r="T1056" s="61">
        <f t="shared" si="81"/>
        <v>1</v>
      </c>
      <c r="U1056" s="61">
        <f t="shared" si="82"/>
        <v>1</v>
      </c>
      <c r="V1056" s="61" t="s">
        <v>150</v>
      </c>
      <c r="W1056" s="61" t="s">
        <v>1078</v>
      </c>
      <c r="X1056" s="61" t="s">
        <v>50</v>
      </c>
      <c r="Y1056" s="471" t="s">
        <v>69</v>
      </c>
      <c r="Z1056" s="471" t="s">
        <v>69</v>
      </c>
      <c r="AA1056" s="61" t="s">
        <v>404</v>
      </c>
      <c r="AB1056" s="61" t="s">
        <v>8399</v>
      </c>
    </row>
    <row r="1057" spans="1:28" s="2" customFormat="1" ht="15">
      <c r="A1057" s="61" t="s">
        <v>2286</v>
      </c>
      <c r="B1057" s="61" t="s">
        <v>1176</v>
      </c>
      <c r="C1057" s="61" t="s">
        <v>4590</v>
      </c>
      <c r="D1057" s="61" t="s">
        <v>7838</v>
      </c>
      <c r="E1057" s="61">
        <v>172</v>
      </c>
      <c r="F1057" s="61">
        <v>95</v>
      </c>
      <c r="G1057" s="61">
        <v>2025</v>
      </c>
      <c r="H1057" s="61" t="s">
        <v>3128</v>
      </c>
      <c r="I1057" s="61" t="s">
        <v>267</v>
      </c>
      <c r="J1057" s="61" t="s">
        <v>2289</v>
      </c>
      <c r="K1057" s="61" t="s">
        <v>212</v>
      </c>
      <c r="L1057" s="61" t="s">
        <v>8398</v>
      </c>
      <c r="M1057" s="475">
        <v>45944</v>
      </c>
      <c r="N1057" s="481">
        <v>45946</v>
      </c>
      <c r="O1057" s="475">
        <v>45947</v>
      </c>
      <c r="P1057" s="475">
        <v>45947</v>
      </c>
      <c r="Q1057" s="475">
        <v>45950</v>
      </c>
      <c r="R1057" s="61">
        <f t="shared" si="79"/>
        <v>2</v>
      </c>
      <c r="S1057" s="61">
        <f t="shared" si="80"/>
        <v>1</v>
      </c>
      <c r="T1057" s="61">
        <f t="shared" si="81"/>
        <v>1</v>
      </c>
      <c r="U1057" s="61">
        <f t="shared" si="82"/>
        <v>1</v>
      </c>
      <c r="V1057" s="61" t="s">
        <v>150</v>
      </c>
      <c r="W1057" s="61" t="s">
        <v>1078</v>
      </c>
      <c r="X1057" s="61" t="s">
        <v>50</v>
      </c>
      <c r="Y1057" s="471" t="s">
        <v>69</v>
      </c>
      <c r="Z1057" s="471" t="s">
        <v>69</v>
      </c>
      <c r="AA1057" s="61" t="s">
        <v>404</v>
      </c>
      <c r="AB1057" s="61" t="s">
        <v>8399</v>
      </c>
    </row>
    <row r="1058" spans="1:28" s="2" customFormat="1" ht="15">
      <c r="A1058" s="61" t="s">
        <v>2286</v>
      </c>
      <c r="B1058" s="61" t="s">
        <v>1176</v>
      </c>
      <c r="C1058" s="61" t="s">
        <v>4591</v>
      </c>
      <c r="D1058" s="61" t="s">
        <v>7838</v>
      </c>
      <c r="E1058" s="61">
        <v>1451</v>
      </c>
      <c r="F1058" s="61">
        <v>1791</v>
      </c>
      <c r="G1058" s="61">
        <v>2025</v>
      </c>
      <c r="H1058" s="61" t="s">
        <v>3128</v>
      </c>
      <c r="I1058" s="61" t="s">
        <v>267</v>
      </c>
      <c r="J1058" s="61" t="s">
        <v>2289</v>
      </c>
      <c r="K1058" s="61" t="s">
        <v>212</v>
      </c>
      <c r="L1058" s="61" t="s">
        <v>8398</v>
      </c>
      <c r="M1058" s="475">
        <v>45944</v>
      </c>
      <c r="N1058" s="481">
        <v>45946</v>
      </c>
      <c r="O1058" s="475">
        <v>45947</v>
      </c>
      <c r="P1058" s="475">
        <v>45947</v>
      </c>
      <c r="Q1058" s="475">
        <v>45950</v>
      </c>
      <c r="R1058" s="61">
        <f t="shared" si="79"/>
        <v>2</v>
      </c>
      <c r="S1058" s="61">
        <f t="shared" si="80"/>
        <v>1</v>
      </c>
      <c r="T1058" s="61">
        <f t="shared" si="81"/>
        <v>1</v>
      </c>
      <c r="U1058" s="61">
        <f t="shared" si="82"/>
        <v>1</v>
      </c>
      <c r="V1058" s="61" t="s">
        <v>150</v>
      </c>
      <c r="W1058" s="61" t="s">
        <v>4</v>
      </c>
      <c r="X1058" s="61" t="s">
        <v>50</v>
      </c>
      <c r="Y1058" s="471" t="s">
        <v>69</v>
      </c>
      <c r="Z1058" s="471" t="s">
        <v>69</v>
      </c>
      <c r="AA1058" s="61" t="s">
        <v>404</v>
      </c>
      <c r="AB1058" s="61" t="s">
        <v>8399</v>
      </c>
    </row>
    <row r="1059" spans="1:28" s="2" customFormat="1" ht="15">
      <c r="A1059" s="61" t="s">
        <v>2286</v>
      </c>
      <c r="B1059" s="61" t="s">
        <v>1176</v>
      </c>
      <c r="C1059" s="61" t="s">
        <v>4592</v>
      </c>
      <c r="D1059" s="61" t="s">
        <v>7838</v>
      </c>
      <c r="E1059" s="61">
        <v>4480</v>
      </c>
      <c r="F1059" s="61">
        <v>4344</v>
      </c>
      <c r="G1059" s="61">
        <v>2025</v>
      </c>
      <c r="H1059" s="61" t="s">
        <v>3128</v>
      </c>
      <c r="I1059" s="61" t="s">
        <v>267</v>
      </c>
      <c r="J1059" s="61" t="s">
        <v>2289</v>
      </c>
      <c r="K1059" s="61" t="s">
        <v>212</v>
      </c>
      <c r="L1059" s="61" t="s">
        <v>8398</v>
      </c>
      <c r="M1059" s="475">
        <v>45944</v>
      </c>
      <c r="N1059" s="481">
        <v>45946</v>
      </c>
      <c r="O1059" s="475">
        <v>45947</v>
      </c>
      <c r="P1059" s="475">
        <v>45947</v>
      </c>
      <c r="Q1059" s="475">
        <v>45950</v>
      </c>
      <c r="R1059" s="61">
        <f t="shared" si="79"/>
        <v>2</v>
      </c>
      <c r="S1059" s="61">
        <f t="shared" si="80"/>
        <v>1</v>
      </c>
      <c r="T1059" s="61">
        <f t="shared" si="81"/>
        <v>1</v>
      </c>
      <c r="U1059" s="61">
        <f t="shared" si="82"/>
        <v>1</v>
      </c>
      <c r="V1059" s="61" t="s">
        <v>150</v>
      </c>
      <c r="W1059" s="61" t="s">
        <v>1078</v>
      </c>
      <c r="X1059" s="61" t="s">
        <v>50</v>
      </c>
      <c r="Y1059" s="471" t="s">
        <v>69</v>
      </c>
      <c r="Z1059" s="471" t="s">
        <v>69</v>
      </c>
      <c r="AA1059" s="61" t="s">
        <v>404</v>
      </c>
      <c r="AB1059" s="61" t="s">
        <v>8399</v>
      </c>
    </row>
    <row r="1060" spans="1:28" s="2" customFormat="1" ht="15">
      <c r="A1060" s="61" t="s">
        <v>2286</v>
      </c>
      <c r="B1060" s="61" t="s">
        <v>1176</v>
      </c>
      <c r="C1060" s="61" t="s">
        <v>4597</v>
      </c>
      <c r="D1060" s="61" t="s">
        <v>7838</v>
      </c>
      <c r="E1060" s="61">
        <v>1421</v>
      </c>
      <c r="F1060" s="61">
        <v>1281</v>
      </c>
      <c r="G1060" s="61">
        <v>2025</v>
      </c>
      <c r="H1060" s="61" t="s">
        <v>3128</v>
      </c>
      <c r="I1060" s="61" t="s">
        <v>267</v>
      </c>
      <c r="J1060" s="61" t="s">
        <v>2289</v>
      </c>
      <c r="K1060" s="61" t="s">
        <v>212</v>
      </c>
      <c r="L1060" s="61" t="s">
        <v>8398</v>
      </c>
      <c r="M1060" s="475">
        <v>45944</v>
      </c>
      <c r="N1060" s="481">
        <v>45946</v>
      </c>
      <c r="O1060" s="475">
        <v>45947</v>
      </c>
      <c r="P1060" s="475">
        <v>45947</v>
      </c>
      <c r="Q1060" s="475">
        <v>45950</v>
      </c>
      <c r="R1060" s="61">
        <f t="shared" si="79"/>
        <v>2</v>
      </c>
      <c r="S1060" s="61">
        <f t="shared" si="80"/>
        <v>1</v>
      </c>
      <c r="T1060" s="61">
        <f t="shared" si="81"/>
        <v>1</v>
      </c>
      <c r="U1060" s="61">
        <f t="shared" si="82"/>
        <v>1</v>
      </c>
      <c r="V1060" s="61" t="s">
        <v>150</v>
      </c>
      <c r="W1060" s="61" t="s">
        <v>1078</v>
      </c>
      <c r="X1060" s="61" t="s">
        <v>50</v>
      </c>
      <c r="Y1060" s="471" t="s">
        <v>69</v>
      </c>
      <c r="Z1060" s="471" t="s">
        <v>69</v>
      </c>
      <c r="AA1060" s="61" t="s">
        <v>404</v>
      </c>
      <c r="AB1060" s="61" t="s">
        <v>8399</v>
      </c>
    </row>
    <row r="1061" spans="1:28" s="2" customFormat="1" ht="15">
      <c r="A1061" s="61" t="s">
        <v>2286</v>
      </c>
      <c r="B1061" s="61" t="s">
        <v>1176</v>
      </c>
      <c r="C1061" s="61" t="s">
        <v>4599</v>
      </c>
      <c r="D1061" s="61" t="s">
        <v>7838</v>
      </c>
      <c r="E1061" s="61">
        <v>886</v>
      </c>
      <c r="F1061" s="61">
        <v>777</v>
      </c>
      <c r="G1061" s="61">
        <v>2025</v>
      </c>
      <c r="H1061" s="61" t="s">
        <v>3128</v>
      </c>
      <c r="I1061" s="61" t="s">
        <v>267</v>
      </c>
      <c r="J1061" s="61" t="s">
        <v>2289</v>
      </c>
      <c r="K1061" s="61" t="s">
        <v>212</v>
      </c>
      <c r="L1061" s="61" t="s">
        <v>8398</v>
      </c>
      <c r="M1061" s="475">
        <v>45944</v>
      </c>
      <c r="N1061" s="481">
        <v>45946</v>
      </c>
      <c r="O1061" s="475">
        <v>45947</v>
      </c>
      <c r="P1061" s="475">
        <v>45947</v>
      </c>
      <c r="Q1061" s="475">
        <v>45950</v>
      </c>
      <c r="R1061" s="61">
        <f t="shared" si="79"/>
        <v>2</v>
      </c>
      <c r="S1061" s="61">
        <f t="shared" si="80"/>
        <v>1</v>
      </c>
      <c r="T1061" s="61">
        <f t="shared" si="81"/>
        <v>1</v>
      </c>
      <c r="U1061" s="61">
        <f t="shared" si="82"/>
        <v>1</v>
      </c>
      <c r="V1061" s="61" t="s">
        <v>150</v>
      </c>
      <c r="W1061" s="61" t="s">
        <v>4</v>
      </c>
      <c r="X1061" s="61" t="s">
        <v>50</v>
      </c>
      <c r="Y1061" s="471" t="s">
        <v>69</v>
      </c>
      <c r="Z1061" s="471" t="s">
        <v>69</v>
      </c>
      <c r="AA1061" s="61" t="s">
        <v>404</v>
      </c>
      <c r="AB1061" s="61" t="s">
        <v>8399</v>
      </c>
    </row>
    <row r="1062" spans="1:28" s="2" customFormat="1" ht="15">
      <c r="A1062" s="61" t="s">
        <v>2286</v>
      </c>
      <c r="B1062" s="61" t="s">
        <v>1176</v>
      </c>
      <c r="C1062" s="61" t="s">
        <v>4601</v>
      </c>
      <c r="D1062" s="61" t="s">
        <v>7838</v>
      </c>
      <c r="E1062" s="61">
        <v>1548</v>
      </c>
      <c r="F1062" s="61">
        <v>1516</v>
      </c>
      <c r="G1062" s="61">
        <v>2025</v>
      </c>
      <c r="H1062" s="61" t="s">
        <v>3128</v>
      </c>
      <c r="I1062" s="61" t="s">
        <v>267</v>
      </c>
      <c r="J1062" s="61" t="s">
        <v>2289</v>
      </c>
      <c r="K1062" s="61" t="s">
        <v>212</v>
      </c>
      <c r="L1062" s="61" t="s">
        <v>8398</v>
      </c>
      <c r="M1062" s="475">
        <v>45944</v>
      </c>
      <c r="N1062" s="481">
        <v>45946</v>
      </c>
      <c r="O1062" s="475">
        <v>45947</v>
      </c>
      <c r="P1062" s="475">
        <v>45947</v>
      </c>
      <c r="Q1062" s="475">
        <v>45950</v>
      </c>
      <c r="R1062" s="61">
        <f t="shared" si="79"/>
        <v>2</v>
      </c>
      <c r="S1062" s="61">
        <f t="shared" si="80"/>
        <v>1</v>
      </c>
      <c r="T1062" s="61">
        <f t="shared" si="81"/>
        <v>1</v>
      </c>
      <c r="U1062" s="61">
        <f t="shared" si="82"/>
        <v>1</v>
      </c>
      <c r="V1062" s="61" t="s">
        <v>150</v>
      </c>
      <c r="W1062" s="61" t="s">
        <v>1078</v>
      </c>
      <c r="X1062" s="61" t="s">
        <v>50</v>
      </c>
      <c r="Y1062" s="471" t="s">
        <v>69</v>
      </c>
      <c r="Z1062" s="471" t="s">
        <v>69</v>
      </c>
      <c r="AA1062" s="61" t="s">
        <v>404</v>
      </c>
      <c r="AB1062" s="61" t="s">
        <v>8399</v>
      </c>
    </row>
    <row r="1063" spans="1:28" s="2" customFormat="1" ht="15">
      <c r="A1063" s="61" t="s">
        <v>2286</v>
      </c>
      <c r="B1063" s="61" t="s">
        <v>1176</v>
      </c>
      <c r="C1063" s="61" t="s">
        <v>4602</v>
      </c>
      <c r="D1063" s="61" t="s">
        <v>7838</v>
      </c>
      <c r="E1063" s="61">
        <v>4039</v>
      </c>
      <c r="F1063" s="61">
        <v>4756</v>
      </c>
      <c r="G1063" s="61">
        <v>2025</v>
      </c>
      <c r="H1063" s="61" t="s">
        <v>3128</v>
      </c>
      <c r="I1063" s="61" t="s">
        <v>267</v>
      </c>
      <c r="J1063" s="61" t="s">
        <v>2289</v>
      </c>
      <c r="K1063" s="61" t="s">
        <v>212</v>
      </c>
      <c r="L1063" s="61" t="s">
        <v>8398</v>
      </c>
      <c r="M1063" s="475">
        <v>45944</v>
      </c>
      <c r="N1063" s="481">
        <v>45946</v>
      </c>
      <c r="O1063" s="475">
        <v>45947</v>
      </c>
      <c r="P1063" s="475">
        <v>45947</v>
      </c>
      <c r="Q1063" s="475">
        <v>45950</v>
      </c>
      <c r="R1063" s="61">
        <f t="shared" si="79"/>
        <v>2</v>
      </c>
      <c r="S1063" s="61">
        <f t="shared" si="80"/>
        <v>1</v>
      </c>
      <c r="T1063" s="61">
        <f t="shared" si="81"/>
        <v>1</v>
      </c>
      <c r="U1063" s="61">
        <f t="shared" si="82"/>
        <v>1</v>
      </c>
      <c r="V1063" s="61" t="s">
        <v>150</v>
      </c>
      <c r="W1063" s="61" t="s">
        <v>1078</v>
      </c>
      <c r="X1063" s="61" t="s">
        <v>50</v>
      </c>
      <c r="Y1063" s="471" t="s">
        <v>69</v>
      </c>
      <c r="Z1063" s="471" t="s">
        <v>69</v>
      </c>
      <c r="AA1063" s="61" t="s">
        <v>404</v>
      </c>
      <c r="AB1063" s="61" t="s">
        <v>8399</v>
      </c>
    </row>
    <row r="1064" spans="1:28" s="2" customFormat="1" ht="15">
      <c r="A1064" s="61" t="s">
        <v>2286</v>
      </c>
      <c r="B1064" s="61" t="s">
        <v>1176</v>
      </c>
      <c r="C1064" s="61" t="s">
        <v>4603</v>
      </c>
      <c r="D1064" s="61" t="s">
        <v>7838</v>
      </c>
      <c r="E1064" s="61">
        <v>2313</v>
      </c>
      <c r="F1064" s="61">
        <v>2662</v>
      </c>
      <c r="G1064" s="61">
        <v>2025</v>
      </c>
      <c r="H1064" s="61" t="s">
        <v>3128</v>
      </c>
      <c r="I1064" s="61" t="s">
        <v>267</v>
      </c>
      <c r="J1064" s="61" t="s">
        <v>2289</v>
      </c>
      <c r="K1064" s="61" t="s">
        <v>212</v>
      </c>
      <c r="L1064" s="61" t="s">
        <v>8398</v>
      </c>
      <c r="M1064" s="475">
        <v>45944</v>
      </c>
      <c r="N1064" s="481">
        <v>45946</v>
      </c>
      <c r="O1064" s="475">
        <v>45947</v>
      </c>
      <c r="P1064" s="475">
        <v>45947</v>
      </c>
      <c r="Q1064" s="475">
        <v>45950</v>
      </c>
      <c r="R1064" s="61">
        <f t="shared" si="79"/>
        <v>2</v>
      </c>
      <c r="S1064" s="61">
        <f t="shared" si="80"/>
        <v>1</v>
      </c>
      <c r="T1064" s="61">
        <f t="shared" si="81"/>
        <v>1</v>
      </c>
      <c r="U1064" s="61">
        <f t="shared" si="82"/>
        <v>1</v>
      </c>
      <c r="V1064" s="61" t="s">
        <v>150</v>
      </c>
      <c r="W1064" s="61" t="s">
        <v>1078</v>
      </c>
      <c r="X1064" s="61" t="s">
        <v>50</v>
      </c>
      <c r="Y1064" s="471" t="s">
        <v>69</v>
      </c>
      <c r="Z1064" s="471" t="s">
        <v>69</v>
      </c>
      <c r="AA1064" s="61" t="s">
        <v>404</v>
      </c>
      <c r="AB1064" s="61" t="s">
        <v>8399</v>
      </c>
    </row>
    <row r="1065" spans="1:28" s="2" customFormat="1" ht="15">
      <c r="A1065" s="61" t="s">
        <v>2286</v>
      </c>
      <c r="B1065" s="61" t="s">
        <v>1176</v>
      </c>
      <c r="C1065" s="61" t="s">
        <v>4608</v>
      </c>
      <c r="D1065" s="61" t="s">
        <v>7838</v>
      </c>
      <c r="E1065" s="61">
        <v>2081</v>
      </c>
      <c r="F1065" s="61">
        <v>2340</v>
      </c>
      <c r="G1065" s="61">
        <v>2025</v>
      </c>
      <c r="H1065" s="61" t="s">
        <v>3128</v>
      </c>
      <c r="I1065" s="61" t="s">
        <v>267</v>
      </c>
      <c r="J1065" s="61" t="s">
        <v>2289</v>
      </c>
      <c r="K1065" s="61" t="s">
        <v>212</v>
      </c>
      <c r="L1065" s="61" t="s">
        <v>8398</v>
      </c>
      <c r="M1065" s="475">
        <v>45944</v>
      </c>
      <c r="N1065" s="481">
        <v>45946</v>
      </c>
      <c r="O1065" s="475">
        <v>45947</v>
      </c>
      <c r="P1065" s="475">
        <v>45947</v>
      </c>
      <c r="Q1065" s="475">
        <v>45950</v>
      </c>
      <c r="R1065" s="61">
        <f t="shared" si="79"/>
        <v>2</v>
      </c>
      <c r="S1065" s="61">
        <f t="shared" si="80"/>
        <v>1</v>
      </c>
      <c r="T1065" s="61">
        <f t="shared" si="81"/>
        <v>1</v>
      </c>
      <c r="U1065" s="61">
        <f t="shared" si="82"/>
        <v>1</v>
      </c>
      <c r="V1065" s="61" t="s">
        <v>150</v>
      </c>
      <c r="W1065" s="61" t="s">
        <v>1078</v>
      </c>
      <c r="X1065" s="61" t="s">
        <v>50</v>
      </c>
      <c r="Y1065" s="471" t="s">
        <v>69</v>
      </c>
      <c r="Z1065" s="471" t="s">
        <v>69</v>
      </c>
      <c r="AA1065" s="61" t="s">
        <v>404</v>
      </c>
      <c r="AB1065" s="61" t="s">
        <v>8399</v>
      </c>
    </row>
    <row r="1066" spans="1:28" s="2" customFormat="1" ht="15">
      <c r="A1066" s="61" t="s">
        <v>2286</v>
      </c>
      <c r="B1066" s="61" t="s">
        <v>1176</v>
      </c>
      <c r="C1066" s="61" t="s">
        <v>4609</v>
      </c>
      <c r="D1066" s="61" t="s">
        <v>7838</v>
      </c>
      <c r="E1066" s="61">
        <v>3344</v>
      </c>
      <c r="F1066" s="61">
        <v>3585</v>
      </c>
      <c r="G1066" s="61">
        <v>2025</v>
      </c>
      <c r="H1066" s="61" t="s">
        <v>3128</v>
      </c>
      <c r="I1066" s="61" t="s">
        <v>267</v>
      </c>
      <c r="J1066" s="61" t="s">
        <v>2289</v>
      </c>
      <c r="K1066" s="61" t="s">
        <v>212</v>
      </c>
      <c r="L1066" s="61" t="s">
        <v>8398</v>
      </c>
      <c r="M1066" s="475">
        <v>45944</v>
      </c>
      <c r="N1066" s="481">
        <v>45946</v>
      </c>
      <c r="O1066" s="475">
        <v>45947</v>
      </c>
      <c r="P1066" s="475">
        <v>45947</v>
      </c>
      <c r="Q1066" s="475">
        <v>45950</v>
      </c>
      <c r="R1066" s="61">
        <f t="shared" si="79"/>
        <v>2</v>
      </c>
      <c r="S1066" s="61">
        <f t="shared" si="80"/>
        <v>1</v>
      </c>
      <c r="T1066" s="61">
        <f t="shared" si="81"/>
        <v>1</v>
      </c>
      <c r="U1066" s="61">
        <f t="shared" si="82"/>
        <v>1</v>
      </c>
      <c r="V1066" s="61" t="s">
        <v>150</v>
      </c>
      <c r="W1066" s="61" t="s">
        <v>4</v>
      </c>
      <c r="X1066" s="61" t="s">
        <v>50</v>
      </c>
      <c r="Y1066" s="471" t="s">
        <v>69</v>
      </c>
      <c r="Z1066" s="471" t="s">
        <v>69</v>
      </c>
      <c r="AA1066" s="61" t="s">
        <v>404</v>
      </c>
      <c r="AB1066" s="61" t="s">
        <v>8399</v>
      </c>
    </row>
    <row r="1067" spans="1:28" s="2" customFormat="1" ht="15">
      <c r="A1067" s="61" t="s">
        <v>2286</v>
      </c>
      <c r="B1067" s="61" t="s">
        <v>1176</v>
      </c>
      <c r="C1067" s="61" t="s">
        <v>4610</v>
      </c>
      <c r="D1067" s="61" t="s">
        <v>7838</v>
      </c>
      <c r="E1067" s="61">
        <v>5056</v>
      </c>
      <c r="F1067" s="61">
        <v>6210</v>
      </c>
      <c r="G1067" s="61">
        <v>2025</v>
      </c>
      <c r="H1067" s="61" t="s">
        <v>3128</v>
      </c>
      <c r="I1067" s="61" t="s">
        <v>267</v>
      </c>
      <c r="J1067" s="61" t="s">
        <v>2289</v>
      </c>
      <c r="K1067" s="61" t="s">
        <v>212</v>
      </c>
      <c r="L1067" s="61" t="s">
        <v>8398</v>
      </c>
      <c r="M1067" s="475">
        <v>45944</v>
      </c>
      <c r="N1067" s="481">
        <v>45946</v>
      </c>
      <c r="O1067" s="475">
        <v>45947</v>
      </c>
      <c r="P1067" s="475">
        <v>45947</v>
      </c>
      <c r="Q1067" s="475">
        <v>45950</v>
      </c>
      <c r="R1067" s="61">
        <f t="shared" si="79"/>
        <v>2</v>
      </c>
      <c r="S1067" s="61">
        <f t="shared" si="80"/>
        <v>1</v>
      </c>
      <c r="T1067" s="61">
        <f t="shared" si="81"/>
        <v>1</v>
      </c>
      <c r="U1067" s="61">
        <f t="shared" si="82"/>
        <v>1</v>
      </c>
      <c r="V1067" s="61" t="s">
        <v>150</v>
      </c>
      <c r="W1067" s="61" t="s">
        <v>1078</v>
      </c>
      <c r="X1067" s="61" t="s">
        <v>50</v>
      </c>
      <c r="Y1067" s="471" t="s">
        <v>69</v>
      </c>
      <c r="Z1067" s="471" t="s">
        <v>69</v>
      </c>
      <c r="AA1067" s="61" t="s">
        <v>404</v>
      </c>
      <c r="AB1067" s="61" t="s">
        <v>8399</v>
      </c>
    </row>
    <row r="1068" spans="1:28" s="2" customFormat="1" ht="15">
      <c r="A1068" s="61" t="s">
        <v>2286</v>
      </c>
      <c r="B1068" s="61" t="s">
        <v>1176</v>
      </c>
      <c r="C1068" s="61" t="s">
        <v>4611</v>
      </c>
      <c r="D1068" s="61" t="s">
        <v>7838</v>
      </c>
      <c r="E1068" s="61">
        <v>4425</v>
      </c>
      <c r="F1068" s="61">
        <v>4795</v>
      </c>
      <c r="G1068" s="61">
        <v>2025</v>
      </c>
      <c r="H1068" s="61" t="s">
        <v>3128</v>
      </c>
      <c r="I1068" s="61" t="s">
        <v>267</v>
      </c>
      <c r="J1068" s="61" t="s">
        <v>2289</v>
      </c>
      <c r="K1068" s="61" t="s">
        <v>212</v>
      </c>
      <c r="L1068" s="61" t="s">
        <v>8398</v>
      </c>
      <c r="M1068" s="475">
        <v>45944</v>
      </c>
      <c r="N1068" s="481">
        <v>45946</v>
      </c>
      <c r="O1068" s="475">
        <v>45947</v>
      </c>
      <c r="P1068" s="475">
        <v>45947</v>
      </c>
      <c r="Q1068" s="475">
        <v>45950</v>
      </c>
      <c r="R1068" s="61">
        <f t="shared" si="79"/>
        <v>2</v>
      </c>
      <c r="S1068" s="61">
        <f t="shared" si="80"/>
        <v>1</v>
      </c>
      <c r="T1068" s="61">
        <f t="shared" si="81"/>
        <v>1</v>
      </c>
      <c r="U1068" s="61">
        <f t="shared" si="82"/>
        <v>1</v>
      </c>
      <c r="V1068" s="61" t="s">
        <v>150</v>
      </c>
      <c r="W1068" s="61" t="s">
        <v>1078</v>
      </c>
      <c r="X1068" s="61" t="s">
        <v>50</v>
      </c>
      <c r="Y1068" s="471" t="s">
        <v>69</v>
      </c>
      <c r="Z1068" s="471" t="s">
        <v>69</v>
      </c>
      <c r="AA1068" s="61" t="s">
        <v>404</v>
      </c>
      <c r="AB1068" s="61" t="s">
        <v>8399</v>
      </c>
    </row>
    <row r="1069" spans="1:28" s="2" customFormat="1" ht="15">
      <c r="A1069" s="61" t="s">
        <v>2286</v>
      </c>
      <c r="B1069" s="61" t="s">
        <v>1176</v>
      </c>
      <c r="C1069" s="61" t="s">
        <v>4612</v>
      </c>
      <c r="D1069" s="61" t="s">
        <v>7838</v>
      </c>
      <c r="E1069" s="61">
        <v>2366</v>
      </c>
      <c r="F1069" s="61">
        <v>2715</v>
      </c>
      <c r="G1069" s="61">
        <v>2025</v>
      </c>
      <c r="H1069" s="61" t="s">
        <v>3128</v>
      </c>
      <c r="I1069" s="61" t="s">
        <v>267</v>
      </c>
      <c r="J1069" s="61" t="s">
        <v>2289</v>
      </c>
      <c r="K1069" s="61" t="s">
        <v>212</v>
      </c>
      <c r="L1069" s="61" t="s">
        <v>8398</v>
      </c>
      <c r="M1069" s="475">
        <v>45944</v>
      </c>
      <c r="N1069" s="481">
        <v>45946</v>
      </c>
      <c r="O1069" s="475">
        <v>45947</v>
      </c>
      <c r="P1069" s="475">
        <v>45947</v>
      </c>
      <c r="Q1069" s="475">
        <v>45950</v>
      </c>
      <c r="R1069" s="61">
        <f t="shared" si="79"/>
        <v>2</v>
      </c>
      <c r="S1069" s="61">
        <f t="shared" si="80"/>
        <v>1</v>
      </c>
      <c r="T1069" s="61">
        <f t="shared" si="81"/>
        <v>1</v>
      </c>
      <c r="U1069" s="61">
        <f t="shared" si="82"/>
        <v>1</v>
      </c>
      <c r="V1069" s="61" t="s">
        <v>150</v>
      </c>
      <c r="W1069" s="61" t="s">
        <v>4</v>
      </c>
      <c r="X1069" s="61" t="s">
        <v>50</v>
      </c>
      <c r="Y1069" s="471" t="s">
        <v>69</v>
      </c>
      <c r="Z1069" s="471" t="s">
        <v>69</v>
      </c>
      <c r="AA1069" s="61" t="s">
        <v>404</v>
      </c>
      <c r="AB1069" s="61" t="s">
        <v>8399</v>
      </c>
    </row>
    <row r="1070" spans="1:28" s="2" customFormat="1" ht="15">
      <c r="A1070" s="61" t="s">
        <v>2286</v>
      </c>
      <c r="B1070" s="61" t="s">
        <v>1176</v>
      </c>
      <c r="C1070" s="61" t="s">
        <v>4613</v>
      </c>
      <c r="D1070" s="61" t="s">
        <v>7838</v>
      </c>
      <c r="E1070" s="61">
        <v>2457</v>
      </c>
      <c r="F1070" s="61">
        <v>2478</v>
      </c>
      <c r="G1070" s="61">
        <v>2025</v>
      </c>
      <c r="H1070" s="61" t="s">
        <v>3128</v>
      </c>
      <c r="I1070" s="61" t="s">
        <v>267</v>
      </c>
      <c r="J1070" s="61" t="s">
        <v>2289</v>
      </c>
      <c r="K1070" s="61" t="s">
        <v>212</v>
      </c>
      <c r="L1070" s="61" t="s">
        <v>8398</v>
      </c>
      <c r="M1070" s="475">
        <v>45944</v>
      </c>
      <c r="N1070" s="481">
        <v>45946</v>
      </c>
      <c r="O1070" s="475">
        <v>45947</v>
      </c>
      <c r="P1070" s="475">
        <v>45947</v>
      </c>
      <c r="Q1070" s="475">
        <v>45950</v>
      </c>
      <c r="R1070" s="61">
        <f t="shared" si="79"/>
        <v>2</v>
      </c>
      <c r="S1070" s="61">
        <f t="shared" si="80"/>
        <v>1</v>
      </c>
      <c r="T1070" s="61">
        <f t="shared" si="81"/>
        <v>1</v>
      </c>
      <c r="U1070" s="61">
        <f t="shared" si="82"/>
        <v>1</v>
      </c>
      <c r="V1070" s="61" t="s">
        <v>150</v>
      </c>
      <c r="W1070" s="61" t="s">
        <v>4</v>
      </c>
      <c r="X1070" s="61" t="s">
        <v>50</v>
      </c>
      <c r="Y1070" s="471" t="s">
        <v>69</v>
      </c>
      <c r="Z1070" s="471" t="s">
        <v>69</v>
      </c>
      <c r="AA1070" s="61" t="s">
        <v>404</v>
      </c>
      <c r="AB1070" s="61" t="s">
        <v>8399</v>
      </c>
    </row>
    <row r="1071" spans="1:28" s="2" customFormat="1" ht="15">
      <c r="A1071" s="61" t="s">
        <v>2286</v>
      </c>
      <c r="B1071" s="61" t="s">
        <v>1176</v>
      </c>
      <c r="C1071" s="61" t="s">
        <v>4617</v>
      </c>
      <c r="D1071" s="61" t="s">
        <v>7838</v>
      </c>
      <c r="E1071" s="61">
        <v>3378</v>
      </c>
      <c r="F1071" s="61">
        <v>3623</v>
      </c>
      <c r="G1071" s="61">
        <v>2025</v>
      </c>
      <c r="H1071" s="61" t="s">
        <v>3128</v>
      </c>
      <c r="I1071" s="61" t="s">
        <v>267</v>
      </c>
      <c r="J1071" s="61" t="s">
        <v>2289</v>
      </c>
      <c r="K1071" s="61" t="s">
        <v>212</v>
      </c>
      <c r="L1071" s="61" t="s">
        <v>8398</v>
      </c>
      <c r="M1071" s="475">
        <v>45944</v>
      </c>
      <c r="N1071" s="481">
        <v>45946</v>
      </c>
      <c r="O1071" s="475">
        <v>45947</v>
      </c>
      <c r="P1071" s="475">
        <v>45947</v>
      </c>
      <c r="Q1071" s="475">
        <v>45950</v>
      </c>
      <c r="R1071" s="61">
        <f t="shared" si="79"/>
        <v>2</v>
      </c>
      <c r="S1071" s="61">
        <f t="shared" si="80"/>
        <v>1</v>
      </c>
      <c r="T1071" s="61">
        <f t="shared" si="81"/>
        <v>1</v>
      </c>
      <c r="U1071" s="61">
        <f t="shared" si="82"/>
        <v>1</v>
      </c>
      <c r="V1071" s="61" t="s">
        <v>150</v>
      </c>
      <c r="W1071" s="61" t="s">
        <v>4</v>
      </c>
      <c r="X1071" s="61" t="s">
        <v>50</v>
      </c>
      <c r="Y1071" s="471" t="s">
        <v>69</v>
      </c>
      <c r="Z1071" s="471" t="s">
        <v>69</v>
      </c>
      <c r="AA1071" s="61" t="s">
        <v>404</v>
      </c>
      <c r="AB1071" s="61" t="s">
        <v>8399</v>
      </c>
    </row>
    <row r="1072" spans="1:28" s="2" customFormat="1" ht="15">
      <c r="A1072" s="61" t="s">
        <v>2286</v>
      </c>
      <c r="B1072" s="61" t="s">
        <v>1176</v>
      </c>
      <c r="C1072" s="61" t="s">
        <v>4622</v>
      </c>
      <c r="D1072" s="61" t="s">
        <v>7838</v>
      </c>
      <c r="E1072" s="61">
        <v>930</v>
      </c>
      <c r="F1072" s="61">
        <v>969</v>
      </c>
      <c r="G1072" s="61">
        <v>2025</v>
      </c>
      <c r="H1072" s="61" t="s">
        <v>3128</v>
      </c>
      <c r="I1072" s="61" t="s">
        <v>267</v>
      </c>
      <c r="J1072" s="61" t="s">
        <v>2289</v>
      </c>
      <c r="K1072" s="61" t="s">
        <v>212</v>
      </c>
      <c r="L1072" s="61" t="s">
        <v>8398</v>
      </c>
      <c r="M1072" s="475">
        <v>45944</v>
      </c>
      <c r="N1072" s="481">
        <v>45946</v>
      </c>
      <c r="O1072" s="475">
        <v>45947</v>
      </c>
      <c r="P1072" s="475">
        <v>45947</v>
      </c>
      <c r="Q1072" s="475">
        <v>45950</v>
      </c>
      <c r="R1072" s="61">
        <f t="shared" si="79"/>
        <v>2</v>
      </c>
      <c r="S1072" s="61">
        <f t="shared" si="80"/>
        <v>1</v>
      </c>
      <c r="T1072" s="61">
        <f t="shared" si="81"/>
        <v>1</v>
      </c>
      <c r="U1072" s="61">
        <f t="shared" si="82"/>
        <v>1</v>
      </c>
      <c r="V1072" s="61" t="s">
        <v>150</v>
      </c>
      <c r="W1072" s="61" t="s">
        <v>1078</v>
      </c>
      <c r="X1072" s="61" t="s">
        <v>50</v>
      </c>
      <c r="Y1072" s="471" t="s">
        <v>69</v>
      </c>
      <c r="Z1072" s="471" t="s">
        <v>69</v>
      </c>
      <c r="AA1072" s="61" t="s">
        <v>404</v>
      </c>
      <c r="AB1072" s="61" t="s">
        <v>8399</v>
      </c>
    </row>
    <row r="1073" spans="1:28" s="2" customFormat="1" ht="15">
      <c r="A1073" s="61" t="s">
        <v>2286</v>
      </c>
      <c r="B1073" s="61" t="s">
        <v>1176</v>
      </c>
      <c r="C1073" s="61" t="s">
        <v>4623</v>
      </c>
      <c r="D1073" s="61" t="s">
        <v>7838</v>
      </c>
      <c r="E1073" s="61">
        <v>1123</v>
      </c>
      <c r="F1073" s="61">
        <v>1010</v>
      </c>
      <c r="G1073" s="61">
        <v>2025</v>
      </c>
      <c r="H1073" s="61" t="s">
        <v>3128</v>
      </c>
      <c r="I1073" s="61" t="s">
        <v>267</v>
      </c>
      <c r="J1073" s="61" t="s">
        <v>2289</v>
      </c>
      <c r="K1073" s="61" t="s">
        <v>212</v>
      </c>
      <c r="L1073" s="61" t="s">
        <v>8398</v>
      </c>
      <c r="M1073" s="475">
        <v>45944</v>
      </c>
      <c r="N1073" s="481">
        <v>45946</v>
      </c>
      <c r="O1073" s="475">
        <v>45947</v>
      </c>
      <c r="P1073" s="475">
        <v>45947</v>
      </c>
      <c r="Q1073" s="475">
        <v>45950</v>
      </c>
      <c r="R1073" s="61">
        <f t="shared" si="79"/>
        <v>2</v>
      </c>
      <c r="S1073" s="61">
        <f t="shared" si="80"/>
        <v>1</v>
      </c>
      <c r="T1073" s="61">
        <f t="shared" si="81"/>
        <v>1</v>
      </c>
      <c r="U1073" s="61">
        <f t="shared" si="82"/>
        <v>1</v>
      </c>
      <c r="V1073" s="61" t="s">
        <v>150</v>
      </c>
      <c r="W1073" s="61" t="s">
        <v>1078</v>
      </c>
      <c r="X1073" s="61" t="s">
        <v>50</v>
      </c>
      <c r="Y1073" s="471" t="s">
        <v>69</v>
      </c>
      <c r="Z1073" s="471" t="s">
        <v>69</v>
      </c>
      <c r="AA1073" s="61" t="s">
        <v>404</v>
      </c>
      <c r="AB1073" s="61" t="s">
        <v>8399</v>
      </c>
    </row>
    <row r="1074" spans="1:28" s="2" customFormat="1" ht="15">
      <c r="A1074" s="61" t="s">
        <v>2286</v>
      </c>
      <c r="B1074" s="61" t="s">
        <v>1176</v>
      </c>
      <c r="C1074" s="61" t="s">
        <v>4626</v>
      </c>
      <c r="D1074" s="61" t="s">
        <v>7838</v>
      </c>
      <c r="E1074" s="61">
        <v>654</v>
      </c>
      <c r="F1074" s="61">
        <v>387</v>
      </c>
      <c r="G1074" s="61">
        <v>2025</v>
      </c>
      <c r="H1074" s="61" t="s">
        <v>3128</v>
      </c>
      <c r="I1074" s="61" t="s">
        <v>267</v>
      </c>
      <c r="J1074" s="61" t="s">
        <v>2289</v>
      </c>
      <c r="K1074" s="61" t="s">
        <v>212</v>
      </c>
      <c r="L1074" s="61" t="s">
        <v>8398</v>
      </c>
      <c r="M1074" s="475">
        <v>45944</v>
      </c>
      <c r="N1074" s="481">
        <v>45946</v>
      </c>
      <c r="O1074" s="475">
        <v>45947</v>
      </c>
      <c r="P1074" s="475">
        <v>45947</v>
      </c>
      <c r="Q1074" s="475">
        <v>45950</v>
      </c>
      <c r="R1074" s="61">
        <f t="shared" si="79"/>
        <v>2</v>
      </c>
      <c r="S1074" s="61">
        <f t="shared" si="80"/>
        <v>1</v>
      </c>
      <c r="T1074" s="61">
        <f t="shared" si="81"/>
        <v>1</v>
      </c>
      <c r="U1074" s="61">
        <f t="shared" si="82"/>
        <v>1</v>
      </c>
      <c r="V1074" s="61" t="s">
        <v>150</v>
      </c>
      <c r="W1074" s="61" t="s">
        <v>1078</v>
      </c>
      <c r="X1074" s="61" t="s">
        <v>50</v>
      </c>
      <c r="Y1074" s="471" t="s">
        <v>69</v>
      </c>
      <c r="Z1074" s="471" t="s">
        <v>69</v>
      </c>
      <c r="AA1074" s="61" t="s">
        <v>404</v>
      </c>
      <c r="AB1074" s="61" t="s">
        <v>8399</v>
      </c>
    </row>
    <row r="1075" spans="1:28" s="2" customFormat="1" ht="15">
      <c r="A1075" s="61" t="s">
        <v>2286</v>
      </c>
      <c r="B1075" s="61" t="s">
        <v>1176</v>
      </c>
      <c r="C1075" s="61" t="s">
        <v>4627</v>
      </c>
      <c r="D1075" s="61" t="s">
        <v>7838</v>
      </c>
      <c r="E1075" s="61">
        <v>730</v>
      </c>
      <c r="F1075" s="61">
        <v>703</v>
      </c>
      <c r="G1075" s="61">
        <v>2025</v>
      </c>
      <c r="H1075" s="61" t="s">
        <v>3128</v>
      </c>
      <c r="I1075" s="61" t="s">
        <v>267</v>
      </c>
      <c r="J1075" s="61" t="s">
        <v>2289</v>
      </c>
      <c r="K1075" s="61" t="s">
        <v>212</v>
      </c>
      <c r="L1075" s="61" t="s">
        <v>8398</v>
      </c>
      <c r="M1075" s="475">
        <v>45944</v>
      </c>
      <c r="N1075" s="481">
        <v>45946</v>
      </c>
      <c r="O1075" s="475">
        <v>45947</v>
      </c>
      <c r="P1075" s="475">
        <v>45947</v>
      </c>
      <c r="Q1075" s="475">
        <v>45950</v>
      </c>
      <c r="R1075" s="61">
        <f t="shared" si="79"/>
        <v>2</v>
      </c>
      <c r="S1075" s="61">
        <f t="shared" si="80"/>
        <v>1</v>
      </c>
      <c r="T1075" s="61">
        <f t="shared" si="81"/>
        <v>1</v>
      </c>
      <c r="U1075" s="61">
        <f t="shared" si="82"/>
        <v>1</v>
      </c>
      <c r="V1075" s="61" t="s">
        <v>150</v>
      </c>
      <c r="W1075" s="61" t="s">
        <v>1078</v>
      </c>
      <c r="X1075" s="61" t="s">
        <v>50</v>
      </c>
      <c r="Y1075" s="471" t="s">
        <v>69</v>
      </c>
      <c r="Z1075" s="471" t="s">
        <v>69</v>
      </c>
      <c r="AA1075" s="61" t="s">
        <v>404</v>
      </c>
      <c r="AB1075" s="61" t="s">
        <v>8399</v>
      </c>
    </row>
    <row r="1076" spans="1:28" s="2" customFormat="1" ht="15">
      <c r="A1076" s="61" t="s">
        <v>2286</v>
      </c>
      <c r="B1076" s="61" t="s">
        <v>1176</v>
      </c>
      <c r="C1076" s="61" t="s">
        <v>4628</v>
      </c>
      <c r="D1076" s="61" t="s">
        <v>7838</v>
      </c>
      <c r="E1076" s="61">
        <v>4361</v>
      </c>
      <c r="F1076" s="61">
        <v>4360</v>
      </c>
      <c r="G1076" s="61">
        <v>2025</v>
      </c>
      <c r="H1076" s="61" t="s">
        <v>3128</v>
      </c>
      <c r="I1076" s="61" t="s">
        <v>267</v>
      </c>
      <c r="J1076" s="61" t="s">
        <v>2289</v>
      </c>
      <c r="K1076" s="61" t="s">
        <v>212</v>
      </c>
      <c r="L1076" s="61" t="s">
        <v>8398</v>
      </c>
      <c r="M1076" s="475">
        <v>45944</v>
      </c>
      <c r="N1076" s="481">
        <v>45946</v>
      </c>
      <c r="O1076" s="475">
        <v>45947</v>
      </c>
      <c r="P1076" s="475">
        <v>45947</v>
      </c>
      <c r="Q1076" s="475">
        <v>45950</v>
      </c>
      <c r="R1076" s="61">
        <f t="shared" si="79"/>
        <v>2</v>
      </c>
      <c r="S1076" s="61">
        <f t="shared" si="80"/>
        <v>1</v>
      </c>
      <c r="T1076" s="61">
        <f t="shared" si="81"/>
        <v>1</v>
      </c>
      <c r="U1076" s="61">
        <f t="shared" si="82"/>
        <v>1</v>
      </c>
      <c r="V1076" s="61" t="s">
        <v>150</v>
      </c>
      <c r="W1076" s="61" t="s">
        <v>1078</v>
      </c>
      <c r="X1076" s="61" t="s">
        <v>50</v>
      </c>
      <c r="Y1076" s="471" t="s">
        <v>69</v>
      </c>
      <c r="Z1076" s="471" t="s">
        <v>69</v>
      </c>
      <c r="AA1076" s="61" t="s">
        <v>404</v>
      </c>
      <c r="AB1076" s="61" t="s">
        <v>8399</v>
      </c>
    </row>
    <row r="1077" spans="1:28" s="2" customFormat="1" ht="15">
      <c r="A1077" s="61" t="s">
        <v>2286</v>
      </c>
      <c r="B1077" s="61" t="s">
        <v>1176</v>
      </c>
      <c r="C1077" s="61" t="s">
        <v>4629</v>
      </c>
      <c r="D1077" s="61" t="s">
        <v>7838</v>
      </c>
      <c r="E1077" s="61">
        <v>324</v>
      </c>
      <c r="F1077" s="61">
        <v>328</v>
      </c>
      <c r="G1077" s="61">
        <v>2025</v>
      </c>
      <c r="H1077" s="61" t="s">
        <v>3128</v>
      </c>
      <c r="I1077" s="61" t="s">
        <v>267</v>
      </c>
      <c r="J1077" s="61" t="s">
        <v>2289</v>
      </c>
      <c r="K1077" s="61" t="s">
        <v>212</v>
      </c>
      <c r="L1077" s="61" t="s">
        <v>8398</v>
      </c>
      <c r="M1077" s="475">
        <v>45944</v>
      </c>
      <c r="N1077" s="481">
        <v>45946</v>
      </c>
      <c r="O1077" s="475">
        <v>45947</v>
      </c>
      <c r="P1077" s="475">
        <v>45947</v>
      </c>
      <c r="Q1077" s="475">
        <v>45950</v>
      </c>
      <c r="R1077" s="61">
        <f t="shared" si="79"/>
        <v>2</v>
      </c>
      <c r="S1077" s="61">
        <f t="shared" si="80"/>
        <v>1</v>
      </c>
      <c r="T1077" s="61">
        <f t="shared" si="81"/>
        <v>1</v>
      </c>
      <c r="U1077" s="61">
        <f t="shared" si="82"/>
        <v>1</v>
      </c>
      <c r="V1077" s="61" t="s">
        <v>150</v>
      </c>
      <c r="W1077" s="61" t="s">
        <v>1078</v>
      </c>
      <c r="X1077" s="61" t="s">
        <v>50</v>
      </c>
      <c r="Y1077" s="471" t="s">
        <v>69</v>
      </c>
      <c r="Z1077" s="471" t="s">
        <v>69</v>
      </c>
      <c r="AA1077" s="61" t="s">
        <v>404</v>
      </c>
      <c r="AB1077" s="61" t="s">
        <v>8399</v>
      </c>
    </row>
    <row r="1078" spans="1:28" s="2" customFormat="1" ht="15">
      <c r="A1078" s="61" t="s">
        <v>2286</v>
      </c>
      <c r="B1078" s="61" t="s">
        <v>1176</v>
      </c>
      <c r="C1078" s="61" t="s">
        <v>4630</v>
      </c>
      <c r="D1078" s="61" t="s">
        <v>7838</v>
      </c>
      <c r="E1078" s="61">
        <v>4018</v>
      </c>
      <c r="F1078" s="61">
        <v>4298</v>
      </c>
      <c r="G1078" s="61">
        <v>2025</v>
      </c>
      <c r="H1078" s="61" t="s">
        <v>3128</v>
      </c>
      <c r="I1078" s="61" t="s">
        <v>267</v>
      </c>
      <c r="J1078" s="61" t="s">
        <v>2289</v>
      </c>
      <c r="K1078" s="61" t="s">
        <v>212</v>
      </c>
      <c r="L1078" s="61" t="s">
        <v>8398</v>
      </c>
      <c r="M1078" s="475">
        <v>45944</v>
      </c>
      <c r="N1078" s="481">
        <v>45946</v>
      </c>
      <c r="O1078" s="475">
        <v>45947</v>
      </c>
      <c r="P1078" s="475">
        <v>45947</v>
      </c>
      <c r="Q1078" s="475">
        <v>45950</v>
      </c>
      <c r="R1078" s="61">
        <f t="shared" si="79"/>
        <v>2</v>
      </c>
      <c r="S1078" s="61">
        <f t="shared" si="80"/>
        <v>1</v>
      </c>
      <c r="T1078" s="61">
        <f t="shared" si="81"/>
        <v>1</v>
      </c>
      <c r="U1078" s="61">
        <f t="shared" si="82"/>
        <v>1</v>
      </c>
      <c r="V1078" s="61" t="s">
        <v>150</v>
      </c>
      <c r="W1078" s="61" t="s">
        <v>1078</v>
      </c>
      <c r="X1078" s="61" t="s">
        <v>50</v>
      </c>
      <c r="Y1078" s="471" t="s">
        <v>69</v>
      </c>
      <c r="Z1078" s="471" t="s">
        <v>69</v>
      </c>
      <c r="AA1078" s="61" t="s">
        <v>404</v>
      </c>
      <c r="AB1078" s="61" t="s">
        <v>8399</v>
      </c>
    </row>
    <row r="1079" spans="1:28" s="2" customFormat="1" ht="15">
      <c r="A1079" s="61" t="s">
        <v>2286</v>
      </c>
      <c r="B1079" s="61" t="s">
        <v>1176</v>
      </c>
      <c r="C1079" s="61" t="s">
        <v>4631</v>
      </c>
      <c r="D1079" s="61" t="s">
        <v>7838</v>
      </c>
      <c r="E1079" s="61">
        <v>2221</v>
      </c>
      <c r="F1079" s="61">
        <v>2648</v>
      </c>
      <c r="G1079" s="61">
        <v>2025</v>
      </c>
      <c r="H1079" s="61" t="s">
        <v>3128</v>
      </c>
      <c r="I1079" s="61" t="s">
        <v>267</v>
      </c>
      <c r="J1079" s="61" t="s">
        <v>2289</v>
      </c>
      <c r="K1079" s="61" t="s">
        <v>212</v>
      </c>
      <c r="L1079" s="61" t="s">
        <v>8398</v>
      </c>
      <c r="M1079" s="475">
        <v>45944</v>
      </c>
      <c r="N1079" s="481">
        <v>45946</v>
      </c>
      <c r="O1079" s="475">
        <v>45947</v>
      </c>
      <c r="P1079" s="475">
        <v>45947</v>
      </c>
      <c r="Q1079" s="475">
        <v>45950</v>
      </c>
      <c r="R1079" s="61">
        <f t="shared" si="79"/>
        <v>2</v>
      </c>
      <c r="S1079" s="61">
        <f t="shared" si="80"/>
        <v>1</v>
      </c>
      <c r="T1079" s="61">
        <f t="shared" si="81"/>
        <v>1</v>
      </c>
      <c r="U1079" s="61">
        <f t="shared" si="82"/>
        <v>1</v>
      </c>
      <c r="V1079" s="61" t="s">
        <v>150</v>
      </c>
      <c r="W1079" s="61" t="s">
        <v>1078</v>
      </c>
      <c r="X1079" s="61" t="s">
        <v>50</v>
      </c>
      <c r="Y1079" s="471" t="s">
        <v>69</v>
      </c>
      <c r="Z1079" s="471" t="s">
        <v>69</v>
      </c>
      <c r="AA1079" s="61" t="s">
        <v>404</v>
      </c>
      <c r="AB1079" s="61" t="s">
        <v>8399</v>
      </c>
    </row>
    <row r="1080" spans="1:28" s="2" customFormat="1" ht="15">
      <c r="A1080" s="61" t="s">
        <v>2286</v>
      </c>
      <c r="B1080" s="61" t="s">
        <v>1176</v>
      </c>
      <c r="C1080" s="61" t="s">
        <v>4632</v>
      </c>
      <c r="D1080" s="61" t="s">
        <v>7838</v>
      </c>
      <c r="E1080" s="61">
        <v>3870</v>
      </c>
      <c r="F1080" s="61">
        <v>4203</v>
      </c>
      <c r="G1080" s="61">
        <v>2025</v>
      </c>
      <c r="H1080" s="61" t="s">
        <v>3128</v>
      </c>
      <c r="I1080" s="61" t="s">
        <v>267</v>
      </c>
      <c r="J1080" s="61" t="s">
        <v>2289</v>
      </c>
      <c r="K1080" s="61" t="s">
        <v>212</v>
      </c>
      <c r="L1080" s="61" t="s">
        <v>8398</v>
      </c>
      <c r="M1080" s="475">
        <v>45944</v>
      </c>
      <c r="N1080" s="481">
        <v>45946</v>
      </c>
      <c r="O1080" s="475">
        <v>45947</v>
      </c>
      <c r="P1080" s="475">
        <v>45947</v>
      </c>
      <c r="Q1080" s="475">
        <v>45950</v>
      </c>
      <c r="R1080" s="61">
        <f t="shared" si="79"/>
        <v>2</v>
      </c>
      <c r="S1080" s="61">
        <f t="shared" si="80"/>
        <v>1</v>
      </c>
      <c r="T1080" s="61">
        <f t="shared" si="81"/>
        <v>1</v>
      </c>
      <c r="U1080" s="61">
        <f t="shared" si="82"/>
        <v>1</v>
      </c>
      <c r="V1080" s="61" t="s">
        <v>150</v>
      </c>
      <c r="W1080" s="61" t="s">
        <v>1078</v>
      </c>
      <c r="X1080" s="61" t="s">
        <v>50</v>
      </c>
      <c r="Y1080" s="471" t="s">
        <v>69</v>
      </c>
      <c r="Z1080" s="471" t="s">
        <v>69</v>
      </c>
      <c r="AA1080" s="61" t="s">
        <v>404</v>
      </c>
      <c r="AB1080" s="61" t="s">
        <v>8399</v>
      </c>
    </row>
    <row r="1081" spans="1:28" s="2" customFormat="1" ht="15">
      <c r="A1081" s="61" t="s">
        <v>2286</v>
      </c>
      <c r="B1081" s="61" t="s">
        <v>1176</v>
      </c>
      <c r="C1081" s="61" t="s">
        <v>4634</v>
      </c>
      <c r="D1081" s="61" t="s">
        <v>7838</v>
      </c>
      <c r="E1081" s="61">
        <v>2815</v>
      </c>
      <c r="F1081" s="61">
        <v>3290</v>
      </c>
      <c r="G1081" s="61">
        <v>2025</v>
      </c>
      <c r="H1081" s="61" t="s">
        <v>3128</v>
      </c>
      <c r="I1081" s="61" t="s">
        <v>267</v>
      </c>
      <c r="J1081" s="61" t="s">
        <v>2289</v>
      </c>
      <c r="K1081" s="61" t="s">
        <v>212</v>
      </c>
      <c r="L1081" s="61" t="s">
        <v>8398</v>
      </c>
      <c r="M1081" s="475">
        <v>45944</v>
      </c>
      <c r="N1081" s="481">
        <v>45946</v>
      </c>
      <c r="O1081" s="475">
        <v>45947</v>
      </c>
      <c r="P1081" s="475">
        <v>45947</v>
      </c>
      <c r="Q1081" s="475">
        <v>45950</v>
      </c>
      <c r="R1081" s="61">
        <f t="shared" si="79"/>
        <v>2</v>
      </c>
      <c r="S1081" s="61">
        <f t="shared" si="80"/>
        <v>1</v>
      </c>
      <c r="T1081" s="61">
        <f t="shared" si="81"/>
        <v>1</v>
      </c>
      <c r="U1081" s="61">
        <f t="shared" si="82"/>
        <v>1</v>
      </c>
      <c r="V1081" s="61" t="s">
        <v>150</v>
      </c>
      <c r="W1081" s="61" t="s">
        <v>1078</v>
      </c>
      <c r="X1081" s="61" t="s">
        <v>50</v>
      </c>
      <c r="Y1081" s="471" t="s">
        <v>69</v>
      </c>
      <c r="Z1081" s="471" t="s">
        <v>69</v>
      </c>
      <c r="AA1081" s="61" t="s">
        <v>404</v>
      </c>
      <c r="AB1081" s="61" t="s">
        <v>8399</v>
      </c>
    </row>
    <row r="1082" spans="1:28" s="474" customFormat="1">
      <c r="A1082" s="61" t="s">
        <v>2286</v>
      </c>
      <c r="B1082" s="61" t="s">
        <v>1176</v>
      </c>
      <c r="C1082" s="61" t="s">
        <v>4635</v>
      </c>
      <c r="D1082" s="61" t="s">
        <v>7838</v>
      </c>
      <c r="E1082" s="61">
        <v>2349</v>
      </c>
      <c r="F1082" s="61">
        <v>2417</v>
      </c>
      <c r="G1082" s="61">
        <v>2025</v>
      </c>
      <c r="H1082" s="61" t="s">
        <v>3128</v>
      </c>
      <c r="I1082" s="61" t="s">
        <v>267</v>
      </c>
      <c r="J1082" s="61" t="s">
        <v>2289</v>
      </c>
      <c r="K1082" s="61" t="s">
        <v>212</v>
      </c>
      <c r="L1082" s="61" t="s">
        <v>8398</v>
      </c>
      <c r="M1082" s="475">
        <v>45944</v>
      </c>
      <c r="N1082" s="481">
        <v>45946</v>
      </c>
      <c r="O1082" s="475">
        <v>45947</v>
      </c>
      <c r="P1082" s="475">
        <v>45947</v>
      </c>
      <c r="Q1082" s="475">
        <v>45950</v>
      </c>
      <c r="R1082" s="61">
        <f t="shared" si="79"/>
        <v>2</v>
      </c>
      <c r="S1082" s="61">
        <f t="shared" si="80"/>
        <v>1</v>
      </c>
      <c r="T1082" s="61">
        <f t="shared" si="81"/>
        <v>1</v>
      </c>
      <c r="U1082" s="61">
        <f t="shared" si="82"/>
        <v>1</v>
      </c>
      <c r="V1082" s="61" t="s">
        <v>150</v>
      </c>
      <c r="W1082" s="61" t="s">
        <v>4</v>
      </c>
      <c r="X1082" s="61" t="s">
        <v>50</v>
      </c>
      <c r="Y1082" s="471" t="s">
        <v>69</v>
      </c>
      <c r="Z1082" s="471" t="s">
        <v>69</v>
      </c>
      <c r="AA1082" s="61" t="s">
        <v>404</v>
      </c>
      <c r="AB1082" s="61" t="s">
        <v>8399</v>
      </c>
    </row>
    <row r="1083" spans="1:28" s="2" customFormat="1" ht="15">
      <c r="A1083" s="61" t="s">
        <v>2286</v>
      </c>
      <c r="B1083" s="61" t="s">
        <v>1176</v>
      </c>
      <c r="C1083" s="61" t="s">
        <v>4636</v>
      </c>
      <c r="D1083" s="61" t="s">
        <v>7838</v>
      </c>
      <c r="E1083" s="61">
        <v>2605</v>
      </c>
      <c r="F1083" s="61">
        <v>2913</v>
      </c>
      <c r="G1083" s="61">
        <v>2025</v>
      </c>
      <c r="H1083" s="61" t="s">
        <v>3128</v>
      </c>
      <c r="I1083" s="61" t="s">
        <v>267</v>
      </c>
      <c r="J1083" s="61" t="s">
        <v>2289</v>
      </c>
      <c r="K1083" s="61" t="s">
        <v>212</v>
      </c>
      <c r="L1083" s="61" t="s">
        <v>8398</v>
      </c>
      <c r="M1083" s="475">
        <v>45944</v>
      </c>
      <c r="N1083" s="481">
        <v>45946</v>
      </c>
      <c r="O1083" s="475">
        <v>45947</v>
      </c>
      <c r="P1083" s="475">
        <v>45947</v>
      </c>
      <c r="Q1083" s="475">
        <v>45950</v>
      </c>
      <c r="R1083" s="61">
        <f t="shared" si="79"/>
        <v>2</v>
      </c>
      <c r="S1083" s="61">
        <f t="shared" si="80"/>
        <v>1</v>
      </c>
      <c r="T1083" s="61">
        <f t="shared" si="81"/>
        <v>1</v>
      </c>
      <c r="U1083" s="61">
        <f t="shared" si="82"/>
        <v>1</v>
      </c>
      <c r="V1083" s="61" t="s">
        <v>150</v>
      </c>
      <c r="W1083" s="61" t="s">
        <v>4</v>
      </c>
      <c r="X1083" s="61" t="s">
        <v>50</v>
      </c>
      <c r="Y1083" s="471" t="s">
        <v>69</v>
      </c>
      <c r="Z1083" s="471" t="s">
        <v>69</v>
      </c>
      <c r="AA1083" s="61" t="s">
        <v>404</v>
      </c>
      <c r="AB1083" s="61" t="s">
        <v>8399</v>
      </c>
    </row>
    <row r="1084" spans="1:28" s="2" customFormat="1" ht="15">
      <c r="A1084" s="61" t="s">
        <v>2286</v>
      </c>
      <c r="B1084" s="61" t="s">
        <v>1176</v>
      </c>
      <c r="C1084" s="61" t="s">
        <v>4639</v>
      </c>
      <c r="D1084" s="61" t="s">
        <v>7838</v>
      </c>
      <c r="E1084" s="61">
        <v>1949</v>
      </c>
      <c r="F1084" s="61">
        <v>1648</v>
      </c>
      <c r="G1084" s="61">
        <v>2025</v>
      </c>
      <c r="H1084" s="61" t="s">
        <v>3128</v>
      </c>
      <c r="I1084" s="61" t="s">
        <v>267</v>
      </c>
      <c r="J1084" s="61" t="s">
        <v>2289</v>
      </c>
      <c r="K1084" s="61" t="s">
        <v>212</v>
      </c>
      <c r="L1084" s="61" t="s">
        <v>8398</v>
      </c>
      <c r="M1084" s="475">
        <v>45944</v>
      </c>
      <c r="N1084" s="481">
        <v>45946</v>
      </c>
      <c r="O1084" s="475">
        <v>45947</v>
      </c>
      <c r="P1084" s="475">
        <v>45947</v>
      </c>
      <c r="Q1084" s="475">
        <v>45950</v>
      </c>
      <c r="R1084" s="61">
        <f t="shared" si="79"/>
        <v>2</v>
      </c>
      <c r="S1084" s="61">
        <f t="shared" si="80"/>
        <v>1</v>
      </c>
      <c r="T1084" s="61">
        <f t="shared" si="81"/>
        <v>1</v>
      </c>
      <c r="U1084" s="61">
        <f t="shared" si="82"/>
        <v>1</v>
      </c>
      <c r="V1084" s="61" t="s">
        <v>150</v>
      </c>
      <c r="W1084" s="61" t="s">
        <v>1078</v>
      </c>
      <c r="X1084" s="61" t="s">
        <v>50</v>
      </c>
      <c r="Y1084" s="471" t="s">
        <v>69</v>
      </c>
      <c r="Z1084" s="471" t="s">
        <v>69</v>
      </c>
      <c r="AA1084" s="61" t="s">
        <v>404</v>
      </c>
      <c r="AB1084" s="61" t="s">
        <v>8399</v>
      </c>
    </row>
    <row r="1085" spans="1:28" s="2" customFormat="1" ht="15">
      <c r="A1085" s="61" t="s">
        <v>2286</v>
      </c>
      <c r="B1085" s="61" t="s">
        <v>1176</v>
      </c>
      <c r="C1085" s="61" t="s">
        <v>4641</v>
      </c>
      <c r="D1085" s="61" t="s">
        <v>7838</v>
      </c>
      <c r="E1085" s="61">
        <v>1713</v>
      </c>
      <c r="F1085" s="61">
        <v>1806</v>
      </c>
      <c r="G1085" s="61">
        <v>2025</v>
      </c>
      <c r="H1085" s="61" t="s">
        <v>3128</v>
      </c>
      <c r="I1085" s="61" t="s">
        <v>267</v>
      </c>
      <c r="J1085" s="61" t="s">
        <v>2289</v>
      </c>
      <c r="K1085" s="61" t="s">
        <v>212</v>
      </c>
      <c r="L1085" s="61" t="s">
        <v>8398</v>
      </c>
      <c r="M1085" s="475">
        <v>45944</v>
      </c>
      <c r="N1085" s="481">
        <v>45946</v>
      </c>
      <c r="O1085" s="475">
        <v>45947</v>
      </c>
      <c r="P1085" s="475">
        <v>45947</v>
      </c>
      <c r="Q1085" s="475">
        <v>45950</v>
      </c>
      <c r="R1085" s="61">
        <f t="shared" si="79"/>
        <v>2</v>
      </c>
      <c r="S1085" s="61">
        <f t="shared" si="80"/>
        <v>1</v>
      </c>
      <c r="T1085" s="61">
        <f t="shared" si="81"/>
        <v>1</v>
      </c>
      <c r="U1085" s="61">
        <f t="shared" si="82"/>
        <v>1</v>
      </c>
      <c r="V1085" s="61" t="s">
        <v>150</v>
      </c>
      <c r="W1085" s="61" t="s">
        <v>1078</v>
      </c>
      <c r="X1085" s="61" t="s">
        <v>50</v>
      </c>
      <c r="Y1085" s="471" t="s">
        <v>69</v>
      </c>
      <c r="Z1085" s="471" t="s">
        <v>69</v>
      </c>
      <c r="AA1085" s="61" t="s">
        <v>404</v>
      </c>
      <c r="AB1085" s="61" t="s">
        <v>8399</v>
      </c>
    </row>
    <row r="1086" spans="1:28" s="2" customFormat="1" ht="15">
      <c r="A1086" s="61" t="s">
        <v>2286</v>
      </c>
      <c r="B1086" s="61" t="s">
        <v>1176</v>
      </c>
      <c r="C1086" s="61" t="s">
        <v>1180</v>
      </c>
      <c r="D1086" s="61" t="s">
        <v>7838</v>
      </c>
      <c r="E1086" s="61">
        <v>4996</v>
      </c>
      <c r="F1086" s="61">
        <v>6277</v>
      </c>
      <c r="G1086" s="61">
        <v>2025</v>
      </c>
      <c r="H1086" s="61" t="s">
        <v>3128</v>
      </c>
      <c r="I1086" s="61" t="s">
        <v>267</v>
      </c>
      <c r="J1086" s="61" t="s">
        <v>2289</v>
      </c>
      <c r="K1086" s="61" t="s">
        <v>212</v>
      </c>
      <c r="L1086" s="61" t="s">
        <v>8398</v>
      </c>
      <c r="M1086" s="475">
        <v>45944</v>
      </c>
      <c r="N1086" s="481">
        <v>45946</v>
      </c>
      <c r="O1086" s="475">
        <v>45947</v>
      </c>
      <c r="P1086" s="475">
        <v>45947</v>
      </c>
      <c r="Q1086" s="475">
        <v>45950</v>
      </c>
      <c r="R1086" s="61">
        <f t="shared" si="79"/>
        <v>2</v>
      </c>
      <c r="S1086" s="61">
        <f t="shared" si="80"/>
        <v>1</v>
      </c>
      <c r="T1086" s="61">
        <f t="shared" si="81"/>
        <v>1</v>
      </c>
      <c r="U1086" s="61">
        <f t="shared" si="82"/>
        <v>1</v>
      </c>
      <c r="V1086" s="61" t="s">
        <v>150</v>
      </c>
      <c r="W1086" s="61" t="s">
        <v>1078</v>
      </c>
      <c r="X1086" s="61" t="s">
        <v>50</v>
      </c>
      <c r="Y1086" s="471" t="s">
        <v>69</v>
      </c>
      <c r="Z1086" s="471" t="s">
        <v>69</v>
      </c>
      <c r="AA1086" s="61" t="s">
        <v>404</v>
      </c>
      <c r="AB1086" s="61" t="s">
        <v>8399</v>
      </c>
    </row>
    <row r="1087" spans="1:28" s="2" customFormat="1" ht="15">
      <c r="A1087" s="61" t="s">
        <v>2286</v>
      </c>
      <c r="B1087" s="61" t="s">
        <v>1176</v>
      </c>
      <c r="C1087" s="61" t="s">
        <v>4643</v>
      </c>
      <c r="D1087" s="61" t="s">
        <v>7838</v>
      </c>
      <c r="E1087" s="61">
        <v>4442</v>
      </c>
      <c r="F1087" s="61">
        <v>4684</v>
      </c>
      <c r="G1087" s="61">
        <v>2025</v>
      </c>
      <c r="H1087" s="61" t="s">
        <v>3128</v>
      </c>
      <c r="I1087" s="61" t="s">
        <v>267</v>
      </c>
      <c r="J1087" s="61" t="s">
        <v>2289</v>
      </c>
      <c r="K1087" s="61" t="s">
        <v>212</v>
      </c>
      <c r="L1087" s="61" t="s">
        <v>8398</v>
      </c>
      <c r="M1087" s="475">
        <v>45944</v>
      </c>
      <c r="N1087" s="481">
        <v>45946</v>
      </c>
      <c r="O1087" s="475">
        <v>45947</v>
      </c>
      <c r="P1087" s="475">
        <v>45947</v>
      </c>
      <c r="Q1087" s="475">
        <v>45950</v>
      </c>
      <c r="R1087" s="61">
        <f t="shared" si="79"/>
        <v>2</v>
      </c>
      <c r="S1087" s="61">
        <f t="shared" si="80"/>
        <v>1</v>
      </c>
      <c r="T1087" s="61">
        <f t="shared" si="81"/>
        <v>1</v>
      </c>
      <c r="U1087" s="61">
        <f t="shared" si="82"/>
        <v>1</v>
      </c>
      <c r="V1087" s="61" t="s">
        <v>150</v>
      </c>
      <c r="W1087" s="61" t="s">
        <v>1078</v>
      </c>
      <c r="X1087" s="61" t="s">
        <v>50</v>
      </c>
      <c r="Y1087" s="471" t="s">
        <v>69</v>
      </c>
      <c r="Z1087" s="471" t="s">
        <v>69</v>
      </c>
      <c r="AA1087" s="61" t="s">
        <v>404</v>
      </c>
      <c r="AB1087" s="61" t="s">
        <v>8399</v>
      </c>
    </row>
    <row r="1088" spans="1:28" s="2" customFormat="1" ht="15">
      <c r="A1088" s="61" t="s">
        <v>2286</v>
      </c>
      <c r="B1088" s="61" t="s">
        <v>1176</v>
      </c>
      <c r="C1088" s="61" t="s">
        <v>4644</v>
      </c>
      <c r="D1088" s="61" t="s">
        <v>7838</v>
      </c>
      <c r="E1088" s="61">
        <v>6793</v>
      </c>
      <c r="F1088" s="61">
        <v>7785</v>
      </c>
      <c r="G1088" s="61">
        <v>2025</v>
      </c>
      <c r="H1088" s="61" t="s">
        <v>3128</v>
      </c>
      <c r="I1088" s="61" t="s">
        <v>267</v>
      </c>
      <c r="J1088" s="61" t="s">
        <v>2289</v>
      </c>
      <c r="K1088" s="61" t="s">
        <v>212</v>
      </c>
      <c r="L1088" s="61" t="s">
        <v>8398</v>
      </c>
      <c r="M1088" s="475">
        <v>45944</v>
      </c>
      <c r="N1088" s="481">
        <v>45946</v>
      </c>
      <c r="O1088" s="475">
        <v>45947</v>
      </c>
      <c r="P1088" s="475">
        <v>45947</v>
      </c>
      <c r="Q1088" s="475">
        <v>45950</v>
      </c>
      <c r="R1088" s="61">
        <f t="shared" si="79"/>
        <v>2</v>
      </c>
      <c r="S1088" s="61">
        <f t="shared" si="80"/>
        <v>1</v>
      </c>
      <c r="T1088" s="61">
        <f t="shared" si="81"/>
        <v>1</v>
      </c>
      <c r="U1088" s="61">
        <f t="shared" si="82"/>
        <v>1</v>
      </c>
      <c r="V1088" s="61" t="s">
        <v>150</v>
      </c>
      <c r="W1088" s="61" t="s">
        <v>1078</v>
      </c>
      <c r="X1088" s="61" t="s">
        <v>50</v>
      </c>
      <c r="Y1088" s="471" t="s">
        <v>69</v>
      </c>
      <c r="Z1088" s="471" t="s">
        <v>69</v>
      </c>
      <c r="AA1088" s="61" t="s">
        <v>404</v>
      </c>
      <c r="AB1088" s="61" t="s">
        <v>8399</v>
      </c>
    </row>
    <row r="1089" spans="1:28" s="2" customFormat="1" ht="15">
      <c r="A1089" s="61" t="s">
        <v>2286</v>
      </c>
      <c r="B1089" s="61" t="s">
        <v>1176</v>
      </c>
      <c r="C1089" s="61" t="s">
        <v>4645</v>
      </c>
      <c r="D1089" s="61" t="s">
        <v>7838</v>
      </c>
      <c r="E1089" s="61">
        <v>6687</v>
      </c>
      <c r="F1089" s="61">
        <v>8772</v>
      </c>
      <c r="G1089" s="61">
        <v>2025</v>
      </c>
      <c r="H1089" s="61" t="s">
        <v>3128</v>
      </c>
      <c r="I1089" s="61" t="s">
        <v>267</v>
      </c>
      <c r="J1089" s="61" t="s">
        <v>2289</v>
      </c>
      <c r="K1089" s="61" t="s">
        <v>212</v>
      </c>
      <c r="L1089" s="61" t="s">
        <v>8398</v>
      </c>
      <c r="M1089" s="475">
        <v>45944</v>
      </c>
      <c r="N1089" s="481">
        <v>45946</v>
      </c>
      <c r="O1089" s="475">
        <v>45947</v>
      </c>
      <c r="P1089" s="475">
        <v>45947</v>
      </c>
      <c r="Q1089" s="475">
        <v>45950</v>
      </c>
      <c r="R1089" s="61">
        <f t="shared" si="79"/>
        <v>2</v>
      </c>
      <c r="S1089" s="61">
        <f t="shared" si="80"/>
        <v>1</v>
      </c>
      <c r="T1089" s="61">
        <f t="shared" si="81"/>
        <v>1</v>
      </c>
      <c r="U1089" s="61">
        <f t="shared" si="82"/>
        <v>1</v>
      </c>
      <c r="V1089" s="61" t="s">
        <v>150</v>
      </c>
      <c r="W1089" s="61" t="s">
        <v>1078</v>
      </c>
      <c r="X1089" s="61" t="s">
        <v>50</v>
      </c>
      <c r="Y1089" s="471" t="s">
        <v>69</v>
      </c>
      <c r="Z1089" s="471" t="s">
        <v>69</v>
      </c>
      <c r="AA1089" s="61" t="s">
        <v>404</v>
      </c>
      <c r="AB1089" s="61" t="s">
        <v>8399</v>
      </c>
    </row>
    <row r="1090" spans="1:28" s="2" customFormat="1" ht="15">
      <c r="A1090" s="61" t="s">
        <v>2286</v>
      </c>
      <c r="B1090" s="61" t="s">
        <v>1176</v>
      </c>
      <c r="C1090" s="61" t="s">
        <v>4646</v>
      </c>
      <c r="D1090" s="61" t="s">
        <v>7838</v>
      </c>
      <c r="E1090" s="61">
        <v>1128</v>
      </c>
      <c r="F1090" s="61">
        <v>944</v>
      </c>
      <c r="G1090" s="61">
        <v>2025</v>
      </c>
      <c r="H1090" s="61" t="s">
        <v>3128</v>
      </c>
      <c r="I1090" s="61" t="s">
        <v>267</v>
      </c>
      <c r="J1090" s="61" t="s">
        <v>2289</v>
      </c>
      <c r="K1090" s="61" t="s">
        <v>212</v>
      </c>
      <c r="L1090" s="61" t="s">
        <v>8398</v>
      </c>
      <c r="M1090" s="475">
        <v>45944</v>
      </c>
      <c r="N1090" s="481">
        <v>45946</v>
      </c>
      <c r="O1090" s="475">
        <v>45947</v>
      </c>
      <c r="P1090" s="475">
        <v>45947</v>
      </c>
      <c r="Q1090" s="475">
        <v>45950</v>
      </c>
      <c r="R1090" s="61">
        <f t="shared" si="79"/>
        <v>2</v>
      </c>
      <c r="S1090" s="61">
        <f t="shared" si="80"/>
        <v>1</v>
      </c>
      <c r="T1090" s="61">
        <f t="shared" si="81"/>
        <v>1</v>
      </c>
      <c r="U1090" s="61">
        <f t="shared" si="82"/>
        <v>1</v>
      </c>
      <c r="V1090" s="61" t="s">
        <v>150</v>
      </c>
      <c r="W1090" s="61" t="s">
        <v>1078</v>
      </c>
      <c r="X1090" s="61" t="s">
        <v>50</v>
      </c>
      <c r="Y1090" s="471" t="s">
        <v>69</v>
      </c>
      <c r="Z1090" s="471" t="s">
        <v>69</v>
      </c>
      <c r="AA1090" s="61" t="s">
        <v>404</v>
      </c>
      <c r="AB1090" s="61" t="s">
        <v>8399</v>
      </c>
    </row>
    <row r="1091" spans="1:28" s="2" customFormat="1" ht="15">
      <c r="A1091" s="61" t="s">
        <v>2286</v>
      </c>
      <c r="B1091" s="61" t="s">
        <v>1176</v>
      </c>
      <c r="C1091" s="61" t="s">
        <v>4647</v>
      </c>
      <c r="D1091" s="61" t="s">
        <v>7838</v>
      </c>
      <c r="E1091" s="61">
        <v>1356</v>
      </c>
      <c r="F1091" s="61">
        <v>1314</v>
      </c>
      <c r="G1091" s="61">
        <v>2025</v>
      </c>
      <c r="H1091" s="61" t="s">
        <v>3128</v>
      </c>
      <c r="I1091" s="61" t="s">
        <v>267</v>
      </c>
      <c r="J1091" s="61" t="s">
        <v>2289</v>
      </c>
      <c r="K1091" s="61" t="s">
        <v>212</v>
      </c>
      <c r="L1091" s="61" t="s">
        <v>8398</v>
      </c>
      <c r="M1091" s="475">
        <v>45944</v>
      </c>
      <c r="N1091" s="481">
        <v>45946</v>
      </c>
      <c r="O1091" s="475">
        <v>45947</v>
      </c>
      <c r="P1091" s="475">
        <v>45947</v>
      </c>
      <c r="Q1091" s="475">
        <v>45950</v>
      </c>
      <c r="R1091" s="61">
        <f t="shared" si="79"/>
        <v>2</v>
      </c>
      <c r="S1091" s="61">
        <f t="shared" si="80"/>
        <v>1</v>
      </c>
      <c r="T1091" s="61">
        <f t="shared" si="81"/>
        <v>1</v>
      </c>
      <c r="U1091" s="61">
        <f t="shared" si="82"/>
        <v>1</v>
      </c>
      <c r="V1091" s="61" t="s">
        <v>150</v>
      </c>
      <c r="W1091" s="61" t="s">
        <v>1078</v>
      </c>
      <c r="X1091" s="61" t="s">
        <v>50</v>
      </c>
      <c r="Y1091" s="471" t="s">
        <v>69</v>
      </c>
      <c r="Z1091" s="471" t="s">
        <v>69</v>
      </c>
      <c r="AA1091" s="61" t="s">
        <v>404</v>
      </c>
      <c r="AB1091" s="61" t="s">
        <v>8399</v>
      </c>
    </row>
    <row r="1092" spans="1:28" s="2" customFormat="1" ht="15">
      <c r="A1092" s="61" t="s">
        <v>2286</v>
      </c>
      <c r="B1092" s="61" t="s">
        <v>1176</v>
      </c>
      <c r="C1092" s="61" t="s">
        <v>4648</v>
      </c>
      <c r="D1092" s="61" t="s">
        <v>7838</v>
      </c>
      <c r="E1092" s="61">
        <v>1331</v>
      </c>
      <c r="F1092" s="61">
        <v>1298</v>
      </c>
      <c r="G1092" s="61">
        <v>2025</v>
      </c>
      <c r="H1092" s="61" t="s">
        <v>3128</v>
      </c>
      <c r="I1092" s="61" t="s">
        <v>267</v>
      </c>
      <c r="J1092" s="61" t="s">
        <v>2289</v>
      </c>
      <c r="K1092" s="61" t="s">
        <v>212</v>
      </c>
      <c r="L1092" s="61" t="s">
        <v>8398</v>
      </c>
      <c r="M1092" s="475">
        <v>45944</v>
      </c>
      <c r="N1092" s="481">
        <v>45946</v>
      </c>
      <c r="O1092" s="475">
        <v>45947</v>
      </c>
      <c r="P1092" s="475">
        <v>45947</v>
      </c>
      <c r="Q1092" s="475">
        <v>45950</v>
      </c>
      <c r="R1092" s="61">
        <f t="shared" si="79"/>
        <v>2</v>
      </c>
      <c r="S1092" s="61">
        <f t="shared" si="80"/>
        <v>1</v>
      </c>
      <c r="T1092" s="61">
        <f t="shared" si="81"/>
        <v>1</v>
      </c>
      <c r="U1092" s="61">
        <f t="shared" si="82"/>
        <v>1</v>
      </c>
      <c r="V1092" s="61" t="s">
        <v>150</v>
      </c>
      <c r="W1092" s="61" t="s">
        <v>1078</v>
      </c>
      <c r="X1092" s="61" t="s">
        <v>50</v>
      </c>
      <c r="Y1092" s="471" t="s">
        <v>69</v>
      </c>
      <c r="Z1092" s="471" t="s">
        <v>69</v>
      </c>
      <c r="AA1092" s="61" t="s">
        <v>404</v>
      </c>
      <c r="AB1092" s="61" t="s">
        <v>8399</v>
      </c>
    </row>
    <row r="1093" spans="1:28" s="2" customFormat="1" ht="15">
      <c r="A1093" s="61" t="s">
        <v>2286</v>
      </c>
      <c r="B1093" s="61" t="s">
        <v>1176</v>
      </c>
      <c r="C1093" s="61" t="s">
        <v>4649</v>
      </c>
      <c r="D1093" s="61" t="s">
        <v>7838</v>
      </c>
      <c r="E1093" s="61">
        <v>2015</v>
      </c>
      <c r="F1093" s="61">
        <v>1566</v>
      </c>
      <c r="G1093" s="61">
        <v>2025</v>
      </c>
      <c r="H1093" s="61" t="s">
        <v>3128</v>
      </c>
      <c r="I1093" s="61" t="s">
        <v>267</v>
      </c>
      <c r="J1093" s="61" t="s">
        <v>2289</v>
      </c>
      <c r="K1093" s="61" t="s">
        <v>212</v>
      </c>
      <c r="L1093" s="61" t="s">
        <v>8398</v>
      </c>
      <c r="M1093" s="475">
        <v>45944</v>
      </c>
      <c r="N1093" s="481">
        <v>45946</v>
      </c>
      <c r="O1093" s="475">
        <v>45947</v>
      </c>
      <c r="P1093" s="475">
        <v>45947</v>
      </c>
      <c r="Q1093" s="475">
        <v>45950</v>
      </c>
      <c r="R1093" s="61">
        <f t="shared" si="79"/>
        <v>2</v>
      </c>
      <c r="S1093" s="61">
        <f t="shared" si="80"/>
        <v>1</v>
      </c>
      <c r="T1093" s="61">
        <f t="shared" si="81"/>
        <v>1</v>
      </c>
      <c r="U1093" s="61">
        <f t="shared" si="82"/>
        <v>1</v>
      </c>
      <c r="V1093" s="61" t="s">
        <v>150</v>
      </c>
      <c r="W1093" s="61" t="s">
        <v>1078</v>
      </c>
      <c r="X1093" s="61" t="s">
        <v>50</v>
      </c>
      <c r="Y1093" s="471" t="s">
        <v>69</v>
      </c>
      <c r="Z1093" s="471" t="s">
        <v>69</v>
      </c>
      <c r="AA1093" s="61" t="s">
        <v>404</v>
      </c>
      <c r="AB1093" s="61" t="s">
        <v>8399</v>
      </c>
    </row>
    <row r="1094" spans="1:28" s="2" customFormat="1" ht="15">
      <c r="A1094" s="61" t="s">
        <v>2286</v>
      </c>
      <c r="B1094" s="61" t="s">
        <v>1176</v>
      </c>
      <c r="C1094" s="61" t="s">
        <v>4650</v>
      </c>
      <c r="D1094" s="61" t="s">
        <v>7838</v>
      </c>
      <c r="E1094" s="61">
        <v>2050</v>
      </c>
      <c r="F1094" s="61">
        <v>1531</v>
      </c>
      <c r="G1094" s="61">
        <v>2025</v>
      </c>
      <c r="H1094" s="61" t="s">
        <v>3128</v>
      </c>
      <c r="I1094" s="61" t="s">
        <v>267</v>
      </c>
      <c r="J1094" s="61" t="s">
        <v>2289</v>
      </c>
      <c r="K1094" s="61" t="s">
        <v>212</v>
      </c>
      <c r="L1094" s="61" t="s">
        <v>8398</v>
      </c>
      <c r="M1094" s="475">
        <v>45944</v>
      </c>
      <c r="N1094" s="481">
        <v>45946</v>
      </c>
      <c r="O1094" s="475">
        <v>45947</v>
      </c>
      <c r="P1094" s="475">
        <v>45947</v>
      </c>
      <c r="Q1094" s="475">
        <v>45950</v>
      </c>
      <c r="R1094" s="61">
        <f t="shared" si="79"/>
        <v>2</v>
      </c>
      <c r="S1094" s="61">
        <f t="shared" si="80"/>
        <v>1</v>
      </c>
      <c r="T1094" s="61">
        <f t="shared" si="81"/>
        <v>1</v>
      </c>
      <c r="U1094" s="61">
        <f t="shared" si="82"/>
        <v>1</v>
      </c>
      <c r="V1094" s="61" t="s">
        <v>150</v>
      </c>
      <c r="W1094" s="61" t="s">
        <v>1078</v>
      </c>
      <c r="X1094" s="61" t="s">
        <v>50</v>
      </c>
      <c r="Y1094" s="471" t="s">
        <v>69</v>
      </c>
      <c r="Z1094" s="471" t="s">
        <v>69</v>
      </c>
      <c r="AA1094" s="61" t="s">
        <v>404</v>
      </c>
      <c r="AB1094" s="61" t="s">
        <v>8399</v>
      </c>
    </row>
    <row r="1095" spans="1:28" s="2" customFormat="1" ht="15">
      <c r="A1095" s="61" t="s">
        <v>2286</v>
      </c>
      <c r="B1095" s="61" t="s">
        <v>1176</v>
      </c>
      <c r="C1095" s="61" t="s">
        <v>3727</v>
      </c>
      <c r="D1095" s="61" t="s">
        <v>7838</v>
      </c>
      <c r="E1095" s="61">
        <v>1807</v>
      </c>
      <c r="F1095" s="61">
        <v>1946</v>
      </c>
      <c r="G1095" s="61">
        <v>2025</v>
      </c>
      <c r="H1095" s="61" t="s">
        <v>3128</v>
      </c>
      <c r="I1095" s="61" t="s">
        <v>267</v>
      </c>
      <c r="J1095" s="61" t="s">
        <v>2289</v>
      </c>
      <c r="K1095" s="61" t="s">
        <v>212</v>
      </c>
      <c r="L1095" s="61" t="s">
        <v>8398</v>
      </c>
      <c r="M1095" s="475">
        <v>45944</v>
      </c>
      <c r="N1095" s="481">
        <v>45946</v>
      </c>
      <c r="O1095" s="475">
        <v>45947</v>
      </c>
      <c r="P1095" s="475">
        <v>45947</v>
      </c>
      <c r="Q1095" s="475">
        <v>45950</v>
      </c>
      <c r="R1095" s="61">
        <f t="shared" si="79"/>
        <v>2</v>
      </c>
      <c r="S1095" s="61">
        <f t="shared" si="80"/>
        <v>1</v>
      </c>
      <c r="T1095" s="61">
        <f t="shared" si="81"/>
        <v>1</v>
      </c>
      <c r="U1095" s="61">
        <f t="shared" si="82"/>
        <v>1</v>
      </c>
      <c r="V1095" s="61" t="s">
        <v>150</v>
      </c>
      <c r="W1095" s="61" t="s">
        <v>1078</v>
      </c>
      <c r="X1095" s="61" t="s">
        <v>50</v>
      </c>
      <c r="Y1095" s="471" t="s">
        <v>69</v>
      </c>
      <c r="Z1095" s="471" t="s">
        <v>69</v>
      </c>
      <c r="AA1095" s="61" t="s">
        <v>404</v>
      </c>
      <c r="AB1095" s="61" t="s">
        <v>8399</v>
      </c>
    </row>
    <row r="1096" spans="1:28" s="2" customFormat="1" ht="15">
      <c r="A1096" s="61" t="s">
        <v>2286</v>
      </c>
      <c r="B1096" s="61" t="s">
        <v>1176</v>
      </c>
      <c r="C1096" s="61" t="s">
        <v>4653</v>
      </c>
      <c r="D1096" s="61" t="s">
        <v>7838</v>
      </c>
      <c r="E1096" s="61">
        <v>4698</v>
      </c>
      <c r="F1096" s="61">
        <v>4869</v>
      </c>
      <c r="G1096" s="61">
        <v>2025</v>
      </c>
      <c r="H1096" s="61" t="s">
        <v>3128</v>
      </c>
      <c r="I1096" s="61" t="s">
        <v>267</v>
      </c>
      <c r="J1096" s="61" t="s">
        <v>2289</v>
      </c>
      <c r="K1096" s="61" t="s">
        <v>212</v>
      </c>
      <c r="L1096" s="61" t="s">
        <v>8398</v>
      </c>
      <c r="M1096" s="475">
        <v>45944</v>
      </c>
      <c r="N1096" s="481">
        <v>45946</v>
      </c>
      <c r="O1096" s="475">
        <v>45947</v>
      </c>
      <c r="P1096" s="475">
        <v>45947</v>
      </c>
      <c r="Q1096" s="475">
        <v>45950</v>
      </c>
      <c r="R1096" s="61">
        <f t="shared" si="79"/>
        <v>2</v>
      </c>
      <c r="S1096" s="61">
        <f t="shared" si="80"/>
        <v>1</v>
      </c>
      <c r="T1096" s="61">
        <f t="shared" si="81"/>
        <v>1</v>
      </c>
      <c r="U1096" s="61">
        <f t="shared" si="82"/>
        <v>1</v>
      </c>
      <c r="V1096" s="61" t="s">
        <v>150</v>
      </c>
      <c r="W1096" s="61" t="s">
        <v>1078</v>
      </c>
      <c r="X1096" s="61" t="s">
        <v>50</v>
      </c>
      <c r="Y1096" s="471" t="s">
        <v>69</v>
      </c>
      <c r="Z1096" s="471" t="s">
        <v>69</v>
      </c>
      <c r="AA1096" s="61" t="s">
        <v>404</v>
      </c>
      <c r="AB1096" s="61" t="s">
        <v>8399</v>
      </c>
    </row>
    <row r="1097" spans="1:28" s="2" customFormat="1" ht="15">
      <c r="A1097" s="61" t="s">
        <v>2286</v>
      </c>
      <c r="B1097" s="61" t="s">
        <v>1176</v>
      </c>
      <c r="C1097" s="61" t="s">
        <v>4654</v>
      </c>
      <c r="D1097" s="61" t="s">
        <v>7838</v>
      </c>
      <c r="E1097" s="61">
        <v>4487</v>
      </c>
      <c r="F1097" s="61">
        <v>5776</v>
      </c>
      <c r="G1097" s="61">
        <v>2025</v>
      </c>
      <c r="H1097" s="61" t="s">
        <v>3128</v>
      </c>
      <c r="I1097" s="61" t="s">
        <v>267</v>
      </c>
      <c r="J1097" s="61" t="s">
        <v>2289</v>
      </c>
      <c r="K1097" s="61" t="s">
        <v>212</v>
      </c>
      <c r="L1097" s="61" t="s">
        <v>8398</v>
      </c>
      <c r="M1097" s="475">
        <v>45944</v>
      </c>
      <c r="N1097" s="481">
        <v>45946</v>
      </c>
      <c r="O1097" s="475">
        <v>45947</v>
      </c>
      <c r="P1097" s="475">
        <v>45947</v>
      </c>
      <c r="Q1097" s="475">
        <v>45950</v>
      </c>
      <c r="R1097" s="61">
        <f t="shared" si="79"/>
        <v>2</v>
      </c>
      <c r="S1097" s="61">
        <f t="shared" si="80"/>
        <v>1</v>
      </c>
      <c r="T1097" s="61">
        <f t="shared" si="81"/>
        <v>1</v>
      </c>
      <c r="U1097" s="61">
        <f t="shared" si="82"/>
        <v>1</v>
      </c>
      <c r="V1097" s="61" t="s">
        <v>150</v>
      </c>
      <c r="W1097" s="61" t="s">
        <v>1078</v>
      </c>
      <c r="X1097" s="61" t="s">
        <v>50</v>
      </c>
      <c r="Y1097" s="471" t="s">
        <v>69</v>
      </c>
      <c r="Z1097" s="471" t="s">
        <v>69</v>
      </c>
      <c r="AA1097" s="61" t="s">
        <v>404</v>
      </c>
      <c r="AB1097" s="61" t="s">
        <v>8399</v>
      </c>
    </row>
    <row r="1098" spans="1:28" s="2" customFormat="1" ht="15">
      <c r="A1098" s="61" t="s">
        <v>2286</v>
      </c>
      <c r="B1098" s="61" t="s">
        <v>1176</v>
      </c>
      <c r="C1098" s="61" t="s">
        <v>4655</v>
      </c>
      <c r="D1098" s="61" t="s">
        <v>7838</v>
      </c>
      <c r="E1098" s="61">
        <v>1726</v>
      </c>
      <c r="F1098" s="61">
        <v>2498</v>
      </c>
      <c r="G1098" s="61">
        <v>2025</v>
      </c>
      <c r="H1098" s="61" t="s">
        <v>3128</v>
      </c>
      <c r="I1098" s="61" t="s">
        <v>267</v>
      </c>
      <c r="J1098" s="61" t="s">
        <v>2289</v>
      </c>
      <c r="K1098" s="61" t="s">
        <v>212</v>
      </c>
      <c r="L1098" s="61" t="s">
        <v>8398</v>
      </c>
      <c r="M1098" s="475">
        <v>45944</v>
      </c>
      <c r="N1098" s="481">
        <v>45946</v>
      </c>
      <c r="O1098" s="475">
        <v>45947</v>
      </c>
      <c r="P1098" s="475">
        <v>45947</v>
      </c>
      <c r="Q1098" s="475">
        <v>45950</v>
      </c>
      <c r="R1098" s="61">
        <f t="shared" si="79"/>
        <v>2</v>
      </c>
      <c r="S1098" s="61">
        <f t="shared" si="80"/>
        <v>1</v>
      </c>
      <c r="T1098" s="61">
        <f t="shared" si="81"/>
        <v>1</v>
      </c>
      <c r="U1098" s="61">
        <f t="shared" si="82"/>
        <v>1</v>
      </c>
      <c r="V1098" s="61" t="s">
        <v>150</v>
      </c>
      <c r="W1098" s="61" t="s">
        <v>4</v>
      </c>
      <c r="X1098" s="61" t="s">
        <v>50</v>
      </c>
      <c r="Y1098" s="471" t="s">
        <v>69</v>
      </c>
      <c r="Z1098" s="471" t="s">
        <v>69</v>
      </c>
      <c r="AA1098" s="61" t="s">
        <v>404</v>
      </c>
      <c r="AB1098" s="61" t="s">
        <v>8399</v>
      </c>
    </row>
    <row r="1099" spans="1:28" s="2" customFormat="1" ht="15">
      <c r="A1099" s="61" t="s">
        <v>2286</v>
      </c>
      <c r="B1099" s="61" t="s">
        <v>1176</v>
      </c>
      <c r="C1099" s="61" t="s">
        <v>2162</v>
      </c>
      <c r="D1099" s="61" t="s">
        <v>7838</v>
      </c>
      <c r="E1099" s="61">
        <v>4856</v>
      </c>
      <c r="F1099" s="61">
        <v>6503</v>
      </c>
      <c r="G1099" s="61">
        <v>2025</v>
      </c>
      <c r="H1099" s="61" t="s">
        <v>3128</v>
      </c>
      <c r="I1099" s="61" t="s">
        <v>267</v>
      </c>
      <c r="J1099" s="61" t="s">
        <v>2289</v>
      </c>
      <c r="K1099" s="61" t="s">
        <v>212</v>
      </c>
      <c r="L1099" s="61" t="s">
        <v>8398</v>
      </c>
      <c r="M1099" s="475">
        <v>45944</v>
      </c>
      <c r="N1099" s="481">
        <v>45946</v>
      </c>
      <c r="O1099" s="475">
        <v>45947</v>
      </c>
      <c r="P1099" s="475">
        <v>45947</v>
      </c>
      <c r="Q1099" s="475">
        <v>45950</v>
      </c>
      <c r="R1099" s="61">
        <f t="shared" si="79"/>
        <v>2</v>
      </c>
      <c r="S1099" s="61">
        <f t="shared" si="80"/>
        <v>1</v>
      </c>
      <c r="T1099" s="61">
        <f t="shared" si="81"/>
        <v>1</v>
      </c>
      <c r="U1099" s="61">
        <f t="shared" si="82"/>
        <v>1</v>
      </c>
      <c r="V1099" s="61" t="s">
        <v>150</v>
      </c>
      <c r="W1099" s="61" t="s">
        <v>4</v>
      </c>
      <c r="X1099" s="61" t="s">
        <v>50</v>
      </c>
      <c r="Y1099" s="471" t="s">
        <v>69</v>
      </c>
      <c r="Z1099" s="471" t="s">
        <v>69</v>
      </c>
      <c r="AA1099" s="61" t="s">
        <v>404</v>
      </c>
      <c r="AB1099" s="61" t="s">
        <v>8399</v>
      </c>
    </row>
    <row r="1100" spans="1:28" s="2" customFormat="1" ht="15">
      <c r="A1100" s="61" t="s">
        <v>2286</v>
      </c>
      <c r="B1100" s="61" t="s">
        <v>1176</v>
      </c>
      <c r="C1100" s="61" t="s">
        <v>4658</v>
      </c>
      <c r="D1100" s="61" t="s">
        <v>7838</v>
      </c>
      <c r="E1100" s="61">
        <v>1376</v>
      </c>
      <c r="F1100" s="61">
        <v>1096</v>
      </c>
      <c r="G1100" s="61">
        <v>2025</v>
      </c>
      <c r="H1100" s="61" t="s">
        <v>3128</v>
      </c>
      <c r="I1100" s="61" t="s">
        <v>267</v>
      </c>
      <c r="J1100" s="61" t="s">
        <v>2289</v>
      </c>
      <c r="K1100" s="61" t="s">
        <v>212</v>
      </c>
      <c r="L1100" s="61" t="s">
        <v>8398</v>
      </c>
      <c r="M1100" s="475">
        <v>45944</v>
      </c>
      <c r="N1100" s="481">
        <v>45946</v>
      </c>
      <c r="O1100" s="475">
        <v>45947</v>
      </c>
      <c r="P1100" s="475">
        <v>45947</v>
      </c>
      <c r="Q1100" s="475">
        <v>45950</v>
      </c>
      <c r="R1100" s="61">
        <f t="shared" si="79"/>
        <v>2</v>
      </c>
      <c r="S1100" s="61">
        <f t="shared" si="80"/>
        <v>1</v>
      </c>
      <c r="T1100" s="61">
        <f t="shared" si="81"/>
        <v>1</v>
      </c>
      <c r="U1100" s="61">
        <f t="shared" si="82"/>
        <v>1</v>
      </c>
      <c r="V1100" s="61" t="s">
        <v>150</v>
      </c>
      <c r="W1100" s="61" t="s">
        <v>4</v>
      </c>
      <c r="X1100" s="61" t="s">
        <v>50</v>
      </c>
      <c r="Y1100" s="471" t="s">
        <v>69</v>
      </c>
      <c r="Z1100" s="471" t="s">
        <v>69</v>
      </c>
      <c r="AA1100" s="61" t="s">
        <v>404</v>
      </c>
      <c r="AB1100" s="61" t="s">
        <v>8399</v>
      </c>
    </row>
    <row r="1101" spans="1:28" s="2" customFormat="1" ht="15">
      <c r="A1101" s="61" t="s">
        <v>2286</v>
      </c>
      <c r="B1101" s="61" t="s">
        <v>1176</v>
      </c>
      <c r="C1101" s="61" t="s">
        <v>4659</v>
      </c>
      <c r="D1101" s="61" t="s">
        <v>7838</v>
      </c>
      <c r="E1101" s="61">
        <v>1319</v>
      </c>
      <c r="F1101" s="61">
        <v>1315</v>
      </c>
      <c r="G1101" s="61">
        <v>2025</v>
      </c>
      <c r="H1101" s="61" t="s">
        <v>3128</v>
      </c>
      <c r="I1101" s="61" t="s">
        <v>267</v>
      </c>
      <c r="J1101" s="61" t="s">
        <v>2289</v>
      </c>
      <c r="K1101" s="61" t="s">
        <v>212</v>
      </c>
      <c r="L1101" s="61" t="s">
        <v>8398</v>
      </c>
      <c r="M1101" s="475">
        <v>45944</v>
      </c>
      <c r="N1101" s="481">
        <v>45946</v>
      </c>
      <c r="O1101" s="475">
        <v>45947</v>
      </c>
      <c r="P1101" s="475">
        <v>45947</v>
      </c>
      <c r="Q1101" s="475">
        <v>45950</v>
      </c>
      <c r="R1101" s="61">
        <f t="shared" si="79"/>
        <v>2</v>
      </c>
      <c r="S1101" s="61">
        <f t="shared" si="80"/>
        <v>1</v>
      </c>
      <c r="T1101" s="61">
        <f t="shared" si="81"/>
        <v>1</v>
      </c>
      <c r="U1101" s="61">
        <f t="shared" si="82"/>
        <v>1</v>
      </c>
      <c r="V1101" s="61" t="s">
        <v>150</v>
      </c>
      <c r="W1101" s="61" t="s">
        <v>1078</v>
      </c>
      <c r="X1101" s="61" t="s">
        <v>50</v>
      </c>
      <c r="Y1101" s="471" t="s">
        <v>69</v>
      </c>
      <c r="Z1101" s="471" t="s">
        <v>69</v>
      </c>
      <c r="AA1101" s="61" t="s">
        <v>404</v>
      </c>
      <c r="AB1101" s="61" t="s">
        <v>8399</v>
      </c>
    </row>
    <row r="1102" spans="1:28" s="2" customFormat="1" ht="15">
      <c r="A1102" s="61" t="s">
        <v>2286</v>
      </c>
      <c r="B1102" s="61" t="s">
        <v>1176</v>
      </c>
      <c r="C1102" s="61" t="s">
        <v>4593</v>
      </c>
      <c r="D1102" s="61" t="s">
        <v>7838</v>
      </c>
      <c r="E1102" s="61">
        <v>4145</v>
      </c>
      <c r="F1102" s="61">
        <v>5354</v>
      </c>
      <c r="G1102" s="61">
        <v>2025</v>
      </c>
      <c r="H1102" s="61" t="s">
        <v>3127</v>
      </c>
      <c r="I1102" s="61" t="s">
        <v>267</v>
      </c>
      <c r="J1102" s="61" t="s">
        <v>28</v>
      </c>
      <c r="K1102" s="61" t="s">
        <v>212</v>
      </c>
      <c r="L1102" s="61" t="s">
        <v>8426</v>
      </c>
      <c r="M1102" s="475">
        <v>45881</v>
      </c>
      <c r="N1102" s="475">
        <v>45887</v>
      </c>
      <c r="O1102" s="475">
        <v>45887</v>
      </c>
      <c r="P1102" s="475">
        <v>45888</v>
      </c>
      <c r="Q1102" s="475">
        <v>45889</v>
      </c>
      <c r="R1102" s="61">
        <f t="shared" si="79"/>
        <v>4</v>
      </c>
      <c r="S1102" s="61">
        <f t="shared" si="80"/>
        <v>1</v>
      </c>
      <c r="T1102" s="61">
        <f t="shared" si="81"/>
        <v>1</v>
      </c>
      <c r="U1102" s="61">
        <f t="shared" si="82"/>
        <v>1</v>
      </c>
      <c r="V1102" s="61" t="s">
        <v>150</v>
      </c>
      <c r="W1102" s="61" t="s">
        <v>1078</v>
      </c>
      <c r="X1102" s="61" t="s">
        <v>50</v>
      </c>
      <c r="Y1102" s="61">
        <v>15.5198</v>
      </c>
      <c r="Z1102" s="61">
        <v>120.9905</v>
      </c>
      <c r="AA1102" s="61" t="s">
        <v>404</v>
      </c>
      <c r="AB1102" s="61"/>
    </row>
    <row r="1103" spans="1:28" s="2" customFormat="1" ht="15.75">
      <c r="A1103" s="61" t="s">
        <v>2286</v>
      </c>
      <c r="B1103" s="61" t="s">
        <v>1184</v>
      </c>
      <c r="C1103" s="61" t="s">
        <v>4664</v>
      </c>
      <c r="D1103" s="61" t="s">
        <v>7838</v>
      </c>
      <c r="E1103" s="61">
        <v>5891</v>
      </c>
      <c r="F1103" s="61">
        <v>6341</v>
      </c>
      <c r="G1103" s="61">
        <v>2025</v>
      </c>
      <c r="H1103" s="61" t="s">
        <v>3416</v>
      </c>
      <c r="I1103" s="61" t="s">
        <v>30</v>
      </c>
      <c r="J1103" s="61" t="s">
        <v>2289</v>
      </c>
      <c r="K1103" s="61" t="s">
        <v>212</v>
      </c>
      <c r="L1103" s="61" t="s">
        <v>8427</v>
      </c>
      <c r="M1103" s="475">
        <v>45716</v>
      </c>
      <c r="N1103" s="475">
        <v>45719</v>
      </c>
      <c r="O1103" s="475">
        <v>45719</v>
      </c>
      <c r="P1103" s="475">
        <v>45720</v>
      </c>
      <c r="Q1103" s="475">
        <v>45721</v>
      </c>
      <c r="R1103" s="61">
        <f t="shared" si="79"/>
        <v>1</v>
      </c>
      <c r="S1103" s="61">
        <f t="shared" si="80"/>
        <v>1</v>
      </c>
      <c r="T1103" s="61">
        <f t="shared" si="81"/>
        <v>1</v>
      </c>
      <c r="U1103" s="61">
        <f t="shared" si="82"/>
        <v>1</v>
      </c>
      <c r="V1103" s="61" t="s">
        <v>150</v>
      </c>
      <c r="W1103" s="61" t="s">
        <v>1078</v>
      </c>
      <c r="X1103" s="61" t="s">
        <v>50</v>
      </c>
      <c r="Y1103" s="478">
        <v>15.287554999999999</v>
      </c>
      <c r="Z1103" s="490">
        <v>120.864543</v>
      </c>
      <c r="AA1103" s="61" t="s">
        <v>404</v>
      </c>
      <c r="AB1103" s="61"/>
    </row>
    <row r="1104" spans="1:28" s="2" customFormat="1" ht="15">
      <c r="A1104" s="61" t="s">
        <v>2286</v>
      </c>
      <c r="B1104" s="61" t="s">
        <v>1184</v>
      </c>
      <c r="C1104" s="61" t="s">
        <v>4670</v>
      </c>
      <c r="D1104" s="61" t="s">
        <v>7838</v>
      </c>
      <c r="E1104" s="61">
        <v>3661</v>
      </c>
      <c r="F1104" s="61">
        <v>3822</v>
      </c>
      <c r="G1104" s="61">
        <v>2025</v>
      </c>
      <c r="H1104" s="61" t="s">
        <v>3416</v>
      </c>
      <c r="I1104" s="61" t="s">
        <v>30</v>
      </c>
      <c r="J1104" s="61" t="s">
        <v>2289</v>
      </c>
      <c r="K1104" s="61" t="s">
        <v>212</v>
      </c>
      <c r="L1104" s="483" t="s">
        <v>8428</v>
      </c>
      <c r="M1104" s="475">
        <v>45716</v>
      </c>
      <c r="N1104" s="475">
        <v>45719</v>
      </c>
      <c r="O1104" s="475">
        <v>45719</v>
      </c>
      <c r="P1104" s="475">
        <v>45720</v>
      </c>
      <c r="Q1104" s="475">
        <v>45721</v>
      </c>
      <c r="R1104" s="61">
        <f t="shared" si="79"/>
        <v>1</v>
      </c>
      <c r="S1104" s="61">
        <f t="shared" si="80"/>
        <v>1</v>
      </c>
      <c r="T1104" s="61">
        <f t="shared" si="81"/>
        <v>1</v>
      </c>
      <c r="U1104" s="61">
        <f t="shared" si="82"/>
        <v>1</v>
      </c>
      <c r="V1104" s="61" t="s">
        <v>150</v>
      </c>
      <c r="W1104" s="61" t="s">
        <v>1078</v>
      </c>
      <c r="X1104" s="61" t="s">
        <v>50</v>
      </c>
      <c r="Y1104" s="471">
        <v>15.291332000000001</v>
      </c>
      <c r="Z1104" s="471">
        <v>120.884254</v>
      </c>
      <c r="AA1104" s="61" t="s">
        <v>404</v>
      </c>
      <c r="AB1104" s="61"/>
    </row>
    <row r="1105" spans="1:28" s="2" customFormat="1" ht="15">
      <c r="A1105" s="61" t="s">
        <v>2286</v>
      </c>
      <c r="B1105" s="61" t="s">
        <v>1184</v>
      </c>
      <c r="C1105" s="61" t="s">
        <v>1300</v>
      </c>
      <c r="D1105" s="61" t="s">
        <v>7838</v>
      </c>
      <c r="E1105" s="61">
        <v>1970</v>
      </c>
      <c r="F1105" s="61">
        <v>2151</v>
      </c>
      <c r="G1105" s="61">
        <v>2025</v>
      </c>
      <c r="H1105" s="61" t="s">
        <v>3125</v>
      </c>
      <c r="I1105" s="61" t="s">
        <v>30</v>
      </c>
      <c r="J1105" s="61" t="s">
        <v>28</v>
      </c>
      <c r="K1105" s="61" t="s">
        <v>212</v>
      </c>
      <c r="L1105" s="61" t="s">
        <v>8429</v>
      </c>
      <c r="M1105" s="475">
        <v>45833</v>
      </c>
      <c r="N1105" s="475">
        <v>45839</v>
      </c>
      <c r="O1105" s="475">
        <v>45846</v>
      </c>
      <c r="P1105" s="475">
        <v>45847</v>
      </c>
      <c r="Q1105" s="475">
        <v>45847</v>
      </c>
      <c r="R1105" s="61">
        <f t="shared" si="79"/>
        <v>4</v>
      </c>
      <c r="S1105" s="61">
        <f t="shared" si="80"/>
        <v>5</v>
      </c>
      <c r="T1105" s="61">
        <f t="shared" si="81"/>
        <v>1</v>
      </c>
      <c r="U1105" s="61">
        <f t="shared" si="82"/>
        <v>1</v>
      </c>
      <c r="V1105" s="61" t="s">
        <v>150</v>
      </c>
      <c r="W1105" s="61" t="s">
        <v>1078</v>
      </c>
      <c r="X1105" s="61" t="s">
        <v>50</v>
      </c>
      <c r="Y1105" s="61">
        <v>15.255188</v>
      </c>
      <c r="Z1105" s="61">
        <v>120.859842</v>
      </c>
      <c r="AA1105" s="61" t="s">
        <v>404</v>
      </c>
      <c r="AB1105" s="61"/>
    </row>
    <row r="1106" spans="1:28" s="2" customFormat="1" ht="15">
      <c r="A1106" s="61" t="s">
        <v>2286</v>
      </c>
      <c r="B1106" s="61" t="s">
        <v>1184</v>
      </c>
      <c r="C1106" s="61" t="s">
        <v>4242</v>
      </c>
      <c r="D1106" s="61" t="s">
        <v>7838</v>
      </c>
      <c r="E1106" s="61">
        <v>7997</v>
      </c>
      <c r="F1106" s="61">
        <v>8441</v>
      </c>
      <c r="G1106" s="61">
        <v>2025</v>
      </c>
      <c r="H1106" s="61" t="s">
        <v>3416</v>
      </c>
      <c r="I1106" s="61" t="s">
        <v>30</v>
      </c>
      <c r="J1106" s="61" t="s">
        <v>2289</v>
      </c>
      <c r="K1106" s="61" t="s">
        <v>212</v>
      </c>
      <c r="L1106" s="483" t="s">
        <v>8430</v>
      </c>
      <c r="M1106" s="475">
        <v>45707</v>
      </c>
      <c r="N1106" s="475">
        <v>45712</v>
      </c>
      <c r="O1106" s="475">
        <v>45713</v>
      </c>
      <c r="P1106" s="475">
        <v>45719</v>
      </c>
      <c r="Q1106" s="475">
        <v>45721</v>
      </c>
      <c r="R1106" s="61">
        <f t="shared" si="79"/>
        <v>3</v>
      </c>
      <c r="S1106" s="61">
        <f t="shared" si="80"/>
        <v>1</v>
      </c>
      <c r="T1106" s="61">
        <f t="shared" si="81"/>
        <v>4</v>
      </c>
      <c r="U1106" s="61">
        <f t="shared" si="82"/>
        <v>2</v>
      </c>
      <c r="V1106" s="61" t="s">
        <v>150</v>
      </c>
      <c r="W1106" s="61" t="s">
        <v>1078</v>
      </c>
      <c r="X1106" s="61" t="s">
        <v>50</v>
      </c>
      <c r="Y1106" s="491">
        <v>15.252115999999999</v>
      </c>
      <c r="Z1106" s="491">
        <v>120.859512</v>
      </c>
      <c r="AA1106" s="61" t="s">
        <v>404</v>
      </c>
      <c r="AB1106" s="61"/>
    </row>
    <row r="1107" spans="1:28" s="474" customFormat="1">
      <c r="A1107" s="61" t="s">
        <v>2286</v>
      </c>
      <c r="B1107" s="61" t="s">
        <v>1184</v>
      </c>
      <c r="C1107" s="61" t="s">
        <v>4170</v>
      </c>
      <c r="D1107" s="61" t="s">
        <v>7838</v>
      </c>
      <c r="E1107" s="61">
        <v>1394</v>
      </c>
      <c r="F1107" s="61">
        <v>1538</v>
      </c>
      <c r="G1107" s="61">
        <v>2025</v>
      </c>
      <c r="H1107" s="61" t="s">
        <v>3128</v>
      </c>
      <c r="I1107" s="61" t="s">
        <v>30</v>
      </c>
      <c r="J1107" s="61" t="s">
        <v>2289</v>
      </c>
      <c r="K1107" s="61" t="s">
        <v>212</v>
      </c>
      <c r="L1107" s="61" t="s">
        <v>8431</v>
      </c>
      <c r="M1107" s="475">
        <v>45924</v>
      </c>
      <c r="N1107" s="475">
        <v>45926</v>
      </c>
      <c r="O1107" s="475">
        <v>45943</v>
      </c>
      <c r="P1107" s="475">
        <v>45946</v>
      </c>
      <c r="Q1107" s="475">
        <v>45947</v>
      </c>
      <c r="R1107" s="61">
        <f t="shared" si="79"/>
        <v>2</v>
      </c>
      <c r="S1107" s="61">
        <f t="shared" si="80"/>
        <v>11</v>
      </c>
      <c r="T1107" s="61">
        <f t="shared" si="81"/>
        <v>3</v>
      </c>
      <c r="U1107" s="61">
        <f t="shared" si="82"/>
        <v>1</v>
      </c>
      <c r="V1107" s="61" t="s">
        <v>150</v>
      </c>
      <c r="W1107" s="61" t="s">
        <v>1078</v>
      </c>
      <c r="X1107" s="61" t="s">
        <v>50</v>
      </c>
      <c r="Y1107" s="471">
        <v>15.244737000000001</v>
      </c>
      <c r="Z1107" s="471">
        <v>120.85639</v>
      </c>
      <c r="AA1107" s="61" t="s">
        <v>404</v>
      </c>
      <c r="AB1107" s="61"/>
    </row>
    <row r="1108" spans="1:28" s="2" customFormat="1" ht="15">
      <c r="A1108" s="61" t="s">
        <v>2286</v>
      </c>
      <c r="B1108" s="61" t="s">
        <v>1184</v>
      </c>
      <c r="C1108" s="61" t="s">
        <v>4569</v>
      </c>
      <c r="D1108" s="61" t="s">
        <v>7838</v>
      </c>
      <c r="E1108" s="61">
        <v>1534</v>
      </c>
      <c r="F1108" s="61">
        <v>1808</v>
      </c>
      <c r="G1108" s="61"/>
      <c r="H1108" s="61"/>
      <c r="I1108" s="61" t="s">
        <v>30</v>
      </c>
      <c r="J1108" s="61"/>
      <c r="K1108" s="61" t="s">
        <v>212</v>
      </c>
      <c r="L1108" s="61"/>
      <c r="M1108" s="61"/>
      <c r="N1108" s="61"/>
      <c r="O1108" s="61"/>
      <c r="P1108" s="61"/>
      <c r="Q1108" s="61"/>
      <c r="R1108" s="61" t="str">
        <f t="shared" si="79"/>
        <v/>
      </c>
      <c r="S1108" s="61" t="str">
        <f t="shared" si="80"/>
        <v/>
      </c>
      <c r="T1108" s="61" t="str">
        <f t="shared" si="81"/>
        <v/>
      </c>
      <c r="U1108" s="61" t="str">
        <f t="shared" si="82"/>
        <v/>
      </c>
      <c r="V1108" s="61"/>
      <c r="W1108" s="61"/>
      <c r="X1108" s="61"/>
      <c r="Y1108" s="471"/>
      <c r="Z1108" s="471"/>
      <c r="AA1108" s="61"/>
      <c r="AB1108" s="61"/>
    </row>
    <row r="1109" spans="1:28" s="2" customFormat="1" ht="15">
      <c r="A1109" s="61" t="s">
        <v>2286</v>
      </c>
      <c r="B1109" s="61" t="s">
        <v>1184</v>
      </c>
      <c r="C1109" s="61" t="s">
        <v>1332</v>
      </c>
      <c r="D1109" s="61" t="s">
        <v>7838</v>
      </c>
      <c r="E1109" s="61">
        <v>4080</v>
      </c>
      <c r="F1109" s="61">
        <v>4270</v>
      </c>
      <c r="G1109" s="61"/>
      <c r="H1109" s="61"/>
      <c r="I1109" s="61" t="s">
        <v>30</v>
      </c>
      <c r="J1109" s="61"/>
      <c r="K1109" s="61" t="s">
        <v>212</v>
      </c>
      <c r="L1109" s="61"/>
      <c r="M1109" s="61"/>
      <c r="N1109" s="61"/>
      <c r="O1109" s="61"/>
      <c r="P1109" s="61"/>
      <c r="Q1109" s="61"/>
      <c r="R1109" s="61" t="str">
        <f t="shared" si="79"/>
        <v/>
      </c>
      <c r="S1109" s="61" t="str">
        <f t="shared" si="80"/>
        <v/>
      </c>
      <c r="T1109" s="61" t="str">
        <f t="shared" si="81"/>
        <v/>
      </c>
      <c r="U1109" s="61" t="str">
        <f t="shared" si="82"/>
        <v/>
      </c>
      <c r="V1109" s="61"/>
      <c r="W1109" s="61"/>
      <c r="X1109" s="61"/>
      <c r="Y1109" s="471"/>
      <c r="Z1109" s="471"/>
      <c r="AA1109" s="61"/>
      <c r="AB1109" s="61"/>
    </row>
    <row r="1110" spans="1:28" s="2" customFormat="1" ht="15">
      <c r="A1110" s="61" t="s">
        <v>2286</v>
      </c>
      <c r="B1110" s="61" t="s">
        <v>1184</v>
      </c>
      <c r="C1110" s="61" t="s">
        <v>1185</v>
      </c>
      <c r="D1110" s="61" t="s">
        <v>7838</v>
      </c>
      <c r="E1110" s="61">
        <v>3768</v>
      </c>
      <c r="F1110" s="61">
        <v>4344</v>
      </c>
      <c r="G1110" s="61">
        <v>2025</v>
      </c>
      <c r="H1110" s="61" t="s">
        <v>3128</v>
      </c>
      <c r="I1110" s="61" t="s">
        <v>30</v>
      </c>
      <c r="J1110" s="61" t="s">
        <v>2289</v>
      </c>
      <c r="K1110" s="61" t="s">
        <v>212</v>
      </c>
      <c r="L1110" s="61" t="s">
        <v>8432</v>
      </c>
      <c r="M1110" s="475">
        <v>45924</v>
      </c>
      <c r="N1110" s="475">
        <v>45926</v>
      </c>
      <c r="O1110" s="475">
        <v>45943</v>
      </c>
      <c r="P1110" s="475">
        <v>45946</v>
      </c>
      <c r="Q1110" s="475">
        <v>45947</v>
      </c>
      <c r="R1110" s="61">
        <f t="shared" si="79"/>
        <v>2</v>
      </c>
      <c r="S1110" s="61">
        <f t="shared" si="80"/>
        <v>11</v>
      </c>
      <c r="T1110" s="61">
        <f t="shared" si="81"/>
        <v>3</v>
      </c>
      <c r="U1110" s="61">
        <f t="shared" si="82"/>
        <v>1</v>
      </c>
      <c r="V1110" s="61" t="s">
        <v>150</v>
      </c>
      <c r="W1110" s="61" t="s">
        <v>1078</v>
      </c>
      <c r="X1110" s="61" t="s">
        <v>50</v>
      </c>
      <c r="Y1110" s="471">
        <v>15.220746</v>
      </c>
      <c r="Z1110" s="471">
        <v>120.830411</v>
      </c>
      <c r="AA1110" s="61" t="s">
        <v>404</v>
      </c>
      <c r="AB1110" s="61"/>
    </row>
    <row r="1111" spans="1:28" s="2" customFormat="1" ht="15">
      <c r="A1111" s="61" t="s">
        <v>2286</v>
      </c>
      <c r="B1111" s="61" t="s">
        <v>1184</v>
      </c>
      <c r="C1111" s="61" t="s">
        <v>1245</v>
      </c>
      <c r="D1111" s="61" t="s">
        <v>7838</v>
      </c>
      <c r="E1111" s="61">
        <v>2594</v>
      </c>
      <c r="F1111" s="61">
        <v>2769</v>
      </c>
      <c r="G1111" s="61"/>
      <c r="H1111" s="61"/>
      <c r="I1111" s="61" t="s">
        <v>30</v>
      </c>
      <c r="J1111" s="61"/>
      <c r="K1111" s="61" t="s">
        <v>212</v>
      </c>
      <c r="L1111" s="61"/>
      <c r="M1111" s="61"/>
      <c r="N1111" s="61"/>
      <c r="O1111" s="61"/>
      <c r="P1111" s="61"/>
      <c r="Q1111" s="61"/>
      <c r="R1111" s="61" t="str">
        <f t="shared" si="79"/>
        <v/>
      </c>
      <c r="S1111" s="61" t="str">
        <f t="shared" si="80"/>
        <v/>
      </c>
      <c r="T1111" s="61" t="str">
        <f t="shared" si="81"/>
        <v/>
      </c>
      <c r="U1111" s="61" t="str">
        <f t="shared" si="82"/>
        <v/>
      </c>
      <c r="V1111" s="61"/>
      <c r="W1111" s="61"/>
      <c r="X1111" s="61"/>
      <c r="Y1111" s="471"/>
      <c r="Z1111" s="471"/>
      <c r="AA1111" s="61"/>
      <c r="AB1111" s="61"/>
    </row>
    <row r="1112" spans="1:28" s="2" customFormat="1" ht="15">
      <c r="A1112" s="61" t="s">
        <v>2286</v>
      </c>
      <c r="B1112" s="61" t="s">
        <v>1184</v>
      </c>
      <c r="C1112" s="61" t="s">
        <v>4665</v>
      </c>
      <c r="D1112" s="61" t="s">
        <v>7838</v>
      </c>
      <c r="E1112" s="61">
        <v>694</v>
      </c>
      <c r="F1112" s="61">
        <v>575</v>
      </c>
      <c r="G1112" s="61"/>
      <c r="H1112" s="61"/>
      <c r="I1112" s="61" t="s">
        <v>30</v>
      </c>
      <c r="J1112" s="61"/>
      <c r="K1112" s="61" t="s">
        <v>212</v>
      </c>
      <c r="L1112" s="61"/>
      <c r="M1112" s="61"/>
      <c r="N1112" s="61"/>
      <c r="O1112" s="61"/>
      <c r="P1112" s="61"/>
      <c r="Q1112" s="61"/>
      <c r="R1112" s="61" t="str">
        <f t="shared" ref="R1112:R1175" si="83">IF(
    OR(ISBLANK(M1112), ISBLANK(N1112)),
    "",
    MAX(1, IF(
        NETWORKDAYS(M1112, N1112) &lt;= 0,
        1,
        NETWORKDAYS(M1112, N1112) - IF(M1112 = N1112, 0, 1)
    ))
)</f>
        <v/>
      </c>
      <c r="S1112" s="61" t="str">
        <f t="shared" ref="S1112:S1175" si="84">IF(
    OR(ISBLANK(N1112), ISBLANK(O1112)),
    "",
    MAX(1, IF(
        NETWORKDAYS(N1112, O1112) &lt;= 0,
        1,
        NETWORKDAYS(N1112, O1112) - IF(N1112 = O1112, 0, 1)
    ))
)</f>
        <v/>
      </c>
      <c r="T1112" s="61" t="str">
        <f t="shared" ref="T1112:T1175" si="85">IF(
  OR(A1112 = "Nueva_Ecija", A1112 = "Zambales"),
  IF(
    OR(ISBLANK(O1112), ISBLANK(P1112)),
    "",
    MAX(1, IF(
      NETWORKDAYS(O1112, P1112) &lt;= 0,
      1,
      NETWORKDAYS(O1112, P1112) - IF(O1112 = P1112, 0, 1)
    ))
  ),
  IF(
    OR(ISBLANK(N1112), ISBLANK(P1112)),
    "",
    MAX(1, IF(
      NETWORKDAYS(N1112, P1112) &lt;= 0,
      1,
      NETWORKDAYS(N1112, P1112) - IF(N1112 = P1112, 0, 1)
    ))
  )
)</f>
        <v/>
      </c>
      <c r="U1112" s="61" t="str">
        <f t="shared" ref="U1112:U1175" si="86">IF(
    OR(ISBLANK(P1112), ISBLANK(Q1112)),
    "",
    MAX(1, IF(
        NETWORKDAYS(P1112, Q1112) &lt;= 0,
        1,
        NETWORKDAYS(P1112, Q1112) - IF(P1112 = Q1112, 0, 1)
    ))
)</f>
        <v/>
      </c>
      <c r="V1112" s="61"/>
      <c r="W1112" s="61"/>
      <c r="X1112" s="61"/>
      <c r="Y1112" s="471"/>
      <c r="Z1112" s="471"/>
      <c r="AA1112" s="61"/>
      <c r="AB1112" s="61"/>
    </row>
    <row r="1113" spans="1:28" s="474" customFormat="1">
      <c r="A1113" s="61" t="s">
        <v>2286</v>
      </c>
      <c r="B1113" s="61" t="s">
        <v>1184</v>
      </c>
      <c r="C1113" s="61" t="s">
        <v>4668</v>
      </c>
      <c r="D1113" s="61" t="s">
        <v>7838</v>
      </c>
      <c r="E1113" s="61">
        <v>3846</v>
      </c>
      <c r="F1113" s="61">
        <v>3578</v>
      </c>
      <c r="G1113" s="61">
        <v>2025</v>
      </c>
      <c r="H1113" s="61" t="s">
        <v>3127</v>
      </c>
      <c r="I1113" s="61" t="s">
        <v>30</v>
      </c>
      <c r="J1113" s="61" t="s">
        <v>28</v>
      </c>
      <c r="K1113" s="61" t="s">
        <v>212</v>
      </c>
      <c r="L1113" s="61" t="s">
        <v>8433</v>
      </c>
      <c r="M1113" s="475">
        <v>45897</v>
      </c>
      <c r="N1113" s="475">
        <v>45918</v>
      </c>
      <c r="O1113" s="475">
        <v>45924</v>
      </c>
      <c r="P1113" s="475">
        <v>45924</v>
      </c>
      <c r="Q1113" s="475">
        <v>45925</v>
      </c>
      <c r="R1113" s="61">
        <f t="shared" si="83"/>
        <v>15</v>
      </c>
      <c r="S1113" s="61">
        <f t="shared" si="84"/>
        <v>4</v>
      </c>
      <c r="T1113" s="61">
        <f t="shared" si="85"/>
        <v>1</v>
      </c>
      <c r="U1113" s="61">
        <f t="shared" si="86"/>
        <v>1</v>
      </c>
      <c r="V1113" s="61" t="s">
        <v>150</v>
      </c>
      <c r="W1113" s="61" t="s">
        <v>1078</v>
      </c>
      <c r="X1113" s="61" t="s">
        <v>50</v>
      </c>
      <c r="Y1113" s="471">
        <v>15.253622</v>
      </c>
      <c r="Z1113" s="471">
        <v>120.856624</v>
      </c>
      <c r="AA1113" s="61" t="s">
        <v>404</v>
      </c>
      <c r="AB1113" s="61"/>
    </row>
    <row r="1114" spans="1:28" s="2" customFormat="1" ht="15">
      <c r="A1114" s="61" t="s">
        <v>2286</v>
      </c>
      <c r="B1114" s="61" t="s">
        <v>1184</v>
      </c>
      <c r="C1114" s="61" t="s">
        <v>914</v>
      </c>
      <c r="D1114" s="61" t="s">
        <v>7838</v>
      </c>
      <c r="E1114" s="61">
        <v>2225</v>
      </c>
      <c r="F1114" s="61">
        <v>2340</v>
      </c>
      <c r="G1114" s="61">
        <v>2025</v>
      </c>
      <c r="H1114" s="61" t="s">
        <v>3129</v>
      </c>
      <c r="I1114" s="61" t="s">
        <v>30</v>
      </c>
      <c r="J1114" s="61" t="s">
        <v>2289</v>
      </c>
      <c r="K1114" s="61" t="s">
        <v>212</v>
      </c>
      <c r="L1114" s="61" t="s">
        <v>8434</v>
      </c>
      <c r="M1114" s="475">
        <v>45933</v>
      </c>
      <c r="N1114" s="475">
        <v>45933</v>
      </c>
      <c r="O1114" s="475">
        <v>45939</v>
      </c>
      <c r="P1114" s="475">
        <v>45946</v>
      </c>
      <c r="Q1114" s="475">
        <v>45947</v>
      </c>
      <c r="R1114" s="61">
        <f t="shared" si="83"/>
        <v>1</v>
      </c>
      <c r="S1114" s="61">
        <f t="shared" si="84"/>
        <v>4</v>
      </c>
      <c r="T1114" s="61">
        <f t="shared" si="85"/>
        <v>5</v>
      </c>
      <c r="U1114" s="61">
        <f t="shared" si="86"/>
        <v>1</v>
      </c>
      <c r="V1114" s="61" t="s">
        <v>150</v>
      </c>
      <c r="W1114" s="61" t="s">
        <v>1078</v>
      </c>
      <c r="X1114" s="61" t="s">
        <v>50</v>
      </c>
      <c r="Y1114" s="471">
        <v>15.24826</v>
      </c>
      <c r="Z1114" s="471">
        <v>120.848776</v>
      </c>
      <c r="AA1114" s="61" t="s">
        <v>404</v>
      </c>
      <c r="AB1114" s="61"/>
    </row>
    <row r="1115" spans="1:28" s="2" customFormat="1" ht="15">
      <c r="A1115" s="61" t="s">
        <v>2286</v>
      </c>
      <c r="B1115" s="61" t="s">
        <v>1184</v>
      </c>
      <c r="C1115" s="61" t="s">
        <v>3809</v>
      </c>
      <c r="D1115" s="61" t="s">
        <v>7838</v>
      </c>
      <c r="E1115" s="61">
        <v>3229</v>
      </c>
      <c r="F1115" s="61">
        <v>3820</v>
      </c>
      <c r="G1115" s="61"/>
      <c r="H1115" s="61"/>
      <c r="I1115" s="61" t="s">
        <v>30</v>
      </c>
      <c r="J1115" s="61"/>
      <c r="K1115" s="61" t="s">
        <v>212</v>
      </c>
      <c r="L1115" s="61"/>
      <c r="M1115" s="61"/>
      <c r="N1115" s="61"/>
      <c r="O1115" s="61"/>
      <c r="P1115" s="61"/>
      <c r="Q1115" s="61"/>
      <c r="R1115" s="61" t="str">
        <f t="shared" si="83"/>
        <v/>
      </c>
      <c r="S1115" s="61" t="str">
        <f t="shared" si="84"/>
        <v/>
      </c>
      <c r="T1115" s="61" t="str">
        <f t="shared" si="85"/>
        <v/>
      </c>
      <c r="U1115" s="61" t="str">
        <f t="shared" si="86"/>
        <v/>
      </c>
      <c r="V1115" s="61"/>
      <c r="W1115" s="61"/>
      <c r="X1115" s="61"/>
      <c r="Y1115" s="471"/>
      <c r="Z1115" s="471"/>
      <c r="AA1115" s="61"/>
      <c r="AB1115" s="61"/>
    </row>
    <row r="1116" spans="1:28" s="2" customFormat="1" ht="15">
      <c r="A1116" s="61" t="s">
        <v>2286</v>
      </c>
      <c r="B1116" s="61" t="s">
        <v>1184</v>
      </c>
      <c r="C1116" s="61" t="s">
        <v>4671</v>
      </c>
      <c r="D1116" s="61" t="s">
        <v>7838</v>
      </c>
      <c r="E1116" s="61">
        <v>11772</v>
      </c>
      <c r="F1116" s="61">
        <v>13016</v>
      </c>
      <c r="G1116" s="61">
        <v>2025</v>
      </c>
      <c r="H1116" s="61" t="s">
        <v>3127</v>
      </c>
      <c r="I1116" s="61" t="s">
        <v>30</v>
      </c>
      <c r="J1116" s="61" t="s">
        <v>28</v>
      </c>
      <c r="K1116" s="61" t="s">
        <v>212</v>
      </c>
      <c r="L1116" s="61" t="s">
        <v>8435</v>
      </c>
      <c r="M1116" s="475">
        <v>45897</v>
      </c>
      <c r="N1116" s="475">
        <v>45918</v>
      </c>
      <c r="O1116" s="475">
        <v>45924</v>
      </c>
      <c r="P1116" s="475">
        <v>45924</v>
      </c>
      <c r="Q1116" s="475">
        <v>45925</v>
      </c>
      <c r="R1116" s="61">
        <f t="shared" si="83"/>
        <v>15</v>
      </c>
      <c r="S1116" s="61">
        <f t="shared" si="84"/>
        <v>4</v>
      </c>
      <c r="T1116" s="61">
        <f t="shared" si="85"/>
        <v>1</v>
      </c>
      <c r="U1116" s="61">
        <f t="shared" si="86"/>
        <v>1</v>
      </c>
      <c r="V1116" s="61" t="s">
        <v>150</v>
      </c>
      <c r="W1116" s="61" t="s">
        <v>1078</v>
      </c>
      <c r="X1116" s="61" t="s">
        <v>50</v>
      </c>
      <c r="Y1116" s="471">
        <v>15.262439000000001</v>
      </c>
      <c r="Z1116" s="471">
        <v>120.866979</v>
      </c>
      <c r="AA1116" s="61" t="s">
        <v>404</v>
      </c>
      <c r="AB1116" s="61"/>
    </row>
    <row r="1117" spans="1:28" s="2" customFormat="1" ht="15">
      <c r="A1117" s="61" t="s">
        <v>2286</v>
      </c>
      <c r="B1117" s="61" t="s">
        <v>1184</v>
      </c>
      <c r="C1117" s="61" t="s">
        <v>4672</v>
      </c>
      <c r="D1117" s="61" t="s">
        <v>7838</v>
      </c>
      <c r="E1117" s="61">
        <v>378</v>
      </c>
      <c r="F1117" s="61">
        <v>319</v>
      </c>
      <c r="G1117" s="61"/>
      <c r="H1117" s="61"/>
      <c r="I1117" s="61" t="s">
        <v>30</v>
      </c>
      <c r="J1117" s="61"/>
      <c r="K1117" s="61" t="s">
        <v>212</v>
      </c>
      <c r="L1117" s="61"/>
      <c r="M1117" s="61"/>
      <c r="N1117" s="61"/>
      <c r="O1117" s="61"/>
      <c r="P1117" s="61"/>
      <c r="Q1117" s="61"/>
      <c r="R1117" s="61" t="str">
        <f t="shared" si="83"/>
        <v/>
      </c>
      <c r="S1117" s="61" t="str">
        <f t="shared" si="84"/>
        <v/>
      </c>
      <c r="T1117" s="61" t="str">
        <f t="shared" si="85"/>
        <v/>
      </c>
      <c r="U1117" s="61" t="str">
        <f t="shared" si="86"/>
        <v/>
      </c>
      <c r="V1117" s="61"/>
      <c r="W1117" s="61"/>
      <c r="X1117" s="61"/>
      <c r="Y1117" s="471"/>
      <c r="Z1117" s="471"/>
      <c r="AA1117" s="61"/>
      <c r="AB1117" s="61"/>
    </row>
    <row r="1118" spans="1:28" s="2" customFormat="1" ht="15">
      <c r="A1118" s="61" t="s">
        <v>2286</v>
      </c>
      <c r="B1118" s="61" t="s">
        <v>1184</v>
      </c>
      <c r="C1118" s="61" t="s">
        <v>4673</v>
      </c>
      <c r="D1118" s="61" t="s">
        <v>7838</v>
      </c>
      <c r="E1118" s="61">
        <v>902</v>
      </c>
      <c r="F1118" s="61">
        <v>498</v>
      </c>
      <c r="G1118" s="61">
        <v>2025</v>
      </c>
      <c r="H1118" s="61" t="s">
        <v>3128</v>
      </c>
      <c r="I1118" s="61" t="s">
        <v>30</v>
      </c>
      <c r="J1118" s="61" t="s">
        <v>2289</v>
      </c>
      <c r="K1118" s="61" t="s">
        <v>212</v>
      </c>
      <c r="L1118" s="61" t="s">
        <v>8436</v>
      </c>
      <c r="M1118" s="475">
        <v>45940</v>
      </c>
      <c r="N1118" s="475">
        <v>45941</v>
      </c>
      <c r="O1118" s="475">
        <v>45943</v>
      </c>
      <c r="P1118" s="475">
        <v>45946</v>
      </c>
      <c r="Q1118" s="475">
        <v>45947</v>
      </c>
      <c r="R1118" s="61">
        <f t="shared" si="83"/>
        <v>1</v>
      </c>
      <c r="S1118" s="61">
        <f t="shared" si="84"/>
        <v>1</v>
      </c>
      <c r="T1118" s="61">
        <f t="shared" si="85"/>
        <v>3</v>
      </c>
      <c r="U1118" s="61">
        <f t="shared" si="86"/>
        <v>1</v>
      </c>
      <c r="V1118" s="61" t="s">
        <v>150</v>
      </c>
      <c r="W1118" s="61" t="s">
        <v>1078</v>
      </c>
      <c r="X1118" s="61" t="s">
        <v>50</v>
      </c>
      <c r="Y1118" s="471">
        <v>15.246972</v>
      </c>
      <c r="Z1118" s="471">
        <v>120.85858</v>
      </c>
      <c r="AA1118" s="61" t="s">
        <v>404</v>
      </c>
      <c r="AB1118" s="61"/>
    </row>
    <row r="1119" spans="1:28" s="2" customFormat="1" ht="15">
      <c r="A1119" s="61" t="s">
        <v>2286</v>
      </c>
      <c r="B1119" s="61" t="s">
        <v>1184</v>
      </c>
      <c r="C1119" s="61" t="s">
        <v>3974</v>
      </c>
      <c r="D1119" s="61" t="s">
        <v>7838</v>
      </c>
      <c r="E1119" s="61">
        <v>4908</v>
      </c>
      <c r="F1119" s="61">
        <v>5898</v>
      </c>
      <c r="G1119" s="61">
        <v>2025</v>
      </c>
      <c r="H1119" s="61" t="s">
        <v>3128</v>
      </c>
      <c r="I1119" s="61" t="s">
        <v>30</v>
      </c>
      <c r="J1119" s="61" t="s">
        <v>2289</v>
      </c>
      <c r="K1119" s="61" t="s">
        <v>212</v>
      </c>
      <c r="L1119" s="61" t="s">
        <v>8437</v>
      </c>
      <c r="M1119" s="475">
        <v>45924</v>
      </c>
      <c r="N1119" s="475">
        <v>45926</v>
      </c>
      <c r="O1119" s="475">
        <v>45943</v>
      </c>
      <c r="P1119" s="475">
        <v>45946</v>
      </c>
      <c r="Q1119" s="475">
        <v>45947</v>
      </c>
      <c r="R1119" s="61">
        <f t="shared" si="83"/>
        <v>2</v>
      </c>
      <c r="S1119" s="61">
        <f t="shared" si="84"/>
        <v>11</v>
      </c>
      <c r="T1119" s="61">
        <f t="shared" si="85"/>
        <v>3</v>
      </c>
      <c r="U1119" s="61">
        <f t="shared" si="86"/>
        <v>1</v>
      </c>
      <c r="V1119" s="61" t="s">
        <v>150</v>
      </c>
      <c r="W1119" s="61" t="s">
        <v>1078</v>
      </c>
      <c r="X1119" s="61" t="s">
        <v>50</v>
      </c>
      <c r="Y1119" s="471">
        <v>15.243301000000001</v>
      </c>
      <c r="Z1119" s="471">
        <v>15.243301000000001</v>
      </c>
      <c r="AA1119" s="61" t="s">
        <v>404</v>
      </c>
      <c r="AB1119" s="61"/>
    </row>
    <row r="1120" spans="1:28" s="474" customFormat="1">
      <c r="A1120" s="61" t="s">
        <v>2286</v>
      </c>
      <c r="B1120" s="61" t="s">
        <v>1184</v>
      </c>
      <c r="C1120" s="61" t="s">
        <v>1166</v>
      </c>
      <c r="D1120" s="61" t="s">
        <v>7838</v>
      </c>
      <c r="E1120" s="61">
        <v>7895</v>
      </c>
      <c r="F1120" s="61">
        <v>8872</v>
      </c>
      <c r="G1120" s="61"/>
      <c r="H1120" s="61"/>
      <c r="I1120" s="61" t="s">
        <v>30</v>
      </c>
      <c r="J1120" s="61"/>
      <c r="K1120" s="61" t="s">
        <v>212</v>
      </c>
      <c r="L1120" s="61"/>
      <c r="M1120" s="61"/>
      <c r="N1120" s="61"/>
      <c r="O1120" s="61"/>
      <c r="P1120" s="61"/>
      <c r="Q1120" s="61"/>
      <c r="R1120" s="61" t="str">
        <f t="shared" si="83"/>
        <v/>
      </c>
      <c r="S1120" s="61" t="str">
        <f t="shared" si="84"/>
        <v/>
      </c>
      <c r="T1120" s="61" t="str">
        <f t="shared" si="85"/>
        <v/>
      </c>
      <c r="U1120" s="61" t="str">
        <f t="shared" si="86"/>
        <v/>
      </c>
      <c r="V1120" s="61"/>
      <c r="W1120" s="61"/>
      <c r="X1120" s="61"/>
      <c r="Y1120" s="471"/>
      <c r="Z1120" s="471"/>
      <c r="AA1120" s="61"/>
      <c r="AB1120" s="61"/>
    </row>
    <row r="1121" spans="1:28" s="2" customFormat="1" ht="15">
      <c r="A1121" s="61" t="s">
        <v>2286</v>
      </c>
      <c r="B1121" s="61" t="s">
        <v>1184</v>
      </c>
      <c r="C1121" s="61" t="s">
        <v>4027</v>
      </c>
      <c r="D1121" s="61" t="s">
        <v>7838</v>
      </c>
      <c r="E1121" s="61">
        <v>1987</v>
      </c>
      <c r="F1121" s="61">
        <v>2177</v>
      </c>
      <c r="G1121" s="61">
        <v>2025</v>
      </c>
      <c r="H1121" s="61" t="s">
        <v>3129</v>
      </c>
      <c r="I1121" s="61" t="s">
        <v>30</v>
      </c>
      <c r="J1121" s="61" t="s">
        <v>2289</v>
      </c>
      <c r="K1121" s="61" t="s">
        <v>212</v>
      </c>
      <c r="L1121" s="61" t="s">
        <v>8438</v>
      </c>
      <c r="M1121" s="475">
        <v>45924</v>
      </c>
      <c r="N1121" s="475">
        <v>45925</v>
      </c>
      <c r="O1121" s="475">
        <v>45943</v>
      </c>
      <c r="P1121" s="475">
        <v>45946</v>
      </c>
      <c r="Q1121" s="475">
        <v>45947</v>
      </c>
      <c r="R1121" s="61">
        <f t="shared" si="83"/>
        <v>1</v>
      </c>
      <c r="S1121" s="61">
        <f t="shared" si="84"/>
        <v>12</v>
      </c>
      <c r="T1121" s="61">
        <f t="shared" si="85"/>
        <v>3</v>
      </c>
      <c r="U1121" s="61">
        <f t="shared" si="86"/>
        <v>1</v>
      </c>
      <c r="V1121" s="61" t="s">
        <v>150</v>
      </c>
      <c r="W1121" s="61" t="s">
        <v>1078</v>
      </c>
      <c r="X1121" s="61" t="s">
        <v>50</v>
      </c>
      <c r="Y1121" s="471">
        <v>15.219525000000001</v>
      </c>
      <c r="Z1121" s="471">
        <v>120.86159000000001</v>
      </c>
      <c r="AA1121" s="61" t="s">
        <v>404</v>
      </c>
      <c r="AB1121" s="61"/>
    </row>
    <row r="1122" spans="1:28" s="2" customFormat="1" ht="15">
      <c r="A1122" s="61" t="s">
        <v>2286</v>
      </c>
      <c r="B1122" s="61" t="s">
        <v>1184</v>
      </c>
      <c r="C1122" s="61" t="s">
        <v>3725</v>
      </c>
      <c r="D1122" s="61" t="s">
        <v>7838</v>
      </c>
      <c r="E1122" s="61">
        <v>1481</v>
      </c>
      <c r="F1122" s="61">
        <v>1628</v>
      </c>
      <c r="G1122" s="61">
        <v>2025</v>
      </c>
      <c r="H1122" s="61" t="s">
        <v>3129</v>
      </c>
      <c r="I1122" s="61" t="s">
        <v>30</v>
      </c>
      <c r="J1122" s="61" t="s">
        <v>2289</v>
      </c>
      <c r="K1122" s="61" t="s">
        <v>212</v>
      </c>
      <c r="L1122" s="61" t="s">
        <v>8439</v>
      </c>
      <c r="M1122" s="475">
        <v>45960</v>
      </c>
      <c r="N1122" s="475">
        <v>45963</v>
      </c>
      <c r="O1122" s="475">
        <v>45966</v>
      </c>
      <c r="P1122" s="475">
        <v>45979</v>
      </c>
      <c r="Q1122" s="475">
        <v>45980</v>
      </c>
      <c r="R1122" s="61">
        <f t="shared" si="83"/>
        <v>1</v>
      </c>
      <c r="S1122" s="61">
        <f t="shared" si="84"/>
        <v>2</v>
      </c>
      <c r="T1122" s="61">
        <f t="shared" si="85"/>
        <v>9</v>
      </c>
      <c r="U1122" s="61">
        <f t="shared" si="86"/>
        <v>1</v>
      </c>
      <c r="V1122" s="61" t="s">
        <v>150</v>
      </c>
      <c r="W1122" s="61" t="s">
        <v>1078</v>
      </c>
      <c r="X1122" s="61" t="s">
        <v>50</v>
      </c>
      <c r="Y1122" s="471">
        <v>15.23631</v>
      </c>
      <c r="Z1122" s="471">
        <v>120.81908300000001</v>
      </c>
      <c r="AA1122" s="61" t="s">
        <v>404</v>
      </c>
      <c r="AB1122" s="61"/>
    </row>
    <row r="1123" spans="1:28" s="2" customFormat="1" ht="15">
      <c r="A1123" s="61" t="s">
        <v>2286</v>
      </c>
      <c r="B1123" s="61" t="s">
        <v>1184</v>
      </c>
      <c r="C1123" s="61" t="s">
        <v>4674</v>
      </c>
      <c r="D1123" s="61" t="s">
        <v>7838</v>
      </c>
      <c r="E1123" s="61">
        <v>4403</v>
      </c>
      <c r="F1123" s="61">
        <v>5187</v>
      </c>
      <c r="G1123" s="61">
        <v>2025</v>
      </c>
      <c r="H1123" s="61" t="s">
        <v>3129</v>
      </c>
      <c r="I1123" s="61" t="s">
        <v>30</v>
      </c>
      <c r="J1123" s="61" t="s">
        <v>2289</v>
      </c>
      <c r="K1123" s="61" t="s">
        <v>212</v>
      </c>
      <c r="L1123" s="61" t="s">
        <v>8440</v>
      </c>
      <c r="M1123" s="475">
        <v>45924</v>
      </c>
      <c r="N1123" s="475">
        <v>45925</v>
      </c>
      <c r="O1123" s="475">
        <v>45943</v>
      </c>
      <c r="P1123" s="475">
        <v>45946</v>
      </c>
      <c r="Q1123" s="475">
        <v>45947</v>
      </c>
      <c r="R1123" s="61">
        <f t="shared" si="83"/>
        <v>1</v>
      </c>
      <c r="S1123" s="61">
        <f t="shared" si="84"/>
        <v>12</v>
      </c>
      <c r="T1123" s="61">
        <f t="shared" si="85"/>
        <v>3</v>
      </c>
      <c r="U1123" s="61">
        <f t="shared" si="86"/>
        <v>1</v>
      </c>
      <c r="V1123" s="61" t="s">
        <v>150</v>
      </c>
      <c r="W1123" s="61" t="s">
        <v>1078</v>
      </c>
      <c r="X1123" s="61" t="s">
        <v>50</v>
      </c>
      <c r="Y1123" s="471">
        <v>15.219525000000001</v>
      </c>
      <c r="Z1123" s="471">
        <v>120.86126</v>
      </c>
      <c r="AA1123" s="61" t="s">
        <v>404</v>
      </c>
      <c r="AB1123" s="61"/>
    </row>
    <row r="1124" spans="1:28" s="2" customFormat="1" ht="15">
      <c r="A1124" s="61" t="s">
        <v>2286</v>
      </c>
      <c r="B1124" s="61" t="s">
        <v>1184</v>
      </c>
      <c r="C1124" s="61" t="s">
        <v>4667</v>
      </c>
      <c r="D1124" s="61" t="s">
        <v>7838</v>
      </c>
      <c r="E1124" s="61">
        <v>1003</v>
      </c>
      <c r="F1124" s="61">
        <v>960</v>
      </c>
      <c r="G1124" s="61">
        <v>2025</v>
      </c>
      <c r="H1124" s="61" t="s">
        <v>3127</v>
      </c>
      <c r="I1124" s="61" t="s">
        <v>30</v>
      </c>
      <c r="J1124" s="61" t="s">
        <v>2289</v>
      </c>
      <c r="K1124" s="61" t="s">
        <v>212</v>
      </c>
      <c r="L1124" s="61" t="s">
        <v>8441</v>
      </c>
      <c r="M1124" s="475">
        <v>45897</v>
      </c>
      <c r="N1124" s="475">
        <v>45918</v>
      </c>
      <c r="O1124" s="475">
        <v>45918</v>
      </c>
      <c r="P1124" s="475">
        <v>45918</v>
      </c>
      <c r="Q1124" s="475">
        <v>45918</v>
      </c>
      <c r="R1124" s="61">
        <f t="shared" si="83"/>
        <v>15</v>
      </c>
      <c r="S1124" s="61">
        <f t="shared" si="84"/>
        <v>1</v>
      </c>
      <c r="T1124" s="61">
        <f t="shared" si="85"/>
        <v>1</v>
      </c>
      <c r="U1124" s="61">
        <f t="shared" si="86"/>
        <v>1</v>
      </c>
      <c r="V1124" s="61" t="s">
        <v>150</v>
      </c>
      <c r="W1124" s="61" t="s">
        <v>1078</v>
      </c>
      <c r="X1124" s="61" t="s">
        <v>50</v>
      </c>
      <c r="Y1124" s="471">
        <v>15.250128</v>
      </c>
      <c r="Z1124" s="471">
        <v>120.857713</v>
      </c>
      <c r="AA1124" s="61" t="s">
        <v>404</v>
      </c>
      <c r="AB1124" s="61"/>
    </row>
    <row r="1125" spans="1:28" s="2" customFormat="1" ht="15">
      <c r="A1125" s="61" t="s">
        <v>2286</v>
      </c>
      <c r="B1125" s="61" t="s">
        <v>1184</v>
      </c>
      <c r="C1125" s="61" t="s">
        <v>4636</v>
      </c>
      <c r="D1125" s="61" t="s">
        <v>7838</v>
      </c>
      <c r="E1125" s="61">
        <v>1395</v>
      </c>
      <c r="F1125" s="61">
        <v>1510</v>
      </c>
      <c r="G1125" s="61">
        <v>2025</v>
      </c>
      <c r="H1125" s="61" t="s">
        <v>3127</v>
      </c>
      <c r="I1125" s="61" t="s">
        <v>30</v>
      </c>
      <c r="J1125" s="61" t="s">
        <v>2289</v>
      </c>
      <c r="K1125" s="61" t="s">
        <v>212</v>
      </c>
      <c r="L1125" s="61" t="s">
        <v>8442</v>
      </c>
      <c r="M1125" s="475">
        <v>45898</v>
      </c>
      <c r="N1125" s="475">
        <v>45918</v>
      </c>
      <c r="O1125" s="475">
        <v>45918</v>
      </c>
      <c r="P1125" s="475">
        <v>45918</v>
      </c>
      <c r="Q1125" s="475">
        <v>45918</v>
      </c>
      <c r="R1125" s="61">
        <f t="shared" si="83"/>
        <v>14</v>
      </c>
      <c r="S1125" s="61">
        <f t="shared" si="84"/>
        <v>1</v>
      </c>
      <c r="T1125" s="61">
        <f t="shared" si="85"/>
        <v>1</v>
      </c>
      <c r="U1125" s="61">
        <f t="shared" si="86"/>
        <v>1</v>
      </c>
      <c r="V1125" s="61" t="s">
        <v>150</v>
      </c>
      <c r="W1125" s="61" t="s">
        <v>1078</v>
      </c>
      <c r="X1125" s="61" t="s">
        <v>50</v>
      </c>
      <c r="Y1125" s="471">
        <v>15.249774</v>
      </c>
      <c r="Z1125" s="471">
        <v>120.85342300000001</v>
      </c>
      <c r="AA1125" s="61" t="s">
        <v>404</v>
      </c>
      <c r="AB1125" s="61"/>
    </row>
    <row r="1126" spans="1:28" s="2" customFormat="1" ht="15">
      <c r="A1126" s="61" t="s">
        <v>2286</v>
      </c>
      <c r="B1126" s="61" t="s">
        <v>2579</v>
      </c>
      <c r="C1126" s="61" t="s">
        <v>4535</v>
      </c>
      <c r="D1126" s="61" t="s">
        <v>7838</v>
      </c>
      <c r="E1126" s="61">
        <v>1273</v>
      </c>
      <c r="F1126" s="61">
        <v>928</v>
      </c>
      <c r="G1126" s="61">
        <v>2025</v>
      </c>
      <c r="H1126" s="61" t="s">
        <v>3689</v>
      </c>
      <c r="I1126" s="61" t="s">
        <v>29</v>
      </c>
      <c r="J1126" s="61" t="s">
        <v>2289</v>
      </c>
      <c r="K1126" s="61" t="s">
        <v>212</v>
      </c>
      <c r="L1126" s="483" t="s">
        <v>8443</v>
      </c>
      <c r="M1126" s="475">
        <v>45818</v>
      </c>
      <c r="N1126" s="475">
        <v>45826</v>
      </c>
      <c r="O1126" s="475">
        <v>45826</v>
      </c>
      <c r="P1126" s="475">
        <v>45826</v>
      </c>
      <c r="Q1126" s="475">
        <v>45826</v>
      </c>
      <c r="R1126" s="61">
        <f t="shared" si="83"/>
        <v>6</v>
      </c>
      <c r="S1126" s="61">
        <f t="shared" si="84"/>
        <v>1</v>
      </c>
      <c r="T1126" s="61">
        <f t="shared" si="85"/>
        <v>1</v>
      </c>
      <c r="U1126" s="61">
        <f t="shared" si="86"/>
        <v>1</v>
      </c>
      <c r="V1126" s="61" t="s">
        <v>150</v>
      </c>
      <c r="W1126" s="61" t="s">
        <v>1078</v>
      </c>
      <c r="X1126" s="61" t="s">
        <v>50</v>
      </c>
      <c r="Y1126" s="471">
        <v>15.965199999999999</v>
      </c>
      <c r="Z1126" s="471">
        <v>121.05070000000001</v>
      </c>
      <c r="AA1126" s="61" t="s">
        <v>404</v>
      </c>
      <c r="AB1126" s="61"/>
    </row>
    <row r="1127" spans="1:28" s="2" customFormat="1" ht="15">
      <c r="A1127" s="61" t="s">
        <v>2286</v>
      </c>
      <c r="B1127" s="61" t="s">
        <v>2579</v>
      </c>
      <c r="C1127" s="61" t="s">
        <v>4675</v>
      </c>
      <c r="D1127" s="61" t="s">
        <v>7838</v>
      </c>
      <c r="E1127" s="61">
        <v>3919</v>
      </c>
      <c r="F1127" s="61">
        <v>3916</v>
      </c>
      <c r="G1127" s="61">
        <v>2025</v>
      </c>
      <c r="H1127" s="61" t="s">
        <v>3689</v>
      </c>
      <c r="I1127" s="61" t="s">
        <v>29</v>
      </c>
      <c r="J1127" s="61" t="s">
        <v>2289</v>
      </c>
      <c r="K1127" s="61" t="s">
        <v>212</v>
      </c>
      <c r="L1127" s="483" t="s">
        <v>8444</v>
      </c>
      <c r="M1127" s="475">
        <v>45818</v>
      </c>
      <c r="N1127" s="475">
        <v>45826</v>
      </c>
      <c r="O1127" s="475">
        <v>45826</v>
      </c>
      <c r="P1127" s="475">
        <v>45826</v>
      </c>
      <c r="Q1127" s="475">
        <v>45826</v>
      </c>
      <c r="R1127" s="61">
        <f t="shared" si="83"/>
        <v>6</v>
      </c>
      <c r="S1127" s="61">
        <f t="shared" si="84"/>
        <v>1</v>
      </c>
      <c r="T1127" s="61">
        <f t="shared" si="85"/>
        <v>1</v>
      </c>
      <c r="U1127" s="61">
        <f t="shared" si="86"/>
        <v>1</v>
      </c>
      <c r="V1127" s="61" t="s">
        <v>150</v>
      </c>
      <c r="W1127" s="61" t="s">
        <v>1078</v>
      </c>
      <c r="X1127" s="61" t="s">
        <v>50</v>
      </c>
      <c r="Y1127" s="471">
        <v>15.9518</v>
      </c>
      <c r="Z1127" s="471">
        <v>121.0097</v>
      </c>
      <c r="AA1127" s="61" t="s">
        <v>404</v>
      </c>
      <c r="AB1127" s="61"/>
    </row>
    <row r="1128" spans="1:28" s="2" customFormat="1" ht="15">
      <c r="A1128" s="61" t="s">
        <v>2286</v>
      </c>
      <c r="B1128" s="61" t="s">
        <v>2579</v>
      </c>
      <c r="C1128" s="61" t="s">
        <v>4679</v>
      </c>
      <c r="D1128" s="61" t="s">
        <v>7838</v>
      </c>
      <c r="E1128" s="61">
        <v>1642</v>
      </c>
      <c r="F1128" s="61">
        <v>1709</v>
      </c>
      <c r="G1128" s="61">
        <v>2025</v>
      </c>
      <c r="H1128" s="61" t="s">
        <v>3689</v>
      </c>
      <c r="I1128" s="61" t="s">
        <v>29</v>
      </c>
      <c r="J1128" s="61" t="s">
        <v>2289</v>
      </c>
      <c r="K1128" s="61" t="s">
        <v>212</v>
      </c>
      <c r="L1128" s="483" t="s">
        <v>8445</v>
      </c>
      <c r="M1128" s="475">
        <v>45818</v>
      </c>
      <c r="N1128" s="475">
        <v>45826</v>
      </c>
      <c r="O1128" s="475">
        <v>45826</v>
      </c>
      <c r="P1128" s="475">
        <v>45826</v>
      </c>
      <c r="Q1128" s="475">
        <v>45826</v>
      </c>
      <c r="R1128" s="61">
        <f t="shared" si="83"/>
        <v>6</v>
      </c>
      <c r="S1128" s="61">
        <f t="shared" si="84"/>
        <v>1</v>
      </c>
      <c r="T1128" s="61">
        <f t="shared" si="85"/>
        <v>1</v>
      </c>
      <c r="U1128" s="61">
        <f t="shared" si="86"/>
        <v>1</v>
      </c>
      <c r="V1128" s="61" t="s">
        <v>150</v>
      </c>
      <c r="W1128" s="61" t="s">
        <v>1078</v>
      </c>
      <c r="X1128" s="61" t="s">
        <v>50</v>
      </c>
      <c r="Y1128" s="471">
        <v>15.962</v>
      </c>
      <c r="Z1128" s="471">
        <v>121.05889999999999</v>
      </c>
      <c r="AA1128" s="61" t="s">
        <v>404</v>
      </c>
      <c r="AB1128" s="61"/>
    </row>
    <row r="1129" spans="1:28" s="2" customFormat="1" ht="15">
      <c r="A1129" s="61" t="s">
        <v>2286</v>
      </c>
      <c r="B1129" s="61" t="s">
        <v>2579</v>
      </c>
      <c r="C1129" s="61" t="s">
        <v>4681</v>
      </c>
      <c r="D1129" s="61" t="s">
        <v>7838</v>
      </c>
      <c r="E1129" s="61">
        <v>939</v>
      </c>
      <c r="F1129" s="61">
        <v>1096</v>
      </c>
      <c r="G1129" s="61">
        <v>2025</v>
      </c>
      <c r="H1129" s="61" t="s">
        <v>3689</v>
      </c>
      <c r="I1129" s="61" t="s">
        <v>29</v>
      </c>
      <c r="J1129" s="61" t="s">
        <v>2289</v>
      </c>
      <c r="K1129" s="61" t="s">
        <v>212</v>
      </c>
      <c r="L1129" s="483" t="s">
        <v>8446</v>
      </c>
      <c r="M1129" s="475">
        <v>45818</v>
      </c>
      <c r="N1129" s="475">
        <v>45826</v>
      </c>
      <c r="O1129" s="475">
        <v>45826</v>
      </c>
      <c r="P1129" s="475">
        <v>45826</v>
      </c>
      <c r="Q1129" s="475">
        <v>45826</v>
      </c>
      <c r="R1129" s="61">
        <f t="shared" si="83"/>
        <v>6</v>
      </c>
      <c r="S1129" s="61">
        <f t="shared" si="84"/>
        <v>1</v>
      </c>
      <c r="T1129" s="61">
        <f t="shared" si="85"/>
        <v>1</v>
      </c>
      <c r="U1129" s="61">
        <f t="shared" si="86"/>
        <v>1</v>
      </c>
      <c r="V1129" s="61" t="s">
        <v>150</v>
      </c>
      <c r="W1129" s="61" t="s">
        <v>1078</v>
      </c>
      <c r="X1129" s="61" t="s">
        <v>50</v>
      </c>
      <c r="Y1129" s="471">
        <v>15.964</v>
      </c>
      <c r="Z1129" s="471">
        <v>121.0639</v>
      </c>
      <c r="AA1129" s="61" t="s">
        <v>404</v>
      </c>
      <c r="AB1129" s="61"/>
    </row>
    <row r="1130" spans="1:28" s="2" customFormat="1" ht="15">
      <c r="A1130" s="61" t="s">
        <v>2286</v>
      </c>
      <c r="B1130" s="61" t="s">
        <v>2579</v>
      </c>
      <c r="C1130" s="61" t="s">
        <v>4682</v>
      </c>
      <c r="D1130" s="61" t="s">
        <v>7838</v>
      </c>
      <c r="E1130" s="61">
        <v>1421</v>
      </c>
      <c r="F1130" s="61">
        <v>1562</v>
      </c>
      <c r="G1130" s="61">
        <v>2025</v>
      </c>
      <c r="H1130" s="61" t="s">
        <v>3689</v>
      </c>
      <c r="I1130" s="61" t="s">
        <v>29</v>
      </c>
      <c r="J1130" s="61" t="s">
        <v>2289</v>
      </c>
      <c r="K1130" s="61" t="s">
        <v>212</v>
      </c>
      <c r="L1130" s="483" t="s">
        <v>8447</v>
      </c>
      <c r="M1130" s="475">
        <v>45818</v>
      </c>
      <c r="N1130" s="475">
        <v>45826</v>
      </c>
      <c r="O1130" s="475">
        <v>45826</v>
      </c>
      <c r="P1130" s="475">
        <v>45826</v>
      </c>
      <c r="Q1130" s="475">
        <v>45826</v>
      </c>
      <c r="R1130" s="61">
        <f t="shared" si="83"/>
        <v>6</v>
      </c>
      <c r="S1130" s="61">
        <f t="shared" si="84"/>
        <v>1</v>
      </c>
      <c r="T1130" s="61">
        <f t="shared" si="85"/>
        <v>1</v>
      </c>
      <c r="U1130" s="61">
        <f t="shared" si="86"/>
        <v>1</v>
      </c>
      <c r="V1130" s="61" t="s">
        <v>150</v>
      </c>
      <c r="W1130" s="61" t="s">
        <v>1078</v>
      </c>
      <c r="X1130" s="61" t="s">
        <v>50</v>
      </c>
      <c r="Y1130" s="471">
        <v>15.9625</v>
      </c>
      <c r="Z1130" s="471">
        <v>121.05710000000001</v>
      </c>
      <c r="AA1130" s="61" t="s">
        <v>404</v>
      </c>
      <c r="AB1130" s="61"/>
    </row>
    <row r="1131" spans="1:28" s="2" customFormat="1" ht="15">
      <c r="A1131" s="61" t="s">
        <v>2286</v>
      </c>
      <c r="B1131" s="61" t="s">
        <v>2579</v>
      </c>
      <c r="C1131" s="61" t="s">
        <v>4683</v>
      </c>
      <c r="D1131" s="61" t="s">
        <v>7838</v>
      </c>
      <c r="E1131" s="61">
        <v>4616</v>
      </c>
      <c r="F1131" s="61">
        <v>4769</v>
      </c>
      <c r="G1131" s="61">
        <v>2025</v>
      </c>
      <c r="H1131" s="61" t="s">
        <v>3689</v>
      </c>
      <c r="I1131" s="61" t="s">
        <v>29</v>
      </c>
      <c r="J1131" s="61" t="s">
        <v>2289</v>
      </c>
      <c r="K1131" s="61" t="s">
        <v>212</v>
      </c>
      <c r="L1131" s="483" t="s">
        <v>8448</v>
      </c>
      <c r="M1131" s="475">
        <v>45818</v>
      </c>
      <c r="N1131" s="475">
        <v>45826</v>
      </c>
      <c r="O1131" s="475">
        <v>45826</v>
      </c>
      <c r="P1131" s="475">
        <v>45826</v>
      </c>
      <c r="Q1131" s="475">
        <v>45826</v>
      </c>
      <c r="R1131" s="61">
        <f t="shared" si="83"/>
        <v>6</v>
      </c>
      <c r="S1131" s="61">
        <f t="shared" si="84"/>
        <v>1</v>
      </c>
      <c r="T1131" s="61">
        <f t="shared" si="85"/>
        <v>1</v>
      </c>
      <c r="U1131" s="61">
        <f t="shared" si="86"/>
        <v>1</v>
      </c>
      <c r="V1131" s="61" t="s">
        <v>150</v>
      </c>
      <c r="W1131" s="61" t="s">
        <v>1078</v>
      </c>
      <c r="X1131" s="61" t="s">
        <v>50</v>
      </c>
      <c r="Y1131" s="471">
        <v>15.9648</v>
      </c>
      <c r="Z1131" s="471">
        <v>121.0489</v>
      </c>
      <c r="AA1131" s="61" t="s">
        <v>404</v>
      </c>
      <c r="AB1131" s="61"/>
    </row>
    <row r="1132" spans="1:28" s="2" customFormat="1" ht="15">
      <c r="A1132" s="61" t="s">
        <v>2286</v>
      </c>
      <c r="B1132" s="61" t="s">
        <v>2579</v>
      </c>
      <c r="C1132" s="61" t="s">
        <v>4684</v>
      </c>
      <c r="D1132" s="61" t="s">
        <v>7838</v>
      </c>
      <c r="E1132" s="61">
        <v>4018</v>
      </c>
      <c r="F1132" s="61">
        <v>5573</v>
      </c>
      <c r="G1132" s="61">
        <v>2025</v>
      </c>
      <c r="H1132" s="61" t="s">
        <v>3470</v>
      </c>
      <c r="I1132" s="61" t="s">
        <v>29</v>
      </c>
      <c r="J1132" s="61" t="s">
        <v>2289</v>
      </c>
      <c r="K1132" s="61" t="s">
        <v>212</v>
      </c>
      <c r="L1132" s="483" t="s">
        <v>8449</v>
      </c>
      <c r="M1132" s="475">
        <v>45750</v>
      </c>
      <c r="N1132" s="475">
        <v>45757</v>
      </c>
      <c r="O1132" s="475">
        <v>45758</v>
      </c>
      <c r="P1132" s="475">
        <v>45762</v>
      </c>
      <c r="Q1132" s="475">
        <v>45762</v>
      </c>
      <c r="R1132" s="61">
        <f t="shared" si="83"/>
        <v>5</v>
      </c>
      <c r="S1132" s="61">
        <f t="shared" si="84"/>
        <v>1</v>
      </c>
      <c r="T1132" s="61">
        <f t="shared" si="85"/>
        <v>2</v>
      </c>
      <c r="U1132" s="61">
        <f t="shared" si="86"/>
        <v>1</v>
      </c>
      <c r="V1132" s="61" t="s">
        <v>150</v>
      </c>
      <c r="W1132" s="61" t="s">
        <v>1078</v>
      </c>
      <c r="X1132" s="61" t="s">
        <v>50</v>
      </c>
      <c r="Y1132" s="486">
        <v>15.949400000000001</v>
      </c>
      <c r="Z1132" s="486">
        <v>120.9765</v>
      </c>
      <c r="AA1132" s="61" t="s">
        <v>404</v>
      </c>
      <c r="AB1132" s="61"/>
    </row>
    <row r="1133" spans="1:28" s="2" customFormat="1" ht="15">
      <c r="A1133" s="61" t="s">
        <v>2286</v>
      </c>
      <c r="B1133" s="61" t="s">
        <v>2579</v>
      </c>
      <c r="C1133" s="61" t="s">
        <v>4126</v>
      </c>
      <c r="D1133" s="61" t="s">
        <v>7838</v>
      </c>
      <c r="E1133" s="61">
        <v>2276</v>
      </c>
      <c r="F1133" s="61">
        <v>2484</v>
      </c>
      <c r="G1133" s="61">
        <v>2025</v>
      </c>
      <c r="H1133" s="61" t="s">
        <v>3689</v>
      </c>
      <c r="I1133" s="61" t="s">
        <v>29</v>
      </c>
      <c r="J1133" s="61" t="s">
        <v>2289</v>
      </c>
      <c r="K1133" s="61" t="s">
        <v>212</v>
      </c>
      <c r="L1133" s="61" t="s">
        <v>8450</v>
      </c>
      <c r="M1133" s="475">
        <v>45818</v>
      </c>
      <c r="N1133" s="475">
        <v>45826</v>
      </c>
      <c r="O1133" s="475">
        <v>45826</v>
      </c>
      <c r="P1133" s="475">
        <v>45826</v>
      </c>
      <c r="Q1133" s="475">
        <v>45826</v>
      </c>
      <c r="R1133" s="61">
        <f t="shared" si="83"/>
        <v>6</v>
      </c>
      <c r="S1133" s="61">
        <f t="shared" si="84"/>
        <v>1</v>
      </c>
      <c r="T1133" s="61">
        <f t="shared" si="85"/>
        <v>1</v>
      </c>
      <c r="U1133" s="61">
        <f t="shared" si="86"/>
        <v>1</v>
      </c>
      <c r="V1133" s="61" t="s">
        <v>150</v>
      </c>
      <c r="W1133" s="61" t="s">
        <v>1078</v>
      </c>
      <c r="X1133" s="61" t="s">
        <v>50</v>
      </c>
      <c r="Y1133" s="471">
        <v>15.9573</v>
      </c>
      <c r="Z1133" s="471">
        <v>121.01519999999999</v>
      </c>
      <c r="AA1133" s="61" t="s">
        <v>404</v>
      </c>
      <c r="AB1133" s="61"/>
    </row>
    <row r="1134" spans="1:28" s="2" customFormat="1" ht="15">
      <c r="A1134" s="61" t="s">
        <v>2286</v>
      </c>
      <c r="B1134" s="61" t="s">
        <v>2579</v>
      </c>
      <c r="C1134" s="61" t="s">
        <v>4696</v>
      </c>
      <c r="D1134" s="61" t="s">
        <v>7838</v>
      </c>
      <c r="E1134" s="61">
        <v>1435</v>
      </c>
      <c r="F1134" s="61">
        <v>1318</v>
      </c>
      <c r="G1134" s="61">
        <v>2025</v>
      </c>
      <c r="H1134" s="61" t="s">
        <v>3689</v>
      </c>
      <c r="I1134" s="61" t="s">
        <v>29</v>
      </c>
      <c r="J1134" s="61" t="s">
        <v>2289</v>
      </c>
      <c r="K1134" s="61" t="s">
        <v>212</v>
      </c>
      <c r="L1134" s="61" t="s">
        <v>8451</v>
      </c>
      <c r="M1134" s="475">
        <v>45818</v>
      </c>
      <c r="N1134" s="475">
        <v>45826</v>
      </c>
      <c r="O1134" s="475">
        <v>45826</v>
      </c>
      <c r="P1134" s="475">
        <v>45826</v>
      </c>
      <c r="Q1134" s="475">
        <v>45826</v>
      </c>
      <c r="R1134" s="61">
        <f t="shared" si="83"/>
        <v>6</v>
      </c>
      <c r="S1134" s="61">
        <f t="shared" si="84"/>
        <v>1</v>
      </c>
      <c r="T1134" s="61">
        <f t="shared" si="85"/>
        <v>1</v>
      </c>
      <c r="U1134" s="61">
        <f t="shared" si="86"/>
        <v>1</v>
      </c>
      <c r="V1134" s="61" t="s">
        <v>150</v>
      </c>
      <c r="W1134" s="61" t="s">
        <v>1078</v>
      </c>
      <c r="X1134" s="61" t="s">
        <v>50</v>
      </c>
      <c r="Y1134" s="471">
        <v>15.9071</v>
      </c>
      <c r="Z1134" s="471">
        <v>120.98990000000001</v>
      </c>
      <c r="AA1134" s="61" t="s">
        <v>404</v>
      </c>
      <c r="AB1134" s="61"/>
    </row>
    <row r="1135" spans="1:28" s="2" customFormat="1" ht="15">
      <c r="A1135" s="61" t="s">
        <v>2286</v>
      </c>
      <c r="B1135" s="61" t="s">
        <v>2579</v>
      </c>
      <c r="C1135" s="61" t="s">
        <v>1490</v>
      </c>
      <c r="D1135" s="61" t="s">
        <v>7838</v>
      </c>
      <c r="E1135" s="61">
        <v>3844</v>
      </c>
      <c r="F1135" s="61">
        <v>4231</v>
      </c>
      <c r="G1135" s="61"/>
      <c r="H1135" s="61"/>
      <c r="I1135" s="61" t="s">
        <v>29</v>
      </c>
      <c r="J1135" s="61"/>
      <c r="K1135" s="61" t="s">
        <v>212</v>
      </c>
      <c r="L1135" s="483"/>
      <c r="M1135" s="61"/>
      <c r="N1135" s="61"/>
      <c r="O1135" s="61"/>
      <c r="P1135" s="61"/>
      <c r="Q1135" s="61"/>
      <c r="R1135" s="61" t="str">
        <f t="shared" si="83"/>
        <v/>
      </c>
      <c r="S1135" s="61" t="str">
        <f t="shared" si="84"/>
        <v/>
      </c>
      <c r="T1135" s="61" t="str">
        <f t="shared" si="85"/>
        <v/>
      </c>
      <c r="U1135" s="61" t="str">
        <f t="shared" si="86"/>
        <v/>
      </c>
      <c r="V1135" s="61"/>
      <c r="W1135" s="61"/>
      <c r="X1135" s="61"/>
      <c r="Y1135" s="471"/>
      <c r="Z1135" s="471"/>
      <c r="AA1135" s="61"/>
      <c r="AB1135" s="61"/>
    </row>
    <row r="1136" spans="1:28" s="2" customFormat="1" ht="15">
      <c r="A1136" s="61" t="s">
        <v>2286</v>
      </c>
      <c r="B1136" s="61" t="s">
        <v>2579</v>
      </c>
      <c r="C1136" s="61" t="s">
        <v>4677</v>
      </c>
      <c r="D1136" s="61" t="s">
        <v>7838</v>
      </c>
      <c r="E1136" s="61">
        <v>2445</v>
      </c>
      <c r="F1136" s="61">
        <v>2395</v>
      </c>
      <c r="G1136" s="61"/>
      <c r="H1136" s="61"/>
      <c r="I1136" s="61" t="s">
        <v>29</v>
      </c>
      <c r="J1136" s="61"/>
      <c r="K1136" s="61" t="s">
        <v>212</v>
      </c>
      <c r="L1136" s="483"/>
      <c r="M1136" s="61"/>
      <c r="N1136" s="61"/>
      <c r="O1136" s="61"/>
      <c r="P1136" s="61"/>
      <c r="Q1136" s="61"/>
      <c r="R1136" s="61" t="str">
        <f t="shared" si="83"/>
        <v/>
      </c>
      <c r="S1136" s="61" t="str">
        <f t="shared" si="84"/>
        <v/>
      </c>
      <c r="T1136" s="61" t="str">
        <f t="shared" si="85"/>
        <v/>
      </c>
      <c r="U1136" s="61" t="str">
        <f t="shared" si="86"/>
        <v/>
      </c>
      <c r="V1136" s="61"/>
      <c r="W1136" s="61"/>
      <c r="X1136" s="61"/>
      <c r="Y1136" s="471"/>
      <c r="Z1136" s="471"/>
      <c r="AA1136" s="61"/>
      <c r="AB1136" s="61"/>
    </row>
    <row r="1137" spans="1:28" s="2" customFormat="1" ht="15">
      <c r="A1137" s="61" t="s">
        <v>2286</v>
      </c>
      <c r="B1137" s="61" t="s">
        <v>2579</v>
      </c>
      <c r="C1137" s="61" t="s">
        <v>4686</v>
      </c>
      <c r="D1137" s="61" t="s">
        <v>7838</v>
      </c>
      <c r="E1137" s="61">
        <v>1475</v>
      </c>
      <c r="F1137" s="61">
        <v>1788</v>
      </c>
      <c r="G1137" s="61"/>
      <c r="H1137" s="61"/>
      <c r="I1137" s="61" t="s">
        <v>29</v>
      </c>
      <c r="J1137" s="61"/>
      <c r="K1137" s="61" t="s">
        <v>212</v>
      </c>
      <c r="L1137" s="61"/>
      <c r="M1137" s="61"/>
      <c r="N1137" s="61"/>
      <c r="O1137" s="61"/>
      <c r="P1137" s="61"/>
      <c r="Q1137" s="61"/>
      <c r="R1137" s="61" t="str">
        <f t="shared" si="83"/>
        <v/>
      </c>
      <c r="S1137" s="61" t="str">
        <f t="shared" si="84"/>
        <v/>
      </c>
      <c r="T1137" s="61" t="str">
        <f t="shared" si="85"/>
        <v/>
      </c>
      <c r="U1137" s="61" t="str">
        <f t="shared" si="86"/>
        <v/>
      </c>
      <c r="V1137" s="61"/>
      <c r="W1137" s="61"/>
      <c r="X1137" s="61"/>
      <c r="Y1137" s="471"/>
      <c r="Z1137" s="471"/>
      <c r="AA1137" s="61"/>
      <c r="AB1137" s="61"/>
    </row>
    <row r="1138" spans="1:28" s="2" customFormat="1" ht="15">
      <c r="A1138" s="61" t="s">
        <v>2286</v>
      </c>
      <c r="B1138" s="61" t="s">
        <v>2579</v>
      </c>
      <c r="C1138" s="61" t="s">
        <v>4688</v>
      </c>
      <c r="D1138" s="61" t="s">
        <v>7838</v>
      </c>
      <c r="E1138" s="61">
        <v>2234</v>
      </c>
      <c r="F1138" s="61">
        <v>838</v>
      </c>
      <c r="G1138" s="61"/>
      <c r="H1138" s="61"/>
      <c r="I1138" s="61" t="s">
        <v>29</v>
      </c>
      <c r="J1138" s="61"/>
      <c r="K1138" s="61" t="s">
        <v>212</v>
      </c>
      <c r="L1138" s="61"/>
      <c r="M1138" s="61"/>
      <c r="N1138" s="61"/>
      <c r="O1138" s="61"/>
      <c r="P1138" s="61"/>
      <c r="Q1138" s="61"/>
      <c r="R1138" s="61" t="str">
        <f t="shared" si="83"/>
        <v/>
      </c>
      <c r="S1138" s="61" t="str">
        <f t="shared" si="84"/>
        <v/>
      </c>
      <c r="T1138" s="61" t="str">
        <f t="shared" si="85"/>
        <v/>
      </c>
      <c r="U1138" s="61" t="str">
        <f t="shared" si="86"/>
        <v/>
      </c>
      <c r="V1138" s="61"/>
      <c r="W1138" s="61"/>
      <c r="X1138" s="61"/>
      <c r="Y1138" s="471"/>
      <c r="Z1138" s="471"/>
      <c r="AA1138" s="61"/>
      <c r="AB1138" s="61"/>
    </row>
    <row r="1139" spans="1:28" s="2" customFormat="1" ht="15">
      <c r="A1139" s="61" t="s">
        <v>2286</v>
      </c>
      <c r="B1139" s="61" t="s">
        <v>2579</v>
      </c>
      <c r="C1139" s="61" t="s">
        <v>4690</v>
      </c>
      <c r="D1139" s="61" t="s">
        <v>7838</v>
      </c>
      <c r="E1139" s="61">
        <v>4766</v>
      </c>
      <c r="F1139" s="61">
        <v>5001</v>
      </c>
      <c r="G1139" s="61"/>
      <c r="H1139" s="61"/>
      <c r="I1139" s="61" t="s">
        <v>29</v>
      </c>
      <c r="J1139" s="61"/>
      <c r="K1139" s="61" t="s">
        <v>212</v>
      </c>
      <c r="L1139" s="61"/>
      <c r="M1139" s="61"/>
      <c r="N1139" s="474"/>
      <c r="O1139" s="61"/>
      <c r="P1139" s="61"/>
      <c r="Q1139" s="61"/>
      <c r="R1139" s="61" t="str">
        <f t="shared" si="83"/>
        <v/>
      </c>
      <c r="S1139" s="61" t="str">
        <f t="shared" si="84"/>
        <v/>
      </c>
      <c r="T1139" s="61" t="str">
        <f t="shared" si="85"/>
        <v/>
      </c>
      <c r="U1139" s="61" t="str">
        <f t="shared" si="86"/>
        <v/>
      </c>
      <c r="V1139" s="61"/>
      <c r="W1139" s="61"/>
      <c r="X1139" s="61"/>
      <c r="Y1139" s="471"/>
      <c r="Z1139" s="471"/>
      <c r="AA1139" s="61"/>
      <c r="AB1139" s="61"/>
    </row>
    <row r="1140" spans="1:28" s="2" customFormat="1" ht="15">
      <c r="A1140" s="61" t="s">
        <v>2286</v>
      </c>
      <c r="B1140" s="61" t="s">
        <v>2579</v>
      </c>
      <c r="C1140" s="61" t="s">
        <v>4691</v>
      </c>
      <c r="D1140" s="61" t="s">
        <v>7838</v>
      </c>
      <c r="E1140" s="61">
        <v>1405</v>
      </c>
      <c r="F1140" s="61">
        <v>1441</v>
      </c>
      <c r="G1140" s="61"/>
      <c r="H1140" s="61"/>
      <c r="I1140" s="61" t="s">
        <v>29</v>
      </c>
      <c r="J1140" s="61"/>
      <c r="K1140" s="61" t="s">
        <v>212</v>
      </c>
      <c r="L1140" s="61"/>
      <c r="M1140" s="61"/>
      <c r="N1140" s="61"/>
      <c r="O1140" s="61"/>
      <c r="P1140" s="61"/>
      <c r="Q1140" s="61"/>
      <c r="R1140" s="61" t="str">
        <f t="shared" si="83"/>
        <v/>
      </c>
      <c r="S1140" s="61" t="str">
        <f t="shared" si="84"/>
        <v/>
      </c>
      <c r="T1140" s="61" t="str">
        <f t="shared" si="85"/>
        <v/>
      </c>
      <c r="U1140" s="61" t="str">
        <f t="shared" si="86"/>
        <v/>
      </c>
      <c r="V1140" s="61"/>
      <c r="W1140" s="61"/>
      <c r="X1140" s="61"/>
      <c r="Y1140" s="471"/>
      <c r="Z1140" s="471"/>
      <c r="AA1140" s="61"/>
      <c r="AB1140" s="61"/>
    </row>
    <row r="1141" spans="1:28" s="2" customFormat="1" ht="15">
      <c r="A1141" s="61" t="s">
        <v>2286</v>
      </c>
      <c r="B1141" s="61" t="s">
        <v>2579</v>
      </c>
      <c r="C1141" s="61" t="s">
        <v>4693</v>
      </c>
      <c r="D1141" s="61" t="s">
        <v>7838</v>
      </c>
      <c r="E1141" s="61">
        <v>2205</v>
      </c>
      <c r="F1141" s="61">
        <v>2428</v>
      </c>
      <c r="G1141" s="61">
        <v>2025</v>
      </c>
      <c r="H1141" s="61" t="s">
        <v>3128</v>
      </c>
      <c r="I1141" s="61" t="s">
        <v>29</v>
      </c>
      <c r="J1141" s="61"/>
      <c r="K1141" s="61" t="s">
        <v>212</v>
      </c>
      <c r="L1141" s="61" t="s">
        <v>8452</v>
      </c>
      <c r="M1141" s="475">
        <v>45925</v>
      </c>
      <c r="N1141" s="475">
        <v>45928</v>
      </c>
      <c r="O1141" s="475">
        <v>45928</v>
      </c>
      <c r="P1141" s="475">
        <v>45928</v>
      </c>
      <c r="Q1141" s="475">
        <v>45929</v>
      </c>
      <c r="R1141" s="61">
        <f t="shared" si="83"/>
        <v>1</v>
      </c>
      <c r="S1141" s="61">
        <f t="shared" si="84"/>
        <v>1</v>
      </c>
      <c r="T1141" s="61">
        <f t="shared" si="85"/>
        <v>1</v>
      </c>
      <c r="U1141" s="61">
        <f t="shared" si="86"/>
        <v>1</v>
      </c>
      <c r="V1141" s="61" t="s">
        <v>150</v>
      </c>
      <c r="W1141" s="61" t="s">
        <v>1078</v>
      </c>
      <c r="X1141" s="61" t="s">
        <v>50</v>
      </c>
      <c r="Y1141" s="471">
        <v>15.965199999999999</v>
      </c>
      <c r="Z1141" s="471">
        <v>121.0506</v>
      </c>
      <c r="AA1141" s="61" t="s">
        <v>404</v>
      </c>
      <c r="AB1141" s="61"/>
    </row>
    <row r="1142" spans="1:28" s="2" customFormat="1" ht="15">
      <c r="A1142" s="61" t="s">
        <v>2286</v>
      </c>
      <c r="B1142" s="61" t="s">
        <v>2579</v>
      </c>
      <c r="C1142" s="61" t="s">
        <v>4695</v>
      </c>
      <c r="D1142" s="61" t="s">
        <v>7838</v>
      </c>
      <c r="E1142" s="61">
        <v>1218</v>
      </c>
      <c r="F1142" s="61">
        <v>943</v>
      </c>
      <c r="G1142" s="61"/>
      <c r="H1142" s="61"/>
      <c r="I1142" s="61" t="s">
        <v>29</v>
      </c>
      <c r="J1142" s="61"/>
      <c r="K1142" s="61" t="s">
        <v>212</v>
      </c>
      <c r="L1142" s="61"/>
      <c r="M1142" s="61"/>
      <c r="N1142" s="61"/>
      <c r="O1142" s="61"/>
      <c r="P1142" s="61"/>
      <c r="Q1142" s="61"/>
      <c r="R1142" s="61" t="str">
        <f t="shared" si="83"/>
        <v/>
      </c>
      <c r="S1142" s="61" t="str">
        <f t="shared" si="84"/>
        <v/>
      </c>
      <c r="T1142" s="61" t="str">
        <f t="shared" si="85"/>
        <v/>
      </c>
      <c r="U1142" s="61" t="str">
        <f t="shared" si="86"/>
        <v/>
      </c>
      <c r="V1142" s="61"/>
      <c r="W1142" s="61"/>
      <c r="X1142" s="61"/>
      <c r="Y1142" s="471"/>
      <c r="Z1142" s="471"/>
      <c r="AA1142" s="61"/>
      <c r="AB1142" s="61"/>
    </row>
    <row r="1143" spans="1:28" s="2" customFormat="1" ht="15">
      <c r="A1143" s="61" t="s">
        <v>2286</v>
      </c>
      <c r="B1143" s="61" t="s">
        <v>3130</v>
      </c>
      <c r="C1143" s="61" t="s">
        <v>4698</v>
      </c>
      <c r="D1143" s="61" t="s">
        <v>7838</v>
      </c>
      <c r="E1143" s="61">
        <v>1647</v>
      </c>
      <c r="F1143" s="61">
        <v>1675</v>
      </c>
      <c r="G1143" s="61">
        <v>2025</v>
      </c>
      <c r="H1143" s="61" t="s">
        <v>3126</v>
      </c>
      <c r="I1143" s="61" t="s">
        <v>30</v>
      </c>
      <c r="J1143" s="61" t="s">
        <v>2289</v>
      </c>
      <c r="K1143" s="61" t="s">
        <v>212</v>
      </c>
      <c r="L1143" s="61" t="s">
        <v>8453</v>
      </c>
      <c r="M1143" s="475">
        <v>45876</v>
      </c>
      <c r="N1143" s="475">
        <v>45880</v>
      </c>
      <c r="O1143" s="475">
        <v>45881</v>
      </c>
      <c r="P1143" s="475">
        <v>45882</v>
      </c>
      <c r="Q1143" s="475">
        <v>45882</v>
      </c>
      <c r="R1143" s="61">
        <f t="shared" si="83"/>
        <v>2</v>
      </c>
      <c r="S1143" s="61">
        <f t="shared" si="84"/>
        <v>1</v>
      </c>
      <c r="T1143" s="61">
        <f t="shared" si="85"/>
        <v>1</v>
      </c>
      <c r="U1143" s="61">
        <f t="shared" si="86"/>
        <v>1</v>
      </c>
      <c r="V1143" s="61" t="s">
        <v>150</v>
      </c>
      <c r="W1143" s="61" t="s">
        <v>1078</v>
      </c>
      <c r="X1143" s="61" t="s">
        <v>50</v>
      </c>
      <c r="Y1143" s="471">
        <v>15.284979</v>
      </c>
      <c r="Z1143" s="471">
        <v>120.971892</v>
      </c>
      <c r="AA1143" s="61" t="s">
        <v>361</v>
      </c>
      <c r="AB1143" s="61"/>
    </row>
    <row r="1144" spans="1:28" s="2" customFormat="1" ht="15">
      <c r="A1144" s="61" t="s">
        <v>2286</v>
      </c>
      <c r="B1144" s="61" t="s">
        <v>3130</v>
      </c>
      <c r="C1144" s="61" t="s">
        <v>3542</v>
      </c>
      <c r="D1144" s="61" t="s">
        <v>7838</v>
      </c>
      <c r="E1144" s="61">
        <v>5128</v>
      </c>
      <c r="F1144" s="61">
        <v>5504</v>
      </c>
      <c r="G1144" s="61">
        <v>2025</v>
      </c>
      <c r="H1144" s="61" t="s">
        <v>3125</v>
      </c>
      <c r="I1144" s="61" t="s">
        <v>30</v>
      </c>
      <c r="J1144" s="61" t="s">
        <v>28</v>
      </c>
      <c r="K1144" s="61" t="s">
        <v>212</v>
      </c>
      <c r="L1144" s="61" t="s">
        <v>8454</v>
      </c>
      <c r="M1144" s="475">
        <v>45834</v>
      </c>
      <c r="N1144" s="475">
        <v>45839</v>
      </c>
      <c r="O1144" s="475">
        <v>45847</v>
      </c>
      <c r="P1144" s="475">
        <v>45847</v>
      </c>
      <c r="Q1144" s="475">
        <v>45847</v>
      </c>
      <c r="R1144" s="61">
        <f t="shared" si="83"/>
        <v>3</v>
      </c>
      <c r="S1144" s="61">
        <f t="shared" si="84"/>
        <v>6</v>
      </c>
      <c r="T1144" s="61">
        <f t="shared" si="85"/>
        <v>1</v>
      </c>
      <c r="U1144" s="61">
        <f t="shared" si="86"/>
        <v>1</v>
      </c>
      <c r="V1144" s="61" t="s">
        <v>150</v>
      </c>
      <c r="W1144" s="61" t="s">
        <v>1078</v>
      </c>
      <c r="X1144" s="61" t="s">
        <v>50</v>
      </c>
      <c r="Y1144" s="61">
        <v>15.296526</v>
      </c>
      <c r="Z1144" s="61">
        <v>120.948705</v>
      </c>
      <c r="AA1144" s="61" t="s">
        <v>361</v>
      </c>
      <c r="AB1144" s="61"/>
    </row>
    <row r="1145" spans="1:28" s="2" customFormat="1" ht="15">
      <c r="A1145" s="61" t="s">
        <v>2286</v>
      </c>
      <c r="B1145" s="61" t="s">
        <v>3130</v>
      </c>
      <c r="C1145" s="61" t="s">
        <v>4700</v>
      </c>
      <c r="D1145" s="61" t="s">
        <v>7838</v>
      </c>
      <c r="E1145" s="61">
        <v>2279</v>
      </c>
      <c r="F1145" s="61">
        <v>2588</v>
      </c>
      <c r="G1145" s="61">
        <v>2025</v>
      </c>
      <c r="H1145" s="61" t="s">
        <v>3532</v>
      </c>
      <c r="I1145" s="61" t="s">
        <v>30</v>
      </c>
      <c r="J1145" s="61" t="s">
        <v>28</v>
      </c>
      <c r="K1145" s="61" t="s">
        <v>212</v>
      </c>
      <c r="L1145" s="61" t="s">
        <v>8455</v>
      </c>
      <c r="M1145" s="475">
        <v>45771</v>
      </c>
      <c r="N1145" s="475">
        <v>45777</v>
      </c>
      <c r="O1145" s="475">
        <v>45779</v>
      </c>
      <c r="P1145" s="475">
        <v>45782</v>
      </c>
      <c r="Q1145" s="475">
        <v>45791</v>
      </c>
      <c r="R1145" s="61">
        <f t="shared" si="83"/>
        <v>4</v>
      </c>
      <c r="S1145" s="61">
        <f t="shared" si="84"/>
        <v>2</v>
      </c>
      <c r="T1145" s="61">
        <f t="shared" si="85"/>
        <v>1</v>
      </c>
      <c r="U1145" s="61">
        <f t="shared" si="86"/>
        <v>7</v>
      </c>
      <c r="V1145" s="61" t="s">
        <v>150</v>
      </c>
      <c r="W1145" s="61" t="s">
        <v>1078</v>
      </c>
      <c r="X1145" s="61" t="s">
        <v>50</v>
      </c>
      <c r="Y1145" s="471">
        <v>15.238751000000001</v>
      </c>
      <c r="Z1145" s="471">
        <v>120.98471000000001</v>
      </c>
      <c r="AA1145" s="61" t="s">
        <v>182</v>
      </c>
      <c r="AB1145" s="61"/>
    </row>
    <row r="1146" spans="1:28" s="2" customFormat="1" ht="15">
      <c r="A1146" s="61" t="s">
        <v>2286</v>
      </c>
      <c r="B1146" s="61" t="s">
        <v>3130</v>
      </c>
      <c r="C1146" s="61" t="s">
        <v>4703</v>
      </c>
      <c r="D1146" s="61" t="s">
        <v>7838</v>
      </c>
      <c r="E1146" s="61">
        <v>5010</v>
      </c>
      <c r="F1146" s="61">
        <v>5813</v>
      </c>
      <c r="G1146" s="61">
        <v>2025</v>
      </c>
      <c r="H1146" s="61" t="s">
        <v>3126</v>
      </c>
      <c r="I1146" s="61" t="s">
        <v>30</v>
      </c>
      <c r="J1146" s="61" t="s">
        <v>2289</v>
      </c>
      <c r="K1146" s="61" t="s">
        <v>212</v>
      </c>
      <c r="L1146" s="61" t="s">
        <v>8456</v>
      </c>
      <c r="M1146" s="475">
        <v>45876</v>
      </c>
      <c r="N1146" s="475">
        <v>45880</v>
      </c>
      <c r="O1146" s="475">
        <v>45882</v>
      </c>
      <c r="P1146" s="475">
        <v>45882</v>
      </c>
      <c r="Q1146" s="475">
        <v>45882</v>
      </c>
      <c r="R1146" s="61">
        <f t="shared" si="83"/>
        <v>2</v>
      </c>
      <c r="S1146" s="61">
        <f t="shared" si="84"/>
        <v>2</v>
      </c>
      <c r="T1146" s="61">
        <f t="shared" si="85"/>
        <v>1</v>
      </c>
      <c r="U1146" s="61">
        <f t="shared" si="86"/>
        <v>1</v>
      </c>
      <c r="V1146" s="61" t="s">
        <v>150</v>
      </c>
      <c r="W1146" s="61" t="s">
        <v>1078</v>
      </c>
      <c r="X1146" s="61" t="s">
        <v>50</v>
      </c>
      <c r="Y1146" s="471">
        <v>15.276278</v>
      </c>
      <c r="Z1146" s="61">
        <v>120.98988300000001</v>
      </c>
      <c r="AA1146" s="61" t="s">
        <v>182</v>
      </c>
      <c r="AB1146" s="61"/>
    </row>
    <row r="1147" spans="1:28" s="2" customFormat="1" ht="15">
      <c r="A1147" s="61" t="s">
        <v>2286</v>
      </c>
      <c r="B1147" s="61" t="s">
        <v>3130</v>
      </c>
      <c r="C1147" s="61" t="s">
        <v>4704</v>
      </c>
      <c r="D1147" s="61" t="s">
        <v>7838</v>
      </c>
      <c r="E1147" s="61">
        <v>801</v>
      </c>
      <c r="F1147" s="61">
        <v>870</v>
      </c>
      <c r="G1147" s="61">
        <v>2025</v>
      </c>
      <c r="H1147" s="61" t="s">
        <v>3532</v>
      </c>
      <c r="I1147" s="61" t="s">
        <v>30</v>
      </c>
      <c r="J1147" s="61" t="s">
        <v>28</v>
      </c>
      <c r="K1147" s="61" t="s">
        <v>212</v>
      </c>
      <c r="L1147" s="61" t="s">
        <v>8457</v>
      </c>
      <c r="M1147" s="475">
        <v>45772</v>
      </c>
      <c r="N1147" s="475">
        <v>45777</v>
      </c>
      <c r="O1147" s="475">
        <v>45779</v>
      </c>
      <c r="P1147" s="475">
        <v>45782</v>
      </c>
      <c r="Q1147" s="475">
        <v>45791</v>
      </c>
      <c r="R1147" s="61">
        <f t="shared" si="83"/>
        <v>3</v>
      </c>
      <c r="S1147" s="61">
        <f t="shared" si="84"/>
        <v>2</v>
      </c>
      <c r="T1147" s="61">
        <f t="shared" si="85"/>
        <v>1</v>
      </c>
      <c r="U1147" s="61">
        <f t="shared" si="86"/>
        <v>7</v>
      </c>
      <c r="V1147" s="61" t="s">
        <v>150</v>
      </c>
      <c r="W1147" s="61" t="s">
        <v>1078</v>
      </c>
      <c r="X1147" s="61" t="s">
        <v>50</v>
      </c>
      <c r="Y1147" s="486">
        <v>15.303176000000001</v>
      </c>
      <c r="Z1147" s="486">
        <v>121.00068899999999</v>
      </c>
      <c r="AA1147" s="61" t="s">
        <v>182</v>
      </c>
      <c r="AB1147" s="61"/>
    </row>
    <row r="1148" spans="1:28" s="2" customFormat="1" ht="15.75">
      <c r="A1148" s="61" t="s">
        <v>2286</v>
      </c>
      <c r="B1148" s="61" t="s">
        <v>3130</v>
      </c>
      <c r="C1148" s="61" t="s">
        <v>4705</v>
      </c>
      <c r="D1148" s="61" t="s">
        <v>7838</v>
      </c>
      <c r="E1148" s="61">
        <v>3096</v>
      </c>
      <c r="F1148" s="61">
        <v>3514</v>
      </c>
      <c r="G1148" s="61">
        <v>2025</v>
      </c>
      <c r="H1148" s="61" t="s">
        <v>3532</v>
      </c>
      <c r="I1148" s="61" t="s">
        <v>30</v>
      </c>
      <c r="J1148" s="61" t="s">
        <v>28</v>
      </c>
      <c r="K1148" s="61" t="s">
        <v>212</v>
      </c>
      <c r="L1148" s="61" t="s">
        <v>8458</v>
      </c>
      <c r="M1148" s="475">
        <v>45772</v>
      </c>
      <c r="N1148" s="475">
        <v>45777</v>
      </c>
      <c r="O1148" s="475">
        <v>45779</v>
      </c>
      <c r="P1148" s="475">
        <v>45782</v>
      </c>
      <c r="Q1148" s="475">
        <v>45791</v>
      </c>
      <c r="R1148" s="61">
        <f t="shared" si="83"/>
        <v>3</v>
      </c>
      <c r="S1148" s="61">
        <f t="shared" si="84"/>
        <v>2</v>
      </c>
      <c r="T1148" s="61">
        <f t="shared" si="85"/>
        <v>1</v>
      </c>
      <c r="U1148" s="61">
        <f t="shared" si="86"/>
        <v>7</v>
      </c>
      <c r="V1148" s="61" t="s">
        <v>150</v>
      </c>
      <c r="W1148" s="61" t="s">
        <v>1078</v>
      </c>
      <c r="X1148" s="61" t="s">
        <v>50</v>
      </c>
      <c r="Y1148" s="492">
        <v>15.296075999999999</v>
      </c>
      <c r="Z1148" s="486">
        <v>120.98380899999999</v>
      </c>
      <c r="AA1148" s="61" t="s">
        <v>182</v>
      </c>
      <c r="AB1148" s="61"/>
    </row>
    <row r="1149" spans="1:28" s="2" customFormat="1" ht="15">
      <c r="A1149" s="61" t="s">
        <v>2286</v>
      </c>
      <c r="B1149" s="61" t="s">
        <v>3130</v>
      </c>
      <c r="C1149" s="61" t="s">
        <v>4706</v>
      </c>
      <c r="D1149" s="61" t="s">
        <v>7838</v>
      </c>
      <c r="E1149" s="61">
        <v>2293</v>
      </c>
      <c r="F1149" s="61">
        <v>2524</v>
      </c>
      <c r="G1149" s="61">
        <v>2025</v>
      </c>
      <c r="H1149" s="61" t="s">
        <v>3532</v>
      </c>
      <c r="I1149" s="61" t="s">
        <v>30</v>
      </c>
      <c r="J1149" s="61" t="s">
        <v>28</v>
      </c>
      <c r="K1149" s="61" t="s">
        <v>212</v>
      </c>
      <c r="L1149" s="61" t="s">
        <v>8459</v>
      </c>
      <c r="M1149" s="475">
        <v>45771</v>
      </c>
      <c r="N1149" s="475">
        <v>45777</v>
      </c>
      <c r="O1149" s="475">
        <v>45779</v>
      </c>
      <c r="P1149" s="475">
        <v>45782</v>
      </c>
      <c r="Q1149" s="475">
        <v>45791</v>
      </c>
      <c r="R1149" s="61">
        <f t="shared" si="83"/>
        <v>4</v>
      </c>
      <c r="S1149" s="61">
        <f t="shared" si="84"/>
        <v>2</v>
      </c>
      <c r="T1149" s="61">
        <f t="shared" si="85"/>
        <v>1</v>
      </c>
      <c r="U1149" s="61">
        <f t="shared" si="86"/>
        <v>7</v>
      </c>
      <c r="V1149" s="61" t="s">
        <v>150</v>
      </c>
      <c r="W1149" s="61" t="s">
        <v>1078</v>
      </c>
      <c r="X1149" s="61" t="s">
        <v>50</v>
      </c>
      <c r="Y1149" s="486">
        <v>15.25061</v>
      </c>
      <c r="Z1149" s="471">
        <v>121.00262499999999</v>
      </c>
      <c r="AA1149" s="61" t="s">
        <v>182</v>
      </c>
      <c r="AB1149" s="61"/>
    </row>
    <row r="1150" spans="1:28" s="2" customFormat="1" ht="15">
      <c r="A1150" s="61" t="s">
        <v>2286</v>
      </c>
      <c r="B1150" s="61" t="s">
        <v>3130</v>
      </c>
      <c r="C1150" s="61" t="s">
        <v>4707</v>
      </c>
      <c r="D1150" s="61" t="s">
        <v>7838</v>
      </c>
      <c r="E1150" s="61">
        <v>2480</v>
      </c>
      <c r="F1150" s="61">
        <v>2845</v>
      </c>
      <c r="G1150" s="61">
        <v>2025</v>
      </c>
      <c r="H1150" s="61" t="s">
        <v>3458</v>
      </c>
      <c r="I1150" s="61" t="s">
        <v>30</v>
      </c>
      <c r="J1150" s="61" t="s">
        <v>2289</v>
      </c>
      <c r="K1150" s="61" t="s">
        <v>212</v>
      </c>
      <c r="L1150" s="476" t="s">
        <v>8460</v>
      </c>
      <c r="M1150" s="475">
        <v>45694</v>
      </c>
      <c r="N1150" s="493">
        <v>45698</v>
      </c>
      <c r="O1150" s="475">
        <v>45699</v>
      </c>
      <c r="P1150" s="475">
        <v>45699</v>
      </c>
      <c r="Q1150" s="475">
        <v>45701</v>
      </c>
      <c r="R1150" s="61">
        <f t="shared" si="83"/>
        <v>2</v>
      </c>
      <c r="S1150" s="61">
        <f t="shared" si="84"/>
        <v>1</v>
      </c>
      <c r="T1150" s="61">
        <f t="shared" si="85"/>
        <v>1</v>
      </c>
      <c r="U1150" s="61">
        <f t="shared" si="86"/>
        <v>2</v>
      </c>
      <c r="V1150" s="61" t="s">
        <v>150</v>
      </c>
      <c r="W1150" s="61" t="s">
        <v>1078</v>
      </c>
      <c r="X1150" s="61" t="s">
        <v>50</v>
      </c>
      <c r="Y1150" s="486">
        <v>15.356259</v>
      </c>
      <c r="Z1150" s="486">
        <v>121.081228</v>
      </c>
      <c r="AA1150" s="61" t="s">
        <v>182</v>
      </c>
      <c r="AB1150" s="61"/>
    </row>
    <row r="1151" spans="1:28" s="2" customFormat="1" ht="15">
      <c r="A1151" s="61" t="s">
        <v>2286</v>
      </c>
      <c r="B1151" s="61" t="s">
        <v>3130</v>
      </c>
      <c r="C1151" s="61" t="s">
        <v>4709</v>
      </c>
      <c r="D1151" s="61" t="s">
        <v>7838</v>
      </c>
      <c r="E1151" s="61">
        <v>2914</v>
      </c>
      <c r="F1151" s="61">
        <v>3711</v>
      </c>
      <c r="G1151" s="61">
        <v>2025</v>
      </c>
      <c r="H1151" s="61" t="s">
        <v>3689</v>
      </c>
      <c r="I1151" s="61" t="s">
        <v>30</v>
      </c>
      <c r="J1151" s="61" t="s">
        <v>28</v>
      </c>
      <c r="K1151" s="61" t="s">
        <v>212</v>
      </c>
      <c r="L1151" s="476" t="s">
        <v>8461</v>
      </c>
      <c r="M1151" s="475">
        <v>45806</v>
      </c>
      <c r="N1151" s="475">
        <v>45812</v>
      </c>
      <c r="O1151" s="475">
        <v>45813</v>
      </c>
      <c r="P1151" s="475">
        <v>45813</v>
      </c>
      <c r="Q1151" s="475">
        <v>45824</v>
      </c>
      <c r="R1151" s="61">
        <f t="shared" si="83"/>
        <v>4</v>
      </c>
      <c r="S1151" s="61">
        <f t="shared" si="84"/>
        <v>1</v>
      </c>
      <c r="T1151" s="61">
        <f t="shared" si="85"/>
        <v>1</v>
      </c>
      <c r="U1151" s="61">
        <f t="shared" si="86"/>
        <v>7</v>
      </c>
      <c r="V1151" s="61" t="s">
        <v>150</v>
      </c>
      <c r="W1151" s="61" t="s">
        <v>1078</v>
      </c>
      <c r="X1151" s="61" t="s">
        <v>50</v>
      </c>
      <c r="Y1151" s="486">
        <v>15.26107</v>
      </c>
      <c r="Z1151" s="486">
        <v>120.949681</v>
      </c>
      <c r="AA1151" s="61" t="s">
        <v>182</v>
      </c>
      <c r="AB1151" s="61"/>
    </row>
    <row r="1152" spans="1:28" s="2" customFormat="1" ht="15.75">
      <c r="A1152" s="61" t="s">
        <v>2286</v>
      </c>
      <c r="B1152" s="61" t="s">
        <v>3130</v>
      </c>
      <c r="C1152" s="61" t="s">
        <v>4710</v>
      </c>
      <c r="D1152" s="61" t="s">
        <v>7838</v>
      </c>
      <c r="E1152" s="61">
        <v>10694</v>
      </c>
      <c r="F1152" s="61">
        <v>12922</v>
      </c>
      <c r="G1152" s="61">
        <v>2025</v>
      </c>
      <c r="H1152" s="61" t="s">
        <v>3126</v>
      </c>
      <c r="I1152" s="61" t="s">
        <v>30</v>
      </c>
      <c r="J1152" s="61" t="s">
        <v>28</v>
      </c>
      <c r="K1152" s="61" t="s">
        <v>212</v>
      </c>
      <c r="L1152" s="476" t="s">
        <v>8462</v>
      </c>
      <c r="M1152" s="475">
        <v>45876</v>
      </c>
      <c r="N1152" s="475">
        <v>45881</v>
      </c>
      <c r="O1152" s="475">
        <v>45882</v>
      </c>
      <c r="P1152" s="475">
        <v>45882</v>
      </c>
      <c r="Q1152" s="475">
        <v>45882</v>
      </c>
      <c r="R1152" s="61">
        <f t="shared" si="83"/>
        <v>3</v>
      </c>
      <c r="S1152" s="61">
        <f t="shared" si="84"/>
        <v>1</v>
      </c>
      <c r="T1152" s="61">
        <f t="shared" si="85"/>
        <v>1</v>
      </c>
      <c r="U1152" s="61">
        <f t="shared" si="86"/>
        <v>1</v>
      </c>
      <c r="V1152" s="61" t="s">
        <v>150</v>
      </c>
      <c r="W1152" s="61" t="s">
        <v>1078</v>
      </c>
      <c r="X1152" s="61" t="s">
        <v>50</v>
      </c>
      <c r="Y1152" s="494">
        <v>15.310548000000001</v>
      </c>
      <c r="Z1152" s="495">
        <v>120.962219</v>
      </c>
      <c r="AA1152" s="61" t="s">
        <v>182</v>
      </c>
      <c r="AB1152" s="61"/>
    </row>
    <row r="1153" spans="1:28" s="2" customFormat="1" ht="15">
      <c r="A1153" s="61" t="s">
        <v>2286</v>
      </c>
      <c r="B1153" s="61" t="s">
        <v>3130</v>
      </c>
      <c r="C1153" s="61" t="s">
        <v>4711</v>
      </c>
      <c r="D1153" s="61" t="s">
        <v>7838</v>
      </c>
      <c r="E1153" s="61">
        <v>1926</v>
      </c>
      <c r="F1153" s="61">
        <v>2004</v>
      </c>
      <c r="G1153" s="61">
        <v>2025</v>
      </c>
      <c r="H1153" s="61" t="s">
        <v>3689</v>
      </c>
      <c r="I1153" s="61" t="s">
        <v>30</v>
      </c>
      <c r="J1153" s="61" t="s">
        <v>28</v>
      </c>
      <c r="K1153" s="61" t="s">
        <v>212</v>
      </c>
      <c r="L1153" s="476" t="s">
        <v>8463</v>
      </c>
      <c r="M1153" s="475">
        <v>45805</v>
      </c>
      <c r="N1153" s="475">
        <v>45812</v>
      </c>
      <c r="O1153" s="475">
        <v>45813</v>
      </c>
      <c r="P1153" s="475">
        <v>45813</v>
      </c>
      <c r="Q1153" s="475">
        <v>45824</v>
      </c>
      <c r="R1153" s="61">
        <f t="shared" si="83"/>
        <v>5</v>
      </c>
      <c r="S1153" s="61">
        <f t="shared" si="84"/>
        <v>1</v>
      </c>
      <c r="T1153" s="61">
        <f t="shared" si="85"/>
        <v>1</v>
      </c>
      <c r="U1153" s="61">
        <f t="shared" si="86"/>
        <v>7</v>
      </c>
      <c r="V1153" s="61" t="s">
        <v>150</v>
      </c>
      <c r="W1153" s="61" t="s">
        <v>1078</v>
      </c>
      <c r="X1153" s="61" t="s">
        <v>50</v>
      </c>
      <c r="Y1153" s="486">
        <v>15.223537</v>
      </c>
      <c r="Z1153" s="486">
        <v>120.930792</v>
      </c>
      <c r="AA1153" s="61" t="s">
        <v>182</v>
      </c>
      <c r="AB1153" s="61"/>
    </row>
    <row r="1154" spans="1:28" s="2" customFormat="1" ht="15">
      <c r="A1154" s="61" t="s">
        <v>2286</v>
      </c>
      <c r="B1154" s="61" t="s">
        <v>3130</v>
      </c>
      <c r="C1154" s="61" t="s">
        <v>1203</v>
      </c>
      <c r="D1154" s="61" t="s">
        <v>7838</v>
      </c>
      <c r="E1154" s="61">
        <v>11943</v>
      </c>
      <c r="F1154" s="61">
        <v>15370</v>
      </c>
      <c r="G1154" s="61">
        <v>2025</v>
      </c>
      <c r="H1154" s="61" t="s">
        <v>3416</v>
      </c>
      <c r="I1154" s="61" t="s">
        <v>30</v>
      </c>
      <c r="J1154" s="61" t="s">
        <v>2289</v>
      </c>
      <c r="K1154" s="61" t="s">
        <v>212</v>
      </c>
      <c r="L1154" s="476" t="s">
        <v>8464</v>
      </c>
      <c r="M1154" s="475">
        <v>45708</v>
      </c>
      <c r="N1154" s="475">
        <v>45718</v>
      </c>
      <c r="O1154" s="475">
        <v>45718</v>
      </c>
      <c r="P1154" s="475">
        <v>45720</v>
      </c>
      <c r="Q1154" s="475">
        <v>45721</v>
      </c>
      <c r="R1154" s="61">
        <f t="shared" si="83"/>
        <v>6</v>
      </c>
      <c r="S1154" s="61">
        <f t="shared" si="84"/>
        <v>1</v>
      </c>
      <c r="T1154" s="61">
        <f t="shared" si="85"/>
        <v>1</v>
      </c>
      <c r="U1154" s="61">
        <f t="shared" si="86"/>
        <v>1</v>
      </c>
      <c r="V1154" s="61" t="s">
        <v>150</v>
      </c>
      <c r="W1154" s="61" t="s">
        <v>1078</v>
      </c>
      <c r="X1154" s="61" t="s">
        <v>50</v>
      </c>
      <c r="Y1154" s="486">
        <v>15.325951999999999</v>
      </c>
      <c r="Z1154" s="486">
        <v>120.962992</v>
      </c>
      <c r="AA1154" s="61" t="s">
        <v>182</v>
      </c>
      <c r="AB1154" s="61"/>
    </row>
    <row r="1155" spans="1:28" s="2" customFormat="1" ht="28.5">
      <c r="A1155" s="61" t="s">
        <v>2286</v>
      </c>
      <c r="B1155" s="61" t="s">
        <v>3130</v>
      </c>
      <c r="C1155" s="61" t="s">
        <v>4712</v>
      </c>
      <c r="D1155" s="61" t="s">
        <v>7838</v>
      </c>
      <c r="E1155" s="61">
        <v>1394</v>
      </c>
      <c r="F1155" s="61">
        <v>1820</v>
      </c>
      <c r="G1155" s="61">
        <v>2025</v>
      </c>
      <c r="H1155" s="61" t="s">
        <v>3689</v>
      </c>
      <c r="I1155" s="61" t="s">
        <v>30</v>
      </c>
      <c r="J1155" s="61" t="s">
        <v>28</v>
      </c>
      <c r="K1155" s="61" t="s">
        <v>212</v>
      </c>
      <c r="L1155" s="476" t="s">
        <v>8465</v>
      </c>
      <c r="M1155" s="475">
        <v>45805</v>
      </c>
      <c r="N1155" s="475">
        <v>45812</v>
      </c>
      <c r="O1155" s="475">
        <v>45813</v>
      </c>
      <c r="P1155" s="475">
        <v>45813</v>
      </c>
      <c r="Q1155" s="475">
        <v>45813</v>
      </c>
      <c r="R1155" s="61">
        <f t="shared" si="83"/>
        <v>5</v>
      </c>
      <c r="S1155" s="61">
        <f t="shared" si="84"/>
        <v>1</v>
      </c>
      <c r="T1155" s="61">
        <f t="shared" si="85"/>
        <v>1</v>
      </c>
      <c r="U1155" s="61">
        <f t="shared" si="86"/>
        <v>1</v>
      </c>
      <c r="V1155" s="61" t="s">
        <v>150</v>
      </c>
      <c r="W1155" s="61" t="s">
        <v>1078</v>
      </c>
      <c r="X1155" s="61" t="s">
        <v>50</v>
      </c>
      <c r="Y1155" s="486">
        <v>15.241581</v>
      </c>
      <c r="Z1155" s="486">
        <v>120.953176</v>
      </c>
      <c r="AA1155" s="61" t="s">
        <v>182</v>
      </c>
      <c r="AB1155" s="61" t="s">
        <v>8466</v>
      </c>
    </row>
    <row r="1156" spans="1:28" s="2" customFormat="1" ht="15">
      <c r="A1156" s="61" t="s">
        <v>2286</v>
      </c>
      <c r="B1156" s="61" t="s">
        <v>3130</v>
      </c>
      <c r="C1156" s="61" t="s">
        <v>4715</v>
      </c>
      <c r="D1156" s="61" t="s">
        <v>7838</v>
      </c>
      <c r="E1156" s="61">
        <v>2375</v>
      </c>
      <c r="F1156" s="61">
        <v>2139</v>
      </c>
      <c r="G1156" s="61">
        <v>2025</v>
      </c>
      <c r="H1156" s="61" t="s">
        <v>3532</v>
      </c>
      <c r="I1156" s="61" t="s">
        <v>30</v>
      </c>
      <c r="J1156" s="61" t="s">
        <v>28</v>
      </c>
      <c r="K1156" s="61" t="s">
        <v>212</v>
      </c>
      <c r="L1156" s="476" t="s">
        <v>8467</v>
      </c>
      <c r="M1156" s="475">
        <v>45772</v>
      </c>
      <c r="N1156" s="475">
        <v>45777</v>
      </c>
      <c r="O1156" s="475">
        <v>45779</v>
      </c>
      <c r="P1156" s="475">
        <v>45782</v>
      </c>
      <c r="Q1156" s="475">
        <v>45791</v>
      </c>
      <c r="R1156" s="61">
        <f t="shared" si="83"/>
        <v>3</v>
      </c>
      <c r="S1156" s="61">
        <f t="shared" si="84"/>
        <v>2</v>
      </c>
      <c r="T1156" s="61">
        <f t="shared" si="85"/>
        <v>1</v>
      </c>
      <c r="U1156" s="61">
        <f t="shared" si="86"/>
        <v>7</v>
      </c>
      <c r="V1156" s="61" t="s">
        <v>150</v>
      </c>
      <c r="W1156" s="61" t="s">
        <v>1078</v>
      </c>
      <c r="X1156" s="61" t="s">
        <v>50</v>
      </c>
      <c r="Y1156" s="486">
        <v>15.284276999999999</v>
      </c>
      <c r="Z1156" s="486">
        <v>120.99498699999999</v>
      </c>
      <c r="AA1156" s="61" t="s">
        <v>182</v>
      </c>
      <c r="AB1156" s="61"/>
    </row>
    <row r="1157" spans="1:28" s="2" customFormat="1" ht="15">
      <c r="A1157" s="61" t="s">
        <v>2286</v>
      </c>
      <c r="B1157" s="61" t="s">
        <v>3130</v>
      </c>
      <c r="C1157" s="61" t="s">
        <v>4717</v>
      </c>
      <c r="D1157" s="61" t="s">
        <v>7838</v>
      </c>
      <c r="E1157" s="61">
        <v>5633</v>
      </c>
      <c r="F1157" s="61">
        <v>5933</v>
      </c>
      <c r="G1157" s="61">
        <v>2025</v>
      </c>
      <c r="H1157" s="61" t="s">
        <v>3470</v>
      </c>
      <c r="I1157" s="61" t="s">
        <v>30</v>
      </c>
      <c r="J1157" s="61" t="s">
        <v>2289</v>
      </c>
      <c r="K1157" s="61" t="s">
        <v>212</v>
      </c>
      <c r="L1157" s="476" t="s">
        <v>8468</v>
      </c>
      <c r="M1157" s="475">
        <v>45735</v>
      </c>
      <c r="N1157" s="475">
        <v>45738</v>
      </c>
      <c r="O1157" s="475">
        <v>45754</v>
      </c>
      <c r="P1157" s="475">
        <v>45754</v>
      </c>
      <c r="Q1157" s="475">
        <v>45757</v>
      </c>
      <c r="R1157" s="61">
        <f t="shared" si="83"/>
        <v>2</v>
      </c>
      <c r="S1157" s="61">
        <f t="shared" si="84"/>
        <v>10</v>
      </c>
      <c r="T1157" s="61">
        <f t="shared" si="85"/>
        <v>1</v>
      </c>
      <c r="U1157" s="61">
        <f t="shared" si="86"/>
        <v>3</v>
      </c>
      <c r="V1157" s="61" t="s">
        <v>150</v>
      </c>
      <c r="W1157" s="61" t="s">
        <v>1078</v>
      </c>
      <c r="X1157" s="61" t="s">
        <v>50</v>
      </c>
      <c r="Y1157" s="486">
        <v>15.308365</v>
      </c>
      <c r="Z1157" s="486">
        <v>120.945894</v>
      </c>
      <c r="AA1157" s="61" t="s">
        <v>182</v>
      </c>
      <c r="AB1157" s="61"/>
    </row>
    <row r="1158" spans="1:28" s="2" customFormat="1" ht="15">
      <c r="A1158" s="61" t="s">
        <v>2286</v>
      </c>
      <c r="B1158" s="61" t="s">
        <v>3130</v>
      </c>
      <c r="C1158" s="61" t="s">
        <v>1439</v>
      </c>
      <c r="D1158" s="61" t="s">
        <v>7838</v>
      </c>
      <c r="E1158" s="61">
        <v>12771</v>
      </c>
      <c r="F1158" s="61">
        <v>13142</v>
      </c>
      <c r="G1158" s="61">
        <v>2025</v>
      </c>
      <c r="H1158" s="61" t="s">
        <v>3126</v>
      </c>
      <c r="I1158" s="61" t="s">
        <v>30</v>
      </c>
      <c r="J1158" s="61" t="s">
        <v>28</v>
      </c>
      <c r="K1158" s="61" t="s">
        <v>212</v>
      </c>
      <c r="L1158" s="61" t="s">
        <v>8469</v>
      </c>
      <c r="M1158" s="475">
        <v>45882</v>
      </c>
      <c r="N1158" s="475">
        <v>45884</v>
      </c>
      <c r="O1158" s="475">
        <v>45887</v>
      </c>
      <c r="P1158" s="475">
        <v>45888</v>
      </c>
      <c r="Q1158" s="475">
        <v>45888</v>
      </c>
      <c r="R1158" s="61">
        <f t="shared" si="83"/>
        <v>2</v>
      </c>
      <c r="S1158" s="61">
        <f t="shared" si="84"/>
        <v>1</v>
      </c>
      <c r="T1158" s="61">
        <f t="shared" si="85"/>
        <v>1</v>
      </c>
      <c r="U1158" s="61">
        <f t="shared" si="86"/>
        <v>1</v>
      </c>
      <c r="V1158" s="61" t="s">
        <v>150</v>
      </c>
      <c r="W1158" s="61" t="s">
        <v>1078</v>
      </c>
      <c r="X1158" s="61" t="s">
        <v>50</v>
      </c>
      <c r="Y1158" s="494">
        <v>15.303132</v>
      </c>
      <c r="Z1158" s="486">
        <v>120.935692</v>
      </c>
      <c r="AA1158" s="61" t="s">
        <v>182</v>
      </c>
      <c r="AB1158" s="61"/>
    </row>
    <row r="1159" spans="1:28" s="2" customFormat="1" ht="15">
      <c r="A1159" s="61" t="s">
        <v>2286</v>
      </c>
      <c r="B1159" s="61" t="s">
        <v>3130</v>
      </c>
      <c r="C1159" s="61" t="s">
        <v>3974</v>
      </c>
      <c r="D1159" s="61" t="s">
        <v>7838</v>
      </c>
      <c r="E1159" s="61">
        <v>8699</v>
      </c>
      <c r="F1159" s="61">
        <v>9525</v>
      </c>
      <c r="G1159" s="61">
        <v>2025</v>
      </c>
      <c r="H1159" s="61" t="s">
        <v>3689</v>
      </c>
      <c r="I1159" s="61" t="s">
        <v>30</v>
      </c>
      <c r="J1159" s="61" t="s">
        <v>28</v>
      </c>
      <c r="K1159" s="61" t="s">
        <v>212</v>
      </c>
      <c r="L1159" s="476" t="s">
        <v>8470</v>
      </c>
      <c r="M1159" s="475">
        <v>45805</v>
      </c>
      <c r="N1159" s="475">
        <v>45812</v>
      </c>
      <c r="O1159" s="475">
        <v>45813</v>
      </c>
      <c r="P1159" s="475">
        <v>45813</v>
      </c>
      <c r="Q1159" s="475">
        <v>45824</v>
      </c>
      <c r="R1159" s="61">
        <f t="shared" si="83"/>
        <v>5</v>
      </c>
      <c r="S1159" s="61">
        <f t="shared" si="84"/>
        <v>1</v>
      </c>
      <c r="T1159" s="61">
        <f t="shared" si="85"/>
        <v>1</v>
      </c>
      <c r="U1159" s="61">
        <f t="shared" si="86"/>
        <v>7</v>
      </c>
      <c r="V1159" s="61" t="s">
        <v>150</v>
      </c>
      <c r="W1159" s="61" t="s">
        <v>1078</v>
      </c>
      <c r="X1159" s="61" t="s">
        <v>50</v>
      </c>
      <c r="Y1159" s="486">
        <v>15.241581</v>
      </c>
      <c r="Z1159" s="486">
        <v>120.953176</v>
      </c>
      <c r="AA1159" s="61" t="s">
        <v>182</v>
      </c>
      <c r="AB1159" s="61"/>
    </row>
    <row r="1160" spans="1:28" s="2" customFormat="1" ht="15">
      <c r="A1160" s="61" t="s">
        <v>2286</v>
      </c>
      <c r="B1160" s="61" t="s">
        <v>3130</v>
      </c>
      <c r="C1160" s="61" t="s">
        <v>3878</v>
      </c>
      <c r="D1160" s="61" t="s">
        <v>7838</v>
      </c>
      <c r="E1160" s="61">
        <v>8601</v>
      </c>
      <c r="F1160" s="61">
        <v>9092</v>
      </c>
      <c r="G1160" s="61">
        <v>2025</v>
      </c>
      <c r="H1160" s="61" t="s">
        <v>3470</v>
      </c>
      <c r="I1160" s="61" t="s">
        <v>30</v>
      </c>
      <c r="J1160" s="61" t="s">
        <v>2289</v>
      </c>
      <c r="K1160" s="61" t="s">
        <v>212</v>
      </c>
      <c r="L1160" s="61" t="s">
        <v>8471</v>
      </c>
      <c r="M1160" s="475">
        <v>45735</v>
      </c>
      <c r="N1160" s="475">
        <v>45738</v>
      </c>
      <c r="O1160" s="475">
        <v>45754</v>
      </c>
      <c r="P1160" s="475">
        <v>45754</v>
      </c>
      <c r="Q1160" s="475">
        <v>45757</v>
      </c>
      <c r="R1160" s="61">
        <f t="shared" si="83"/>
        <v>2</v>
      </c>
      <c r="S1160" s="61">
        <f t="shared" si="84"/>
        <v>10</v>
      </c>
      <c r="T1160" s="61">
        <f t="shared" si="85"/>
        <v>1</v>
      </c>
      <c r="U1160" s="61">
        <f t="shared" si="86"/>
        <v>3</v>
      </c>
      <c r="V1160" s="61" t="s">
        <v>150</v>
      </c>
      <c r="W1160" s="61" t="s">
        <v>1078</v>
      </c>
      <c r="X1160" s="61" t="s">
        <v>50</v>
      </c>
      <c r="Y1160" s="486">
        <v>15.308365</v>
      </c>
      <c r="Z1160" s="486">
        <v>120.945894</v>
      </c>
      <c r="AA1160" s="61" t="s">
        <v>182</v>
      </c>
      <c r="AB1160" s="61"/>
    </row>
    <row r="1161" spans="1:28" s="2" customFormat="1" ht="15.75">
      <c r="A1161" s="61" t="s">
        <v>2286</v>
      </c>
      <c r="B1161" s="61" t="s">
        <v>3130</v>
      </c>
      <c r="C1161" s="61" t="s">
        <v>1899</v>
      </c>
      <c r="D1161" s="61" t="s">
        <v>7838</v>
      </c>
      <c r="E1161" s="61">
        <v>3797</v>
      </c>
      <c r="F1161" s="61">
        <v>3680</v>
      </c>
      <c r="G1161" s="61">
        <v>2025</v>
      </c>
      <c r="H1161" s="61" t="s">
        <v>3126</v>
      </c>
      <c r="I1161" s="61" t="s">
        <v>30</v>
      </c>
      <c r="J1161" s="61" t="s">
        <v>2289</v>
      </c>
      <c r="K1161" s="61" t="s">
        <v>212</v>
      </c>
      <c r="L1161" s="61" t="s">
        <v>8472</v>
      </c>
      <c r="M1161" s="475">
        <v>45876</v>
      </c>
      <c r="N1161" s="475">
        <v>45880</v>
      </c>
      <c r="O1161" s="475">
        <v>45881</v>
      </c>
      <c r="P1161" s="475">
        <v>45881</v>
      </c>
      <c r="Q1161" s="475">
        <v>45882</v>
      </c>
      <c r="R1161" s="61">
        <f t="shared" si="83"/>
        <v>2</v>
      </c>
      <c r="S1161" s="61">
        <f t="shared" si="84"/>
        <v>1</v>
      </c>
      <c r="T1161" s="61">
        <f t="shared" si="85"/>
        <v>1</v>
      </c>
      <c r="U1161" s="61">
        <f t="shared" si="86"/>
        <v>1</v>
      </c>
      <c r="V1161" s="61" t="s">
        <v>150</v>
      </c>
      <c r="W1161" s="61" t="s">
        <v>1078</v>
      </c>
      <c r="X1161" s="61" t="s">
        <v>50</v>
      </c>
      <c r="Y1161" s="494">
        <v>15.289386</v>
      </c>
      <c r="Z1161" s="495">
        <v>120.980508</v>
      </c>
      <c r="AA1161" s="61" t="s">
        <v>182</v>
      </c>
      <c r="AB1161" s="61"/>
    </row>
    <row r="1162" spans="1:28" s="2" customFormat="1" ht="15">
      <c r="A1162" s="61" t="s">
        <v>2286</v>
      </c>
      <c r="B1162" s="61" t="s">
        <v>3130</v>
      </c>
      <c r="C1162" s="61" t="s">
        <v>4720</v>
      </c>
      <c r="D1162" s="61" t="s">
        <v>7838</v>
      </c>
      <c r="E1162" s="61">
        <v>4600</v>
      </c>
      <c r="F1162" s="61">
        <v>6162</v>
      </c>
      <c r="G1162" s="61">
        <v>2025</v>
      </c>
      <c r="H1162" s="61" t="s">
        <v>3689</v>
      </c>
      <c r="I1162" s="61" t="s">
        <v>30</v>
      </c>
      <c r="J1162" s="61" t="s">
        <v>28</v>
      </c>
      <c r="K1162" s="61" t="s">
        <v>212</v>
      </c>
      <c r="L1162" s="61" t="s">
        <v>8473</v>
      </c>
      <c r="M1162" s="475">
        <v>45806</v>
      </c>
      <c r="N1162" s="475">
        <v>45813</v>
      </c>
      <c r="O1162" s="475">
        <v>45817</v>
      </c>
      <c r="P1162" s="475">
        <v>45817</v>
      </c>
      <c r="Q1162" s="475">
        <v>45824</v>
      </c>
      <c r="R1162" s="61">
        <f t="shared" si="83"/>
        <v>5</v>
      </c>
      <c r="S1162" s="61">
        <f t="shared" si="84"/>
        <v>2</v>
      </c>
      <c r="T1162" s="61">
        <f t="shared" si="85"/>
        <v>1</v>
      </c>
      <c r="U1162" s="61">
        <f t="shared" si="86"/>
        <v>5</v>
      </c>
      <c r="V1162" s="61" t="s">
        <v>150</v>
      </c>
      <c r="W1162" s="61" t="s">
        <v>1078</v>
      </c>
      <c r="X1162" s="61" t="s">
        <v>50</v>
      </c>
      <c r="Y1162" s="486">
        <v>15.287298</v>
      </c>
      <c r="Z1162" s="486">
        <v>120.947428</v>
      </c>
      <c r="AA1162" s="61" t="s">
        <v>182</v>
      </c>
      <c r="AB1162" s="61"/>
    </row>
    <row r="1163" spans="1:28" s="2" customFormat="1" ht="15">
      <c r="A1163" s="61" t="s">
        <v>2286</v>
      </c>
      <c r="B1163" s="61" t="s">
        <v>3130</v>
      </c>
      <c r="C1163" s="61" t="s">
        <v>4722</v>
      </c>
      <c r="D1163" s="61" t="s">
        <v>7838</v>
      </c>
      <c r="E1163" s="61">
        <v>4349</v>
      </c>
      <c r="F1163" s="61">
        <v>4483</v>
      </c>
      <c r="G1163" s="61">
        <v>2025</v>
      </c>
      <c r="H1163" s="61" t="s">
        <v>3689</v>
      </c>
      <c r="I1163" s="61" t="s">
        <v>30</v>
      </c>
      <c r="J1163" s="61" t="s">
        <v>28</v>
      </c>
      <c r="K1163" s="61" t="s">
        <v>212</v>
      </c>
      <c r="L1163" s="61" t="s">
        <v>8474</v>
      </c>
      <c r="M1163" s="475">
        <v>45806</v>
      </c>
      <c r="N1163" s="475">
        <v>45812</v>
      </c>
      <c r="O1163" s="475">
        <v>45813</v>
      </c>
      <c r="P1163" s="475">
        <v>45813</v>
      </c>
      <c r="Q1163" s="475">
        <v>45824</v>
      </c>
      <c r="R1163" s="61">
        <f t="shared" si="83"/>
        <v>4</v>
      </c>
      <c r="S1163" s="61">
        <f t="shared" si="84"/>
        <v>1</v>
      </c>
      <c r="T1163" s="61">
        <f t="shared" si="85"/>
        <v>1</v>
      </c>
      <c r="U1163" s="61">
        <f t="shared" si="86"/>
        <v>7</v>
      </c>
      <c r="V1163" s="61" t="s">
        <v>150</v>
      </c>
      <c r="W1163" s="61" t="s">
        <v>1078</v>
      </c>
      <c r="X1163" s="61" t="s">
        <v>50</v>
      </c>
      <c r="Y1163" s="494">
        <v>15.26491</v>
      </c>
      <c r="Z1163" s="494">
        <v>120.951312</v>
      </c>
      <c r="AA1163" s="61" t="s">
        <v>182</v>
      </c>
      <c r="AB1163" s="61"/>
    </row>
    <row r="1164" spans="1:28" s="2" customFormat="1" ht="15">
      <c r="A1164" s="61" t="s">
        <v>2286</v>
      </c>
      <c r="B1164" s="61" t="s">
        <v>3130</v>
      </c>
      <c r="C1164" s="61" t="s">
        <v>3727</v>
      </c>
      <c r="D1164" s="61" t="s">
        <v>7838</v>
      </c>
      <c r="E1164" s="61">
        <v>5524</v>
      </c>
      <c r="F1164" s="61">
        <v>5019</v>
      </c>
      <c r="G1164" s="61">
        <v>2025</v>
      </c>
      <c r="H1164" s="61" t="s">
        <v>3126</v>
      </c>
      <c r="I1164" s="61" t="s">
        <v>30</v>
      </c>
      <c r="J1164" s="61" t="s">
        <v>28</v>
      </c>
      <c r="K1164" s="61" t="s">
        <v>212</v>
      </c>
      <c r="L1164" s="61" t="s">
        <v>8475</v>
      </c>
      <c r="M1164" s="496">
        <v>45882</v>
      </c>
      <c r="N1164" s="475">
        <v>45884</v>
      </c>
      <c r="O1164" s="475">
        <v>45887</v>
      </c>
      <c r="P1164" s="475">
        <v>45888</v>
      </c>
      <c r="Q1164" s="475">
        <v>45888</v>
      </c>
      <c r="R1164" s="61">
        <f t="shared" si="83"/>
        <v>2</v>
      </c>
      <c r="S1164" s="61">
        <f t="shared" si="84"/>
        <v>1</v>
      </c>
      <c r="T1164" s="61">
        <f t="shared" si="85"/>
        <v>1</v>
      </c>
      <c r="U1164" s="61">
        <f t="shared" si="86"/>
        <v>1</v>
      </c>
      <c r="V1164" s="61" t="s">
        <v>150</v>
      </c>
      <c r="W1164" s="61" t="s">
        <v>1078</v>
      </c>
      <c r="X1164" s="61" t="s">
        <v>50</v>
      </c>
      <c r="Y1164" s="494">
        <v>15.308584</v>
      </c>
      <c r="Z1164" s="494">
        <v>120.944485</v>
      </c>
      <c r="AA1164" s="61" t="s">
        <v>182</v>
      </c>
      <c r="AB1164" s="61"/>
    </row>
    <row r="1165" spans="1:28" s="2" customFormat="1" ht="15">
      <c r="A1165" s="61" t="s">
        <v>2286</v>
      </c>
      <c r="B1165" s="61" t="s">
        <v>3130</v>
      </c>
      <c r="C1165" s="61" t="s">
        <v>4701</v>
      </c>
      <c r="D1165" s="61" t="s">
        <v>7838</v>
      </c>
      <c r="E1165" s="61">
        <v>2349</v>
      </c>
      <c r="F1165" s="61">
        <v>2633</v>
      </c>
      <c r="G1165" s="61">
        <v>2025</v>
      </c>
      <c r="H1165" s="61" t="s">
        <v>3129</v>
      </c>
      <c r="I1165" s="61" t="s">
        <v>30</v>
      </c>
      <c r="J1165" s="61" t="s">
        <v>2289</v>
      </c>
      <c r="K1165" s="61" t="s">
        <v>212</v>
      </c>
      <c r="L1165" s="61" t="s">
        <v>8476</v>
      </c>
      <c r="M1165" s="475">
        <v>45952</v>
      </c>
      <c r="N1165" s="475">
        <v>45956</v>
      </c>
      <c r="O1165" s="475">
        <v>45980</v>
      </c>
      <c r="P1165" s="475">
        <v>45981</v>
      </c>
      <c r="Q1165" s="475">
        <v>45981</v>
      </c>
      <c r="R1165" s="61">
        <f t="shared" si="83"/>
        <v>2</v>
      </c>
      <c r="S1165" s="61">
        <f t="shared" si="84"/>
        <v>17</v>
      </c>
      <c r="T1165" s="61">
        <f t="shared" si="85"/>
        <v>1</v>
      </c>
      <c r="U1165" s="61">
        <f t="shared" si="86"/>
        <v>1</v>
      </c>
      <c r="V1165" s="61" t="s">
        <v>150</v>
      </c>
      <c r="W1165" s="61" t="s">
        <v>1078</v>
      </c>
      <c r="X1165" s="61" t="s">
        <v>50</v>
      </c>
      <c r="Y1165" s="471">
        <v>15.296526</v>
      </c>
      <c r="Z1165" s="471">
        <v>120.948705</v>
      </c>
      <c r="AA1165" s="61" t="s">
        <v>182</v>
      </c>
      <c r="AB1165" s="61"/>
    </row>
    <row r="1166" spans="1:28" s="2" customFormat="1" ht="28.5">
      <c r="A1166" s="61" t="s">
        <v>2286</v>
      </c>
      <c r="B1166" s="61" t="s">
        <v>3131</v>
      </c>
      <c r="C1166" s="61" t="s">
        <v>4725</v>
      </c>
      <c r="D1166" s="61" t="s">
        <v>7838</v>
      </c>
      <c r="E1166" s="61">
        <v>1190</v>
      </c>
      <c r="F1166" s="61">
        <v>1289</v>
      </c>
      <c r="G1166" s="61">
        <v>2025</v>
      </c>
      <c r="H1166" s="61" t="s">
        <v>3126</v>
      </c>
      <c r="I1166" s="61" t="s">
        <v>26</v>
      </c>
      <c r="J1166" s="61" t="s">
        <v>2289</v>
      </c>
      <c r="K1166" s="61" t="s">
        <v>212</v>
      </c>
      <c r="L1166" s="61" t="s">
        <v>8477</v>
      </c>
      <c r="M1166" s="496">
        <v>45882</v>
      </c>
      <c r="N1166" s="475">
        <v>45884</v>
      </c>
      <c r="O1166" s="475">
        <v>45887</v>
      </c>
      <c r="P1166" s="475">
        <v>45888</v>
      </c>
      <c r="Q1166" s="475">
        <v>45888</v>
      </c>
      <c r="R1166" s="61">
        <f t="shared" si="83"/>
        <v>2</v>
      </c>
      <c r="S1166" s="61">
        <f t="shared" si="84"/>
        <v>1</v>
      </c>
      <c r="T1166" s="61">
        <f t="shared" si="85"/>
        <v>1</v>
      </c>
      <c r="U1166" s="61">
        <f t="shared" si="86"/>
        <v>1</v>
      </c>
      <c r="V1166" s="61" t="s">
        <v>150</v>
      </c>
      <c r="W1166" s="61" t="s">
        <v>4</v>
      </c>
      <c r="X1166" s="61" t="s">
        <v>50</v>
      </c>
      <c r="Y1166" s="494">
        <v>15.52092</v>
      </c>
      <c r="Z1166" s="494">
        <v>121.09359000000001</v>
      </c>
      <c r="AA1166" s="61" t="s">
        <v>8478</v>
      </c>
      <c r="AB1166" s="61"/>
    </row>
    <row r="1167" spans="1:28" s="2" customFormat="1" ht="15">
      <c r="A1167" s="61" t="s">
        <v>2286</v>
      </c>
      <c r="B1167" s="61" t="s">
        <v>3131</v>
      </c>
      <c r="C1167" s="61" t="s">
        <v>4728</v>
      </c>
      <c r="D1167" s="61" t="s">
        <v>7838</v>
      </c>
      <c r="E1167" s="61">
        <v>2981</v>
      </c>
      <c r="F1167" s="61">
        <v>3614</v>
      </c>
      <c r="G1167" s="61">
        <v>2025</v>
      </c>
      <c r="H1167" s="61" t="s">
        <v>3416</v>
      </c>
      <c r="I1167" s="61" t="s">
        <v>26</v>
      </c>
      <c r="J1167" s="61" t="s">
        <v>2289</v>
      </c>
      <c r="K1167" s="61" t="s">
        <v>212</v>
      </c>
      <c r="L1167" s="61" t="s">
        <v>8479</v>
      </c>
      <c r="M1167" s="475">
        <v>45720</v>
      </c>
      <c r="N1167" s="475">
        <v>45726</v>
      </c>
      <c r="O1167" s="475">
        <v>45729</v>
      </c>
      <c r="P1167" s="475">
        <v>45735</v>
      </c>
      <c r="Q1167" s="475">
        <v>45735</v>
      </c>
      <c r="R1167" s="61">
        <f t="shared" si="83"/>
        <v>4</v>
      </c>
      <c r="S1167" s="61">
        <f t="shared" si="84"/>
        <v>3</v>
      </c>
      <c r="T1167" s="61">
        <f t="shared" si="85"/>
        <v>4</v>
      </c>
      <c r="U1167" s="61">
        <f t="shared" si="86"/>
        <v>1</v>
      </c>
      <c r="V1167" s="61" t="s">
        <v>150</v>
      </c>
      <c r="W1167" s="61" t="s">
        <v>4</v>
      </c>
      <c r="X1167" s="61" t="s">
        <v>50</v>
      </c>
      <c r="Y1167" s="478">
        <v>15.54285</v>
      </c>
      <c r="Z1167" s="478">
        <v>121.09224</v>
      </c>
      <c r="AA1167" s="61" t="s">
        <v>8015</v>
      </c>
      <c r="AB1167" s="61" t="s">
        <v>8480</v>
      </c>
    </row>
    <row r="1168" spans="1:28" s="2" customFormat="1" ht="15">
      <c r="A1168" s="61" t="s">
        <v>2286</v>
      </c>
      <c r="B1168" s="61" t="s">
        <v>3131</v>
      </c>
      <c r="C1168" s="61" t="s">
        <v>4731</v>
      </c>
      <c r="D1168" s="61" t="s">
        <v>7838</v>
      </c>
      <c r="E1168" s="61">
        <v>1323</v>
      </c>
      <c r="F1168" s="61">
        <v>1354</v>
      </c>
      <c r="G1168" s="61">
        <v>2025</v>
      </c>
      <c r="H1168" s="61" t="s">
        <v>3416</v>
      </c>
      <c r="I1168" s="61" t="s">
        <v>26</v>
      </c>
      <c r="J1168" s="61" t="s">
        <v>2289</v>
      </c>
      <c r="K1168" s="61" t="s">
        <v>212</v>
      </c>
      <c r="L1168" s="61" t="s">
        <v>8481</v>
      </c>
      <c r="M1168" s="475">
        <v>45716</v>
      </c>
      <c r="N1168" s="475">
        <v>45720</v>
      </c>
      <c r="O1168" s="475">
        <v>45720</v>
      </c>
      <c r="P1168" s="475">
        <v>45720</v>
      </c>
      <c r="Q1168" s="475">
        <v>45730</v>
      </c>
      <c r="R1168" s="61">
        <f t="shared" si="83"/>
        <v>2</v>
      </c>
      <c r="S1168" s="61">
        <f t="shared" si="84"/>
        <v>1</v>
      </c>
      <c r="T1168" s="61">
        <f t="shared" si="85"/>
        <v>1</v>
      </c>
      <c r="U1168" s="61">
        <f t="shared" si="86"/>
        <v>8</v>
      </c>
      <c r="V1168" s="61" t="s">
        <v>150</v>
      </c>
      <c r="W1168" s="61" t="s">
        <v>4</v>
      </c>
      <c r="X1168" s="61" t="s">
        <v>50</v>
      </c>
      <c r="Y1168" s="486">
        <v>15.54147</v>
      </c>
      <c r="Z1168" s="486" t="s">
        <v>8482</v>
      </c>
      <c r="AA1168" s="61" t="s">
        <v>8015</v>
      </c>
      <c r="AB1168" s="61"/>
    </row>
    <row r="1169" spans="1:28" s="2" customFormat="1" ht="28.5">
      <c r="A1169" s="61" t="s">
        <v>2286</v>
      </c>
      <c r="B1169" s="61" t="s">
        <v>3131</v>
      </c>
      <c r="C1169" s="61" t="s">
        <v>4732</v>
      </c>
      <c r="D1169" s="61" t="s">
        <v>7838</v>
      </c>
      <c r="E1169" s="61">
        <v>2356</v>
      </c>
      <c r="F1169" s="61">
        <v>2596</v>
      </c>
      <c r="G1169" s="61">
        <v>2025</v>
      </c>
      <c r="H1169" s="61" t="s">
        <v>3126</v>
      </c>
      <c r="I1169" s="61" t="s">
        <v>26</v>
      </c>
      <c r="J1169" s="61" t="s">
        <v>2289</v>
      </c>
      <c r="K1169" s="61" t="s">
        <v>212</v>
      </c>
      <c r="L1169" s="61" t="s">
        <v>8483</v>
      </c>
      <c r="M1169" s="475">
        <v>45882</v>
      </c>
      <c r="N1169" s="475">
        <v>45885</v>
      </c>
      <c r="O1169" s="475">
        <v>45888</v>
      </c>
      <c r="P1169" s="475">
        <v>45888</v>
      </c>
      <c r="Q1169" s="475">
        <v>45888</v>
      </c>
      <c r="R1169" s="61">
        <f t="shared" si="83"/>
        <v>2</v>
      </c>
      <c r="S1169" s="61">
        <f t="shared" si="84"/>
        <v>1</v>
      </c>
      <c r="T1169" s="61">
        <f t="shared" si="85"/>
        <v>1</v>
      </c>
      <c r="U1169" s="61">
        <f t="shared" si="86"/>
        <v>1</v>
      </c>
      <c r="V1169" s="61" t="s">
        <v>150</v>
      </c>
      <c r="W1169" s="61" t="s">
        <v>4</v>
      </c>
      <c r="X1169" s="61" t="s">
        <v>62</v>
      </c>
      <c r="Y1169" s="486">
        <v>15.577209999999999</v>
      </c>
      <c r="Z1169" s="486">
        <v>121.1219</v>
      </c>
      <c r="AA1169" s="61" t="s">
        <v>8478</v>
      </c>
      <c r="AB1169" s="61"/>
    </row>
    <row r="1170" spans="1:28" s="2" customFormat="1" ht="15">
      <c r="A1170" s="61" t="s">
        <v>2286</v>
      </c>
      <c r="B1170" s="61" t="s">
        <v>3131</v>
      </c>
      <c r="C1170" s="61" t="s">
        <v>4734</v>
      </c>
      <c r="D1170" s="61" t="s">
        <v>7838</v>
      </c>
      <c r="E1170" s="61">
        <v>1893</v>
      </c>
      <c r="F1170" s="61">
        <v>2131</v>
      </c>
      <c r="G1170" s="61">
        <v>2025</v>
      </c>
      <c r="H1170" s="61" t="s">
        <v>3416</v>
      </c>
      <c r="I1170" s="61" t="s">
        <v>26</v>
      </c>
      <c r="J1170" s="61" t="s">
        <v>2289</v>
      </c>
      <c r="K1170" s="61" t="s">
        <v>212</v>
      </c>
      <c r="L1170" s="497" t="s">
        <v>8484</v>
      </c>
      <c r="M1170" s="475">
        <v>45716</v>
      </c>
      <c r="N1170" s="475">
        <v>45720</v>
      </c>
      <c r="O1170" s="475">
        <v>45720</v>
      </c>
      <c r="P1170" s="475">
        <v>45720</v>
      </c>
      <c r="Q1170" s="475">
        <v>45720</v>
      </c>
      <c r="R1170" s="61">
        <f t="shared" si="83"/>
        <v>2</v>
      </c>
      <c r="S1170" s="61">
        <f t="shared" si="84"/>
        <v>1</v>
      </c>
      <c r="T1170" s="61">
        <f t="shared" si="85"/>
        <v>1</v>
      </c>
      <c r="U1170" s="61">
        <f t="shared" si="86"/>
        <v>1</v>
      </c>
      <c r="V1170" s="61" t="s">
        <v>150</v>
      </c>
      <c r="W1170" s="61" t="s">
        <v>4</v>
      </c>
      <c r="X1170" s="61" t="s">
        <v>50</v>
      </c>
      <c r="Y1170" s="478">
        <v>15.54147</v>
      </c>
      <c r="Z1170" s="478" t="s">
        <v>8482</v>
      </c>
      <c r="AA1170" s="61" t="s">
        <v>8015</v>
      </c>
      <c r="AB1170" s="61"/>
    </row>
    <row r="1171" spans="1:28" s="2" customFormat="1" ht="15">
      <c r="A1171" s="61" t="s">
        <v>2286</v>
      </c>
      <c r="B1171" s="61" t="s">
        <v>3131</v>
      </c>
      <c r="C1171" s="61" t="s">
        <v>4735</v>
      </c>
      <c r="D1171" s="61" t="s">
        <v>7838</v>
      </c>
      <c r="E1171" s="61">
        <v>1929</v>
      </c>
      <c r="F1171" s="61">
        <v>2189</v>
      </c>
      <c r="G1171" s="61">
        <v>2025</v>
      </c>
      <c r="H1171" s="61" t="s">
        <v>3416</v>
      </c>
      <c r="I1171" s="61" t="s">
        <v>26</v>
      </c>
      <c r="J1171" s="61" t="s">
        <v>2289</v>
      </c>
      <c r="K1171" s="61" t="s">
        <v>212</v>
      </c>
      <c r="L1171" s="61" t="s">
        <v>8485</v>
      </c>
      <c r="M1171" s="475">
        <v>45722</v>
      </c>
      <c r="N1171" s="475">
        <v>45726</v>
      </c>
      <c r="O1171" s="475">
        <v>45729</v>
      </c>
      <c r="P1171" s="475">
        <v>45735</v>
      </c>
      <c r="Q1171" s="475">
        <v>45735</v>
      </c>
      <c r="R1171" s="61">
        <f t="shared" si="83"/>
        <v>2</v>
      </c>
      <c r="S1171" s="61">
        <f t="shared" si="84"/>
        <v>3</v>
      </c>
      <c r="T1171" s="61">
        <f t="shared" si="85"/>
        <v>4</v>
      </c>
      <c r="U1171" s="61">
        <f t="shared" si="86"/>
        <v>1</v>
      </c>
      <c r="V1171" s="61" t="s">
        <v>150</v>
      </c>
      <c r="W1171" s="61" t="s">
        <v>4</v>
      </c>
      <c r="X1171" s="61" t="s">
        <v>50</v>
      </c>
      <c r="Y1171" s="478">
        <v>15.530469999999999</v>
      </c>
      <c r="Z1171" s="478">
        <v>121.0616</v>
      </c>
      <c r="AA1171" s="61" t="s">
        <v>8015</v>
      </c>
      <c r="AB1171" s="61" t="s">
        <v>8480</v>
      </c>
    </row>
    <row r="1172" spans="1:28" s="2" customFormat="1" ht="28.5">
      <c r="A1172" s="61" t="s">
        <v>2286</v>
      </c>
      <c r="B1172" s="61" t="s">
        <v>3131</v>
      </c>
      <c r="C1172" s="61" t="s">
        <v>4738</v>
      </c>
      <c r="D1172" s="61" t="s">
        <v>7838</v>
      </c>
      <c r="E1172" s="61">
        <v>2393</v>
      </c>
      <c r="F1172" s="61">
        <v>2742</v>
      </c>
      <c r="G1172" s="61">
        <v>2025</v>
      </c>
      <c r="H1172" s="61" t="s">
        <v>3126</v>
      </c>
      <c r="I1172" s="61" t="s">
        <v>26</v>
      </c>
      <c r="J1172" s="61" t="s">
        <v>2289</v>
      </c>
      <c r="K1172" s="61" t="s">
        <v>212</v>
      </c>
      <c r="L1172" s="61" t="s">
        <v>8486</v>
      </c>
      <c r="M1172" s="475">
        <v>45882</v>
      </c>
      <c r="N1172" s="475">
        <v>45885</v>
      </c>
      <c r="O1172" s="475">
        <v>45888</v>
      </c>
      <c r="P1172" s="475">
        <v>45888</v>
      </c>
      <c r="Q1172" s="475">
        <v>45888</v>
      </c>
      <c r="R1172" s="61">
        <f t="shared" si="83"/>
        <v>2</v>
      </c>
      <c r="S1172" s="61">
        <f t="shared" si="84"/>
        <v>1</v>
      </c>
      <c r="T1172" s="61">
        <f t="shared" si="85"/>
        <v>1</v>
      </c>
      <c r="U1172" s="61">
        <f t="shared" si="86"/>
        <v>1</v>
      </c>
      <c r="V1172" s="61" t="s">
        <v>150</v>
      </c>
      <c r="W1172" s="61" t="s">
        <v>4</v>
      </c>
      <c r="X1172" s="61" t="s">
        <v>50</v>
      </c>
      <c r="Y1172" s="478">
        <v>15.586040000000001</v>
      </c>
      <c r="Z1172" s="478">
        <v>121.11836</v>
      </c>
      <c r="AA1172" s="61" t="s">
        <v>8478</v>
      </c>
      <c r="AB1172" s="61"/>
    </row>
    <row r="1173" spans="1:28" s="2" customFormat="1" ht="15">
      <c r="A1173" s="61" t="s">
        <v>2286</v>
      </c>
      <c r="B1173" s="61" t="s">
        <v>3131</v>
      </c>
      <c r="C1173" s="61" t="s">
        <v>4740</v>
      </c>
      <c r="D1173" s="61" t="s">
        <v>7838</v>
      </c>
      <c r="E1173" s="61">
        <v>997</v>
      </c>
      <c r="F1173" s="61">
        <v>1206</v>
      </c>
      <c r="G1173" s="61">
        <v>2025</v>
      </c>
      <c r="H1173" s="61" t="s">
        <v>3416</v>
      </c>
      <c r="I1173" s="61" t="s">
        <v>26</v>
      </c>
      <c r="J1173" s="61" t="s">
        <v>2289</v>
      </c>
      <c r="K1173" s="61" t="s">
        <v>212</v>
      </c>
      <c r="L1173" s="476" t="s">
        <v>8487</v>
      </c>
      <c r="M1173" s="475">
        <v>45722</v>
      </c>
      <c r="N1173" s="475">
        <v>45726</v>
      </c>
      <c r="O1173" s="475">
        <v>45729</v>
      </c>
      <c r="P1173" s="475">
        <v>45735</v>
      </c>
      <c r="Q1173" s="475">
        <v>45735</v>
      </c>
      <c r="R1173" s="61">
        <f t="shared" si="83"/>
        <v>2</v>
      </c>
      <c r="S1173" s="61">
        <f t="shared" si="84"/>
        <v>3</v>
      </c>
      <c r="T1173" s="61">
        <f t="shared" si="85"/>
        <v>4</v>
      </c>
      <c r="U1173" s="61">
        <f t="shared" si="86"/>
        <v>1</v>
      </c>
      <c r="V1173" s="61" t="s">
        <v>150</v>
      </c>
      <c r="W1173" s="61" t="s">
        <v>4</v>
      </c>
      <c r="X1173" s="61" t="s">
        <v>50</v>
      </c>
      <c r="Y1173" s="478">
        <v>15.53689</v>
      </c>
      <c r="Z1173" s="478">
        <v>121.05777999999999</v>
      </c>
      <c r="AA1173" s="61" t="s">
        <v>8015</v>
      </c>
      <c r="AB1173" s="61" t="s">
        <v>8480</v>
      </c>
    </row>
    <row r="1174" spans="1:28" s="2" customFormat="1" ht="15">
      <c r="A1174" s="61" t="s">
        <v>2286</v>
      </c>
      <c r="B1174" s="61" t="s">
        <v>3131</v>
      </c>
      <c r="C1174" s="61" t="s">
        <v>4742</v>
      </c>
      <c r="D1174" s="61" t="s">
        <v>7838</v>
      </c>
      <c r="E1174" s="61">
        <v>1985</v>
      </c>
      <c r="F1174" s="61">
        <v>1996</v>
      </c>
      <c r="G1174" s="61">
        <v>2025</v>
      </c>
      <c r="H1174" s="61" t="s">
        <v>3416</v>
      </c>
      <c r="I1174" s="61" t="s">
        <v>26</v>
      </c>
      <c r="J1174" s="61" t="s">
        <v>2289</v>
      </c>
      <c r="K1174" s="61" t="s">
        <v>212</v>
      </c>
      <c r="L1174" s="61" t="s">
        <v>8488</v>
      </c>
      <c r="M1174" s="475">
        <v>45720</v>
      </c>
      <c r="N1174" s="475">
        <v>45726</v>
      </c>
      <c r="O1174" s="475">
        <v>45729</v>
      </c>
      <c r="P1174" s="475">
        <v>45735</v>
      </c>
      <c r="Q1174" s="475">
        <v>45735</v>
      </c>
      <c r="R1174" s="61">
        <f t="shared" si="83"/>
        <v>4</v>
      </c>
      <c r="S1174" s="61">
        <f t="shared" si="84"/>
        <v>3</v>
      </c>
      <c r="T1174" s="61">
        <f t="shared" si="85"/>
        <v>4</v>
      </c>
      <c r="U1174" s="61">
        <f t="shared" si="86"/>
        <v>1</v>
      </c>
      <c r="V1174" s="61" t="s">
        <v>150</v>
      </c>
      <c r="W1174" s="61" t="s">
        <v>4</v>
      </c>
      <c r="X1174" s="61" t="s">
        <v>50</v>
      </c>
      <c r="Y1174" s="478">
        <v>15.53914</v>
      </c>
      <c r="Z1174" s="478">
        <v>121.08414</v>
      </c>
      <c r="AA1174" s="61" t="s">
        <v>8015</v>
      </c>
      <c r="AB1174" s="61" t="s">
        <v>8480</v>
      </c>
    </row>
    <row r="1175" spans="1:28" s="2" customFormat="1" ht="28.5">
      <c r="A1175" s="61" t="s">
        <v>2286</v>
      </c>
      <c r="B1175" s="61" t="s">
        <v>3131</v>
      </c>
      <c r="C1175" s="61" t="s">
        <v>4744</v>
      </c>
      <c r="D1175" s="61" t="s">
        <v>7838</v>
      </c>
      <c r="E1175" s="61">
        <v>3892</v>
      </c>
      <c r="F1175" s="61">
        <v>4496</v>
      </c>
      <c r="G1175" s="61">
        <v>2025</v>
      </c>
      <c r="H1175" s="61" t="s">
        <v>3126</v>
      </c>
      <c r="I1175" s="61" t="s">
        <v>26</v>
      </c>
      <c r="J1175" s="61" t="s">
        <v>2289</v>
      </c>
      <c r="K1175" s="61" t="s">
        <v>212</v>
      </c>
      <c r="L1175" s="61" t="s">
        <v>8489</v>
      </c>
      <c r="M1175" s="475">
        <v>45882</v>
      </c>
      <c r="N1175" s="475">
        <v>45885</v>
      </c>
      <c r="O1175" s="475">
        <v>45888</v>
      </c>
      <c r="P1175" s="475">
        <v>45888</v>
      </c>
      <c r="Q1175" s="475">
        <v>45888</v>
      </c>
      <c r="R1175" s="61">
        <f t="shared" si="83"/>
        <v>2</v>
      </c>
      <c r="S1175" s="61">
        <f t="shared" si="84"/>
        <v>1</v>
      </c>
      <c r="T1175" s="61">
        <f t="shared" si="85"/>
        <v>1</v>
      </c>
      <c r="U1175" s="61">
        <f t="shared" si="86"/>
        <v>1</v>
      </c>
      <c r="V1175" s="61" t="s">
        <v>150</v>
      </c>
      <c r="W1175" s="61" t="s">
        <v>4</v>
      </c>
      <c r="X1175" s="61" t="s">
        <v>62</v>
      </c>
      <c r="Y1175" s="478">
        <v>15.588279999999999</v>
      </c>
      <c r="Z1175" s="478">
        <v>121.12356</v>
      </c>
      <c r="AA1175" s="61" t="s">
        <v>8478</v>
      </c>
      <c r="AB1175" s="61"/>
    </row>
    <row r="1176" spans="1:28" s="2" customFormat="1" ht="15">
      <c r="A1176" s="61" t="s">
        <v>2286</v>
      </c>
      <c r="B1176" s="61" t="s">
        <v>3131</v>
      </c>
      <c r="C1176" s="61" t="s">
        <v>2190</v>
      </c>
      <c r="D1176" s="61" t="s">
        <v>7838</v>
      </c>
      <c r="E1176" s="61">
        <v>3210</v>
      </c>
      <c r="F1176" s="61">
        <v>3942</v>
      </c>
      <c r="G1176" s="61"/>
      <c r="H1176" s="61"/>
      <c r="I1176" s="61" t="s">
        <v>26</v>
      </c>
      <c r="J1176" s="61"/>
      <c r="K1176" s="61" t="s">
        <v>212</v>
      </c>
      <c r="L1176" s="61"/>
      <c r="M1176" s="61"/>
      <c r="N1176" s="61"/>
      <c r="O1176" s="61"/>
      <c r="P1176" s="61"/>
      <c r="Q1176" s="61"/>
      <c r="R1176" s="61" t="str">
        <f t="shared" ref="R1176:R1239" si="87">IF(
    OR(ISBLANK(M1176), ISBLANK(N1176)),
    "",
    MAX(1, IF(
        NETWORKDAYS(M1176, N1176) &lt;= 0,
        1,
        NETWORKDAYS(M1176, N1176) - IF(M1176 = N1176, 0, 1)
    ))
)</f>
        <v/>
      </c>
      <c r="S1176" s="61" t="str">
        <f t="shared" ref="S1176:S1239" si="88">IF(
    OR(ISBLANK(N1176), ISBLANK(O1176)),
    "",
    MAX(1, IF(
        NETWORKDAYS(N1176, O1176) &lt;= 0,
        1,
        NETWORKDAYS(N1176, O1176) - IF(N1176 = O1176, 0, 1)
    ))
)</f>
        <v/>
      </c>
      <c r="T1176" s="61" t="str">
        <f t="shared" ref="T1176:T1239" si="89">IF(
  OR(A1176 = "Nueva_Ecija", A1176 = "Zambales"),
  IF(
    OR(ISBLANK(O1176), ISBLANK(P1176)),
    "",
    MAX(1, IF(
      NETWORKDAYS(O1176, P1176) &lt;= 0,
      1,
      NETWORKDAYS(O1176, P1176) - IF(O1176 = P1176, 0, 1)
    ))
  ),
  IF(
    OR(ISBLANK(N1176), ISBLANK(P1176)),
    "",
    MAX(1, IF(
      NETWORKDAYS(N1176, P1176) &lt;= 0,
      1,
      NETWORKDAYS(N1176, P1176) - IF(N1176 = P1176, 0, 1)
    ))
  )
)</f>
        <v/>
      </c>
      <c r="U1176" s="61" t="str">
        <f t="shared" ref="U1176:U1239" si="90">IF(
    OR(ISBLANK(P1176), ISBLANK(Q1176)),
    "",
    MAX(1, IF(
        NETWORKDAYS(P1176, Q1176) &lt;= 0,
        1,
        NETWORKDAYS(P1176, Q1176) - IF(P1176 = Q1176, 0, 1)
    ))
)</f>
        <v/>
      </c>
      <c r="V1176" s="61"/>
      <c r="W1176" s="61"/>
      <c r="X1176" s="61"/>
      <c r="Y1176" s="494"/>
      <c r="Z1176" s="494"/>
      <c r="AA1176" s="61"/>
      <c r="AB1176" s="61"/>
    </row>
    <row r="1177" spans="1:28" s="2" customFormat="1" ht="15">
      <c r="A1177" s="61" t="s">
        <v>2286</v>
      </c>
      <c r="B1177" s="61" t="s">
        <v>3131</v>
      </c>
      <c r="C1177" s="61" t="s">
        <v>4170</v>
      </c>
      <c r="D1177" s="61" t="s">
        <v>7838</v>
      </c>
      <c r="E1177" s="61">
        <v>963</v>
      </c>
      <c r="F1177" s="61">
        <v>697</v>
      </c>
      <c r="G1177" s="61"/>
      <c r="H1177" s="61"/>
      <c r="I1177" s="61" t="s">
        <v>26</v>
      </c>
      <c r="J1177" s="61"/>
      <c r="K1177" s="61" t="s">
        <v>212</v>
      </c>
      <c r="L1177" s="61"/>
      <c r="M1177" s="61"/>
      <c r="N1177" s="61"/>
      <c r="O1177" s="61"/>
      <c r="P1177" s="61"/>
      <c r="Q1177" s="61"/>
      <c r="R1177" s="61" t="str">
        <f t="shared" si="87"/>
        <v/>
      </c>
      <c r="S1177" s="61" t="str">
        <f t="shared" si="88"/>
        <v/>
      </c>
      <c r="T1177" s="61" t="str">
        <f t="shared" si="89"/>
        <v/>
      </c>
      <c r="U1177" s="61" t="str">
        <f t="shared" si="90"/>
        <v/>
      </c>
      <c r="V1177" s="61"/>
      <c r="W1177" s="61"/>
      <c r="X1177" s="61"/>
      <c r="Y1177" s="478"/>
      <c r="Z1177" s="478"/>
      <c r="AA1177" s="61"/>
      <c r="AB1177" s="61"/>
    </row>
    <row r="1178" spans="1:28" s="2" customFormat="1" ht="15">
      <c r="A1178" s="61" t="s">
        <v>2286</v>
      </c>
      <c r="B1178" s="61" t="s">
        <v>3131</v>
      </c>
      <c r="C1178" s="61" t="s">
        <v>4727</v>
      </c>
      <c r="D1178" s="61" t="s">
        <v>7838</v>
      </c>
      <c r="E1178" s="61">
        <v>5859</v>
      </c>
      <c r="F1178" s="61">
        <v>6876</v>
      </c>
      <c r="G1178" s="61"/>
      <c r="H1178" s="61"/>
      <c r="I1178" s="61" t="s">
        <v>26</v>
      </c>
      <c r="J1178" s="61"/>
      <c r="K1178" s="61" t="s">
        <v>212</v>
      </c>
      <c r="L1178" s="61"/>
      <c r="M1178" s="61"/>
      <c r="N1178" s="61"/>
      <c r="O1178" s="61"/>
      <c r="P1178" s="61"/>
      <c r="Q1178" s="61"/>
      <c r="R1178" s="61" t="str">
        <f t="shared" si="87"/>
        <v/>
      </c>
      <c r="S1178" s="61" t="str">
        <f t="shared" si="88"/>
        <v/>
      </c>
      <c r="T1178" s="61" t="str">
        <f t="shared" si="89"/>
        <v/>
      </c>
      <c r="U1178" s="61" t="str">
        <f t="shared" si="90"/>
        <v/>
      </c>
      <c r="V1178" s="61"/>
      <c r="W1178" s="61"/>
      <c r="X1178" s="61"/>
      <c r="Y1178" s="478"/>
      <c r="Z1178" s="478"/>
      <c r="AA1178" s="61"/>
      <c r="AB1178" s="61"/>
    </row>
    <row r="1179" spans="1:28" s="2" customFormat="1" ht="15">
      <c r="A1179" s="61" t="s">
        <v>2286</v>
      </c>
      <c r="B1179" s="61" t="s">
        <v>3131</v>
      </c>
      <c r="C1179" s="61" t="s">
        <v>4729</v>
      </c>
      <c r="D1179" s="61" t="s">
        <v>7838</v>
      </c>
      <c r="E1179" s="61">
        <v>2359</v>
      </c>
      <c r="F1179" s="61">
        <v>2553</v>
      </c>
      <c r="G1179" s="61"/>
      <c r="H1179" s="61"/>
      <c r="I1179" s="61" t="s">
        <v>26</v>
      </c>
      <c r="J1179" s="61"/>
      <c r="K1179" s="61" t="s">
        <v>212</v>
      </c>
      <c r="L1179" s="61"/>
      <c r="M1179" s="61"/>
      <c r="N1179" s="61"/>
      <c r="O1179" s="61"/>
      <c r="P1179" s="61"/>
      <c r="Q1179" s="61"/>
      <c r="R1179" s="61" t="str">
        <f t="shared" si="87"/>
        <v/>
      </c>
      <c r="S1179" s="61" t="str">
        <f t="shared" si="88"/>
        <v/>
      </c>
      <c r="T1179" s="61" t="str">
        <f t="shared" si="89"/>
        <v/>
      </c>
      <c r="U1179" s="61" t="str">
        <f t="shared" si="90"/>
        <v/>
      </c>
      <c r="V1179" s="61"/>
      <c r="W1179" s="61"/>
      <c r="X1179" s="61"/>
      <c r="Y1179" s="471"/>
      <c r="Z1179" s="471"/>
      <c r="AA1179" s="61"/>
      <c r="AB1179" s="61"/>
    </row>
    <row r="1180" spans="1:28" s="2" customFormat="1" ht="15">
      <c r="A1180" s="61" t="s">
        <v>2286</v>
      </c>
      <c r="B1180" s="61" t="s">
        <v>3131</v>
      </c>
      <c r="C1180" s="61" t="s">
        <v>4730</v>
      </c>
      <c r="D1180" s="61" t="s">
        <v>7838</v>
      </c>
      <c r="E1180" s="61">
        <v>2229</v>
      </c>
      <c r="F1180" s="61">
        <v>2024</v>
      </c>
      <c r="G1180" s="61"/>
      <c r="H1180" s="61"/>
      <c r="I1180" s="61" t="s">
        <v>26</v>
      </c>
      <c r="J1180" s="61"/>
      <c r="K1180" s="61" t="s">
        <v>212</v>
      </c>
      <c r="L1180" s="61"/>
      <c r="M1180" s="61"/>
      <c r="N1180" s="61"/>
      <c r="O1180" s="61"/>
      <c r="P1180" s="61"/>
      <c r="Q1180" s="61"/>
      <c r="R1180" s="61" t="str">
        <f t="shared" si="87"/>
        <v/>
      </c>
      <c r="S1180" s="61" t="str">
        <f t="shared" si="88"/>
        <v/>
      </c>
      <c r="T1180" s="61" t="str">
        <f t="shared" si="89"/>
        <v/>
      </c>
      <c r="U1180" s="61" t="str">
        <f t="shared" si="90"/>
        <v/>
      </c>
      <c r="V1180" s="61"/>
      <c r="W1180" s="61"/>
      <c r="X1180" s="61"/>
      <c r="Y1180" s="486"/>
      <c r="Z1180" s="486"/>
      <c r="AA1180" s="61"/>
      <c r="AB1180" s="61"/>
    </row>
    <row r="1181" spans="1:28" s="2" customFormat="1" ht="15">
      <c r="A1181" s="61" t="s">
        <v>2286</v>
      </c>
      <c r="B1181" s="61" t="s">
        <v>3131</v>
      </c>
      <c r="C1181" s="61" t="s">
        <v>4152</v>
      </c>
      <c r="D1181" s="61" t="s">
        <v>7838</v>
      </c>
      <c r="E1181" s="61">
        <v>1302</v>
      </c>
      <c r="F1181" s="61">
        <v>1349</v>
      </c>
      <c r="G1181" s="61"/>
      <c r="H1181" s="61"/>
      <c r="I1181" s="61" t="s">
        <v>26</v>
      </c>
      <c r="J1181" s="61"/>
      <c r="K1181" s="61" t="s">
        <v>212</v>
      </c>
      <c r="L1181" s="61"/>
      <c r="M1181" s="61"/>
      <c r="N1181" s="61"/>
      <c r="O1181" s="61"/>
      <c r="P1181" s="61"/>
      <c r="Q1181" s="61"/>
      <c r="R1181" s="61" t="str">
        <f t="shared" si="87"/>
        <v/>
      </c>
      <c r="S1181" s="61" t="str">
        <f t="shared" si="88"/>
        <v/>
      </c>
      <c r="T1181" s="61" t="str">
        <f t="shared" si="89"/>
        <v/>
      </c>
      <c r="U1181" s="61" t="str">
        <f t="shared" si="90"/>
        <v/>
      </c>
      <c r="V1181" s="61"/>
      <c r="W1181" s="61"/>
      <c r="X1181" s="61"/>
      <c r="Y1181" s="471"/>
      <c r="Z1181" s="471"/>
      <c r="AA1181" s="61"/>
      <c r="AB1181" s="61"/>
    </row>
    <row r="1182" spans="1:28" s="2" customFormat="1" ht="15">
      <c r="A1182" s="61" t="s">
        <v>2286</v>
      </c>
      <c r="B1182" s="61" t="s">
        <v>3131</v>
      </c>
      <c r="C1182" s="61" t="s">
        <v>1245</v>
      </c>
      <c r="D1182" s="61" t="s">
        <v>7838</v>
      </c>
      <c r="E1182" s="61">
        <v>1406</v>
      </c>
      <c r="F1182" s="61">
        <v>1050</v>
      </c>
      <c r="G1182" s="61"/>
      <c r="H1182" s="61"/>
      <c r="I1182" s="61" t="s">
        <v>26</v>
      </c>
      <c r="J1182" s="61"/>
      <c r="K1182" s="61" t="s">
        <v>212</v>
      </c>
      <c r="L1182" s="61"/>
      <c r="M1182" s="61"/>
      <c r="N1182" s="61"/>
      <c r="O1182" s="61"/>
      <c r="P1182" s="61"/>
      <c r="Q1182" s="61"/>
      <c r="R1182" s="61" t="str">
        <f t="shared" si="87"/>
        <v/>
      </c>
      <c r="S1182" s="61" t="str">
        <f t="shared" si="88"/>
        <v/>
      </c>
      <c r="T1182" s="61" t="str">
        <f t="shared" si="89"/>
        <v/>
      </c>
      <c r="U1182" s="61" t="str">
        <f t="shared" si="90"/>
        <v/>
      </c>
      <c r="V1182" s="61"/>
      <c r="W1182" s="61"/>
      <c r="X1182" s="61"/>
      <c r="Y1182" s="478"/>
      <c r="Z1182" s="478"/>
      <c r="AA1182" s="61"/>
      <c r="AB1182" s="61"/>
    </row>
    <row r="1183" spans="1:28" s="2" customFormat="1" ht="15">
      <c r="A1183" s="61" t="s">
        <v>2286</v>
      </c>
      <c r="B1183" s="61" t="s">
        <v>3131</v>
      </c>
      <c r="C1183" s="61" t="s">
        <v>4737</v>
      </c>
      <c r="D1183" s="61" t="s">
        <v>7838</v>
      </c>
      <c r="E1183" s="61">
        <v>681</v>
      </c>
      <c r="F1183" s="61">
        <v>711</v>
      </c>
      <c r="G1183" s="61"/>
      <c r="H1183" s="61"/>
      <c r="I1183" s="61" t="s">
        <v>26</v>
      </c>
      <c r="J1183" s="61"/>
      <c r="K1183" s="61" t="s">
        <v>212</v>
      </c>
      <c r="L1183" s="61"/>
      <c r="M1183" s="61"/>
      <c r="N1183" s="61"/>
      <c r="O1183" s="61"/>
      <c r="P1183" s="61"/>
      <c r="Q1183" s="61"/>
      <c r="R1183" s="61" t="str">
        <f t="shared" si="87"/>
        <v/>
      </c>
      <c r="S1183" s="61" t="str">
        <f t="shared" si="88"/>
        <v/>
      </c>
      <c r="T1183" s="61" t="str">
        <f t="shared" si="89"/>
        <v/>
      </c>
      <c r="U1183" s="61" t="str">
        <f t="shared" si="90"/>
        <v/>
      </c>
      <c r="V1183" s="61"/>
      <c r="W1183" s="61"/>
      <c r="X1183" s="61"/>
      <c r="Y1183" s="478"/>
      <c r="Z1183" s="478"/>
      <c r="AA1183" s="61"/>
      <c r="AB1183" s="61"/>
    </row>
    <row r="1184" spans="1:28" s="2" customFormat="1" ht="28.5">
      <c r="A1184" s="61" t="s">
        <v>2286</v>
      </c>
      <c r="B1184" s="61" t="s">
        <v>3131</v>
      </c>
      <c r="C1184" s="61" t="s">
        <v>1283</v>
      </c>
      <c r="D1184" s="61" t="s">
        <v>7838</v>
      </c>
      <c r="E1184" s="61">
        <v>2093</v>
      </c>
      <c r="F1184" s="61">
        <v>2568</v>
      </c>
      <c r="G1184" s="61">
        <v>2025</v>
      </c>
      <c r="H1184" s="61" t="s">
        <v>3127</v>
      </c>
      <c r="I1184" s="61" t="s">
        <v>26</v>
      </c>
      <c r="J1184" s="61" t="s">
        <v>2289</v>
      </c>
      <c r="K1184" s="61" t="s">
        <v>212</v>
      </c>
      <c r="L1184" s="61" t="s">
        <v>8490</v>
      </c>
      <c r="M1184" s="475">
        <v>45882</v>
      </c>
      <c r="N1184" s="475">
        <v>45885</v>
      </c>
      <c r="O1184" s="475">
        <v>45887</v>
      </c>
      <c r="P1184" s="475">
        <v>45888</v>
      </c>
      <c r="Q1184" s="475">
        <v>45888</v>
      </c>
      <c r="R1184" s="61">
        <f t="shared" si="87"/>
        <v>2</v>
      </c>
      <c r="S1184" s="61">
        <f t="shared" si="88"/>
        <v>1</v>
      </c>
      <c r="T1184" s="61">
        <f t="shared" si="89"/>
        <v>1</v>
      </c>
      <c r="U1184" s="61">
        <f t="shared" si="90"/>
        <v>1</v>
      </c>
      <c r="V1184" s="61" t="s">
        <v>150</v>
      </c>
      <c r="W1184" s="61" t="s">
        <v>4</v>
      </c>
      <c r="X1184" s="61" t="s">
        <v>50</v>
      </c>
      <c r="Y1184" s="478">
        <v>15.5716</v>
      </c>
      <c r="Z1184" s="478">
        <v>121.09574000000001</v>
      </c>
      <c r="AA1184" s="61" t="s">
        <v>8478</v>
      </c>
      <c r="AB1184" s="61"/>
    </row>
    <row r="1185" spans="1:28" s="2" customFormat="1" ht="28.5">
      <c r="A1185" s="61" t="s">
        <v>2286</v>
      </c>
      <c r="B1185" s="61" t="s">
        <v>1096</v>
      </c>
      <c r="C1185" s="61" t="s">
        <v>4761</v>
      </c>
      <c r="D1185" s="61" t="s">
        <v>159</v>
      </c>
      <c r="E1185" s="61">
        <v>1061</v>
      </c>
      <c r="F1185" s="61">
        <v>1015</v>
      </c>
      <c r="G1185" s="61">
        <v>2025</v>
      </c>
      <c r="H1185" s="61" t="s">
        <v>4933</v>
      </c>
      <c r="I1185" s="61" t="s">
        <v>29</v>
      </c>
      <c r="J1185" s="61" t="s">
        <v>2289</v>
      </c>
      <c r="K1185" s="61" t="s">
        <v>212</v>
      </c>
      <c r="L1185" s="476" t="s">
        <v>8491</v>
      </c>
      <c r="M1185" s="475">
        <v>45772</v>
      </c>
      <c r="N1185" s="475">
        <v>45774</v>
      </c>
      <c r="O1185" s="475">
        <v>45779</v>
      </c>
      <c r="P1185" s="475">
        <v>45782</v>
      </c>
      <c r="Q1185" s="475">
        <v>45791</v>
      </c>
      <c r="R1185" s="61">
        <f t="shared" si="87"/>
        <v>1</v>
      </c>
      <c r="S1185" s="61">
        <f t="shared" si="88"/>
        <v>4</v>
      </c>
      <c r="T1185" s="61">
        <f t="shared" si="89"/>
        <v>1</v>
      </c>
      <c r="U1185" s="61">
        <f t="shared" si="90"/>
        <v>7</v>
      </c>
      <c r="V1185" s="61" t="s">
        <v>150</v>
      </c>
      <c r="W1185" s="61" t="s">
        <v>1078</v>
      </c>
      <c r="X1185" s="61" t="s">
        <v>50</v>
      </c>
      <c r="Y1185" s="486">
        <v>15.779400000000001</v>
      </c>
      <c r="Z1185" s="486">
        <v>120.6645</v>
      </c>
      <c r="AA1185" s="61" t="s">
        <v>8492</v>
      </c>
      <c r="AB1185" s="61"/>
    </row>
    <row r="1186" spans="1:28" s="2" customFormat="1" ht="28.5">
      <c r="A1186" s="61" t="s">
        <v>2286</v>
      </c>
      <c r="B1186" s="61" t="s">
        <v>1096</v>
      </c>
      <c r="C1186" s="61" t="s">
        <v>4763</v>
      </c>
      <c r="D1186" s="61" t="s">
        <v>159</v>
      </c>
      <c r="E1186" s="61">
        <v>1522</v>
      </c>
      <c r="F1186" s="61">
        <v>1472</v>
      </c>
      <c r="G1186" s="61">
        <v>2025</v>
      </c>
      <c r="H1186" s="61" t="s">
        <v>3532</v>
      </c>
      <c r="I1186" s="61" t="s">
        <v>29</v>
      </c>
      <c r="J1186" s="61" t="s">
        <v>2289</v>
      </c>
      <c r="K1186" s="61" t="s">
        <v>212</v>
      </c>
      <c r="L1186" s="61" t="s">
        <v>8493</v>
      </c>
      <c r="M1186" s="475">
        <v>45784</v>
      </c>
      <c r="N1186" s="475">
        <v>45791</v>
      </c>
      <c r="O1186" s="475">
        <v>45792</v>
      </c>
      <c r="P1186" s="475">
        <v>45793</v>
      </c>
      <c r="Q1186" s="475">
        <v>45793</v>
      </c>
      <c r="R1186" s="61">
        <f t="shared" si="87"/>
        <v>5</v>
      </c>
      <c r="S1186" s="61">
        <f t="shared" si="88"/>
        <v>1</v>
      </c>
      <c r="T1186" s="61">
        <f t="shared" si="89"/>
        <v>1</v>
      </c>
      <c r="U1186" s="61">
        <f t="shared" si="90"/>
        <v>1</v>
      </c>
      <c r="V1186" s="61" t="s">
        <v>150</v>
      </c>
      <c r="W1186" s="61" t="s">
        <v>1078</v>
      </c>
      <c r="X1186" s="61" t="s">
        <v>50</v>
      </c>
      <c r="Y1186" s="471">
        <v>15.783099999999999</v>
      </c>
      <c r="Z1186" s="485">
        <v>120.6641</v>
      </c>
      <c r="AA1186" s="61" t="s">
        <v>8492</v>
      </c>
      <c r="AB1186" s="61"/>
    </row>
    <row r="1187" spans="1:28" s="2" customFormat="1" ht="28.5">
      <c r="A1187" s="61" t="s">
        <v>2286</v>
      </c>
      <c r="B1187" s="61" t="s">
        <v>1096</v>
      </c>
      <c r="C1187" s="61" t="s">
        <v>4769</v>
      </c>
      <c r="D1187" s="61" t="s">
        <v>159</v>
      </c>
      <c r="E1187" s="61">
        <v>1255</v>
      </c>
      <c r="F1187" s="61">
        <v>1269</v>
      </c>
      <c r="G1187" s="61">
        <v>2025</v>
      </c>
      <c r="H1187" s="61" t="s">
        <v>4933</v>
      </c>
      <c r="I1187" s="61" t="s">
        <v>29</v>
      </c>
      <c r="J1187" s="61" t="s">
        <v>2289</v>
      </c>
      <c r="K1187" s="61" t="s">
        <v>212</v>
      </c>
      <c r="L1187" s="61" t="s">
        <v>8494</v>
      </c>
      <c r="M1187" s="475">
        <v>45772</v>
      </c>
      <c r="N1187" s="475">
        <v>45774</v>
      </c>
      <c r="O1187" s="475">
        <v>45779</v>
      </c>
      <c r="P1187" s="475">
        <v>45782</v>
      </c>
      <c r="Q1187" s="475">
        <v>45791</v>
      </c>
      <c r="R1187" s="61">
        <f t="shared" si="87"/>
        <v>1</v>
      </c>
      <c r="S1187" s="61">
        <f t="shared" si="88"/>
        <v>4</v>
      </c>
      <c r="T1187" s="61">
        <f t="shared" si="89"/>
        <v>1</v>
      </c>
      <c r="U1187" s="61">
        <f t="shared" si="90"/>
        <v>7</v>
      </c>
      <c r="V1187" s="61" t="s">
        <v>150</v>
      </c>
      <c r="W1187" s="61" t="s">
        <v>1078</v>
      </c>
      <c r="X1187" s="61" t="s">
        <v>50</v>
      </c>
      <c r="Y1187" s="486">
        <v>15.780799999999999</v>
      </c>
      <c r="Z1187" s="486">
        <v>120.6614</v>
      </c>
      <c r="AA1187" s="61" t="s">
        <v>8492</v>
      </c>
      <c r="AB1187" s="61"/>
    </row>
    <row r="1188" spans="1:28" s="2" customFormat="1" ht="15">
      <c r="A1188" s="61" t="s">
        <v>2286</v>
      </c>
      <c r="B1188" s="61" t="s">
        <v>1096</v>
      </c>
      <c r="C1188" s="61" t="s">
        <v>4747</v>
      </c>
      <c r="D1188" s="61" t="s">
        <v>159</v>
      </c>
      <c r="E1188" s="61">
        <v>2544</v>
      </c>
      <c r="F1188" s="61">
        <v>2630</v>
      </c>
      <c r="G1188" s="61"/>
      <c r="H1188" s="61"/>
      <c r="I1188" s="61" t="s">
        <v>29</v>
      </c>
      <c r="J1188" s="61"/>
      <c r="K1188" s="61" t="s">
        <v>212</v>
      </c>
      <c r="L1188" s="61"/>
      <c r="M1188" s="61"/>
      <c r="N1188" s="61"/>
      <c r="O1188" s="61"/>
      <c r="P1188" s="61"/>
      <c r="Q1188" s="61"/>
      <c r="R1188" s="61" t="str">
        <f t="shared" si="87"/>
        <v/>
      </c>
      <c r="S1188" s="61" t="str">
        <f t="shared" si="88"/>
        <v/>
      </c>
      <c r="T1188" s="61" t="str">
        <f t="shared" si="89"/>
        <v/>
      </c>
      <c r="U1188" s="61" t="str">
        <f t="shared" si="90"/>
        <v/>
      </c>
      <c r="V1188" s="61"/>
      <c r="W1188" s="61"/>
      <c r="X1188" s="61"/>
      <c r="Y1188" s="471"/>
      <c r="Z1188" s="471"/>
      <c r="AA1188" s="61"/>
      <c r="AB1188" s="61"/>
    </row>
    <row r="1189" spans="1:28" s="2" customFormat="1" ht="15">
      <c r="A1189" s="61" t="s">
        <v>2286</v>
      </c>
      <c r="B1189" s="61" t="s">
        <v>1096</v>
      </c>
      <c r="C1189" s="61" t="s">
        <v>4748</v>
      </c>
      <c r="D1189" s="61" t="s">
        <v>159</v>
      </c>
      <c r="E1189" s="61">
        <v>2030</v>
      </c>
      <c r="F1189" s="61">
        <v>2162</v>
      </c>
      <c r="G1189" s="61"/>
      <c r="H1189" s="61"/>
      <c r="I1189" s="61" t="s">
        <v>29</v>
      </c>
      <c r="J1189" s="61"/>
      <c r="K1189" s="61" t="s">
        <v>212</v>
      </c>
      <c r="L1189" s="61"/>
      <c r="M1189" s="61"/>
      <c r="N1189" s="61"/>
      <c r="O1189" s="61"/>
      <c r="P1189" s="61"/>
      <c r="Q1189" s="61"/>
      <c r="R1189" s="61" t="str">
        <f t="shared" si="87"/>
        <v/>
      </c>
      <c r="S1189" s="61" t="str">
        <f t="shared" si="88"/>
        <v/>
      </c>
      <c r="T1189" s="61" t="str">
        <f t="shared" si="89"/>
        <v/>
      </c>
      <c r="U1189" s="61" t="str">
        <f t="shared" si="90"/>
        <v/>
      </c>
      <c r="V1189" s="61"/>
      <c r="W1189" s="61"/>
      <c r="X1189" s="61"/>
      <c r="Y1189" s="471"/>
      <c r="Z1189" s="471"/>
      <c r="AA1189" s="61"/>
      <c r="AB1189" s="61"/>
    </row>
    <row r="1190" spans="1:28" s="2" customFormat="1" ht="15">
      <c r="A1190" s="61" t="s">
        <v>2286</v>
      </c>
      <c r="B1190" s="61" t="s">
        <v>1096</v>
      </c>
      <c r="C1190" s="61" t="s">
        <v>4535</v>
      </c>
      <c r="D1190" s="61" t="s">
        <v>159</v>
      </c>
      <c r="E1190" s="61">
        <v>531</v>
      </c>
      <c r="F1190" s="61">
        <v>596</v>
      </c>
      <c r="G1190" s="61"/>
      <c r="H1190" s="61"/>
      <c r="I1190" s="61" t="s">
        <v>29</v>
      </c>
      <c r="J1190" s="61"/>
      <c r="K1190" s="61" t="s">
        <v>212</v>
      </c>
      <c r="L1190" s="61"/>
      <c r="M1190" s="61"/>
      <c r="N1190" s="61"/>
      <c r="O1190" s="61"/>
      <c r="P1190" s="61"/>
      <c r="Q1190" s="61"/>
      <c r="R1190" s="61" t="str">
        <f t="shared" si="87"/>
        <v/>
      </c>
      <c r="S1190" s="61" t="str">
        <f t="shared" si="88"/>
        <v/>
      </c>
      <c r="T1190" s="61" t="str">
        <f t="shared" si="89"/>
        <v/>
      </c>
      <c r="U1190" s="61" t="str">
        <f t="shared" si="90"/>
        <v/>
      </c>
      <c r="V1190" s="61"/>
      <c r="W1190" s="61"/>
      <c r="X1190" s="61"/>
      <c r="Y1190" s="471"/>
      <c r="Z1190" s="471"/>
      <c r="AA1190" s="61"/>
      <c r="AB1190" s="61"/>
    </row>
    <row r="1191" spans="1:28" s="2" customFormat="1" ht="15">
      <c r="A1191" s="61" t="s">
        <v>2286</v>
      </c>
      <c r="B1191" s="61" t="s">
        <v>1096</v>
      </c>
      <c r="C1191" s="61" t="s">
        <v>4749</v>
      </c>
      <c r="D1191" s="61" t="s">
        <v>159</v>
      </c>
      <c r="E1191" s="61">
        <v>1358</v>
      </c>
      <c r="F1191" s="61">
        <v>1523</v>
      </c>
      <c r="G1191" s="61"/>
      <c r="H1191" s="61"/>
      <c r="I1191" s="61" t="s">
        <v>29</v>
      </c>
      <c r="J1191" s="61"/>
      <c r="K1191" s="61" t="s">
        <v>212</v>
      </c>
      <c r="L1191" s="61"/>
      <c r="M1191" s="61"/>
      <c r="N1191" s="61"/>
      <c r="O1191" s="61"/>
      <c r="P1191" s="61"/>
      <c r="Q1191" s="61"/>
      <c r="R1191" s="61" t="str">
        <f t="shared" si="87"/>
        <v/>
      </c>
      <c r="S1191" s="61" t="str">
        <f t="shared" si="88"/>
        <v/>
      </c>
      <c r="T1191" s="61" t="str">
        <f t="shared" si="89"/>
        <v/>
      </c>
      <c r="U1191" s="61" t="str">
        <f t="shared" si="90"/>
        <v/>
      </c>
      <c r="V1191" s="61"/>
      <c r="W1191" s="61"/>
      <c r="X1191" s="61"/>
      <c r="Y1191" s="471"/>
      <c r="Z1191" s="471"/>
      <c r="AA1191" s="61"/>
      <c r="AB1191" s="61"/>
    </row>
    <row r="1192" spans="1:28" s="2" customFormat="1" ht="15">
      <c r="A1192" s="61" t="s">
        <v>2286</v>
      </c>
      <c r="B1192" s="61" t="s">
        <v>1096</v>
      </c>
      <c r="C1192" s="61" t="s">
        <v>4506</v>
      </c>
      <c r="D1192" s="61" t="s">
        <v>159</v>
      </c>
      <c r="E1192" s="61">
        <v>1198</v>
      </c>
      <c r="F1192" s="61">
        <v>1407</v>
      </c>
      <c r="G1192" s="61"/>
      <c r="H1192" s="61"/>
      <c r="I1192" s="61" t="s">
        <v>29</v>
      </c>
      <c r="J1192" s="61"/>
      <c r="K1192" s="61" t="s">
        <v>212</v>
      </c>
      <c r="L1192" s="61"/>
      <c r="M1192" s="61"/>
      <c r="N1192" s="61"/>
      <c r="O1192" s="61"/>
      <c r="P1192" s="61"/>
      <c r="Q1192" s="61"/>
      <c r="R1192" s="61" t="str">
        <f t="shared" si="87"/>
        <v/>
      </c>
      <c r="S1192" s="61" t="str">
        <f t="shared" si="88"/>
        <v/>
      </c>
      <c r="T1192" s="61" t="str">
        <f t="shared" si="89"/>
        <v/>
      </c>
      <c r="U1192" s="61" t="str">
        <f t="shared" si="90"/>
        <v/>
      </c>
      <c r="V1192" s="61"/>
      <c r="W1192" s="61"/>
      <c r="X1192" s="61"/>
      <c r="Y1192" s="471"/>
      <c r="Z1192" s="471"/>
      <c r="AA1192" s="61"/>
      <c r="AB1192" s="61"/>
    </row>
    <row r="1193" spans="1:28" s="2" customFormat="1" ht="15">
      <c r="A1193" s="61" t="s">
        <v>2286</v>
      </c>
      <c r="B1193" s="61" t="s">
        <v>1096</v>
      </c>
      <c r="C1193" s="61" t="s">
        <v>4750</v>
      </c>
      <c r="D1193" s="61" t="s">
        <v>159</v>
      </c>
      <c r="E1193" s="61">
        <v>1515</v>
      </c>
      <c r="F1193" s="61">
        <v>1575</v>
      </c>
      <c r="G1193" s="61"/>
      <c r="H1193" s="61"/>
      <c r="I1193" s="61" t="s">
        <v>29</v>
      </c>
      <c r="J1193" s="61"/>
      <c r="K1193" s="61" t="s">
        <v>212</v>
      </c>
      <c r="L1193" s="61"/>
      <c r="M1193" s="61"/>
      <c r="N1193" s="61"/>
      <c r="O1193" s="61"/>
      <c r="P1193" s="61"/>
      <c r="Q1193" s="61"/>
      <c r="R1193" s="61" t="str">
        <f t="shared" si="87"/>
        <v/>
      </c>
      <c r="S1193" s="61" t="str">
        <f t="shared" si="88"/>
        <v/>
      </c>
      <c r="T1193" s="61" t="str">
        <f t="shared" si="89"/>
        <v/>
      </c>
      <c r="U1193" s="61" t="str">
        <f t="shared" si="90"/>
        <v/>
      </c>
      <c r="V1193" s="61"/>
      <c r="W1193" s="61"/>
      <c r="X1193" s="61"/>
      <c r="Y1193" s="471"/>
      <c r="Z1193" s="471"/>
      <c r="AA1193" s="61"/>
      <c r="AB1193" s="61"/>
    </row>
    <row r="1194" spans="1:28" s="2" customFormat="1" ht="15">
      <c r="A1194" s="61" t="s">
        <v>2286</v>
      </c>
      <c r="B1194" s="61" t="s">
        <v>1096</v>
      </c>
      <c r="C1194" s="61" t="s">
        <v>4751</v>
      </c>
      <c r="D1194" s="61" t="s">
        <v>159</v>
      </c>
      <c r="E1194" s="61">
        <v>508</v>
      </c>
      <c r="F1194" s="61">
        <v>568</v>
      </c>
      <c r="G1194" s="61"/>
      <c r="H1194" s="61"/>
      <c r="I1194" s="61" t="s">
        <v>29</v>
      </c>
      <c r="J1194" s="61"/>
      <c r="K1194" s="61" t="s">
        <v>212</v>
      </c>
      <c r="L1194" s="61"/>
      <c r="M1194" s="61"/>
      <c r="N1194" s="61"/>
      <c r="O1194" s="61"/>
      <c r="P1194" s="61"/>
      <c r="Q1194" s="61"/>
      <c r="R1194" s="61" t="str">
        <f t="shared" si="87"/>
        <v/>
      </c>
      <c r="S1194" s="61" t="str">
        <f t="shared" si="88"/>
        <v/>
      </c>
      <c r="T1194" s="61" t="str">
        <f t="shared" si="89"/>
        <v/>
      </c>
      <c r="U1194" s="61" t="str">
        <f t="shared" si="90"/>
        <v/>
      </c>
      <c r="V1194" s="61"/>
      <c r="W1194" s="61"/>
      <c r="X1194" s="61"/>
      <c r="Y1194" s="471"/>
      <c r="Z1194" s="471"/>
      <c r="AA1194" s="61"/>
      <c r="AB1194" s="61"/>
    </row>
    <row r="1195" spans="1:28" s="2" customFormat="1" ht="15">
      <c r="A1195" s="61" t="s">
        <v>2286</v>
      </c>
      <c r="B1195" s="61" t="s">
        <v>1096</v>
      </c>
      <c r="C1195" s="61" t="s">
        <v>4752</v>
      </c>
      <c r="D1195" s="61" t="s">
        <v>159</v>
      </c>
      <c r="E1195" s="61">
        <v>1164</v>
      </c>
      <c r="F1195" s="61">
        <v>1361</v>
      </c>
      <c r="G1195" s="61"/>
      <c r="H1195" s="61"/>
      <c r="I1195" s="61" t="s">
        <v>29</v>
      </c>
      <c r="J1195" s="61"/>
      <c r="K1195" s="61" t="s">
        <v>212</v>
      </c>
      <c r="L1195" s="61"/>
      <c r="M1195" s="61"/>
      <c r="N1195" s="61"/>
      <c r="O1195" s="61"/>
      <c r="P1195" s="61"/>
      <c r="Q1195" s="61"/>
      <c r="R1195" s="61" t="str">
        <f t="shared" si="87"/>
        <v/>
      </c>
      <c r="S1195" s="61" t="str">
        <f t="shared" si="88"/>
        <v/>
      </c>
      <c r="T1195" s="61" t="str">
        <f t="shared" si="89"/>
        <v/>
      </c>
      <c r="U1195" s="61" t="str">
        <f t="shared" si="90"/>
        <v/>
      </c>
      <c r="V1195" s="61"/>
      <c r="W1195" s="61"/>
      <c r="X1195" s="61"/>
      <c r="Y1195" s="471"/>
      <c r="Z1195" s="471"/>
      <c r="AA1195" s="61"/>
      <c r="AB1195" s="61"/>
    </row>
    <row r="1196" spans="1:28" s="2" customFormat="1" ht="15">
      <c r="A1196" s="61" t="s">
        <v>2286</v>
      </c>
      <c r="B1196" s="61" t="s">
        <v>1096</v>
      </c>
      <c r="C1196" s="61" t="s">
        <v>1490</v>
      </c>
      <c r="D1196" s="61" t="s">
        <v>159</v>
      </c>
      <c r="E1196" s="61">
        <v>1565</v>
      </c>
      <c r="F1196" s="61">
        <v>1468</v>
      </c>
      <c r="G1196" s="61"/>
      <c r="H1196" s="61"/>
      <c r="I1196" s="61" t="s">
        <v>29</v>
      </c>
      <c r="J1196" s="61"/>
      <c r="K1196" s="61" t="s">
        <v>212</v>
      </c>
      <c r="L1196" s="61"/>
      <c r="M1196" s="61"/>
      <c r="N1196" s="61"/>
      <c r="O1196" s="61"/>
      <c r="P1196" s="61"/>
      <c r="Q1196" s="61"/>
      <c r="R1196" s="61" t="str">
        <f t="shared" si="87"/>
        <v/>
      </c>
      <c r="S1196" s="61" t="str">
        <f t="shared" si="88"/>
        <v/>
      </c>
      <c r="T1196" s="61" t="str">
        <f t="shared" si="89"/>
        <v/>
      </c>
      <c r="U1196" s="61" t="str">
        <f t="shared" si="90"/>
        <v/>
      </c>
      <c r="V1196" s="61"/>
      <c r="W1196" s="61"/>
      <c r="X1196" s="61"/>
      <c r="Y1196" s="471"/>
      <c r="Z1196" s="471"/>
      <c r="AA1196" s="61"/>
      <c r="AB1196" s="61"/>
    </row>
    <row r="1197" spans="1:28" s="2" customFormat="1" ht="15">
      <c r="A1197" s="61" t="s">
        <v>2286</v>
      </c>
      <c r="B1197" s="61" t="s">
        <v>1096</v>
      </c>
      <c r="C1197" s="61" t="s">
        <v>4753</v>
      </c>
      <c r="D1197" s="61" t="s">
        <v>159</v>
      </c>
      <c r="E1197" s="61">
        <v>710</v>
      </c>
      <c r="F1197" s="61">
        <v>782</v>
      </c>
      <c r="G1197" s="61"/>
      <c r="H1197" s="61"/>
      <c r="I1197" s="61" t="s">
        <v>29</v>
      </c>
      <c r="J1197" s="61"/>
      <c r="K1197" s="61" t="s">
        <v>212</v>
      </c>
      <c r="L1197" s="61"/>
      <c r="M1197" s="61"/>
      <c r="N1197" s="61"/>
      <c r="O1197" s="61"/>
      <c r="P1197" s="61"/>
      <c r="Q1197" s="61"/>
      <c r="R1197" s="61" t="str">
        <f t="shared" si="87"/>
        <v/>
      </c>
      <c r="S1197" s="61" t="str">
        <f t="shared" si="88"/>
        <v/>
      </c>
      <c r="T1197" s="61" t="str">
        <f t="shared" si="89"/>
        <v/>
      </c>
      <c r="U1197" s="61" t="str">
        <f t="shared" si="90"/>
        <v/>
      </c>
      <c r="V1197" s="61"/>
      <c r="W1197" s="61"/>
      <c r="X1197" s="61"/>
      <c r="Y1197" s="471"/>
      <c r="Z1197" s="471"/>
      <c r="AA1197" s="61"/>
      <c r="AB1197" s="61"/>
    </row>
    <row r="1198" spans="1:28" s="2" customFormat="1" ht="15">
      <c r="A1198" s="61" t="s">
        <v>2286</v>
      </c>
      <c r="B1198" s="61" t="s">
        <v>1096</v>
      </c>
      <c r="C1198" s="61" t="s">
        <v>4754</v>
      </c>
      <c r="D1198" s="61" t="s">
        <v>159</v>
      </c>
      <c r="E1198" s="61">
        <v>1202</v>
      </c>
      <c r="F1198" s="61">
        <v>1066</v>
      </c>
      <c r="G1198" s="61"/>
      <c r="H1198" s="61"/>
      <c r="I1198" s="61" t="s">
        <v>29</v>
      </c>
      <c r="J1198" s="61"/>
      <c r="K1198" s="61" t="s">
        <v>212</v>
      </c>
      <c r="L1198" s="61"/>
      <c r="M1198" s="61"/>
      <c r="N1198" s="61"/>
      <c r="O1198" s="61"/>
      <c r="P1198" s="61"/>
      <c r="Q1198" s="61"/>
      <c r="R1198" s="61" t="str">
        <f t="shared" si="87"/>
        <v/>
      </c>
      <c r="S1198" s="61" t="str">
        <f t="shared" si="88"/>
        <v/>
      </c>
      <c r="T1198" s="61" t="str">
        <f t="shared" si="89"/>
        <v/>
      </c>
      <c r="U1198" s="61" t="str">
        <f t="shared" si="90"/>
        <v/>
      </c>
      <c r="V1198" s="61"/>
      <c r="W1198" s="61"/>
      <c r="X1198" s="61"/>
      <c r="Y1198" s="471"/>
      <c r="Z1198" s="471"/>
      <c r="AA1198" s="61"/>
      <c r="AB1198" s="61"/>
    </row>
    <row r="1199" spans="1:28" s="2" customFormat="1" ht="15">
      <c r="A1199" s="61" t="s">
        <v>2286</v>
      </c>
      <c r="B1199" s="61" t="s">
        <v>1096</v>
      </c>
      <c r="C1199" s="61" t="s">
        <v>4755</v>
      </c>
      <c r="D1199" s="61" t="s">
        <v>159</v>
      </c>
      <c r="E1199" s="61">
        <v>689</v>
      </c>
      <c r="F1199" s="61">
        <v>763</v>
      </c>
      <c r="G1199" s="61"/>
      <c r="H1199" s="61"/>
      <c r="I1199" s="61" t="s">
        <v>29</v>
      </c>
      <c r="J1199" s="61"/>
      <c r="K1199" s="61" t="s">
        <v>212</v>
      </c>
      <c r="L1199" s="61"/>
      <c r="M1199" s="61"/>
      <c r="N1199" s="61"/>
      <c r="O1199" s="61"/>
      <c r="P1199" s="61"/>
      <c r="Q1199" s="61"/>
      <c r="R1199" s="61" t="str">
        <f t="shared" si="87"/>
        <v/>
      </c>
      <c r="S1199" s="61" t="str">
        <f t="shared" si="88"/>
        <v/>
      </c>
      <c r="T1199" s="61" t="str">
        <f t="shared" si="89"/>
        <v/>
      </c>
      <c r="U1199" s="61" t="str">
        <f t="shared" si="90"/>
        <v/>
      </c>
      <c r="V1199" s="61"/>
      <c r="W1199" s="61"/>
      <c r="X1199" s="61"/>
      <c r="Y1199" s="471"/>
      <c r="Z1199" s="471"/>
      <c r="AA1199" s="61"/>
      <c r="AB1199" s="61"/>
    </row>
    <row r="1200" spans="1:28" s="2" customFormat="1" ht="15">
      <c r="A1200" s="61" t="s">
        <v>2286</v>
      </c>
      <c r="B1200" s="61" t="s">
        <v>1096</v>
      </c>
      <c r="C1200" s="61" t="s">
        <v>4756</v>
      </c>
      <c r="D1200" s="61" t="s">
        <v>159</v>
      </c>
      <c r="E1200" s="61">
        <v>958</v>
      </c>
      <c r="F1200" s="61">
        <v>1084</v>
      </c>
      <c r="G1200" s="61"/>
      <c r="H1200" s="61"/>
      <c r="I1200" s="61" t="s">
        <v>29</v>
      </c>
      <c r="J1200" s="61"/>
      <c r="K1200" s="61" t="s">
        <v>212</v>
      </c>
      <c r="L1200" s="61"/>
      <c r="M1200" s="61"/>
      <c r="N1200" s="61"/>
      <c r="O1200" s="61"/>
      <c r="P1200" s="61"/>
      <c r="Q1200" s="61"/>
      <c r="R1200" s="61" t="str">
        <f t="shared" si="87"/>
        <v/>
      </c>
      <c r="S1200" s="61" t="str">
        <f t="shared" si="88"/>
        <v/>
      </c>
      <c r="T1200" s="61" t="str">
        <f t="shared" si="89"/>
        <v/>
      </c>
      <c r="U1200" s="61" t="str">
        <f t="shared" si="90"/>
        <v/>
      </c>
      <c r="V1200" s="61"/>
      <c r="W1200" s="61"/>
      <c r="X1200" s="61"/>
      <c r="Y1200" s="471"/>
      <c r="Z1200" s="471"/>
      <c r="AA1200" s="61"/>
      <c r="AB1200" s="61"/>
    </row>
    <row r="1201" spans="1:28" s="2" customFormat="1" ht="15">
      <c r="A1201" s="61" t="s">
        <v>2286</v>
      </c>
      <c r="B1201" s="61" t="s">
        <v>1096</v>
      </c>
      <c r="C1201" s="61" t="s">
        <v>4757</v>
      </c>
      <c r="D1201" s="61" t="s">
        <v>159</v>
      </c>
      <c r="E1201" s="61">
        <v>1636</v>
      </c>
      <c r="F1201" s="61">
        <v>1724</v>
      </c>
      <c r="G1201" s="61"/>
      <c r="H1201" s="61"/>
      <c r="I1201" s="61" t="s">
        <v>29</v>
      </c>
      <c r="J1201" s="61"/>
      <c r="K1201" s="61" t="s">
        <v>212</v>
      </c>
      <c r="L1201" s="61"/>
      <c r="M1201" s="61"/>
      <c r="N1201" s="61"/>
      <c r="O1201" s="61"/>
      <c r="P1201" s="61"/>
      <c r="Q1201" s="61"/>
      <c r="R1201" s="61" t="str">
        <f t="shared" si="87"/>
        <v/>
      </c>
      <c r="S1201" s="61" t="str">
        <f t="shared" si="88"/>
        <v/>
      </c>
      <c r="T1201" s="61" t="str">
        <f t="shared" si="89"/>
        <v/>
      </c>
      <c r="U1201" s="61" t="str">
        <f t="shared" si="90"/>
        <v/>
      </c>
      <c r="V1201" s="61"/>
      <c r="W1201" s="61"/>
      <c r="X1201" s="61"/>
      <c r="Y1201" s="471"/>
      <c r="Z1201" s="471"/>
      <c r="AA1201" s="61"/>
      <c r="AB1201" s="61"/>
    </row>
    <row r="1202" spans="1:28" s="2" customFormat="1" ht="15">
      <c r="A1202" s="61" t="s">
        <v>2286</v>
      </c>
      <c r="B1202" s="61" t="s">
        <v>1096</v>
      </c>
      <c r="C1202" s="61" t="s">
        <v>4758</v>
      </c>
      <c r="D1202" s="61" t="s">
        <v>159</v>
      </c>
      <c r="E1202" s="61">
        <v>678</v>
      </c>
      <c r="F1202" s="61">
        <v>727</v>
      </c>
      <c r="G1202" s="61"/>
      <c r="H1202" s="61"/>
      <c r="I1202" s="61" t="s">
        <v>29</v>
      </c>
      <c r="J1202" s="61"/>
      <c r="K1202" s="61" t="s">
        <v>212</v>
      </c>
      <c r="L1202" s="61"/>
      <c r="M1202" s="61"/>
      <c r="N1202" s="61"/>
      <c r="O1202" s="61"/>
      <c r="P1202" s="61"/>
      <c r="Q1202" s="61"/>
      <c r="R1202" s="61" t="str">
        <f t="shared" si="87"/>
        <v/>
      </c>
      <c r="S1202" s="61" t="str">
        <f t="shared" si="88"/>
        <v/>
      </c>
      <c r="T1202" s="61" t="str">
        <f t="shared" si="89"/>
        <v/>
      </c>
      <c r="U1202" s="61" t="str">
        <f t="shared" si="90"/>
        <v/>
      </c>
      <c r="V1202" s="61"/>
      <c r="W1202" s="61"/>
      <c r="X1202" s="61"/>
      <c r="Y1202" s="471"/>
      <c r="Z1202" s="471"/>
      <c r="AA1202" s="61"/>
      <c r="AB1202" s="61"/>
    </row>
    <row r="1203" spans="1:28" s="2" customFormat="1" ht="15">
      <c r="A1203" s="61" t="s">
        <v>2286</v>
      </c>
      <c r="B1203" s="61" t="s">
        <v>1096</v>
      </c>
      <c r="C1203" s="61" t="s">
        <v>4759</v>
      </c>
      <c r="D1203" s="61" t="s">
        <v>159</v>
      </c>
      <c r="E1203" s="61">
        <v>641</v>
      </c>
      <c r="F1203" s="61">
        <v>816</v>
      </c>
      <c r="G1203" s="61">
        <v>2025</v>
      </c>
      <c r="H1203" s="61" t="s">
        <v>3128</v>
      </c>
      <c r="I1203" s="61" t="s">
        <v>29</v>
      </c>
      <c r="J1203" s="61"/>
      <c r="K1203" s="61" t="s">
        <v>212</v>
      </c>
      <c r="L1203" s="61" t="s">
        <v>8495</v>
      </c>
      <c r="M1203" s="475">
        <v>45924</v>
      </c>
      <c r="N1203" s="475">
        <v>45927</v>
      </c>
      <c r="O1203" s="475">
        <v>45928</v>
      </c>
      <c r="P1203" s="475">
        <v>45928</v>
      </c>
      <c r="Q1203" s="475">
        <v>45929</v>
      </c>
      <c r="R1203" s="61">
        <f t="shared" si="87"/>
        <v>2</v>
      </c>
      <c r="S1203" s="61">
        <f t="shared" si="88"/>
        <v>1</v>
      </c>
      <c r="T1203" s="61">
        <f t="shared" si="89"/>
        <v>1</v>
      </c>
      <c r="U1203" s="61">
        <f t="shared" si="90"/>
        <v>1</v>
      </c>
      <c r="V1203" s="61" t="s">
        <v>150</v>
      </c>
      <c r="W1203" s="61" t="s">
        <v>1078</v>
      </c>
      <c r="X1203" s="61" t="s">
        <v>57</v>
      </c>
      <c r="Y1203" s="471">
        <v>15.8118</v>
      </c>
      <c r="Z1203" s="471">
        <v>120.7223</v>
      </c>
      <c r="AA1203" s="61" t="s">
        <v>282</v>
      </c>
      <c r="AB1203" s="61"/>
    </row>
    <row r="1204" spans="1:28" s="2" customFormat="1" ht="15">
      <c r="A1204" s="61" t="s">
        <v>2286</v>
      </c>
      <c r="B1204" s="61" t="s">
        <v>1096</v>
      </c>
      <c r="C1204" s="61" t="s">
        <v>4531</v>
      </c>
      <c r="D1204" s="61" t="s">
        <v>159</v>
      </c>
      <c r="E1204" s="61">
        <v>867</v>
      </c>
      <c r="F1204" s="61">
        <v>981</v>
      </c>
      <c r="G1204" s="61"/>
      <c r="H1204" s="61"/>
      <c r="I1204" s="61" t="s">
        <v>29</v>
      </c>
      <c r="J1204" s="61"/>
      <c r="K1204" s="61" t="s">
        <v>212</v>
      </c>
      <c r="L1204" s="61"/>
      <c r="M1204" s="61"/>
      <c r="N1204" s="61"/>
      <c r="O1204" s="61"/>
      <c r="P1204" s="61"/>
      <c r="Q1204" s="61"/>
      <c r="R1204" s="61" t="str">
        <f t="shared" si="87"/>
        <v/>
      </c>
      <c r="S1204" s="61" t="str">
        <f t="shared" si="88"/>
        <v/>
      </c>
      <c r="T1204" s="61" t="str">
        <f t="shared" si="89"/>
        <v/>
      </c>
      <c r="U1204" s="61" t="str">
        <f t="shared" si="90"/>
        <v/>
      </c>
      <c r="V1204" s="61"/>
      <c r="W1204" s="61"/>
      <c r="X1204" s="61"/>
      <c r="Y1204" s="471"/>
      <c r="Z1204" s="471"/>
      <c r="AA1204" s="61"/>
      <c r="AB1204" s="61"/>
    </row>
    <row r="1205" spans="1:28" s="2" customFormat="1" ht="15">
      <c r="A1205" s="61" t="s">
        <v>2286</v>
      </c>
      <c r="B1205" s="61" t="s">
        <v>1096</v>
      </c>
      <c r="C1205" s="61" t="s">
        <v>4765</v>
      </c>
      <c r="D1205" s="61" t="s">
        <v>159</v>
      </c>
      <c r="E1205" s="61">
        <v>1340</v>
      </c>
      <c r="F1205" s="61">
        <v>1372</v>
      </c>
      <c r="G1205" s="61"/>
      <c r="H1205" s="61"/>
      <c r="I1205" s="61" t="s">
        <v>29</v>
      </c>
      <c r="J1205" s="61"/>
      <c r="K1205" s="61" t="s">
        <v>212</v>
      </c>
      <c r="L1205" s="61"/>
      <c r="M1205" s="61"/>
      <c r="N1205" s="61"/>
      <c r="O1205" s="61"/>
      <c r="P1205" s="61"/>
      <c r="Q1205" s="61"/>
      <c r="R1205" s="61" t="str">
        <f t="shared" si="87"/>
        <v/>
      </c>
      <c r="S1205" s="61" t="str">
        <f t="shared" si="88"/>
        <v/>
      </c>
      <c r="T1205" s="61" t="str">
        <f t="shared" si="89"/>
        <v/>
      </c>
      <c r="U1205" s="61" t="str">
        <f t="shared" si="90"/>
        <v/>
      </c>
      <c r="V1205" s="61"/>
      <c r="W1205" s="61"/>
      <c r="X1205" s="61"/>
      <c r="Y1205" s="471"/>
      <c r="Z1205" s="471"/>
      <c r="AA1205" s="61"/>
      <c r="AB1205" s="61"/>
    </row>
    <row r="1206" spans="1:28" s="2" customFormat="1" ht="15">
      <c r="A1206" s="61" t="s">
        <v>2286</v>
      </c>
      <c r="B1206" s="61" t="s">
        <v>1096</v>
      </c>
      <c r="C1206" s="61" t="s">
        <v>4766</v>
      </c>
      <c r="D1206" s="61" t="s">
        <v>159</v>
      </c>
      <c r="E1206" s="61">
        <v>975</v>
      </c>
      <c r="F1206" s="61">
        <v>887</v>
      </c>
      <c r="G1206" s="61"/>
      <c r="H1206" s="61"/>
      <c r="I1206" s="61" t="s">
        <v>29</v>
      </c>
      <c r="J1206" s="61"/>
      <c r="K1206" s="61" t="s">
        <v>212</v>
      </c>
      <c r="L1206" s="61"/>
      <c r="M1206" s="61"/>
      <c r="N1206" s="61"/>
      <c r="O1206" s="61"/>
      <c r="P1206" s="61"/>
      <c r="Q1206" s="61"/>
      <c r="R1206" s="61" t="str">
        <f t="shared" si="87"/>
        <v/>
      </c>
      <c r="S1206" s="61" t="str">
        <f t="shared" si="88"/>
        <v/>
      </c>
      <c r="T1206" s="61" t="str">
        <f t="shared" si="89"/>
        <v/>
      </c>
      <c r="U1206" s="61" t="str">
        <f t="shared" si="90"/>
        <v/>
      </c>
      <c r="V1206" s="61"/>
      <c r="W1206" s="61"/>
      <c r="X1206" s="61"/>
      <c r="Y1206" s="471"/>
      <c r="Z1206" s="471"/>
      <c r="AA1206" s="61"/>
      <c r="AB1206" s="61"/>
    </row>
    <row r="1207" spans="1:28" s="2" customFormat="1" ht="15">
      <c r="A1207" s="61" t="s">
        <v>2286</v>
      </c>
      <c r="B1207" s="61" t="s">
        <v>1096</v>
      </c>
      <c r="C1207" s="61" t="s">
        <v>4767</v>
      </c>
      <c r="D1207" s="61" t="s">
        <v>159</v>
      </c>
      <c r="E1207" s="61">
        <v>1762</v>
      </c>
      <c r="F1207" s="61">
        <v>1776</v>
      </c>
      <c r="G1207" s="61"/>
      <c r="H1207" s="61"/>
      <c r="I1207" s="61" t="s">
        <v>29</v>
      </c>
      <c r="J1207" s="61"/>
      <c r="K1207" s="61" t="s">
        <v>212</v>
      </c>
      <c r="L1207" s="61"/>
      <c r="M1207" s="61"/>
      <c r="N1207" s="61"/>
      <c r="O1207" s="61"/>
      <c r="P1207" s="61"/>
      <c r="Q1207" s="61"/>
      <c r="R1207" s="61" t="str">
        <f t="shared" si="87"/>
        <v/>
      </c>
      <c r="S1207" s="61" t="str">
        <f t="shared" si="88"/>
        <v/>
      </c>
      <c r="T1207" s="61" t="str">
        <f t="shared" si="89"/>
        <v/>
      </c>
      <c r="U1207" s="61" t="str">
        <f t="shared" si="90"/>
        <v/>
      </c>
      <c r="V1207" s="61"/>
      <c r="W1207" s="61"/>
      <c r="X1207" s="61"/>
      <c r="Y1207" s="471"/>
      <c r="Z1207" s="471"/>
      <c r="AA1207" s="61"/>
      <c r="AB1207" s="61"/>
    </row>
    <row r="1208" spans="1:28" s="2" customFormat="1" ht="15">
      <c r="A1208" s="61" t="s">
        <v>2286</v>
      </c>
      <c r="B1208" s="61" t="s">
        <v>1096</v>
      </c>
      <c r="C1208" s="61" t="s">
        <v>4768</v>
      </c>
      <c r="D1208" s="61" t="s">
        <v>159</v>
      </c>
      <c r="E1208" s="61">
        <v>719</v>
      </c>
      <c r="F1208" s="61">
        <v>740</v>
      </c>
      <c r="G1208" s="61"/>
      <c r="H1208" s="61"/>
      <c r="I1208" s="61" t="s">
        <v>29</v>
      </c>
      <c r="J1208" s="61"/>
      <c r="K1208" s="61" t="s">
        <v>212</v>
      </c>
      <c r="L1208" s="61"/>
      <c r="M1208" s="61"/>
      <c r="N1208" s="61"/>
      <c r="O1208" s="61"/>
      <c r="P1208" s="61"/>
      <c r="Q1208" s="61"/>
      <c r="R1208" s="61" t="str">
        <f t="shared" si="87"/>
        <v/>
      </c>
      <c r="S1208" s="61" t="str">
        <f t="shared" si="88"/>
        <v/>
      </c>
      <c r="T1208" s="61" t="str">
        <f t="shared" si="89"/>
        <v/>
      </c>
      <c r="U1208" s="61" t="str">
        <f t="shared" si="90"/>
        <v/>
      </c>
      <c r="V1208" s="61"/>
      <c r="W1208" s="61"/>
      <c r="X1208" s="61"/>
      <c r="Y1208" s="471"/>
      <c r="Z1208" s="471"/>
      <c r="AA1208" s="61"/>
      <c r="AB1208" s="61"/>
    </row>
    <row r="1209" spans="1:28" s="2" customFormat="1" ht="15">
      <c r="A1209" s="61" t="s">
        <v>2286</v>
      </c>
      <c r="B1209" s="61" t="s">
        <v>1096</v>
      </c>
      <c r="C1209" s="61" t="s">
        <v>4771</v>
      </c>
      <c r="D1209" s="61" t="s">
        <v>159</v>
      </c>
      <c r="E1209" s="61">
        <v>824</v>
      </c>
      <c r="F1209" s="61">
        <v>828</v>
      </c>
      <c r="G1209" s="61"/>
      <c r="H1209" s="61"/>
      <c r="I1209" s="61" t="s">
        <v>29</v>
      </c>
      <c r="J1209" s="61"/>
      <c r="K1209" s="61" t="s">
        <v>212</v>
      </c>
      <c r="L1209" s="61"/>
      <c r="M1209" s="61"/>
      <c r="N1209" s="61"/>
      <c r="O1209" s="61"/>
      <c r="P1209" s="61"/>
      <c r="Q1209" s="61"/>
      <c r="R1209" s="61" t="str">
        <f t="shared" si="87"/>
        <v/>
      </c>
      <c r="S1209" s="61" t="str">
        <f t="shared" si="88"/>
        <v/>
      </c>
      <c r="T1209" s="61" t="str">
        <f t="shared" si="89"/>
        <v/>
      </c>
      <c r="U1209" s="61" t="str">
        <f t="shared" si="90"/>
        <v/>
      </c>
      <c r="V1209" s="61"/>
      <c r="W1209" s="61"/>
      <c r="X1209" s="61"/>
      <c r="Y1209" s="471"/>
      <c r="Z1209" s="471"/>
      <c r="AA1209" s="61"/>
      <c r="AB1209" s="61"/>
    </row>
    <row r="1210" spans="1:28" s="2" customFormat="1" ht="15">
      <c r="A1210" s="61" t="s">
        <v>2286</v>
      </c>
      <c r="B1210" s="61" t="s">
        <v>1096</v>
      </c>
      <c r="C1210" s="61" t="s">
        <v>4772</v>
      </c>
      <c r="D1210" s="61" t="s">
        <v>159</v>
      </c>
      <c r="E1210" s="61">
        <v>2169</v>
      </c>
      <c r="F1210" s="61">
        <v>2204</v>
      </c>
      <c r="G1210" s="61"/>
      <c r="H1210" s="61"/>
      <c r="I1210" s="61" t="s">
        <v>29</v>
      </c>
      <c r="J1210" s="61"/>
      <c r="K1210" s="61" t="s">
        <v>212</v>
      </c>
      <c r="L1210" s="61"/>
      <c r="M1210" s="61"/>
      <c r="N1210" s="61"/>
      <c r="O1210" s="61"/>
      <c r="P1210" s="61"/>
      <c r="Q1210" s="61"/>
      <c r="R1210" s="61" t="str">
        <f t="shared" si="87"/>
        <v/>
      </c>
      <c r="S1210" s="61" t="str">
        <f t="shared" si="88"/>
        <v/>
      </c>
      <c r="T1210" s="61" t="str">
        <f t="shared" si="89"/>
        <v/>
      </c>
      <c r="U1210" s="61" t="str">
        <f t="shared" si="90"/>
        <v/>
      </c>
      <c r="V1210" s="61"/>
      <c r="W1210" s="61"/>
      <c r="X1210" s="61"/>
      <c r="Y1210" s="471"/>
      <c r="Z1210" s="471"/>
      <c r="AA1210" s="61"/>
      <c r="AB1210" s="61"/>
    </row>
    <row r="1211" spans="1:28" s="2" customFormat="1" ht="15">
      <c r="A1211" s="61" t="s">
        <v>2286</v>
      </c>
      <c r="B1211" s="61" t="s">
        <v>1096</v>
      </c>
      <c r="C1211" s="61" t="s">
        <v>4773</v>
      </c>
      <c r="D1211" s="61" t="s">
        <v>159</v>
      </c>
      <c r="E1211" s="61">
        <v>1186</v>
      </c>
      <c r="F1211" s="61">
        <v>1146</v>
      </c>
      <c r="G1211" s="61"/>
      <c r="H1211" s="61"/>
      <c r="I1211" s="61" t="s">
        <v>29</v>
      </c>
      <c r="J1211" s="61"/>
      <c r="K1211" s="61" t="s">
        <v>212</v>
      </c>
      <c r="L1211" s="61"/>
      <c r="M1211" s="61"/>
      <c r="N1211" s="61"/>
      <c r="O1211" s="61"/>
      <c r="P1211" s="61"/>
      <c r="Q1211" s="61"/>
      <c r="R1211" s="61" t="str">
        <f t="shared" si="87"/>
        <v/>
      </c>
      <c r="S1211" s="61" t="str">
        <f t="shared" si="88"/>
        <v/>
      </c>
      <c r="T1211" s="61" t="str">
        <f t="shared" si="89"/>
        <v/>
      </c>
      <c r="U1211" s="61" t="str">
        <f t="shared" si="90"/>
        <v/>
      </c>
      <c r="V1211" s="61"/>
      <c r="W1211" s="61"/>
      <c r="X1211" s="61"/>
      <c r="Y1211" s="471"/>
      <c r="Z1211" s="471"/>
      <c r="AA1211" s="61"/>
      <c r="AB1211" s="61"/>
    </row>
    <row r="1212" spans="1:28" s="2" customFormat="1" ht="15">
      <c r="A1212" s="61" t="s">
        <v>2286</v>
      </c>
      <c r="B1212" s="61" t="s">
        <v>1096</v>
      </c>
      <c r="C1212" s="61" t="s">
        <v>4774</v>
      </c>
      <c r="D1212" s="61" t="s">
        <v>159</v>
      </c>
      <c r="E1212" s="61">
        <v>1287</v>
      </c>
      <c r="F1212" s="61">
        <v>1305</v>
      </c>
      <c r="G1212" s="61"/>
      <c r="H1212" s="61"/>
      <c r="I1212" s="61" t="s">
        <v>29</v>
      </c>
      <c r="J1212" s="61"/>
      <c r="K1212" s="61" t="s">
        <v>212</v>
      </c>
      <c r="L1212" s="61"/>
      <c r="M1212" s="61"/>
      <c r="N1212" s="61"/>
      <c r="O1212" s="61"/>
      <c r="P1212" s="61"/>
      <c r="Q1212" s="61"/>
      <c r="R1212" s="61" t="str">
        <f t="shared" si="87"/>
        <v/>
      </c>
      <c r="S1212" s="61" t="str">
        <f t="shared" si="88"/>
        <v/>
      </c>
      <c r="T1212" s="61" t="str">
        <f t="shared" si="89"/>
        <v/>
      </c>
      <c r="U1212" s="61" t="str">
        <f t="shared" si="90"/>
        <v/>
      </c>
      <c r="V1212" s="61"/>
      <c r="W1212" s="61"/>
      <c r="X1212" s="61"/>
      <c r="Y1212" s="471"/>
      <c r="Z1212" s="471"/>
      <c r="AA1212" s="61"/>
      <c r="AB1212" s="61"/>
    </row>
    <row r="1213" spans="1:28" s="2" customFormat="1" ht="15">
      <c r="A1213" s="61" t="s">
        <v>2286</v>
      </c>
      <c r="B1213" s="61" t="s">
        <v>1096</v>
      </c>
      <c r="C1213" s="61" t="s">
        <v>4775</v>
      </c>
      <c r="D1213" s="61" t="s">
        <v>159</v>
      </c>
      <c r="E1213" s="61">
        <v>681</v>
      </c>
      <c r="F1213" s="61">
        <v>693</v>
      </c>
      <c r="G1213" s="61"/>
      <c r="H1213" s="61"/>
      <c r="I1213" s="61" t="s">
        <v>29</v>
      </c>
      <c r="J1213" s="61"/>
      <c r="K1213" s="61" t="s">
        <v>212</v>
      </c>
      <c r="L1213" s="61"/>
      <c r="M1213" s="61"/>
      <c r="N1213" s="61"/>
      <c r="O1213" s="61"/>
      <c r="P1213" s="61"/>
      <c r="Q1213" s="61"/>
      <c r="R1213" s="61" t="str">
        <f t="shared" si="87"/>
        <v/>
      </c>
      <c r="S1213" s="61" t="str">
        <f t="shared" si="88"/>
        <v/>
      </c>
      <c r="T1213" s="61" t="str">
        <f t="shared" si="89"/>
        <v/>
      </c>
      <c r="U1213" s="61" t="str">
        <f t="shared" si="90"/>
        <v/>
      </c>
      <c r="V1213" s="61"/>
      <c r="W1213" s="61"/>
      <c r="X1213" s="61"/>
      <c r="Y1213" s="471"/>
      <c r="Z1213" s="471"/>
      <c r="AA1213" s="61"/>
      <c r="AB1213" s="61"/>
    </row>
    <row r="1214" spans="1:28" s="2" customFormat="1" ht="15">
      <c r="A1214" s="61" t="s">
        <v>2286</v>
      </c>
      <c r="B1214" s="61" t="s">
        <v>1096</v>
      </c>
      <c r="C1214" s="61" t="s">
        <v>4776</v>
      </c>
      <c r="D1214" s="61" t="s">
        <v>159</v>
      </c>
      <c r="E1214" s="61">
        <v>1616</v>
      </c>
      <c r="F1214" s="61">
        <v>1918</v>
      </c>
      <c r="G1214" s="61">
        <v>2025</v>
      </c>
      <c r="H1214" s="61" t="s">
        <v>3128</v>
      </c>
      <c r="I1214" s="61" t="s">
        <v>29</v>
      </c>
      <c r="J1214" s="61"/>
      <c r="K1214" s="61" t="s">
        <v>212</v>
      </c>
      <c r="L1214" s="61" t="s">
        <v>8496</v>
      </c>
      <c r="M1214" s="475">
        <v>45924</v>
      </c>
      <c r="N1214" s="475">
        <v>45927</v>
      </c>
      <c r="O1214" s="475">
        <v>45928</v>
      </c>
      <c r="P1214" s="475">
        <v>45928</v>
      </c>
      <c r="Q1214" s="475">
        <v>45929</v>
      </c>
      <c r="R1214" s="61">
        <f t="shared" si="87"/>
        <v>2</v>
      </c>
      <c r="S1214" s="61">
        <f t="shared" si="88"/>
        <v>1</v>
      </c>
      <c r="T1214" s="61">
        <f t="shared" si="89"/>
        <v>1</v>
      </c>
      <c r="U1214" s="61">
        <f t="shared" si="90"/>
        <v>1</v>
      </c>
      <c r="V1214" s="61" t="s">
        <v>150</v>
      </c>
      <c r="W1214" s="61" t="s">
        <v>1078</v>
      </c>
      <c r="X1214" s="61" t="s">
        <v>57</v>
      </c>
      <c r="Y1214" s="471">
        <v>15.7948</v>
      </c>
      <c r="Z1214" s="471">
        <v>120.6827</v>
      </c>
      <c r="AA1214" s="61" t="s">
        <v>282</v>
      </c>
      <c r="AB1214" s="61"/>
    </row>
    <row r="1215" spans="1:28" s="2" customFormat="1" ht="15">
      <c r="A1215" s="61" t="s">
        <v>2286</v>
      </c>
      <c r="B1215" s="61" t="s">
        <v>1096</v>
      </c>
      <c r="C1215" s="61" t="s">
        <v>1499</v>
      </c>
      <c r="D1215" s="61" t="s">
        <v>159</v>
      </c>
      <c r="E1215" s="61">
        <v>648</v>
      </c>
      <c r="F1215" s="61">
        <v>645</v>
      </c>
      <c r="G1215" s="61"/>
      <c r="H1215" s="61"/>
      <c r="I1215" s="61" t="s">
        <v>29</v>
      </c>
      <c r="J1215" s="61"/>
      <c r="K1215" s="61" t="s">
        <v>212</v>
      </c>
      <c r="L1215" s="61"/>
      <c r="M1215" s="61"/>
      <c r="N1215" s="61"/>
      <c r="O1215" s="61"/>
      <c r="P1215" s="61"/>
      <c r="Q1215" s="61"/>
      <c r="R1215" s="61" t="str">
        <f t="shared" si="87"/>
        <v/>
      </c>
      <c r="S1215" s="61" t="str">
        <f t="shared" si="88"/>
        <v/>
      </c>
      <c r="T1215" s="61" t="str">
        <f t="shared" si="89"/>
        <v/>
      </c>
      <c r="U1215" s="61" t="str">
        <f t="shared" si="90"/>
        <v/>
      </c>
      <c r="V1215" s="61"/>
      <c r="W1215" s="61"/>
      <c r="X1215" s="61"/>
      <c r="Y1215" s="471"/>
      <c r="Z1215" s="471"/>
      <c r="AA1215" s="61"/>
      <c r="AB1215" s="61"/>
    </row>
    <row r="1216" spans="1:28" s="2" customFormat="1" ht="15">
      <c r="A1216" s="61" t="s">
        <v>2286</v>
      </c>
      <c r="B1216" s="61" t="s">
        <v>1096</v>
      </c>
      <c r="C1216" s="61" t="s">
        <v>4778</v>
      </c>
      <c r="D1216" s="61" t="s">
        <v>159</v>
      </c>
      <c r="E1216" s="61">
        <v>1553</v>
      </c>
      <c r="F1216" s="61">
        <v>1686</v>
      </c>
      <c r="G1216" s="61"/>
      <c r="H1216" s="61"/>
      <c r="I1216" s="61" t="s">
        <v>29</v>
      </c>
      <c r="J1216" s="61"/>
      <c r="K1216" s="61" t="s">
        <v>212</v>
      </c>
      <c r="L1216" s="61"/>
      <c r="M1216" s="61"/>
      <c r="N1216" s="61"/>
      <c r="O1216" s="61"/>
      <c r="P1216" s="61"/>
      <c r="Q1216" s="61"/>
      <c r="R1216" s="61" t="str">
        <f t="shared" si="87"/>
        <v/>
      </c>
      <c r="S1216" s="61" t="str">
        <f t="shared" si="88"/>
        <v/>
      </c>
      <c r="T1216" s="61" t="str">
        <f t="shared" si="89"/>
        <v/>
      </c>
      <c r="U1216" s="61" t="str">
        <f t="shared" si="90"/>
        <v/>
      </c>
      <c r="V1216" s="61"/>
      <c r="W1216" s="61"/>
      <c r="X1216" s="61"/>
      <c r="Y1216" s="471"/>
      <c r="Z1216" s="471"/>
      <c r="AA1216" s="61"/>
      <c r="AB1216" s="61"/>
    </row>
    <row r="1217" spans="1:28" s="474" customFormat="1">
      <c r="A1217" s="61" t="s">
        <v>2286</v>
      </c>
      <c r="B1217" s="61" t="s">
        <v>1096</v>
      </c>
      <c r="C1217" s="61" t="s">
        <v>4779</v>
      </c>
      <c r="D1217" s="61" t="s">
        <v>159</v>
      </c>
      <c r="E1217" s="61">
        <v>1387</v>
      </c>
      <c r="F1217" s="61">
        <v>1552</v>
      </c>
      <c r="G1217" s="61"/>
      <c r="H1217" s="61"/>
      <c r="I1217" s="61" t="s">
        <v>29</v>
      </c>
      <c r="J1217" s="61"/>
      <c r="K1217" s="61" t="s">
        <v>212</v>
      </c>
      <c r="L1217" s="61"/>
      <c r="M1217" s="61"/>
      <c r="N1217" s="61"/>
      <c r="O1217" s="61"/>
      <c r="P1217" s="61"/>
      <c r="Q1217" s="61"/>
      <c r="R1217" s="61" t="str">
        <f t="shared" si="87"/>
        <v/>
      </c>
      <c r="S1217" s="61" t="str">
        <f t="shared" si="88"/>
        <v/>
      </c>
      <c r="T1217" s="61" t="str">
        <f t="shared" si="89"/>
        <v/>
      </c>
      <c r="U1217" s="61" t="str">
        <f t="shared" si="90"/>
        <v/>
      </c>
      <c r="V1217" s="61"/>
      <c r="W1217" s="61"/>
      <c r="X1217" s="61"/>
      <c r="Y1217" s="471"/>
      <c r="Z1217" s="471"/>
      <c r="AA1217" s="61"/>
      <c r="AB1217" s="61"/>
    </row>
    <row r="1218" spans="1:28" s="2" customFormat="1" ht="15">
      <c r="A1218" s="61" t="s">
        <v>2286</v>
      </c>
      <c r="B1218" s="61" t="s">
        <v>1096</v>
      </c>
      <c r="C1218" s="61" t="s">
        <v>4780</v>
      </c>
      <c r="D1218" s="61" t="s">
        <v>159</v>
      </c>
      <c r="E1218" s="61">
        <v>1555</v>
      </c>
      <c r="F1218" s="61">
        <v>1720</v>
      </c>
      <c r="G1218" s="61"/>
      <c r="H1218" s="61"/>
      <c r="I1218" s="61" t="s">
        <v>29</v>
      </c>
      <c r="J1218" s="61"/>
      <c r="K1218" s="61" t="s">
        <v>212</v>
      </c>
      <c r="L1218" s="61"/>
      <c r="M1218" s="61"/>
      <c r="N1218" s="61"/>
      <c r="O1218" s="61"/>
      <c r="P1218" s="61"/>
      <c r="Q1218" s="61"/>
      <c r="R1218" s="61" t="str">
        <f t="shared" si="87"/>
        <v/>
      </c>
      <c r="S1218" s="61" t="str">
        <f t="shared" si="88"/>
        <v/>
      </c>
      <c r="T1218" s="61" t="str">
        <f t="shared" si="89"/>
        <v/>
      </c>
      <c r="U1218" s="61" t="str">
        <f t="shared" si="90"/>
        <v/>
      </c>
      <c r="V1218" s="61"/>
      <c r="W1218" s="61"/>
      <c r="X1218" s="61"/>
      <c r="Y1218" s="471"/>
      <c r="Z1218" s="471"/>
      <c r="AA1218" s="61"/>
      <c r="AB1218" s="61"/>
    </row>
    <row r="1219" spans="1:28" s="2" customFormat="1" ht="15">
      <c r="A1219" s="61" t="s">
        <v>2286</v>
      </c>
      <c r="B1219" s="61" t="s">
        <v>1096</v>
      </c>
      <c r="C1219" s="61" t="s">
        <v>4781</v>
      </c>
      <c r="D1219" s="61" t="s">
        <v>159</v>
      </c>
      <c r="E1219" s="61">
        <v>1850</v>
      </c>
      <c r="F1219" s="61">
        <v>1886</v>
      </c>
      <c r="G1219" s="61"/>
      <c r="H1219" s="61"/>
      <c r="I1219" s="61" t="s">
        <v>29</v>
      </c>
      <c r="J1219" s="61"/>
      <c r="K1219" s="61" t="s">
        <v>212</v>
      </c>
      <c r="L1219" s="61"/>
      <c r="M1219" s="61"/>
      <c r="N1219" s="61"/>
      <c r="O1219" s="61"/>
      <c r="P1219" s="61"/>
      <c r="Q1219" s="61"/>
      <c r="R1219" s="61" t="str">
        <f t="shared" si="87"/>
        <v/>
      </c>
      <c r="S1219" s="61" t="str">
        <f t="shared" si="88"/>
        <v/>
      </c>
      <c r="T1219" s="61" t="str">
        <f t="shared" si="89"/>
        <v/>
      </c>
      <c r="U1219" s="61" t="str">
        <f t="shared" si="90"/>
        <v/>
      </c>
      <c r="V1219" s="61"/>
      <c r="W1219" s="61"/>
      <c r="X1219" s="61"/>
      <c r="Y1219" s="471"/>
      <c r="Z1219" s="471"/>
      <c r="AA1219" s="61"/>
      <c r="AB1219" s="61"/>
    </row>
    <row r="1220" spans="1:28" s="2" customFormat="1" ht="15">
      <c r="A1220" s="61" t="s">
        <v>2286</v>
      </c>
      <c r="B1220" s="61" t="s">
        <v>1096</v>
      </c>
      <c r="C1220" s="61" t="s">
        <v>4782</v>
      </c>
      <c r="D1220" s="61" t="s">
        <v>159</v>
      </c>
      <c r="E1220" s="61">
        <v>998</v>
      </c>
      <c r="F1220" s="61">
        <v>1012</v>
      </c>
      <c r="G1220" s="61"/>
      <c r="H1220" s="61"/>
      <c r="I1220" s="61" t="s">
        <v>29</v>
      </c>
      <c r="J1220" s="61"/>
      <c r="K1220" s="61" t="s">
        <v>212</v>
      </c>
      <c r="L1220" s="61"/>
      <c r="M1220" s="61"/>
      <c r="N1220" s="61"/>
      <c r="O1220" s="61"/>
      <c r="P1220" s="61"/>
      <c r="Q1220" s="61"/>
      <c r="R1220" s="61" t="str">
        <f t="shared" si="87"/>
        <v/>
      </c>
      <c r="S1220" s="61" t="str">
        <f t="shared" si="88"/>
        <v/>
      </c>
      <c r="T1220" s="61" t="str">
        <f t="shared" si="89"/>
        <v/>
      </c>
      <c r="U1220" s="61" t="str">
        <f t="shared" si="90"/>
        <v/>
      </c>
      <c r="V1220" s="61"/>
      <c r="W1220" s="61"/>
      <c r="X1220" s="61"/>
      <c r="Y1220" s="471"/>
      <c r="Z1220" s="471"/>
      <c r="AA1220" s="61"/>
      <c r="AB1220" s="61"/>
    </row>
    <row r="1221" spans="1:28" s="2" customFormat="1" ht="15">
      <c r="A1221" s="61" t="s">
        <v>2286</v>
      </c>
      <c r="B1221" s="61" t="s">
        <v>1096</v>
      </c>
      <c r="C1221" s="61" t="s">
        <v>4783</v>
      </c>
      <c r="D1221" s="61" t="s">
        <v>159</v>
      </c>
      <c r="E1221" s="61">
        <v>1215</v>
      </c>
      <c r="F1221" s="61">
        <v>1260</v>
      </c>
      <c r="G1221" s="61"/>
      <c r="H1221" s="61"/>
      <c r="I1221" s="61" t="s">
        <v>29</v>
      </c>
      <c r="J1221" s="61"/>
      <c r="K1221" s="61" t="s">
        <v>212</v>
      </c>
      <c r="L1221" s="61"/>
      <c r="M1221" s="61"/>
      <c r="N1221" s="61"/>
      <c r="O1221" s="61"/>
      <c r="P1221" s="61"/>
      <c r="Q1221" s="61"/>
      <c r="R1221" s="61" t="str">
        <f t="shared" si="87"/>
        <v/>
      </c>
      <c r="S1221" s="61" t="str">
        <f t="shared" si="88"/>
        <v/>
      </c>
      <c r="T1221" s="61" t="str">
        <f t="shared" si="89"/>
        <v/>
      </c>
      <c r="U1221" s="61" t="str">
        <f t="shared" si="90"/>
        <v/>
      </c>
      <c r="V1221" s="61"/>
      <c r="W1221" s="61"/>
      <c r="X1221" s="61"/>
      <c r="Y1221" s="471"/>
      <c r="Z1221" s="471"/>
      <c r="AA1221" s="61"/>
      <c r="AB1221" s="61"/>
    </row>
    <row r="1222" spans="1:28" s="2" customFormat="1" ht="15">
      <c r="A1222" s="61" t="s">
        <v>2286</v>
      </c>
      <c r="B1222" s="61" t="s">
        <v>1096</v>
      </c>
      <c r="C1222" s="61" t="s">
        <v>4784</v>
      </c>
      <c r="D1222" s="61" t="s">
        <v>159</v>
      </c>
      <c r="E1222" s="61">
        <v>665</v>
      </c>
      <c r="F1222" s="61">
        <v>660</v>
      </c>
      <c r="G1222" s="61"/>
      <c r="H1222" s="61"/>
      <c r="I1222" s="61" t="s">
        <v>29</v>
      </c>
      <c r="J1222" s="61"/>
      <c r="K1222" s="61" t="s">
        <v>212</v>
      </c>
      <c r="L1222" s="61"/>
      <c r="M1222" s="61"/>
      <c r="N1222" s="61"/>
      <c r="O1222" s="61"/>
      <c r="P1222" s="61"/>
      <c r="Q1222" s="61"/>
      <c r="R1222" s="61" t="str">
        <f t="shared" si="87"/>
        <v/>
      </c>
      <c r="S1222" s="61" t="str">
        <f t="shared" si="88"/>
        <v/>
      </c>
      <c r="T1222" s="61" t="str">
        <f t="shared" si="89"/>
        <v/>
      </c>
      <c r="U1222" s="61" t="str">
        <f t="shared" si="90"/>
        <v/>
      </c>
      <c r="V1222" s="61"/>
      <c r="W1222" s="61"/>
      <c r="X1222" s="61"/>
      <c r="Y1222" s="471"/>
      <c r="Z1222" s="471"/>
      <c r="AA1222" s="61"/>
      <c r="AB1222" s="61"/>
    </row>
    <row r="1223" spans="1:28" s="2" customFormat="1" ht="15">
      <c r="A1223" s="61" t="s">
        <v>2286</v>
      </c>
      <c r="B1223" s="61" t="s">
        <v>1096</v>
      </c>
      <c r="C1223" s="61" t="s">
        <v>1299</v>
      </c>
      <c r="D1223" s="61" t="s">
        <v>159</v>
      </c>
      <c r="E1223" s="61">
        <v>856</v>
      </c>
      <c r="F1223" s="61">
        <v>913</v>
      </c>
      <c r="G1223" s="61"/>
      <c r="H1223" s="61"/>
      <c r="I1223" s="61" t="s">
        <v>29</v>
      </c>
      <c r="J1223" s="61"/>
      <c r="K1223" s="61" t="s">
        <v>212</v>
      </c>
      <c r="L1223" s="61"/>
      <c r="M1223" s="61"/>
      <c r="N1223" s="61"/>
      <c r="O1223" s="61"/>
      <c r="P1223" s="61"/>
      <c r="Q1223" s="61"/>
      <c r="R1223" s="61" t="str">
        <f t="shared" si="87"/>
        <v/>
      </c>
      <c r="S1223" s="61" t="str">
        <f t="shared" si="88"/>
        <v/>
      </c>
      <c r="T1223" s="61" t="str">
        <f t="shared" si="89"/>
        <v/>
      </c>
      <c r="U1223" s="61" t="str">
        <f t="shared" si="90"/>
        <v/>
      </c>
      <c r="V1223" s="61"/>
      <c r="W1223" s="61"/>
      <c r="X1223" s="61"/>
      <c r="Y1223" s="471"/>
      <c r="Z1223" s="471"/>
      <c r="AA1223" s="61"/>
      <c r="AB1223" s="61"/>
    </row>
    <row r="1224" spans="1:28" s="2" customFormat="1" ht="15">
      <c r="A1224" s="61" t="s">
        <v>2286</v>
      </c>
      <c r="B1224" s="61" t="s">
        <v>1096</v>
      </c>
      <c r="C1224" s="61" t="s">
        <v>1097</v>
      </c>
      <c r="D1224" s="61" t="s">
        <v>159</v>
      </c>
      <c r="E1224" s="61">
        <v>1633</v>
      </c>
      <c r="F1224" s="61">
        <v>1510</v>
      </c>
      <c r="G1224" s="61"/>
      <c r="H1224" s="61"/>
      <c r="I1224" s="61" t="s">
        <v>29</v>
      </c>
      <c r="J1224" s="61"/>
      <c r="K1224" s="61" t="s">
        <v>212</v>
      </c>
      <c r="L1224" s="61"/>
      <c r="M1224" s="61"/>
      <c r="N1224" s="61"/>
      <c r="O1224" s="61"/>
      <c r="P1224" s="61"/>
      <c r="Q1224" s="61"/>
      <c r="R1224" s="61" t="str">
        <f t="shared" si="87"/>
        <v/>
      </c>
      <c r="S1224" s="61" t="str">
        <f t="shared" si="88"/>
        <v/>
      </c>
      <c r="T1224" s="61" t="str">
        <f t="shared" si="89"/>
        <v/>
      </c>
      <c r="U1224" s="61" t="str">
        <f t="shared" si="90"/>
        <v/>
      </c>
      <c r="V1224" s="61"/>
      <c r="W1224" s="61"/>
      <c r="X1224" s="61"/>
      <c r="Y1224" s="471"/>
      <c r="Z1224" s="471"/>
      <c r="AA1224" s="61"/>
      <c r="AB1224" s="61"/>
    </row>
    <row r="1225" spans="1:28" s="2" customFormat="1" ht="15">
      <c r="A1225" s="61" t="s">
        <v>2286</v>
      </c>
      <c r="B1225" s="61" t="s">
        <v>1096</v>
      </c>
      <c r="C1225" s="61" t="s">
        <v>4785</v>
      </c>
      <c r="D1225" s="61" t="s">
        <v>159</v>
      </c>
      <c r="E1225" s="61">
        <v>1388</v>
      </c>
      <c r="F1225" s="61">
        <v>1390</v>
      </c>
      <c r="G1225" s="61">
        <v>2025</v>
      </c>
      <c r="H1225" s="61" t="s">
        <v>3128</v>
      </c>
      <c r="I1225" s="61" t="s">
        <v>29</v>
      </c>
      <c r="J1225" s="61"/>
      <c r="K1225" s="61" t="s">
        <v>212</v>
      </c>
      <c r="L1225" s="61" t="s">
        <v>8497</v>
      </c>
      <c r="M1225" s="475">
        <v>45924</v>
      </c>
      <c r="N1225" s="475">
        <v>45927</v>
      </c>
      <c r="O1225" s="475">
        <v>45928</v>
      </c>
      <c r="P1225" s="475">
        <v>45928</v>
      </c>
      <c r="Q1225" s="475">
        <v>45928</v>
      </c>
      <c r="R1225" s="61">
        <f t="shared" si="87"/>
        <v>2</v>
      </c>
      <c r="S1225" s="61">
        <f t="shared" si="88"/>
        <v>1</v>
      </c>
      <c r="T1225" s="61">
        <f t="shared" si="89"/>
        <v>1</v>
      </c>
      <c r="U1225" s="61">
        <f t="shared" si="90"/>
        <v>1</v>
      </c>
      <c r="V1225" s="61" t="s">
        <v>150</v>
      </c>
      <c r="W1225" s="61" t="s">
        <v>1078</v>
      </c>
      <c r="X1225" s="61" t="s">
        <v>57</v>
      </c>
      <c r="Y1225" s="471">
        <v>15.8043</v>
      </c>
      <c r="Z1225" s="471">
        <v>120.7099</v>
      </c>
      <c r="AA1225" s="61" t="s">
        <v>282</v>
      </c>
      <c r="AB1225" s="61"/>
    </row>
    <row r="1226" spans="1:28" s="2" customFormat="1" ht="15">
      <c r="A1226" s="61" t="s">
        <v>2286</v>
      </c>
      <c r="B1226" s="61" t="s">
        <v>1096</v>
      </c>
      <c r="C1226" s="61" t="s">
        <v>914</v>
      </c>
      <c r="D1226" s="61" t="s">
        <v>159</v>
      </c>
      <c r="E1226" s="61">
        <v>4118</v>
      </c>
      <c r="F1226" s="61">
        <v>4341</v>
      </c>
      <c r="G1226" s="61"/>
      <c r="H1226" s="61"/>
      <c r="I1226" s="61" t="s">
        <v>29</v>
      </c>
      <c r="J1226" s="61"/>
      <c r="K1226" s="61" t="s">
        <v>212</v>
      </c>
      <c r="L1226" s="61"/>
      <c r="M1226" s="61"/>
      <c r="N1226" s="61"/>
      <c r="O1226" s="61"/>
      <c r="P1226" s="61"/>
      <c r="Q1226" s="61"/>
      <c r="R1226" s="61" t="str">
        <f t="shared" si="87"/>
        <v/>
      </c>
      <c r="S1226" s="61" t="str">
        <f t="shared" si="88"/>
        <v/>
      </c>
      <c r="T1226" s="61" t="str">
        <f t="shared" si="89"/>
        <v/>
      </c>
      <c r="U1226" s="61" t="str">
        <f t="shared" si="90"/>
        <v/>
      </c>
      <c r="V1226" s="61"/>
      <c r="W1226" s="61"/>
      <c r="X1226" s="61"/>
      <c r="Y1226" s="471"/>
      <c r="Z1226" s="471"/>
      <c r="AA1226" s="61"/>
      <c r="AB1226" s="61"/>
    </row>
    <row r="1227" spans="1:28" s="2" customFormat="1" ht="15">
      <c r="A1227" s="61" t="s">
        <v>2286</v>
      </c>
      <c r="B1227" s="61" t="s">
        <v>1096</v>
      </c>
      <c r="C1227" s="61" t="s">
        <v>858</v>
      </c>
      <c r="D1227" s="61" t="s">
        <v>159</v>
      </c>
      <c r="E1227" s="61">
        <v>1266</v>
      </c>
      <c r="F1227" s="61">
        <v>1318</v>
      </c>
      <c r="G1227" s="61"/>
      <c r="H1227" s="61"/>
      <c r="I1227" s="61" t="s">
        <v>29</v>
      </c>
      <c r="J1227" s="61"/>
      <c r="K1227" s="61" t="s">
        <v>212</v>
      </c>
      <c r="L1227" s="61"/>
      <c r="M1227" s="61"/>
      <c r="N1227" s="61"/>
      <c r="O1227" s="61"/>
      <c r="P1227" s="61"/>
      <c r="Q1227" s="61"/>
      <c r="R1227" s="61" t="str">
        <f t="shared" si="87"/>
        <v/>
      </c>
      <c r="S1227" s="61" t="str">
        <f t="shared" si="88"/>
        <v/>
      </c>
      <c r="T1227" s="61" t="str">
        <f t="shared" si="89"/>
        <v/>
      </c>
      <c r="U1227" s="61" t="str">
        <f t="shared" si="90"/>
        <v/>
      </c>
      <c r="V1227" s="61"/>
      <c r="W1227" s="61"/>
      <c r="X1227" s="61"/>
      <c r="Y1227" s="471"/>
      <c r="Z1227" s="471"/>
      <c r="AA1227" s="61"/>
      <c r="AB1227" s="61"/>
    </row>
    <row r="1228" spans="1:28" s="2" customFormat="1" ht="15">
      <c r="A1228" s="61" t="s">
        <v>2286</v>
      </c>
      <c r="B1228" s="61" t="s">
        <v>1096</v>
      </c>
      <c r="C1228" s="61" t="s">
        <v>918</v>
      </c>
      <c r="D1228" s="61" t="s">
        <v>159</v>
      </c>
      <c r="E1228" s="61">
        <v>597</v>
      </c>
      <c r="F1228" s="61">
        <v>625</v>
      </c>
      <c r="G1228" s="61"/>
      <c r="H1228" s="61"/>
      <c r="I1228" s="61" t="s">
        <v>29</v>
      </c>
      <c r="J1228" s="61"/>
      <c r="K1228" s="61" t="s">
        <v>212</v>
      </c>
      <c r="L1228" s="61"/>
      <c r="M1228" s="61"/>
      <c r="N1228" s="61"/>
      <c r="O1228" s="61"/>
      <c r="P1228" s="61"/>
      <c r="Q1228" s="61"/>
      <c r="R1228" s="61" t="str">
        <f t="shared" si="87"/>
        <v/>
      </c>
      <c r="S1228" s="61" t="str">
        <f t="shared" si="88"/>
        <v/>
      </c>
      <c r="T1228" s="61" t="str">
        <f t="shared" si="89"/>
        <v/>
      </c>
      <c r="U1228" s="61" t="str">
        <f t="shared" si="90"/>
        <v/>
      </c>
      <c r="V1228" s="61"/>
      <c r="W1228" s="61"/>
      <c r="X1228" s="61"/>
      <c r="Y1228" s="471"/>
      <c r="Z1228" s="471"/>
      <c r="AA1228" s="61"/>
      <c r="AB1228" s="61"/>
    </row>
    <row r="1229" spans="1:28" s="2" customFormat="1" ht="15">
      <c r="A1229" s="61" t="s">
        <v>2286</v>
      </c>
      <c r="B1229" s="61" t="s">
        <v>1096</v>
      </c>
      <c r="C1229" s="61" t="s">
        <v>4499</v>
      </c>
      <c r="D1229" s="61" t="s">
        <v>159</v>
      </c>
      <c r="E1229" s="61">
        <v>1678</v>
      </c>
      <c r="F1229" s="61">
        <v>1740</v>
      </c>
      <c r="G1229" s="61"/>
      <c r="H1229" s="61"/>
      <c r="I1229" s="61" t="s">
        <v>29</v>
      </c>
      <c r="J1229" s="61"/>
      <c r="K1229" s="61" t="s">
        <v>212</v>
      </c>
      <c r="L1229" s="61"/>
      <c r="M1229" s="61"/>
      <c r="N1229" s="61"/>
      <c r="O1229" s="61"/>
      <c r="P1229" s="61"/>
      <c r="Q1229" s="61"/>
      <c r="R1229" s="61" t="str">
        <f t="shared" si="87"/>
        <v/>
      </c>
      <c r="S1229" s="61" t="str">
        <f t="shared" si="88"/>
        <v/>
      </c>
      <c r="T1229" s="61" t="str">
        <f t="shared" si="89"/>
        <v/>
      </c>
      <c r="U1229" s="61" t="str">
        <f t="shared" si="90"/>
        <v/>
      </c>
      <c r="V1229" s="61"/>
      <c r="W1229" s="61"/>
      <c r="X1229" s="61"/>
      <c r="Y1229" s="471"/>
      <c r="Z1229" s="471"/>
      <c r="AA1229" s="61"/>
      <c r="AB1229" s="61"/>
    </row>
    <row r="1230" spans="1:28" s="2" customFormat="1" ht="15">
      <c r="A1230" s="61" t="s">
        <v>2286</v>
      </c>
      <c r="B1230" s="61" t="s">
        <v>1096</v>
      </c>
      <c r="C1230" s="61" t="s">
        <v>1899</v>
      </c>
      <c r="D1230" s="61" t="s">
        <v>159</v>
      </c>
      <c r="E1230" s="61">
        <v>1128</v>
      </c>
      <c r="F1230" s="61">
        <v>1189</v>
      </c>
      <c r="G1230" s="61"/>
      <c r="H1230" s="61"/>
      <c r="I1230" s="61" t="s">
        <v>29</v>
      </c>
      <c r="J1230" s="61"/>
      <c r="K1230" s="61" t="s">
        <v>212</v>
      </c>
      <c r="L1230" s="61"/>
      <c r="M1230" s="61"/>
      <c r="N1230" s="61"/>
      <c r="O1230" s="61"/>
      <c r="P1230" s="61"/>
      <c r="Q1230" s="61"/>
      <c r="R1230" s="61" t="str">
        <f t="shared" si="87"/>
        <v/>
      </c>
      <c r="S1230" s="61" t="str">
        <f t="shared" si="88"/>
        <v/>
      </c>
      <c r="T1230" s="61" t="str">
        <f t="shared" si="89"/>
        <v/>
      </c>
      <c r="U1230" s="61" t="str">
        <f t="shared" si="90"/>
        <v/>
      </c>
      <c r="V1230" s="61"/>
      <c r="W1230" s="61"/>
      <c r="X1230" s="61"/>
      <c r="Y1230" s="471"/>
      <c r="Z1230" s="471"/>
      <c r="AA1230" s="61"/>
      <c r="AB1230" s="61"/>
    </row>
    <row r="1231" spans="1:28" s="2" customFormat="1" ht="15">
      <c r="A1231" s="61" t="s">
        <v>2286</v>
      </c>
      <c r="B1231" s="61" t="s">
        <v>1096</v>
      </c>
      <c r="C1231" s="61" t="s">
        <v>4787</v>
      </c>
      <c r="D1231" s="61" t="s">
        <v>159</v>
      </c>
      <c r="E1231" s="61">
        <v>1151</v>
      </c>
      <c r="F1231" s="61">
        <v>1235</v>
      </c>
      <c r="G1231" s="61"/>
      <c r="H1231" s="61"/>
      <c r="I1231" s="61" t="s">
        <v>29</v>
      </c>
      <c r="J1231" s="61"/>
      <c r="K1231" s="61" t="s">
        <v>212</v>
      </c>
      <c r="L1231" s="61"/>
      <c r="M1231" s="61"/>
      <c r="N1231" s="61"/>
      <c r="O1231" s="61"/>
      <c r="P1231" s="61"/>
      <c r="Q1231" s="61"/>
      <c r="R1231" s="61" t="str">
        <f t="shared" si="87"/>
        <v/>
      </c>
      <c r="S1231" s="61" t="str">
        <f t="shared" si="88"/>
        <v/>
      </c>
      <c r="T1231" s="61" t="str">
        <f t="shared" si="89"/>
        <v/>
      </c>
      <c r="U1231" s="61" t="str">
        <f t="shared" si="90"/>
        <v/>
      </c>
      <c r="V1231" s="61"/>
      <c r="W1231" s="61"/>
      <c r="X1231" s="61"/>
      <c r="Y1231" s="471"/>
      <c r="Z1231" s="471"/>
      <c r="AA1231" s="61"/>
      <c r="AB1231" s="61"/>
    </row>
    <row r="1232" spans="1:28" s="2" customFormat="1" ht="15">
      <c r="A1232" s="61" t="s">
        <v>2286</v>
      </c>
      <c r="B1232" s="61" t="s">
        <v>1096</v>
      </c>
      <c r="C1232" s="61" t="s">
        <v>4788</v>
      </c>
      <c r="D1232" s="61" t="s">
        <v>159</v>
      </c>
      <c r="E1232" s="61">
        <v>1027</v>
      </c>
      <c r="F1232" s="61">
        <v>1042</v>
      </c>
      <c r="G1232" s="61"/>
      <c r="H1232" s="61"/>
      <c r="I1232" s="61" t="s">
        <v>29</v>
      </c>
      <c r="J1232" s="61"/>
      <c r="K1232" s="61" t="s">
        <v>212</v>
      </c>
      <c r="L1232" s="61"/>
      <c r="M1232" s="61"/>
      <c r="N1232" s="61"/>
      <c r="O1232" s="61"/>
      <c r="P1232" s="61"/>
      <c r="Q1232" s="61"/>
      <c r="R1232" s="61" t="str">
        <f t="shared" si="87"/>
        <v/>
      </c>
      <c r="S1232" s="61" t="str">
        <f t="shared" si="88"/>
        <v/>
      </c>
      <c r="T1232" s="61" t="str">
        <f t="shared" si="89"/>
        <v/>
      </c>
      <c r="U1232" s="61" t="str">
        <f t="shared" si="90"/>
        <v/>
      </c>
      <c r="V1232" s="61"/>
      <c r="W1232" s="61"/>
      <c r="X1232" s="61"/>
      <c r="Y1232" s="471"/>
      <c r="Z1232" s="471"/>
      <c r="AA1232" s="61"/>
      <c r="AB1232" s="61"/>
    </row>
    <row r="1233" spans="1:28" s="2" customFormat="1" ht="15">
      <c r="A1233" s="61" t="s">
        <v>2286</v>
      </c>
      <c r="B1233" s="61" t="s">
        <v>1096</v>
      </c>
      <c r="C1233" s="61" t="s">
        <v>4789</v>
      </c>
      <c r="D1233" s="61" t="s">
        <v>159</v>
      </c>
      <c r="E1233" s="61">
        <v>958</v>
      </c>
      <c r="F1233" s="61">
        <v>1055</v>
      </c>
      <c r="G1233" s="61"/>
      <c r="H1233" s="61"/>
      <c r="I1233" s="61" t="s">
        <v>29</v>
      </c>
      <c r="J1233" s="61"/>
      <c r="K1233" s="61" t="s">
        <v>212</v>
      </c>
      <c r="L1233" s="61"/>
      <c r="M1233" s="61"/>
      <c r="N1233" s="61"/>
      <c r="O1233" s="61"/>
      <c r="P1233" s="61"/>
      <c r="Q1233" s="61"/>
      <c r="R1233" s="61" t="str">
        <f t="shared" si="87"/>
        <v/>
      </c>
      <c r="S1233" s="61" t="str">
        <f t="shared" si="88"/>
        <v/>
      </c>
      <c r="T1233" s="61" t="str">
        <f t="shared" si="89"/>
        <v/>
      </c>
      <c r="U1233" s="61" t="str">
        <f t="shared" si="90"/>
        <v/>
      </c>
      <c r="V1233" s="61"/>
      <c r="W1233" s="61"/>
      <c r="X1233" s="61"/>
      <c r="Y1233" s="471"/>
      <c r="Z1233" s="471"/>
      <c r="AA1233" s="61"/>
      <c r="AB1233" s="61"/>
    </row>
    <row r="1234" spans="1:28" s="2" customFormat="1" ht="15">
      <c r="A1234" s="61" t="s">
        <v>2286</v>
      </c>
      <c r="B1234" s="61" t="s">
        <v>1096</v>
      </c>
      <c r="C1234" s="61" t="s">
        <v>4790</v>
      </c>
      <c r="D1234" s="61" t="s">
        <v>159</v>
      </c>
      <c r="E1234" s="61">
        <v>1895</v>
      </c>
      <c r="F1234" s="61">
        <v>2057</v>
      </c>
      <c r="G1234" s="61"/>
      <c r="H1234" s="61"/>
      <c r="I1234" s="61" t="s">
        <v>29</v>
      </c>
      <c r="J1234" s="61"/>
      <c r="K1234" s="61" t="s">
        <v>212</v>
      </c>
      <c r="L1234" s="61"/>
      <c r="M1234" s="61"/>
      <c r="N1234" s="61"/>
      <c r="O1234" s="61"/>
      <c r="P1234" s="61"/>
      <c r="Q1234" s="61"/>
      <c r="R1234" s="61" t="str">
        <f t="shared" si="87"/>
        <v/>
      </c>
      <c r="S1234" s="61" t="str">
        <f t="shared" si="88"/>
        <v/>
      </c>
      <c r="T1234" s="61" t="str">
        <f t="shared" si="89"/>
        <v/>
      </c>
      <c r="U1234" s="61" t="str">
        <f t="shared" si="90"/>
        <v/>
      </c>
      <c r="V1234" s="61"/>
      <c r="W1234" s="61"/>
      <c r="X1234" s="61"/>
      <c r="Y1234" s="471"/>
      <c r="Z1234" s="471"/>
      <c r="AA1234" s="61"/>
      <c r="AB1234" s="61"/>
    </row>
    <row r="1235" spans="1:28" s="2" customFormat="1" ht="15">
      <c r="A1235" s="61" t="s">
        <v>2286</v>
      </c>
      <c r="B1235" s="61" t="s">
        <v>1096</v>
      </c>
      <c r="C1235" s="61" t="s">
        <v>4791</v>
      </c>
      <c r="D1235" s="61" t="s">
        <v>159</v>
      </c>
      <c r="E1235" s="61">
        <v>1282</v>
      </c>
      <c r="F1235" s="61">
        <v>1372</v>
      </c>
      <c r="G1235" s="61"/>
      <c r="H1235" s="61"/>
      <c r="I1235" s="61" t="s">
        <v>29</v>
      </c>
      <c r="J1235" s="61"/>
      <c r="K1235" s="61" t="s">
        <v>212</v>
      </c>
      <c r="L1235" s="61"/>
      <c r="M1235" s="61"/>
      <c r="N1235" s="61"/>
      <c r="O1235" s="61"/>
      <c r="P1235" s="61"/>
      <c r="Q1235" s="61"/>
      <c r="R1235" s="61" t="str">
        <f t="shared" si="87"/>
        <v/>
      </c>
      <c r="S1235" s="61" t="str">
        <f t="shared" si="88"/>
        <v/>
      </c>
      <c r="T1235" s="61" t="str">
        <f t="shared" si="89"/>
        <v/>
      </c>
      <c r="U1235" s="61" t="str">
        <f t="shared" si="90"/>
        <v/>
      </c>
      <c r="V1235" s="61"/>
      <c r="W1235" s="61"/>
      <c r="X1235" s="61"/>
      <c r="Y1235" s="471"/>
      <c r="Z1235" s="471"/>
      <c r="AA1235" s="61"/>
      <c r="AB1235" s="61"/>
    </row>
    <row r="1236" spans="1:28" s="2" customFormat="1" ht="15">
      <c r="A1236" s="61" t="s">
        <v>2286</v>
      </c>
      <c r="B1236" s="61" t="s">
        <v>1193</v>
      </c>
      <c r="C1236" s="61" t="s">
        <v>4569</v>
      </c>
      <c r="D1236" s="61" t="s">
        <v>7838</v>
      </c>
      <c r="E1236" s="61">
        <v>2725</v>
      </c>
      <c r="F1236" s="61">
        <v>2939</v>
      </c>
      <c r="G1236" s="61"/>
      <c r="H1236" s="61"/>
      <c r="I1236" s="61" t="s">
        <v>28</v>
      </c>
      <c r="J1236" s="61"/>
      <c r="K1236" s="61" t="s">
        <v>212</v>
      </c>
      <c r="L1236" s="61"/>
      <c r="M1236" s="61"/>
      <c r="N1236" s="61"/>
      <c r="O1236" s="61"/>
      <c r="P1236" s="61"/>
      <c r="Q1236" s="61"/>
      <c r="R1236" s="61" t="str">
        <f t="shared" si="87"/>
        <v/>
      </c>
      <c r="S1236" s="61" t="str">
        <f t="shared" si="88"/>
        <v/>
      </c>
      <c r="T1236" s="61" t="str">
        <f t="shared" si="89"/>
        <v/>
      </c>
      <c r="U1236" s="61" t="str">
        <f t="shared" si="90"/>
        <v/>
      </c>
      <c r="V1236" s="61"/>
      <c r="W1236" s="61"/>
      <c r="X1236" s="61"/>
      <c r="Y1236" s="471"/>
      <c r="Z1236" s="471"/>
      <c r="AA1236" s="61"/>
      <c r="AB1236" s="61"/>
    </row>
    <row r="1237" spans="1:28" s="2" customFormat="1" ht="15">
      <c r="A1237" s="61" t="s">
        <v>2286</v>
      </c>
      <c r="B1237" s="61" t="s">
        <v>1193</v>
      </c>
      <c r="C1237" s="61" t="s">
        <v>4792</v>
      </c>
      <c r="D1237" s="61" t="s">
        <v>7838</v>
      </c>
      <c r="E1237" s="61">
        <v>3138</v>
      </c>
      <c r="F1237" s="61">
        <v>3525</v>
      </c>
      <c r="G1237" s="61"/>
      <c r="H1237" s="61"/>
      <c r="I1237" s="61" t="s">
        <v>28</v>
      </c>
      <c r="J1237" s="61"/>
      <c r="K1237" s="61" t="s">
        <v>212</v>
      </c>
      <c r="L1237" s="61"/>
      <c r="M1237" s="61"/>
      <c r="N1237" s="61"/>
      <c r="O1237" s="61"/>
      <c r="P1237" s="61"/>
      <c r="Q1237" s="61"/>
      <c r="R1237" s="61" t="str">
        <f t="shared" si="87"/>
        <v/>
      </c>
      <c r="S1237" s="61" t="str">
        <f t="shared" si="88"/>
        <v/>
      </c>
      <c r="T1237" s="61" t="str">
        <f t="shared" si="89"/>
        <v/>
      </c>
      <c r="U1237" s="61" t="str">
        <f t="shared" si="90"/>
        <v/>
      </c>
      <c r="V1237" s="61"/>
      <c r="W1237" s="61"/>
      <c r="X1237" s="61"/>
      <c r="Y1237" s="471"/>
      <c r="Z1237" s="471"/>
      <c r="AA1237" s="61"/>
      <c r="AB1237" s="61"/>
    </row>
    <row r="1238" spans="1:28" s="2" customFormat="1" ht="15">
      <c r="A1238" s="61" t="s">
        <v>2286</v>
      </c>
      <c r="B1238" s="61" t="s">
        <v>1193</v>
      </c>
      <c r="C1238" s="61" t="s">
        <v>4535</v>
      </c>
      <c r="D1238" s="61" t="s">
        <v>7838</v>
      </c>
      <c r="E1238" s="61">
        <v>1099</v>
      </c>
      <c r="F1238" s="61">
        <v>1299</v>
      </c>
      <c r="G1238" s="61"/>
      <c r="H1238" s="61"/>
      <c r="I1238" s="61" t="s">
        <v>28</v>
      </c>
      <c r="J1238" s="61"/>
      <c r="K1238" s="61" t="s">
        <v>212</v>
      </c>
      <c r="L1238" s="61"/>
      <c r="M1238" s="61"/>
      <c r="N1238" s="61"/>
      <c r="O1238" s="61"/>
      <c r="P1238" s="61"/>
      <c r="Q1238" s="61"/>
      <c r="R1238" s="61" t="str">
        <f t="shared" si="87"/>
        <v/>
      </c>
      <c r="S1238" s="61" t="str">
        <f t="shared" si="88"/>
        <v/>
      </c>
      <c r="T1238" s="61" t="str">
        <f t="shared" si="89"/>
        <v/>
      </c>
      <c r="U1238" s="61" t="str">
        <f t="shared" si="90"/>
        <v/>
      </c>
      <c r="V1238" s="61"/>
      <c r="W1238" s="61"/>
      <c r="X1238" s="61"/>
      <c r="Y1238" s="471"/>
      <c r="Z1238" s="471"/>
      <c r="AA1238" s="61"/>
      <c r="AB1238" s="61"/>
    </row>
    <row r="1239" spans="1:28" s="2" customFormat="1" ht="15">
      <c r="A1239" s="61" t="s">
        <v>2286</v>
      </c>
      <c r="B1239" s="61" t="s">
        <v>1193</v>
      </c>
      <c r="C1239" s="61" t="s">
        <v>4793</v>
      </c>
      <c r="D1239" s="61" t="s">
        <v>7838</v>
      </c>
      <c r="E1239" s="61">
        <v>2734</v>
      </c>
      <c r="F1239" s="61">
        <v>2918</v>
      </c>
      <c r="G1239" s="61"/>
      <c r="H1239" s="61"/>
      <c r="I1239" s="61" t="s">
        <v>28</v>
      </c>
      <c r="J1239" s="61"/>
      <c r="K1239" s="61" t="s">
        <v>212</v>
      </c>
      <c r="L1239" s="61"/>
      <c r="M1239" s="61"/>
      <c r="N1239" s="61"/>
      <c r="O1239" s="61"/>
      <c r="P1239" s="61"/>
      <c r="Q1239" s="61"/>
      <c r="R1239" s="61" t="str">
        <f t="shared" si="87"/>
        <v/>
      </c>
      <c r="S1239" s="61" t="str">
        <f t="shared" si="88"/>
        <v/>
      </c>
      <c r="T1239" s="61" t="str">
        <f t="shared" si="89"/>
        <v/>
      </c>
      <c r="U1239" s="61" t="str">
        <f t="shared" si="90"/>
        <v/>
      </c>
      <c r="V1239" s="61"/>
      <c r="W1239" s="61"/>
      <c r="X1239" s="61"/>
      <c r="Y1239" s="471"/>
      <c r="Z1239" s="471"/>
      <c r="AA1239" s="61"/>
      <c r="AB1239" s="61"/>
    </row>
    <row r="1240" spans="1:28" s="2" customFormat="1" ht="15">
      <c r="A1240" s="61" t="s">
        <v>2286</v>
      </c>
      <c r="B1240" s="61" t="s">
        <v>1193</v>
      </c>
      <c r="C1240" s="61" t="s">
        <v>4794</v>
      </c>
      <c r="D1240" s="61" t="s">
        <v>7838</v>
      </c>
      <c r="E1240" s="61">
        <v>2528</v>
      </c>
      <c r="F1240" s="61">
        <v>3050</v>
      </c>
      <c r="G1240" s="61"/>
      <c r="H1240" s="61"/>
      <c r="I1240" s="61" t="s">
        <v>28</v>
      </c>
      <c r="J1240" s="61"/>
      <c r="K1240" s="61" t="s">
        <v>212</v>
      </c>
      <c r="L1240" s="61"/>
      <c r="M1240" s="61"/>
      <c r="N1240" s="61"/>
      <c r="O1240" s="61"/>
      <c r="P1240" s="61"/>
      <c r="Q1240" s="61"/>
      <c r="R1240" s="61" t="str">
        <f t="shared" ref="R1240:R1303" si="91">IF(
    OR(ISBLANK(M1240), ISBLANK(N1240)),
    "",
    MAX(1, IF(
        NETWORKDAYS(M1240, N1240) &lt;= 0,
        1,
        NETWORKDAYS(M1240, N1240) - IF(M1240 = N1240, 0, 1)
    ))
)</f>
        <v/>
      </c>
      <c r="S1240" s="61" t="str">
        <f t="shared" ref="S1240:S1303" si="92">IF(
    OR(ISBLANK(N1240), ISBLANK(O1240)),
    "",
    MAX(1, IF(
        NETWORKDAYS(N1240, O1240) &lt;= 0,
        1,
        NETWORKDAYS(N1240, O1240) - IF(N1240 = O1240, 0, 1)
    ))
)</f>
        <v/>
      </c>
      <c r="T1240" s="61" t="str">
        <f t="shared" ref="T1240:T1303" si="93">IF(
  OR(A1240 = "Nueva_Ecija", A1240 = "Zambales"),
  IF(
    OR(ISBLANK(O1240), ISBLANK(P1240)),
    "",
    MAX(1, IF(
      NETWORKDAYS(O1240, P1240) &lt;= 0,
      1,
      NETWORKDAYS(O1240, P1240) - IF(O1240 = P1240, 0, 1)
    ))
  ),
  IF(
    OR(ISBLANK(N1240), ISBLANK(P1240)),
    "",
    MAX(1, IF(
      NETWORKDAYS(N1240, P1240) &lt;= 0,
      1,
      NETWORKDAYS(N1240, P1240) - IF(N1240 = P1240, 0, 1)
    ))
  )
)</f>
        <v/>
      </c>
      <c r="U1240" s="61" t="str">
        <f t="shared" ref="U1240:U1303" si="94">IF(
    OR(ISBLANK(P1240), ISBLANK(Q1240)),
    "",
    MAX(1, IF(
        NETWORKDAYS(P1240, Q1240) &lt;= 0,
        1,
        NETWORKDAYS(P1240, Q1240) - IF(P1240 = Q1240, 0, 1)
    ))
)</f>
        <v/>
      </c>
      <c r="V1240" s="61"/>
      <c r="W1240" s="61"/>
      <c r="X1240" s="61"/>
      <c r="Y1240" s="471"/>
      <c r="Z1240" s="471"/>
      <c r="AA1240" s="61"/>
      <c r="AB1240" s="61"/>
    </row>
    <row r="1241" spans="1:28" s="2" customFormat="1" ht="15">
      <c r="A1241" s="61" t="s">
        <v>2286</v>
      </c>
      <c r="B1241" s="61" t="s">
        <v>1193</v>
      </c>
      <c r="C1241" s="61" t="s">
        <v>4795</v>
      </c>
      <c r="D1241" s="61" t="s">
        <v>7838</v>
      </c>
      <c r="E1241" s="61">
        <v>1100</v>
      </c>
      <c r="F1241" s="61">
        <v>1110</v>
      </c>
      <c r="G1241" s="61"/>
      <c r="H1241" s="61"/>
      <c r="I1241" s="61" t="s">
        <v>28</v>
      </c>
      <c r="J1241" s="61"/>
      <c r="K1241" s="61" t="s">
        <v>212</v>
      </c>
      <c r="L1241" s="61"/>
      <c r="M1241" s="61"/>
      <c r="N1241" s="61"/>
      <c r="O1241" s="61"/>
      <c r="P1241" s="61"/>
      <c r="Q1241" s="61"/>
      <c r="R1241" s="61" t="str">
        <f t="shared" si="91"/>
        <v/>
      </c>
      <c r="S1241" s="61" t="str">
        <f t="shared" si="92"/>
        <v/>
      </c>
      <c r="T1241" s="61" t="str">
        <f t="shared" si="93"/>
        <v/>
      </c>
      <c r="U1241" s="61" t="str">
        <f t="shared" si="94"/>
        <v/>
      </c>
      <c r="V1241" s="61"/>
      <c r="W1241" s="61"/>
      <c r="X1241" s="61"/>
      <c r="Y1241" s="471"/>
      <c r="Z1241" s="471"/>
      <c r="AA1241" s="61"/>
      <c r="AB1241" s="61"/>
    </row>
    <row r="1242" spans="1:28" s="2" customFormat="1" ht="15">
      <c r="A1242" s="61" t="s">
        <v>2286</v>
      </c>
      <c r="B1242" s="61" t="s">
        <v>1193</v>
      </c>
      <c r="C1242" s="61" t="s">
        <v>1051</v>
      </c>
      <c r="D1242" s="61" t="s">
        <v>7838</v>
      </c>
      <c r="E1242" s="61">
        <v>510</v>
      </c>
      <c r="F1242" s="61">
        <v>573</v>
      </c>
      <c r="G1242" s="61"/>
      <c r="H1242" s="61"/>
      <c r="I1242" s="61" t="s">
        <v>28</v>
      </c>
      <c r="J1242" s="61"/>
      <c r="K1242" s="61" t="s">
        <v>212</v>
      </c>
      <c r="L1242" s="61"/>
      <c r="M1242" s="61"/>
      <c r="N1242" s="61"/>
      <c r="O1242" s="61"/>
      <c r="P1242" s="61"/>
      <c r="Q1242" s="61"/>
      <c r="R1242" s="61" t="str">
        <f t="shared" si="91"/>
        <v/>
      </c>
      <c r="S1242" s="61" t="str">
        <f t="shared" si="92"/>
        <v/>
      </c>
      <c r="T1242" s="61" t="str">
        <f t="shared" si="93"/>
        <v/>
      </c>
      <c r="U1242" s="61" t="str">
        <f t="shared" si="94"/>
        <v/>
      </c>
      <c r="V1242" s="61"/>
      <c r="W1242" s="61"/>
      <c r="X1242" s="61"/>
      <c r="Y1242" s="471"/>
      <c r="Z1242" s="471"/>
      <c r="AA1242" s="61"/>
      <c r="AB1242" s="61"/>
    </row>
    <row r="1243" spans="1:28" s="2" customFormat="1" ht="15">
      <c r="A1243" s="61" t="s">
        <v>2286</v>
      </c>
      <c r="B1243" s="61" t="s">
        <v>1193</v>
      </c>
      <c r="C1243" s="61" t="s">
        <v>4796</v>
      </c>
      <c r="D1243" s="61" t="s">
        <v>7838</v>
      </c>
      <c r="E1243" s="61">
        <v>2063</v>
      </c>
      <c r="F1243" s="61">
        <v>1892</v>
      </c>
      <c r="G1243" s="61"/>
      <c r="H1243" s="61"/>
      <c r="I1243" s="61" t="s">
        <v>28</v>
      </c>
      <c r="J1243" s="61"/>
      <c r="K1243" s="61" t="s">
        <v>212</v>
      </c>
      <c r="L1243" s="61"/>
      <c r="M1243" s="61"/>
      <c r="N1243" s="61"/>
      <c r="O1243" s="61"/>
      <c r="P1243" s="61"/>
      <c r="Q1243" s="61"/>
      <c r="R1243" s="61" t="str">
        <f t="shared" si="91"/>
        <v/>
      </c>
      <c r="S1243" s="61" t="str">
        <f t="shared" si="92"/>
        <v/>
      </c>
      <c r="T1243" s="61" t="str">
        <f t="shared" si="93"/>
        <v/>
      </c>
      <c r="U1243" s="61" t="str">
        <f t="shared" si="94"/>
        <v/>
      </c>
      <c r="V1243" s="61"/>
      <c r="W1243" s="61"/>
      <c r="X1243" s="61"/>
      <c r="Y1243" s="471"/>
      <c r="Z1243" s="471"/>
      <c r="AA1243" s="61"/>
      <c r="AB1243" s="61"/>
    </row>
    <row r="1244" spans="1:28" s="2" customFormat="1" ht="15">
      <c r="A1244" s="61" t="s">
        <v>2286</v>
      </c>
      <c r="B1244" s="61" t="s">
        <v>1193</v>
      </c>
      <c r="C1244" s="61" t="s">
        <v>4797</v>
      </c>
      <c r="D1244" s="61" t="s">
        <v>7838</v>
      </c>
      <c r="E1244" s="61">
        <v>5788</v>
      </c>
      <c r="F1244" s="61">
        <v>6167</v>
      </c>
      <c r="G1244" s="61"/>
      <c r="H1244" s="61"/>
      <c r="I1244" s="61" t="s">
        <v>28</v>
      </c>
      <c r="J1244" s="61"/>
      <c r="K1244" s="61" t="s">
        <v>212</v>
      </c>
      <c r="L1244" s="61"/>
      <c r="M1244" s="61"/>
      <c r="N1244" s="61"/>
      <c r="O1244" s="61"/>
      <c r="P1244" s="61"/>
      <c r="Q1244" s="61"/>
      <c r="R1244" s="61" t="str">
        <f t="shared" si="91"/>
        <v/>
      </c>
      <c r="S1244" s="61" t="str">
        <f t="shared" si="92"/>
        <v/>
      </c>
      <c r="T1244" s="61" t="str">
        <f t="shared" si="93"/>
        <v/>
      </c>
      <c r="U1244" s="61" t="str">
        <f t="shared" si="94"/>
        <v/>
      </c>
      <c r="V1244" s="61"/>
      <c r="W1244" s="61"/>
      <c r="X1244" s="61"/>
      <c r="Y1244" s="471"/>
      <c r="Z1244" s="471"/>
      <c r="AA1244" s="61"/>
      <c r="AB1244" s="61"/>
    </row>
    <row r="1245" spans="1:28" s="2" customFormat="1" ht="15">
      <c r="A1245" s="61" t="s">
        <v>2286</v>
      </c>
      <c r="B1245" s="61" t="s">
        <v>1193</v>
      </c>
      <c r="C1245" s="61" t="s">
        <v>4798</v>
      </c>
      <c r="D1245" s="61" t="s">
        <v>7838</v>
      </c>
      <c r="E1245" s="61">
        <v>1345</v>
      </c>
      <c r="F1245" s="61">
        <v>1552</v>
      </c>
      <c r="G1245" s="61"/>
      <c r="H1245" s="61"/>
      <c r="I1245" s="61" t="s">
        <v>28</v>
      </c>
      <c r="J1245" s="61"/>
      <c r="K1245" s="61" t="s">
        <v>212</v>
      </c>
      <c r="L1245" s="61"/>
      <c r="M1245" s="61"/>
      <c r="N1245" s="61"/>
      <c r="O1245" s="61"/>
      <c r="P1245" s="61"/>
      <c r="Q1245" s="61"/>
      <c r="R1245" s="61" t="str">
        <f t="shared" si="91"/>
        <v/>
      </c>
      <c r="S1245" s="61" t="str">
        <f t="shared" si="92"/>
        <v/>
      </c>
      <c r="T1245" s="61" t="str">
        <f t="shared" si="93"/>
        <v/>
      </c>
      <c r="U1245" s="61" t="str">
        <f t="shared" si="94"/>
        <v/>
      </c>
      <c r="V1245" s="61"/>
      <c r="W1245" s="61"/>
      <c r="X1245" s="61"/>
      <c r="Y1245" s="471"/>
      <c r="Z1245" s="471"/>
      <c r="AA1245" s="61"/>
      <c r="AB1245" s="61"/>
    </row>
    <row r="1246" spans="1:28" s="2" customFormat="1" ht="15">
      <c r="A1246" s="61" t="s">
        <v>2286</v>
      </c>
      <c r="B1246" s="61" t="s">
        <v>1193</v>
      </c>
      <c r="C1246" s="61" t="s">
        <v>4799</v>
      </c>
      <c r="D1246" s="61" t="s">
        <v>7838</v>
      </c>
      <c r="E1246" s="61">
        <v>1896</v>
      </c>
      <c r="F1246" s="61">
        <v>2531</v>
      </c>
      <c r="G1246" s="61"/>
      <c r="H1246" s="61"/>
      <c r="I1246" s="61" t="s">
        <v>28</v>
      </c>
      <c r="J1246" s="61"/>
      <c r="K1246" s="61" t="s">
        <v>212</v>
      </c>
      <c r="L1246" s="61"/>
      <c r="M1246" s="61"/>
      <c r="N1246" s="61"/>
      <c r="O1246" s="61"/>
      <c r="P1246" s="61"/>
      <c r="Q1246" s="61"/>
      <c r="R1246" s="61" t="str">
        <f t="shared" si="91"/>
        <v/>
      </c>
      <c r="S1246" s="61" t="str">
        <f t="shared" si="92"/>
        <v/>
      </c>
      <c r="T1246" s="61" t="str">
        <f t="shared" si="93"/>
        <v/>
      </c>
      <c r="U1246" s="61" t="str">
        <f t="shared" si="94"/>
        <v/>
      </c>
      <c r="V1246" s="61"/>
      <c r="W1246" s="61"/>
      <c r="X1246" s="61"/>
      <c r="Y1246" s="471"/>
      <c r="Z1246" s="471"/>
      <c r="AA1246" s="61"/>
      <c r="AB1246" s="61"/>
    </row>
    <row r="1247" spans="1:28" s="2" customFormat="1" ht="15">
      <c r="A1247" s="61" t="s">
        <v>2286</v>
      </c>
      <c r="B1247" s="61" t="s">
        <v>1193</v>
      </c>
      <c r="C1247" s="61" t="s">
        <v>1197</v>
      </c>
      <c r="D1247" s="61" t="s">
        <v>7838</v>
      </c>
      <c r="E1247" s="61">
        <v>1614</v>
      </c>
      <c r="F1247" s="61">
        <v>1837</v>
      </c>
      <c r="G1247" s="61"/>
      <c r="H1247" s="61"/>
      <c r="I1247" s="61" t="s">
        <v>28</v>
      </c>
      <c r="J1247" s="61"/>
      <c r="K1247" s="61" t="s">
        <v>212</v>
      </c>
      <c r="L1247" s="61"/>
      <c r="M1247" s="61"/>
      <c r="N1247" s="61"/>
      <c r="O1247" s="61"/>
      <c r="P1247" s="61"/>
      <c r="Q1247" s="61"/>
      <c r="R1247" s="61" t="str">
        <f t="shared" si="91"/>
        <v/>
      </c>
      <c r="S1247" s="61" t="str">
        <f t="shared" si="92"/>
        <v/>
      </c>
      <c r="T1247" s="61" t="str">
        <f t="shared" si="93"/>
        <v/>
      </c>
      <c r="U1247" s="61" t="str">
        <f t="shared" si="94"/>
        <v/>
      </c>
      <c r="V1247" s="61"/>
      <c r="W1247" s="61"/>
      <c r="X1247" s="61"/>
      <c r="Y1247" s="471"/>
      <c r="Z1247" s="471"/>
      <c r="AA1247" s="61"/>
      <c r="AB1247" s="61"/>
    </row>
    <row r="1248" spans="1:28" s="2" customFormat="1" ht="15">
      <c r="A1248" s="61" t="s">
        <v>2286</v>
      </c>
      <c r="B1248" s="61" t="s">
        <v>1193</v>
      </c>
      <c r="C1248" s="61" t="s">
        <v>4800</v>
      </c>
      <c r="D1248" s="61" t="s">
        <v>7838</v>
      </c>
      <c r="E1248" s="61">
        <v>649</v>
      </c>
      <c r="F1248" s="61">
        <v>730</v>
      </c>
      <c r="G1248" s="61"/>
      <c r="H1248" s="61"/>
      <c r="I1248" s="61" t="s">
        <v>28</v>
      </c>
      <c r="J1248" s="61"/>
      <c r="K1248" s="61" t="s">
        <v>212</v>
      </c>
      <c r="L1248" s="61"/>
      <c r="M1248" s="61"/>
      <c r="N1248" s="61"/>
      <c r="O1248" s="61"/>
      <c r="P1248" s="61"/>
      <c r="Q1248" s="61"/>
      <c r="R1248" s="61" t="str">
        <f t="shared" si="91"/>
        <v/>
      </c>
      <c r="S1248" s="61" t="str">
        <f t="shared" si="92"/>
        <v/>
      </c>
      <c r="T1248" s="61" t="str">
        <f t="shared" si="93"/>
        <v/>
      </c>
      <c r="U1248" s="61" t="str">
        <f t="shared" si="94"/>
        <v/>
      </c>
      <c r="V1248" s="61"/>
      <c r="W1248" s="61"/>
      <c r="X1248" s="61"/>
      <c r="Y1248" s="471"/>
      <c r="Z1248" s="471"/>
      <c r="AA1248" s="61"/>
      <c r="AB1248" s="61"/>
    </row>
    <row r="1249" spans="1:28" s="2" customFormat="1" ht="15">
      <c r="A1249" s="61" t="s">
        <v>2286</v>
      </c>
      <c r="B1249" s="61" t="s">
        <v>1193</v>
      </c>
      <c r="C1249" s="61" t="s">
        <v>4801</v>
      </c>
      <c r="D1249" s="61" t="s">
        <v>7838</v>
      </c>
      <c r="E1249" s="61">
        <v>1476</v>
      </c>
      <c r="F1249" s="61">
        <v>1578</v>
      </c>
      <c r="G1249" s="61"/>
      <c r="H1249" s="61"/>
      <c r="I1249" s="61" t="s">
        <v>28</v>
      </c>
      <c r="J1249" s="61"/>
      <c r="K1249" s="61" t="s">
        <v>212</v>
      </c>
      <c r="L1249" s="61"/>
      <c r="M1249" s="61"/>
      <c r="N1249" s="61"/>
      <c r="O1249" s="61"/>
      <c r="P1249" s="61"/>
      <c r="Q1249" s="61"/>
      <c r="R1249" s="61" t="str">
        <f t="shared" si="91"/>
        <v/>
      </c>
      <c r="S1249" s="61" t="str">
        <f t="shared" si="92"/>
        <v/>
      </c>
      <c r="T1249" s="61" t="str">
        <f t="shared" si="93"/>
        <v/>
      </c>
      <c r="U1249" s="61" t="str">
        <f t="shared" si="94"/>
        <v/>
      </c>
      <c r="V1249" s="61"/>
      <c r="W1249" s="61"/>
      <c r="X1249" s="61"/>
      <c r="Y1249" s="471"/>
      <c r="Z1249" s="471"/>
      <c r="AA1249" s="61"/>
      <c r="AB1249" s="61"/>
    </row>
    <row r="1250" spans="1:28" s="2" customFormat="1" ht="15">
      <c r="A1250" s="61" t="s">
        <v>2286</v>
      </c>
      <c r="B1250" s="61" t="s">
        <v>1193</v>
      </c>
      <c r="C1250" s="61" t="s">
        <v>954</v>
      </c>
      <c r="D1250" s="61" t="s">
        <v>7838</v>
      </c>
      <c r="E1250" s="61">
        <v>4327</v>
      </c>
      <c r="F1250" s="61">
        <v>4687</v>
      </c>
      <c r="G1250" s="61"/>
      <c r="H1250" s="61"/>
      <c r="I1250" s="61" t="s">
        <v>28</v>
      </c>
      <c r="J1250" s="61"/>
      <c r="K1250" s="61" t="s">
        <v>212</v>
      </c>
      <c r="L1250" s="61"/>
      <c r="M1250" s="61"/>
      <c r="N1250" s="61"/>
      <c r="O1250" s="61"/>
      <c r="P1250" s="61"/>
      <c r="Q1250" s="61"/>
      <c r="R1250" s="61" t="str">
        <f t="shared" si="91"/>
        <v/>
      </c>
      <c r="S1250" s="61" t="str">
        <f t="shared" si="92"/>
        <v/>
      </c>
      <c r="T1250" s="61" t="str">
        <f t="shared" si="93"/>
        <v/>
      </c>
      <c r="U1250" s="61" t="str">
        <f t="shared" si="94"/>
        <v/>
      </c>
      <c r="V1250" s="61"/>
      <c r="W1250" s="61"/>
      <c r="X1250" s="61"/>
      <c r="Y1250" s="471"/>
      <c r="Z1250" s="471"/>
      <c r="AA1250" s="61"/>
      <c r="AB1250" s="61"/>
    </row>
    <row r="1251" spans="1:28" s="2" customFormat="1" ht="15">
      <c r="A1251" s="61" t="s">
        <v>2286</v>
      </c>
      <c r="B1251" s="61" t="s">
        <v>1193</v>
      </c>
      <c r="C1251" s="61" t="s">
        <v>1315</v>
      </c>
      <c r="D1251" s="61" t="s">
        <v>7838</v>
      </c>
      <c r="E1251" s="61">
        <v>2391</v>
      </c>
      <c r="F1251" s="61">
        <v>2570</v>
      </c>
      <c r="G1251" s="61"/>
      <c r="H1251" s="61"/>
      <c r="I1251" s="61" t="s">
        <v>28</v>
      </c>
      <c r="J1251" s="61"/>
      <c r="K1251" s="61" t="s">
        <v>212</v>
      </c>
      <c r="L1251" s="61"/>
      <c r="M1251" s="61"/>
      <c r="N1251" s="61"/>
      <c r="O1251" s="61"/>
      <c r="P1251" s="61"/>
      <c r="Q1251" s="61"/>
      <c r="R1251" s="61" t="str">
        <f t="shared" si="91"/>
        <v/>
      </c>
      <c r="S1251" s="61" t="str">
        <f t="shared" si="92"/>
        <v/>
      </c>
      <c r="T1251" s="61" t="str">
        <f t="shared" si="93"/>
        <v/>
      </c>
      <c r="U1251" s="61" t="str">
        <f t="shared" si="94"/>
        <v/>
      </c>
      <c r="V1251" s="61"/>
      <c r="W1251" s="61"/>
      <c r="X1251" s="61"/>
      <c r="Y1251" s="471"/>
      <c r="Z1251" s="471"/>
      <c r="AA1251" s="61"/>
      <c r="AB1251" s="61"/>
    </row>
    <row r="1252" spans="1:28" s="2" customFormat="1" ht="15">
      <c r="A1252" s="61" t="s">
        <v>2286</v>
      </c>
      <c r="B1252" s="61" t="s">
        <v>4802</v>
      </c>
      <c r="C1252" s="61" t="s">
        <v>4803</v>
      </c>
      <c r="D1252" s="61" t="s">
        <v>7838</v>
      </c>
      <c r="E1252" s="61">
        <v>1552</v>
      </c>
      <c r="F1252" s="61">
        <v>1656</v>
      </c>
      <c r="G1252" s="61">
        <v>2025</v>
      </c>
      <c r="H1252" s="61" t="s">
        <v>3458</v>
      </c>
      <c r="I1252" s="61" t="s">
        <v>26</v>
      </c>
      <c r="J1252" s="61" t="s">
        <v>2289</v>
      </c>
      <c r="K1252" s="61" t="s">
        <v>212</v>
      </c>
      <c r="L1252" s="61" t="s">
        <v>8498</v>
      </c>
      <c r="M1252" s="475">
        <v>45692</v>
      </c>
      <c r="N1252" s="475">
        <v>45698</v>
      </c>
      <c r="O1252" s="475">
        <v>45699</v>
      </c>
      <c r="P1252" s="475">
        <v>45700</v>
      </c>
      <c r="Q1252" s="475">
        <v>45701</v>
      </c>
      <c r="R1252" s="61">
        <f t="shared" si="91"/>
        <v>4</v>
      </c>
      <c r="S1252" s="61">
        <f t="shared" si="92"/>
        <v>1</v>
      </c>
      <c r="T1252" s="61">
        <f t="shared" si="93"/>
        <v>1</v>
      </c>
      <c r="U1252" s="61">
        <f t="shared" si="94"/>
        <v>1</v>
      </c>
      <c r="V1252" s="61" t="s">
        <v>150</v>
      </c>
      <c r="W1252" s="61" t="s">
        <v>1078</v>
      </c>
      <c r="X1252" s="61" t="s">
        <v>50</v>
      </c>
      <c r="Y1252" s="473">
        <v>15.599769999999999</v>
      </c>
      <c r="Z1252" s="473">
        <v>121.03789</v>
      </c>
      <c r="AA1252" s="61" t="s">
        <v>404</v>
      </c>
      <c r="AB1252" s="61"/>
    </row>
    <row r="1253" spans="1:28" s="2" customFormat="1" ht="15">
      <c r="A1253" s="61" t="s">
        <v>2286</v>
      </c>
      <c r="B1253" s="61" t="s">
        <v>4802</v>
      </c>
      <c r="C1253" s="61" t="s">
        <v>4805</v>
      </c>
      <c r="D1253" s="61" t="s">
        <v>7838</v>
      </c>
      <c r="E1253" s="61">
        <v>1524</v>
      </c>
      <c r="F1253" s="61">
        <v>1510</v>
      </c>
      <c r="G1253" s="61">
        <v>2025</v>
      </c>
      <c r="H1253" s="61" t="s">
        <v>3458</v>
      </c>
      <c r="I1253" s="61" t="s">
        <v>26</v>
      </c>
      <c r="J1253" s="61" t="s">
        <v>2289</v>
      </c>
      <c r="K1253" s="61" t="s">
        <v>212</v>
      </c>
      <c r="L1253" s="61" t="s">
        <v>8499</v>
      </c>
      <c r="M1253" s="475">
        <v>45694</v>
      </c>
      <c r="N1253" s="475">
        <v>45698</v>
      </c>
      <c r="O1253" s="475">
        <v>45699</v>
      </c>
      <c r="P1253" s="475">
        <v>45700</v>
      </c>
      <c r="Q1253" s="475">
        <v>45701</v>
      </c>
      <c r="R1253" s="61">
        <f t="shared" si="91"/>
        <v>2</v>
      </c>
      <c r="S1253" s="61">
        <f t="shared" si="92"/>
        <v>1</v>
      </c>
      <c r="T1253" s="61">
        <f t="shared" si="93"/>
        <v>1</v>
      </c>
      <c r="U1253" s="61">
        <f t="shared" si="94"/>
        <v>1</v>
      </c>
      <c r="V1253" s="61" t="s">
        <v>150</v>
      </c>
      <c r="W1253" s="61" t="s">
        <v>1078</v>
      </c>
      <c r="X1253" s="61" t="s">
        <v>50</v>
      </c>
      <c r="Y1253" s="473">
        <v>15.592510000000001</v>
      </c>
      <c r="Z1253" s="473">
        <v>121.04006</v>
      </c>
      <c r="AA1253" s="61" t="s">
        <v>404</v>
      </c>
      <c r="AB1253" s="61"/>
    </row>
    <row r="1254" spans="1:28" s="2" customFormat="1" ht="15">
      <c r="A1254" s="61" t="s">
        <v>2286</v>
      </c>
      <c r="B1254" s="61" t="s">
        <v>4802</v>
      </c>
      <c r="C1254" s="61" t="s">
        <v>4807</v>
      </c>
      <c r="D1254" s="61" t="s">
        <v>7838</v>
      </c>
      <c r="E1254" s="61">
        <v>2216</v>
      </c>
      <c r="F1254" s="61">
        <v>2341</v>
      </c>
      <c r="G1254" s="61">
        <v>2025</v>
      </c>
      <c r="H1254" s="61" t="s">
        <v>3125</v>
      </c>
      <c r="I1254" s="61" t="s">
        <v>26</v>
      </c>
      <c r="J1254" s="61" t="s">
        <v>2289</v>
      </c>
      <c r="K1254" s="61" t="s">
        <v>212</v>
      </c>
      <c r="L1254" s="61" t="s">
        <v>8500</v>
      </c>
      <c r="M1254" s="475">
        <v>45828</v>
      </c>
      <c r="N1254" s="475">
        <v>45831</v>
      </c>
      <c r="O1254" s="475">
        <v>45832</v>
      </c>
      <c r="P1254" s="475">
        <v>45838</v>
      </c>
      <c r="Q1254" s="475">
        <v>45840</v>
      </c>
      <c r="R1254" s="61">
        <f t="shared" si="91"/>
        <v>1</v>
      </c>
      <c r="S1254" s="61">
        <f t="shared" si="92"/>
        <v>1</v>
      </c>
      <c r="T1254" s="61">
        <f t="shared" si="93"/>
        <v>4</v>
      </c>
      <c r="U1254" s="61">
        <f t="shared" si="94"/>
        <v>2</v>
      </c>
      <c r="V1254" s="61" t="s">
        <v>150</v>
      </c>
      <c r="W1254" s="61" t="s">
        <v>1078</v>
      </c>
      <c r="X1254" s="61" t="s">
        <v>50</v>
      </c>
      <c r="Y1254" s="61">
        <v>15.581759999999999</v>
      </c>
      <c r="Z1254" s="61">
        <v>121.04944999999999</v>
      </c>
      <c r="AA1254" s="61" t="s">
        <v>404</v>
      </c>
      <c r="AB1254" s="61"/>
    </row>
    <row r="1255" spans="1:28" s="2" customFormat="1" ht="15">
      <c r="A1255" s="61" t="s">
        <v>2286</v>
      </c>
      <c r="B1255" s="61" t="s">
        <v>4802</v>
      </c>
      <c r="C1255" s="61" t="s">
        <v>4813</v>
      </c>
      <c r="D1255" s="61" t="s">
        <v>7838</v>
      </c>
      <c r="E1255" s="61">
        <v>5050</v>
      </c>
      <c r="F1255" s="61">
        <v>5582</v>
      </c>
      <c r="G1255" s="61">
        <v>2025</v>
      </c>
      <c r="H1255" s="61" t="s">
        <v>3458</v>
      </c>
      <c r="I1255" s="61" t="s">
        <v>26</v>
      </c>
      <c r="J1255" s="61" t="s">
        <v>2289</v>
      </c>
      <c r="K1255" s="61" t="s">
        <v>212</v>
      </c>
      <c r="L1255" s="61" t="s">
        <v>8501</v>
      </c>
      <c r="M1255" s="475">
        <v>45692</v>
      </c>
      <c r="N1255" s="475">
        <v>45698</v>
      </c>
      <c r="O1255" s="475">
        <v>45699</v>
      </c>
      <c r="P1255" s="475">
        <v>45700</v>
      </c>
      <c r="Q1255" s="475">
        <v>45701</v>
      </c>
      <c r="R1255" s="61">
        <f t="shared" si="91"/>
        <v>4</v>
      </c>
      <c r="S1255" s="61">
        <f t="shared" si="92"/>
        <v>1</v>
      </c>
      <c r="T1255" s="61">
        <f t="shared" si="93"/>
        <v>1</v>
      </c>
      <c r="U1255" s="61">
        <f t="shared" si="94"/>
        <v>1</v>
      </c>
      <c r="V1255" s="61" t="s">
        <v>150</v>
      </c>
      <c r="W1255" s="61" t="s">
        <v>1078</v>
      </c>
      <c r="X1255" s="61" t="s">
        <v>50</v>
      </c>
      <c r="Y1255" s="473">
        <v>15.5929</v>
      </c>
      <c r="Z1255" s="473">
        <v>121.0107</v>
      </c>
      <c r="AA1255" s="61" t="s">
        <v>404</v>
      </c>
      <c r="AB1255" s="61"/>
    </row>
    <row r="1256" spans="1:28" s="2" customFormat="1" ht="15">
      <c r="A1256" s="61" t="s">
        <v>2286</v>
      </c>
      <c r="B1256" s="61" t="s">
        <v>4802</v>
      </c>
      <c r="C1256" s="61" t="s">
        <v>4818</v>
      </c>
      <c r="D1256" s="61" t="s">
        <v>7838</v>
      </c>
      <c r="E1256" s="61">
        <v>3367</v>
      </c>
      <c r="F1256" s="61">
        <v>3787</v>
      </c>
      <c r="G1256" s="61">
        <v>2025</v>
      </c>
      <c r="H1256" s="61" t="s">
        <v>3125</v>
      </c>
      <c r="I1256" s="61" t="s">
        <v>26</v>
      </c>
      <c r="J1256" s="61" t="s">
        <v>2289</v>
      </c>
      <c r="K1256" s="61" t="s">
        <v>212</v>
      </c>
      <c r="L1256" s="61" t="s">
        <v>8502</v>
      </c>
      <c r="M1256" s="475">
        <v>45828</v>
      </c>
      <c r="N1256" s="475">
        <v>45831</v>
      </c>
      <c r="O1256" s="475">
        <v>45832</v>
      </c>
      <c r="P1256" s="475">
        <v>45834</v>
      </c>
      <c r="Q1256" s="475">
        <v>45840</v>
      </c>
      <c r="R1256" s="61">
        <f t="shared" si="91"/>
        <v>1</v>
      </c>
      <c r="S1256" s="61">
        <f t="shared" si="92"/>
        <v>1</v>
      </c>
      <c r="T1256" s="61">
        <f t="shared" si="93"/>
        <v>2</v>
      </c>
      <c r="U1256" s="61">
        <f t="shared" si="94"/>
        <v>4</v>
      </c>
      <c r="V1256" s="61" t="s">
        <v>150</v>
      </c>
      <c r="W1256" s="61" t="s">
        <v>1078</v>
      </c>
      <c r="X1256" s="61" t="s">
        <v>50</v>
      </c>
      <c r="Y1256" s="61">
        <v>15.551769999999999</v>
      </c>
      <c r="Z1256" s="61">
        <v>121.04087</v>
      </c>
      <c r="AA1256" s="61" t="s">
        <v>404</v>
      </c>
      <c r="AB1256" s="61"/>
    </row>
    <row r="1257" spans="1:28" s="2" customFormat="1" ht="15">
      <c r="A1257" s="61" t="s">
        <v>2286</v>
      </c>
      <c r="B1257" s="61" t="s">
        <v>4802</v>
      </c>
      <c r="C1257" s="61" t="s">
        <v>4822</v>
      </c>
      <c r="D1257" s="61" t="s">
        <v>7838</v>
      </c>
      <c r="E1257" s="61">
        <v>2441</v>
      </c>
      <c r="F1257" s="61">
        <v>2593</v>
      </c>
      <c r="G1257" s="61">
        <v>2025</v>
      </c>
      <c r="H1257" s="61" t="s">
        <v>3458</v>
      </c>
      <c r="I1257" s="61" t="s">
        <v>26</v>
      </c>
      <c r="J1257" s="61" t="s">
        <v>2289</v>
      </c>
      <c r="K1257" s="61" t="s">
        <v>212</v>
      </c>
      <c r="L1257" s="61" t="s">
        <v>8503</v>
      </c>
      <c r="M1257" s="475">
        <v>45694</v>
      </c>
      <c r="N1257" s="475">
        <v>45698</v>
      </c>
      <c r="O1257" s="475">
        <v>45699</v>
      </c>
      <c r="P1257" s="475">
        <v>45700</v>
      </c>
      <c r="Q1257" s="475">
        <v>45701</v>
      </c>
      <c r="R1257" s="61">
        <f t="shared" si="91"/>
        <v>2</v>
      </c>
      <c r="S1257" s="61">
        <f t="shared" si="92"/>
        <v>1</v>
      </c>
      <c r="T1257" s="61">
        <f t="shared" si="93"/>
        <v>1</v>
      </c>
      <c r="U1257" s="61">
        <f t="shared" si="94"/>
        <v>1</v>
      </c>
      <c r="V1257" s="61" t="s">
        <v>150</v>
      </c>
      <c r="W1257" s="61" t="s">
        <v>1078</v>
      </c>
      <c r="X1257" s="61" t="s">
        <v>50</v>
      </c>
      <c r="Y1257" s="473">
        <v>15.569900000000001</v>
      </c>
      <c r="Z1257" s="473">
        <v>121.06495</v>
      </c>
      <c r="AA1257" s="61" t="s">
        <v>404</v>
      </c>
      <c r="AB1257" s="61"/>
    </row>
    <row r="1258" spans="1:28" s="2" customFormat="1" ht="15">
      <c r="A1258" s="61" t="s">
        <v>2286</v>
      </c>
      <c r="B1258" s="61" t="s">
        <v>4802</v>
      </c>
      <c r="C1258" s="61" t="s">
        <v>1207</v>
      </c>
      <c r="D1258" s="61" t="s">
        <v>7838</v>
      </c>
      <c r="E1258" s="61">
        <v>2000</v>
      </c>
      <c r="F1258" s="61">
        <v>2002</v>
      </c>
      <c r="G1258" s="61"/>
      <c r="H1258" s="61"/>
      <c r="I1258" s="61" t="s">
        <v>26</v>
      </c>
      <c r="J1258" s="61"/>
      <c r="K1258" s="61" t="s">
        <v>212</v>
      </c>
      <c r="L1258" s="61"/>
      <c r="M1258" s="61"/>
      <c r="N1258" s="61"/>
      <c r="O1258" s="61"/>
      <c r="P1258" s="61"/>
      <c r="Q1258" s="61"/>
      <c r="R1258" s="61" t="str">
        <f t="shared" si="91"/>
        <v/>
      </c>
      <c r="S1258" s="61" t="str">
        <f t="shared" si="92"/>
        <v/>
      </c>
      <c r="T1258" s="61" t="str">
        <f t="shared" si="93"/>
        <v/>
      </c>
      <c r="U1258" s="61" t="str">
        <f t="shared" si="94"/>
        <v/>
      </c>
      <c r="V1258" s="61"/>
      <c r="W1258" s="61"/>
      <c r="X1258" s="61"/>
      <c r="Y1258" s="471"/>
      <c r="Z1258" s="471"/>
      <c r="AA1258" s="61"/>
      <c r="AB1258" s="61"/>
    </row>
    <row r="1259" spans="1:28" s="2" customFormat="1" ht="15">
      <c r="A1259" s="61" t="s">
        <v>2286</v>
      </c>
      <c r="B1259" s="61" t="s">
        <v>4802</v>
      </c>
      <c r="C1259" s="61" t="s">
        <v>4808</v>
      </c>
      <c r="D1259" s="61" t="s">
        <v>7838</v>
      </c>
      <c r="E1259" s="61">
        <v>1040</v>
      </c>
      <c r="F1259" s="61">
        <v>1192</v>
      </c>
      <c r="G1259" s="61"/>
      <c r="H1259" s="61"/>
      <c r="I1259" s="61" t="s">
        <v>26</v>
      </c>
      <c r="J1259" s="61"/>
      <c r="K1259" s="61" t="s">
        <v>212</v>
      </c>
      <c r="L1259" s="61"/>
      <c r="M1259" s="61"/>
      <c r="N1259" s="61"/>
      <c r="O1259" s="61"/>
      <c r="P1259" s="61"/>
      <c r="Q1259" s="61"/>
      <c r="R1259" s="61" t="str">
        <f t="shared" si="91"/>
        <v/>
      </c>
      <c r="S1259" s="61" t="str">
        <f t="shared" si="92"/>
        <v/>
      </c>
      <c r="T1259" s="61" t="str">
        <f t="shared" si="93"/>
        <v/>
      </c>
      <c r="U1259" s="61" t="str">
        <f t="shared" si="94"/>
        <v/>
      </c>
      <c r="V1259" s="61"/>
      <c r="W1259" s="61"/>
      <c r="X1259" s="61"/>
      <c r="Y1259" s="471"/>
      <c r="Z1259" s="471"/>
      <c r="AA1259" s="61"/>
      <c r="AB1259" s="61"/>
    </row>
    <row r="1260" spans="1:28" s="2" customFormat="1" ht="15">
      <c r="A1260" s="61" t="s">
        <v>2286</v>
      </c>
      <c r="B1260" s="61" t="s">
        <v>4802</v>
      </c>
      <c r="C1260" s="61" t="s">
        <v>4809</v>
      </c>
      <c r="D1260" s="61" t="s">
        <v>7838</v>
      </c>
      <c r="E1260" s="61">
        <v>1722</v>
      </c>
      <c r="F1260" s="61">
        <v>1891</v>
      </c>
      <c r="G1260" s="61"/>
      <c r="H1260" s="61"/>
      <c r="I1260" s="61" t="s">
        <v>26</v>
      </c>
      <c r="J1260" s="61"/>
      <c r="K1260" s="61" t="s">
        <v>212</v>
      </c>
      <c r="L1260" s="61"/>
      <c r="M1260" s="61"/>
      <c r="N1260" s="61"/>
      <c r="O1260" s="61"/>
      <c r="P1260" s="61"/>
      <c r="Q1260" s="61"/>
      <c r="R1260" s="61" t="str">
        <f t="shared" si="91"/>
        <v/>
      </c>
      <c r="S1260" s="61" t="str">
        <f t="shared" si="92"/>
        <v/>
      </c>
      <c r="T1260" s="61" t="str">
        <f t="shared" si="93"/>
        <v/>
      </c>
      <c r="U1260" s="61" t="str">
        <f t="shared" si="94"/>
        <v/>
      </c>
      <c r="V1260" s="61"/>
      <c r="W1260" s="61"/>
      <c r="X1260" s="61"/>
      <c r="Y1260" s="471"/>
      <c r="Z1260" s="471"/>
      <c r="AA1260" s="61"/>
      <c r="AB1260" s="61"/>
    </row>
    <row r="1261" spans="1:28" s="2" customFormat="1" ht="15">
      <c r="A1261" s="61" t="s">
        <v>2286</v>
      </c>
      <c r="B1261" s="61" t="s">
        <v>4802</v>
      </c>
      <c r="C1261" s="61" t="s">
        <v>4810</v>
      </c>
      <c r="D1261" s="61" t="s">
        <v>7838</v>
      </c>
      <c r="E1261" s="61">
        <v>2148</v>
      </c>
      <c r="F1261" s="61">
        <v>2465</v>
      </c>
      <c r="G1261" s="61"/>
      <c r="H1261" s="61"/>
      <c r="I1261" s="61" t="s">
        <v>26</v>
      </c>
      <c r="J1261" s="61"/>
      <c r="K1261" s="61" t="s">
        <v>212</v>
      </c>
      <c r="L1261" s="61"/>
      <c r="M1261" s="61"/>
      <c r="N1261" s="61"/>
      <c r="O1261" s="61"/>
      <c r="P1261" s="61"/>
      <c r="Q1261" s="61"/>
      <c r="R1261" s="61" t="str">
        <f t="shared" si="91"/>
        <v/>
      </c>
      <c r="S1261" s="61" t="str">
        <f t="shared" si="92"/>
        <v/>
      </c>
      <c r="T1261" s="61" t="str">
        <f t="shared" si="93"/>
        <v/>
      </c>
      <c r="U1261" s="61" t="str">
        <f t="shared" si="94"/>
        <v/>
      </c>
      <c r="V1261" s="61"/>
      <c r="W1261" s="61"/>
      <c r="X1261" s="61"/>
      <c r="Y1261" s="471"/>
      <c r="Z1261" s="471"/>
      <c r="AA1261" s="61"/>
      <c r="AB1261" s="61"/>
    </row>
    <row r="1262" spans="1:28" s="2" customFormat="1" ht="15">
      <c r="A1262" s="61" t="s">
        <v>2286</v>
      </c>
      <c r="B1262" s="61" t="s">
        <v>4802</v>
      </c>
      <c r="C1262" s="61" t="s">
        <v>4811</v>
      </c>
      <c r="D1262" s="61" t="s">
        <v>7838</v>
      </c>
      <c r="E1262" s="61">
        <v>1184</v>
      </c>
      <c r="F1262" s="61">
        <v>1243</v>
      </c>
      <c r="G1262" s="61"/>
      <c r="H1262" s="61"/>
      <c r="I1262" s="61" t="s">
        <v>26</v>
      </c>
      <c r="J1262" s="61"/>
      <c r="K1262" s="61" t="s">
        <v>212</v>
      </c>
      <c r="L1262" s="61"/>
      <c r="M1262" s="61"/>
      <c r="N1262" s="61"/>
      <c r="O1262" s="61"/>
      <c r="P1262" s="61"/>
      <c r="Q1262" s="61"/>
      <c r="R1262" s="61" t="str">
        <f t="shared" si="91"/>
        <v/>
      </c>
      <c r="S1262" s="61" t="str">
        <f t="shared" si="92"/>
        <v/>
      </c>
      <c r="T1262" s="61" t="str">
        <f t="shared" si="93"/>
        <v/>
      </c>
      <c r="U1262" s="61" t="str">
        <f t="shared" si="94"/>
        <v/>
      </c>
      <c r="V1262" s="61"/>
      <c r="W1262" s="61"/>
      <c r="X1262" s="61"/>
      <c r="Y1262" s="471"/>
      <c r="Z1262" s="471"/>
      <c r="AA1262" s="61"/>
      <c r="AB1262" s="61"/>
    </row>
    <row r="1263" spans="1:28" s="2" customFormat="1" ht="15">
      <c r="A1263" s="61" t="s">
        <v>2286</v>
      </c>
      <c r="B1263" s="61" t="s">
        <v>4802</v>
      </c>
      <c r="C1263" s="61" t="s">
        <v>4812</v>
      </c>
      <c r="D1263" s="61" t="s">
        <v>7838</v>
      </c>
      <c r="E1263" s="61">
        <v>1262</v>
      </c>
      <c r="F1263" s="61">
        <v>1302</v>
      </c>
      <c r="G1263" s="61"/>
      <c r="H1263" s="61"/>
      <c r="I1263" s="61" t="s">
        <v>26</v>
      </c>
      <c r="J1263" s="61"/>
      <c r="K1263" s="61" t="s">
        <v>212</v>
      </c>
      <c r="L1263" s="61"/>
      <c r="M1263" s="61"/>
      <c r="N1263" s="61"/>
      <c r="O1263" s="61"/>
      <c r="P1263" s="61"/>
      <c r="Q1263" s="61"/>
      <c r="R1263" s="61" t="str">
        <f t="shared" si="91"/>
        <v/>
      </c>
      <c r="S1263" s="61" t="str">
        <f t="shared" si="92"/>
        <v/>
      </c>
      <c r="T1263" s="61" t="str">
        <f t="shared" si="93"/>
        <v/>
      </c>
      <c r="U1263" s="61" t="str">
        <f t="shared" si="94"/>
        <v/>
      </c>
      <c r="V1263" s="61"/>
      <c r="W1263" s="61"/>
      <c r="X1263" s="61"/>
      <c r="Y1263" s="471"/>
      <c r="Z1263" s="471"/>
      <c r="AA1263" s="61"/>
      <c r="AB1263" s="61"/>
    </row>
    <row r="1264" spans="1:28" s="2" customFormat="1" ht="15">
      <c r="A1264" s="61" t="s">
        <v>2286</v>
      </c>
      <c r="B1264" s="61" t="s">
        <v>4802</v>
      </c>
      <c r="C1264" s="61" t="s">
        <v>4815</v>
      </c>
      <c r="D1264" s="61" t="s">
        <v>7838</v>
      </c>
      <c r="E1264" s="61">
        <v>1166</v>
      </c>
      <c r="F1264" s="61">
        <v>1237</v>
      </c>
      <c r="G1264" s="61"/>
      <c r="H1264" s="61"/>
      <c r="I1264" s="61" t="s">
        <v>26</v>
      </c>
      <c r="J1264" s="61"/>
      <c r="K1264" s="61" t="s">
        <v>212</v>
      </c>
      <c r="L1264" s="61"/>
      <c r="M1264" s="61"/>
      <c r="N1264" s="61"/>
      <c r="O1264" s="61"/>
      <c r="P1264" s="61"/>
      <c r="Q1264" s="61"/>
      <c r="R1264" s="61" t="str">
        <f t="shared" si="91"/>
        <v/>
      </c>
      <c r="S1264" s="61" t="str">
        <f t="shared" si="92"/>
        <v/>
      </c>
      <c r="T1264" s="61" t="str">
        <f t="shared" si="93"/>
        <v/>
      </c>
      <c r="U1264" s="61" t="str">
        <f t="shared" si="94"/>
        <v/>
      </c>
      <c r="V1264" s="61"/>
      <c r="W1264" s="61"/>
      <c r="X1264" s="61"/>
      <c r="Y1264" s="471"/>
      <c r="Z1264" s="471"/>
      <c r="AA1264" s="61"/>
      <c r="AB1264" s="61"/>
    </row>
    <row r="1265" spans="1:29" s="2" customFormat="1" ht="15">
      <c r="A1265" s="61" t="s">
        <v>2286</v>
      </c>
      <c r="B1265" s="61" t="s">
        <v>4802</v>
      </c>
      <c r="C1265" s="61" t="s">
        <v>4816</v>
      </c>
      <c r="D1265" s="61" t="s">
        <v>7838</v>
      </c>
      <c r="E1265" s="61">
        <v>1128</v>
      </c>
      <c r="F1265" s="61">
        <v>1160</v>
      </c>
      <c r="G1265" s="61"/>
      <c r="H1265" s="61"/>
      <c r="I1265" s="61" t="s">
        <v>26</v>
      </c>
      <c r="J1265" s="61"/>
      <c r="K1265" s="61" t="s">
        <v>212</v>
      </c>
      <c r="L1265" s="61"/>
      <c r="M1265" s="61"/>
      <c r="N1265" s="61"/>
      <c r="O1265" s="61"/>
      <c r="P1265" s="61"/>
      <c r="Q1265" s="61"/>
      <c r="R1265" s="61" t="str">
        <f t="shared" si="91"/>
        <v/>
      </c>
      <c r="S1265" s="61" t="str">
        <f t="shared" si="92"/>
        <v/>
      </c>
      <c r="T1265" s="61" t="str">
        <f t="shared" si="93"/>
        <v/>
      </c>
      <c r="U1265" s="61" t="str">
        <f t="shared" si="94"/>
        <v/>
      </c>
      <c r="V1265" s="61"/>
      <c r="W1265" s="61"/>
      <c r="X1265" s="61"/>
      <c r="Y1265" s="471"/>
      <c r="Z1265" s="471"/>
      <c r="AA1265" s="61"/>
      <c r="AB1265" s="61"/>
    </row>
    <row r="1266" spans="1:29" s="2" customFormat="1" ht="15">
      <c r="A1266" s="61" t="s">
        <v>2286</v>
      </c>
      <c r="B1266" s="61" t="s">
        <v>4802</v>
      </c>
      <c r="C1266" s="61" t="s">
        <v>4817</v>
      </c>
      <c r="D1266" s="61" t="s">
        <v>7838</v>
      </c>
      <c r="E1266" s="61">
        <v>3546</v>
      </c>
      <c r="F1266" s="61">
        <v>3537</v>
      </c>
      <c r="G1266" s="61"/>
      <c r="H1266" s="61"/>
      <c r="I1266" s="61" t="s">
        <v>26</v>
      </c>
      <c r="J1266" s="61"/>
      <c r="K1266" s="61" t="s">
        <v>212</v>
      </c>
      <c r="L1266" s="61"/>
      <c r="M1266" s="61"/>
      <c r="N1266" s="61"/>
      <c r="O1266" s="61"/>
      <c r="P1266" s="61"/>
      <c r="Q1266" s="61"/>
      <c r="R1266" s="61" t="str">
        <f t="shared" si="91"/>
        <v/>
      </c>
      <c r="S1266" s="61" t="str">
        <f t="shared" si="92"/>
        <v/>
      </c>
      <c r="T1266" s="61" t="str">
        <f t="shared" si="93"/>
        <v/>
      </c>
      <c r="U1266" s="61" t="str">
        <f t="shared" si="94"/>
        <v/>
      </c>
      <c r="V1266" s="61"/>
      <c r="W1266" s="61"/>
      <c r="X1266" s="61"/>
      <c r="Y1266" s="471"/>
      <c r="Z1266" s="471"/>
      <c r="AA1266" s="61"/>
      <c r="AB1266" s="61"/>
    </row>
    <row r="1267" spans="1:29" s="2" customFormat="1" ht="15">
      <c r="A1267" s="61" t="s">
        <v>2286</v>
      </c>
      <c r="B1267" s="61" t="s">
        <v>4802</v>
      </c>
      <c r="C1267" s="61" t="s">
        <v>1056</v>
      </c>
      <c r="D1267" s="61" t="s">
        <v>7838</v>
      </c>
      <c r="E1267" s="61">
        <v>3670</v>
      </c>
      <c r="F1267" s="61">
        <v>3866</v>
      </c>
      <c r="G1267" s="61"/>
      <c r="H1267" s="61"/>
      <c r="I1267" s="61" t="s">
        <v>26</v>
      </c>
      <c r="J1267" s="61"/>
      <c r="K1267" s="61" t="s">
        <v>212</v>
      </c>
      <c r="L1267" s="61"/>
      <c r="M1267" s="61"/>
      <c r="N1267" s="61"/>
      <c r="O1267" s="61"/>
      <c r="P1267" s="61"/>
      <c r="Q1267" s="61"/>
      <c r="R1267" s="61" t="str">
        <f t="shared" si="91"/>
        <v/>
      </c>
      <c r="S1267" s="61" t="str">
        <f t="shared" si="92"/>
        <v/>
      </c>
      <c r="T1267" s="61" t="str">
        <f t="shared" si="93"/>
        <v/>
      </c>
      <c r="U1267" s="61" t="str">
        <f t="shared" si="94"/>
        <v/>
      </c>
      <c r="V1267" s="61"/>
      <c r="W1267" s="61"/>
      <c r="X1267" s="61"/>
      <c r="Y1267" s="471"/>
      <c r="Z1267" s="471"/>
      <c r="AA1267" s="61"/>
      <c r="AB1267" s="61"/>
    </row>
    <row r="1268" spans="1:29" s="2" customFormat="1" ht="15">
      <c r="A1268" s="61" t="s">
        <v>2286</v>
      </c>
      <c r="B1268" s="61" t="s">
        <v>4802</v>
      </c>
      <c r="C1268" s="61" t="s">
        <v>4637</v>
      </c>
      <c r="D1268" s="61" t="s">
        <v>7838</v>
      </c>
      <c r="E1268" s="61">
        <v>674</v>
      </c>
      <c r="F1268" s="61">
        <v>731</v>
      </c>
      <c r="G1268" s="61"/>
      <c r="H1268" s="61"/>
      <c r="I1268" s="61" t="s">
        <v>26</v>
      </c>
      <c r="J1268" s="61"/>
      <c r="K1268" s="61" t="s">
        <v>212</v>
      </c>
      <c r="L1268" s="61"/>
      <c r="M1268" s="61"/>
      <c r="N1268" s="61"/>
      <c r="O1268" s="61"/>
      <c r="P1268" s="61"/>
      <c r="Q1268" s="61"/>
      <c r="R1268" s="61" t="str">
        <f t="shared" si="91"/>
        <v/>
      </c>
      <c r="S1268" s="61" t="str">
        <f t="shared" si="92"/>
        <v/>
      </c>
      <c r="T1268" s="61" t="str">
        <f t="shared" si="93"/>
        <v/>
      </c>
      <c r="U1268" s="61" t="str">
        <f t="shared" si="94"/>
        <v/>
      </c>
      <c r="V1268" s="61"/>
      <c r="W1268" s="61"/>
      <c r="X1268" s="61"/>
      <c r="Y1268" s="471"/>
      <c r="Z1268" s="471"/>
      <c r="AA1268" s="61"/>
      <c r="AB1268" s="61"/>
    </row>
    <row r="1269" spans="1:29" s="2" customFormat="1" ht="15">
      <c r="A1269" s="61" t="s">
        <v>2286</v>
      </c>
      <c r="B1269" s="61" t="s">
        <v>4802</v>
      </c>
      <c r="C1269" s="61" t="s">
        <v>4819</v>
      </c>
      <c r="D1269" s="61" t="s">
        <v>7838</v>
      </c>
      <c r="E1269" s="61">
        <v>618</v>
      </c>
      <c r="F1269" s="61">
        <v>624</v>
      </c>
      <c r="G1269" s="61"/>
      <c r="H1269" s="61"/>
      <c r="I1269" s="61" t="s">
        <v>26</v>
      </c>
      <c r="J1269" s="61"/>
      <c r="K1269" s="61" t="s">
        <v>212</v>
      </c>
      <c r="L1269" s="61"/>
      <c r="M1269" s="61"/>
      <c r="N1269" s="61"/>
      <c r="O1269" s="61"/>
      <c r="P1269" s="61"/>
      <c r="Q1269" s="61"/>
      <c r="R1269" s="61" t="str">
        <f t="shared" si="91"/>
        <v/>
      </c>
      <c r="S1269" s="61" t="str">
        <f t="shared" si="92"/>
        <v/>
      </c>
      <c r="T1269" s="61" t="str">
        <f t="shared" si="93"/>
        <v/>
      </c>
      <c r="U1269" s="61" t="str">
        <f t="shared" si="94"/>
        <v/>
      </c>
      <c r="V1269" s="61"/>
      <c r="W1269" s="61"/>
      <c r="X1269" s="61"/>
      <c r="Y1269" s="471"/>
      <c r="Z1269" s="471"/>
      <c r="AA1269" s="61"/>
      <c r="AB1269" s="61"/>
    </row>
    <row r="1270" spans="1:29" s="2" customFormat="1" ht="15">
      <c r="A1270" s="61" t="s">
        <v>2286</v>
      </c>
      <c r="B1270" s="61" t="s">
        <v>4802</v>
      </c>
      <c r="C1270" s="61" t="s">
        <v>4820</v>
      </c>
      <c r="D1270" s="61" t="s">
        <v>7838</v>
      </c>
      <c r="E1270" s="61">
        <v>1476</v>
      </c>
      <c r="F1270" s="61">
        <v>1538</v>
      </c>
      <c r="G1270" s="61"/>
      <c r="H1270" s="61"/>
      <c r="I1270" s="61" t="s">
        <v>26</v>
      </c>
      <c r="J1270" s="61"/>
      <c r="K1270" s="61" t="s">
        <v>212</v>
      </c>
      <c r="L1270" s="61"/>
      <c r="M1270" s="61"/>
      <c r="N1270" s="61"/>
      <c r="O1270" s="61"/>
      <c r="P1270" s="61"/>
      <c r="Q1270" s="61"/>
      <c r="R1270" s="61" t="str">
        <f t="shared" si="91"/>
        <v/>
      </c>
      <c r="S1270" s="61" t="str">
        <f t="shared" si="92"/>
        <v/>
      </c>
      <c r="T1270" s="61" t="str">
        <f t="shared" si="93"/>
        <v/>
      </c>
      <c r="U1270" s="61" t="str">
        <f t="shared" si="94"/>
        <v/>
      </c>
      <c r="V1270" s="61"/>
      <c r="W1270" s="61"/>
      <c r="X1270" s="61"/>
      <c r="Y1270" s="471"/>
      <c r="Z1270" s="471"/>
      <c r="AA1270" s="61"/>
      <c r="AB1270" s="61"/>
    </row>
    <row r="1271" spans="1:29" s="2" customFormat="1" ht="15">
      <c r="A1271" s="61" t="s">
        <v>2286</v>
      </c>
      <c r="B1271" s="61" t="s">
        <v>4802</v>
      </c>
      <c r="C1271" s="61" t="s">
        <v>4821</v>
      </c>
      <c r="D1271" s="61" t="s">
        <v>7838</v>
      </c>
      <c r="E1271" s="61">
        <v>3872</v>
      </c>
      <c r="F1271" s="61">
        <v>4054</v>
      </c>
      <c r="G1271" s="61"/>
      <c r="H1271" s="61"/>
      <c r="I1271" s="61" t="s">
        <v>26</v>
      </c>
      <c r="J1271" s="61"/>
      <c r="K1271" s="61" t="s">
        <v>212</v>
      </c>
      <c r="L1271" s="61"/>
      <c r="M1271" s="61"/>
      <c r="N1271" s="61"/>
      <c r="O1271" s="61"/>
      <c r="P1271" s="61"/>
      <c r="Q1271" s="61"/>
      <c r="R1271" s="61" t="str">
        <f t="shared" si="91"/>
        <v/>
      </c>
      <c r="S1271" s="61" t="str">
        <f t="shared" si="92"/>
        <v/>
      </c>
      <c r="T1271" s="61" t="str">
        <f t="shared" si="93"/>
        <v/>
      </c>
      <c r="U1271" s="61" t="str">
        <f t="shared" si="94"/>
        <v/>
      </c>
      <c r="V1271" s="61"/>
      <c r="W1271" s="61"/>
      <c r="X1271" s="61"/>
      <c r="Y1271" s="471"/>
      <c r="Z1271" s="471"/>
      <c r="AA1271" s="61"/>
      <c r="AB1271" s="61"/>
    </row>
    <row r="1272" spans="1:29" s="2" customFormat="1" ht="15">
      <c r="A1272" s="61" t="s">
        <v>2286</v>
      </c>
      <c r="B1272" s="61" t="s">
        <v>1653</v>
      </c>
      <c r="C1272" s="61" t="s">
        <v>4826</v>
      </c>
      <c r="D1272" s="61" t="s">
        <v>7838</v>
      </c>
      <c r="E1272" s="61">
        <v>4567</v>
      </c>
      <c r="F1272" s="61">
        <v>5249</v>
      </c>
      <c r="G1272" s="61">
        <v>2025</v>
      </c>
      <c r="H1272" s="61" t="s">
        <v>3126</v>
      </c>
      <c r="I1272" s="61" t="s">
        <v>267</v>
      </c>
      <c r="J1272" s="61" t="s">
        <v>28</v>
      </c>
      <c r="K1272" s="61" t="s">
        <v>212</v>
      </c>
      <c r="L1272" s="61" t="s">
        <v>8504</v>
      </c>
      <c r="M1272" s="475">
        <v>45882</v>
      </c>
      <c r="N1272" s="475">
        <v>45887</v>
      </c>
      <c r="O1272" s="475">
        <v>45887</v>
      </c>
      <c r="P1272" s="475">
        <v>45888</v>
      </c>
      <c r="Q1272" s="475">
        <v>45888</v>
      </c>
      <c r="R1272" s="61">
        <f t="shared" si="91"/>
        <v>3</v>
      </c>
      <c r="S1272" s="61">
        <f t="shared" si="92"/>
        <v>1</v>
      </c>
      <c r="T1272" s="61">
        <f t="shared" si="93"/>
        <v>1</v>
      </c>
      <c r="U1272" s="61">
        <f t="shared" si="94"/>
        <v>1</v>
      </c>
      <c r="V1272" s="61" t="s">
        <v>150</v>
      </c>
      <c r="W1272" s="61" t="s">
        <v>1078</v>
      </c>
      <c r="X1272" s="61" t="s">
        <v>50</v>
      </c>
      <c r="Y1272" s="491">
        <v>15.3482</v>
      </c>
      <c r="Z1272" s="491">
        <v>121.0284</v>
      </c>
      <c r="AA1272" s="61" t="s">
        <v>8505</v>
      </c>
      <c r="AB1272" s="61"/>
    </row>
    <row r="1273" spans="1:29" s="2" customFormat="1" ht="15">
      <c r="A1273" s="61" t="s">
        <v>2286</v>
      </c>
      <c r="B1273" s="61" t="s">
        <v>1653</v>
      </c>
      <c r="C1273" s="61" t="s">
        <v>4830</v>
      </c>
      <c r="D1273" s="61" t="s">
        <v>7838</v>
      </c>
      <c r="E1273" s="61">
        <v>1751</v>
      </c>
      <c r="F1273" s="61">
        <v>2012</v>
      </c>
      <c r="G1273" s="61">
        <v>2025</v>
      </c>
      <c r="H1273" s="61" t="s">
        <v>3126</v>
      </c>
      <c r="I1273" s="61" t="s">
        <v>267</v>
      </c>
      <c r="J1273" s="61" t="s">
        <v>28</v>
      </c>
      <c r="K1273" s="61" t="s">
        <v>212</v>
      </c>
      <c r="L1273" s="61" t="s">
        <v>8506</v>
      </c>
      <c r="M1273" s="475">
        <v>45870</v>
      </c>
      <c r="N1273" s="475">
        <v>45887</v>
      </c>
      <c r="O1273" s="475">
        <v>45887</v>
      </c>
      <c r="P1273" s="475">
        <v>45888</v>
      </c>
      <c r="Q1273" s="475">
        <v>45888</v>
      </c>
      <c r="R1273" s="61">
        <f t="shared" si="91"/>
        <v>11</v>
      </c>
      <c r="S1273" s="61">
        <f t="shared" si="92"/>
        <v>1</v>
      </c>
      <c r="T1273" s="61">
        <f t="shared" si="93"/>
        <v>1</v>
      </c>
      <c r="U1273" s="61">
        <f t="shared" si="94"/>
        <v>1</v>
      </c>
      <c r="V1273" s="61" t="s">
        <v>150</v>
      </c>
      <c r="W1273" s="61" t="s">
        <v>1078</v>
      </c>
      <c r="X1273" s="61" t="s">
        <v>50</v>
      </c>
      <c r="Y1273" s="491">
        <v>15.3474</v>
      </c>
      <c r="Z1273" s="491">
        <v>121.0351</v>
      </c>
      <c r="AA1273" s="61" t="s">
        <v>8505</v>
      </c>
      <c r="AB1273" s="61"/>
    </row>
    <row r="1274" spans="1:29" s="2" customFormat="1" ht="15">
      <c r="A1274" s="61" t="s">
        <v>2286</v>
      </c>
      <c r="B1274" s="61" t="s">
        <v>1653</v>
      </c>
      <c r="C1274" s="61" t="s">
        <v>4833</v>
      </c>
      <c r="D1274" s="61" t="s">
        <v>7838</v>
      </c>
      <c r="E1274" s="61">
        <v>1788</v>
      </c>
      <c r="F1274" s="61">
        <v>1834</v>
      </c>
      <c r="G1274" s="61">
        <v>2025</v>
      </c>
      <c r="H1274" s="61" t="s">
        <v>3126</v>
      </c>
      <c r="I1274" s="61" t="s">
        <v>267</v>
      </c>
      <c r="J1274" s="61" t="s">
        <v>28</v>
      </c>
      <c r="K1274" s="61" t="s">
        <v>212</v>
      </c>
      <c r="L1274" s="61" t="s">
        <v>8507</v>
      </c>
      <c r="M1274" s="475">
        <v>45882</v>
      </c>
      <c r="N1274" s="475">
        <v>45887</v>
      </c>
      <c r="O1274" s="475">
        <v>45887</v>
      </c>
      <c r="P1274" s="475">
        <v>45888</v>
      </c>
      <c r="Q1274" s="475">
        <v>45888</v>
      </c>
      <c r="R1274" s="61">
        <f t="shared" si="91"/>
        <v>3</v>
      </c>
      <c r="S1274" s="61">
        <f t="shared" si="92"/>
        <v>1</v>
      </c>
      <c r="T1274" s="61">
        <f t="shared" si="93"/>
        <v>1</v>
      </c>
      <c r="U1274" s="61">
        <f t="shared" si="94"/>
        <v>1</v>
      </c>
      <c r="V1274" s="61" t="s">
        <v>150</v>
      </c>
      <c r="W1274" s="61" t="s">
        <v>1078</v>
      </c>
      <c r="X1274" s="61" t="s">
        <v>50</v>
      </c>
      <c r="Y1274" s="491">
        <v>15.3507</v>
      </c>
      <c r="Z1274" s="491">
        <v>121.0488</v>
      </c>
      <c r="AA1274" s="61" t="s">
        <v>8505</v>
      </c>
      <c r="AB1274" s="61"/>
    </row>
    <row r="1275" spans="1:29" s="2" customFormat="1" ht="15">
      <c r="A1275" s="61" t="s">
        <v>2286</v>
      </c>
      <c r="B1275" s="61" t="s">
        <v>1653</v>
      </c>
      <c r="C1275" s="61" t="s">
        <v>4824</v>
      </c>
      <c r="D1275" s="61" t="s">
        <v>7838</v>
      </c>
      <c r="E1275" s="61">
        <v>3495</v>
      </c>
      <c r="F1275" s="61">
        <v>4046</v>
      </c>
      <c r="G1275" s="61"/>
      <c r="H1275" s="61"/>
      <c r="I1275" s="61" t="s">
        <v>28</v>
      </c>
      <c r="J1275" s="61"/>
      <c r="K1275" s="61" t="s">
        <v>212</v>
      </c>
      <c r="L1275" s="61"/>
      <c r="M1275" s="61"/>
      <c r="N1275" s="61"/>
      <c r="O1275" s="61"/>
      <c r="P1275" s="61"/>
      <c r="Q1275" s="61"/>
      <c r="R1275" s="61" t="str">
        <f t="shared" si="91"/>
        <v/>
      </c>
      <c r="S1275" s="61" t="str">
        <f t="shared" si="92"/>
        <v/>
      </c>
      <c r="T1275" s="61" t="str">
        <f t="shared" si="93"/>
        <v/>
      </c>
      <c r="U1275" s="61" t="str">
        <f t="shared" si="94"/>
        <v/>
      </c>
      <c r="V1275" s="61"/>
      <c r="W1275" s="61"/>
      <c r="X1275" s="61"/>
      <c r="Y1275" s="471"/>
      <c r="Z1275" s="471"/>
      <c r="AA1275" s="61"/>
      <c r="AB1275" s="61"/>
    </row>
    <row r="1276" spans="1:29" s="2" customFormat="1" ht="15">
      <c r="A1276" s="61" t="s">
        <v>2286</v>
      </c>
      <c r="B1276" s="61" t="s">
        <v>1653</v>
      </c>
      <c r="C1276" s="61" t="s">
        <v>1185</v>
      </c>
      <c r="D1276" s="61" t="s">
        <v>7838</v>
      </c>
      <c r="E1276" s="61">
        <v>6695</v>
      </c>
      <c r="F1276" s="61">
        <v>6887</v>
      </c>
      <c r="G1276" s="61"/>
      <c r="H1276" s="61"/>
      <c r="I1276" s="61" t="s">
        <v>28</v>
      </c>
      <c r="J1276" s="61"/>
      <c r="K1276" s="61" t="s">
        <v>212</v>
      </c>
      <c r="L1276" s="61"/>
      <c r="M1276" s="61"/>
      <c r="N1276" s="61"/>
      <c r="O1276" s="61"/>
      <c r="P1276" s="61"/>
      <c r="Q1276" s="61"/>
      <c r="R1276" s="61" t="str">
        <f t="shared" si="91"/>
        <v/>
      </c>
      <c r="S1276" s="61" t="str">
        <f t="shared" si="92"/>
        <v/>
      </c>
      <c r="T1276" s="61" t="str">
        <f t="shared" si="93"/>
        <v/>
      </c>
      <c r="U1276" s="61" t="str">
        <f t="shared" si="94"/>
        <v/>
      </c>
      <c r="V1276" s="61"/>
      <c r="W1276" s="61"/>
      <c r="X1276" s="61"/>
      <c r="Y1276" s="471"/>
      <c r="Z1276" s="471"/>
      <c r="AA1276" s="61"/>
      <c r="AB1276" s="61"/>
    </row>
    <row r="1277" spans="1:29" s="474" customFormat="1" ht="15">
      <c r="A1277" s="61" t="s">
        <v>2286</v>
      </c>
      <c r="B1277" s="61" t="s">
        <v>1653</v>
      </c>
      <c r="C1277" s="61" t="s">
        <v>4825</v>
      </c>
      <c r="D1277" s="61" t="s">
        <v>7838</v>
      </c>
      <c r="E1277" s="61">
        <v>3599</v>
      </c>
      <c r="F1277" s="61">
        <v>5376</v>
      </c>
      <c r="G1277" s="61"/>
      <c r="H1277" s="61"/>
      <c r="I1277" s="61" t="s">
        <v>28</v>
      </c>
      <c r="J1277" s="61"/>
      <c r="K1277" s="61" t="s">
        <v>212</v>
      </c>
      <c r="L1277" s="61"/>
      <c r="M1277" s="61"/>
      <c r="N1277" s="61"/>
      <c r="O1277" s="61"/>
      <c r="P1277" s="61"/>
      <c r="Q1277" s="61"/>
      <c r="R1277" s="61" t="str">
        <f t="shared" si="91"/>
        <v/>
      </c>
      <c r="S1277" s="61" t="str">
        <f t="shared" si="92"/>
        <v/>
      </c>
      <c r="T1277" s="61" t="str">
        <f t="shared" si="93"/>
        <v/>
      </c>
      <c r="U1277" s="61" t="str">
        <f t="shared" si="94"/>
        <v/>
      </c>
      <c r="V1277" s="61"/>
      <c r="W1277" s="61"/>
      <c r="X1277" s="61"/>
      <c r="Y1277" s="471"/>
      <c r="Z1277" s="471"/>
      <c r="AA1277" s="61"/>
      <c r="AB1277" s="61"/>
      <c r="AC1277" s="2"/>
    </row>
    <row r="1278" spans="1:29" s="2" customFormat="1" ht="15">
      <c r="A1278" s="61" t="s">
        <v>2286</v>
      </c>
      <c r="B1278" s="61" t="s">
        <v>1653</v>
      </c>
      <c r="C1278" s="61" t="s">
        <v>4827</v>
      </c>
      <c r="D1278" s="61" t="s">
        <v>7838</v>
      </c>
      <c r="E1278" s="61">
        <v>1387</v>
      </c>
      <c r="F1278" s="61">
        <v>1513</v>
      </c>
      <c r="G1278" s="61"/>
      <c r="H1278" s="61"/>
      <c r="I1278" s="61" t="s">
        <v>28</v>
      </c>
      <c r="J1278" s="61"/>
      <c r="K1278" s="61" t="s">
        <v>212</v>
      </c>
      <c r="L1278" s="61"/>
      <c r="M1278" s="61"/>
      <c r="N1278" s="61"/>
      <c r="O1278" s="61"/>
      <c r="P1278" s="61"/>
      <c r="Q1278" s="61"/>
      <c r="R1278" s="61" t="str">
        <f t="shared" si="91"/>
        <v/>
      </c>
      <c r="S1278" s="61" t="str">
        <f t="shared" si="92"/>
        <v/>
      </c>
      <c r="T1278" s="61" t="str">
        <f t="shared" si="93"/>
        <v/>
      </c>
      <c r="U1278" s="61" t="str">
        <f t="shared" si="94"/>
        <v/>
      </c>
      <c r="V1278" s="61"/>
      <c r="W1278" s="61"/>
      <c r="X1278" s="61"/>
      <c r="Y1278" s="491"/>
      <c r="Z1278" s="491"/>
      <c r="AA1278" s="61"/>
      <c r="AB1278" s="61"/>
    </row>
    <row r="1279" spans="1:29" s="2" customFormat="1" ht="15">
      <c r="A1279" s="61" t="s">
        <v>2286</v>
      </c>
      <c r="B1279" s="61" t="s">
        <v>1653</v>
      </c>
      <c r="C1279" s="61" t="s">
        <v>4828</v>
      </c>
      <c r="D1279" s="61" t="s">
        <v>7838</v>
      </c>
      <c r="E1279" s="61">
        <v>6232</v>
      </c>
      <c r="F1279" s="61">
        <v>7578</v>
      </c>
      <c r="G1279" s="61"/>
      <c r="H1279" s="61"/>
      <c r="I1279" s="61" t="s">
        <v>28</v>
      </c>
      <c r="J1279" s="61"/>
      <c r="K1279" s="61" t="s">
        <v>212</v>
      </c>
      <c r="L1279" s="61"/>
      <c r="M1279" s="61"/>
      <c r="N1279" s="61"/>
      <c r="O1279" s="61"/>
      <c r="P1279" s="61"/>
      <c r="Q1279" s="61"/>
      <c r="R1279" s="61" t="str">
        <f t="shared" si="91"/>
        <v/>
      </c>
      <c r="S1279" s="61" t="str">
        <f t="shared" si="92"/>
        <v/>
      </c>
      <c r="T1279" s="61" t="str">
        <f t="shared" si="93"/>
        <v/>
      </c>
      <c r="U1279" s="61" t="str">
        <f t="shared" si="94"/>
        <v/>
      </c>
      <c r="V1279" s="61"/>
      <c r="W1279" s="61"/>
      <c r="X1279" s="61"/>
      <c r="Y1279" s="491"/>
      <c r="Z1279" s="491"/>
      <c r="AA1279" s="61"/>
      <c r="AB1279" s="61"/>
    </row>
    <row r="1280" spans="1:29" s="2" customFormat="1" ht="15">
      <c r="A1280" s="61" t="s">
        <v>2286</v>
      </c>
      <c r="B1280" s="61" t="s">
        <v>1653</v>
      </c>
      <c r="C1280" s="61" t="s">
        <v>4829</v>
      </c>
      <c r="D1280" s="61" t="s">
        <v>7838</v>
      </c>
      <c r="E1280" s="61">
        <v>1611</v>
      </c>
      <c r="F1280" s="61">
        <v>1778</v>
      </c>
      <c r="G1280" s="61"/>
      <c r="H1280" s="61"/>
      <c r="I1280" s="61" t="s">
        <v>28</v>
      </c>
      <c r="J1280" s="61"/>
      <c r="K1280" s="61" t="s">
        <v>212</v>
      </c>
      <c r="L1280" s="61"/>
      <c r="M1280" s="61"/>
      <c r="N1280" s="61"/>
      <c r="O1280" s="61"/>
      <c r="P1280" s="61"/>
      <c r="Q1280" s="61"/>
      <c r="R1280" s="61" t="str">
        <f t="shared" si="91"/>
        <v/>
      </c>
      <c r="S1280" s="61" t="str">
        <f t="shared" si="92"/>
        <v/>
      </c>
      <c r="T1280" s="61" t="str">
        <f t="shared" si="93"/>
        <v/>
      </c>
      <c r="U1280" s="61" t="str">
        <f t="shared" si="94"/>
        <v/>
      </c>
      <c r="V1280" s="61"/>
      <c r="W1280" s="61"/>
      <c r="X1280" s="61"/>
      <c r="Y1280" s="491"/>
      <c r="Z1280" s="491"/>
      <c r="AA1280" s="61"/>
      <c r="AB1280" s="61"/>
    </row>
    <row r="1281" spans="1:28" s="2" customFormat="1" ht="15">
      <c r="A1281" s="61" t="s">
        <v>2286</v>
      </c>
      <c r="B1281" s="61" t="s">
        <v>1653</v>
      </c>
      <c r="C1281" s="61" t="s">
        <v>1286</v>
      </c>
      <c r="D1281" s="61" t="s">
        <v>7838</v>
      </c>
      <c r="E1281" s="61">
        <v>1506</v>
      </c>
      <c r="F1281" s="61">
        <v>1543</v>
      </c>
      <c r="G1281" s="61"/>
      <c r="H1281" s="61"/>
      <c r="I1281" s="61" t="s">
        <v>28</v>
      </c>
      <c r="J1281" s="61"/>
      <c r="K1281" s="61" t="s">
        <v>212</v>
      </c>
      <c r="L1281" s="61"/>
      <c r="M1281" s="61"/>
      <c r="N1281" s="61"/>
      <c r="O1281" s="61"/>
      <c r="P1281" s="61"/>
      <c r="Q1281" s="61"/>
      <c r="R1281" s="61" t="str">
        <f t="shared" si="91"/>
        <v/>
      </c>
      <c r="S1281" s="61" t="str">
        <f t="shared" si="92"/>
        <v/>
      </c>
      <c r="T1281" s="61" t="str">
        <f t="shared" si="93"/>
        <v/>
      </c>
      <c r="U1281" s="61" t="str">
        <f t="shared" si="94"/>
        <v/>
      </c>
      <c r="V1281" s="61"/>
      <c r="W1281" s="61"/>
      <c r="X1281" s="61"/>
      <c r="Y1281" s="491"/>
      <c r="Z1281" s="491"/>
      <c r="AA1281" s="61"/>
      <c r="AB1281" s="61"/>
    </row>
    <row r="1282" spans="1:28" s="2" customFormat="1" ht="15">
      <c r="A1282" s="61" t="s">
        <v>2286</v>
      </c>
      <c r="B1282" s="61" t="s">
        <v>1653</v>
      </c>
      <c r="C1282" s="61" t="s">
        <v>4831</v>
      </c>
      <c r="D1282" s="61" t="s">
        <v>7838</v>
      </c>
      <c r="E1282" s="61">
        <v>1611</v>
      </c>
      <c r="F1282" s="61">
        <v>1788</v>
      </c>
      <c r="G1282" s="61"/>
      <c r="H1282" s="61"/>
      <c r="I1282" s="61" t="s">
        <v>28</v>
      </c>
      <c r="J1282" s="61"/>
      <c r="K1282" s="61" t="s">
        <v>212</v>
      </c>
      <c r="L1282" s="61"/>
      <c r="M1282" s="61"/>
      <c r="N1282" s="61"/>
      <c r="O1282" s="61"/>
      <c r="P1282" s="61"/>
      <c r="Q1282" s="61"/>
      <c r="R1282" s="61" t="str">
        <f t="shared" si="91"/>
        <v/>
      </c>
      <c r="S1282" s="61" t="str">
        <f t="shared" si="92"/>
        <v/>
      </c>
      <c r="T1282" s="61" t="str">
        <f t="shared" si="93"/>
        <v/>
      </c>
      <c r="U1282" s="61" t="str">
        <f t="shared" si="94"/>
        <v/>
      </c>
      <c r="V1282" s="61"/>
      <c r="W1282" s="61"/>
      <c r="X1282" s="61"/>
      <c r="Y1282" s="471"/>
      <c r="Z1282" s="471"/>
      <c r="AA1282" s="61"/>
      <c r="AB1282" s="61"/>
    </row>
    <row r="1283" spans="1:28" s="2" customFormat="1" ht="15">
      <c r="A1283" s="61" t="s">
        <v>2286</v>
      </c>
      <c r="B1283" s="61" t="s">
        <v>1653</v>
      </c>
      <c r="C1283" s="61" t="s">
        <v>4832</v>
      </c>
      <c r="D1283" s="61" t="s">
        <v>7838</v>
      </c>
      <c r="E1283" s="61">
        <v>9608</v>
      </c>
      <c r="F1283" s="61">
        <v>11240</v>
      </c>
      <c r="G1283" s="61"/>
      <c r="H1283" s="61"/>
      <c r="I1283" s="61" t="s">
        <v>28</v>
      </c>
      <c r="J1283" s="61"/>
      <c r="K1283" s="61" t="s">
        <v>212</v>
      </c>
      <c r="L1283" s="61"/>
      <c r="M1283" s="61"/>
      <c r="N1283" s="61"/>
      <c r="O1283" s="61"/>
      <c r="P1283" s="61"/>
      <c r="Q1283" s="61"/>
      <c r="R1283" s="61" t="str">
        <f t="shared" si="91"/>
        <v/>
      </c>
      <c r="S1283" s="61" t="str">
        <f t="shared" si="92"/>
        <v/>
      </c>
      <c r="T1283" s="61" t="str">
        <f t="shared" si="93"/>
        <v/>
      </c>
      <c r="U1283" s="61" t="str">
        <f t="shared" si="94"/>
        <v/>
      </c>
      <c r="V1283" s="61"/>
      <c r="W1283" s="61"/>
      <c r="X1283" s="61"/>
      <c r="Y1283" s="437"/>
      <c r="Z1283" s="437"/>
      <c r="AA1283" s="61"/>
      <c r="AB1283" s="61"/>
    </row>
    <row r="1284" spans="1:28" s="2" customFormat="1" ht="15">
      <c r="A1284" s="61" t="s">
        <v>2286</v>
      </c>
      <c r="B1284" s="61" t="s">
        <v>1653</v>
      </c>
      <c r="C1284" s="61" t="s">
        <v>3767</v>
      </c>
      <c r="D1284" s="61" t="s">
        <v>7838</v>
      </c>
      <c r="E1284" s="61">
        <v>4015</v>
      </c>
      <c r="F1284" s="61">
        <v>5081</v>
      </c>
      <c r="G1284" s="61"/>
      <c r="H1284" s="61"/>
      <c r="I1284" s="61" t="s">
        <v>28</v>
      </c>
      <c r="J1284" s="61"/>
      <c r="K1284" s="61" t="s">
        <v>212</v>
      </c>
      <c r="L1284" s="61"/>
      <c r="M1284" s="61"/>
      <c r="N1284" s="61"/>
      <c r="O1284" s="61"/>
      <c r="P1284" s="61"/>
      <c r="Q1284" s="61"/>
      <c r="R1284" s="61" t="str">
        <f t="shared" si="91"/>
        <v/>
      </c>
      <c r="S1284" s="61" t="str">
        <f t="shared" si="92"/>
        <v/>
      </c>
      <c r="T1284" s="61" t="str">
        <f t="shared" si="93"/>
        <v/>
      </c>
      <c r="U1284" s="61" t="str">
        <f t="shared" si="94"/>
        <v/>
      </c>
      <c r="V1284" s="61"/>
      <c r="W1284" s="61"/>
      <c r="X1284" s="61"/>
      <c r="Y1284" s="471"/>
      <c r="Z1284" s="471"/>
      <c r="AA1284" s="61"/>
      <c r="AB1284" s="61"/>
    </row>
    <row r="1285" spans="1:28" s="2" customFormat="1" ht="15">
      <c r="A1285" s="61" t="s">
        <v>2286</v>
      </c>
      <c r="B1285" s="61" t="s">
        <v>1255</v>
      </c>
      <c r="C1285" s="61" t="s">
        <v>4303</v>
      </c>
      <c r="D1285" s="61" t="s">
        <v>7838</v>
      </c>
      <c r="E1285" s="61">
        <v>1157</v>
      </c>
      <c r="F1285" s="61">
        <v>1239</v>
      </c>
      <c r="G1285" s="61">
        <v>2025</v>
      </c>
      <c r="H1285" s="61" t="s">
        <v>3126</v>
      </c>
      <c r="I1285" s="61" t="s">
        <v>29</v>
      </c>
      <c r="J1285" s="61" t="s">
        <v>28</v>
      </c>
      <c r="K1285" s="61" t="s">
        <v>212</v>
      </c>
      <c r="L1285" s="61" t="s">
        <v>8508</v>
      </c>
      <c r="M1285" s="475">
        <v>45876</v>
      </c>
      <c r="N1285" s="475">
        <v>45887</v>
      </c>
      <c r="O1285" s="475">
        <v>45887</v>
      </c>
      <c r="P1285" s="475">
        <v>45888</v>
      </c>
      <c r="Q1285" s="475">
        <v>45888</v>
      </c>
      <c r="R1285" s="61">
        <f t="shared" si="91"/>
        <v>7</v>
      </c>
      <c r="S1285" s="61">
        <f t="shared" si="92"/>
        <v>1</v>
      </c>
      <c r="T1285" s="61">
        <f t="shared" si="93"/>
        <v>1</v>
      </c>
      <c r="U1285" s="61">
        <f t="shared" si="94"/>
        <v>1</v>
      </c>
      <c r="V1285" s="61" t="s">
        <v>150</v>
      </c>
      <c r="W1285" s="61" t="s">
        <v>1078</v>
      </c>
      <c r="X1285" s="61" t="s">
        <v>50</v>
      </c>
      <c r="Y1285" s="491">
        <v>15.6836</v>
      </c>
      <c r="Z1285" s="491">
        <v>120.7334</v>
      </c>
      <c r="AA1285" s="61" t="s">
        <v>680</v>
      </c>
      <c r="AB1285" s="61"/>
    </row>
    <row r="1286" spans="1:28" s="2" customFormat="1" ht="15">
      <c r="A1286" s="61" t="s">
        <v>2286</v>
      </c>
      <c r="B1286" s="61" t="s">
        <v>1255</v>
      </c>
      <c r="C1286" s="61" t="s">
        <v>4844</v>
      </c>
      <c r="D1286" s="61" t="s">
        <v>7838</v>
      </c>
      <c r="E1286" s="61">
        <v>1498</v>
      </c>
      <c r="F1286" s="61">
        <v>1407</v>
      </c>
      <c r="G1286" s="61">
        <v>2025</v>
      </c>
      <c r="H1286" s="61" t="s">
        <v>3470</v>
      </c>
      <c r="I1286" s="61" t="s">
        <v>29</v>
      </c>
      <c r="J1286" s="61" t="s">
        <v>28</v>
      </c>
      <c r="K1286" s="61" t="s">
        <v>212</v>
      </c>
      <c r="L1286" s="483" t="s">
        <v>8509</v>
      </c>
      <c r="M1286" s="475">
        <v>45762</v>
      </c>
      <c r="N1286" s="475">
        <v>45768</v>
      </c>
      <c r="O1286" s="475">
        <v>45769</v>
      </c>
      <c r="P1286" s="475">
        <v>45769</v>
      </c>
      <c r="Q1286" s="475">
        <v>45769</v>
      </c>
      <c r="R1286" s="61">
        <f t="shared" si="91"/>
        <v>4</v>
      </c>
      <c r="S1286" s="61">
        <f t="shared" si="92"/>
        <v>1</v>
      </c>
      <c r="T1286" s="61">
        <f t="shared" si="93"/>
        <v>1</v>
      </c>
      <c r="U1286" s="61">
        <f t="shared" si="94"/>
        <v>1</v>
      </c>
      <c r="V1286" s="61" t="s">
        <v>150</v>
      </c>
      <c r="W1286" s="61" t="s">
        <v>1078</v>
      </c>
      <c r="X1286" s="61" t="s">
        <v>50</v>
      </c>
      <c r="Y1286" s="491">
        <v>15.6325</v>
      </c>
      <c r="Z1286" s="491">
        <v>120.75951000000001</v>
      </c>
      <c r="AA1286" s="61" t="s">
        <v>680</v>
      </c>
      <c r="AB1286" s="61"/>
    </row>
    <row r="1287" spans="1:28" s="2" customFormat="1" ht="15">
      <c r="A1287" s="61" t="s">
        <v>2286</v>
      </c>
      <c r="B1287" s="61" t="s">
        <v>1255</v>
      </c>
      <c r="C1287" s="61" t="s">
        <v>4847</v>
      </c>
      <c r="D1287" s="61" t="s">
        <v>7838</v>
      </c>
      <c r="E1287" s="61">
        <v>3364</v>
      </c>
      <c r="F1287" s="61">
        <v>3612</v>
      </c>
      <c r="G1287" s="61">
        <v>2025</v>
      </c>
      <c r="H1287" s="61" t="s">
        <v>3532</v>
      </c>
      <c r="I1287" s="61" t="s">
        <v>29</v>
      </c>
      <c r="J1287" s="61" t="s">
        <v>2289</v>
      </c>
      <c r="K1287" s="61" t="s">
        <v>212</v>
      </c>
      <c r="L1287" s="61" t="s">
        <v>8510</v>
      </c>
      <c r="M1287" s="475">
        <v>45770</v>
      </c>
      <c r="N1287" s="475">
        <v>45774</v>
      </c>
      <c r="O1287" s="475">
        <v>45779</v>
      </c>
      <c r="P1287" s="475">
        <v>45782</v>
      </c>
      <c r="Q1287" s="475">
        <v>45791</v>
      </c>
      <c r="R1287" s="61">
        <f t="shared" si="91"/>
        <v>2</v>
      </c>
      <c r="S1287" s="61">
        <f t="shared" si="92"/>
        <v>4</v>
      </c>
      <c r="T1287" s="61">
        <f t="shared" si="93"/>
        <v>1</v>
      </c>
      <c r="U1287" s="61">
        <f t="shared" si="94"/>
        <v>7</v>
      </c>
      <c r="V1287" s="61" t="s">
        <v>150</v>
      </c>
      <c r="W1287" s="61" t="s">
        <v>1078</v>
      </c>
      <c r="X1287" s="61" t="s">
        <v>50</v>
      </c>
      <c r="Y1287" s="471">
        <v>15.6683</v>
      </c>
      <c r="Z1287" s="471">
        <v>120.82559999999999</v>
      </c>
      <c r="AA1287" s="61" t="s">
        <v>680</v>
      </c>
      <c r="AB1287" s="61"/>
    </row>
    <row r="1288" spans="1:28" s="2" customFormat="1" ht="15">
      <c r="A1288" s="61" t="s">
        <v>2286</v>
      </c>
      <c r="B1288" s="61" t="s">
        <v>1255</v>
      </c>
      <c r="C1288" s="61" t="s">
        <v>4849</v>
      </c>
      <c r="D1288" s="61" t="s">
        <v>7838</v>
      </c>
      <c r="E1288" s="61">
        <v>1650</v>
      </c>
      <c r="F1288" s="61">
        <v>1830</v>
      </c>
      <c r="G1288" s="61">
        <v>2025</v>
      </c>
      <c r="H1288" s="61" t="s">
        <v>3416</v>
      </c>
      <c r="I1288" s="61" t="s">
        <v>29</v>
      </c>
      <c r="J1288" s="61" t="s">
        <v>2289</v>
      </c>
      <c r="K1288" s="61" t="s">
        <v>212</v>
      </c>
      <c r="L1288" s="483" t="s">
        <v>8511</v>
      </c>
      <c r="M1288" s="475">
        <v>45708</v>
      </c>
      <c r="N1288" s="475">
        <v>45712</v>
      </c>
      <c r="O1288" s="475">
        <v>45713</v>
      </c>
      <c r="P1288" s="475">
        <v>45714</v>
      </c>
      <c r="Q1288" s="475">
        <v>45721</v>
      </c>
      <c r="R1288" s="61">
        <f t="shared" si="91"/>
        <v>2</v>
      </c>
      <c r="S1288" s="61">
        <f t="shared" si="92"/>
        <v>1</v>
      </c>
      <c r="T1288" s="61">
        <f t="shared" si="93"/>
        <v>1</v>
      </c>
      <c r="U1288" s="61">
        <f t="shared" si="94"/>
        <v>5</v>
      </c>
      <c r="V1288" s="61" t="s">
        <v>150</v>
      </c>
      <c r="W1288" s="61" t="s">
        <v>1078</v>
      </c>
      <c r="X1288" s="61" t="s">
        <v>50</v>
      </c>
      <c r="Y1288" s="491">
        <v>15.656000000000001</v>
      </c>
      <c r="Z1288" s="491">
        <v>120.80629999999999</v>
      </c>
      <c r="AA1288" s="61" t="s">
        <v>680</v>
      </c>
      <c r="AB1288" s="61"/>
    </row>
    <row r="1289" spans="1:28" s="2" customFormat="1" ht="15">
      <c r="A1289" s="61" t="s">
        <v>2286</v>
      </c>
      <c r="B1289" s="61" t="s">
        <v>1255</v>
      </c>
      <c r="C1289" s="61" t="s">
        <v>4854</v>
      </c>
      <c r="D1289" s="61" t="s">
        <v>7838</v>
      </c>
      <c r="E1289" s="61">
        <v>1583</v>
      </c>
      <c r="F1289" s="61">
        <v>1657</v>
      </c>
      <c r="G1289" s="61">
        <v>2025</v>
      </c>
      <c r="H1289" s="61" t="s">
        <v>3470</v>
      </c>
      <c r="I1289" s="61" t="s">
        <v>29</v>
      </c>
      <c r="J1289" s="61" t="s">
        <v>2289</v>
      </c>
      <c r="K1289" s="61" t="s">
        <v>212</v>
      </c>
      <c r="L1289" s="61" t="s">
        <v>8512</v>
      </c>
      <c r="M1289" s="475">
        <v>45751</v>
      </c>
      <c r="N1289" s="475">
        <v>45757</v>
      </c>
      <c r="O1289" s="475">
        <v>45758</v>
      </c>
      <c r="P1289" s="475">
        <v>45761</v>
      </c>
      <c r="Q1289" s="475">
        <v>45762</v>
      </c>
      <c r="R1289" s="61">
        <f t="shared" si="91"/>
        <v>4</v>
      </c>
      <c r="S1289" s="61">
        <f t="shared" si="92"/>
        <v>1</v>
      </c>
      <c r="T1289" s="61">
        <f t="shared" si="93"/>
        <v>1</v>
      </c>
      <c r="U1289" s="61">
        <f t="shared" si="94"/>
        <v>1</v>
      </c>
      <c r="V1289" s="61" t="s">
        <v>150</v>
      </c>
      <c r="W1289" s="61" t="s">
        <v>1078</v>
      </c>
      <c r="X1289" s="61" t="s">
        <v>50</v>
      </c>
      <c r="Y1289" s="486">
        <v>15.670999999999999</v>
      </c>
      <c r="Z1289" s="486">
        <v>120.74509999999999</v>
      </c>
      <c r="AA1289" s="61" t="s">
        <v>680</v>
      </c>
      <c r="AB1289" s="61"/>
    </row>
    <row r="1290" spans="1:28" s="2" customFormat="1" ht="15">
      <c r="A1290" s="61" t="s">
        <v>2286</v>
      </c>
      <c r="B1290" s="61" t="s">
        <v>1255</v>
      </c>
      <c r="C1290" s="61" t="s">
        <v>4871</v>
      </c>
      <c r="D1290" s="61" t="s">
        <v>7838</v>
      </c>
      <c r="E1290" s="61">
        <v>5878</v>
      </c>
      <c r="F1290" s="61">
        <v>6198</v>
      </c>
      <c r="G1290" s="61">
        <v>2025</v>
      </c>
      <c r="H1290" s="61" t="s">
        <v>3416</v>
      </c>
      <c r="I1290" s="61" t="s">
        <v>29</v>
      </c>
      <c r="J1290" s="61" t="s">
        <v>2289</v>
      </c>
      <c r="K1290" s="61" t="s">
        <v>212</v>
      </c>
      <c r="L1290" s="476" t="s">
        <v>8513</v>
      </c>
      <c r="M1290" s="475">
        <v>45708</v>
      </c>
      <c r="N1290" s="475">
        <v>45712</v>
      </c>
      <c r="O1290" s="475">
        <v>45713</v>
      </c>
      <c r="P1290" s="475">
        <v>45713</v>
      </c>
      <c r="Q1290" s="475">
        <v>45719</v>
      </c>
      <c r="R1290" s="61">
        <f t="shared" si="91"/>
        <v>2</v>
      </c>
      <c r="S1290" s="61">
        <f t="shared" si="92"/>
        <v>1</v>
      </c>
      <c r="T1290" s="61">
        <f t="shared" si="93"/>
        <v>1</v>
      </c>
      <c r="U1290" s="61">
        <f t="shared" si="94"/>
        <v>4</v>
      </c>
      <c r="V1290" s="61" t="s">
        <v>150</v>
      </c>
      <c r="W1290" s="61" t="s">
        <v>1078</v>
      </c>
      <c r="X1290" s="61" t="s">
        <v>50</v>
      </c>
      <c r="Y1290" s="498">
        <v>15.656000000000001</v>
      </c>
      <c r="Z1290" s="498">
        <v>120.80629999999999</v>
      </c>
      <c r="AA1290" s="61" t="s">
        <v>680</v>
      </c>
      <c r="AB1290" s="61"/>
    </row>
    <row r="1291" spans="1:28" s="2" customFormat="1" ht="15">
      <c r="A1291" s="61" t="s">
        <v>2286</v>
      </c>
      <c r="B1291" s="61" t="s">
        <v>1255</v>
      </c>
      <c r="C1291" s="61" t="s">
        <v>4882</v>
      </c>
      <c r="D1291" s="61" t="s">
        <v>7838</v>
      </c>
      <c r="E1291" s="61">
        <v>1365</v>
      </c>
      <c r="F1291" s="61">
        <v>1635</v>
      </c>
      <c r="G1291" s="61">
        <v>2025</v>
      </c>
      <c r="H1291" s="61" t="s">
        <v>3126</v>
      </c>
      <c r="I1291" s="61" t="s">
        <v>29</v>
      </c>
      <c r="J1291" s="61" t="s">
        <v>28</v>
      </c>
      <c r="K1291" s="61" t="s">
        <v>212</v>
      </c>
      <c r="L1291" s="61" t="s">
        <v>8514</v>
      </c>
      <c r="M1291" s="475">
        <v>45882</v>
      </c>
      <c r="N1291" s="475">
        <v>45887</v>
      </c>
      <c r="O1291" s="475">
        <v>45887</v>
      </c>
      <c r="P1291" s="475">
        <v>45888</v>
      </c>
      <c r="Q1291" s="475">
        <v>45888</v>
      </c>
      <c r="R1291" s="61">
        <f t="shared" si="91"/>
        <v>3</v>
      </c>
      <c r="S1291" s="61">
        <f t="shared" si="92"/>
        <v>1</v>
      </c>
      <c r="T1291" s="61">
        <f t="shared" si="93"/>
        <v>1</v>
      </c>
      <c r="U1291" s="61">
        <f t="shared" si="94"/>
        <v>1</v>
      </c>
      <c r="V1291" s="61" t="s">
        <v>150</v>
      </c>
      <c r="W1291" s="61" t="s">
        <v>1078</v>
      </c>
      <c r="X1291" s="61" t="s">
        <v>50</v>
      </c>
      <c r="Y1291" s="474">
        <v>15.724500000000001</v>
      </c>
      <c r="Z1291" s="474">
        <v>120.7102</v>
      </c>
      <c r="AA1291" s="61" t="s">
        <v>680</v>
      </c>
      <c r="AB1291" s="61"/>
    </row>
    <row r="1292" spans="1:28" s="2" customFormat="1" ht="15">
      <c r="A1292" s="61" t="s">
        <v>2286</v>
      </c>
      <c r="B1292" s="61" t="s">
        <v>1255</v>
      </c>
      <c r="C1292" s="61" t="s">
        <v>1556</v>
      </c>
      <c r="D1292" s="61" t="s">
        <v>7838</v>
      </c>
      <c r="E1292" s="61">
        <v>529</v>
      </c>
      <c r="F1292" s="61">
        <v>586</v>
      </c>
      <c r="G1292" s="61">
        <v>2025</v>
      </c>
      <c r="H1292" s="61" t="s">
        <v>3126</v>
      </c>
      <c r="I1292" s="61" t="s">
        <v>29</v>
      </c>
      <c r="J1292" s="61" t="s">
        <v>28</v>
      </c>
      <c r="K1292" s="61" t="s">
        <v>212</v>
      </c>
      <c r="L1292" s="61" t="s">
        <v>8515</v>
      </c>
      <c r="M1292" s="475">
        <v>45882</v>
      </c>
      <c r="N1292" s="475">
        <v>45887</v>
      </c>
      <c r="O1292" s="475">
        <v>45887</v>
      </c>
      <c r="P1292" s="475">
        <v>45888</v>
      </c>
      <c r="Q1292" s="475">
        <v>45888</v>
      </c>
      <c r="R1292" s="61">
        <f t="shared" si="91"/>
        <v>3</v>
      </c>
      <c r="S1292" s="61">
        <f t="shared" si="92"/>
        <v>1</v>
      </c>
      <c r="T1292" s="61">
        <f t="shared" si="93"/>
        <v>1</v>
      </c>
      <c r="U1292" s="61">
        <f t="shared" si="94"/>
        <v>1</v>
      </c>
      <c r="V1292" s="61" t="s">
        <v>150</v>
      </c>
      <c r="W1292" s="61" t="s">
        <v>1078</v>
      </c>
      <c r="X1292" s="61" t="s">
        <v>50</v>
      </c>
      <c r="Y1292" s="474">
        <v>15.6517</v>
      </c>
      <c r="Z1292" s="474">
        <v>120.71120000000001</v>
      </c>
      <c r="AA1292" s="61" t="s">
        <v>680</v>
      </c>
      <c r="AB1292" s="61"/>
    </row>
    <row r="1293" spans="1:28" s="2" customFormat="1" ht="15">
      <c r="A1293" s="61" t="s">
        <v>2286</v>
      </c>
      <c r="B1293" s="61" t="s">
        <v>1255</v>
      </c>
      <c r="C1293" s="61" t="s">
        <v>1151</v>
      </c>
      <c r="D1293" s="61" t="s">
        <v>7838</v>
      </c>
      <c r="E1293" s="61">
        <v>2303</v>
      </c>
      <c r="F1293" s="61">
        <v>2632</v>
      </c>
      <c r="G1293" s="61">
        <v>2025</v>
      </c>
      <c r="H1293" s="61" t="s">
        <v>3126</v>
      </c>
      <c r="I1293" s="61" t="s">
        <v>29</v>
      </c>
      <c r="J1293" s="61" t="s">
        <v>28</v>
      </c>
      <c r="K1293" s="61" t="s">
        <v>212</v>
      </c>
      <c r="L1293" s="61" t="s">
        <v>8516</v>
      </c>
      <c r="M1293" s="475">
        <v>45882</v>
      </c>
      <c r="N1293" s="475">
        <v>45887</v>
      </c>
      <c r="O1293" s="475">
        <v>45887</v>
      </c>
      <c r="P1293" s="475">
        <v>45888</v>
      </c>
      <c r="Q1293" s="475">
        <v>45888</v>
      </c>
      <c r="R1293" s="61">
        <f t="shared" si="91"/>
        <v>3</v>
      </c>
      <c r="S1293" s="61">
        <f t="shared" si="92"/>
        <v>1</v>
      </c>
      <c r="T1293" s="61">
        <f t="shared" si="93"/>
        <v>1</v>
      </c>
      <c r="U1293" s="61">
        <f t="shared" si="94"/>
        <v>1</v>
      </c>
      <c r="V1293" s="61" t="s">
        <v>150</v>
      </c>
      <c r="W1293" s="61" t="s">
        <v>1078</v>
      </c>
      <c r="X1293" s="61" t="s">
        <v>50</v>
      </c>
      <c r="Y1293" s="474">
        <v>15.6431</v>
      </c>
      <c r="Z1293" s="474">
        <v>120.69289999999999</v>
      </c>
      <c r="AA1293" s="61" t="s">
        <v>680</v>
      </c>
      <c r="AB1293" s="61"/>
    </row>
    <row r="1294" spans="1:28" s="2" customFormat="1" ht="15">
      <c r="A1294" s="61" t="s">
        <v>2286</v>
      </c>
      <c r="B1294" s="61" t="s">
        <v>1255</v>
      </c>
      <c r="C1294" s="61" t="s">
        <v>1155</v>
      </c>
      <c r="D1294" s="61" t="s">
        <v>7838</v>
      </c>
      <c r="E1294" s="61">
        <v>1597</v>
      </c>
      <c r="F1294" s="61">
        <v>1623</v>
      </c>
      <c r="G1294" s="61">
        <v>2025</v>
      </c>
      <c r="H1294" s="61" t="s">
        <v>3126</v>
      </c>
      <c r="I1294" s="61" t="s">
        <v>29</v>
      </c>
      <c r="J1294" s="61" t="s">
        <v>28</v>
      </c>
      <c r="K1294" s="61" t="s">
        <v>212</v>
      </c>
      <c r="L1294" s="61" t="s">
        <v>8517</v>
      </c>
      <c r="M1294" s="475">
        <v>45882</v>
      </c>
      <c r="N1294" s="475">
        <v>45887</v>
      </c>
      <c r="O1294" s="475">
        <v>45887</v>
      </c>
      <c r="P1294" s="475">
        <v>45888</v>
      </c>
      <c r="Q1294" s="475">
        <v>45888</v>
      </c>
      <c r="R1294" s="61">
        <f t="shared" si="91"/>
        <v>3</v>
      </c>
      <c r="S1294" s="61">
        <f t="shared" si="92"/>
        <v>1</v>
      </c>
      <c r="T1294" s="61">
        <f t="shared" si="93"/>
        <v>1</v>
      </c>
      <c r="U1294" s="61">
        <f t="shared" si="94"/>
        <v>1</v>
      </c>
      <c r="V1294" s="61" t="s">
        <v>150</v>
      </c>
      <c r="W1294" s="634" t="s">
        <v>1078</v>
      </c>
      <c r="X1294" s="61" t="s">
        <v>50</v>
      </c>
      <c r="Y1294" s="474">
        <v>15.6654</v>
      </c>
      <c r="Z1294" s="474">
        <v>120.74039999999999</v>
      </c>
      <c r="AA1294" s="61" t="s">
        <v>680</v>
      </c>
      <c r="AB1294" s="61"/>
    </row>
    <row r="1295" spans="1:28" s="2" customFormat="1" ht="15">
      <c r="A1295" s="61" t="s">
        <v>2286</v>
      </c>
      <c r="B1295" s="61" t="s">
        <v>1255</v>
      </c>
      <c r="C1295" s="61" t="s">
        <v>4887</v>
      </c>
      <c r="D1295" s="61" t="s">
        <v>7838</v>
      </c>
      <c r="E1295" s="61">
        <v>4476</v>
      </c>
      <c r="F1295" s="61">
        <v>3873</v>
      </c>
      <c r="G1295" s="61">
        <v>2025</v>
      </c>
      <c r="H1295" s="61" t="s">
        <v>3532</v>
      </c>
      <c r="I1295" s="61" t="s">
        <v>29</v>
      </c>
      <c r="J1295" s="61" t="s">
        <v>2289</v>
      </c>
      <c r="K1295" s="61" t="s">
        <v>212</v>
      </c>
      <c r="L1295" s="61" t="s">
        <v>8518</v>
      </c>
      <c r="M1295" s="475">
        <v>45777</v>
      </c>
      <c r="N1295" s="475">
        <v>45782</v>
      </c>
      <c r="O1295" s="475">
        <v>45791</v>
      </c>
      <c r="P1295" s="475">
        <v>45791</v>
      </c>
      <c r="Q1295" s="475">
        <v>45792</v>
      </c>
      <c r="R1295" s="61">
        <f t="shared" si="91"/>
        <v>3</v>
      </c>
      <c r="S1295" s="61">
        <f t="shared" si="92"/>
        <v>7</v>
      </c>
      <c r="T1295" s="61">
        <f t="shared" si="93"/>
        <v>1</v>
      </c>
      <c r="U1295" s="61">
        <f t="shared" si="94"/>
        <v>1</v>
      </c>
      <c r="V1295" s="61" t="s">
        <v>150</v>
      </c>
      <c r="W1295" s="634" t="s">
        <v>1078</v>
      </c>
      <c r="X1295" s="634" t="s">
        <v>57</v>
      </c>
      <c r="Y1295" s="478">
        <v>15.661</v>
      </c>
      <c r="Z1295" s="478">
        <v>120.7646</v>
      </c>
      <c r="AA1295" s="61" t="s">
        <v>680</v>
      </c>
      <c r="AB1295" s="61"/>
    </row>
    <row r="1296" spans="1:28" s="2" customFormat="1" ht="15">
      <c r="A1296" s="61" t="s">
        <v>2286</v>
      </c>
      <c r="B1296" s="61" t="s">
        <v>1255</v>
      </c>
      <c r="C1296" s="61" t="s">
        <v>4836</v>
      </c>
      <c r="D1296" s="61" t="s">
        <v>7838</v>
      </c>
      <c r="E1296" s="61">
        <v>292</v>
      </c>
      <c r="F1296" s="61">
        <v>352</v>
      </c>
      <c r="G1296" s="61"/>
      <c r="H1296" s="61"/>
      <c r="I1296" s="61" t="s">
        <v>29</v>
      </c>
      <c r="J1296" s="61"/>
      <c r="K1296" s="61" t="s">
        <v>212</v>
      </c>
      <c r="L1296" s="61"/>
      <c r="M1296" s="61"/>
      <c r="N1296" s="61"/>
      <c r="O1296" s="61"/>
      <c r="P1296" s="61"/>
      <c r="Q1296" s="61"/>
      <c r="R1296" s="61" t="str">
        <f t="shared" si="91"/>
        <v/>
      </c>
      <c r="S1296" s="61" t="str">
        <f t="shared" si="92"/>
        <v/>
      </c>
      <c r="T1296" s="61" t="str">
        <f t="shared" si="93"/>
        <v/>
      </c>
      <c r="U1296" s="61" t="str">
        <f t="shared" si="94"/>
        <v/>
      </c>
      <c r="V1296" s="61"/>
      <c r="W1296" s="634"/>
      <c r="X1296" s="634"/>
      <c r="Y1296" s="471"/>
      <c r="Z1296" s="471"/>
      <c r="AA1296" s="61"/>
      <c r="AB1296" s="61"/>
    </row>
    <row r="1297" spans="1:29" s="2" customFormat="1" ht="15">
      <c r="A1297" s="61" t="s">
        <v>2286</v>
      </c>
      <c r="B1297" s="61" t="s">
        <v>1255</v>
      </c>
      <c r="C1297" s="61" t="s">
        <v>4837</v>
      </c>
      <c r="D1297" s="61" t="s">
        <v>7838</v>
      </c>
      <c r="E1297" s="61">
        <v>643</v>
      </c>
      <c r="F1297" s="61">
        <v>663</v>
      </c>
      <c r="G1297" s="61"/>
      <c r="H1297" s="61"/>
      <c r="I1297" s="61" t="s">
        <v>29</v>
      </c>
      <c r="J1297" s="61"/>
      <c r="K1297" s="61" t="s">
        <v>212</v>
      </c>
      <c r="L1297" s="61"/>
      <c r="M1297" s="61"/>
      <c r="N1297" s="61"/>
      <c r="O1297" s="61"/>
      <c r="P1297" s="61"/>
      <c r="Q1297" s="61"/>
      <c r="R1297" s="61" t="str">
        <f t="shared" si="91"/>
        <v/>
      </c>
      <c r="S1297" s="61" t="str">
        <f t="shared" si="92"/>
        <v/>
      </c>
      <c r="T1297" s="61" t="str">
        <f t="shared" si="93"/>
        <v/>
      </c>
      <c r="U1297" s="61" t="str">
        <f t="shared" si="94"/>
        <v/>
      </c>
      <c r="V1297" s="61"/>
      <c r="W1297" s="634"/>
      <c r="X1297" s="634"/>
      <c r="Y1297" s="471"/>
      <c r="Z1297" s="471"/>
      <c r="AA1297" s="61"/>
      <c r="AB1297" s="61"/>
    </row>
    <row r="1298" spans="1:29" s="2" customFormat="1" ht="15">
      <c r="A1298" s="61" t="s">
        <v>2286</v>
      </c>
      <c r="B1298" s="61" t="s">
        <v>1255</v>
      </c>
      <c r="C1298" s="61" t="s">
        <v>4838</v>
      </c>
      <c r="D1298" s="61" t="s">
        <v>7838</v>
      </c>
      <c r="E1298" s="61">
        <v>2757</v>
      </c>
      <c r="F1298" s="61">
        <v>2773</v>
      </c>
      <c r="G1298" s="61"/>
      <c r="H1298" s="61"/>
      <c r="I1298" s="61" t="s">
        <v>29</v>
      </c>
      <c r="J1298" s="61"/>
      <c r="K1298" s="61" t="s">
        <v>212</v>
      </c>
      <c r="L1298" s="61"/>
      <c r="M1298" s="61"/>
      <c r="N1298" s="61"/>
      <c r="O1298" s="61"/>
      <c r="P1298" s="61"/>
      <c r="Q1298" s="61"/>
      <c r="R1298" s="61" t="str">
        <f t="shared" si="91"/>
        <v/>
      </c>
      <c r="S1298" s="61" t="str">
        <f t="shared" si="92"/>
        <v/>
      </c>
      <c r="T1298" s="61" t="str">
        <f t="shared" si="93"/>
        <v/>
      </c>
      <c r="U1298" s="61" t="str">
        <f t="shared" si="94"/>
        <v/>
      </c>
      <c r="V1298" s="61"/>
      <c r="W1298" s="634"/>
      <c r="X1298" s="634"/>
      <c r="Y1298" s="471"/>
      <c r="Z1298" s="471"/>
      <c r="AA1298" s="61"/>
      <c r="AB1298" s="61"/>
    </row>
    <row r="1299" spans="1:29" s="474" customFormat="1" ht="15">
      <c r="A1299" s="61" t="s">
        <v>2286</v>
      </c>
      <c r="B1299" s="61" t="s">
        <v>1255</v>
      </c>
      <c r="C1299" s="61" t="s">
        <v>4840</v>
      </c>
      <c r="D1299" s="61" t="s">
        <v>7838</v>
      </c>
      <c r="E1299" s="61">
        <v>606</v>
      </c>
      <c r="F1299" s="61">
        <v>575</v>
      </c>
      <c r="G1299" s="61"/>
      <c r="H1299" s="61"/>
      <c r="I1299" s="61" t="s">
        <v>29</v>
      </c>
      <c r="J1299" s="61"/>
      <c r="K1299" s="61" t="s">
        <v>212</v>
      </c>
      <c r="L1299" s="61"/>
      <c r="M1299" s="61"/>
      <c r="N1299" s="61"/>
      <c r="O1299" s="61"/>
      <c r="P1299" s="61"/>
      <c r="Q1299" s="61"/>
      <c r="R1299" s="61" t="str">
        <f t="shared" si="91"/>
        <v/>
      </c>
      <c r="S1299" s="61" t="str">
        <f t="shared" si="92"/>
        <v/>
      </c>
      <c r="T1299" s="61" t="str">
        <f t="shared" si="93"/>
        <v/>
      </c>
      <c r="U1299" s="61" t="str">
        <f t="shared" si="94"/>
        <v/>
      </c>
      <c r="V1299" s="61"/>
      <c r="W1299" s="634"/>
      <c r="X1299" s="634"/>
      <c r="Y1299" s="471"/>
      <c r="Z1299" s="471"/>
      <c r="AA1299" s="61"/>
      <c r="AB1299" s="61"/>
      <c r="AC1299" s="2"/>
    </row>
    <row r="1300" spans="1:29" s="2" customFormat="1" ht="15">
      <c r="A1300" s="61" t="s">
        <v>2286</v>
      </c>
      <c r="B1300" s="61" t="s">
        <v>1255</v>
      </c>
      <c r="C1300" s="61" t="s">
        <v>4842</v>
      </c>
      <c r="D1300" s="61" t="s">
        <v>7838</v>
      </c>
      <c r="E1300" s="61">
        <v>1779</v>
      </c>
      <c r="F1300" s="61">
        <v>1945</v>
      </c>
      <c r="G1300" s="61"/>
      <c r="H1300" s="61"/>
      <c r="I1300" s="61" t="s">
        <v>29</v>
      </c>
      <c r="J1300" s="61"/>
      <c r="K1300" s="61" t="s">
        <v>212</v>
      </c>
      <c r="L1300" s="61"/>
      <c r="M1300" s="61"/>
      <c r="N1300" s="61"/>
      <c r="O1300" s="61"/>
      <c r="P1300" s="61"/>
      <c r="Q1300" s="61"/>
      <c r="R1300" s="61" t="str">
        <f t="shared" si="91"/>
        <v/>
      </c>
      <c r="S1300" s="61" t="str">
        <f t="shared" si="92"/>
        <v/>
      </c>
      <c r="T1300" s="61" t="str">
        <f t="shared" si="93"/>
        <v/>
      </c>
      <c r="U1300" s="61" t="str">
        <f t="shared" si="94"/>
        <v/>
      </c>
      <c r="V1300" s="61"/>
      <c r="W1300" s="634"/>
      <c r="X1300" s="634"/>
      <c r="Y1300" s="471"/>
      <c r="Z1300" s="471"/>
      <c r="AA1300" s="61"/>
      <c r="AB1300" s="61"/>
    </row>
    <row r="1301" spans="1:29" s="2" customFormat="1" ht="15">
      <c r="A1301" s="61" t="s">
        <v>2286</v>
      </c>
      <c r="B1301" s="61" t="s">
        <v>1255</v>
      </c>
      <c r="C1301" s="61" t="s">
        <v>4843</v>
      </c>
      <c r="D1301" s="61" t="s">
        <v>7838</v>
      </c>
      <c r="E1301" s="61">
        <v>677</v>
      </c>
      <c r="F1301" s="61">
        <v>709</v>
      </c>
      <c r="G1301" s="61"/>
      <c r="H1301" s="61"/>
      <c r="I1301" s="61" t="s">
        <v>29</v>
      </c>
      <c r="J1301" s="61"/>
      <c r="K1301" s="61" t="s">
        <v>212</v>
      </c>
      <c r="L1301" s="61"/>
      <c r="M1301" s="61"/>
      <c r="N1301" s="61"/>
      <c r="O1301" s="61"/>
      <c r="P1301" s="61"/>
      <c r="Q1301" s="61"/>
      <c r="R1301" s="61" t="str">
        <f t="shared" si="91"/>
        <v/>
      </c>
      <c r="S1301" s="61" t="str">
        <f t="shared" si="92"/>
        <v/>
      </c>
      <c r="T1301" s="61" t="str">
        <f t="shared" si="93"/>
        <v/>
      </c>
      <c r="U1301" s="61" t="str">
        <f t="shared" si="94"/>
        <v/>
      </c>
      <c r="V1301" s="61"/>
      <c r="W1301" s="61"/>
      <c r="X1301" s="61"/>
      <c r="Y1301" s="471"/>
      <c r="Z1301" s="471"/>
      <c r="AA1301" s="61"/>
      <c r="AB1301" s="61"/>
    </row>
    <row r="1302" spans="1:29" s="2" customFormat="1" ht="15">
      <c r="A1302" s="61" t="s">
        <v>2286</v>
      </c>
      <c r="B1302" s="61" t="s">
        <v>1255</v>
      </c>
      <c r="C1302" s="61" t="s">
        <v>4535</v>
      </c>
      <c r="D1302" s="61" t="s">
        <v>7838</v>
      </c>
      <c r="E1302" s="61">
        <v>3361</v>
      </c>
      <c r="F1302" s="61">
        <v>4396</v>
      </c>
      <c r="G1302" s="61"/>
      <c r="H1302" s="61"/>
      <c r="I1302" s="61" t="s">
        <v>29</v>
      </c>
      <c r="J1302" s="61"/>
      <c r="K1302" s="61" t="s">
        <v>212</v>
      </c>
      <c r="L1302" s="61"/>
      <c r="M1302" s="61"/>
      <c r="N1302" s="61"/>
      <c r="O1302" s="61"/>
      <c r="P1302" s="61"/>
      <c r="Q1302" s="61"/>
      <c r="R1302" s="61" t="str">
        <f t="shared" si="91"/>
        <v/>
      </c>
      <c r="S1302" s="61" t="str">
        <f t="shared" si="92"/>
        <v/>
      </c>
      <c r="T1302" s="61" t="str">
        <f t="shared" si="93"/>
        <v/>
      </c>
      <c r="U1302" s="61" t="str">
        <f t="shared" si="94"/>
        <v/>
      </c>
      <c r="V1302" s="61"/>
      <c r="W1302" s="61"/>
      <c r="X1302" s="61"/>
      <c r="Y1302" s="471"/>
      <c r="Z1302" s="471"/>
      <c r="AA1302" s="61"/>
      <c r="AB1302" s="61"/>
    </row>
    <row r="1303" spans="1:29" s="2" customFormat="1" ht="15">
      <c r="A1303" s="61" t="s">
        <v>2286</v>
      </c>
      <c r="B1303" s="61" t="s">
        <v>1255</v>
      </c>
      <c r="C1303" s="61" t="s">
        <v>4846</v>
      </c>
      <c r="D1303" s="61" t="s">
        <v>7838</v>
      </c>
      <c r="E1303" s="61">
        <v>496</v>
      </c>
      <c r="F1303" s="61">
        <v>557</v>
      </c>
      <c r="G1303" s="61"/>
      <c r="H1303" s="61"/>
      <c r="I1303" s="61" t="s">
        <v>29</v>
      </c>
      <c r="J1303" s="61"/>
      <c r="K1303" s="61" t="s">
        <v>212</v>
      </c>
      <c r="L1303" s="61"/>
      <c r="M1303" s="61"/>
      <c r="N1303" s="61"/>
      <c r="O1303" s="61"/>
      <c r="P1303" s="61"/>
      <c r="Q1303" s="61"/>
      <c r="R1303" s="61" t="str">
        <f t="shared" si="91"/>
        <v/>
      </c>
      <c r="S1303" s="61" t="str">
        <f t="shared" si="92"/>
        <v/>
      </c>
      <c r="T1303" s="61" t="str">
        <f t="shared" si="93"/>
        <v/>
      </c>
      <c r="U1303" s="61" t="str">
        <f t="shared" si="94"/>
        <v/>
      </c>
      <c r="V1303" s="61"/>
      <c r="W1303" s="61"/>
      <c r="X1303" s="61"/>
      <c r="Y1303" s="471"/>
      <c r="Z1303" s="471"/>
      <c r="AA1303" s="61"/>
      <c r="AB1303" s="61"/>
    </row>
    <row r="1304" spans="1:29" s="2" customFormat="1" ht="15">
      <c r="A1304" s="61" t="s">
        <v>2286</v>
      </c>
      <c r="B1304" s="61" t="s">
        <v>1255</v>
      </c>
      <c r="C1304" s="61" t="s">
        <v>4728</v>
      </c>
      <c r="D1304" s="61" t="s">
        <v>7838</v>
      </c>
      <c r="E1304" s="61">
        <v>1905</v>
      </c>
      <c r="F1304" s="61">
        <v>2234</v>
      </c>
      <c r="G1304" s="61"/>
      <c r="H1304" s="61"/>
      <c r="I1304" s="61" t="s">
        <v>29</v>
      </c>
      <c r="J1304" s="61"/>
      <c r="K1304" s="61" t="s">
        <v>212</v>
      </c>
      <c r="L1304" s="61"/>
      <c r="M1304" s="61"/>
      <c r="N1304" s="61"/>
      <c r="O1304" s="61"/>
      <c r="P1304" s="61"/>
      <c r="Q1304" s="61"/>
      <c r="R1304" s="61" t="str">
        <f t="shared" ref="R1304:R1367" si="95">IF(
    OR(ISBLANK(M1304), ISBLANK(N1304)),
    "",
    MAX(1, IF(
        NETWORKDAYS(M1304, N1304) &lt;= 0,
        1,
        NETWORKDAYS(M1304, N1304) - IF(M1304 = N1304, 0, 1)
    ))
)</f>
        <v/>
      </c>
      <c r="S1304" s="61" t="str">
        <f t="shared" ref="S1304:S1367" si="96">IF(
    OR(ISBLANK(N1304), ISBLANK(O1304)),
    "",
    MAX(1, IF(
        NETWORKDAYS(N1304, O1304) &lt;= 0,
        1,
        NETWORKDAYS(N1304, O1304) - IF(N1304 = O1304, 0, 1)
    ))
)</f>
        <v/>
      </c>
      <c r="T1304" s="61" t="str">
        <f t="shared" ref="T1304:T1361" si="97">IF(
  OR(A1304 = "Nueva_Ecija", A1304 = "Zambales"),
  IF(
    OR(ISBLANK(O1304), ISBLANK(P1304)),
    "",
    MAX(1, IF(
      NETWORKDAYS(O1304, P1304) &lt;= 0,
      1,
      NETWORKDAYS(O1304, P1304) - IF(O1304 = P1304, 0, 1)
    ))
  ),
  IF(
    OR(ISBLANK(N1304), ISBLANK(P1304)),
    "",
    MAX(1, IF(
      NETWORKDAYS(N1304, P1304) &lt;= 0,
      1,
      NETWORKDAYS(N1304, P1304) - IF(N1304 = P1304, 0, 1)
    ))
  )
)</f>
        <v/>
      </c>
      <c r="U1304" s="61" t="str">
        <f t="shared" ref="U1304:U1367" si="98">IF(
    OR(ISBLANK(P1304), ISBLANK(Q1304)),
    "",
    MAX(1, IF(
        NETWORKDAYS(P1304, Q1304) &lt;= 0,
        1,
        NETWORKDAYS(P1304, Q1304) - IF(P1304 = Q1304, 0, 1)
    ))
)</f>
        <v/>
      </c>
      <c r="V1304" s="61"/>
      <c r="W1304" s="61"/>
      <c r="X1304" s="61"/>
      <c r="Y1304" s="471"/>
      <c r="Z1304" s="471"/>
      <c r="AA1304" s="61"/>
      <c r="AB1304" s="61"/>
    </row>
    <row r="1305" spans="1:29" s="2" customFormat="1" ht="15">
      <c r="A1305" s="61" t="s">
        <v>2286</v>
      </c>
      <c r="B1305" s="61" t="s">
        <v>1255</v>
      </c>
      <c r="C1305" s="61" t="s">
        <v>4851</v>
      </c>
      <c r="D1305" s="61" t="s">
        <v>7838</v>
      </c>
      <c r="E1305" s="61">
        <v>1186</v>
      </c>
      <c r="F1305" s="61">
        <v>871</v>
      </c>
      <c r="G1305" s="61"/>
      <c r="H1305" s="61"/>
      <c r="I1305" s="61" t="s">
        <v>29</v>
      </c>
      <c r="J1305" s="61"/>
      <c r="K1305" s="61" t="s">
        <v>212</v>
      </c>
      <c r="L1305" s="61"/>
      <c r="M1305" s="61"/>
      <c r="N1305" s="61"/>
      <c r="O1305" s="61"/>
      <c r="P1305" s="61"/>
      <c r="Q1305" s="61"/>
      <c r="R1305" s="61" t="str">
        <f t="shared" si="95"/>
        <v/>
      </c>
      <c r="S1305" s="61" t="str">
        <f t="shared" si="96"/>
        <v/>
      </c>
      <c r="T1305" s="61" t="str">
        <f t="shared" si="97"/>
        <v/>
      </c>
      <c r="U1305" s="61" t="str">
        <f t="shared" si="98"/>
        <v/>
      </c>
      <c r="V1305" s="61"/>
      <c r="W1305" s="61"/>
      <c r="X1305" s="61"/>
      <c r="Y1305" s="471"/>
      <c r="Z1305" s="471"/>
      <c r="AA1305" s="61"/>
      <c r="AB1305" s="61"/>
    </row>
    <row r="1306" spans="1:29" s="2" customFormat="1" ht="15">
      <c r="A1306" s="61" t="s">
        <v>2286</v>
      </c>
      <c r="B1306" s="61" t="s">
        <v>1255</v>
      </c>
      <c r="C1306" s="61" t="s">
        <v>4852</v>
      </c>
      <c r="D1306" s="61" t="s">
        <v>7838</v>
      </c>
      <c r="E1306" s="61">
        <v>831</v>
      </c>
      <c r="F1306" s="61">
        <v>849</v>
      </c>
      <c r="G1306" s="61"/>
      <c r="H1306" s="61"/>
      <c r="I1306" s="61" t="s">
        <v>29</v>
      </c>
      <c r="J1306" s="61"/>
      <c r="K1306" s="61" t="s">
        <v>212</v>
      </c>
      <c r="L1306" s="61"/>
      <c r="M1306" s="61"/>
      <c r="N1306" s="61"/>
      <c r="O1306" s="61"/>
      <c r="P1306" s="61"/>
      <c r="Q1306" s="61"/>
      <c r="R1306" s="61" t="str">
        <f t="shared" si="95"/>
        <v/>
      </c>
      <c r="S1306" s="61" t="str">
        <f t="shared" si="96"/>
        <v/>
      </c>
      <c r="T1306" s="61" t="str">
        <f t="shared" si="97"/>
        <v/>
      </c>
      <c r="U1306" s="61" t="str">
        <f t="shared" si="98"/>
        <v/>
      </c>
      <c r="V1306" s="61"/>
      <c r="W1306" s="61"/>
      <c r="X1306" s="61"/>
      <c r="Y1306" s="471"/>
      <c r="Z1306" s="471"/>
      <c r="AA1306" s="61"/>
      <c r="AB1306" s="61"/>
    </row>
    <row r="1307" spans="1:29" s="2" customFormat="1" ht="15">
      <c r="A1307" s="61" t="s">
        <v>2286</v>
      </c>
      <c r="B1307" s="61" t="s">
        <v>1255</v>
      </c>
      <c r="C1307" s="61" t="s">
        <v>1469</v>
      </c>
      <c r="D1307" s="61" t="s">
        <v>7838</v>
      </c>
      <c r="E1307" s="61">
        <v>1912</v>
      </c>
      <c r="F1307" s="61">
        <v>1983</v>
      </c>
      <c r="G1307" s="61"/>
      <c r="H1307" s="61"/>
      <c r="I1307" s="61" t="s">
        <v>29</v>
      </c>
      <c r="J1307" s="61"/>
      <c r="K1307" s="61" t="s">
        <v>212</v>
      </c>
      <c r="L1307" s="61"/>
      <c r="M1307" s="61"/>
      <c r="N1307" s="61"/>
      <c r="O1307" s="61"/>
      <c r="P1307" s="61"/>
      <c r="Q1307" s="61"/>
      <c r="R1307" s="61" t="str">
        <f t="shared" si="95"/>
        <v/>
      </c>
      <c r="S1307" s="61" t="str">
        <f t="shared" si="96"/>
        <v/>
      </c>
      <c r="T1307" s="61" t="str">
        <f t="shared" si="97"/>
        <v/>
      </c>
      <c r="U1307" s="61" t="str">
        <f t="shared" si="98"/>
        <v/>
      </c>
      <c r="V1307" s="61"/>
      <c r="W1307" s="61"/>
      <c r="X1307" s="61"/>
      <c r="Y1307" s="471"/>
      <c r="Z1307" s="471"/>
      <c r="AA1307" s="61"/>
      <c r="AB1307" s="61"/>
    </row>
    <row r="1308" spans="1:29" s="2" customFormat="1" ht="15">
      <c r="A1308" s="61" t="s">
        <v>2286</v>
      </c>
      <c r="B1308" s="61" t="s">
        <v>1255</v>
      </c>
      <c r="C1308" s="61" t="s">
        <v>4853</v>
      </c>
      <c r="D1308" s="61" t="s">
        <v>7838</v>
      </c>
      <c r="E1308" s="61">
        <v>557</v>
      </c>
      <c r="F1308" s="61">
        <v>573</v>
      </c>
      <c r="G1308" s="61"/>
      <c r="H1308" s="61"/>
      <c r="I1308" s="61" t="s">
        <v>29</v>
      </c>
      <c r="J1308" s="61"/>
      <c r="K1308" s="61" t="s">
        <v>212</v>
      </c>
      <c r="L1308" s="61"/>
      <c r="M1308" s="61"/>
      <c r="N1308" s="61"/>
      <c r="O1308" s="61"/>
      <c r="P1308" s="61"/>
      <c r="Q1308" s="61"/>
      <c r="R1308" s="61" t="str">
        <f t="shared" si="95"/>
        <v/>
      </c>
      <c r="S1308" s="61" t="str">
        <f t="shared" si="96"/>
        <v/>
      </c>
      <c r="T1308" s="61" t="str">
        <f t="shared" si="97"/>
        <v/>
      </c>
      <c r="U1308" s="61" t="str">
        <f t="shared" si="98"/>
        <v/>
      </c>
      <c r="V1308" s="61"/>
      <c r="W1308" s="61"/>
      <c r="X1308" s="61"/>
      <c r="Y1308" s="471"/>
      <c r="Z1308" s="471"/>
      <c r="AA1308" s="61"/>
      <c r="AB1308" s="61"/>
    </row>
    <row r="1309" spans="1:29" s="2" customFormat="1" ht="15">
      <c r="A1309" s="61" t="s">
        <v>2286</v>
      </c>
      <c r="B1309" s="61" t="s">
        <v>1255</v>
      </c>
      <c r="C1309" s="61" t="s">
        <v>4856</v>
      </c>
      <c r="D1309" s="61" t="s">
        <v>7838</v>
      </c>
      <c r="E1309" s="61">
        <v>1316</v>
      </c>
      <c r="F1309" s="61">
        <v>1442</v>
      </c>
      <c r="G1309" s="61"/>
      <c r="H1309" s="61"/>
      <c r="I1309" s="61" t="s">
        <v>29</v>
      </c>
      <c r="J1309" s="61"/>
      <c r="K1309" s="61" t="s">
        <v>212</v>
      </c>
      <c r="L1309" s="61"/>
      <c r="M1309" s="61"/>
      <c r="N1309" s="61"/>
      <c r="O1309" s="61"/>
      <c r="P1309" s="61"/>
      <c r="Q1309" s="61"/>
      <c r="R1309" s="61" t="str">
        <f t="shared" si="95"/>
        <v/>
      </c>
      <c r="S1309" s="61" t="str">
        <f t="shared" si="96"/>
        <v/>
      </c>
      <c r="T1309" s="61" t="str">
        <f t="shared" si="97"/>
        <v/>
      </c>
      <c r="U1309" s="61" t="str">
        <f t="shared" si="98"/>
        <v/>
      </c>
      <c r="V1309" s="61"/>
      <c r="W1309" s="61"/>
      <c r="X1309" s="61"/>
      <c r="Y1309" s="471"/>
      <c r="Z1309" s="471"/>
      <c r="AA1309" s="61"/>
      <c r="AB1309" s="61"/>
    </row>
    <row r="1310" spans="1:29" s="2" customFormat="1" ht="15">
      <c r="A1310" s="61" t="s">
        <v>2286</v>
      </c>
      <c r="B1310" s="61" t="s">
        <v>1255</v>
      </c>
      <c r="C1310" s="61" t="s">
        <v>4857</v>
      </c>
      <c r="D1310" s="61" t="s">
        <v>7838</v>
      </c>
      <c r="E1310" s="61">
        <v>3469</v>
      </c>
      <c r="F1310" s="61">
        <v>4069</v>
      </c>
      <c r="G1310" s="61"/>
      <c r="H1310" s="61"/>
      <c r="I1310" s="61" t="s">
        <v>29</v>
      </c>
      <c r="J1310" s="61"/>
      <c r="K1310" s="61" t="s">
        <v>212</v>
      </c>
      <c r="L1310" s="61"/>
      <c r="M1310" s="61"/>
      <c r="N1310" s="61"/>
      <c r="O1310" s="61"/>
      <c r="P1310" s="61"/>
      <c r="Q1310" s="61"/>
      <c r="R1310" s="61" t="str">
        <f t="shared" si="95"/>
        <v/>
      </c>
      <c r="S1310" s="61" t="str">
        <f t="shared" si="96"/>
        <v/>
      </c>
      <c r="T1310" s="61" t="str">
        <f t="shared" si="97"/>
        <v/>
      </c>
      <c r="U1310" s="61" t="str">
        <f t="shared" si="98"/>
        <v/>
      </c>
      <c r="V1310" s="61"/>
      <c r="W1310" s="61"/>
      <c r="X1310" s="61"/>
      <c r="Y1310" s="471"/>
      <c r="Z1310" s="471"/>
      <c r="AA1310" s="61"/>
      <c r="AB1310" s="61"/>
    </row>
    <row r="1311" spans="1:29" s="2" customFormat="1" ht="15">
      <c r="A1311" s="61" t="s">
        <v>2286</v>
      </c>
      <c r="B1311" s="61" t="s">
        <v>1255</v>
      </c>
      <c r="C1311" s="61" t="s">
        <v>4858</v>
      </c>
      <c r="D1311" s="61" t="s">
        <v>7838</v>
      </c>
      <c r="E1311" s="61">
        <v>4028</v>
      </c>
      <c r="F1311" s="61">
        <v>4593</v>
      </c>
      <c r="G1311" s="61"/>
      <c r="H1311" s="61"/>
      <c r="I1311" s="61" t="s">
        <v>29</v>
      </c>
      <c r="J1311" s="61"/>
      <c r="K1311" s="61" t="s">
        <v>212</v>
      </c>
      <c r="L1311" s="61"/>
      <c r="M1311" s="61"/>
      <c r="N1311" s="61"/>
      <c r="O1311" s="61"/>
      <c r="P1311" s="61"/>
      <c r="Q1311" s="61"/>
      <c r="R1311" s="61" t="str">
        <f t="shared" si="95"/>
        <v/>
      </c>
      <c r="S1311" s="61" t="str">
        <f t="shared" si="96"/>
        <v/>
      </c>
      <c r="T1311" s="61" t="str">
        <f t="shared" si="97"/>
        <v/>
      </c>
      <c r="U1311" s="61" t="str">
        <f t="shared" si="98"/>
        <v/>
      </c>
      <c r="V1311" s="61"/>
      <c r="W1311" s="61"/>
      <c r="X1311" s="61"/>
      <c r="Y1311" s="471"/>
      <c r="Z1311" s="471"/>
      <c r="AA1311" s="61"/>
      <c r="AB1311" s="61"/>
    </row>
    <row r="1312" spans="1:29" s="2" customFormat="1" ht="15">
      <c r="A1312" s="61" t="s">
        <v>2286</v>
      </c>
      <c r="B1312" s="61" t="s">
        <v>1255</v>
      </c>
      <c r="C1312" s="61" t="s">
        <v>4859</v>
      </c>
      <c r="D1312" s="61" t="s">
        <v>7838</v>
      </c>
      <c r="E1312" s="61">
        <v>829</v>
      </c>
      <c r="F1312" s="61">
        <v>846</v>
      </c>
      <c r="G1312" s="61"/>
      <c r="H1312" s="61"/>
      <c r="I1312" s="61" t="s">
        <v>29</v>
      </c>
      <c r="J1312" s="61"/>
      <c r="K1312" s="61" t="s">
        <v>212</v>
      </c>
      <c r="L1312" s="61"/>
      <c r="M1312" s="61"/>
      <c r="N1312" s="61"/>
      <c r="O1312" s="61"/>
      <c r="P1312" s="61"/>
      <c r="Q1312" s="61"/>
      <c r="R1312" s="61" t="str">
        <f t="shared" si="95"/>
        <v/>
      </c>
      <c r="S1312" s="61" t="str">
        <f t="shared" si="96"/>
        <v/>
      </c>
      <c r="T1312" s="61" t="str">
        <f t="shared" si="97"/>
        <v/>
      </c>
      <c r="U1312" s="61" t="str">
        <f t="shared" si="98"/>
        <v/>
      </c>
      <c r="V1312" s="61"/>
      <c r="W1312" s="61"/>
      <c r="X1312" s="61"/>
      <c r="Y1312" s="471"/>
      <c r="Z1312" s="471"/>
      <c r="AA1312" s="61"/>
      <c r="AB1312" s="61"/>
    </row>
    <row r="1313" spans="1:28" s="2" customFormat="1" ht="15">
      <c r="A1313" s="61" t="s">
        <v>2286</v>
      </c>
      <c r="B1313" s="61" t="s">
        <v>1255</v>
      </c>
      <c r="C1313" s="61" t="s">
        <v>2187</v>
      </c>
      <c r="D1313" s="61" t="s">
        <v>7838</v>
      </c>
      <c r="E1313" s="61">
        <v>2268</v>
      </c>
      <c r="F1313" s="61">
        <v>2444</v>
      </c>
      <c r="G1313" s="61"/>
      <c r="H1313" s="61"/>
      <c r="I1313" s="61" t="s">
        <v>29</v>
      </c>
      <c r="J1313" s="61"/>
      <c r="K1313" s="61" t="s">
        <v>212</v>
      </c>
      <c r="L1313" s="61"/>
      <c r="M1313" s="61"/>
      <c r="N1313" s="61"/>
      <c r="O1313" s="61"/>
      <c r="P1313" s="61"/>
      <c r="Q1313" s="61"/>
      <c r="R1313" s="61" t="str">
        <f t="shared" si="95"/>
        <v/>
      </c>
      <c r="S1313" s="61" t="str">
        <f t="shared" si="96"/>
        <v/>
      </c>
      <c r="T1313" s="61" t="str">
        <f t="shared" si="97"/>
        <v/>
      </c>
      <c r="U1313" s="61" t="str">
        <f t="shared" si="98"/>
        <v/>
      </c>
      <c r="V1313" s="61"/>
      <c r="W1313" s="61"/>
      <c r="X1313" s="61"/>
      <c r="Y1313" s="471"/>
      <c r="Z1313" s="471"/>
      <c r="AA1313" s="61"/>
      <c r="AB1313" s="61"/>
    </row>
    <row r="1314" spans="1:28" s="2" customFormat="1" ht="15">
      <c r="A1314" s="61" t="s">
        <v>2286</v>
      </c>
      <c r="B1314" s="61" t="s">
        <v>1255</v>
      </c>
      <c r="C1314" s="61" t="s">
        <v>4861</v>
      </c>
      <c r="D1314" s="61" t="s">
        <v>7838</v>
      </c>
      <c r="E1314" s="61">
        <v>378</v>
      </c>
      <c r="F1314" s="61">
        <v>446</v>
      </c>
      <c r="G1314" s="61"/>
      <c r="H1314" s="61"/>
      <c r="I1314" s="61" t="s">
        <v>29</v>
      </c>
      <c r="J1314" s="61"/>
      <c r="K1314" s="61" t="s">
        <v>212</v>
      </c>
      <c r="L1314" s="61"/>
      <c r="M1314" s="61"/>
      <c r="N1314" s="61"/>
      <c r="O1314" s="61"/>
      <c r="P1314" s="61"/>
      <c r="Q1314" s="61"/>
      <c r="R1314" s="61" t="str">
        <f t="shared" si="95"/>
        <v/>
      </c>
      <c r="S1314" s="61" t="str">
        <f t="shared" si="96"/>
        <v/>
      </c>
      <c r="T1314" s="61" t="str">
        <f t="shared" si="97"/>
        <v/>
      </c>
      <c r="U1314" s="61" t="str">
        <f t="shared" si="98"/>
        <v/>
      </c>
      <c r="V1314" s="61"/>
      <c r="W1314" s="61"/>
      <c r="X1314" s="61"/>
      <c r="Y1314" s="471"/>
      <c r="Z1314" s="471"/>
      <c r="AA1314" s="61"/>
      <c r="AB1314" s="61"/>
    </row>
    <row r="1315" spans="1:28" s="2" customFormat="1" ht="15">
      <c r="A1315" s="61" t="s">
        <v>2286</v>
      </c>
      <c r="B1315" s="61" t="s">
        <v>1255</v>
      </c>
      <c r="C1315" s="61" t="s">
        <v>4862</v>
      </c>
      <c r="D1315" s="61" t="s">
        <v>7838</v>
      </c>
      <c r="E1315" s="61">
        <v>1092</v>
      </c>
      <c r="F1315" s="61">
        <v>1246</v>
      </c>
      <c r="G1315" s="61"/>
      <c r="H1315" s="61"/>
      <c r="I1315" s="61" t="s">
        <v>29</v>
      </c>
      <c r="J1315" s="61"/>
      <c r="K1315" s="61" t="s">
        <v>212</v>
      </c>
      <c r="L1315" s="61"/>
      <c r="M1315" s="61"/>
      <c r="N1315" s="61"/>
      <c r="O1315" s="61"/>
      <c r="P1315" s="61"/>
      <c r="Q1315" s="61"/>
      <c r="R1315" s="61" t="str">
        <f t="shared" si="95"/>
        <v/>
      </c>
      <c r="S1315" s="61" t="str">
        <f t="shared" si="96"/>
        <v/>
      </c>
      <c r="T1315" s="61" t="str">
        <f t="shared" si="97"/>
        <v/>
      </c>
      <c r="U1315" s="61" t="str">
        <f t="shared" si="98"/>
        <v/>
      </c>
      <c r="V1315" s="61"/>
      <c r="W1315" s="61"/>
      <c r="X1315" s="61"/>
      <c r="Y1315" s="471"/>
      <c r="Z1315" s="471"/>
      <c r="AA1315" s="61"/>
      <c r="AB1315" s="61"/>
    </row>
    <row r="1316" spans="1:28" s="2" customFormat="1" ht="15">
      <c r="A1316" s="61" t="s">
        <v>2286</v>
      </c>
      <c r="B1316" s="61" t="s">
        <v>1255</v>
      </c>
      <c r="C1316" s="61" t="s">
        <v>4863</v>
      </c>
      <c r="D1316" s="61" t="s">
        <v>7838</v>
      </c>
      <c r="E1316" s="61">
        <v>1493</v>
      </c>
      <c r="F1316" s="61">
        <v>1806</v>
      </c>
      <c r="G1316" s="61"/>
      <c r="H1316" s="61"/>
      <c r="I1316" s="61" t="s">
        <v>29</v>
      </c>
      <c r="J1316" s="61"/>
      <c r="K1316" s="61" t="s">
        <v>212</v>
      </c>
      <c r="L1316" s="61"/>
      <c r="M1316" s="61"/>
      <c r="N1316" s="61"/>
      <c r="O1316" s="61"/>
      <c r="P1316" s="61"/>
      <c r="Q1316" s="61"/>
      <c r="R1316" s="61" t="str">
        <f t="shared" si="95"/>
        <v/>
      </c>
      <c r="S1316" s="61" t="str">
        <f t="shared" si="96"/>
        <v/>
      </c>
      <c r="T1316" s="61" t="str">
        <f t="shared" si="97"/>
        <v/>
      </c>
      <c r="U1316" s="61" t="str">
        <f t="shared" si="98"/>
        <v/>
      </c>
      <c r="V1316" s="61"/>
      <c r="W1316" s="61"/>
      <c r="X1316" s="61"/>
      <c r="Y1316" s="471"/>
      <c r="Z1316" s="471"/>
      <c r="AA1316" s="61"/>
      <c r="AB1316" s="61"/>
    </row>
    <row r="1317" spans="1:28" s="2" customFormat="1" ht="15">
      <c r="A1317" s="61" t="s">
        <v>2286</v>
      </c>
      <c r="B1317" s="61" t="s">
        <v>1255</v>
      </c>
      <c r="C1317" s="61" t="s">
        <v>4864</v>
      </c>
      <c r="D1317" s="61" t="s">
        <v>7838</v>
      </c>
      <c r="E1317" s="61">
        <v>1470</v>
      </c>
      <c r="F1317" s="61">
        <v>1616</v>
      </c>
      <c r="G1317" s="61"/>
      <c r="H1317" s="61"/>
      <c r="I1317" s="61" t="s">
        <v>29</v>
      </c>
      <c r="J1317" s="61"/>
      <c r="K1317" s="61" t="s">
        <v>212</v>
      </c>
      <c r="L1317" s="61"/>
      <c r="M1317" s="61"/>
      <c r="N1317" s="61"/>
      <c r="O1317" s="61"/>
      <c r="P1317" s="61"/>
      <c r="Q1317" s="61"/>
      <c r="R1317" s="61" t="str">
        <f t="shared" si="95"/>
        <v/>
      </c>
      <c r="S1317" s="61" t="str">
        <f t="shared" si="96"/>
        <v/>
      </c>
      <c r="T1317" s="61" t="str">
        <f t="shared" si="97"/>
        <v/>
      </c>
      <c r="U1317" s="61" t="str">
        <f t="shared" si="98"/>
        <v/>
      </c>
      <c r="V1317" s="61"/>
      <c r="W1317" s="61"/>
      <c r="X1317" s="61"/>
      <c r="Y1317" s="471"/>
      <c r="Z1317" s="471"/>
      <c r="AA1317" s="61"/>
      <c r="AB1317" s="61"/>
    </row>
    <row r="1318" spans="1:28" s="2" customFormat="1" ht="15">
      <c r="A1318" s="61" t="s">
        <v>2286</v>
      </c>
      <c r="B1318" s="61" t="s">
        <v>1255</v>
      </c>
      <c r="C1318" s="61" t="s">
        <v>4865</v>
      </c>
      <c r="D1318" s="61" t="s">
        <v>7838</v>
      </c>
      <c r="E1318" s="61">
        <v>1408</v>
      </c>
      <c r="F1318" s="61">
        <v>1333</v>
      </c>
      <c r="G1318" s="61"/>
      <c r="H1318" s="61"/>
      <c r="I1318" s="61" t="s">
        <v>29</v>
      </c>
      <c r="J1318" s="61"/>
      <c r="K1318" s="61" t="s">
        <v>212</v>
      </c>
      <c r="L1318" s="61"/>
      <c r="M1318" s="61"/>
      <c r="N1318" s="61"/>
      <c r="O1318" s="61"/>
      <c r="P1318" s="61"/>
      <c r="Q1318" s="61"/>
      <c r="R1318" s="61" t="str">
        <f t="shared" si="95"/>
        <v/>
      </c>
      <c r="S1318" s="61" t="str">
        <f t="shared" si="96"/>
        <v/>
      </c>
      <c r="T1318" s="61" t="str">
        <f t="shared" si="97"/>
        <v/>
      </c>
      <c r="U1318" s="61" t="str">
        <f t="shared" si="98"/>
        <v/>
      </c>
      <c r="V1318" s="61"/>
      <c r="W1318" s="61"/>
      <c r="X1318" s="61"/>
      <c r="Y1318" s="471"/>
      <c r="Z1318" s="471"/>
      <c r="AA1318" s="61"/>
      <c r="AB1318" s="61"/>
    </row>
    <row r="1319" spans="1:28" s="2" customFormat="1" ht="15">
      <c r="A1319" s="61" t="s">
        <v>2286</v>
      </c>
      <c r="B1319" s="61" t="s">
        <v>1255</v>
      </c>
      <c r="C1319" s="61" t="s">
        <v>1256</v>
      </c>
      <c r="D1319" s="61" t="s">
        <v>7838</v>
      </c>
      <c r="E1319" s="61">
        <v>4072</v>
      </c>
      <c r="F1319" s="61">
        <v>4296</v>
      </c>
      <c r="G1319" s="61"/>
      <c r="H1319" s="61"/>
      <c r="I1319" s="61" t="s">
        <v>29</v>
      </c>
      <c r="J1319" s="61"/>
      <c r="K1319" s="61" t="s">
        <v>212</v>
      </c>
      <c r="L1319" s="61"/>
      <c r="M1319" s="61"/>
      <c r="N1319" s="61"/>
      <c r="O1319" s="61"/>
      <c r="P1319" s="61"/>
      <c r="Q1319" s="61"/>
      <c r="R1319" s="61" t="str">
        <f t="shared" si="95"/>
        <v/>
      </c>
      <c r="S1319" s="61" t="str">
        <f t="shared" si="96"/>
        <v/>
      </c>
      <c r="T1319" s="61" t="str">
        <f t="shared" si="97"/>
        <v/>
      </c>
      <c r="U1319" s="61" t="str">
        <f t="shared" si="98"/>
        <v/>
      </c>
      <c r="V1319" s="61"/>
      <c r="W1319" s="61"/>
      <c r="X1319" s="61"/>
      <c r="Y1319" s="471"/>
      <c r="Z1319" s="471"/>
      <c r="AA1319" s="61"/>
      <c r="AB1319" s="61"/>
    </row>
    <row r="1320" spans="1:28" s="2" customFormat="1" ht="15">
      <c r="A1320" s="61" t="s">
        <v>2286</v>
      </c>
      <c r="B1320" s="61" t="s">
        <v>1255</v>
      </c>
      <c r="C1320" s="61" t="s">
        <v>4866</v>
      </c>
      <c r="D1320" s="61" t="s">
        <v>7838</v>
      </c>
      <c r="E1320" s="61">
        <v>873</v>
      </c>
      <c r="F1320" s="61">
        <v>830</v>
      </c>
      <c r="G1320" s="61"/>
      <c r="H1320" s="61"/>
      <c r="I1320" s="61" t="s">
        <v>29</v>
      </c>
      <c r="J1320" s="61"/>
      <c r="K1320" s="61" t="s">
        <v>212</v>
      </c>
      <c r="L1320" s="61"/>
      <c r="M1320" s="61"/>
      <c r="N1320" s="61"/>
      <c r="O1320" s="61"/>
      <c r="P1320" s="61"/>
      <c r="Q1320" s="61"/>
      <c r="R1320" s="61" t="str">
        <f t="shared" si="95"/>
        <v/>
      </c>
      <c r="S1320" s="61" t="str">
        <f t="shared" si="96"/>
        <v/>
      </c>
      <c r="T1320" s="61" t="str">
        <f t="shared" si="97"/>
        <v/>
      </c>
      <c r="U1320" s="61" t="str">
        <f t="shared" si="98"/>
        <v/>
      </c>
      <c r="V1320" s="61"/>
      <c r="W1320" s="61"/>
      <c r="X1320" s="61"/>
      <c r="Y1320" s="471"/>
      <c r="Z1320" s="471"/>
      <c r="AA1320" s="61"/>
      <c r="AB1320" s="61"/>
    </row>
    <row r="1321" spans="1:28" s="2" customFormat="1" ht="15">
      <c r="A1321" s="61" t="s">
        <v>2286</v>
      </c>
      <c r="B1321" s="61" t="s">
        <v>1255</v>
      </c>
      <c r="C1321" s="61" t="s">
        <v>4867</v>
      </c>
      <c r="D1321" s="61" t="s">
        <v>7838</v>
      </c>
      <c r="E1321" s="61">
        <v>648</v>
      </c>
      <c r="F1321" s="61">
        <v>678</v>
      </c>
      <c r="G1321" s="61"/>
      <c r="H1321" s="61"/>
      <c r="I1321" s="61" t="s">
        <v>29</v>
      </c>
      <c r="J1321" s="61"/>
      <c r="K1321" s="61" t="s">
        <v>212</v>
      </c>
      <c r="L1321" s="61"/>
      <c r="M1321" s="61"/>
      <c r="N1321" s="61"/>
      <c r="O1321" s="61"/>
      <c r="P1321" s="61"/>
      <c r="Q1321" s="61"/>
      <c r="R1321" s="61" t="str">
        <f t="shared" si="95"/>
        <v/>
      </c>
      <c r="S1321" s="61" t="str">
        <f t="shared" si="96"/>
        <v/>
      </c>
      <c r="T1321" s="61" t="str">
        <f t="shared" si="97"/>
        <v/>
      </c>
      <c r="U1321" s="61" t="str">
        <f t="shared" si="98"/>
        <v/>
      </c>
      <c r="V1321" s="61"/>
      <c r="W1321" s="61"/>
      <c r="X1321" s="61"/>
      <c r="Y1321" s="471"/>
      <c r="Z1321" s="471"/>
      <c r="AA1321" s="61"/>
      <c r="AB1321" s="61"/>
    </row>
    <row r="1322" spans="1:28" s="2" customFormat="1" ht="15">
      <c r="A1322" s="61" t="s">
        <v>2286</v>
      </c>
      <c r="B1322" s="61" t="s">
        <v>1255</v>
      </c>
      <c r="C1322" s="61" t="s">
        <v>4868</v>
      </c>
      <c r="D1322" s="61" t="s">
        <v>7838</v>
      </c>
      <c r="E1322" s="61">
        <v>2309</v>
      </c>
      <c r="F1322" s="61">
        <v>2529</v>
      </c>
      <c r="G1322" s="61"/>
      <c r="H1322" s="61"/>
      <c r="I1322" s="61" t="s">
        <v>29</v>
      </c>
      <c r="J1322" s="61"/>
      <c r="K1322" s="61" t="s">
        <v>212</v>
      </c>
      <c r="L1322" s="61"/>
      <c r="M1322" s="61"/>
      <c r="N1322" s="61"/>
      <c r="O1322" s="61"/>
      <c r="P1322" s="61"/>
      <c r="Q1322" s="61"/>
      <c r="R1322" s="61" t="str">
        <f t="shared" si="95"/>
        <v/>
      </c>
      <c r="S1322" s="61" t="str">
        <f t="shared" si="96"/>
        <v/>
      </c>
      <c r="T1322" s="61" t="str">
        <f t="shared" si="97"/>
        <v/>
      </c>
      <c r="U1322" s="61" t="str">
        <f t="shared" si="98"/>
        <v/>
      </c>
      <c r="V1322" s="61"/>
      <c r="W1322" s="61"/>
      <c r="X1322" s="61"/>
      <c r="Y1322" s="471"/>
      <c r="Z1322" s="471"/>
      <c r="AA1322" s="61"/>
      <c r="AB1322" s="61"/>
    </row>
    <row r="1323" spans="1:28" s="2" customFormat="1" ht="15">
      <c r="A1323" s="61" t="s">
        <v>2286</v>
      </c>
      <c r="B1323" s="61" t="s">
        <v>1255</v>
      </c>
      <c r="C1323" s="61" t="s">
        <v>4869</v>
      </c>
      <c r="D1323" s="61" t="s">
        <v>7838</v>
      </c>
      <c r="E1323" s="61">
        <v>2940</v>
      </c>
      <c r="F1323" s="61">
        <v>3002</v>
      </c>
      <c r="G1323" s="61"/>
      <c r="H1323" s="61"/>
      <c r="I1323" s="61" t="s">
        <v>29</v>
      </c>
      <c r="J1323" s="61"/>
      <c r="K1323" s="61" t="s">
        <v>212</v>
      </c>
      <c r="L1323" s="61"/>
      <c r="M1323" s="61"/>
      <c r="N1323" s="61"/>
      <c r="O1323" s="61"/>
      <c r="P1323" s="61"/>
      <c r="Q1323" s="61"/>
      <c r="R1323" s="61" t="str">
        <f t="shared" si="95"/>
        <v/>
      </c>
      <c r="S1323" s="61" t="str">
        <f t="shared" si="96"/>
        <v/>
      </c>
      <c r="T1323" s="61" t="str">
        <f t="shared" si="97"/>
        <v/>
      </c>
      <c r="U1323" s="61" t="str">
        <f t="shared" si="98"/>
        <v/>
      </c>
      <c r="V1323" s="61"/>
      <c r="W1323" s="61"/>
      <c r="X1323" s="61"/>
      <c r="Y1323" s="471"/>
      <c r="Z1323" s="471"/>
      <c r="AA1323" s="61"/>
      <c r="AB1323" s="61"/>
    </row>
    <row r="1324" spans="1:28" s="2" customFormat="1" ht="15">
      <c r="A1324" s="61" t="s">
        <v>2286</v>
      </c>
      <c r="B1324" s="61" t="s">
        <v>1255</v>
      </c>
      <c r="C1324" s="61" t="s">
        <v>4870</v>
      </c>
      <c r="D1324" s="61" t="s">
        <v>7838</v>
      </c>
      <c r="E1324" s="61">
        <v>2564</v>
      </c>
      <c r="F1324" s="61">
        <v>2934</v>
      </c>
      <c r="G1324" s="61"/>
      <c r="H1324" s="61"/>
      <c r="I1324" s="61" t="s">
        <v>29</v>
      </c>
      <c r="J1324" s="61"/>
      <c r="K1324" s="61" t="s">
        <v>212</v>
      </c>
      <c r="L1324" s="61"/>
      <c r="M1324" s="61"/>
      <c r="N1324" s="61"/>
      <c r="O1324" s="61"/>
      <c r="P1324" s="61"/>
      <c r="Q1324" s="61"/>
      <c r="R1324" s="61" t="str">
        <f t="shared" si="95"/>
        <v/>
      </c>
      <c r="S1324" s="61" t="str">
        <f t="shared" si="96"/>
        <v/>
      </c>
      <c r="T1324" s="61" t="str">
        <f t="shared" si="97"/>
        <v/>
      </c>
      <c r="U1324" s="61" t="str">
        <f t="shared" si="98"/>
        <v/>
      </c>
      <c r="V1324" s="61"/>
      <c r="W1324" s="61"/>
      <c r="X1324" s="61"/>
      <c r="Y1324" s="471"/>
      <c r="Z1324" s="471"/>
      <c r="AA1324" s="61"/>
      <c r="AB1324" s="61"/>
    </row>
    <row r="1325" spans="1:28" s="2" customFormat="1" ht="15">
      <c r="A1325" s="61" t="s">
        <v>2286</v>
      </c>
      <c r="B1325" s="61" t="s">
        <v>1255</v>
      </c>
      <c r="C1325" s="61" t="s">
        <v>4873</v>
      </c>
      <c r="D1325" s="61" t="s">
        <v>7838</v>
      </c>
      <c r="E1325" s="61">
        <v>2973</v>
      </c>
      <c r="F1325" s="61">
        <v>3227</v>
      </c>
      <c r="G1325" s="61"/>
      <c r="H1325" s="61"/>
      <c r="I1325" s="61" t="s">
        <v>29</v>
      </c>
      <c r="J1325" s="61"/>
      <c r="K1325" s="61" t="s">
        <v>212</v>
      </c>
      <c r="L1325" s="61"/>
      <c r="M1325" s="61"/>
      <c r="N1325" s="61"/>
      <c r="O1325" s="61"/>
      <c r="P1325" s="61"/>
      <c r="Q1325" s="61"/>
      <c r="R1325" s="61" t="str">
        <f t="shared" si="95"/>
        <v/>
      </c>
      <c r="S1325" s="61" t="str">
        <f t="shared" si="96"/>
        <v/>
      </c>
      <c r="T1325" s="61" t="str">
        <f t="shared" si="97"/>
        <v/>
      </c>
      <c r="U1325" s="61" t="str">
        <f t="shared" si="98"/>
        <v/>
      </c>
      <c r="V1325" s="61"/>
      <c r="W1325" s="61"/>
      <c r="X1325" s="61"/>
      <c r="Y1325" s="471"/>
      <c r="Z1325" s="471"/>
      <c r="AA1325" s="61"/>
      <c r="AB1325" s="61"/>
    </row>
    <row r="1326" spans="1:28" s="2" customFormat="1" ht="15">
      <c r="A1326" s="61" t="s">
        <v>2286</v>
      </c>
      <c r="B1326" s="61" t="s">
        <v>1255</v>
      </c>
      <c r="C1326" s="61" t="s">
        <v>4874</v>
      </c>
      <c r="D1326" s="61" t="s">
        <v>7838</v>
      </c>
      <c r="E1326" s="61">
        <v>607</v>
      </c>
      <c r="F1326" s="61">
        <v>637</v>
      </c>
      <c r="G1326" s="61"/>
      <c r="H1326" s="61"/>
      <c r="I1326" s="61" t="s">
        <v>29</v>
      </c>
      <c r="J1326" s="61"/>
      <c r="K1326" s="61" t="s">
        <v>212</v>
      </c>
      <c r="L1326" s="61"/>
      <c r="M1326" s="61"/>
      <c r="N1326" s="61"/>
      <c r="O1326" s="61"/>
      <c r="P1326" s="61"/>
      <c r="Q1326" s="61"/>
      <c r="R1326" s="61" t="str">
        <f t="shared" si="95"/>
        <v/>
      </c>
      <c r="S1326" s="61" t="str">
        <f t="shared" si="96"/>
        <v/>
      </c>
      <c r="T1326" s="61" t="str">
        <f t="shared" si="97"/>
        <v/>
      </c>
      <c r="U1326" s="61" t="str">
        <f t="shared" si="98"/>
        <v/>
      </c>
      <c r="V1326" s="61"/>
      <c r="W1326" s="61"/>
      <c r="X1326" s="61"/>
      <c r="Y1326" s="471"/>
      <c r="Z1326" s="471"/>
      <c r="AA1326" s="61"/>
      <c r="AB1326" s="61"/>
    </row>
    <row r="1327" spans="1:28" s="2" customFormat="1" ht="15">
      <c r="A1327" s="61" t="s">
        <v>2286</v>
      </c>
      <c r="B1327" s="61" t="s">
        <v>1255</v>
      </c>
      <c r="C1327" s="61" t="s">
        <v>4875</v>
      </c>
      <c r="D1327" s="61" t="s">
        <v>7838</v>
      </c>
      <c r="E1327" s="61">
        <v>3172</v>
      </c>
      <c r="F1327" s="61">
        <v>3418</v>
      </c>
      <c r="G1327" s="61"/>
      <c r="H1327" s="61"/>
      <c r="I1327" s="61" t="s">
        <v>29</v>
      </c>
      <c r="J1327" s="61"/>
      <c r="K1327" s="61" t="s">
        <v>212</v>
      </c>
      <c r="L1327" s="61"/>
      <c r="M1327" s="61"/>
      <c r="N1327" s="61"/>
      <c r="O1327" s="61"/>
      <c r="P1327" s="61"/>
      <c r="Q1327" s="61"/>
      <c r="R1327" s="61" t="str">
        <f t="shared" si="95"/>
        <v/>
      </c>
      <c r="S1327" s="61" t="str">
        <f t="shared" si="96"/>
        <v/>
      </c>
      <c r="T1327" s="61" t="str">
        <f t="shared" si="97"/>
        <v/>
      </c>
      <c r="U1327" s="61" t="str">
        <f t="shared" si="98"/>
        <v/>
      </c>
      <c r="V1327" s="61"/>
      <c r="W1327" s="61"/>
      <c r="X1327" s="61"/>
      <c r="Y1327" s="471"/>
      <c r="Z1327" s="471"/>
      <c r="AA1327" s="61"/>
      <c r="AB1327" s="61"/>
    </row>
    <row r="1328" spans="1:28" s="2" customFormat="1" ht="15">
      <c r="A1328" s="61" t="s">
        <v>2286</v>
      </c>
      <c r="B1328" s="61" t="s">
        <v>1255</v>
      </c>
      <c r="C1328" s="61" t="s">
        <v>4876</v>
      </c>
      <c r="D1328" s="61" t="s">
        <v>7838</v>
      </c>
      <c r="E1328" s="61">
        <v>954</v>
      </c>
      <c r="F1328" s="61">
        <v>1045</v>
      </c>
      <c r="G1328" s="61"/>
      <c r="H1328" s="61"/>
      <c r="I1328" s="61" t="s">
        <v>29</v>
      </c>
      <c r="J1328" s="61"/>
      <c r="K1328" s="61" t="s">
        <v>212</v>
      </c>
      <c r="L1328" s="61"/>
      <c r="M1328" s="61"/>
      <c r="N1328" s="61"/>
      <c r="O1328" s="61"/>
      <c r="P1328" s="61"/>
      <c r="Q1328" s="61"/>
      <c r="R1328" s="61" t="str">
        <f t="shared" si="95"/>
        <v/>
      </c>
      <c r="S1328" s="61" t="str">
        <f t="shared" si="96"/>
        <v/>
      </c>
      <c r="T1328" s="61" t="str">
        <f t="shared" si="97"/>
        <v/>
      </c>
      <c r="U1328" s="61" t="str">
        <f t="shared" si="98"/>
        <v/>
      </c>
      <c r="V1328" s="61"/>
      <c r="W1328" s="61"/>
      <c r="X1328" s="61"/>
      <c r="Y1328" s="471"/>
      <c r="Z1328" s="471"/>
      <c r="AA1328" s="61"/>
      <c r="AB1328" s="61"/>
    </row>
    <row r="1329" spans="1:28" s="2" customFormat="1" ht="15">
      <c r="A1329" s="61" t="s">
        <v>2286</v>
      </c>
      <c r="B1329" s="61" t="s">
        <v>1255</v>
      </c>
      <c r="C1329" s="61" t="s">
        <v>4834</v>
      </c>
      <c r="D1329" s="61" t="s">
        <v>7838</v>
      </c>
      <c r="E1329" s="61">
        <v>1842</v>
      </c>
      <c r="F1329" s="61">
        <v>1929</v>
      </c>
      <c r="G1329" s="61">
        <v>2025</v>
      </c>
      <c r="H1329" s="61" t="s">
        <v>3127</v>
      </c>
      <c r="I1329" s="61" t="s">
        <v>29</v>
      </c>
      <c r="J1329" s="61" t="s">
        <v>2289</v>
      </c>
      <c r="K1329" s="61" t="s">
        <v>212</v>
      </c>
      <c r="L1329" s="61" t="s">
        <v>8519</v>
      </c>
      <c r="M1329" s="475">
        <v>45918</v>
      </c>
      <c r="N1329" s="475">
        <v>45918</v>
      </c>
      <c r="O1329" s="475">
        <v>45923</v>
      </c>
      <c r="P1329" s="475">
        <v>45924</v>
      </c>
      <c r="Q1329" s="475">
        <v>45925</v>
      </c>
      <c r="R1329" s="61">
        <f t="shared" si="95"/>
        <v>1</v>
      </c>
      <c r="S1329" s="61">
        <f t="shared" si="96"/>
        <v>3</v>
      </c>
      <c r="T1329" s="61">
        <f t="shared" si="97"/>
        <v>1</v>
      </c>
      <c r="U1329" s="61">
        <f t="shared" si="98"/>
        <v>1</v>
      </c>
      <c r="V1329" s="61" t="s">
        <v>150</v>
      </c>
      <c r="W1329" s="61" t="s">
        <v>1078</v>
      </c>
      <c r="X1329" s="61" t="s">
        <v>50</v>
      </c>
      <c r="Y1329" s="638" t="s">
        <v>8520</v>
      </c>
      <c r="Z1329" s="638" t="s">
        <v>8521</v>
      </c>
      <c r="AA1329" s="61" t="s">
        <v>680</v>
      </c>
      <c r="AB1329" s="61"/>
    </row>
    <row r="1330" spans="1:28" s="2" customFormat="1" ht="15">
      <c r="A1330" s="61" t="s">
        <v>2286</v>
      </c>
      <c r="B1330" s="61" t="s">
        <v>1255</v>
      </c>
      <c r="C1330" s="61" t="s">
        <v>4877</v>
      </c>
      <c r="D1330" s="61" t="s">
        <v>7838</v>
      </c>
      <c r="E1330" s="61">
        <v>2575</v>
      </c>
      <c r="F1330" s="61">
        <v>2623</v>
      </c>
      <c r="G1330" s="61"/>
      <c r="H1330" s="61"/>
      <c r="I1330" s="61" t="s">
        <v>29</v>
      </c>
      <c r="J1330" s="61"/>
      <c r="K1330" s="61" t="s">
        <v>212</v>
      </c>
      <c r="L1330" s="61"/>
      <c r="M1330" s="61"/>
      <c r="N1330" s="61"/>
      <c r="O1330" s="61"/>
      <c r="P1330" s="61"/>
      <c r="Q1330" s="61"/>
      <c r="R1330" s="61" t="str">
        <f t="shared" si="95"/>
        <v/>
      </c>
      <c r="S1330" s="61" t="str">
        <f t="shared" si="96"/>
        <v/>
      </c>
      <c r="T1330" s="61" t="str">
        <f t="shared" si="97"/>
        <v/>
      </c>
      <c r="U1330" s="61" t="str">
        <f t="shared" si="98"/>
        <v/>
      </c>
      <c r="V1330" s="61"/>
      <c r="W1330" s="61"/>
      <c r="X1330" s="61"/>
      <c r="Y1330" s="471"/>
      <c r="Z1330" s="471"/>
      <c r="AA1330" s="61"/>
      <c r="AB1330" s="61"/>
    </row>
    <row r="1331" spans="1:28" s="2" customFormat="1" ht="15">
      <c r="A1331" s="61" t="s">
        <v>2286</v>
      </c>
      <c r="B1331" s="61" t="s">
        <v>1255</v>
      </c>
      <c r="C1331" s="61" t="s">
        <v>4878</v>
      </c>
      <c r="D1331" s="61" t="s">
        <v>7838</v>
      </c>
      <c r="E1331" s="61">
        <v>1505</v>
      </c>
      <c r="F1331" s="61">
        <v>1647</v>
      </c>
      <c r="G1331" s="61"/>
      <c r="H1331" s="61"/>
      <c r="I1331" s="61" t="s">
        <v>29</v>
      </c>
      <c r="J1331" s="61"/>
      <c r="K1331" s="61" t="s">
        <v>212</v>
      </c>
      <c r="L1331" s="61"/>
      <c r="M1331" s="61"/>
      <c r="N1331" s="61"/>
      <c r="O1331" s="61"/>
      <c r="P1331" s="61"/>
      <c r="Q1331" s="61"/>
      <c r="R1331" s="61" t="str">
        <f t="shared" si="95"/>
        <v/>
      </c>
      <c r="S1331" s="61" t="str">
        <f t="shared" si="96"/>
        <v/>
      </c>
      <c r="T1331" s="61" t="str">
        <f t="shared" si="97"/>
        <v/>
      </c>
      <c r="U1331" s="61" t="str">
        <f t="shared" si="98"/>
        <v/>
      </c>
      <c r="V1331" s="61"/>
      <c r="W1331" s="61"/>
      <c r="X1331" s="61"/>
      <c r="Y1331" s="471"/>
      <c r="Z1331" s="471"/>
      <c r="AA1331" s="61"/>
      <c r="AB1331" s="61"/>
    </row>
    <row r="1332" spans="1:28" s="2" customFormat="1" ht="15">
      <c r="A1332" s="61" t="s">
        <v>2286</v>
      </c>
      <c r="B1332" s="61" t="s">
        <v>1255</v>
      </c>
      <c r="C1332" s="61" t="s">
        <v>4879</v>
      </c>
      <c r="D1332" s="61" t="s">
        <v>7838</v>
      </c>
      <c r="E1332" s="61">
        <v>696</v>
      </c>
      <c r="F1332" s="61">
        <v>795</v>
      </c>
      <c r="G1332" s="61"/>
      <c r="H1332" s="61"/>
      <c r="I1332" s="61" t="s">
        <v>29</v>
      </c>
      <c r="J1332" s="61"/>
      <c r="K1332" s="61" t="s">
        <v>212</v>
      </c>
      <c r="L1332" s="61"/>
      <c r="M1332" s="61"/>
      <c r="N1332" s="61"/>
      <c r="O1332" s="61"/>
      <c r="P1332" s="61"/>
      <c r="Q1332" s="61"/>
      <c r="R1332" s="61" t="str">
        <f t="shared" si="95"/>
        <v/>
      </c>
      <c r="S1332" s="61" t="str">
        <f t="shared" si="96"/>
        <v/>
      </c>
      <c r="T1332" s="61" t="str">
        <f t="shared" si="97"/>
        <v/>
      </c>
      <c r="U1332" s="61" t="str">
        <f t="shared" si="98"/>
        <v/>
      </c>
      <c r="V1332" s="61"/>
      <c r="W1332" s="61"/>
      <c r="X1332" s="61"/>
      <c r="Y1332" s="471"/>
      <c r="Z1332" s="471"/>
      <c r="AA1332" s="61"/>
      <c r="AB1332" s="61"/>
    </row>
    <row r="1333" spans="1:28" s="2" customFormat="1" ht="15">
      <c r="A1333" s="61" t="s">
        <v>2286</v>
      </c>
      <c r="B1333" s="61" t="s">
        <v>1255</v>
      </c>
      <c r="C1333" s="61" t="s">
        <v>4880</v>
      </c>
      <c r="D1333" s="61" t="s">
        <v>7838</v>
      </c>
      <c r="E1333" s="61">
        <v>2152</v>
      </c>
      <c r="F1333" s="61">
        <v>2252</v>
      </c>
      <c r="G1333" s="61"/>
      <c r="H1333" s="61"/>
      <c r="I1333" s="61" t="s">
        <v>29</v>
      </c>
      <c r="J1333" s="61"/>
      <c r="K1333" s="61" t="s">
        <v>212</v>
      </c>
      <c r="L1333" s="61"/>
      <c r="M1333" s="61"/>
      <c r="N1333" s="61"/>
      <c r="O1333" s="61"/>
      <c r="P1333" s="61"/>
      <c r="Q1333" s="61"/>
      <c r="R1333" s="61" t="str">
        <f t="shared" si="95"/>
        <v/>
      </c>
      <c r="S1333" s="61" t="str">
        <f t="shared" si="96"/>
        <v/>
      </c>
      <c r="T1333" s="61" t="str">
        <f t="shared" si="97"/>
        <v/>
      </c>
      <c r="U1333" s="61" t="str">
        <f t="shared" si="98"/>
        <v/>
      </c>
      <c r="V1333" s="61"/>
      <c r="W1333" s="61"/>
      <c r="X1333" s="61"/>
      <c r="Y1333" s="471"/>
      <c r="Z1333" s="471"/>
      <c r="AA1333" s="61"/>
      <c r="AB1333" s="61"/>
    </row>
    <row r="1334" spans="1:28" s="2" customFormat="1" ht="15">
      <c r="A1334" s="61" t="s">
        <v>2286</v>
      </c>
      <c r="B1334" s="61" t="s">
        <v>1255</v>
      </c>
      <c r="C1334" s="61" t="s">
        <v>4881</v>
      </c>
      <c r="D1334" s="61" t="s">
        <v>7838</v>
      </c>
      <c r="E1334" s="61">
        <v>1660</v>
      </c>
      <c r="F1334" s="61">
        <v>1777</v>
      </c>
      <c r="G1334" s="61"/>
      <c r="H1334" s="61"/>
      <c r="I1334" s="61" t="s">
        <v>29</v>
      </c>
      <c r="J1334" s="61"/>
      <c r="K1334" s="61" t="s">
        <v>212</v>
      </c>
      <c r="L1334" s="61"/>
      <c r="M1334" s="61"/>
      <c r="N1334" s="61"/>
      <c r="O1334" s="61"/>
      <c r="P1334" s="61"/>
      <c r="Q1334" s="61"/>
      <c r="R1334" s="61" t="str">
        <f t="shared" si="95"/>
        <v/>
      </c>
      <c r="S1334" s="61" t="str">
        <f t="shared" si="96"/>
        <v/>
      </c>
      <c r="T1334" s="61" t="str">
        <f t="shared" si="97"/>
        <v/>
      </c>
      <c r="U1334" s="61" t="str">
        <f t="shared" si="98"/>
        <v/>
      </c>
      <c r="V1334" s="61"/>
      <c r="W1334" s="61"/>
      <c r="X1334" s="61"/>
      <c r="Y1334" s="471"/>
      <c r="Z1334" s="471"/>
      <c r="AA1334" s="61"/>
      <c r="AB1334" s="61"/>
    </row>
    <row r="1335" spans="1:28" s="2" customFormat="1" ht="15">
      <c r="A1335" s="61" t="s">
        <v>2286</v>
      </c>
      <c r="B1335" s="61" t="s">
        <v>1255</v>
      </c>
      <c r="C1335" s="61" t="s">
        <v>4126</v>
      </c>
      <c r="D1335" s="61" t="s">
        <v>7838</v>
      </c>
      <c r="E1335" s="61">
        <v>931</v>
      </c>
      <c r="F1335" s="61">
        <v>1010</v>
      </c>
      <c r="G1335" s="61"/>
      <c r="H1335" s="61"/>
      <c r="I1335" s="61" t="s">
        <v>29</v>
      </c>
      <c r="J1335" s="61"/>
      <c r="K1335" s="61" t="s">
        <v>212</v>
      </c>
      <c r="L1335" s="61"/>
      <c r="M1335" s="61"/>
      <c r="N1335" s="61"/>
      <c r="O1335" s="61"/>
      <c r="P1335" s="61"/>
      <c r="Q1335" s="61"/>
      <c r="R1335" s="61" t="str">
        <f t="shared" si="95"/>
        <v/>
      </c>
      <c r="S1335" s="61" t="str">
        <f t="shared" si="96"/>
        <v/>
      </c>
      <c r="T1335" s="61" t="str">
        <f t="shared" si="97"/>
        <v/>
      </c>
      <c r="U1335" s="61" t="str">
        <f t="shared" si="98"/>
        <v/>
      </c>
      <c r="V1335" s="61"/>
      <c r="W1335" s="61"/>
      <c r="X1335" s="61"/>
      <c r="Y1335" s="631"/>
      <c r="Z1335" s="471"/>
      <c r="AA1335" s="61"/>
      <c r="AB1335" s="61"/>
    </row>
    <row r="1336" spans="1:28" s="2" customFormat="1" ht="15">
      <c r="A1336" s="61" t="s">
        <v>2286</v>
      </c>
      <c r="B1336" s="61" t="s">
        <v>1255</v>
      </c>
      <c r="C1336" s="61" t="s">
        <v>4883</v>
      </c>
      <c r="D1336" s="61" t="s">
        <v>7838</v>
      </c>
      <c r="E1336" s="61">
        <v>1354</v>
      </c>
      <c r="F1336" s="61">
        <v>1437</v>
      </c>
      <c r="G1336" s="61"/>
      <c r="H1336" s="61"/>
      <c r="I1336" s="61" t="s">
        <v>29</v>
      </c>
      <c r="J1336" s="61"/>
      <c r="K1336" s="61" t="s">
        <v>212</v>
      </c>
      <c r="L1336" s="61"/>
      <c r="M1336" s="61"/>
      <c r="N1336" s="61"/>
      <c r="O1336" s="61"/>
      <c r="P1336" s="61"/>
      <c r="Q1336" s="61"/>
      <c r="R1336" s="61" t="str">
        <f t="shared" si="95"/>
        <v/>
      </c>
      <c r="S1336" s="61" t="str">
        <f t="shared" si="96"/>
        <v/>
      </c>
      <c r="T1336" s="61" t="str">
        <f t="shared" si="97"/>
        <v/>
      </c>
      <c r="U1336" s="61" t="str">
        <f t="shared" si="98"/>
        <v/>
      </c>
      <c r="V1336" s="61"/>
      <c r="W1336" s="61"/>
      <c r="X1336" s="211"/>
      <c r="Y1336" s="471"/>
      <c r="Z1336" s="632"/>
      <c r="AA1336" s="61"/>
      <c r="AB1336" s="61"/>
    </row>
    <row r="1337" spans="1:28" s="2" customFormat="1" ht="15">
      <c r="A1337" s="61" t="s">
        <v>2286</v>
      </c>
      <c r="B1337" s="61" t="s">
        <v>1255</v>
      </c>
      <c r="C1337" s="61" t="s">
        <v>3974</v>
      </c>
      <c r="D1337" s="61" t="s">
        <v>7838</v>
      </c>
      <c r="E1337" s="61">
        <v>5704</v>
      </c>
      <c r="F1337" s="61">
        <v>6307</v>
      </c>
      <c r="G1337" s="61"/>
      <c r="H1337" s="61"/>
      <c r="I1337" s="61" t="s">
        <v>29</v>
      </c>
      <c r="J1337" s="61"/>
      <c r="K1337" s="61" t="s">
        <v>212</v>
      </c>
      <c r="L1337" s="61"/>
      <c r="M1337" s="61"/>
      <c r="N1337" s="61"/>
      <c r="O1337" s="61"/>
      <c r="P1337" s="61"/>
      <c r="Q1337" s="61"/>
      <c r="R1337" s="61" t="str">
        <f t="shared" si="95"/>
        <v/>
      </c>
      <c r="S1337" s="61" t="str">
        <f t="shared" si="96"/>
        <v/>
      </c>
      <c r="T1337" s="61" t="str">
        <f t="shared" si="97"/>
        <v/>
      </c>
      <c r="U1337" s="61" t="str">
        <f t="shared" si="98"/>
        <v/>
      </c>
      <c r="V1337" s="61"/>
      <c r="W1337" s="61"/>
      <c r="X1337" s="61"/>
      <c r="Y1337" s="630"/>
      <c r="Z1337" s="471"/>
      <c r="AA1337" s="61"/>
      <c r="AB1337" s="61"/>
    </row>
    <row r="1338" spans="1:28" s="2" customFormat="1" ht="15">
      <c r="A1338" s="61" t="s">
        <v>2286</v>
      </c>
      <c r="B1338" s="61" t="s">
        <v>1255</v>
      </c>
      <c r="C1338" s="61" t="s">
        <v>4026</v>
      </c>
      <c r="D1338" s="61" t="s">
        <v>7838</v>
      </c>
      <c r="E1338" s="61">
        <v>1106</v>
      </c>
      <c r="F1338" s="61">
        <v>1164</v>
      </c>
      <c r="G1338" s="61"/>
      <c r="H1338" s="61"/>
      <c r="I1338" s="61" t="s">
        <v>29</v>
      </c>
      <c r="J1338" s="61"/>
      <c r="K1338" s="61" t="s">
        <v>212</v>
      </c>
      <c r="L1338" s="61"/>
      <c r="M1338" s="61"/>
      <c r="N1338" s="61"/>
      <c r="O1338" s="61"/>
      <c r="P1338" s="61"/>
      <c r="Q1338" s="61"/>
      <c r="R1338" s="61" t="str">
        <f t="shared" si="95"/>
        <v/>
      </c>
      <c r="S1338" s="61" t="str">
        <f t="shared" si="96"/>
        <v/>
      </c>
      <c r="T1338" s="61" t="str">
        <f t="shared" si="97"/>
        <v/>
      </c>
      <c r="U1338" s="61" t="str">
        <f t="shared" si="98"/>
        <v/>
      </c>
      <c r="V1338" s="61"/>
      <c r="W1338" s="61"/>
      <c r="X1338" s="61"/>
      <c r="Y1338" s="471"/>
      <c r="Z1338" s="471"/>
      <c r="AA1338" s="61"/>
      <c r="AB1338" s="61"/>
    </row>
    <row r="1339" spans="1:28" s="2" customFormat="1" ht="15">
      <c r="A1339" s="61" t="s">
        <v>2286</v>
      </c>
      <c r="B1339" s="61" t="s">
        <v>1255</v>
      </c>
      <c r="C1339" s="61" t="s">
        <v>1899</v>
      </c>
      <c r="D1339" s="61" t="s">
        <v>7838</v>
      </c>
      <c r="E1339" s="61">
        <v>1412</v>
      </c>
      <c r="F1339" s="61">
        <v>1495</v>
      </c>
      <c r="G1339" s="61"/>
      <c r="H1339" s="61"/>
      <c r="I1339" s="61" t="s">
        <v>29</v>
      </c>
      <c r="J1339" s="61"/>
      <c r="K1339" s="61" t="s">
        <v>212</v>
      </c>
      <c r="L1339" s="61"/>
      <c r="M1339" s="61"/>
      <c r="N1339" s="61"/>
      <c r="O1339" s="61"/>
      <c r="P1339" s="61"/>
      <c r="Q1339" s="61"/>
      <c r="R1339" s="61" t="str">
        <f t="shared" si="95"/>
        <v/>
      </c>
      <c r="S1339" s="61" t="str">
        <f t="shared" si="96"/>
        <v/>
      </c>
      <c r="T1339" s="61" t="str">
        <f t="shared" si="97"/>
        <v/>
      </c>
      <c r="U1339" s="61" t="str">
        <f t="shared" si="98"/>
        <v/>
      </c>
      <c r="V1339" s="61"/>
      <c r="W1339" s="61"/>
      <c r="X1339" s="61"/>
      <c r="Y1339" s="471"/>
      <c r="Z1339" s="471"/>
      <c r="AA1339" s="61"/>
      <c r="AB1339" s="61"/>
    </row>
    <row r="1340" spans="1:28" s="2" customFormat="1" ht="15">
      <c r="A1340" s="61" t="s">
        <v>2286</v>
      </c>
      <c r="B1340" s="61" t="s">
        <v>1255</v>
      </c>
      <c r="C1340" s="61" t="s">
        <v>3565</v>
      </c>
      <c r="D1340" s="61" t="s">
        <v>7838</v>
      </c>
      <c r="E1340" s="61">
        <v>2206</v>
      </c>
      <c r="F1340" s="61">
        <v>2207</v>
      </c>
      <c r="G1340" s="61"/>
      <c r="H1340" s="61"/>
      <c r="I1340" s="61" t="s">
        <v>29</v>
      </c>
      <c r="J1340" s="61"/>
      <c r="K1340" s="61" t="s">
        <v>212</v>
      </c>
      <c r="L1340" s="61"/>
      <c r="M1340" s="61"/>
      <c r="N1340" s="61"/>
      <c r="O1340" s="61"/>
      <c r="P1340" s="61"/>
      <c r="Q1340" s="61"/>
      <c r="R1340" s="61" t="str">
        <f t="shared" si="95"/>
        <v/>
      </c>
      <c r="S1340" s="61" t="str">
        <f t="shared" si="96"/>
        <v/>
      </c>
      <c r="T1340" s="61" t="str">
        <f t="shared" si="97"/>
        <v/>
      </c>
      <c r="U1340" s="61" t="str">
        <f t="shared" si="98"/>
        <v/>
      </c>
      <c r="V1340" s="61"/>
      <c r="W1340" s="61"/>
      <c r="X1340" s="61"/>
      <c r="Y1340" s="471"/>
      <c r="Z1340" s="471"/>
      <c r="AA1340" s="61"/>
      <c r="AB1340" s="61"/>
    </row>
    <row r="1341" spans="1:28" s="2" customFormat="1" ht="15">
      <c r="A1341" s="61" t="s">
        <v>2286</v>
      </c>
      <c r="B1341" s="61" t="s">
        <v>1255</v>
      </c>
      <c r="C1341" s="61" t="s">
        <v>4889</v>
      </c>
      <c r="D1341" s="61" t="s">
        <v>7838</v>
      </c>
      <c r="E1341" s="61">
        <v>3231</v>
      </c>
      <c r="F1341" s="61">
        <v>3799</v>
      </c>
      <c r="G1341" s="61"/>
      <c r="H1341" s="61"/>
      <c r="I1341" s="61" t="s">
        <v>29</v>
      </c>
      <c r="J1341" s="61"/>
      <c r="K1341" s="61" t="s">
        <v>212</v>
      </c>
      <c r="L1341" s="61"/>
      <c r="M1341" s="61"/>
      <c r="N1341" s="61"/>
      <c r="O1341" s="61"/>
      <c r="P1341" s="61"/>
      <c r="Q1341" s="61"/>
      <c r="R1341" s="61" t="str">
        <f t="shared" si="95"/>
        <v/>
      </c>
      <c r="S1341" s="61" t="str">
        <f t="shared" si="96"/>
        <v/>
      </c>
      <c r="T1341" s="61" t="str">
        <f t="shared" si="97"/>
        <v/>
      </c>
      <c r="U1341" s="61" t="str">
        <f t="shared" si="98"/>
        <v/>
      </c>
      <c r="V1341" s="61"/>
      <c r="W1341" s="61"/>
      <c r="X1341" s="61"/>
      <c r="Y1341" s="471"/>
      <c r="Z1341" s="471"/>
      <c r="AA1341" s="61"/>
      <c r="AB1341" s="61"/>
    </row>
    <row r="1342" spans="1:28" s="2" customFormat="1" ht="15">
      <c r="A1342" s="61" t="s">
        <v>2286</v>
      </c>
      <c r="B1342" s="61" t="s">
        <v>1255</v>
      </c>
      <c r="C1342" s="61" t="s">
        <v>4890</v>
      </c>
      <c r="D1342" s="61" t="s">
        <v>7838</v>
      </c>
      <c r="E1342" s="61">
        <v>2280</v>
      </c>
      <c r="F1342" s="61">
        <v>2591</v>
      </c>
      <c r="G1342" s="61"/>
      <c r="H1342" s="61"/>
      <c r="I1342" s="61" t="s">
        <v>29</v>
      </c>
      <c r="J1342" s="61"/>
      <c r="K1342" s="61" t="s">
        <v>212</v>
      </c>
      <c r="L1342" s="61"/>
      <c r="M1342" s="61"/>
      <c r="N1342" s="61"/>
      <c r="O1342" s="61"/>
      <c r="P1342" s="61"/>
      <c r="Q1342" s="61"/>
      <c r="R1342" s="61" t="str">
        <f t="shared" si="95"/>
        <v/>
      </c>
      <c r="S1342" s="61" t="str">
        <f t="shared" si="96"/>
        <v/>
      </c>
      <c r="T1342" s="61" t="str">
        <f t="shared" si="97"/>
        <v/>
      </c>
      <c r="U1342" s="61" t="str">
        <f t="shared" si="98"/>
        <v/>
      </c>
      <c r="V1342" s="61"/>
      <c r="W1342" s="61"/>
      <c r="X1342" s="61"/>
      <c r="Y1342" s="471"/>
      <c r="Z1342" s="471"/>
      <c r="AA1342" s="61"/>
      <c r="AB1342" s="61"/>
    </row>
    <row r="1343" spans="1:28" s="2" customFormat="1" ht="15">
      <c r="A1343" s="61" t="s">
        <v>2286</v>
      </c>
      <c r="B1343" s="61" t="s">
        <v>1255</v>
      </c>
      <c r="C1343" s="61" t="s">
        <v>4891</v>
      </c>
      <c r="D1343" s="61" t="s">
        <v>7838</v>
      </c>
      <c r="E1343" s="61">
        <v>1249</v>
      </c>
      <c r="F1343" s="61">
        <v>1332</v>
      </c>
      <c r="G1343" s="61"/>
      <c r="H1343" s="61"/>
      <c r="I1343" s="61" t="s">
        <v>29</v>
      </c>
      <c r="J1343" s="61"/>
      <c r="K1343" s="61" t="s">
        <v>212</v>
      </c>
      <c r="L1343" s="61"/>
      <c r="M1343" s="61"/>
      <c r="N1343" s="61"/>
      <c r="O1343" s="61"/>
      <c r="P1343" s="61"/>
      <c r="Q1343" s="61"/>
      <c r="R1343" s="61" t="str">
        <f t="shared" si="95"/>
        <v/>
      </c>
      <c r="S1343" s="61" t="str">
        <f t="shared" si="96"/>
        <v/>
      </c>
      <c r="T1343" s="61" t="str">
        <f t="shared" si="97"/>
        <v/>
      </c>
      <c r="U1343" s="61" t="str">
        <f t="shared" si="98"/>
        <v/>
      </c>
      <c r="V1343" s="61"/>
      <c r="W1343" s="61"/>
      <c r="X1343" s="61"/>
      <c r="Y1343" s="471"/>
      <c r="Z1343" s="471"/>
      <c r="AA1343" s="61"/>
      <c r="AB1343" s="61"/>
    </row>
    <row r="1344" spans="1:28" s="2" customFormat="1" ht="15">
      <c r="A1344" s="61" t="s">
        <v>2286</v>
      </c>
      <c r="B1344" s="61" t="s">
        <v>1255</v>
      </c>
      <c r="C1344" s="61" t="s">
        <v>4892</v>
      </c>
      <c r="D1344" s="61" t="s">
        <v>7838</v>
      </c>
      <c r="E1344" s="61">
        <v>1646</v>
      </c>
      <c r="F1344" s="61">
        <v>1939</v>
      </c>
      <c r="G1344" s="61"/>
      <c r="H1344" s="61"/>
      <c r="I1344" s="61" t="s">
        <v>29</v>
      </c>
      <c r="J1344" s="61"/>
      <c r="K1344" s="61" t="s">
        <v>212</v>
      </c>
      <c r="L1344" s="61"/>
      <c r="M1344" s="61"/>
      <c r="N1344" s="61"/>
      <c r="O1344" s="61"/>
      <c r="P1344" s="61"/>
      <c r="Q1344" s="61"/>
      <c r="R1344" s="61" t="str">
        <f t="shared" si="95"/>
        <v/>
      </c>
      <c r="S1344" s="61" t="str">
        <f t="shared" si="96"/>
        <v/>
      </c>
      <c r="T1344" s="61" t="str">
        <f t="shared" si="97"/>
        <v/>
      </c>
      <c r="U1344" s="61" t="str">
        <f t="shared" si="98"/>
        <v/>
      </c>
      <c r="V1344" s="61"/>
      <c r="W1344" s="61"/>
      <c r="X1344" s="61"/>
      <c r="Y1344" s="471"/>
      <c r="Z1344" s="471"/>
      <c r="AA1344" s="61"/>
      <c r="AB1344" s="61"/>
    </row>
    <row r="1345" spans="1:29" s="2" customFormat="1" ht="15">
      <c r="A1345" s="61" t="s">
        <v>2286</v>
      </c>
      <c r="B1345" s="61" t="s">
        <v>1255</v>
      </c>
      <c r="C1345" s="61" t="s">
        <v>4893</v>
      </c>
      <c r="D1345" s="61" t="s">
        <v>7838</v>
      </c>
      <c r="E1345" s="61">
        <v>1047</v>
      </c>
      <c r="F1345" s="61">
        <v>1062</v>
      </c>
      <c r="G1345" s="61"/>
      <c r="H1345" s="61"/>
      <c r="I1345" s="61" t="s">
        <v>29</v>
      </c>
      <c r="J1345" s="61"/>
      <c r="K1345" s="61" t="s">
        <v>212</v>
      </c>
      <c r="L1345" s="61"/>
      <c r="M1345" s="61"/>
      <c r="N1345" s="61"/>
      <c r="O1345" s="61"/>
      <c r="P1345" s="61"/>
      <c r="Q1345" s="61"/>
      <c r="R1345" s="61" t="str">
        <f t="shared" si="95"/>
        <v/>
      </c>
      <c r="S1345" s="61" t="str">
        <f t="shared" si="96"/>
        <v/>
      </c>
      <c r="T1345" s="61" t="str">
        <f t="shared" si="97"/>
        <v/>
      </c>
      <c r="U1345" s="61" t="str">
        <f t="shared" si="98"/>
        <v/>
      </c>
      <c r="V1345" s="61"/>
      <c r="W1345" s="61"/>
      <c r="X1345" s="61"/>
      <c r="Y1345" s="471"/>
      <c r="Z1345" s="471"/>
      <c r="AA1345" s="61"/>
      <c r="AB1345" s="61"/>
    </row>
    <row r="1346" spans="1:29" s="2" customFormat="1" ht="15">
      <c r="A1346" s="61" t="s">
        <v>2286</v>
      </c>
      <c r="B1346" s="61" t="s">
        <v>1255</v>
      </c>
      <c r="C1346" s="61" t="s">
        <v>4894</v>
      </c>
      <c r="D1346" s="61" t="s">
        <v>7838</v>
      </c>
      <c r="E1346" s="61">
        <v>1218</v>
      </c>
      <c r="F1346" s="61">
        <v>1378</v>
      </c>
      <c r="G1346" s="61"/>
      <c r="H1346" s="61"/>
      <c r="I1346" s="61" t="s">
        <v>29</v>
      </c>
      <c r="J1346" s="61"/>
      <c r="K1346" s="61" t="s">
        <v>212</v>
      </c>
      <c r="L1346" s="61"/>
      <c r="M1346" s="61"/>
      <c r="N1346" s="61"/>
      <c r="O1346" s="61"/>
      <c r="P1346" s="61"/>
      <c r="Q1346" s="61"/>
      <c r="R1346" s="61" t="str">
        <f t="shared" si="95"/>
        <v/>
      </c>
      <c r="S1346" s="61" t="str">
        <f t="shared" si="96"/>
        <v/>
      </c>
      <c r="T1346" s="61" t="str">
        <f t="shared" si="97"/>
        <v/>
      </c>
      <c r="U1346" s="61" t="str">
        <f t="shared" si="98"/>
        <v/>
      </c>
      <c r="V1346" s="61"/>
      <c r="W1346" s="61"/>
      <c r="X1346" s="61"/>
      <c r="Y1346" s="471"/>
      <c r="Z1346" s="471"/>
      <c r="AA1346" s="61"/>
      <c r="AB1346" s="61"/>
    </row>
    <row r="1347" spans="1:29" s="2" customFormat="1" ht="15">
      <c r="A1347" s="61" t="s">
        <v>2286</v>
      </c>
      <c r="B1347" s="61" t="s">
        <v>1255</v>
      </c>
      <c r="C1347" s="61" t="s">
        <v>4895</v>
      </c>
      <c r="D1347" s="61" t="s">
        <v>7838</v>
      </c>
      <c r="E1347" s="61">
        <v>2680</v>
      </c>
      <c r="F1347" s="61">
        <v>2713</v>
      </c>
      <c r="G1347" s="61"/>
      <c r="H1347" s="61"/>
      <c r="I1347" s="61" t="s">
        <v>29</v>
      </c>
      <c r="J1347" s="61"/>
      <c r="K1347" s="61" t="s">
        <v>212</v>
      </c>
      <c r="L1347" s="61"/>
      <c r="M1347" s="61"/>
      <c r="N1347" s="61"/>
      <c r="O1347" s="61"/>
      <c r="P1347" s="61"/>
      <c r="Q1347" s="61"/>
      <c r="R1347" s="61" t="str">
        <f t="shared" si="95"/>
        <v/>
      </c>
      <c r="S1347" s="61" t="str">
        <f t="shared" si="96"/>
        <v/>
      </c>
      <c r="T1347" s="61" t="str">
        <f t="shared" si="97"/>
        <v/>
      </c>
      <c r="U1347" s="61" t="str">
        <f t="shared" si="98"/>
        <v/>
      </c>
      <c r="V1347" s="61"/>
      <c r="W1347" s="61"/>
      <c r="X1347" s="61"/>
      <c r="Y1347" s="471"/>
      <c r="Z1347" s="471"/>
      <c r="AA1347" s="61"/>
      <c r="AB1347" s="61"/>
    </row>
    <row r="1348" spans="1:29" s="2" customFormat="1" ht="15">
      <c r="A1348" s="61" t="s">
        <v>2286</v>
      </c>
      <c r="B1348" s="61" t="s">
        <v>1255</v>
      </c>
      <c r="C1348" s="61" t="s">
        <v>4897</v>
      </c>
      <c r="D1348" s="61" t="s">
        <v>7838</v>
      </c>
      <c r="E1348" s="61">
        <v>896</v>
      </c>
      <c r="F1348" s="61">
        <v>987</v>
      </c>
      <c r="G1348" s="61"/>
      <c r="H1348" s="61"/>
      <c r="I1348" s="61" t="s">
        <v>29</v>
      </c>
      <c r="J1348" s="61"/>
      <c r="K1348" s="61" t="s">
        <v>212</v>
      </c>
      <c r="L1348" s="61"/>
      <c r="M1348" s="61"/>
      <c r="N1348" s="61"/>
      <c r="O1348" s="61"/>
      <c r="P1348" s="61"/>
      <c r="Q1348" s="61"/>
      <c r="R1348" s="61" t="str">
        <f t="shared" si="95"/>
        <v/>
      </c>
      <c r="S1348" s="61" t="str">
        <f t="shared" si="96"/>
        <v/>
      </c>
      <c r="T1348" s="61" t="str">
        <f t="shared" si="97"/>
        <v/>
      </c>
      <c r="U1348" s="61" t="str">
        <f t="shared" si="98"/>
        <v/>
      </c>
      <c r="V1348" s="61"/>
      <c r="W1348" s="61"/>
      <c r="X1348" s="61"/>
      <c r="Y1348" s="471"/>
      <c r="Z1348" s="471"/>
      <c r="AA1348" s="61"/>
      <c r="AB1348" s="61"/>
    </row>
    <row r="1349" spans="1:29" s="2" customFormat="1" ht="15">
      <c r="A1349" s="61" t="s">
        <v>2286</v>
      </c>
      <c r="B1349" s="61" t="s">
        <v>1262</v>
      </c>
      <c r="C1349" s="61" t="s">
        <v>4909</v>
      </c>
      <c r="D1349" s="61" t="s">
        <v>7838</v>
      </c>
      <c r="E1349" s="61">
        <v>3198</v>
      </c>
      <c r="F1349" s="61">
        <v>3290</v>
      </c>
      <c r="G1349" s="61">
        <v>2025</v>
      </c>
      <c r="H1349" s="61" t="s">
        <v>3125</v>
      </c>
      <c r="I1349" s="61" t="s">
        <v>30</v>
      </c>
      <c r="J1349" s="61" t="s">
        <v>28</v>
      </c>
      <c r="K1349" s="61" t="s">
        <v>212</v>
      </c>
      <c r="L1349" s="61" t="s">
        <v>8522</v>
      </c>
      <c r="M1349" s="475">
        <v>45846</v>
      </c>
      <c r="N1349" s="475">
        <v>45851</v>
      </c>
      <c r="O1349" s="475">
        <v>45854</v>
      </c>
      <c r="P1349" s="475">
        <v>45855</v>
      </c>
      <c r="Q1349" s="475">
        <v>45855</v>
      </c>
      <c r="R1349" s="61">
        <f t="shared" si="95"/>
        <v>3</v>
      </c>
      <c r="S1349" s="61">
        <f t="shared" si="96"/>
        <v>2</v>
      </c>
      <c r="T1349" s="61">
        <f t="shared" si="97"/>
        <v>1</v>
      </c>
      <c r="U1349" s="61">
        <f t="shared" si="98"/>
        <v>1</v>
      </c>
      <c r="V1349" s="61" t="s">
        <v>150</v>
      </c>
      <c r="W1349" s="61" t="s">
        <v>4</v>
      </c>
      <c r="X1349" s="61" t="s">
        <v>50</v>
      </c>
      <c r="Y1349" s="61">
        <v>15.326435</v>
      </c>
      <c r="Z1349" s="61">
        <v>120.918806</v>
      </c>
      <c r="AA1349" s="61" t="s">
        <v>2590</v>
      </c>
      <c r="AB1349" s="61"/>
    </row>
    <row r="1350" spans="1:29" s="2" customFormat="1" ht="15">
      <c r="A1350" s="61" t="s">
        <v>2286</v>
      </c>
      <c r="B1350" s="61" t="s">
        <v>1262</v>
      </c>
      <c r="C1350" s="61" t="s">
        <v>4900</v>
      </c>
      <c r="D1350" s="61" t="s">
        <v>7838</v>
      </c>
      <c r="E1350" s="61">
        <v>4912</v>
      </c>
      <c r="F1350" s="61">
        <v>4946</v>
      </c>
      <c r="G1350" s="474">
        <v>2025</v>
      </c>
      <c r="H1350" s="61" t="s">
        <v>3125</v>
      </c>
      <c r="I1350" s="61" t="s">
        <v>30</v>
      </c>
      <c r="J1350" s="61" t="s">
        <v>28</v>
      </c>
      <c r="K1350" s="61" t="s">
        <v>212</v>
      </c>
      <c r="L1350" s="61" t="s">
        <v>8523</v>
      </c>
      <c r="M1350" s="475">
        <v>45828</v>
      </c>
      <c r="N1350" s="475">
        <v>45834</v>
      </c>
      <c r="O1350" s="475">
        <v>45835</v>
      </c>
      <c r="P1350" s="475">
        <v>45838</v>
      </c>
      <c r="Q1350" s="475">
        <v>45847</v>
      </c>
      <c r="R1350" s="61">
        <f t="shared" si="95"/>
        <v>4</v>
      </c>
      <c r="S1350" s="61">
        <f t="shared" si="96"/>
        <v>1</v>
      </c>
      <c r="T1350" s="61">
        <f t="shared" si="97"/>
        <v>1</v>
      </c>
      <c r="U1350" s="61">
        <f t="shared" si="98"/>
        <v>7</v>
      </c>
      <c r="V1350" s="61" t="s">
        <v>150</v>
      </c>
      <c r="W1350" s="61" t="s">
        <v>1078</v>
      </c>
      <c r="X1350" s="61" t="s">
        <v>50</v>
      </c>
      <c r="Y1350" s="61">
        <v>15.342409</v>
      </c>
      <c r="Z1350" s="61">
        <v>120.906131</v>
      </c>
      <c r="AA1350" s="61" t="s">
        <v>2590</v>
      </c>
      <c r="AB1350" s="61"/>
    </row>
    <row r="1351" spans="1:29" s="2" customFormat="1" ht="15">
      <c r="A1351" s="61" t="s">
        <v>2286</v>
      </c>
      <c r="B1351" s="61" t="s">
        <v>1262</v>
      </c>
      <c r="C1351" s="61" t="s">
        <v>4901</v>
      </c>
      <c r="D1351" s="61" t="s">
        <v>7838</v>
      </c>
      <c r="E1351" s="61">
        <v>1396</v>
      </c>
      <c r="F1351" s="61">
        <v>1433</v>
      </c>
      <c r="G1351" s="61">
        <v>2025</v>
      </c>
      <c r="H1351" s="61" t="s">
        <v>3125</v>
      </c>
      <c r="I1351" s="61" t="s">
        <v>30</v>
      </c>
      <c r="J1351" s="61" t="s">
        <v>28</v>
      </c>
      <c r="K1351" s="61" t="s">
        <v>212</v>
      </c>
      <c r="L1351" s="61" t="s">
        <v>8524</v>
      </c>
      <c r="M1351" s="475">
        <v>45828</v>
      </c>
      <c r="N1351" s="475">
        <v>45834</v>
      </c>
      <c r="O1351" s="475">
        <v>45835</v>
      </c>
      <c r="P1351" s="475">
        <v>45838</v>
      </c>
      <c r="Q1351" s="475">
        <v>45847</v>
      </c>
      <c r="R1351" s="61">
        <f t="shared" si="95"/>
        <v>4</v>
      </c>
      <c r="S1351" s="61">
        <f t="shared" si="96"/>
        <v>1</v>
      </c>
      <c r="T1351" s="61">
        <f t="shared" si="97"/>
        <v>1</v>
      </c>
      <c r="U1351" s="61">
        <f t="shared" si="98"/>
        <v>7</v>
      </c>
      <c r="V1351" s="61" t="s">
        <v>150</v>
      </c>
      <c r="W1351" s="61" t="s">
        <v>1078</v>
      </c>
      <c r="X1351" s="61" t="s">
        <v>50</v>
      </c>
      <c r="Y1351" s="61">
        <v>15.339689999999999</v>
      </c>
      <c r="Z1351" s="61">
        <v>120.91174100000001</v>
      </c>
      <c r="AA1351" s="61" t="s">
        <v>2590</v>
      </c>
      <c r="AB1351" s="61"/>
    </row>
    <row r="1352" spans="1:29" s="2" customFormat="1" ht="15.75">
      <c r="A1352" s="61" t="s">
        <v>2286</v>
      </c>
      <c r="B1352" s="61" t="s">
        <v>1262</v>
      </c>
      <c r="C1352" s="61" t="s">
        <v>4905</v>
      </c>
      <c r="D1352" s="61" t="s">
        <v>7838</v>
      </c>
      <c r="E1352" s="61">
        <v>2387</v>
      </c>
      <c r="F1352" s="61">
        <v>2645</v>
      </c>
      <c r="G1352" s="61">
        <v>2025</v>
      </c>
      <c r="H1352" s="61" t="s">
        <v>3416</v>
      </c>
      <c r="I1352" s="61" t="s">
        <v>30</v>
      </c>
      <c r="J1352" s="61" t="s">
        <v>2289</v>
      </c>
      <c r="K1352" s="61" t="s">
        <v>212</v>
      </c>
      <c r="L1352" s="61" t="s">
        <v>8525</v>
      </c>
      <c r="M1352" s="475">
        <v>45714</v>
      </c>
      <c r="N1352" s="475">
        <v>45719</v>
      </c>
      <c r="O1352" s="475">
        <v>45719</v>
      </c>
      <c r="P1352" s="475">
        <v>45720</v>
      </c>
      <c r="Q1352" s="475">
        <v>45721</v>
      </c>
      <c r="R1352" s="61">
        <f t="shared" si="95"/>
        <v>3</v>
      </c>
      <c r="S1352" s="61">
        <f t="shared" si="96"/>
        <v>1</v>
      </c>
      <c r="T1352" s="61">
        <f t="shared" si="97"/>
        <v>1</v>
      </c>
      <c r="U1352" s="61">
        <f t="shared" si="98"/>
        <v>1</v>
      </c>
      <c r="V1352" s="61" t="s">
        <v>150</v>
      </c>
      <c r="W1352" s="61" t="s">
        <v>1078</v>
      </c>
      <c r="X1352" s="61" t="s">
        <v>50</v>
      </c>
      <c r="Y1352" s="478">
        <v>15.425958</v>
      </c>
      <c r="Z1352" s="490">
        <v>120.850786</v>
      </c>
      <c r="AA1352" s="61" t="s">
        <v>8526</v>
      </c>
      <c r="AB1352" s="61"/>
    </row>
    <row r="1353" spans="1:29" s="2" customFormat="1" ht="15">
      <c r="A1353" s="61" t="s">
        <v>2286</v>
      </c>
      <c r="B1353" s="61" t="s">
        <v>1262</v>
      </c>
      <c r="C1353" s="61" t="s">
        <v>1072</v>
      </c>
      <c r="D1353" s="61" t="s">
        <v>7838</v>
      </c>
      <c r="E1353" s="61">
        <v>3665</v>
      </c>
      <c r="F1353" s="61">
        <v>4019</v>
      </c>
      <c r="G1353" s="61">
        <v>2025</v>
      </c>
      <c r="H1353" s="61" t="s">
        <v>3689</v>
      </c>
      <c r="I1353" s="61" t="s">
        <v>30</v>
      </c>
      <c r="J1353" s="61" t="s">
        <v>28</v>
      </c>
      <c r="K1353" s="61" t="s">
        <v>212</v>
      </c>
      <c r="L1353" s="61" t="s">
        <v>8527</v>
      </c>
      <c r="M1353" s="475">
        <v>45807</v>
      </c>
      <c r="N1353" s="475">
        <v>45813</v>
      </c>
      <c r="O1353" s="475">
        <v>45813</v>
      </c>
      <c r="P1353" s="475">
        <v>45813</v>
      </c>
      <c r="Q1353" s="475">
        <v>45824</v>
      </c>
      <c r="R1353" s="61">
        <f t="shared" si="95"/>
        <v>4</v>
      </c>
      <c r="S1353" s="61">
        <f t="shared" si="96"/>
        <v>1</v>
      </c>
      <c r="T1353" s="61">
        <f t="shared" si="97"/>
        <v>1</v>
      </c>
      <c r="U1353" s="61">
        <f t="shared" si="98"/>
        <v>7</v>
      </c>
      <c r="V1353" s="61" t="s">
        <v>150</v>
      </c>
      <c r="W1353" s="61" t="s">
        <v>1078</v>
      </c>
      <c r="X1353" s="61" t="s">
        <v>50</v>
      </c>
      <c r="Y1353" s="471">
        <v>15.365069</v>
      </c>
      <c r="Z1353" s="471">
        <v>120.85427799999999</v>
      </c>
      <c r="AA1353" s="61" t="s">
        <v>2590</v>
      </c>
      <c r="AB1353" s="61"/>
    </row>
    <row r="1354" spans="1:29" s="2" customFormat="1" ht="15">
      <c r="A1354" s="61" t="s">
        <v>2286</v>
      </c>
      <c r="B1354" s="61" t="s">
        <v>1262</v>
      </c>
      <c r="C1354" s="61" t="s">
        <v>4910</v>
      </c>
      <c r="D1354" s="61" t="s">
        <v>7838</v>
      </c>
      <c r="E1354" s="61">
        <v>3336</v>
      </c>
      <c r="F1354" s="61">
        <v>3691</v>
      </c>
      <c r="G1354" s="61">
        <v>2025</v>
      </c>
      <c r="H1354" s="61" t="s">
        <v>3532</v>
      </c>
      <c r="I1354" s="61" t="s">
        <v>30</v>
      </c>
      <c r="J1354" s="61" t="s">
        <v>28</v>
      </c>
      <c r="K1354" s="61" t="s">
        <v>212</v>
      </c>
      <c r="L1354" s="61" t="s">
        <v>8528</v>
      </c>
      <c r="M1354" s="475">
        <v>45769</v>
      </c>
      <c r="N1354" s="475">
        <v>45777</v>
      </c>
      <c r="O1354" s="475">
        <v>45777</v>
      </c>
      <c r="P1354" s="475">
        <v>45777</v>
      </c>
      <c r="Q1354" s="475">
        <v>45779</v>
      </c>
      <c r="R1354" s="61">
        <f t="shared" si="95"/>
        <v>6</v>
      </c>
      <c r="S1354" s="61">
        <f t="shared" si="96"/>
        <v>1</v>
      </c>
      <c r="T1354" s="61">
        <f t="shared" si="97"/>
        <v>1</v>
      </c>
      <c r="U1354" s="61">
        <f t="shared" si="98"/>
        <v>2</v>
      </c>
      <c r="V1354" s="61" t="s">
        <v>150</v>
      </c>
      <c r="W1354" s="61" t="s">
        <v>1078</v>
      </c>
      <c r="X1354" s="61" t="s">
        <v>50</v>
      </c>
      <c r="Y1354" s="471">
        <v>15.398277</v>
      </c>
      <c r="Z1354" s="486">
        <v>120.860973</v>
      </c>
      <c r="AA1354" s="61" t="s">
        <v>2590</v>
      </c>
      <c r="AB1354" s="61"/>
    </row>
    <row r="1355" spans="1:29" s="2" customFormat="1" ht="15.75">
      <c r="A1355" s="61" t="s">
        <v>2286</v>
      </c>
      <c r="B1355" s="61" t="s">
        <v>1262</v>
      </c>
      <c r="C1355" s="61" t="s">
        <v>4912</v>
      </c>
      <c r="D1355" s="61" t="s">
        <v>7838</v>
      </c>
      <c r="E1355" s="61">
        <v>1441</v>
      </c>
      <c r="F1355" s="61">
        <v>1546</v>
      </c>
      <c r="G1355" s="61">
        <v>2025</v>
      </c>
      <c r="H1355" s="61" t="s">
        <v>3416</v>
      </c>
      <c r="I1355" s="61" t="s">
        <v>30</v>
      </c>
      <c r="J1355" s="61" t="s">
        <v>2289</v>
      </c>
      <c r="K1355" s="61" t="s">
        <v>212</v>
      </c>
      <c r="L1355" s="61" t="s">
        <v>8529</v>
      </c>
      <c r="M1355" s="475">
        <v>45714</v>
      </c>
      <c r="N1355" s="475">
        <v>45719</v>
      </c>
      <c r="O1355" s="475">
        <v>45719</v>
      </c>
      <c r="P1355" s="475">
        <v>45720</v>
      </c>
      <c r="Q1355" s="475">
        <v>45721</v>
      </c>
      <c r="R1355" s="61">
        <f t="shared" si="95"/>
        <v>3</v>
      </c>
      <c r="S1355" s="61">
        <f t="shared" si="96"/>
        <v>1</v>
      </c>
      <c r="T1355" s="61">
        <f t="shared" si="97"/>
        <v>1</v>
      </c>
      <c r="U1355" s="61">
        <f t="shared" si="98"/>
        <v>1</v>
      </c>
      <c r="V1355" s="61" t="s">
        <v>150</v>
      </c>
      <c r="W1355" s="61" t="s">
        <v>1078</v>
      </c>
      <c r="X1355" s="61" t="s">
        <v>50</v>
      </c>
      <c r="Y1355" s="471">
        <v>15.437830999999999</v>
      </c>
      <c r="Z1355" s="490">
        <v>120.847318</v>
      </c>
      <c r="AA1355" s="61" t="s">
        <v>8526</v>
      </c>
      <c r="AB1355" s="61"/>
    </row>
    <row r="1356" spans="1:29" s="474" customFormat="1" ht="15">
      <c r="A1356" s="61" t="s">
        <v>2286</v>
      </c>
      <c r="B1356" s="61" t="s">
        <v>1262</v>
      </c>
      <c r="C1356" s="61" t="s">
        <v>4916</v>
      </c>
      <c r="D1356" s="61" t="s">
        <v>7838</v>
      </c>
      <c r="E1356" s="61">
        <v>699</v>
      </c>
      <c r="F1356" s="61">
        <v>727</v>
      </c>
      <c r="G1356" s="61">
        <v>2025</v>
      </c>
      <c r="H1356" s="61" t="s">
        <v>3126</v>
      </c>
      <c r="I1356" s="61" t="s">
        <v>30</v>
      </c>
      <c r="J1356" s="61" t="s">
        <v>28</v>
      </c>
      <c r="K1356" s="61" t="s">
        <v>212</v>
      </c>
      <c r="L1356" s="61" t="s">
        <v>8530</v>
      </c>
      <c r="M1356" s="475">
        <v>45881</v>
      </c>
      <c r="N1356" s="475">
        <v>45884</v>
      </c>
      <c r="O1356" s="475">
        <v>45887</v>
      </c>
      <c r="P1356" s="475">
        <v>45887</v>
      </c>
      <c r="Q1356" s="475">
        <v>45887</v>
      </c>
      <c r="R1356" s="61">
        <f t="shared" si="95"/>
        <v>3</v>
      </c>
      <c r="S1356" s="61">
        <f t="shared" si="96"/>
        <v>1</v>
      </c>
      <c r="T1356" s="61">
        <f t="shared" si="97"/>
        <v>1</v>
      </c>
      <c r="U1356" s="61">
        <f t="shared" si="98"/>
        <v>1</v>
      </c>
      <c r="V1356" s="61" t="s">
        <v>150</v>
      </c>
      <c r="W1356" s="61" t="s">
        <v>1078</v>
      </c>
      <c r="X1356" s="61" t="s">
        <v>50</v>
      </c>
      <c r="Y1356" s="471">
        <v>15.344055000000001</v>
      </c>
      <c r="Z1356" s="471">
        <v>15.344055000000001</v>
      </c>
      <c r="AA1356" s="61" t="s">
        <v>2590</v>
      </c>
      <c r="AB1356" s="61"/>
      <c r="AC1356" s="2"/>
    </row>
    <row r="1357" spans="1:29" s="2" customFormat="1" ht="15">
      <c r="A1357" s="61" t="s">
        <v>2286</v>
      </c>
      <c r="B1357" s="61" t="s">
        <v>1262</v>
      </c>
      <c r="C1357" s="61" t="s">
        <v>4920</v>
      </c>
      <c r="D1357" s="61" t="s">
        <v>7838</v>
      </c>
      <c r="E1357" s="61">
        <v>2146</v>
      </c>
      <c r="F1357" s="61">
        <v>2358</v>
      </c>
      <c r="G1357" s="61">
        <v>2025</v>
      </c>
      <c r="H1357" s="61" t="s">
        <v>3689</v>
      </c>
      <c r="I1357" s="61" t="s">
        <v>30</v>
      </c>
      <c r="J1357" s="61" t="s">
        <v>28</v>
      </c>
      <c r="K1357" s="61" t="s">
        <v>212</v>
      </c>
      <c r="L1357" s="61" t="s">
        <v>8531</v>
      </c>
      <c r="M1357" s="475">
        <v>45807</v>
      </c>
      <c r="N1357" s="475">
        <v>45813</v>
      </c>
      <c r="O1357" s="475">
        <v>45813</v>
      </c>
      <c r="P1357" s="475">
        <v>45813</v>
      </c>
      <c r="Q1357" s="475">
        <v>45824</v>
      </c>
      <c r="R1357" s="61">
        <f t="shared" si="95"/>
        <v>4</v>
      </c>
      <c r="S1357" s="61">
        <f t="shared" si="96"/>
        <v>1</v>
      </c>
      <c r="T1357" s="61">
        <f t="shared" si="97"/>
        <v>1</v>
      </c>
      <c r="U1357" s="61">
        <f t="shared" si="98"/>
        <v>7</v>
      </c>
      <c r="V1357" s="61" t="s">
        <v>150</v>
      </c>
      <c r="W1357" s="61" t="s">
        <v>1078</v>
      </c>
      <c r="X1357" s="61" t="s">
        <v>50</v>
      </c>
      <c r="Y1357" s="471">
        <v>15.401899999999999</v>
      </c>
      <c r="Z1357" s="471">
        <v>120.838752</v>
      </c>
      <c r="AA1357" s="61" t="s">
        <v>2590</v>
      </c>
      <c r="AB1357" s="61"/>
    </row>
    <row r="1358" spans="1:29" s="2" customFormat="1" ht="15">
      <c r="A1358" s="61" t="s">
        <v>2286</v>
      </c>
      <c r="B1358" s="61" t="s">
        <v>1262</v>
      </c>
      <c r="C1358" s="61" t="s">
        <v>4924</v>
      </c>
      <c r="D1358" s="61" t="s">
        <v>7838</v>
      </c>
      <c r="E1358" s="61">
        <v>3503</v>
      </c>
      <c r="F1358" s="61">
        <v>3952</v>
      </c>
      <c r="G1358" s="61">
        <v>2025</v>
      </c>
      <c r="H1358" s="61" t="s">
        <v>3689</v>
      </c>
      <c r="I1358" s="61" t="s">
        <v>30</v>
      </c>
      <c r="J1358" s="61" t="s">
        <v>28</v>
      </c>
      <c r="K1358" s="61" t="s">
        <v>212</v>
      </c>
      <c r="L1358" s="61" t="s">
        <v>8532</v>
      </c>
      <c r="M1358" s="475">
        <v>45800</v>
      </c>
      <c r="N1358" s="475">
        <v>45812</v>
      </c>
      <c r="O1358" s="475">
        <v>45813</v>
      </c>
      <c r="P1358" s="475">
        <v>45813</v>
      </c>
      <c r="Q1358" s="475">
        <v>45824</v>
      </c>
      <c r="R1358" s="61">
        <f t="shared" si="95"/>
        <v>8</v>
      </c>
      <c r="S1358" s="61">
        <f t="shared" si="96"/>
        <v>1</v>
      </c>
      <c r="T1358" s="61">
        <f t="shared" si="97"/>
        <v>1</v>
      </c>
      <c r="U1358" s="61">
        <f t="shared" si="98"/>
        <v>7</v>
      </c>
      <c r="V1358" s="61" t="s">
        <v>150</v>
      </c>
      <c r="W1358" s="61" t="s">
        <v>1078</v>
      </c>
      <c r="X1358" s="61" t="s">
        <v>50</v>
      </c>
      <c r="Y1358" s="471">
        <v>15.358949000000001</v>
      </c>
      <c r="Z1358" s="471">
        <v>120.90284699999999</v>
      </c>
      <c r="AA1358" s="61" t="s">
        <v>2590</v>
      </c>
      <c r="AB1358" s="61"/>
    </row>
    <row r="1359" spans="1:29" s="2" customFormat="1" ht="15">
      <c r="A1359" s="61" t="s">
        <v>2286</v>
      </c>
      <c r="B1359" s="61" t="s">
        <v>1262</v>
      </c>
      <c r="C1359" s="61" t="s">
        <v>858</v>
      </c>
      <c r="D1359" s="61" t="s">
        <v>7838</v>
      </c>
      <c r="E1359" s="61">
        <v>3312</v>
      </c>
      <c r="F1359" s="61">
        <v>3604</v>
      </c>
      <c r="G1359" s="61">
        <v>2025</v>
      </c>
      <c r="H1359" s="61" t="s">
        <v>3689</v>
      </c>
      <c r="I1359" s="61" t="s">
        <v>30</v>
      </c>
      <c r="J1359" s="61" t="s">
        <v>28</v>
      </c>
      <c r="K1359" s="61" t="s">
        <v>212</v>
      </c>
      <c r="L1359" s="61" t="s">
        <v>8533</v>
      </c>
      <c r="M1359" s="475">
        <v>45800</v>
      </c>
      <c r="N1359" s="475">
        <v>45805</v>
      </c>
      <c r="O1359" s="475">
        <v>45810</v>
      </c>
      <c r="P1359" s="475">
        <v>45810</v>
      </c>
      <c r="Q1359" s="475">
        <v>45810</v>
      </c>
      <c r="R1359" s="61">
        <f t="shared" si="95"/>
        <v>3</v>
      </c>
      <c r="S1359" s="61">
        <f t="shared" si="96"/>
        <v>3</v>
      </c>
      <c r="T1359" s="61">
        <f t="shared" si="97"/>
        <v>1</v>
      </c>
      <c r="U1359" s="61">
        <f t="shared" si="98"/>
        <v>1</v>
      </c>
      <c r="V1359" s="61" t="s">
        <v>150</v>
      </c>
      <c r="W1359" s="61" t="s">
        <v>1078</v>
      </c>
      <c r="X1359" s="61" t="s">
        <v>50</v>
      </c>
      <c r="Y1359" s="471">
        <v>15.358402999999999</v>
      </c>
      <c r="Z1359" s="485">
        <v>120.90284699999999</v>
      </c>
      <c r="AA1359" s="61" t="s">
        <v>2590</v>
      </c>
      <c r="AB1359" s="61"/>
    </row>
    <row r="1360" spans="1:29" s="2" customFormat="1" ht="15">
      <c r="A1360" s="61" t="s">
        <v>2286</v>
      </c>
      <c r="B1360" s="61" t="s">
        <v>1262</v>
      </c>
      <c r="C1360" s="61" t="s">
        <v>4925</v>
      </c>
      <c r="D1360" s="61" t="s">
        <v>7838</v>
      </c>
      <c r="E1360" s="61">
        <v>2623</v>
      </c>
      <c r="F1360" s="61">
        <v>2920</v>
      </c>
      <c r="G1360" s="61">
        <v>2025</v>
      </c>
      <c r="H1360" s="61" t="s">
        <v>3125</v>
      </c>
      <c r="I1360" s="61" t="s">
        <v>30</v>
      </c>
      <c r="J1360" s="61" t="s">
        <v>28</v>
      </c>
      <c r="K1360" s="61" t="s">
        <v>212</v>
      </c>
      <c r="L1360" s="61" t="s">
        <v>8534</v>
      </c>
      <c r="M1360" s="475">
        <v>45846</v>
      </c>
      <c r="N1360" s="475">
        <v>45851</v>
      </c>
      <c r="O1360" s="475">
        <v>45856</v>
      </c>
      <c r="P1360" s="475">
        <v>45856</v>
      </c>
      <c r="Q1360" s="475">
        <v>45856</v>
      </c>
      <c r="R1360" s="61">
        <f t="shared" si="95"/>
        <v>3</v>
      </c>
      <c r="S1360" s="61">
        <f t="shared" si="96"/>
        <v>4</v>
      </c>
      <c r="T1360" s="61">
        <f t="shared" si="97"/>
        <v>1</v>
      </c>
      <c r="U1360" s="61">
        <f t="shared" si="98"/>
        <v>1</v>
      </c>
      <c r="V1360" s="61" t="s">
        <v>150</v>
      </c>
      <c r="W1360" s="61" t="s">
        <v>1078</v>
      </c>
      <c r="X1360" s="61" t="s">
        <v>50</v>
      </c>
      <c r="Y1360" s="61">
        <v>15.326435</v>
      </c>
      <c r="Z1360" s="61">
        <v>120.90834099999999</v>
      </c>
      <c r="AA1360" s="61" t="s">
        <v>747</v>
      </c>
      <c r="AB1360" s="61"/>
    </row>
    <row r="1361" spans="1:28" s="2" customFormat="1" ht="15">
      <c r="A1361" s="61" t="s">
        <v>2286</v>
      </c>
      <c r="B1361" s="61" t="s">
        <v>1262</v>
      </c>
      <c r="C1361" s="61" t="s">
        <v>3974</v>
      </c>
      <c r="D1361" s="61" t="s">
        <v>7838</v>
      </c>
      <c r="E1361" s="61">
        <v>1934</v>
      </c>
      <c r="F1361" s="61">
        <v>2210</v>
      </c>
      <c r="G1361" s="61">
        <v>2025</v>
      </c>
      <c r="H1361" s="61" t="s">
        <v>3125</v>
      </c>
      <c r="I1361" s="61" t="s">
        <v>30</v>
      </c>
      <c r="J1361" s="61" t="s">
        <v>28</v>
      </c>
      <c r="K1361" s="61" t="s">
        <v>212</v>
      </c>
      <c r="L1361" s="61" t="s">
        <v>8535</v>
      </c>
      <c r="M1361" s="475">
        <v>45832</v>
      </c>
      <c r="N1361" s="475">
        <v>45839</v>
      </c>
      <c r="O1361" s="475">
        <v>45846</v>
      </c>
      <c r="P1361" s="475">
        <v>45847</v>
      </c>
      <c r="Q1361" s="475">
        <v>45847</v>
      </c>
      <c r="R1361" s="61">
        <f t="shared" si="95"/>
        <v>5</v>
      </c>
      <c r="S1361" s="61">
        <f t="shared" si="96"/>
        <v>5</v>
      </c>
      <c r="T1361" s="61">
        <f t="shared" si="97"/>
        <v>1</v>
      </c>
      <c r="U1361" s="61">
        <f t="shared" si="98"/>
        <v>1</v>
      </c>
      <c r="V1361" s="61" t="s">
        <v>150</v>
      </c>
      <c r="W1361" s="61" t="s">
        <v>1078</v>
      </c>
      <c r="X1361" s="61" t="s">
        <v>50</v>
      </c>
      <c r="Y1361" s="61">
        <v>15.339789</v>
      </c>
      <c r="Z1361" s="61">
        <v>120.92880599999999</v>
      </c>
      <c r="AA1361" s="61" t="s">
        <v>2590</v>
      </c>
      <c r="AB1361" s="61"/>
    </row>
    <row r="1362" spans="1:28" s="2" customFormat="1" ht="15">
      <c r="A1362" s="61" t="s">
        <v>2286</v>
      </c>
      <c r="B1362" s="61" t="s">
        <v>1262</v>
      </c>
      <c r="C1362" s="61" t="s">
        <v>4928</v>
      </c>
      <c r="D1362" s="61" t="s">
        <v>7838</v>
      </c>
      <c r="E1362" s="61">
        <v>3323</v>
      </c>
      <c r="F1362" s="61">
        <v>3464</v>
      </c>
      <c r="G1362" s="61">
        <v>2025</v>
      </c>
      <c r="H1362" s="61" t="s">
        <v>3126</v>
      </c>
      <c r="I1362" s="61" t="s">
        <v>30</v>
      </c>
      <c r="J1362" s="61" t="s">
        <v>28</v>
      </c>
      <c r="K1362" s="61" t="s">
        <v>212</v>
      </c>
      <c r="L1362" s="61" t="s">
        <v>8536</v>
      </c>
      <c r="M1362" s="475">
        <v>45881</v>
      </c>
      <c r="N1362" s="475">
        <v>45884</v>
      </c>
      <c r="O1362" s="475">
        <v>45887</v>
      </c>
      <c r="P1362" s="475">
        <v>45887</v>
      </c>
      <c r="Q1362" s="475">
        <v>45887</v>
      </c>
      <c r="R1362" s="61">
        <f t="shared" si="95"/>
        <v>3</v>
      </c>
      <c r="S1362" s="61">
        <f t="shared" si="96"/>
        <v>1</v>
      </c>
      <c r="T1362" s="61">
        <f>IF(
  OR(A1362 = "Nueva_Ecija", A1362 = "Zambales"),
  IF(
    OR(ISBLANK(O1362), ISBLANK(P1362)),
    "",
    MAX(1, IF(
      NETWORKDAYS(O1362, P1362) &lt;= 0,
      1,
      NETWORKDAYS(O1362, P1362) - IF(O1362 = P1362, 0, 1)
    ))
  ),
  IF(
    OR(ISBLANK(Z1362), ISBLANK(P1362)),
    "",
    MAX(1, IF(
      NETWORKDAYS(Z1362, P1362) &lt;= 0,
      1,
      NETWORKDAYS(Z1362, P1362) - IF(Z1362 = P1362, 0, 1)
    ))
  )
)</f>
        <v>1</v>
      </c>
      <c r="U1362" s="61">
        <f t="shared" si="98"/>
        <v>1</v>
      </c>
      <c r="V1362" s="61" t="s">
        <v>150</v>
      </c>
      <c r="W1362" s="61" t="s">
        <v>1078</v>
      </c>
      <c r="X1362" s="61" t="s">
        <v>50</v>
      </c>
      <c r="Y1362" s="494">
        <v>15.374174999999999</v>
      </c>
      <c r="Z1362" s="471">
        <v>120.91172</v>
      </c>
      <c r="AA1362" s="61" t="s">
        <v>2590</v>
      </c>
      <c r="AB1362" s="61"/>
    </row>
    <row r="1363" spans="1:28" s="2" customFormat="1" ht="15">
      <c r="A1363" s="61" t="s">
        <v>2286</v>
      </c>
      <c r="B1363" s="61" t="s">
        <v>1262</v>
      </c>
      <c r="C1363" s="61" t="s">
        <v>4930</v>
      </c>
      <c r="D1363" s="61" t="s">
        <v>7838</v>
      </c>
      <c r="E1363" s="61">
        <v>4675</v>
      </c>
      <c r="F1363" s="61">
        <v>4940</v>
      </c>
      <c r="G1363" s="61">
        <v>2025</v>
      </c>
      <c r="H1363" s="61" t="s">
        <v>3126</v>
      </c>
      <c r="I1363" s="61" t="s">
        <v>30</v>
      </c>
      <c r="J1363" s="61" t="s">
        <v>28</v>
      </c>
      <c r="K1363" s="61" t="s">
        <v>212</v>
      </c>
      <c r="L1363" s="61" t="s">
        <v>8537</v>
      </c>
      <c r="M1363" s="475">
        <v>45881</v>
      </c>
      <c r="N1363" s="475">
        <v>45884</v>
      </c>
      <c r="O1363" s="475">
        <v>45887</v>
      </c>
      <c r="P1363" s="475">
        <v>45887</v>
      </c>
      <c r="Q1363" s="475">
        <v>45887</v>
      </c>
      <c r="R1363" s="61">
        <f t="shared" si="95"/>
        <v>3</v>
      </c>
      <c r="S1363" s="61">
        <f t="shared" si="96"/>
        <v>1</v>
      </c>
      <c r="T1363" s="61">
        <f t="shared" ref="T1363:T1426" si="99">IF(
  OR(A1363 = "Nueva_Ecija", A1363 = "Zambales"),
  IF(
    OR(ISBLANK(O1363), ISBLANK(P1363)),
    "",
    MAX(1, IF(
      NETWORKDAYS(O1363, P1363) &lt;= 0,
      1,
      NETWORKDAYS(O1363, P1363) - IF(O1363 = P1363, 0, 1)
    ))
  ),
  IF(
    OR(ISBLANK(N1363), ISBLANK(P1363)),
    "",
    MAX(1, IF(
      NETWORKDAYS(N1363, P1363) &lt;= 0,
      1,
      NETWORKDAYS(N1363, P1363) - IF(N1363 = P1363, 0, 1)
    ))
  )
)</f>
        <v>1</v>
      </c>
      <c r="U1363" s="61">
        <f t="shared" si="98"/>
        <v>1</v>
      </c>
      <c r="V1363" s="61" t="s">
        <v>150</v>
      </c>
      <c r="W1363" s="61" t="s">
        <v>1078</v>
      </c>
      <c r="X1363" s="61" t="s">
        <v>50</v>
      </c>
      <c r="Y1363" s="494">
        <v>15.352665999999999</v>
      </c>
      <c r="Z1363" s="471">
        <v>120.91320899999999</v>
      </c>
      <c r="AA1363" s="61" t="s">
        <v>2590</v>
      </c>
      <c r="AB1363" s="61"/>
    </row>
    <row r="1364" spans="1:28" s="2" customFormat="1" ht="15">
      <c r="A1364" s="61" t="s">
        <v>2286</v>
      </c>
      <c r="B1364" s="61" t="s">
        <v>1262</v>
      </c>
      <c r="C1364" s="61" t="s">
        <v>4446</v>
      </c>
      <c r="D1364" s="61" t="s">
        <v>7838</v>
      </c>
      <c r="E1364" s="61">
        <v>3513</v>
      </c>
      <c r="F1364" s="61">
        <v>4109</v>
      </c>
      <c r="G1364" s="61">
        <v>2025</v>
      </c>
      <c r="H1364" s="61" t="s">
        <v>3416</v>
      </c>
      <c r="I1364" s="61" t="s">
        <v>30</v>
      </c>
      <c r="J1364" s="61" t="s">
        <v>2289</v>
      </c>
      <c r="K1364" s="61" t="s">
        <v>212</v>
      </c>
      <c r="L1364" s="61" t="s">
        <v>8538</v>
      </c>
      <c r="M1364" s="475">
        <v>45709</v>
      </c>
      <c r="N1364" s="475">
        <v>45712</v>
      </c>
      <c r="O1364" s="475">
        <v>45713</v>
      </c>
      <c r="P1364" s="475">
        <v>45719</v>
      </c>
      <c r="Q1364" s="475">
        <v>45721</v>
      </c>
      <c r="R1364" s="61">
        <f t="shared" si="95"/>
        <v>1</v>
      </c>
      <c r="S1364" s="61">
        <f t="shared" si="96"/>
        <v>1</v>
      </c>
      <c r="T1364" s="61">
        <f t="shared" si="99"/>
        <v>4</v>
      </c>
      <c r="U1364" s="61">
        <f t="shared" si="98"/>
        <v>2</v>
      </c>
      <c r="V1364" s="61" t="s">
        <v>150</v>
      </c>
      <c r="W1364" s="61" t="s">
        <v>1078</v>
      </c>
      <c r="X1364" s="61" t="s">
        <v>50</v>
      </c>
      <c r="Y1364" s="471">
        <v>15.322027</v>
      </c>
      <c r="Z1364" s="471">
        <v>120.90385999999999</v>
      </c>
      <c r="AA1364" s="61" t="s">
        <v>8526</v>
      </c>
      <c r="AB1364" s="61"/>
    </row>
    <row r="1365" spans="1:28" s="2" customFormat="1" ht="15">
      <c r="A1365" s="61" t="s">
        <v>2286</v>
      </c>
      <c r="B1365" s="61" t="s">
        <v>1262</v>
      </c>
      <c r="C1365" s="61" t="s">
        <v>4795</v>
      </c>
      <c r="D1365" s="61" t="s">
        <v>7838</v>
      </c>
      <c r="E1365" s="61">
        <v>1289</v>
      </c>
      <c r="F1365" s="61">
        <v>1500</v>
      </c>
      <c r="G1365" s="61">
        <v>2025</v>
      </c>
      <c r="H1365" s="61" t="s">
        <v>3127</v>
      </c>
      <c r="I1365" s="61" t="s">
        <v>30</v>
      </c>
      <c r="J1365" s="61" t="s">
        <v>28</v>
      </c>
      <c r="K1365" s="61" t="s">
        <v>212</v>
      </c>
      <c r="L1365" s="61" t="s">
        <v>8539</v>
      </c>
      <c r="M1365" s="475">
        <v>45891</v>
      </c>
      <c r="N1365" s="475">
        <v>45916</v>
      </c>
      <c r="O1365" s="475">
        <v>45924</v>
      </c>
      <c r="P1365" s="475">
        <v>45924</v>
      </c>
      <c r="Q1365" s="475">
        <v>45925</v>
      </c>
      <c r="R1365" s="61">
        <f t="shared" si="95"/>
        <v>17</v>
      </c>
      <c r="S1365" s="61">
        <f t="shared" si="96"/>
        <v>6</v>
      </c>
      <c r="T1365" s="61">
        <f t="shared" si="99"/>
        <v>1</v>
      </c>
      <c r="U1365" s="61">
        <f t="shared" si="98"/>
        <v>1</v>
      </c>
      <c r="V1365" s="61" t="s">
        <v>150</v>
      </c>
      <c r="W1365" s="61" t="s">
        <v>1078</v>
      </c>
      <c r="X1365" s="61" t="s">
        <v>50</v>
      </c>
      <c r="Y1365" s="471">
        <v>15.359605999999999</v>
      </c>
      <c r="Z1365" s="471">
        <v>120.86253000000001</v>
      </c>
      <c r="AA1365" s="61" t="s">
        <v>2590</v>
      </c>
      <c r="AB1365" s="61"/>
    </row>
    <row r="1366" spans="1:28" s="474" customFormat="1">
      <c r="A1366" s="61" t="s">
        <v>2286</v>
      </c>
      <c r="B1366" s="61" t="s">
        <v>1262</v>
      </c>
      <c r="C1366" s="61" t="s">
        <v>4903</v>
      </c>
      <c r="D1366" s="61" t="s">
        <v>7838</v>
      </c>
      <c r="E1366" s="61">
        <v>1843</v>
      </c>
      <c r="F1366" s="61">
        <v>1961</v>
      </c>
      <c r="G1366" s="61"/>
      <c r="H1366" s="61"/>
      <c r="I1366" s="61" t="s">
        <v>30</v>
      </c>
      <c r="J1366" s="61"/>
      <c r="K1366" s="61" t="s">
        <v>212</v>
      </c>
      <c r="L1366" s="61"/>
      <c r="M1366" s="61"/>
      <c r="N1366" s="61"/>
      <c r="O1366" s="61"/>
      <c r="P1366" s="61"/>
      <c r="Q1366" s="61"/>
      <c r="R1366" s="61" t="str">
        <f t="shared" si="95"/>
        <v/>
      </c>
      <c r="S1366" s="61" t="str">
        <f t="shared" si="96"/>
        <v/>
      </c>
      <c r="T1366" s="61" t="str">
        <f t="shared" si="99"/>
        <v/>
      </c>
      <c r="U1366" s="61" t="str">
        <f t="shared" si="98"/>
        <v/>
      </c>
      <c r="V1366" s="61"/>
      <c r="W1366" s="61"/>
      <c r="X1366" s="61"/>
      <c r="Y1366" s="471"/>
      <c r="Z1366" s="471"/>
      <c r="AA1366" s="61"/>
      <c r="AB1366" s="61"/>
    </row>
    <row r="1367" spans="1:28" s="2" customFormat="1" ht="15">
      <c r="A1367" s="61" t="s">
        <v>2286</v>
      </c>
      <c r="B1367" s="61" t="s">
        <v>1262</v>
      </c>
      <c r="C1367" s="61" t="s">
        <v>4906</v>
      </c>
      <c r="D1367" s="61" t="s">
        <v>7838</v>
      </c>
      <c r="E1367" s="61">
        <v>891</v>
      </c>
      <c r="F1367" s="61">
        <v>1141</v>
      </c>
      <c r="G1367" s="61">
        <v>2025</v>
      </c>
      <c r="H1367" s="61" t="s">
        <v>3129</v>
      </c>
      <c r="I1367" s="61" t="s">
        <v>30</v>
      </c>
      <c r="J1367" s="61" t="s">
        <v>2289</v>
      </c>
      <c r="K1367" s="61" t="s">
        <v>212</v>
      </c>
      <c r="L1367" s="61" t="s">
        <v>8540</v>
      </c>
      <c r="M1367" s="475">
        <v>45925</v>
      </c>
      <c r="N1367" s="475">
        <v>45925</v>
      </c>
      <c r="O1367" s="475">
        <v>45950</v>
      </c>
      <c r="P1367" s="475">
        <v>45960</v>
      </c>
      <c r="Q1367" s="475">
        <v>45964</v>
      </c>
      <c r="R1367" s="61">
        <f t="shared" si="95"/>
        <v>1</v>
      </c>
      <c r="S1367" s="61">
        <f t="shared" si="96"/>
        <v>17</v>
      </c>
      <c r="T1367" s="61">
        <f t="shared" si="99"/>
        <v>8</v>
      </c>
      <c r="U1367" s="61">
        <f t="shared" si="98"/>
        <v>2</v>
      </c>
      <c r="V1367" s="61" t="s">
        <v>150</v>
      </c>
      <c r="W1367" s="61" t="s">
        <v>1078</v>
      </c>
      <c r="X1367" s="61" t="s">
        <v>50</v>
      </c>
      <c r="Y1367" s="471">
        <v>15.341034000000001</v>
      </c>
      <c r="Z1367" s="471">
        <v>120.916048</v>
      </c>
      <c r="AA1367" s="61" t="s">
        <v>2590</v>
      </c>
      <c r="AB1367" s="61"/>
    </row>
    <row r="1368" spans="1:28" s="2" customFormat="1" ht="15">
      <c r="A1368" s="61" t="s">
        <v>2286</v>
      </c>
      <c r="B1368" s="61" t="s">
        <v>1262</v>
      </c>
      <c r="C1368" s="61" t="s">
        <v>4914</v>
      </c>
      <c r="D1368" s="61" t="s">
        <v>7838</v>
      </c>
      <c r="E1368" s="61">
        <v>4541</v>
      </c>
      <c r="F1368" s="61">
        <v>4655</v>
      </c>
      <c r="G1368" s="61">
        <v>2025</v>
      </c>
      <c r="H1368" s="61" t="s">
        <v>3127</v>
      </c>
      <c r="I1368" s="61" t="s">
        <v>30</v>
      </c>
      <c r="J1368" s="61" t="s">
        <v>28</v>
      </c>
      <c r="K1368" s="61" t="s">
        <v>212</v>
      </c>
      <c r="L1368" s="61" t="s">
        <v>8541</v>
      </c>
      <c r="M1368" s="475">
        <v>45896</v>
      </c>
      <c r="N1368" s="475">
        <v>45918</v>
      </c>
      <c r="O1368" s="475">
        <v>45924</v>
      </c>
      <c r="P1368" s="475">
        <v>45924</v>
      </c>
      <c r="Q1368" s="475">
        <v>45925</v>
      </c>
      <c r="R1368" s="61">
        <f t="shared" ref="R1368:R1431" si="100">IF(
    OR(ISBLANK(M1368), ISBLANK(N1368)),
    "",
    MAX(1, IF(
        NETWORKDAYS(M1368, N1368) &lt;= 0,
        1,
        NETWORKDAYS(M1368, N1368) - IF(M1368 = N1368, 0, 1)
    ))
)</f>
        <v>16</v>
      </c>
      <c r="S1368" s="61">
        <f t="shared" ref="S1368:S1431" si="101">IF(
    OR(ISBLANK(N1368), ISBLANK(O1368)),
    "",
    MAX(1, IF(
        NETWORKDAYS(N1368, O1368) &lt;= 0,
        1,
        NETWORKDAYS(N1368, O1368) - IF(N1368 = O1368, 0, 1)
    ))
)</f>
        <v>4</v>
      </c>
      <c r="T1368" s="61">
        <f t="shared" si="99"/>
        <v>1</v>
      </c>
      <c r="U1368" s="61">
        <f t="shared" ref="U1368:U1431" si="102">IF(
    OR(ISBLANK(P1368), ISBLANK(Q1368)),
    "",
    MAX(1, IF(
        NETWORKDAYS(P1368, Q1368) &lt;= 0,
        1,
        NETWORKDAYS(P1368, Q1368) - IF(P1368 = Q1368, 0, 1)
    ))
)</f>
        <v>1</v>
      </c>
      <c r="V1368" s="61" t="s">
        <v>150</v>
      </c>
      <c r="W1368" s="61" t="s">
        <v>1078</v>
      </c>
      <c r="X1368" s="61" t="s">
        <v>50</v>
      </c>
      <c r="Y1368" s="494">
        <v>15.429716000000001</v>
      </c>
      <c r="Z1368" s="494">
        <v>120.833929</v>
      </c>
      <c r="AA1368" s="61" t="s">
        <v>2590</v>
      </c>
      <c r="AB1368" s="61"/>
    </row>
    <row r="1369" spans="1:28" s="2" customFormat="1" ht="15">
      <c r="A1369" s="61" t="s">
        <v>2286</v>
      </c>
      <c r="B1369" s="61" t="s">
        <v>1262</v>
      </c>
      <c r="C1369" s="61" t="s">
        <v>1263</v>
      </c>
      <c r="D1369" s="61" t="s">
        <v>7838</v>
      </c>
      <c r="E1369" s="61">
        <v>6319</v>
      </c>
      <c r="F1369" s="61">
        <v>7377</v>
      </c>
      <c r="G1369" s="61">
        <v>2025</v>
      </c>
      <c r="H1369" s="61" t="s">
        <v>3128</v>
      </c>
      <c r="I1369" s="61" t="s">
        <v>30</v>
      </c>
      <c r="J1369" s="61" t="s">
        <v>2289</v>
      </c>
      <c r="K1369" s="61" t="s">
        <v>212</v>
      </c>
      <c r="L1369" s="61" t="s">
        <v>8542</v>
      </c>
      <c r="M1369" s="475">
        <v>45925</v>
      </c>
      <c r="N1369" s="475">
        <v>45926</v>
      </c>
      <c r="O1369" s="475">
        <v>45939</v>
      </c>
      <c r="P1369" s="475">
        <v>45946</v>
      </c>
      <c r="Q1369" s="475">
        <v>45947</v>
      </c>
      <c r="R1369" s="61">
        <f t="shared" si="100"/>
        <v>1</v>
      </c>
      <c r="S1369" s="61">
        <f t="shared" si="101"/>
        <v>9</v>
      </c>
      <c r="T1369" s="61">
        <f t="shared" si="99"/>
        <v>5</v>
      </c>
      <c r="U1369" s="61">
        <f t="shared" si="102"/>
        <v>1</v>
      </c>
      <c r="V1369" s="61" t="s">
        <v>150</v>
      </c>
      <c r="W1369" s="61" t="s">
        <v>1078</v>
      </c>
      <c r="X1369" s="61" t="s">
        <v>50</v>
      </c>
      <c r="Y1369" s="471">
        <v>15.322616999999999</v>
      </c>
      <c r="Z1369" s="471">
        <v>120.897862</v>
      </c>
      <c r="AA1369" s="61" t="s">
        <v>2590</v>
      </c>
      <c r="AB1369" s="61"/>
    </row>
    <row r="1370" spans="1:28" s="2" customFormat="1" ht="15">
      <c r="A1370" s="61" t="s">
        <v>2286</v>
      </c>
      <c r="B1370" s="61" t="s">
        <v>1262</v>
      </c>
      <c r="C1370" s="61" t="s">
        <v>4918</v>
      </c>
      <c r="D1370" s="61" t="s">
        <v>7838</v>
      </c>
      <c r="E1370" s="61">
        <v>1471</v>
      </c>
      <c r="F1370" s="61">
        <v>1751</v>
      </c>
      <c r="G1370" s="61">
        <v>2025</v>
      </c>
      <c r="H1370" s="61" t="s">
        <v>3127</v>
      </c>
      <c r="I1370" s="61" t="s">
        <v>30</v>
      </c>
      <c r="J1370" s="61" t="s">
        <v>28</v>
      </c>
      <c r="K1370" s="61" t="s">
        <v>212</v>
      </c>
      <c r="L1370" s="61" t="s">
        <v>8543</v>
      </c>
      <c r="M1370" s="475">
        <v>45891</v>
      </c>
      <c r="N1370" s="475">
        <v>45916</v>
      </c>
      <c r="O1370" s="475">
        <v>45924</v>
      </c>
      <c r="P1370" s="475">
        <v>45924</v>
      </c>
      <c r="Q1370" s="475">
        <v>45925</v>
      </c>
      <c r="R1370" s="61">
        <f t="shared" si="100"/>
        <v>17</v>
      </c>
      <c r="S1370" s="61">
        <f t="shared" si="101"/>
        <v>6</v>
      </c>
      <c r="T1370" s="61">
        <f t="shared" si="99"/>
        <v>1</v>
      </c>
      <c r="U1370" s="61">
        <f t="shared" si="102"/>
        <v>1</v>
      </c>
      <c r="V1370" s="61" t="s">
        <v>150</v>
      </c>
      <c r="W1370" s="61" t="s">
        <v>1078</v>
      </c>
      <c r="X1370" s="61" t="s">
        <v>50</v>
      </c>
      <c r="Y1370" s="494">
        <v>15.376469999999999</v>
      </c>
      <c r="Z1370" s="494">
        <v>120.865719</v>
      </c>
      <c r="AA1370" s="61" t="s">
        <v>2590</v>
      </c>
      <c r="AB1370" s="61"/>
    </row>
    <row r="1371" spans="1:28" s="2" customFormat="1" ht="15">
      <c r="A1371" s="61" t="s">
        <v>2286</v>
      </c>
      <c r="B1371" s="61" t="s">
        <v>1262</v>
      </c>
      <c r="C1371" s="61" t="s">
        <v>4922</v>
      </c>
      <c r="D1371" s="61" t="s">
        <v>7838</v>
      </c>
      <c r="E1371" s="61">
        <v>3415</v>
      </c>
      <c r="F1371" s="61">
        <v>3677</v>
      </c>
      <c r="G1371" s="61"/>
      <c r="H1371" s="61"/>
      <c r="I1371" s="61" t="s">
        <v>30</v>
      </c>
      <c r="J1371" s="61"/>
      <c r="K1371" s="61" t="s">
        <v>212</v>
      </c>
      <c r="L1371" s="61"/>
      <c r="M1371" s="475"/>
      <c r="N1371" s="61"/>
      <c r="O1371" s="61"/>
      <c r="P1371" s="61"/>
      <c r="Q1371" s="61"/>
      <c r="R1371" s="61" t="str">
        <f t="shared" si="100"/>
        <v/>
      </c>
      <c r="S1371" s="61" t="str">
        <f t="shared" si="101"/>
        <v/>
      </c>
      <c r="T1371" s="61" t="str">
        <f t="shared" si="99"/>
        <v/>
      </c>
      <c r="U1371" s="61" t="str">
        <f t="shared" si="102"/>
        <v/>
      </c>
      <c r="V1371" s="61"/>
      <c r="W1371" s="61"/>
      <c r="X1371" s="61"/>
      <c r="Y1371" s="471"/>
      <c r="Z1371" s="471"/>
      <c r="AA1371" s="61"/>
      <c r="AB1371" s="61"/>
    </row>
    <row r="1372" spans="1:28" s="2" customFormat="1" ht="15">
      <c r="A1372" s="61" t="s">
        <v>2286</v>
      </c>
      <c r="B1372" s="61" t="s">
        <v>1262</v>
      </c>
      <c r="C1372" s="61" t="s">
        <v>3723</v>
      </c>
      <c r="D1372" s="61" t="s">
        <v>7838</v>
      </c>
      <c r="E1372" s="61">
        <v>2033</v>
      </c>
      <c r="F1372" s="61">
        <v>2198</v>
      </c>
      <c r="G1372" s="61"/>
      <c r="H1372" s="61"/>
      <c r="I1372" s="61" t="s">
        <v>30</v>
      </c>
      <c r="J1372" s="61"/>
      <c r="K1372" s="61" t="s">
        <v>212</v>
      </c>
      <c r="L1372" s="61"/>
      <c r="M1372" s="475"/>
      <c r="N1372" s="61"/>
      <c r="O1372" s="61"/>
      <c r="P1372" s="61"/>
      <c r="Q1372" s="61"/>
      <c r="R1372" s="61" t="str">
        <f t="shared" si="100"/>
        <v/>
      </c>
      <c r="S1372" s="61" t="str">
        <f t="shared" si="101"/>
        <v/>
      </c>
      <c r="T1372" s="61" t="str">
        <f t="shared" si="99"/>
        <v/>
      </c>
      <c r="U1372" s="61" t="str">
        <f t="shared" si="102"/>
        <v/>
      </c>
      <c r="V1372" s="61"/>
      <c r="W1372" s="61"/>
      <c r="X1372" s="61"/>
      <c r="Y1372" s="471"/>
      <c r="Z1372" s="471"/>
      <c r="AA1372" s="61"/>
      <c r="AB1372" s="61"/>
    </row>
    <row r="1373" spans="1:28" s="2" customFormat="1" ht="15">
      <c r="A1373" s="61" t="s">
        <v>2286</v>
      </c>
      <c r="B1373" s="61" t="s">
        <v>1262</v>
      </c>
      <c r="C1373" s="61" t="s">
        <v>1166</v>
      </c>
      <c r="D1373" s="61" t="s">
        <v>7838</v>
      </c>
      <c r="E1373" s="61">
        <v>1712</v>
      </c>
      <c r="F1373" s="61">
        <v>1126</v>
      </c>
      <c r="G1373" s="61">
        <v>2025</v>
      </c>
      <c r="H1373" s="61" t="s">
        <v>3128</v>
      </c>
      <c r="I1373" s="61" t="s">
        <v>30</v>
      </c>
      <c r="J1373" s="61" t="s">
        <v>2289</v>
      </c>
      <c r="K1373" s="61" t="s">
        <v>212</v>
      </c>
      <c r="L1373" s="61" t="s">
        <v>8544</v>
      </c>
      <c r="M1373" s="475">
        <v>45891</v>
      </c>
      <c r="N1373" s="475">
        <v>45924</v>
      </c>
      <c r="O1373" s="475">
        <v>45939</v>
      </c>
      <c r="P1373" s="475">
        <v>45946</v>
      </c>
      <c r="Q1373" s="475">
        <v>45947</v>
      </c>
      <c r="R1373" s="61">
        <f t="shared" si="100"/>
        <v>23</v>
      </c>
      <c r="S1373" s="61">
        <f t="shared" si="101"/>
        <v>11</v>
      </c>
      <c r="T1373" s="61">
        <f t="shared" si="99"/>
        <v>5</v>
      </c>
      <c r="U1373" s="61">
        <f t="shared" si="102"/>
        <v>1</v>
      </c>
      <c r="V1373" s="61" t="s">
        <v>150</v>
      </c>
      <c r="W1373" s="61" t="s">
        <v>1078</v>
      </c>
      <c r="X1373" s="61" t="s">
        <v>50</v>
      </c>
      <c r="Y1373" s="471">
        <v>15.351532000000001</v>
      </c>
      <c r="Z1373" s="471">
        <v>120.903615</v>
      </c>
      <c r="AA1373" s="61" t="s">
        <v>2590</v>
      </c>
      <c r="AB1373" s="61"/>
    </row>
    <row r="1374" spans="1:28" s="2" customFormat="1" ht="15">
      <c r="A1374" s="61" t="s">
        <v>2286</v>
      </c>
      <c r="B1374" s="61" t="s">
        <v>1262</v>
      </c>
      <c r="C1374" s="61" t="s">
        <v>4242</v>
      </c>
      <c r="D1374" s="61" t="s">
        <v>7838</v>
      </c>
      <c r="E1374" s="61">
        <v>1326</v>
      </c>
      <c r="F1374" s="61">
        <v>1483</v>
      </c>
      <c r="G1374" s="61"/>
      <c r="H1374" s="61"/>
      <c r="I1374" s="61" t="s">
        <v>30</v>
      </c>
      <c r="J1374" s="61"/>
      <c r="K1374" s="61" t="s">
        <v>212</v>
      </c>
      <c r="L1374" s="61"/>
      <c r="M1374" s="475"/>
      <c r="N1374" s="61"/>
      <c r="O1374" s="61"/>
      <c r="P1374" s="61"/>
      <c r="Q1374" s="61"/>
      <c r="R1374" s="61" t="str">
        <f t="shared" si="100"/>
        <v/>
      </c>
      <c r="S1374" s="61" t="str">
        <f t="shared" si="101"/>
        <v/>
      </c>
      <c r="T1374" s="61" t="str">
        <f t="shared" si="99"/>
        <v/>
      </c>
      <c r="U1374" s="61" t="str">
        <f t="shared" si="102"/>
        <v/>
      </c>
      <c r="V1374" s="61"/>
      <c r="W1374" s="61"/>
      <c r="X1374" s="61"/>
      <c r="Y1374" s="471"/>
      <c r="Z1374" s="471"/>
      <c r="AA1374" s="61"/>
      <c r="AB1374" s="61"/>
    </row>
    <row r="1375" spans="1:28" s="2" customFormat="1" ht="15">
      <c r="A1375" s="61" t="s">
        <v>2286</v>
      </c>
      <c r="B1375" s="61" t="s">
        <v>1262</v>
      </c>
      <c r="C1375" s="61" t="s">
        <v>4932</v>
      </c>
      <c r="D1375" s="61" t="s">
        <v>7838</v>
      </c>
      <c r="E1375" s="61">
        <v>2281</v>
      </c>
      <c r="F1375" s="61">
        <v>2466</v>
      </c>
      <c r="G1375" s="61"/>
      <c r="H1375" s="61"/>
      <c r="I1375" s="61" t="s">
        <v>30</v>
      </c>
      <c r="J1375" s="61"/>
      <c r="K1375" s="61" t="s">
        <v>212</v>
      </c>
      <c r="L1375" s="61"/>
      <c r="M1375" s="61"/>
      <c r="N1375" s="61"/>
      <c r="O1375" s="61"/>
      <c r="P1375" s="61"/>
      <c r="Q1375" s="61"/>
      <c r="R1375" s="61" t="str">
        <f t="shared" si="100"/>
        <v/>
      </c>
      <c r="S1375" s="61" t="str">
        <f t="shared" si="101"/>
        <v/>
      </c>
      <c r="T1375" s="61" t="str">
        <f t="shared" si="99"/>
        <v/>
      </c>
      <c r="U1375" s="61" t="str">
        <f t="shared" si="102"/>
        <v/>
      </c>
      <c r="V1375" s="61"/>
      <c r="W1375" s="61"/>
      <c r="X1375" s="61"/>
      <c r="Y1375" s="471"/>
      <c r="Z1375" s="471"/>
      <c r="AA1375" s="61"/>
      <c r="AB1375" s="61"/>
    </row>
    <row r="1376" spans="1:28" s="2" customFormat="1" ht="15">
      <c r="A1376" s="61" t="s">
        <v>2286</v>
      </c>
      <c r="B1376" s="61" t="s">
        <v>1266</v>
      </c>
      <c r="C1376" s="61" t="s">
        <v>1267</v>
      </c>
      <c r="D1376" s="61" t="s">
        <v>7838</v>
      </c>
      <c r="E1376" s="61">
        <v>2916</v>
      </c>
      <c r="F1376" s="61">
        <v>3173</v>
      </c>
      <c r="G1376" s="61">
        <v>2025</v>
      </c>
      <c r="H1376" s="61" t="s">
        <v>3416</v>
      </c>
      <c r="I1376" s="61" t="s">
        <v>28</v>
      </c>
      <c r="J1376" s="61" t="s">
        <v>2289</v>
      </c>
      <c r="K1376" s="61" t="s">
        <v>212</v>
      </c>
      <c r="L1376" s="476" t="s">
        <v>8545</v>
      </c>
      <c r="M1376" s="475">
        <v>45714</v>
      </c>
      <c r="N1376" s="496">
        <v>45720</v>
      </c>
      <c r="O1376" s="496">
        <v>45720</v>
      </c>
      <c r="P1376" s="496">
        <v>45720</v>
      </c>
      <c r="Q1376" s="475">
        <v>45721</v>
      </c>
      <c r="R1376" s="61">
        <f t="shared" si="100"/>
        <v>4</v>
      </c>
      <c r="S1376" s="61">
        <f t="shared" si="101"/>
        <v>1</v>
      </c>
      <c r="T1376" s="61">
        <f t="shared" si="99"/>
        <v>1</v>
      </c>
      <c r="U1376" s="61">
        <f t="shared" si="102"/>
        <v>1</v>
      </c>
      <c r="V1376" s="61" t="s">
        <v>150</v>
      </c>
      <c r="W1376" s="61" t="s">
        <v>1078</v>
      </c>
      <c r="X1376" s="61" t="s">
        <v>50</v>
      </c>
      <c r="Y1376" s="471">
        <v>15.5648</v>
      </c>
      <c r="Z1376" s="478">
        <v>121.1554</v>
      </c>
      <c r="AA1376" s="61" t="s">
        <v>2590</v>
      </c>
      <c r="AB1376" s="61"/>
    </row>
    <row r="1377" spans="1:28" s="474" customFormat="1">
      <c r="A1377" s="61" t="s">
        <v>2286</v>
      </c>
      <c r="B1377" s="61" t="s">
        <v>1266</v>
      </c>
      <c r="C1377" s="61" t="s">
        <v>1953</v>
      </c>
      <c r="D1377" s="61" t="s">
        <v>7838</v>
      </c>
      <c r="E1377" s="61">
        <v>3052</v>
      </c>
      <c r="F1377" s="61">
        <v>3183</v>
      </c>
      <c r="G1377" s="61">
        <v>2025</v>
      </c>
      <c r="H1377" s="61" t="s">
        <v>3689</v>
      </c>
      <c r="I1377" s="61" t="s">
        <v>267</v>
      </c>
      <c r="J1377" s="61" t="s">
        <v>28</v>
      </c>
      <c r="K1377" s="61" t="s">
        <v>212</v>
      </c>
      <c r="L1377" s="61" t="s">
        <v>8546</v>
      </c>
      <c r="M1377" s="475">
        <v>45812</v>
      </c>
      <c r="N1377" s="475">
        <v>45814</v>
      </c>
      <c r="O1377" s="475">
        <v>45817</v>
      </c>
      <c r="P1377" s="475">
        <v>45817</v>
      </c>
      <c r="Q1377" s="475">
        <v>45824</v>
      </c>
      <c r="R1377" s="61">
        <f t="shared" si="100"/>
        <v>2</v>
      </c>
      <c r="S1377" s="61">
        <f t="shared" si="101"/>
        <v>1</v>
      </c>
      <c r="T1377" s="61">
        <f t="shared" si="99"/>
        <v>1</v>
      </c>
      <c r="U1377" s="61">
        <f t="shared" si="102"/>
        <v>5</v>
      </c>
      <c r="V1377" s="61" t="s">
        <v>150</v>
      </c>
      <c r="W1377" s="61" t="s">
        <v>1078</v>
      </c>
      <c r="X1377" s="61" t="s">
        <v>50</v>
      </c>
      <c r="Y1377" s="471">
        <v>15.5962</v>
      </c>
      <c r="Z1377" s="471">
        <v>121.21550000000001</v>
      </c>
      <c r="AA1377" s="61" t="s">
        <v>8361</v>
      </c>
      <c r="AB1377" s="61"/>
    </row>
    <row r="1378" spans="1:28" s="474" customFormat="1">
      <c r="A1378" s="61" t="s">
        <v>2286</v>
      </c>
      <c r="B1378" s="61" t="s">
        <v>1266</v>
      </c>
      <c r="C1378" s="61" t="s">
        <v>4925</v>
      </c>
      <c r="D1378" s="61" t="s">
        <v>7838</v>
      </c>
      <c r="E1378" s="61">
        <v>1736</v>
      </c>
      <c r="F1378" s="61">
        <v>1984</v>
      </c>
      <c r="G1378" s="61">
        <v>2025</v>
      </c>
      <c r="H1378" s="61" t="s">
        <v>3125</v>
      </c>
      <c r="I1378" s="61" t="s">
        <v>267</v>
      </c>
      <c r="J1378" s="61" t="s">
        <v>28</v>
      </c>
      <c r="K1378" s="61" t="s">
        <v>212</v>
      </c>
      <c r="L1378" s="61" t="s">
        <v>8547</v>
      </c>
      <c r="M1378" s="475">
        <v>45846</v>
      </c>
      <c r="N1378" s="475">
        <v>45855</v>
      </c>
      <c r="O1378" s="475">
        <v>45856</v>
      </c>
      <c r="P1378" s="475">
        <v>45856</v>
      </c>
      <c r="Q1378" s="475">
        <v>45856</v>
      </c>
      <c r="R1378" s="61">
        <f t="shared" si="100"/>
        <v>7</v>
      </c>
      <c r="S1378" s="61">
        <f t="shared" si="101"/>
        <v>1</v>
      </c>
      <c r="T1378" s="61">
        <f t="shared" si="99"/>
        <v>1</v>
      </c>
      <c r="U1378" s="61">
        <f t="shared" si="102"/>
        <v>1</v>
      </c>
      <c r="V1378" s="61" t="s">
        <v>150</v>
      </c>
      <c r="W1378" s="61" t="s">
        <v>1078</v>
      </c>
      <c r="X1378" s="61" t="s">
        <v>50</v>
      </c>
      <c r="Y1378" s="61">
        <v>15.5692</v>
      </c>
      <c r="Z1378" s="61">
        <v>121.1459</v>
      </c>
      <c r="AA1378" s="61" t="s">
        <v>612</v>
      </c>
      <c r="AB1378" s="61"/>
    </row>
    <row r="1379" spans="1:28" s="2" customFormat="1" ht="15">
      <c r="A1379" s="61" t="s">
        <v>2286</v>
      </c>
      <c r="B1379" s="61" t="s">
        <v>1266</v>
      </c>
      <c r="C1379" s="61" t="s">
        <v>1166</v>
      </c>
      <c r="D1379" s="61" t="s">
        <v>7838</v>
      </c>
      <c r="E1379" s="61">
        <v>2315</v>
      </c>
      <c r="F1379" s="61">
        <v>2058</v>
      </c>
      <c r="G1379" s="61">
        <v>2025</v>
      </c>
      <c r="H1379" s="61" t="s">
        <v>3689</v>
      </c>
      <c r="I1379" s="61" t="s">
        <v>267</v>
      </c>
      <c r="J1379" s="61" t="s">
        <v>28</v>
      </c>
      <c r="K1379" s="61" t="s">
        <v>212</v>
      </c>
      <c r="L1379" s="61" t="s">
        <v>8548</v>
      </c>
      <c r="M1379" s="475">
        <v>45804</v>
      </c>
      <c r="N1379" s="475">
        <v>45806</v>
      </c>
      <c r="O1379" s="475">
        <v>45810</v>
      </c>
      <c r="P1379" s="475">
        <v>45810</v>
      </c>
      <c r="Q1379" s="475">
        <v>45813</v>
      </c>
      <c r="R1379" s="61">
        <f t="shared" si="100"/>
        <v>2</v>
      </c>
      <c r="S1379" s="61">
        <f t="shared" si="101"/>
        <v>2</v>
      </c>
      <c r="T1379" s="61">
        <f t="shared" si="99"/>
        <v>1</v>
      </c>
      <c r="U1379" s="61">
        <f t="shared" si="102"/>
        <v>3</v>
      </c>
      <c r="V1379" s="61" t="s">
        <v>150</v>
      </c>
      <c r="W1379" s="61" t="s">
        <v>1078</v>
      </c>
      <c r="X1379" s="61" t="s">
        <v>50</v>
      </c>
      <c r="Y1379" s="471">
        <v>15.5716</v>
      </c>
      <c r="Z1379" s="471">
        <v>121.2295</v>
      </c>
      <c r="AA1379" s="61" t="s">
        <v>8361</v>
      </c>
      <c r="AB1379" s="61"/>
    </row>
    <row r="1380" spans="1:28" s="2" customFormat="1" ht="15">
      <c r="A1380" s="61" t="s">
        <v>2286</v>
      </c>
      <c r="B1380" s="61" t="s">
        <v>1266</v>
      </c>
      <c r="C1380" s="61" t="s">
        <v>4942</v>
      </c>
      <c r="D1380" s="61" t="s">
        <v>7838</v>
      </c>
      <c r="E1380" s="61">
        <v>3162</v>
      </c>
      <c r="F1380" s="61">
        <v>3399</v>
      </c>
      <c r="G1380" s="61">
        <v>2025</v>
      </c>
      <c r="H1380" s="61" t="s">
        <v>3689</v>
      </c>
      <c r="I1380" s="61" t="s">
        <v>267</v>
      </c>
      <c r="J1380" s="61" t="s">
        <v>28</v>
      </c>
      <c r="K1380" s="61" t="s">
        <v>212</v>
      </c>
      <c r="L1380" s="61" t="s">
        <v>8549</v>
      </c>
      <c r="M1380" s="475">
        <v>45806</v>
      </c>
      <c r="N1380" s="475">
        <v>45814</v>
      </c>
      <c r="O1380" s="475">
        <v>45817</v>
      </c>
      <c r="P1380" s="475">
        <v>45817</v>
      </c>
      <c r="Q1380" s="475">
        <v>45824</v>
      </c>
      <c r="R1380" s="61">
        <f t="shared" si="100"/>
        <v>6</v>
      </c>
      <c r="S1380" s="61">
        <f t="shared" si="101"/>
        <v>1</v>
      </c>
      <c r="T1380" s="61">
        <f t="shared" si="99"/>
        <v>1</v>
      </c>
      <c r="U1380" s="61">
        <f t="shared" si="102"/>
        <v>5</v>
      </c>
      <c r="V1380" s="61" t="s">
        <v>150</v>
      </c>
      <c r="W1380" s="61" t="s">
        <v>1078</v>
      </c>
      <c r="X1380" s="61" t="s">
        <v>50</v>
      </c>
      <c r="Y1380" s="471">
        <v>15.580299999999999</v>
      </c>
      <c r="Z1380" s="471">
        <v>121.22239999999999</v>
      </c>
      <c r="AA1380" s="61" t="s">
        <v>2590</v>
      </c>
      <c r="AB1380" s="61"/>
    </row>
    <row r="1381" spans="1:28" s="2" customFormat="1" ht="15">
      <c r="A1381" s="61" t="s">
        <v>2286</v>
      </c>
      <c r="B1381" s="61" t="s">
        <v>1266</v>
      </c>
      <c r="C1381" s="61" t="s">
        <v>3403</v>
      </c>
      <c r="D1381" s="61" t="s">
        <v>7838</v>
      </c>
      <c r="E1381" s="61">
        <v>2715</v>
      </c>
      <c r="F1381" s="61">
        <v>2715</v>
      </c>
      <c r="G1381" s="61"/>
      <c r="H1381" s="61"/>
      <c r="I1381" s="61" t="s">
        <v>28</v>
      </c>
      <c r="J1381" s="61"/>
      <c r="K1381" s="61" t="s">
        <v>212</v>
      </c>
      <c r="L1381" s="61"/>
      <c r="M1381" s="61"/>
      <c r="N1381" s="61"/>
      <c r="O1381" s="61"/>
      <c r="P1381" s="61"/>
      <c r="Q1381" s="61"/>
      <c r="R1381" s="61" t="str">
        <f t="shared" si="100"/>
        <v/>
      </c>
      <c r="S1381" s="61" t="str">
        <f t="shared" si="101"/>
        <v/>
      </c>
      <c r="T1381" s="61" t="str">
        <f t="shared" si="99"/>
        <v/>
      </c>
      <c r="U1381" s="61" t="str">
        <f t="shared" si="102"/>
        <v/>
      </c>
      <c r="V1381" s="61"/>
      <c r="W1381" s="61"/>
      <c r="X1381" s="61"/>
      <c r="Y1381" s="471"/>
      <c r="Z1381" s="471"/>
      <c r="AA1381" s="61"/>
      <c r="AB1381" s="61"/>
    </row>
    <row r="1382" spans="1:28" s="2" customFormat="1" ht="15">
      <c r="A1382" s="61" t="s">
        <v>2286</v>
      </c>
      <c r="B1382" s="61" t="s">
        <v>1266</v>
      </c>
      <c r="C1382" s="61" t="s">
        <v>3407</v>
      </c>
      <c r="D1382" s="61" t="s">
        <v>7838</v>
      </c>
      <c r="E1382" s="61">
        <v>1524</v>
      </c>
      <c r="F1382" s="61">
        <v>1557</v>
      </c>
      <c r="G1382" s="61"/>
      <c r="H1382" s="61"/>
      <c r="I1382" s="61" t="s">
        <v>28</v>
      </c>
      <c r="J1382" s="61"/>
      <c r="K1382" s="61" t="s">
        <v>212</v>
      </c>
      <c r="L1382" s="61"/>
      <c r="M1382" s="61"/>
      <c r="N1382" s="61"/>
      <c r="O1382" s="61"/>
      <c r="P1382" s="61"/>
      <c r="Q1382" s="61"/>
      <c r="R1382" s="61" t="str">
        <f t="shared" si="100"/>
        <v/>
      </c>
      <c r="S1382" s="61" t="str">
        <f t="shared" si="101"/>
        <v/>
      </c>
      <c r="T1382" s="61" t="str">
        <f t="shared" si="99"/>
        <v/>
      </c>
      <c r="U1382" s="61" t="str">
        <f t="shared" si="102"/>
        <v/>
      </c>
      <c r="V1382" s="61"/>
      <c r="W1382" s="61"/>
      <c r="X1382" s="61"/>
      <c r="Y1382" s="471"/>
      <c r="Z1382" s="471"/>
      <c r="AA1382" s="61"/>
      <c r="AB1382" s="61"/>
    </row>
    <row r="1383" spans="1:28" s="2" customFormat="1" ht="15">
      <c r="A1383" s="61" t="s">
        <v>2286</v>
      </c>
      <c r="B1383" s="61" t="s">
        <v>1266</v>
      </c>
      <c r="C1383" s="61" t="s">
        <v>3409</v>
      </c>
      <c r="D1383" s="61" t="s">
        <v>7838</v>
      </c>
      <c r="E1383" s="61">
        <v>1399</v>
      </c>
      <c r="F1383" s="61">
        <v>1278</v>
      </c>
      <c r="G1383" s="61"/>
      <c r="H1383" s="61"/>
      <c r="I1383" s="61" t="s">
        <v>28</v>
      </c>
      <c r="J1383" s="61"/>
      <c r="K1383" s="61" t="s">
        <v>212</v>
      </c>
      <c r="L1383" s="61"/>
      <c r="M1383" s="61"/>
      <c r="N1383" s="61"/>
      <c r="O1383" s="61"/>
      <c r="P1383" s="61"/>
      <c r="Q1383" s="61"/>
      <c r="R1383" s="61" t="str">
        <f t="shared" si="100"/>
        <v/>
      </c>
      <c r="S1383" s="61" t="str">
        <f t="shared" si="101"/>
        <v/>
      </c>
      <c r="T1383" s="61" t="str">
        <f t="shared" si="99"/>
        <v/>
      </c>
      <c r="U1383" s="61" t="str">
        <f t="shared" si="102"/>
        <v/>
      </c>
      <c r="V1383" s="61"/>
      <c r="W1383" s="61"/>
      <c r="X1383" s="61"/>
      <c r="Y1383" s="471"/>
      <c r="Z1383" s="471"/>
      <c r="AA1383" s="61"/>
      <c r="AB1383" s="61"/>
    </row>
    <row r="1384" spans="1:28" s="2" customFormat="1" ht="15">
      <c r="A1384" s="61" t="s">
        <v>2286</v>
      </c>
      <c r="B1384" s="61" t="s">
        <v>1266</v>
      </c>
      <c r="C1384" s="61" t="s">
        <v>3410</v>
      </c>
      <c r="D1384" s="61" t="s">
        <v>7838</v>
      </c>
      <c r="E1384" s="61">
        <v>3054</v>
      </c>
      <c r="F1384" s="61">
        <v>3196</v>
      </c>
      <c r="G1384" s="61"/>
      <c r="H1384" s="61"/>
      <c r="I1384" s="61" t="s">
        <v>28</v>
      </c>
      <c r="J1384" s="61"/>
      <c r="K1384" s="61" t="s">
        <v>212</v>
      </c>
      <c r="L1384" s="61"/>
      <c r="M1384" s="61"/>
      <c r="N1384" s="61"/>
      <c r="O1384" s="61"/>
      <c r="P1384" s="61"/>
      <c r="Q1384" s="61"/>
      <c r="R1384" s="61" t="str">
        <f t="shared" si="100"/>
        <v/>
      </c>
      <c r="S1384" s="61" t="str">
        <f t="shared" si="101"/>
        <v/>
      </c>
      <c r="T1384" s="61" t="str">
        <f t="shared" si="99"/>
        <v/>
      </c>
      <c r="U1384" s="61" t="str">
        <f t="shared" si="102"/>
        <v/>
      </c>
      <c r="V1384" s="61"/>
      <c r="W1384" s="61"/>
      <c r="X1384" s="61"/>
      <c r="Y1384" s="471"/>
      <c r="Z1384" s="471"/>
      <c r="AA1384" s="61"/>
      <c r="AB1384" s="61"/>
    </row>
    <row r="1385" spans="1:28" s="2" customFormat="1" ht="15">
      <c r="A1385" s="61" t="s">
        <v>2286</v>
      </c>
      <c r="B1385" s="61" t="s">
        <v>1266</v>
      </c>
      <c r="C1385" s="61" t="s">
        <v>4936</v>
      </c>
      <c r="D1385" s="61" t="s">
        <v>7838</v>
      </c>
      <c r="E1385" s="61">
        <v>586</v>
      </c>
      <c r="F1385" s="61">
        <v>625</v>
      </c>
      <c r="G1385" s="61"/>
      <c r="H1385" s="61"/>
      <c r="I1385" s="61" t="s">
        <v>28</v>
      </c>
      <c r="J1385" s="61"/>
      <c r="K1385" s="61" t="s">
        <v>212</v>
      </c>
      <c r="L1385" s="61"/>
      <c r="M1385" s="61"/>
      <c r="N1385" s="61"/>
      <c r="O1385" s="61"/>
      <c r="P1385" s="61"/>
      <c r="Q1385" s="61"/>
      <c r="R1385" s="61" t="str">
        <f t="shared" si="100"/>
        <v/>
      </c>
      <c r="S1385" s="61" t="str">
        <f t="shared" si="101"/>
        <v/>
      </c>
      <c r="T1385" s="61" t="str">
        <f t="shared" si="99"/>
        <v/>
      </c>
      <c r="U1385" s="61" t="str">
        <f t="shared" si="102"/>
        <v/>
      </c>
      <c r="V1385" s="61"/>
      <c r="W1385" s="61"/>
      <c r="X1385" s="61"/>
      <c r="Y1385" s="471"/>
      <c r="Z1385" s="471"/>
      <c r="AA1385" s="61"/>
      <c r="AB1385" s="61"/>
    </row>
    <row r="1386" spans="1:28" s="474" customFormat="1">
      <c r="A1386" s="61" t="s">
        <v>2286</v>
      </c>
      <c r="B1386" s="61" t="s">
        <v>1266</v>
      </c>
      <c r="C1386" s="61" t="s">
        <v>4937</v>
      </c>
      <c r="D1386" s="61" t="s">
        <v>7838</v>
      </c>
      <c r="E1386" s="61">
        <v>2471</v>
      </c>
      <c r="F1386" s="61">
        <v>2911</v>
      </c>
      <c r="G1386" s="61"/>
      <c r="H1386" s="61"/>
      <c r="I1386" s="61" t="s">
        <v>28</v>
      </c>
      <c r="J1386" s="61"/>
      <c r="K1386" s="61" t="s">
        <v>212</v>
      </c>
      <c r="L1386" s="61"/>
      <c r="M1386" s="61"/>
      <c r="N1386" s="61"/>
      <c r="O1386" s="61"/>
      <c r="P1386" s="61"/>
      <c r="Q1386" s="61"/>
      <c r="R1386" s="61" t="str">
        <f t="shared" si="100"/>
        <v/>
      </c>
      <c r="S1386" s="61" t="str">
        <f t="shared" si="101"/>
        <v/>
      </c>
      <c r="T1386" s="61" t="str">
        <f t="shared" si="99"/>
        <v/>
      </c>
      <c r="U1386" s="61" t="str">
        <f t="shared" si="102"/>
        <v/>
      </c>
      <c r="V1386" s="61"/>
      <c r="W1386" s="61"/>
      <c r="X1386" s="61"/>
      <c r="Y1386" s="471"/>
      <c r="Z1386" s="471"/>
      <c r="AA1386" s="61"/>
      <c r="AB1386" s="61"/>
    </row>
    <row r="1387" spans="1:28" s="474" customFormat="1">
      <c r="A1387" s="61" t="s">
        <v>2286</v>
      </c>
      <c r="B1387" s="61" t="s">
        <v>1266</v>
      </c>
      <c r="C1387" s="61" t="s">
        <v>4938</v>
      </c>
      <c r="D1387" s="61" t="s">
        <v>7838</v>
      </c>
      <c r="E1387" s="61">
        <v>857</v>
      </c>
      <c r="F1387" s="61">
        <v>930</v>
      </c>
      <c r="G1387" s="61"/>
      <c r="H1387" s="61"/>
      <c r="I1387" s="61" t="s">
        <v>28</v>
      </c>
      <c r="J1387" s="61"/>
      <c r="K1387" s="61" t="s">
        <v>212</v>
      </c>
      <c r="L1387" s="61"/>
      <c r="M1387" s="61"/>
      <c r="N1387" s="61"/>
      <c r="O1387" s="61"/>
      <c r="P1387" s="61"/>
      <c r="Q1387" s="61"/>
      <c r="R1387" s="61" t="str">
        <f t="shared" si="100"/>
        <v/>
      </c>
      <c r="S1387" s="61" t="str">
        <f t="shared" si="101"/>
        <v/>
      </c>
      <c r="T1387" s="61" t="str">
        <f t="shared" si="99"/>
        <v/>
      </c>
      <c r="U1387" s="61" t="str">
        <f t="shared" si="102"/>
        <v/>
      </c>
      <c r="V1387" s="61"/>
      <c r="W1387" s="61"/>
      <c r="X1387" s="61"/>
      <c r="Y1387" s="471"/>
      <c r="Z1387" s="471"/>
      <c r="AA1387" s="61"/>
      <c r="AB1387" s="61"/>
    </row>
    <row r="1388" spans="1:28" s="2" customFormat="1" ht="15">
      <c r="A1388" s="61" t="s">
        <v>2286</v>
      </c>
      <c r="B1388" s="61" t="s">
        <v>1266</v>
      </c>
      <c r="C1388" s="61" t="s">
        <v>4939</v>
      </c>
      <c r="D1388" s="61" t="s">
        <v>7838</v>
      </c>
      <c r="E1388" s="61">
        <v>420</v>
      </c>
      <c r="F1388" s="61">
        <v>459</v>
      </c>
      <c r="G1388" s="61"/>
      <c r="H1388" s="61"/>
      <c r="I1388" s="61" t="s">
        <v>28</v>
      </c>
      <c r="J1388" s="61"/>
      <c r="K1388" s="61" t="s">
        <v>212</v>
      </c>
      <c r="L1388" s="61"/>
      <c r="M1388" s="61"/>
      <c r="N1388" s="61"/>
      <c r="O1388" s="61"/>
      <c r="P1388" s="61"/>
      <c r="Q1388" s="61"/>
      <c r="R1388" s="61" t="str">
        <f t="shared" si="100"/>
        <v/>
      </c>
      <c r="S1388" s="61" t="str">
        <f t="shared" si="101"/>
        <v/>
      </c>
      <c r="T1388" s="61" t="str">
        <f t="shared" si="99"/>
        <v/>
      </c>
      <c r="U1388" s="61" t="str">
        <f t="shared" si="102"/>
        <v/>
      </c>
      <c r="V1388" s="61"/>
      <c r="W1388" s="61"/>
      <c r="X1388" s="61"/>
      <c r="Y1388" s="471"/>
      <c r="Z1388" s="471"/>
      <c r="AA1388" s="61"/>
      <c r="AB1388" s="61"/>
    </row>
    <row r="1389" spans="1:28" s="2" customFormat="1" ht="15">
      <c r="A1389" s="61" t="s">
        <v>2286</v>
      </c>
      <c r="B1389" s="61" t="s">
        <v>1266</v>
      </c>
      <c r="C1389" s="61" t="s">
        <v>4940</v>
      </c>
      <c r="D1389" s="61" t="s">
        <v>7838</v>
      </c>
      <c r="E1389" s="61">
        <v>1901</v>
      </c>
      <c r="F1389" s="61">
        <v>1927</v>
      </c>
      <c r="G1389" s="61"/>
      <c r="H1389" s="61"/>
      <c r="I1389" s="61" t="s">
        <v>28</v>
      </c>
      <c r="J1389" s="61"/>
      <c r="K1389" s="61" t="s">
        <v>212</v>
      </c>
      <c r="L1389" s="61"/>
      <c r="M1389" s="61"/>
      <c r="N1389" s="61"/>
      <c r="O1389" s="61"/>
      <c r="P1389" s="61"/>
      <c r="Q1389" s="61"/>
      <c r="R1389" s="61" t="str">
        <f t="shared" si="100"/>
        <v/>
      </c>
      <c r="S1389" s="61" t="str">
        <f t="shared" si="101"/>
        <v/>
      </c>
      <c r="T1389" s="61" t="str">
        <f t="shared" si="99"/>
        <v/>
      </c>
      <c r="U1389" s="61" t="str">
        <f t="shared" si="102"/>
        <v/>
      </c>
      <c r="V1389" s="61"/>
      <c r="W1389" s="61"/>
      <c r="X1389" s="61"/>
      <c r="Y1389" s="471"/>
      <c r="Z1389" s="471"/>
      <c r="AA1389" s="61"/>
      <c r="AB1389" s="61"/>
    </row>
    <row r="1390" spans="1:28" s="2" customFormat="1" ht="15">
      <c r="A1390" s="61" t="s">
        <v>2286</v>
      </c>
      <c r="B1390" s="61" t="s">
        <v>1266</v>
      </c>
      <c r="C1390" s="61" t="s">
        <v>1225</v>
      </c>
      <c r="D1390" s="61" t="s">
        <v>7838</v>
      </c>
      <c r="E1390" s="61">
        <v>1976</v>
      </c>
      <c r="F1390" s="61">
        <v>2297</v>
      </c>
      <c r="G1390" s="61"/>
      <c r="H1390" s="61"/>
      <c r="I1390" s="61" t="s">
        <v>28</v>
      </c>
      <c r="J1390" s="61"/>
      <c r="K1390" s="61" t="s">
        <v>212</v>
      </c>
      <c r="L1390" s="61"/>
      <c r="M1390" s="61"/>
      <c r="N1390" s="61"/>
      <c r="O1390" s="61"/>
      <c r="P1390" s="61"/>
      <c r="Q1390" s="61"/>
      <c r="R1390" s="61" t="str">
        <f t="shared" si="100"/>
        <v/>
      </c>
      <c r="S1390" s="61" t="str">
        <f t="shared" si="101"/>
        <v/>
      </c>
      <c r="T1390" s="61" t="str">
        <f t="shared" si="99"/>
        <v/>
      </c>
      <c r="U1390" s="61" t="str">
        <f t="shared" si="102"/>
        <v/>
      </c>
      <c r="V1390" s="61"/>
      <c r="W1390" s="61"/>
      <c r="X1390" s="61"/>
      <c r="Y1390" s="471"/>
      <c r="Z1390" s="471"/>
      <c r="AA1390" s="61"/>
      <c r="AB1390" s="61"/>
    </row>
    <row r="1391" spans="1:28" s="2" customFormat="1" ht="15">
      <c r="A1391" s="61" t="s">
        <v>2286</v>
      </c>
      <c r="B1391" s="61" t="s">
        <v>1266</v>
      </c>
      <c r="C1391" s="61" t="s">
        <v>1180</v>
      </c>
      <c r="D1391" s="61" t="s">
        <v>7838</v>
      </c>
      <c r="E1391" s="61">
        <v>3457</v>
      </c>
      <c r="F1391" s="61">
        <v>4136</v>
      </c>
      <c r="G1391" s="61"/>
      <c r="H1391" s="61"/>
      <c r="I1391" s="61" t="s">
        <v>28</v>
      </c>
      <c r="J1391" s="61"/>
      <c r="K1391" s="61" t="s">
        <v>212</v>
      </c>
      <c r="L1391" s="61"/>
      <c r="M1391" s="61"/>
      <c r="N1391" s="61"/>
      <c r="O1391" s="61"/>
      <c r="P1391" s="61"/>
      <c r="Q1391" s="61"/>
      <c r="R1391" s="61" t="str">
        <f t="shared" si="100"/>
        <v/>
      </c>
      <c r="S1391" s="61" t="str">
        <f t="shared" si="101"/>
        <v/>
      </c>
      <c r="T1391" s="61" t="str">
        <f t="shared" si="99"/>
        <v/>
      </c>
      <c r="U1391" s="61" t="str">
        <f t="shared" si="102"/>
        <v/>
      </c>
      <c r="V1391" s="61"/>
      <c r="W1391" s="61"/>
      <c r="X1391" s="61"/>
      <c r="Y1391" s="471"/>
      <c r="Z1391" s="471"/>
      <c r="AA1391" s="61"/>
      <c r="AB1391" s="61"/>
    </row>
    <row r="1392" spans="1:28" s="2" customFormat="1" ht="15">
      <c r="A1392" s="61" t="s">
        <v>2286</v>
      </c>
      <c r="B1392" s="61" t="s">
        <v>1266</v>
      </c>
      <c r="C1392" s="61" t="s">
        <v>918</v>
      </c>
      <c r="D1392" s="61" t="s">
        <v>7838</v>
      </c>
      <c r="E1392" s="61">
        <v>2115</v>
      </c>
      <c r="F1392" s="61">
        <v>2435</v>
      </c>
      <c r="G1392" s="61"/>
      <c r="H1392" s="61"/>
      <c r="I1392" s="61" t="s">
        <v>28</v>
      </c>
      <c r="J1392" s="61"/>
      <c r="K1392" s="61" t="s">
        <v>212</v>
      </c>
      <c r="L1392" s="61"/>
      <c r="M1392" s="61"/>
      <c r="N1392" s="61"/>
      <c r="O1392" s="61"/>
      <c r="P1392" s="61"/>
      <c r="Q1392" s="61"/>
      <c r="R1392" s="61" t="str">
        <f t="shared" si="100"/>
        <v/>
      </c>
      <c r="S1392" s="61" t="str">
        <f t="shared" si="101"/>
        <v/>
      </c>
      <c r="T1392" s="61" t="str">
        <f t="shared" si="99"/>
        <v/>
      </c>
      <c r="U1392" s="61" t="str">
        <f t="shared" si="102"/>
        <v/>
      </c>
      <c r="V1392" s="61"/>
      <c r="W1392" s="61"/>
      <c r="X1392" s="61"/>
      <c r="Y1392" s="471"/>
      <c r="Z1392" s="471"/>
      <c r="AA1392" s="61"/>
      <c r="AB1392" s="61"/>
    </row>
    <row r="1393" spans="1:28" s="2" customFormat="1" ht="15">
      <c r="A1393" s="61" t="s">
        <v>2286</v>
      </c>
      <c r="B1393" s="61" t="s">
        <v>1269</v>
      </c>
      <c r="C1393" s="61" t="s">
        <v>4943</v>
      </c>
      <c r="D1393" s="61" t="s">
        <v>7838</v>
      </c>
      <c r="E1393" s="61">
        <v>1388</v>
      </c>
      <c r="F1393" s="61">
        <v>1498</v>
      </c>
      <c r="G1393" s="61">
        <v>2025</v>
      </c>
      <c r="H1393" s="61" t="s">
        <v>3416</v>
      </c>
      <c r="I1393" s="61" t="s">
        <v>224</v>
      </c>
      <c r="J1393" s="61" t="s">
        <v>2289</v>
      </c>
      <c r="K1393" s="61" t="s">
        <v>212</v>
      </c>
      <c r="L1393" s="61" t="s">
        <v>8550</v>
      </c>
      <c r="M1393" s="475">
        <v>45729</v>
      </c>
      <c r="N1393" s="475">
        <v>45732</v>
      </c>
      <c r="O1393" s="475">
        <v>45734</v>
      </c>
      <c r="P1393" s="475">
        <v>45734</v>
      </c>
      <c r="Q1393" s="475">
        <v>45735</v>
      </c>
      <c r="R1393" s="61">
        <f t="shared" si="100"/>
        <v>1</v>
      </c>
      <c r="S1393" s="61">
        <f t="shared" si="101"/>
        <v>1</v>
      </c>
      <c r="T1393" s="61">
        <f t="shared" si="99"/>
        <v>1</v>
      </c>
      <c r="U1393" s="61">
        <f t="shared" si="102"/>
        <v>1</v>
      </c>
      <c r="V1393" s="61" t="s">
        <v>150</v>
      </c>
      <c r="W1393" s="61" t="s">
        <v>1078</v>
      </c>
      <c r="X1393" s="61" t="s">
        <v>50</v>
      </c>
      <c r="Y1393" s="471">
        <v>15.5663</v>
      </c>
      <c r="Z1393" s="471">
        <v>120.7812</v>
      </c>
      <c r="AA1393" s="61" t="s">
        <v>2590</v>
      </c>
      <c r="AB1393" s="61"/>
    </row>
    <row r="1394" spans="1:28" s="2" customFormat="1" ht="15">
      <c r="A1394" s="61" t="s">
        <v>2286</v>
      </c>
      <c r="B1394" s="61" t="s">
        <v>1269</v>
      </c>
      <c r="C1394" s="61" t="s">
        <v>1486</v>
      </c>
      <c r="D1394" s="61" t="s">
        <v>7838</v>
      </c>
      <c r="E1394" s="61">
        <v>1393</v>
      </c>
      <c r="F1394" s="61">
        <v>1356</v>
      </c>
      <c r="G1394" s="61">
        <v>2025</v>
      </c>
      <c r="H1394" s="61" t="s">
        <v>3458</v>
      </c>
      <c r="I1394" s="61" t="s">
        <v>224</v>
      </c>
      <c r="J1394" s="61" t="s">
        <v>2289</v>
      </c>
      <c r="K1394" s="61" t="s">
        <v>212</v>
      </c>
      <c r="L1394" s="61" t="s">
        <v>8551</v>
      </c>
      <c r="M1394" s="475">
        <v>45700</v>
      </c>
      <c r="N1394" s="475">
        <v>45703</v>
      </c>
      <c r="O1394" s="475">
        <v>45705</v>
      </c>
      <c r="P1394" s="475">
        <v>45705</v>
      </c>
      <c r="Q1394" s="475">
        <v>45705</v>
      </c>
      <c r="R1394" s="61">
        <f t="shared" si="100"/>
        <v>2</v>
      </c>
      <c r="S1394" s="61">
        <f t="shared" si="101"/>
        <v>1</v>
      </c>
      <c r="T1394" s="61">
        <f t="shared" si="99"/>
        <v>1</v>
      </c>
      <c r="U1394" s="61">
        <f t="shared" si="102"/>
        <v>1</v>
      </c>
      <c r="V1394" s="61" t="s">
        <v>150</v>
      </c>
      <c r="W1394" s="61" t="s">
        <v>1078</v>
      </c>
      <c r="X1394" s="61" t="s">
        <v>50</v>
      </c>
      <c r="Y1394" s="471">
        <v>15.545500000000001</v>
      </c>
      <c r="Z1394" s="471" t="s">
        <v>8552</v>
      </c>
      <c r="AA1394" s="61" t="s">
        <v>2590</v>
      </c>
      <c r="AB1394" s="61"/>
    </row>
    <row r="1395" spans="1:28" s="2" customFormat="1" ht="15">
      <c r="A1395" s="61" t="s">
        <v>2286</v>
      </c>
      <c r="B1395" s="61" t="s">
        <v>1269</v>
      </c>
      <c r="C1395" s="61" t="s">
        <v>4947</v>
      </c>
      <c r="D1395" s="61" t="s">
        <v>7838</v>
      </c>
      <c r="E1395" s="61">
        <v>3268</v>
      </c>
      <c r="F1395" s="61">
        <v>3211</v>
      </c>
      <c r="G1395" s="61">
        <v>2025</v>
      </c>
      <c r="H1395" s="61" t="s">
        <v>3416</v>
      </c>
      <c r="I1395" s="61" t="s">
        <v>224</v>
      </c>
      <c r="J1395" s="61" t="s">
        <v>2289</v>
      </c>
      <c r="K1395" s="61" t="s">
        <v>212</v>
      </c>
      <c r="L1395" s="61" t="s">
        <v>8553</v>
      </c>
      <c r="M1395" s="475">
        <v>45715</v>
      </c>
      <c r="N1395" s="475">
        <v>45716</v>
      </c>
      <c r="O1395" s="475">
        <v>45719</v>
      </c>
      <c r="P1395" s="475">
        <v>45719</v>
      </c>
      <c r="Q1395" s="475">
        <v>45721</v>
      </c>
      <c r="R1395" s="61">
        <f t="shared" si="100"/>
        <v>1</v>
      </c>
      <c r="S1395" s="61">
        <f t="shared" si="101"/>
        <v>1</v>
      </c>
      <c r="T1395" s="61">
        <f t="shared" si="99"/>
        <v>1</v>
      </c>
      <c r="U1395" s="61">
        <f t="shared" si="102"/>
        <v>2</v>
      </c>
      <c r="V1395" s="61" t="s">
        <v>150</v>
      </c>
      <c r="W1395" s="61" t="s">
        <v>1078</v>
      </c>
      <c r="X1395" s="61" t="s">
        <v>50</v>
      </c>
      <c r="Y1395" s="471">
        <v>15.552899999999999</v>
      </c>
      <c r="Z1395" s="471" t="s">
        <v>8554</v>
      </c>
      <c r="AA1395" s="61" t="s">
        <v>2590</v>
      </c>
      <c r="AB1395" s="61"/>
    </row>
    <row r="1396" spans="1:28" s="2" customFormat="1" ht="15">
      <c r="A1396" s="61" t="s">
        <v>2286</v>
      </c>
      <c r="B1396" s="61" t="s">
        <v>1269</v>
      </c>
      <c r="C1396" s="61" t="s">
        <v>4948</v>
      </c>
      <c r="D1396" s="61" t="s">
        <v>7838</v>
      </c>
      <c r="E1396" s="61">
        <v>3721</v>
      </c>
      <c r="F1396" s="61">
        <v>3863</v>
      </c>
      <c r="G1396" s="61">
        <v>2025</v>
      </c>
      <c r="H1396" s="61" t="s">
        <v>3416</v>
      </c>
      <c r="I1396" s="61" t="s">
        <v>224</v>
      </c>
      <c r="J1396" s="61" t="s">
        <v>2289</v>
      </c>
      <c r="K1396" s="61" t="s">
        <v>212</v>
      </c>
      <c r="L1396" s="61" t="s">
        <v>8555</v>
      </c>
      <c r="M1396" s="475">
        <v>45715</v>
      </c>
      <c r="N1396" s="475">
        <v>45716</v>
      </c>
      <c r="O1396" s="475">
        <v>45719</v>
      </c>
      <c r="P1396" s="475">
        <v>45720</v>
      </c>
      <c r="Q1396" s="475">
        <v>45721</v>
      </c>
      <c r="R1396" s="61">
        <f t="shared" si="100"/>
        <v>1</v>
      </c>
      <c r="S1396" s="61">
        <f t="shared" si="101"/>
        <v>1</v>
      </c>
      <c r="T1396" s="61">
        <f t="shared" si="99"/>
        <v>1</v>
      </c>
      <c r="U1396" s="61">
        <f t="shared" si="102"/>
        <v>1</v>
      </c>
      <c r="V1396" s="61" t="s">
        <v>150</v>
      </c>
      <c r="W1396" s="61" t="s">
        <v>1078</v>
      </c>
      <c r="X1396" s="61" t="s">
        <v>50</v>
      </c>
      <c r="Y1396" s="471">
        <v>15.553599999999999</v>
      </c>
      <c r="Z1396" s="471" t="s">
        <v>8556</v>
      </c>
      <c r="AA1396" s="61" t="s">
        <v>2590</v>
      </c>
      <c r="AB1396" s="61"/>
    </row>
    <row r="1397" spans="1:28" s="2" customFormat="1" ht="15">
      <c r="A1397" s="61" t="s">
        <v>2286</v>
      </c>
      <c r="B1397" s="61" t="s">
        <v>1269</v>
      </c>
      <c r="C1397" s="61" t="s">
        <v>858</v>
      </c>
      <c r="D1397" s="61" t="s">
        <v>7838</v>
      </c>
      <c r="E1397" s="61">
        <v>1449</v>
      </c>
      <c r="F1397" s="61">
        <v>1624</v>
      </c>
      <c r="G1397" s="61">
        <v>2025</v>
      </c>
      <c r="H1397" s="61" t="s">
        <v>3532</v>
      </c>
      <c r="I1397" s="61" t="s">
        <v>224</v>
      </c>
      <c r="J1397" s="61" t="s">
        <v>2289</v>
      </c>
      <c r="K1397" s="61" t="s">
        <v>212</v>
      </c>
      <c r="L1397" s="61" t="s">
        <v>8557</v>
      </c>
      <c r="M1397" s="475">
        <v>45792</v>
      </c>
      <c r="N1397" s="475">
        <v>45793</v>
      </c>
      <c r="O1397" s="475">
        <v>45796</v>
      </c>
      <c r="P1397" s="475">
        <v>45796</v>
      </c>
      <c r="Q1397" s="475">
        <v>45796</v>
      </c>
      <c r="R1397" s="61">
        <f t="shared" si="100"/>
        <v>1</v>
      </c>
      <c r="S1397" s="61">
        <f t="shared" si="101"/>
        <v>1</v>
      </c>
      <c r="T1397" s="61">
        <f t="shared" si="99"/>
        <v>1</v>
      </c>
      <c r="U1397" s="61">
        <f t="shared" si="102"/>
        <v>1</v>
      </c>
      <c r="V1397" s="61" t="s">
        <v>150</v>
      </c>
      <c r="W1397" s="61" t="s">
        <v>1078</v>
      </c>
      <c r="X1397" s="61" t="s">
        <v>50</v>
      </c>
      <c r="Y1397" s="471">
        <v>15.525</v>
      </c>
      <c r="Z1397" s="471">
        <v>120.803</v>
      </c>
      <c r="AA1397" s="61" t="s">
        <v>2590</v>
      </c>
      <c r="AB1397" s="61"/>
    </row>
    <row r="1398" spans="1:28" s="2" customFormat="1" ht="15">
      <c r="A1398" s="61" t="s">
        <v>2286</v>
      </c>
      <c r="B1398" s="61" t="s">
        <v>1269</v>
      </c>
      <c r="C1398" s="61" t="s">
        <v>4950</v>
      </c>
      <c r="D1398" s="61" t="s">
        <v>7838</v>
      </c>
      <c r="E1398" s="61">
        <v>4249</v>
      </c>
      <c r="F1398" s="61">
        <v>4347</v>
      </c>
      <c r="G1398" s="61">
        <v>2025</v>
      </c>
      <c r="H1398" s="61" t="s">
        <v>3532</v>
      </c>
      <c r="I1398" s="61" t="s">
        <v>224</v>
      </c>
      <c r="J1398" s="61" t="s">
        <v>2289</v>
      </c>
      <c r="K1398" s="61" t="s">
        <v>212</v>
      </c>
      <c r="L1398" s="61" t="s">
        <v>8558</v>
      </c>
      <c r="M1398" s="475">
        <v>45792</v>
      </c>
      <c r="N1398" s="475">
        <v>45793</v>
      </c>
      <c r="O1398" s="475">
        <v>45796</v>
      </c>
      <c r="P1398" s="475">
        <v>45796</v>
      </c>
      <c r="Q1398" s="475">
        <v>45796</v>
      </c>
      <c r="R1398" s="61">
        <f t="shared" si="100"/>
        <v>1</v>
      </c>
      <c r="S1398" s="61">
        <f t="shared" si="101"/>
        <v>1</v>
      </c>
      <c r="T1398" s="61">
        <f t="shared" si="99"/>
        <v>1</v>
      </c>
      <c r="U1398" s="61">
        <f t="shared" si="102"/>
        <v>1</v>
      </c>
      <c r="V1398" s="61" t="s">
        <v>150</v>
      </c>
      <c r="W1398" s="61" t="s">
        <v>1078</v>
      </c>
      <c r="X1398" s="61" t="s">
        <v>50</v>
      </c>
      <c r="Y1398" s="471">
        <v>15.5238</v>
      </c>
      <c r="Z1398" s="471">
        <v>120.7941</v>
      </c>
      <c r="AA1398" s="61" t="s">
        <v>2590</v>
      </c>
      <c r="AB1398" s="61"/>
    </row>
    <row r="1399" spans="1:28" s="2" customFormat="1" ht="15">
      <c r="A1399" s="61" t="s">
        <v>2286</v>
      </c>
      <c r="B1399" s="61" t="s">
        <v>1269</v>
      </c>
      <c r="C1399" s="61" t="s">
        <v>3918</v>
      </c>
      <c r="D1399" s="61" t="s">
        <v>7838</v>
      </c>
      <c r="E1399" s="61">
        <v>1031</v>
      </c>
      <c r="F1399" s="61">
        <v>1080</v>
      </c>
      <c r="G1399" s="61">
        <v>2025</v>
      </c>
      <c r="H1399" s="61" t="s">
        <v>3458</v>
      </c>
      <c r="I1399" s="61" t="s">
        <v>224</v>
      </c>
      <c r="J1399" s="61" t="s">
        <v>2289</v>
      </c>
      <c r="K1399" s="61" t="s">
        <v>212</v>
      </c>
      <c r="L1399" s="476" t="s">
        <v>8559</v>
      </c>
      <c r="M1399" s="475">
        <v>45700</v>
      </c>
      <c r="N1399" s="475">
        <v>45703</v>
      </c>
      <c r="O1399" s="475">
        <v>45705</v>
      </c>
      <c r="P1399" s="475">
        <v>45705</v>
      </c>
      <c r="Q1399" s="475">
        <v>45706</v>
      </c>
      <c r="R1399" s="61">
        <f t="shared" si="100"/>
        <v>2</v>
      </c>
      <c r="S1399" s="61">
        <f t="shared" si="101"/>
        <v>1</v>
      </c>
      <c r="T1399" s="61">
        <f t="shared" si="99"/>
        <v>1</v>
      </c>
      <c r="U1399" s="61">
        <f t="shared" si="102"/>
        <v>1</v>
      </c>
      <c r="V1399" s="61" t="s">
        <v>150</v>
      </c>
      <c r="W1399" s="61" t="s">
        <v>1078</v>
      </c>
      <c r="X1399" s="61" t="s">
        <v>50</v>
      </c>
      <c r="Y1399" s="471">
        <v>15.5746</v>
      </c>
      <c r="Z1399" s="471" t="s">
        <v>8560</v>
      </c>
      <c r="AA1399" s="61" t="s">
        <v>2590</v>
      </c>
      <c r="AB1399" s="61"/>
    </row>
    <row r="1400" spans="1:28" s="474" customFormat="1">
      <c r="A1400" s="61" t="s">
        <v>2286</v>
      </c>
      <c r="B1400" s="61" t="s">
        <v>1269</v>
      </c>
      <c r="C1400" s="61" t="s">
        <v>4952</v>
      </c>
      <c r="D1400" s="61" t="s">
        <v>7838</v>
      </c>
      <c r="E1400" s="61">
        <v>3073</v>
      </c>
      <c r="F1400" s="61">
        <v>3236</v>
      </c>
      <c r="G1400" s="61">
        <v>2025</v>
      </c>
      <c r="H1400" s="61" t="s">
        <v>3532</v>
      </c>
      <c r="I1400" s="61" t="s">
        <v>224</v>
      </c>
      <c r="J1400" s="61" t="s">
        <v>2289</v>
      </c>
      <c r="K1400" s="61" t="s">
        <v>212</v>
      </c>
      <c r="L1400" s="61" t="s">
        <v>8561</v>
      </c>
      <c r="M1400" s="475">
        <v>45792</v>
      </c>
      <c r="N1400" s="475">
        <v>45793</v>
      </c>
      <c r="O1400" s="475">
        <v>45793</v>
      </c>
      <c r="P1400" s="475">
        <v>45793</v>
      </c>
      <c r="Q1400" s="475">
        <v>45793</v>
      </c>
      <c r="R1400" s="61">
        <f t="shared" si="100"/>
        <v>1</v>
      </c>
      <c r="S1400" s="61">
        <f t="shared" si="101"/>
        <v>1</v>
      </c>
      <c r="T1400" s="61">
        <f t="shared" si="99"/>
        <v>1</v>
      </c>
      <c r="U1400" s="61">
        <f t="shared" si="102"/>
        <v>1</v>
      </c>
      <c r="V1400" s="61" t="s">
        <v>150</v>
      </c>
      <c r="W1400" s="61" t="s">
        <v>1078</v>
      </c>
      <c r="X1400" s="61" t="s">
        <v>50</v>
      </c>
      <c r="Y1400" s="471">
        <v>15.5495</v>
      </c>
      <c r="Z1400" s="471">
        <v>120.7548</v>
      </c>
      <c r="AA1400" s="61" t="s">
        <v>2590</v>
      </c>
      <c r="AB1400" s="61"/>
    </row>
    <row r="1401" spans="1:28" s="2" customFormat="1" ht="15">
      <c r="A1401" s="61" t="s">
        <v>2286</v>
      </c>
      <c r="B1401" s="61" t="s">
        <v>1269</v>
      </c>
      <c r="C1401" s="61" t="s">
        <v>3667</v>
      </c>
      <c r="D1401" s="61" t="s">
        <v>7838</v>
      </c>
      <c r="E1401" s="61">
        <v>2476</v>
      </c>
      <c r="F1401" s="61">
        <v>2735</v>
      </c>
      <c r="G1401" s="61"/>
      <c r="H1401" s="61"/>
      <c r="I1401" s="61" t="s">
        <v>224</v>
      </c>
      <c r="J1401" s="61"/>
      <c r="K1401" s="61" t="s">
        <v>212</v>
      </c>
      <c r="L1401" s="61"/>
      <c r="M1401" s="61"/>
      <c r="N1401" s="61"/>
      <c r="O1401" s="61"/>
      <c r="P1401" s="61"/>
      <c r="Q1401" s="61"/>
      <c r="R1401" s="61" t="str">
        <f t="shared" si="100"/>
        <v/>
      </c>
      <c r="S1401" s="61" t="str">
        <f t="shared" si="101"/>
        <v/>
      </c>
      <c r="T1401" s="61" t="str">
        <f t="shared" si="99"/>
        <v/>
      </c>
      <c r="U1401" s="61" t="str">
        <f t="shared" si="102"/>
        <v/>
      </c>
      <c r="V1401" s="61"/>
      <c r="W1401" s="61"/>
      <c r="X1401" s="61"/>
      <c r="Y1401" s="471"/>
      <c r="Z1401" s="471"/>
      <c r="AA1401" s="61"/>
      <c r="AB1401" s="61"/>
    </row>
    <row r="1402" spans="1:28" s="2" customFormat="1" ht="15">
      <c r="A1402" s="61" t="s">
        <v>2286</v>
      </c>
      <c r="B1402" s="61" t="s">
        <v>1269</v>
      </c>
      <c r="C1402" s="61" t="s">
        <v>4946</v>
      </c>
      <c r="D1402" s="61" t="s">
        <v>7838</v>
      </c>
      <c r="E1402" s="61">
        <v>2565</v>
      </c>
      <c r="F1402" s="61">
        <v>2561</v>
      </c>
      <c r="G1402" s="61"/>
      <c r="H1402" s="61"/>
      <c r="I1402" s="61" t="s">
        <v>224</v>
      </c>
      <c r="J1402" s="61"/>
      <c r="K1402" s="61" t="s">
        <v>212</v>
      </c>
      <c r="L1402" s="61"/>
      <c r="M1402" s="61"/>
      <c r="N1402" s="61"/>
      <c r="O1402" s="61"/>
      <c r="P1402" s="61"/>
      <c r="Q1402" s="61"/>
      <c r="R1402" s="61" t="str">
        <f t="shared" si="100"/>
        <v/>
      </c>
      <c r="S1402" s="61" t="str">
        <f t="shared" si="101"/>
        <v/>
      </c>
      <c r="T1402" s="61" t="str">
        <f t="shared" si="99"/>
        <v/>
      </c>
      <c r="U1402" s="61" t="str">
        <f t="shared" si="102"/>
        <v/>
      </c>
      <c r="V1402" s="61"/>
      <c r="W1402" s="61"/>
      <c r="X1402" s="61"/>
      <c r="Y1402" s="471"/>
      <c r="Z1402" s="471"/>
      <c r="AA1402" s="61"/>
      <c r="AB1402" s="61"/>
    </row>
    <row r="1403" spans="1:28" s="2" customFormat="1" ht="15">
      <c r="A1403" s="61" t="s">
        <v>2286</v>
      </c>
      <c r="B1403" s="61" t="s">
        <v>1269</v>
      </c>
      <c r="C1403" s="61" t="s">
        <v>918</v>
      </c>
      <c r="D1403" s="61" t="s">
        <v>7838</v>
      </c>
      <c r="E1403" s="61">
        <v>3641</v>
      </c>
      <c r="F1403" s="61">
        <v>3758</v>
      </c>
      <c r="G1403" s="61"/>
      <c r="H1403" s="61"/>
      <c r="I1403" s="61" t="s">
        <v>224</v>
      </c>
      <c r="J1403" s="61"/>
      <c r="K1403" s="61" t="s">
        <v>212</v>
      </c>
      <c r="L1403" s="61"/>
      <c r="M1403" s="61"/>
      <c r="N1403" s="61"/>
      <c r="O1403" s="61"/>
      <c r="P1403" s="61"/>
      <c r="Q1403" s="61"/>
      <c r="R1403" s="61" t="str">
        <f t="shared" si="100"/>
        <v/>
      </c>
      <c r="S1403" s="61" t="str">
        <f t="shared" si="101"/>
        <v/>
      </c>
      <c r="T1403" s="61" t="str">
        <f t="shared" si="99"/>
        <v/>
      </c>
      <c r="U1403" s="61" t="str">
        <f t="shared" si="102"/>
        <v/>
      </c>
      <c r="V1403" s="61"/>
      <c r="W1403" s="61"/>
      <c r="X1403" s="61"/>
      <c r="Y1403" s="471"/>
      <c r="Z1403" s="471"/>
      <c r="AA1403" s="61"/>
      <c r="AB1403" s="61"/>
    </row>
    <row r="1404" spans="1:28" s="2" customFormat="1" ht="15">
      <c r="A1404" s="61" t="s">
        <v>2286</v>
      </c>
      <c r="B1404" s="61" t="s">
        <v>1274</v>
      </c>
      <c r="C1404" s="61" t="s">
        <v>8562</v>
      </c>
      <c r="D1404" s="61" t="s">
        <v>7838</v>
      </c>
      <c r="E1404" s="61">
        <v>1432</v>
      </c>
      <c r="F1404" s="61">
        <v>1572</v>
      </c>
      <c r="G1404" s="61">
        <v>2025</v>
      </c>
      <c r="H1404" s="61" t="s">
        <v>3416</v>
      </c>
      <c r="I1404" s="61" t="s">
        <v>26</v>
      </c>
      <c r="J1404" s="61" t="s">
        <v>2289</v>
      </c>
      <c r="K1404" s="61" t="s">
        <v>212</v>
      </c>
      <c r="L1404" s="61" t="s">
        <v>8563</v>
      </c>
      <c r="M1404" s="475">
        <v>45715</v>
      </c>
      <c r="N1404" s="475">
        <v>45720</v>
      </c>
      <c r="O1404" s="475">
        <v>45720</v>
      </c>
      <c r="P1404" s="475">
        <v>45720</v>
      </c>
      <c r="Q1404" s="475">
        <v>45721</v>
      </c>
      <c r="R1404" s="61">
        <f t="shared" si="100"/>
        <v>3</v>
      </c>
      <c r="S1404" s="61">
        <f t="shared" si="101"/>
        <v>1</v>
      </c>
      <c r="T1404" s="61">
        <f t="shared" si="99"/>
        <v>1</v>
      </c>
      <c r="U1404" s="61">
        <f t="shared" si="102"/>
        <v>1</v>
      </c>
      <c r="V1404" s="61" t="s">
        <v>150</v>
      </c>
      <c r="W1404" s="61" t="s">
        <v>4</v>
      </c>
      <c r="X1404" s="61" t="s">
        <v>50</v>
      </c>
      <c r="Y1404" s="471">
        <v>15.741160000000001</v>
      </c>
      <c r="Z1404" s="471" t="s">
        <v>8564</v>
      </c>
      <c r="AA1404" s="61" t="s">
        <v>404</v>
      </c>
      <c r="AB1404" s="61"/>
    </row>
    <row r="1405" spans="1:28" s="2" customFormat="1" ht="15">
      <c r="A1405" s="61" t="s">
        <v>2286</v>
      </c>
      <c r="B1405" s="61" t="s">
        <v>1274</v>
      </c>
      <c r="C1405" s="61" t="s">
        <v>4960</v>
      </c>
      <c r="D1405" s="61" t="s">
        <v>7838</v>
      </c>
      <c r="E1405" s="61">
        <v>2174</v>
      </c>
      <c r="F1405" s="61">
        <v>2268</v>
      </c>
      <c r="G1405" s="61">
        <v>2025</v>
      </c>
      <c r="H1405" s="61" t="s">
        <v>3126</v>
      </c>
      <c r="I1405" s="61" t="s">
        <v>26</v>
      </c>
      <c r="J1405" s="61" t="s">
        <v>2289</v>
      </c>
      <c r="K1405" s="61" t="s">
        <v>212</v>
      </c>
      <c r="L1405" s="61" t="s">
        <v>8565</v>
      </c>
      <c r="M1405" s="475">
        <v>45876</v>
      </c>
      <c r="N1405" s="475">
        <v>45881</v>
      </c>
      <c r="O1405" s="475">
        <v>45887</v>
      </c>
      <c r="P1405" s="475">
        <v>45888</v>
      </c>
      <c r="Q1405" s="475">
        <v>45888</v>
      </c>
      <c r="R1405" s="61">
        <f t="shared" si="100"/>
        <v>3</v>
      </c>
      <c r="S1405" s="61">
        <f t="shared" si="101"/>
        <v>4</v>
      </c>
      <c r="T1405" s="61">
        <f t="shared" si="99"/>
        <v>1</v>
      </c>
      <c r="U1405" s="61">
        <f t="shared" si="102"/>
        <v>1</v>
      </c>
      <c r="V1405" s="61" t="s">
        <v>150</v>
      </c>
      <c r="W1405" s="61" t="s">
        <v>4</v>
      </c>
      <c r="X1405" s="61" t="s">
        <v>50</v>
      </c>
      <c r="Y1405" s="471">
        <v>15.62852</v>
      </c>
      <c r="Z1405" s="471">
        <v>121.01206999999999</v>
      </c>
      <c r="AA1405" s="61" t="s">
        <v>404</v>
      </c>
      <c r="AB1405" s="61"/>
    </row>
    <row r="1406" spans="1:28" s="2" customFormat="1" ht="15">
      <c r="A1406" s="61" t="s">
        <v>2286</v>
      </c>
      <c r="B1406" s="61" t="s">
        <v>1274</v>
      </c>
      <c r="C1406" s="61" t="s">
        <v>4683</v>
      </c>
      <c r="D1406" s="61" t="s">
        <v>7838</v>
      </c>
      <c r="E1406" s="61">
        <v>2763</v>
      </c>
      <c r="F1406" s="61">
        <v>3030</v>
      </c>
      <c r="G1406" s="61">
        <v>2025</v>
      </c>
      <c r="H1406" s="61" t="s">
        <v>3126</v>
      </c>
      <c r="I1406" s="61" t="s">
        <v>26</v>
      </c>
      <c r="J1406" s="61" t="s">
        <v>2289</v>
      </c>
      <c r="K1406" s="61" t="s">
        <v>212</v>
      </c>
      <c r="L1406" s="61" t="s">
        <v>8566</v>
      </c>
      <c r="M1406" s="475">
        <v>45876</v>
      </c>
      <c r="N1406" s="475">
        <v>45884</v>
      </c>
      <c r="O1406" s="475">
        <v>45888</v>
      </c>
      <c r="P1406" s="475">
        <v>45888</v>
      </c>
      <c r="Q1406" s="475">
        <v>45888</v>
      </c>
      <c r="R1406" s="61">
        <f t="shared" si="100"/>
        <v>6</v>
      </c>
      <c r="S1406" s="61">
        <f t="shared" si="101"/>
        <v>2</v>
      </c>
      <c r="T1406" s="61">
        <f t="shared" si="99"/>
        <v>1</v>
      </c>
      <c r="U1406" s="61">
        <f t="shared" si="102"/>
        <v>1</v>
      </c>
      <c r="V1406" s="61" t="s">
        <v>150</v>
      </c>
      <c r="W1406" s="61" t="s">
        <v>4</v>
      </c>
      <c r="X1406" s="61" t="s">
        <v>50</v>
      </c>
      <c r="Y1406" s="61">
        <v>15.619160000000001</v>
      </c>
      <c r="Z1406" s="61">
        <v>120.99778999999999</v>
      </c>
      <c r="AA1406" s="61" t="s">
        <v>404</v>
      </c>
      <c r="AB1406" s="61"/>
    </row>
    <row r="1407" spans="1:28" s="2" customFormat="1" ht="15">
      <c r="A1407" s="61" t="s">
        <v>2286</v>
      </c>
      <c r="B1407" s="61" t="s">
        <v>1274</v>
      </c>
      <c r="C1407" s="61" t="s">
        <v>4964</v>
      </c>
      <c r="D1407" s="61" t="s">
        <v>7838</v>
      </c>
      <c r="E1407" s="61">
        <v>2384</v>
      </c>
      <c r="F1407" s="61">
        <v>2500</v>
      </c>
      <c r="G1407" s="61">
        <v>2025</v>
      </c>
      <c r="H1407" s="61" t="s">
        <v>3689</v>
      </c>
      <c r="I1407" s="61" t="s">
        <v>26</v>
      </c>
      <c r="J1407" s="61" t="s">
        <v>2289</v>
      </c>
      <c r="K1407" s="61" t="s">
        <v>212</v>
      </c>
      <c r="L1407" s="61" t="s">
        <v>8567</v>
      </c>
      <c r="M1407" s="475">
        <v>45805</v>
      </c>
      <c r="N1407" s="475">
        <v>45810</v>
      </c>
      <c r="O1407" s="475">
        <v>45811</v>
      </c>
      <c r="P1407" s="475">
        <v>45812</v>
      </c>
      <c r="Q1407" s="475">
        <v>45813</v>
      </c>
      <c r="R1407" s="61">
        <f t="shared" si="100"/>
        <v>3</v>
      </c>
      <c r="S1407" s="61">
        <f t="shared" si="101"/>
        <v>1</v>
      </c>
      <c r="T1407" s="61">
        <f t="shared" si="99"/>
        <v>1</v>
      </c>
      <c r="U1407" s="61">
        <f t="shared" si="102"/>
        <v>1</v>
      </c>
      <c r="V1407" s="61" t="s">
        <v>150</v>
      </c>
      <c r="W1407" s="61" t="s">
        <v>4</v>
      </c>
      <c r="X1407" s="61" t="s">
        <v>62</v>
      </c>
      <c r="Y1407" s="485">
        <v>15.62852</v>
      </c>
      <c r="Z1407" s="485">
        <v>121.01206999999999</v>
      </c>
      <c r="AA1407" s="61" t="s">
        <v>404</v>
      </c>
      <c r="AB1407" s="61"/>
    </row>
    <row r="1408" spans="1:28" s="2" customFormat="1" ht="15">
      <c r="A1408" s="61" t="s">
        <v>2286</v>
      </c>
      <c r="B1408" s="61" t="s">
        <v>1274</v>
      </c>
      <c r="C1408" s="61" t="s">
        <v>4969</v>
      </c>
      <c r="D1408" s="61" t="s">
        <v>7838</v>
      </c>
      <c r="E1408" s="61">
        <v>1487</v>
      </c>
      <c r="F1408" s="61">
        <v>1629</v>
      </c>
      <c r="G1408" s="61">
        <v>2025</v>
      </c>
      <c r="H1408" s="61" t="s">
        <v>3416</v>
      </c>
      <c r="I1408" s="61" t="s">
        <v>26</v>
      </c>
      <c r="J1408" s="61" t="s">
        <v>2289</v>
      </c>
      <c r="K1408" s="61" t="s">
        <v>212</v>
      </c>
      <c r="L1408" s="61" t="s">
        <v>8568</v>
      </c>
      <c r="M1408" s="475">
        <v>45730</v>
      </c>
      <c r="N1408" s="475">
        <v>45733</v>
      </c>
      <c r="O1408" s="475">
        <v>45734</v>
      </c>
      <c r="P1408" s="475">
        <v>45734</v>
      </c>
      <c r="Q1408" s="475">
        <v>45735</v>
      </c>
      <c r="R1408" s="61">
        <f t="shared" si="100"/>
        <v>1</v>
      </c>
      <c r="S1408" s="61">
        <f t="shared" si="101"/>
        <v>1</v>
      </c>
      <c r="T1408" s="61">
        <f t="shared" si="99"/>
        <v>1</v>
      </c>
      <c r="U1408" s="61">
        <f t="shared" si="102"/>
        <v>1</v>
      </c>
      <c r="V1408" s="61" t="s">
        <v>150</v>
      </c>
      <c r="W1408" s="61" t="s">
        <v>4</v>
      </c>
      <c r="X1408" s="61" t="s">
        <v>50</v>
      </c>
      <c r="Y1408" s="485">
        <v>15.63822</v>
      </c>
      <c r="Z1408" s="485">
        <v>121.01954000000001</v>
      </c>
      <c r="AA1408" s="61" t="s">
        <v>404</v>
      </c>
      <c r="AB1408" s="61"/>
    </row>
    <row r="1409" spans="1:28" s="2" customFormat="1" ht="15">
      <c r="A1409" s="61" t="s">
        <v>2286</v>
      </c>
      <c r="B1409" s="61" t="s">
        <v>1274</v>
      </c>
      <c r="C1409" s="61" t="s">
        <v>1474</v>
      </c>
      <c r="D1409" s="61" t="s">
        <v>7838</v>
      </c>
      <c r="E1409" s="61">
        <v>3003</v>
      </c>
      <c r="F1409" s="61">
        <v>3185</v>
      </c>
      <c r="G1409" s="61">
        <v>2025</v>
      </c>
      <c r="H1409" s="61" t="s">
        <v>3416</v>
      </c>
      <c r="I1409" s="61" t="s">
        <v>26</v>
      </c>
      <c r="J1409" s="61" t="s">
        <v>2289</v>
      </c>
      <c r="K1409" s="61" t="s">
        <v>212</v>
      </c>
      <c r="L1409" s="61" t="s">
        <v>8569</v>
      </c>
      <c r="M1409" s="475">
        <v>45727</v>
      </c>
      <c r="N1409" s="475">
        <v>45733</v>
      </c>
      <c r="O1409" s="475">
        <v>45734</v>
      </c>
      <c r="P1409" s="475">
        <v>45734</v>
      </c>
      <c r="Q1409" s="475">
        <v>45735</v>
      </c>
      <c r="R1409" s="61">
        <f t="shared" si="100"/>
        <v>4</v>
      </c>
      <c r="S1409" s="61">
        <f t="shared" si="101"/>
        <v>1</v>
      </c>
      <c r="T1409" s="61">
        <f t="shared" si="99"/>
        <v>1</v>
      </c>
      <c r="U1409" s="61">
        <f t="shared" si="102"/>
        <v>1</v>
      </c>
      <c r="V1409" s="61" t="s">
        <v>150</v>
      </c>
      <c r="W1409" s="61" t="s">
        <v>4</v>
      </c>
      <c r="X1409" s="61" t="s">
        <v>50</v>
      </c>
      <c r="Y1409" s="485">
        <v>15.660880000000001</v>
      </c>
      <c r="Z1409" s="485">
        <v>121.01423</v>
      </c>
      <c r="AA1409" s="61" t="s">
        <v>404</v>
      </c>
      <c r="AB1409" s="61"/>
    </row>
    <row r="1410" spans="1:28" s="2" customFormat="1" ht="15">
      <c r="A1410" s="61" t="s">
        <v>2286</v>
      </c>
      <c r="B1410" s="61" t="s">
        <v>1274</v>
      </c>
      <c r="C1410" s="61" t="s">
        <v>3608</v>
      </c>
      <c r="D1410" s="61" t="s">
        <v>7838</v>
      </c>
      <c r="E1410" s="61">
        <v>3400</v>
      </c>
      <c r="F1410" s="61">
        <v>3551</v>
      </c>
      <c r="G1410" s="61">
        <v>2025</v>
      </c>
      <c r="H1410" s="61" t="s">
        <v>3416</v>
      </c>
      <c r="I1410" s="61" t="s">
        <v>26</v>
      </c>
      <c r="J1410" s="61" t="s">
        <v>2289</v>
      </c>
      <c r="K1410" s="61" t="s">
        <v>212</v>
      </c>
      <c r="L1410" s="61" t="s">
        <v>8570</v>
      </c>
      <c r="M1410" s="475">
        <v>45727</v>
      </c>
      <c r="N1410" s="475">
        <v>45733</v>
      </c>
      <c r="O1410" s="475">
        <v>45734</v>
      </c>
      <c r="P1410" s="475">
        <v>45735</v>
      </c>
      <c r="Q1410" s="475">
        <v>45735</v>
      </c>
      <c r="R1410" s="61">
        <f t="shared" si="100"/>
        <v>4</v>
      </c>
      <c r="S1410" s="61">
        <f t="shared" si="101"/>
        <v>1</v>
      </c>
      <c r="T1410" s="61">
        <f t="shared" si="99"/>
        <v>1</v>
      </c>
      <c r="U1410" s="61">
        <f t="shared" si="102"/>
        <v>1</v>
      </c>
      <c r="V1410" s="61" t="s">
        <v>150</v>
      </c>
      <c r="W1410" s="61" t="s">
        <v>1078</v>
      </c>
      <c r="X1410" s="61" t="s">
        <v>50</v>
      </c>
      <c r="Y1410" s="471">
        <v>15.660880000000001</v>
      </c>
      <c r="Z1410" s="471">
        <v>121.01423</v>
      </c>
      <c r="AA1410" s="61" t="s">
        <v>404</v>
      </c>
      <c r="AB1410" s="61"/>
    </row>
    <row r="1411" spans="1:28" s="2" customFormat="1" ht="15">
      <c r="A1411" s="61" t="s">
        <v>2286</v>
      </c>
      <c r="B1411" s="61" t="s">
        <v>1274</v>
      </c>
      <c r="C1411" s="61" t="s">
        <v>4958</v>
      </c>
      <c r="D1411" s="61" t="s">
        <v>7838</v>
      </c>
      <c r="E1411" s="61">
        <v>1236</v>
      </c>
      <c r="F1411" s="61">
        <v>1259</v>
      </c>
      <c r="G1411" s="61">
        <v>2025</v>
      </c>
      <c r="H1411" s="61" t="s">
        <v>3416</v>
      </c>
      <c r="I1411" s="61" t="s">
        <v>26</v>
      </c>
      <c r="J1411" s="61" t="s">
        <v>2289</v>
      </c>
      <c r="K1411" s="61" t="s">
        <v>212</v>
      </c>
      <c r="L1411" s="61" t="s">
        <v>8571</v>
      </c>
      <c r="M1411" s="475">
        <v>45715</v>
      </c>
      <c r="N1411" s="475">
        <v>45720</v>
      </c>
      <c r="O1411" s="475">
        <v>45720</v>
      </c>
      <c r="P1411" s="475">
        <v>45720</v>
      </c>
      <c r="Q1411" s="475">
        <v>45721</v>
      </c>
      <c r="R1411" s="61">
        <f t="shared" si="100"/>
        <v>3</v>
      </c>
      <c r="S1411" s="61">
        <f t="shared" si="101"/>
        <v>1</v>
      </c>
      <c r="T1411" s="61">
        <f t="shared" si="99"/>
        <v>1</v>
      </c>
      <c r="U1411" s="61">
        <f t="shared" si="102"/>
        <v>1</v>
      </c>
      <c r="V1411" s="61" t="s">
        <v>150</v>
      </c>
      <c r="W1411" s="61" t="s">
        <v>1078</v>
      </c>
      <c r="X1411" s="61" t="s">
        <v>50</v>
      </c>
      <c r="Y1411" s="471">
        <v>15.75145</v>
      </c>
      <c r="Z1411" s="471" t="s">
        <v>8572</v>
      </c>
      <c r="AA1411" s="61" t="s">
        <v>404</v>
      </c>
      <c r="AB1411" s="61"/>
    </row>
    <row r="1412" spans="1:28" s="2" customFormat="1" ht="15">
      <c r="A1412" s="61" t="s">
        <v>2286</v>
      </c>
      <c r="B1412" s="61" t="s">
        <v>1274</v>
      </c>
      <c r="C1412" s="61" t="s">
        <v>4967</v>
      </c>
      <c r="D1412" s="61" t="s">
        <v>7838</v>
      </c>
      <c r="E1412" s="61">
        <v>1339</v>
      </c>
      <c r="F1412" s="61">
        <v>1481</v>
      </c>
      <c r="G1412" s="61">
        <v>2025</v>
      </c>
      <c r="H1412" s="61" t="s">
        <v>3416</v>
      </c>
      <c r="I1412" s="61" t="s">
        <v>26</v>
      </c>
      <c r="J1412" s="61" t="s">
        <v>2289</v>
      </c>
      <c r="K1412" s="61" t="s">
        <v>212</v>
      </c>
      <c r="L1412" s="61" t="s">
        <v>8573</v>
      </c>
      <c r="M1412" s="475">
        <v>45721</v>
      </c>
      <c r="N1412" s="475">
        <v>45726</v>
      </c>
      <c r="O1412" s="475">
        <v>45729</v>
      </c>
      <c r="P1412" s="475">
        <v>45735</v>
      </c>
      <c r="Q1412" s="475">
        <v>45735</v>
      </c>
      <c r="R1412" s="61">
        <f t="shared" si="100"/>
        <v>3</v>
      </c>
      <c r="S1412" s="61">
        <f t="shared" si="101"/>
        <v>3</v>
      </c>
      <c r="T1412" s="61">
        <f t="shared" si="99"/>
        <v>4</v>
      </c>
      <c r="U1412" s="61">
        <f t="shared" si="102"/>
        <v>1</v>
      </c>
      <c r="V1412" s="61" t="s">
        <v>150</v>
      </c>
      <c r="W1412" s="61" t="s">
        <v>1078</v>
      </c>
      <c r="X1412" s="61" t="s">
        <v>50</v>
      </c>
      <c r="Y1412" s="471">
        <v>15.648440000000001</v>
      </c>
      <c r="Z1412" s="471">
        <v>121.03171</v>
      </c>
      <c r="AA1412" s="61" t="s">
        <v>404</v>
      </c>
      <c r="AB1412" s="61"/>
    </row>
    <row r="1413" spans="1:28" s="2" customFormat="1" ht="15">
      <c r="A1413" s="61" t="s">
        <v>2286</v>
      </c>
      <c r="B1413" s="61" t="s">
        <v>1274</v>
      </c>
      <c r="C1413" s="61" t="s">
        <v>1135</v>
      </c>
      <c r="D1413" s="61" t="s">
        <v>7838</v>
      </c>
      <c r="E1413" s="61">
        <v>3492</v>
      </c>
      <c r="F1413" s="61">
        <v>3711</v>
      </c>
      <c r="G1413" s="61">
        <v>2025</v>
      </c>
      <c r="H1413" s="61" t="s">
        <v>3416</v>
      </c>
      <c r="I1413" s="61" t="s">
        <v>26</v>
      </c>
      <c r="J1413" s="61" t="s">
        <v>2289</v>
      </c>
      <c r="K1413" s="61" t="s">
        <v>212</v>
      </c>
      <c r="L1413" s="61" t="s">
        <v>8574</v>
      </c>
      <c r="M1413" s="475">
        <v>45730</v>
      </c>
      <c r="N1413" s="475">
        <v>45733</v>
      </c>
      <c r="O1413" s="475">
        <v>45734</v>
      </c>
      <c r="P1413" s="475">
        <v>45734</v>
      </c>
      <c r="Q1413" s="475">
        <v>45735</v>
      </c>
      <c r="R1413" s="61">
        <f t="shared" si="100"/>
        <v>1</v>
      </c>
      <c r="S1413" s="61">
        <f t="shared" si="101"/>
        <v>1</v>
      </c>
      <c r="T1413" s="61">
        <f t="shared" si="99"/>
        <v>1</v>
      </c>
      <c r="U1413" s="61">
        <f t="shared" si="102"/>
        <v>1</v>
      </c>
      <c r="V1413" s="61" t="s">
        <v>150</v>
      </c>
      <c r="W1413" s="61" t="s">
        <v>1078</v>
      </c>
      <c r="X1413" s="61" t="s">
        <v>50</v>
      </c>
      <c r="Y1413" s="485">
        <v>15.660880000000001</v>
      </c>
      <c r="Z1413" s="485">
        <v>121.01423</v>
      </c>
      <c r="AA1413" s="61" t="s">
        <v>404</v>
      </c>
      <c r="AB1413" s="61"/>
    </row>
    <row r="1414" spans="1:28" s="2" customFormat="1" ht="15">
      <c r="A1414" s="61" t="s">
        <v>2286</v>
      </c>
      <c r="B1414" s="61" t="s">
        <v>1274</v>
      </c>
      <c r="C1414" s="61" t="s">
        <v>4024</v>
      </c>
      <c r="D1414" s="61" t="s">
        <v>7838</v>
      </c>
      <c r="E1414" s="61">
        <v>2177</v>
      </c>
      <c r="F1414" s="61">
        <v>2229</v>
      </c>
      <c r="G1414" s="61">
        <v>2025</v>
      </c>
      <c r="H1414" s="61" t="s">
        <v>3416</v>
      </c>
      <c r="I1414" s="61" t="s">
        <v>26</v>
      </c>
      <c r="J1414" s="61" t="s">
        <v>2289</v>
      </c>
      <c r="K1414" s="61" t="s">
        <v>212</v>
      </c>
      <c r="L1414" s="61" t="s">
        <v>8575</v>
      </c>
      <c r="M1414" s="475">
        <v>45714</v>
      </c>
      <c r="N1414" s="475">
        <v>45720</v>
      </c>
      <c r="O1414" s="475">
        <v>45720</v>
      </c>
      <c r="P1414" s="475">
        <v>45720</v>
      </c>
      <c r="Q1414" s="475">
        <v>45721</v>
      </c>
      <c r="R1414" s="61">
        <f t="shared" si="100"/>
        <v>4</v>
      </c>
      <c r="S1414" s="61">
        <f t="shared" si="101"/>
        <v>1</v>
      </c>
      <c r="T1414" s="61">
        <f t="shared" si="99"/>
        <v>1</v>
      </c>
      <c r="U1414" s="61">
        <f t="shared" si="102"/>
        <v>1</v>
      </c>
      <c r="V1414" s="61" t="s">
        <v>150</v>
      </c>
      <c r="W1414" s="61" t="s">
        <v>1078</v>
      </c>
      <c r="X1414" s="61" t="s">
        <v>50</v>
      </c>
      <c r="Y1414" s="485">
        <v>15.71048</v>
      </c>
      <c r="Z1414" s="485" t="s">
        <v>8576</v>
      </c>
      <c r="AA1414" s="61" t="s">
        <v>404</v>
      </c>
      <c r="AB1414" s="61"/>
    </row>
    <row r="1415" spans="1:28" s="2" customFormat="1" ht="15">
      <c r="A1415" s="61" t="s">
        <v>2286</v>
      </c>
      <c r="B1415" s="61" t="s">
        <v>1274</v>
      </c>
      <c r="C1415" s="61" t="s">
        <v>3975</v>
      </c>
      <c r="D1415" s="61" t="s">
        <v>7838</v>
      </c>
      <c r="E1415" s="61">
        <v>1635</v>
      </c>
      <c r="F1415" s="61">
        <v>1910</v>
      </c>
      <c r="G1415" s="61">
        <v>2025</v>
      </c>
      <c r="H1415" s="61" t="s">
        <v>3458</v>
      </c>
      <c r="I1415" s="61" t="s">
        <v>26</v>
      </c>
      <c r="J1415" s="61" t="s">
        <v>2289</v>
      </c>
      <c r="K1415" s="61" t="s">
        <v>212</v>
      </c>
      <c r="L1415" s="61" t="s">
        <v>8577</v>
      </c>
      <c r="M1415" s="475">
        <v>45700</v>
      </c>
      <c r="N1415" s="475">
        <v>45706</v>
      </c>
      <c r="O1415" s="475">
        <v>45706</v>
      </c>
      <c r="P1415" s="475">
        <v>45706</v>
      </c>
      <c r="Q1415" s="475">
        <v>45706</v>
      </c>
      <c r="R1415" s="61">
        <f t="shared" si="100"/>
        <v>4</v>
      </c>
      <c r="S1415" s="61">
        <f t="shared" si="101"/>
        <v>1</v>
      </c>
      <c r="T1415" s="61">
        <f t="shared" si="99"/>
        <v>1</v>
      </c>
      <c r="U1415" s="61">
        <f t="shared" si="102"/>
        <v>1</v>
      </c>
      <c r="V1415" s="61" t="s">
        <v>150</v>
      </c>
      <c r="W1415" s="61" t="s">
        <v>4</v>
      </c>
      <c r="X1415" s="61" t="s">
        <v>50</v>
      </c>
      <c r="Y1415" s="473">
        <v>15.709250000000001</v>
      </c>
      <c r="Z1415" s="473">
        <v>121.99782</v>
      </c>
      <c r="AA1415" s="61" t="s">
        <v>404</v>
      </c>
      <c r="AB1415" s="61"/>
    </row>
    <row r="1416" spans="1:28" s="2" customFormat="1" ht="15">
      <c r="A1416" s="61" t="s">
        <v>2286</v>
      </c>
      <c r="B1416" s="61" t="s">
        <v>1274</v>
      </c>
      <c r="C1416" s="61" t="s">
        <v>4956</v>
      </c>
      <c r="D1416" s="61" t="s">
        <v>7838</v>
      </c>
      <c r="E1416" s="61">
        <v>2494</v>
      </c>
      <c r="F1416" s="61">
        <v>2538</v>
      </c>
      <c r="G1416" s="61"/>
      <c r="H1416" s="61"/>
      <c r="I1416" s="61" t="s">
        <v>26</v>
      </c>
      <c r="J1416" s="61"/>
      <c r="K1416" s="61" t="s">
        <v>212</v>
      </c>
      <c r="L1416" s="61"/>
      <c r="M1416" s="475"/>
      <c r="N1416" s="475"/>
      <c r="O1416" s="475"/>
      <c r="P1416" s="475"/>
      <c r="Q1416" s="475"/>
      <c r="R1416" s="61" t="str">
        <f t="shared" si="100"/>
        <v/>
      </c>
      <c r="S1416" s="61" t="str">
        <f t="shared" si="101"/>
        <v/>
      </c>
      <c r="T1416" s="61" t="str">
        <f t="shared" si="99"/>
        <v/>
      </c>
      <c r="U1416" s="61" t="str">
        <f t="shared" si="102"/>
        <v/>
      </c>
      <c r="V1416" s="61"/>
      <c r="W1416" s="61"/>
      <c r="X1416" s="61"/>
      <c r="Y1416" s="61"/>
      <c r="Z1416" s="61"/>
      <c r="AA1416" s="61"/>
      <c r="AB1416" s="61"/>
    </row>
    <row r="1417" spans="1:28" s="2" customFormat="1" ht="15">
      <c r="A1417" s="61" t="s">
        <v>2286</v>
      </c>
      <c r="B1417" s="61" t="s">
        <v>1274</v>
      </c>
      <c r="C1417" s="61" t="s">
        <v>4957</v>
      </c>
      <c r="D1417" s="61" t="s">
        <v>7838</v>
      </c>
      <c r="E1417" s="61">
        <v>1013</v>
      </c>
      <c r="F1417" s="61">
        <v>918</v>
      </c>
      <c r="G1417" s="61"/>
      <c r="H1417" s="61"/>
      <c r="I1417" s="61" t="s">
        <v>26</v>
      </c>
      <c r="J1417" s="61"/>
      <c r="K1417" s="61" t="s">
        <v>212</v>
      </c>
      <c r="L1417" s="61"/>
      <c r="M1417" s="61"/>
      <c r="N1417" s="61"/>
      <c r="O1417" s="61"/>
      <c r="P1417" s="61"/>
      <c r="Q1417" s="61"/>
      <c r="R1417" s="61" t="str">
        <f t="shared" si="100"/>
        <v/>
      </c>
      <c r="S1417" s="61" t="str">
        <f t="shared" si="101"/>
        <v/>
      </c>
      <c r="T1417" s="61" t="str">
        <f t="shared" si="99"/>
        <v/>
      </c>
      <c r="U1417" s="61" t="str">
        <f t="shared" si="102"/>
        <v/>
      </c>
      <c r="V1417" s="61"/>
      <c r="W1417" s="61"/>
      <c r="X1417" s="61"/>
      <c r="Y1417" s="471"/>
      <c r="Z1417" s="471"/>
      <c r="AA1417" s="61"/>
      <c r="AB1417" s="61"/>
    </row>
    <row r="1418" spans="1:28" s="2" customFormat="1" ht="15">
      <c r="A1418" s="61" t="s">
        <v>2286</v>
      </c>
      <c r="B1418" s="61" t="s">
        <v>1274</v>
      </c>
      <c r="C1418" s="61" t="s">
        <v>4962</v>
      </c>
      <c r="D1418" s="61" t="s">
        <v>7838</v>
      </c>
      <c r="E1418" s="61">
        <v>889</v>
      </c>
      <c r="F1418" s="61">
        <v>933</v>
      </c>
      <c r="G1418" s="61"/>
      <c r="H1418" s="61"/>
      <c r="I1418" s="61" t="s">
        <v>26</v>
      </c>
      <c r="J1418" s="61"/>
      <c r="K1418" s="61" t="s">
        <v>212</v>
      </c>
      <c r="L1418" s="61"/>
      <c r="M1418" s="61"/>
      <c r="N1418" s="61"/>
      <c r="O1418" s="61"/>
      <c r="P1418" s="61"/>
      <c r="Q1418" s="61"/>
      <c r="R1418" s="61" t="str">
        <f t="shared" si="100"/>
        <v/>
      </c>
      <c r="S1418" s="61" t="str">
        <f t="shared" si="101"/>
        <v/>
      </c>
      <c r="T1418" s="61" t="str">
        <f t="shared" si="99"/>
        <v/>
      </c>
      <c r="U1418" s="61" t="str">
        <f t="shared" si="102"/>
        <v/>
      </c>
      <c r="V1418" s="61"/>
      <c r="W1418" s="61"/>
      <c r="X1418" s="61"/>
      <c r="Y1418" s="471"/>
      <c r="Z1418" s="471"/>
      <c r="AA1418" s="61"/>
      <c r="AB1418" s="61"/>
    </row>
    <row r="1419" spans="1:28" s="2" customFormat="1" ht="15">
      <c r="A1419" s="61" t="s">
        <v>2286</v>
      </c>
      <c r="B1419" s="61" t="s">
        <v>1274</v>
      </c>
      <c r="C1419" s="61" t="s">
        <v>4966</v>
      </c>
      <c r="D1419" s="61" t="s">
        <v>7838</v>
      </c>
      <c r="E1419" s="61">
        <v>1040</v>
      </c>
      <c r="F1419" s="61">
        <v>1222</v>
      </c>
      <c r="G1419" s="61"/>
      <c r="H1419" s="61"/>
      <c r="I1419" s="61" t="s">
        <v>26</v>
      </c>
      <c r="J1419" s="61"/>
      <c r="K1419" s="61" t="s">
        <v>212</v>
      </c>
      <c r="L1419" s="61"/>
      <c r="M1419" s="61"/>
      <c r="N1419" s="61"/>
      <c r="O1419" s="61"/>
      <c r="P1419" s="61"/>
      <c r="Q1419" s="61"/>
      <c r="R1419" s="61" t="str">
        <f t="shared" si="100"/>
        <v/>
      </c>
      <c r="S1419" s="61" t="str">
        <f t="shared" si="101"/>
        <v/>
      </c>
      <c r="T1419" s="61" t="str">
        <f t="shared" si="99"/>
        <v/>
      </c>
      <c r="U1419" s="61" t="str">
        <f t="shared" si="102"/>
        <v/>
      </c>
      <c r="V1419" s="61"/>
      <c r="W1419" s="61"/>
      <c r="X1419" s="61"/>
      <c r="Y1419" s="471"/>
      <c r="Z1419" s="471"/>
      <c r="AA1419" s="61"/>
      <c r="AB1419" s="61"/>
    </row>
    <row r="1420" spans="1:28" s="2" customFormat="1" ht="15">
      <c r="A1420" s="61" t="s">
        <v>2286</v>
      </c>
      <c r="B1420" s="61" t="s">
        <v>1274</v>
      </c>
      <c r="C1420" s="61" t="s">
        <v>4797</v>
      </c>
      <c r="D1420" s="61" t="s">
        <v>7838</v>
      </c>
      <c r="E1420" s="61">
        <v>690</v>
      </c>
      <c r="F1420" s="61">
        <v>739</v>
      </c>
      <c r="G1420" s="61"/>
      <c r="H1420" s="61"/>
      <c r="I1420" s="61" t="s">
        <v>26</v>
      </c>
      <c r="J1420" s="61"/>
      <c r="K1420" s="61" t="s">
        <v>212</v>
      </c>
      <c r="L1420" s="61"/>
      <c r="M1420" s="61"/>
      <c r="N1420" s="61"/>
      <c r="O1420" s="61"/>
      <c r="P1420" s="61"/>
      <c r="Q1420" s="61"/>
      <c r="R1420" s="61" t="str">
        <f t="shared" si="100"/>
        <v/>
      </c>
      <c r="S1420" s="61" t="str">
        <f t="shared" si="101"/>
        <v/>
      </c>
      <c r="T1420" s="61" t="str">
        <f t="shared" si="99"/>
        <v/>
      </c>
      <c r="U1420" s="61" t="str">
        <f t="shared" si="102"/>
        <v/>
      </c>
      <c r="V1420" s="61"/>
      <c r="W1420" s="61"/>
      <c r="X1420" s="61"/>
      <c r="Y1420" s="485"/>
      <c r="Z1420" s="485"/>
      <c r="AA1420" s="61"/>
      <c r="AB1420" s="61"/>
    </row>
    <row r="1421" spans="1:28" s="2" customFormat="1" ht="15">
      <c r="A1421" s="61" t="s">
        <v>2286</v>
      </c>
      <c r="B1421" s="61" t="s">
        <v>1274</v>
      </c>
      <c r="C1421" s="61" t="s">
        <v>1225</v>
      </c>
      <c r="D1421" s="61" t="s">
        <v>7838</v>
      </c>
      <c r="E1421" s="61">
        <v>1914</v>
      </c>
      <c r="F1421" s="61">
        <v>1984</v>
      </c>
      <c r="G1421" s="61"/>
      <c r="H1421" s="61"/>
      <c r="I1421" s="61" t="s">
        <v>26</v>
      </c>
      <c r="J1421" s="61"/>
      <c r="K1421" s="61" t="s">
        <v>212</v>
      </c>
      <c r="L1421" s="61"/>
      <c r="M1421" s="61"/>
      <c r="N1421" s="61"/>
      <c r="O1421" s="61"/>
      <c r="P1421" s="61"/>
      <c r="Q1421" s="61"/>
      <c r="R1421" s="61" t="str">
        <f t="shared" si="100"/>
        <v/>
      </c>
      <c r="S1421" s="61" t="str">
        <f t="shared" si="101"/>
        <v/>
      </c>
      <c r="T1421" s="61" t="str">
        <f t="shared" si="99"/>
        <v/>
      </c>
      <c r="U1421" s="61" t="str">
        <f t="shared" si="102"/>
        <v/>
      </c>
      <c r="V1421" s="61"/>
      <c r="W1421" s="61"/>
      <c r="X1421" s="61"/>
      <c r="Y1421" s="485"/>
      <c r="Z1421" s="485"/>
      <c r="AA1421" s="61"/>
      <c r="AB1421" s="61"/>
    </row>
    <row r="1422" spans="1:28" s="2" customFormat="1" ht="15">
      <c r="A1422" s="61" t="s">
        <v>2286</v>
      </c>
      <c r="B1422" s="61" t="s">
        <v>1274</v>
      </c>
      <c r="C1422" s="61" t="s">
        <v>1439</v>
      </c>
      <c r="D1422" s="61" t="s">
        <v>7838</v>
      </c>
      <c r="E1422" s="61">
        <v>455</v>
      </c>
      <c r="F1422" s="61">
        <v>577</v>
      </c>
      <c r="G1422" s="61"/>
      <c r="H1422" s="61"/>
      <c r="I1422" s="61" t="s">
        <v>26</v>
      </c>
      <c r="J1422" s="61"/>
      <c r="K1422" s="61" t="s">
        <v>212</v>
      </c>
      <c r="L1422" s="61"/>
      <c r="M1422" s="61"/>
      <c r="N1422" s="61"/>
      <c r="O1422" s="61"/>
      <c r="P1422" s="61"/>
      <c r="Q1422" s="61"/>
      <c r="R1422" s="61" t="str">
        <f t="shared" si="100"/>
        <v/>
      </c>
      <c r="S1422" s="61" t="str">
        <f t="shared" si="101"/>
        <v/>
      </c>
      <c r="T1422" s="61" t="str">
        <f t="shared" si="99"/>
        <v/>
      </c>
      <c r="U1422" s="61" t="str">
        <f t="shared" si="102"/>
        <v/>
      </c>
      <c r="V1422" s="61"/>
      <c r="W1422" s="61"/>
      <c r="X1422" s="61"/>
      <c r="Y1422" s="471"/>
      <c r="Z1422" s="471"/>
      <c r="AA1422" s="61"/>
      <c r="AB1422" s="61"/>
    </row>
    <row r="1423" spans="1:28" s="2" customFormat="1" ht="15">
      <c r="A1423" s="61" t="s">
        <v>2286</v>
      </c>
      <c r="B1423" s="61" t="s">
        <v>1274</v>
      </c>
      <c r="C1423" s="61" t="s">
        <v>1166</v>
      </c>
      <c r="D1423" s="61" t="s">
        <v>7838</v>
      </c>
      <c r="E1423" s="61">
        <v>1356</v>
      </c>
      <c r="F1423" s="61">
        <v>1427</v>
      </c>
      <c r="G1423" s="61"/>
      <c r="H1423" s="61"/>
      <c r="I1423" s="61" t="s">
        <v>26</v>
      </c>
      <c r="J1423" s="61"/>
      <c r="K1423" s="61" t="s">
        <v>212</v>
      </c>
      <c r="L1423" s="61"/>
      <c r="M1423" s="61"/>
      <c r="N1423" s="61"/>
      <c r="O1423" s="61"/>
      <c r="P1423" s="61"/>
      <c r="Q1423" s="61"/>
      <c r="R1423" s="61" t="str">
        <f t="shared" si="100"/>
        <v/>
      </c>
      <c r="S1423" s="61" t="str">
        <f t="shared" si="101"/>
        <v/>
      </c>
      <c r="T1423" s="61" t="str">
        <f t="shared" si="99"/>
        <v/>
      </c>
      <c r="U1423" s="61" t="str">
        <f t="shared" si="102"/>
        <v/>
      </c>
      <c r="V1423" s="61"/>
      <c r="W1423" s="61"/>
      <c r="X1423" s="61"/>
      <c r="Y1423" s="471"/>
      <c r="Z1423" s="471"/>
      <c r="AA1423" s="61"/>
      <c r="AB1423" s="61"/>
    </row>
    <row r="1424" spans="1:28" s="2" customFormat="1" ht="15">
      <c r="A1424" s="61" t="s">
        <v>2286</v>
      </c>
      <c r="B1424" s="61" t="s">
        <v>1274</v>
      </c>
      <c r="C1424" s="61" t="s">
        <v>4971</v>
      </c>
      <c r="D1424" s="61" t="s">
        <v>7838</v>
      </c>
      <c r="E1424" s="61">
        <v>1153</v>
      </c>
      <c r="F1424" s="61">
        <v>1187</v>
      </c>
      <c r="G1424" s="61"/>
      <c r="H1424" s="61"/>
      <c r="I1424" s="61" t="s">
        <v>26</v>
      </c>
      <c r="J1424" s="61"/>
      <c r="K1424" s="61" t="s">
        <v>212</v>
      </c>
      <c r="L1424" s="61"/>
      <c r="M1424" s="61"/>
      <c r="N1424" s="61"/>
      <c r="O1424" s="61"/>
      <c r="P1424" s="61"/>
      <c r="Q1424" s="61"/>
      <c r="R1424" s="61" t="str">
        <f t="shared" si="100"/>
        <v/>
      </c>
      <c r="S1424" s="61" t="str">
        <f t="shared" si="101"/>
        <v/>
      </c>
      <c r="T1424" s="61" t="str">
        <f t="shared" si="99"/>
        <v/>
      </c>
      <c r="U1424" s="61" t="str">
        <f t="shared" si="102"/>
        <v/>
      </c>
      <c r="V1424" s="61"/>
      <c r="W1424" s="61"/>
      <c r="X1424" s="61"/>
      <c r="Y1424" s="471"/>
      <c r="Z1424" s="471"/>
      <c r="AA1424" s="61"/>
      <c r="AB1424" s="61"/>
    </row>
    <row r="1425" spans="1:28" s="2" customFormat="1" ht="15">
      <c r="A1425" s="61" t="s">
        <v>2286</v>
      </c>
      <c r="B1425" s="61" t="s">
        <v>1274</v>
      </c>
      <c r="C1425" s="61" t="s">
        <v>4954</v>
      </c>
      <c r="D1425" s="61" t="s">
        <v>7838</v>
      </c>
      <c r="E1425" s="61">
        <v>2175</v>
      </c>
      <c r="F1425" s="61">
        <v>2431</v>
      </c>
      <c r="G1425" s="61">
        <v>2025</v>
      </c>
      <c r="H1425" s="61" t="s">
        <v>3127</v>
      </c>
      <c r="I1425" s="61" t="s">
        <v>26</v>
      </c>
      <c r="J1425" s="61" t="s">
        <v>2289</v>
      </c>
      <c r="K1425" s="61" t="s">
        <v>212</v>
      </c>
      <c r="L1425" s="61" t="s">
        <v>8578</v>
      </c>
      <c r="M1425" s="475">
        <v>45876</v>
      </c>
      <c r="N1425" s="475">
        <v>45881</v>
      </c>
      <c r="O1425" s="475">
        <v>45887</v>
      </c>
      <c r="P1425" s="475">
        <v>45888</v>
      </c>
      <c r="Q1425" s="475">
        <v>45888</v>
      </c>
      <c r="R1425" s="61">
        <f t="shared" si="100"/>
        <v>3</v>
      </c>
      <c r="S1425" s="61">
        <f t="shared" si="101"/>
        <v>4</v>
      </c>
      <c r="T1425" s="61">
        <f t="shared" si="99"/>
        <v>1</v>
      </c>
      <c r="U1425" s="61">
        <f t="shared" si="102"/>
        <v>1</v>
      </c>
      <c r="V1425" s="61" t="s">
        <v>150</v>
      </c>
      <c r="W1425" s="61" t="s">
        <v>4</v>
      </c>
      <c r="X1425" s="61" t="s">
        <v>50</v>
      </c>
      <c r="Y1425" s="61">
        <v>15.607839999999999</v>
      </c>
      <c r="Z1425" s="61">
        <v>120.99915</v>
      </c>
      <c r="AA1425" s="61" t="s">
        <v>404</v>
      </c>
      <c r="AB1425" s="61"/>
    </row>
    <row r="1426" spans="1:28" s="2" customFormat="1" ht="15">
      <c r="A1426" s="61" t="s">
        <v>2286</v>
      </c>
      <c r="B1426" s="61" t="s">
        <v>1278</v>
      </c>
      <c r="C1426" s="61" t="s">
        <v>4974</v>
      </c>
      <c r="D1426" s="61" t="s">
        <v>7838</v>
      </c>
      <c r="E1426" s="61">
        <v>1358</v>
      </c>
      <c r="F1426" s="61">
        <v>1485</v>
      </c>
      <c r="G1426" s="61">
        <v>2025</v>
      </c>
      <c r="H1426" s="61" t="s">
        <v>3125</v>
      </c>
      <c r="I1426" s="61" t="s">
        <v>29</v>
      </c>
      <c r="J1426" s="61" t="s">
        <v>2289</v>
      </c>
      <c r="K1426" s="61" t="s">
        <v>212</v>
      </c>
      <c r="L1426" s="61" t="s">
        <v>8579</v>
      </c>
      <c r="M1426" s="475">
        <v>45847</v>
      </c>
      <c r="N1426" s="475">
        <v>45855</v>
      </c>
      <c r="O1426" s="475">
        <v>45855</v>
      </c>
      <c r="P1426" s="475">
        <v>45856</v>
      </c>
      <c r="Q1426" s="475">
        <v>45856</v>
      </c>
      <c r="R1426" s="61">
        <f t="shared" si="100"/>
        <v>6</v>
      </c>
      <c r="S1426" s="61">
        <f t="shared" si="101"/>
        <v>1</v>
      </c>
      <c r="T1426" s="61">
        <f t="shared" si="99"/>
        <v>1</v>
      </c>
      <c r="U1426" s="61">
        <f t="shared" si="102"/>
        <v>1</v>
      </c>
      <c r="V1426" s="61" t="s">
        <v>150</v>
      </c>
      <c r="W1426" s="61" t="s">
        <v>1078</v>
      </c>
      <c r="X1426" s="61" t="s">
        <v>50</v>
      </c>
      <c r="Y1426" s="61">
        <v>15.833600000000001</v>
      </c>
      <c r="Z1426" s="61">
        <v>120.89530000000001</v>
      </c>
      <c r="AA1426" s="61" t="s">
        <v>8361</v>
      </c>
      <c r="AB1426" s="61"/>
    </row>
    <row r="1427" spans="1:28" s="2" customFormat="1" ht="15">
      <c r="A1427" s="61" t="s">
        <v>2286</v>
      </c>
      <c r="B1427" s="61" t="s">
        <v>1278</v>
      </c>
      <c r="C1427" s="61" t="s">
        <v>4977</v>
      </c>
      <c r="D1427" s="61" t="s">
        <v>7838</v>
      </c>
      <c r="E1427" s="61">
        <v>945</v>
      </c>
      <c r="F1427" s="61">
        <v>922</v>
      </c>
      <c r="G1427" s="61">
        <v>2025</v>
      </c>
      <c r="H1427" s="61" t="s">
        <v>3458</v>
      </c>
      <c r="I1427" s="61" t="s">
        <v>29</v>
      </c>
      <c r="J1427" s="61" t="s">
        <v>2289</v>
      </c>
      <c r="K1427" s="61" t="s">
        <v>212</v>
      </c>
      <c r="L1427" s="61" t="s">
        <v>8580</v>
      </c>
      <c r="M1427" s="475">
        <v>45695</v>
      </c>
      <c r="N1427" s="475">
        <v>45706</v>
      </c>
      <c r="O1427" s="475">
        <v>45706</v>
      </c>
      <c r="P1427" s="475">
        <v>45706</v>
      </c>
      <c r="Q1427" s="475">
        <v>45706</v>
      </c>
      <c r="R1427" s="61">
        <f t="shared" si="100"/>
        <v>7</v>
      </c>
      <c r="S1427" s="61">
        <f t="shared" si="101"/>
        <v>1</v>
      </c>
      <c r="T1427" s="61">
        <f t="shared" ref="T1427:T1490" si="103">IF(
  OR(A1427 = "Nueva_Ecija", A1427 = "Zambales"),
  IF(
    OR(ISBLANK(O1427), ISBLANK(P1427)),
    "",
    MAX(1, IF(
      NETWORKDAYS(O1427, P1427) &lt;= 0,
      1,
      NETWORKDAYS(O1427, P1427) - IF(O1427 = P1427, 0, 1)
    ))
  ),
  IF(
    OR(ISBLANK(N1427), ISBLANK(P1427)),
    "",
    MAX(1, IF(
      NETWORKDAYS(N1427, P1427) &lt;= 0,
      1,
      NETWORKDAYS(N1427, P1427) - IF(N1427 = P1427, 0, 1)
    ))
  )
)</f>
        <v>1</v>
      </c>
      <c r="U1427" s="61">
        <f t="shared" si="102"/>
        <v>1</v>
      </c>
      <c r="V1427" s="61" t="s">
        <v>150</v>
      </c>
      <c r="W1427" s="61" t="s">
        <v>1078</v>
      </c>
      <c r="X1427" s="61" t="s">
        <v>50</v>
      </c>
      <c r="Y1427" s="473">
        <v>15.8439</v>
      </c>
      <c r="Z1427" s="473">
        <v>120.8847</v>
      </c>
      <c r="AA1427" s="61"/>
      <c r="AB1427" s="61"/>
    </row>
    <row r="1428" spans="1:28" s="2" customFormat="1" ht="15">
      <c r="A1428" s="61" t="s">
        <v>2286</v>
      </c>
      <c r="B1428" s="61" t="s">
        <v>1278</v>
      </c>
      <c r="C1428" s="61" t="s">
        <v>4980</v>
      </c>
      <c r="D1428" s="61" t="s">
        <v>7838</v>
      </c>
      <c r="E1428" s="61">
        <v>3816</v>
      </c>
      <c r="F1428" s="61">
        <v>3971</v>
      </c>
      <c r="G1428" s="61">
        <v>2025</v>
      </c>
      <c r="H1428" s="61" t="s">
        <v>3416</v>
      </c>
      <c r="I1428" s="61" t="s">
        <v>29</v>
      </c>
      <c r="J1428" s="61" t="s">
        <v>2289</v>
      </c>
      <c r="K1428" s="61" t="s">
        <v>212</v>
      </c>
      <c r="L1428" s="61" t="s">
        <v>8581</v>
      </c>
      <c r="M1428" s="475">
        <v>45727</v>
      </c>
      <c r="N1428" s="475">
        <v>45734</v>
      </c>
      <c r="O1428" s="475">
        <v>45734</v>
      </c>
      <c r="P1428" s="475">
        <v>45734</v>
      </c>
      <c r="Q1428" s="475">
        <v>45734</v>
      </c>
      <c r="R1428" s="61">
        <f t="shared" si="100"/>
        <v>5</v>
      </c>
      <c r="S1428" s="61">
        <f t="shared" si="101"/>
        <v>1</v>
      </c>
      <c r="T1428" s="61">
        <f t="shared" si="103"/>
        <v>1</v>
      </c>
      <c r="U1428" s="61">
        <f t="shared" si="102"/>
        <v>1</v>
      </c>
      <c r="V1428" s="61" t="s">
        <v>150</v>
      </c>
      <c r="W1428" s="61" t="s">
        <v>1078</v>
      </c>
      <c r="X1428" s="61" t="s">
        <v>50</v>
      </c>
      <c r="Y1428" s="485">
        <v>15.889699999999999</v>
      </c>
      <c r="Z1428" s="485">
        <v>120.89960000000001</v>
      </c>
      <c r="AA1428" s="61"/>
      <c r="AB1428" s="61"/>
    </row>
    <row r="1429" spans="1:28" s="2" customFormat="1" ht="15">
      <c r="A1429" s="61" t="s">
        <v>2286</v>
      </c>
      <c r="B1429" s="61" t="s">
        <v>1278</v>
      </c>
      <c r="C1429" s="61" t="s">
        <v>4985</v>
      </c>
      <c r="D1429" s="61" t="s">
        <v>7838</v>
      </c>
      <c r="E1429" s="61">
        <v>782</v>
      </c>
      <c r="F1429" s="61">
        <v>692</v>
      </c>
      <c r="G1429" s="61">
        <v>2025</v>
      </c>
      <c r="H1429" s="61" t="s">
        <v>3458</v>
      </c>
      <c r="I1429" s="61" t="s">
        <v>29</v>
      </c>
      <c r="J1429" s="61" t="s">
        <v>2289</v>
      </c>
      <c r="K1429" s="61" t="s">
        <v>212</v>
      </c>
      <c r="L1429" s="61" t="s">
        <v>8582</v>
      </c>
      <c r="M1429" s="475">
        <v>45695</v>
      </c>
      <c r="N1429" s="475">
        <v>45706</v>
      </c>
      <c r="O1429" s="475">
        <v>45706</v>
      </c>
      <c r="P1429" s="475">
        <v>45706</v>
      </c>
      <c r="Q1429" s="475">
        <v>45706</v>
      </c>
      <c r="R1429" s="61">
        <f t="shared" si="100"/>
        <v>7</v>
      </c>
      <c r="S1429" s="61">
        <f t="shared" si="101"/>
        <v>1</v>
      </c>
      <c r="T1429" s="61">
        <f t="shared" si="103"/>
        <v>1</v>
      </c>
      <c r="U1429" s="61">
        <f t="shared" si="102"/>
        <v>1</v>
      </c>
      <c r="V1429" s="61" t="s">
        <v>150</v>
      </c>
      <c r="W1429" s="61" t="s">
        <v>1078</v>
      </c>
      <c r="X1429" s="61" t="s">
        <v>50</v>
      </c>
      <c r="Y1429" s="473">
        <v>15.8438</v>
      </c>
      <c r="Z1429" s="473">
        <v>120.8849</v>
      </c>
      <c r="AA1429" s="61"/>
      <c r="AB1429" s="61"/>
    </row>
    <row r="1430" spans="1:28" s="2" customFormat="1" ht="15">
      <c r="A1430" s="61" t="s">
        <v>2286</v>
      </c>
      <c r="B1430" s="61" t="s">
        <v>1278</v>
      </c>
      <c r="C1430" s="61" t="s">
        <v>4989</v>
      </c>
      <c r="D1430" s="61" t="s">
        <v>7838</v>
      </c>
      <c r="E1430" s="61">
        <v>3998</v>
      </c>
      <c r="F1430" s="61">
        <v>4451</v>
      </c>
      <c r="G1430" s="61">
        <v>2025</v>
      </c>
      <c r="H1430" s="61" t="s">
        <v>3458</v>
      </c>
      <c r="I1430" s="61" t="s">
        <v>29</v>
      </c>
      <c r="J1430" s="61" t="s">
        <v>2289</v>
      </c>
      <c r="K1430" s="61" t="s">
        <v>212</v>
      </c>
      <c r="L1430" s="61" t="s">
        <v>8583</v>
      </c>
      <c r="M1430" s="475">
        <v>45700</v>
      </c>
      <c r="N1430" s="475">
        <v>45706</v>
      </c>
      <c r="O1430" s="475">
        <v>45706</v>
      </c>
      <c r="P1430" s="475">
        <v>45706</v>
      </c>
      <c r="Q1430" s="475">
        <v>45706</v>
      </c>
      <c r="R1430" s="61">
        <f t="shared" si="100"/>
        <v>4</v>
      </c>
      <c r="S1430" s="61">
        <f t="shared" si="101"/>
        <v>1</v>
      </c>
      <c r="T1430" s="61">
        <f t="shared" si="103"/>
        <v>1</v>
      </c>
      <c r="U1430" s="61">
        <f t="shared" si="102"/>
        <v>1</v>
      </c>
      <c r="V1430" s="61" t="s">
        <v>150</v>
      </c>
      <c r="W1430" s="61" t="s">
        <v>1078</v>
      </c>
      <c r="X1430" s="61" t="s">
        <v>50</v>
      </c>
      <c r="Y1430" s="473">
        <v>15.8634</v>
      </c>
      <c r="Z1430" s="473">
        <v>120.91849999999999</v>
      </c>
      <c r="AA1430" s="61"/>
      <c r="AB1430" s="61"/>
    </row>
    <row r="1431" spans="1:28" s="2" customFormat="1" ht="15">
      <c r="A1431" s="61" t="s">
        <v>2286</v>
      </c>
      <c r="B1431" s="61" t="s">
        <v>1278</v>
      </c>
      <c r="C1431" s="61" t="s">
        <v>1286</v>
      </c>
      <c r="D1431" s="61" t="s">
        <v>7838</v>
      </c>
      <c r="E1431" s="61">
        <v>884</v>
      </c>
      <c r="F1431" s="61">
        <v>765</v>
      </c>
      <c r="G1431" s="61">
        <v>2025</v>
      </c>
      <c r="H1431" s="61" t="s">
        <v>3125</v>
      </c>
      <c r="I1431" s="61" t="s">
        <v>29</v>
      </c>
      <c r="J1431" s="61"/>
      <c r="K1431" s="61" t="s">
        <v>212</v>
      </c>
      <c r="L1431" s="61" t="s">
        <v>8584</v>
      </c>
      <c r="M1431" s="475">
        <v>45856</v>
      </c>
      <c r="N1431" s="475">
        <v>45856</v>
      </c>
      <c r="O1431" s="475">
        <v>45859</v>
      </c>
      <c r="P1431" s="475">
        <v>45859</v>
      </c>
      <c r="Q1431" s="475">
        <v>45859</v>
      </c>
      <c r="R1431" s="61">
        <f t="shared" si="100"/>
        <v>1</v>
      </c>
      <c r="S1431" s="61">
        <f t="shared" si="101"/>
        <v>1</v>
      </c>
      <c r="T1431" s="61">
        <f t="shared" si="103"/>
        <v>1</v>
      </c>
      <c r="U1431" s="61">
        <f t="shared" si="102"/>
        <v>1</v>
      </c>
      <c r="V1431" s="61" t="s">
        <v>150</v>
      </c>
      <c r="W1431" s="61" t="s">
        <v>1078</v>
      </c>
      <c r="X1431" s="61" t="s">
        <v>50</v>
      </c>
      <c r="Y1431" s="61">
        <v>15.880100000000001</v>
      </c>
      <c r="Z1431" s="61">
        <v>120.90089999999999</v>
      </c>
      <c r="AA1431" s="61"/>
      <c r="AB1431" s="61"/>
    </row>
    <row r="1432" spans="1:28" s="2" customFormat="1" ht="15">
      <c r="A1432" s="61" t="s">
        <v>2286</v>
      </c>
      <c r="B1432" s="61" t="s">
        <v>1278</v>
      </c>
      <c r="C1432" s="61" t="s">
        <v>4991</v>
      </c>
      <c r="D1432" s="61" t="s">
        <v>7838</v>
      </c>
      <c r="E1432" s="61">
        <v>659</v>
      </c>
      <c r="F1432" s="61">
        <v>566</v>
      </c>
      <c r="G1432" s="61">
        <v>2025</v>
      </c>
      <c r="H1432" s="61" t="s">
        <v>3416</v>
      </c>
      <c r="I1432" s="61" t="s">
        <v>29</v>
      </c>
      <c r="J1432" s="61" t="s">
        <v>2289</v>
      </c>
      <c r="K1432" s="61" t="s">
        <v>212</v>
      </c>
      <c r="L1432" s="61" t="s">
        <v>8585</v>
      </c>
      <c r="M1432" s="475">
        <v>45716</v>
      </c>
      <c r="N1432" s="475">
        <v>45722</v>
      </c>
      <c r="O1432" s="475">
        <v>45729</v>
      </c>
      <c r="P1432" s="475">
        <v>45735</v>
      </c>
      <c r="Q1432" s="475">
        <v>45735</v>
      </c>
      <c r="R1432" s="61">
        <f t="shared" ref="R1432:R1495" si="104">IF(
    OR(ISBLANK(M1432), ISBLANK(N1432)),
    "",
    MAX(1, IF(
        NETWORKDAYS(M1432, N1432) &lt;= 0,
        1,
        NETWORKDAYS(M1432, N1432) - IF(M1432 = N1432, 0, 1)
    ))
)</f>
        <v>4</v>
      </c>
      <c r="S1432" s="61">
        <f t="shared" ref="S1432:S1495" si="105">IF(
    OR(ISBLANK(N1432), ISBLANK(O1432)),
    "",
    MAX(1, IF(
        NETWORKDAYS(N1432, O1432) &lt;= 0,
        1,
        NETWORKDAYS(N1432, O1432) - IF(N1432 = O1432, 0, 1)
    ))
)</f>
        <v>5</v>
      </c>
      <c r="T1432" s="61">
        <f t="shared" si="103"/>
        <v>4</v>
      </c>
      <c r="U1432" s="61">
        <f t="shared" ref="U1432:U1495" si="106">IF(
    OR(ISBLANK(P1432), ISBLANK(Q1432)),
    "",
    MAX(1, IF(
        NETWORKDAYS(P1432, Q1432) &lt;= 0,
        1,
        NETWORKDAYS(P1432, Q1432) - IF(P1432 = Q1432, 0, 1)
    ))
)</f>
        <v>1</v>
      </c>
      <c r="V1432" s="61" t="s">
        <v>150</v>
      </c>
      <c r="W1432" s="61" t="s">
        <v>1078</v>
      </c>
      <c r="X1432" s="61" t="s">
        <v>50</v>
      </c>
      <c r="Y1432" s="485">
        <v>15.878</v>
      </c>
      <c r="Z1432" s="485">
        <v>120.89870000000001</v>
      </c>
      <c r="AA1432" s="61"/>
      <c r="AB1432" s="61"/>
    </row>
    <row r="1433" spans="1:28" s="2" customFormat="1" ht="15">
      <c r="A1433" s="61" t="s">
        <v>2286</v>
      </c>
      <c r="B1433" s="61" t="s">
        <v>1278</v>
      </c>
      <c r="C1433" s="61" t="s">
        <v>2068</v>
      </c>
      <c r="D1433" s="61" t="s">
        <v>7838</v>
      </c>
      <c r="E1433" s="61">
        <v>1392</v>
      </c>
      <c r="F1433" s="61">
        <v>1700</v>
      </c>
      <c r="G1433" s="61">
        <v>2025</v>
      </c>
      <c r="H1433" s="61" t="s">
        <v>3470</v>
      </c>
      <c r="I1433" s="61" t="s">
        <v>29</v>
      </c>
      <c r="J1433" s="61" t="s">
        <v>2289</v>
      </c>
      <c r="K1433" s="61" t="s">
        <v>212</v>
      </c>
      <c r="L1433" s="61" t="s">
        <v>8586</v>
      </c>
      <c r="M1433" s="475">
        <v>45757</v>
      </c>
      <c r="N1433" s="475">
        <v>45761</v>
      </c>
      <c r="O1433" s="475">
        <v>45762</v>
      </c>
      <c r="P1433" s="475">
        <v>45762</v>
      </c>
      <c r="Q1433" s="475">
        <v>45762</v>
      </c>
      <c r="R1433" s="61">
        <f t="shared" si="104"/>
        <v>2</v>
      </c>
      <c r="S1433" s="61">
        <f t="shared" si="105"/>
        <v>1</v>
      </c>
      <c r="T1433" s="61">
        <f t="shared" si="103"/>
        <v>1</v>
      </c>
      <c r="U1433" s="61">
        <f t="shared" si="106"/>
        <v>1</v>
      </c>
      <c r="V1433" s="61" t="s">
        <v>150</v>
      </c>
      <c r="W1433" s="61" t="s">
        <v>1078</v>
      </c>
      <c r="X1433" s="61" t="s">
        <v>50</v>
      </c>
      <c r="Y1433" s="486">
        <v>15.875</v>
      </c>
      <c r="Z1433" s="486">
        <v>120.8994</v>
      </c>
      <c r="AA1433" s="61" t="s">
        <v>330</v>
      </c>
      <c r="AB1433" s="61"/>
    </row>
    <row r="1434" spans="1:28" s="2" customFormat="1" ht="28.5">
      <c r="A1434" s="61" t="s">
        <v>2286</v>
      </c>
      <c r="B1434" s="61" t="s">
        <v>1278</v>
      </c>
      <c r="C1434" s="61" t="s">
        <v>4830</v>
      </c>
      <c r="D1434" s="61" t="s">
        <v>7838</v>
      </c>
      <c r="E1434" s="61">
        <v>1307</v>
      </c>
      <c r="F1434" s="61">
        <v>1387</v>
      </c>
      <c r="G1434" s="61">
        <v>2025</v>
      </c>
      <c r="H1434" s="61" t="s">
        <v>3125</v>
      </c>
      <c r="I1434" s="61" t="s">
        <v>29</v>
      </c>
      <c r="J1434" s="61"/>
      <c r="K1434" s="61" t="s">
        <v>212</v>
      </c>
      <c r="L1434" s="61" t="s">
        <v>8587</v>
      </c>
      <c r="M1434" s="475">
        <v>45856</v>
      </c>
      <c r="N1434" s="475">
        <v>45856</v>
      </c>
      <c r="O1434" s="475">
        <v>45859</v>
      </c>
      <c r="P1434" s="475">
        <v>45859</v>
      </c>
      <c r="Q1434" s="475">
        <v>45859</v>
      </c>
      <c r="R1434" s="61">
        <f t="shared" si="104"/>
        <v>1</v>
      </c>
      <c r="S1434" s="61">
        <f t="shared" si="105"/>
        <v>1</v>
      </c>
      <c r="T1434" s="61">
        <f t="shared" si="103"/>
        <v>1</v>
      </c>
      <c r="U1434" s="61">
        <f t="shared" si="106"/>
        <v>1</v>
      </c>
      <c r="V1434" s="61" t="s">
        <v>150</v>
      </c>
      <c r="W1434" s="61" t="s">
        <v>1078</v>
      </c>
      <c r="X1434" s="61" t="s">
        <v>50</v>
      </c>
      <c r="Y1434" s="61">
        <v>15.8804</v>
      </c>
      <c r="Z1434" s="61">
        <v>120.8969</v>
      </c>
      <c r="AA1434" s="61" t="s">
        <v>8492</v>
      </c>
      <c r="AB1434" s="61"/>
    </row>
    <row r="1435" spans="1:28" s="2" customFormat="1" ht="15">
      <c r="A1435" s="61" t="s">
        <v>2286</v>
      </c>
      <c r="B1435" s="61" t="s">
        <v>1278</v>
      </c>
      <c r="C1435" s="61" t="s">
        <v>4993</v>
      </c>
      <c r="D1435" s="61" t="s">
        <v>7838</v>
      </c>
      <c r="E1435" s="61">
        <v>1818</v>
      </c>
      <c r="F1435" s="61">
        <v>2092</v>
      </c>
      <c r="G1435" s="61">
        <v>2025</v>
      </c>
      <c r="H1435" s="61" t="s">
        <v>3470</v>
      </c>
      <c r="I1435" s="61" t="s">
        <v>29</v>
      </c>
      <c r="J1435" s="61" t="s">
        <v>2289</v>
      </c>
      <c r="K1435" s="61" t="s">
        <v>212</v>
      </c>
      <c r="L1435" s="61" t="s">
        <v>8588</v>
      </c>
      <c r="M1435" s="475">
        <v>45744</v>
      </c>
      <c r="N1435" s="475">
        <v>45758</v>
      </c>
      <c r="O1435" s="475">
        <v>45761</v>
      </c>
      <c r="P1435" s="475">
        <v>45762</v>
      </c>
      <c r="Q1435" s="475">
        <v>45762</v>
      </c>
      <c r="R1435" s="61">
        <f t="shared" si="104"/>
        <v>10</v>
      </c>
      <c r="S1435" s="61">
        <f t="shared" si="105"/>
        <v>1</v>
      </c>
      <c r="T1435" s="61">
        <f t="shared" si="103"/>
        <v>1</v>
      </c>
      <c r="U1435" s="61">
        <f t="shared" si="106"/>
        <v>1</v>
      </c>
      <c r="V1435" s="61" t="s">
        <v>150</v>
      </c>
      <c r="W1435" s="61" t="s">
        <v>1078</v>
      </c>
      <c r="X1435" s="61" t="s">
        <v>50</v>
      </c>
      <c r="Y1435" s="471">
        <v>15.8188</v>
      </c>
      <c r="Z1435" s="471">
        <v>120.8775</v>
      </c>
      <c r="AA1435" s="61" t="s">
        <v>330</v>
      </c>
      <c r="AB1435" s="61"/>
    </row>
    <row r="1436" spans="1:28" s="2" customFormat="1" ht="15">
      <c r="A1436" s="61" t="s">
        <v>2286</v>
      </c>
      <c r="B1436" s="61" t="s">
        <v>1278</v>
      </c>
      <c r="C1436" s="61" t="s">
        <v>4995</v>
      </c>
      <c r="D1436" s="61" t="s">
        <v>7838</v>
      </c>
      <c r="E1436" s="61">
        <v>1776</v>
      </c>
      <c r="F1436" s="61">
        <v>1798</v>
      </c>
      <c r="G1436" s="61">
        <v>2025</v>
      </c>
      <c r="H1436" s="61" t="s">
        <v>3470</v>
      </c>
      <c r="I1436" s="61" t="s">
        <v>29</v>
      </c>
      <c r="J1436" s="61" t="s">
        <v>2289</v>
      </c>
      <c r="K1436" s="61" t="s">
        <v>212</v>
      </c>
      <c r="L1436" s="61" t="s">
        <v>8589</v>
      </c>
      <c r="M1436" s="475">
        <v>45744</v>
      </c>
      <c r="N1436" s="475">
        <v>45758</v>
      </c>
      <c r="O1436" s="475">
        <v>45761</v>
      </c>
      <c r="P1436" s="475">
        <v>45761</v>
      </c>
      <c r="Q1436" s="475">
        <v>45761</v>
      </c>
      <c r="R1436" s="61">
        <f t="shared" si="104"/>
        <v>10</v>
      </c>
      <c r="S1436" s="61">
        <f t="shared" si="105"/>
        <v>1</v>
      </c>
      <c r="T1436" s="61">
        <f t="shared" si="103"/>
        <v>1</v>
      </c>
      <c r="U1436" s="61">
        <f t="shared" si="106"/>
        <v>1</v>
      </c>
      <c r="V1436" s="61" t="s">
        <v>150</v>
      </c>
      <c r="W1436" s="61" t="s">
        <v>1078</v>
      </c>
      <c r="X1436" s="61" t="s">
        <v>50</v>
      </c>
      <c r="Y1436" s="471">
        <v>15.8188</v>
      </c>
      <c r="Z1436" s="471">
        <v>120.8775</v>
      </c>
      <c r="AA1436" s="61" t="s">
        <v>330</v>
      </c>
      <c r="AB1436" s="61"/>
    </row>
    <row r="1437" spans="1:28" s="2" customFormat="1" ht="15">
      <c r="A1437" s="61" t="s">
        <v>2286</v>
      </c>
      <c r="B1437" s="61" t="s">
        <v>1278</v>
      </c>
      <c r="C1437" s="61" t="s">
        <v>1884</v>
      </c>
      <c r="D1437" s="61" t="s">
        <v>7838</v>
      </c>
      <c r="E1437" s="61">
        <v>2119</v>
      </c>
      <c r="F1437" s="61">
        <v>2189</v>
      </c>
      <c r="G1437" s="61">
        <v>2025</v>
      </c>
      <c r="H1437" s="61" t="s">
        <v>3416</v>
      </c>
      <c r="I1437" s="61" t="s">
        <v>29</v>
      </c>
      <c r="J1437" s="61" t="s">
        <v>2289</v>
      </c>
      <c r="K1437" s="61" t="s">
        <v>212</v>
      </c>
      <c r="L1437" s="61" t="s">
        <v>8590</v>
      </c>
      <c r="M1437" s="475">
        <v>45716</v>
      </c>
      <c r="N1437" s="475">
        <v>45722</v>
      </c>
      <c r="O1437" s="475">
        <v>45729</v>
      </c>
      <c r="P1437" s="475">
        <v>45735</v>
      </c>
      <c r="Q1437" s="475">
        <v>45735</v>
      </c>
      <c r="R1437" s="61">
        <f t="shared" si="104"/>
        <v>4</v>
      </c>
      <c r="S1437" s="61">
        <f t="shared" si="105"/>
        <v>5</v>
      </c>
      <c r="T1437" s="61">
        <f t="shared" si="103"/>
        <v>4</v>
      </c>
      <c r="U1437" s="61">
        <f t="shared" si="106"/>
        <v>1</v>
      </c>
      <c r="V1437" s="61" t="s">
        <v>150</v>
      </c>
      <c r="W1437" s="61" t="s">
        <v>1078</v>
      </c>
      <c r="X1437" s="61" t="s">
        <v>50</v>
      </c>
      <c r="Y1437" s="61">
        <v>15.869899999999999</v>
      </c>
      <c r="Z1437" s="61">
        <v>120.8961</v>
      </c>
      <c r="AA1437" s="61" t="s">
        <v>330</v>
      </c>
      <c r="AB1437" s="61"/>
    </row>
    <row r="1438" spans="1:28" s="2" customFormat="1" ht="15">
      <c r="A1438" s="61" t="s">
        <v>2286</v>
      </c>
      <c r="B1438" s="61" t="s">
        <v>1278</v>
      </c>
      <c r="C1438" s="61" t="s">
        <v>1253</v>
      </c>
      <c r="D1438" s="61" t="s">
        <v>7838</v>
      </c>
      <c r="E1438" s="61">
        <v>1578</v>
      </c>
      <c r="F1438" s="61">
        <v>1660</v>
      </c>
      <c r="G1438" s="61">
        <v>2025</v>
      </c>
      <c r="H1438" s="61" t="s">
        <v>3416</v>
      </c>
      <c r="I1438" s="61" t="s">
        <v>29</v>
      </c>
      <c r="J1438" s="61" t="s">
        <v>2289</v>
      </c>
      <c r="K1438" s="61" t="s">
        <v>212</v>
      </c>
      <c r="L1438" s="61" t="s">
        <v>8591</v>
      </c>
      <c r="M1438" s="475">
        <v>45727</v>
      </c>
      <c r="N1438" s="475">
        <v>45734</v>
      </c>
      <c r="O1438" s="475">
        <v>45734</v>
      </c>
      <c r="P1438" s="475">
        <v>45734</v>
      </c>
      <c r="Q1438" s="475">
        <v>45735</v>
      </c>
      <c r="R1438" s="61">
        <f t="shared" si="104"/>
        <v>5</v>
      </c>
      <c r="S1438" s="61">
        <f t="shared" si="105"/>
        <v>1</v>
      </c>
      <c r="T1438" s="61">
        <f t="shared" si="103"/>
        <v>1</v>
      </c>
      <c r="U1438" s="61">
        <f t="shared" si="106"/>
        <v>1</v>
      </c>
      <c r="V1438" s="61" t="s">
        <v>150</v>
      </c>
      <c r="W1438" s="61" t="s">
        <v>1078</v>
      </c>
      <c r="X1438" s="61" t="s">
        <v>50</v>
      </c>
      <c r="Y1438" s="485">
        <v>15.881</v>
      </c>
      <c r="Z1438" s="485">
        <v>120.8792</v>
      </c>
      <c r="AA1438" s="61" t="s">
        <v>330</v>
      </c>
      <c r="AB1438" s="61"/>
    </row>
    <row r="1439" spans="1:28" s="2" customFormat="1" ht="15">
      <c r="A1439" s="61" t="s">
        <v>2286</v>
      </c>
      <c r="B1439" s="61" t="s">
        <v>1278</v>
      </c>
      <c r="C1439" s="61" t="s">
        <v>3974</v>
      </c>
      <c r="D1439" s="61" t="s">
        <v>7838</v>
      </c>
      <c r="E1439" s="61">
        <v>1980</v>
      </c>
      <c r="F1439" s="61">
        <v>1925</v>
      </c>
      <c r="G1439" s="61">
        <v>2025</v>
      </c>
      <c r="H1439" s="61" t="s">
        <v>3416</v>
      </c>
      <c r="I1439" s="61" t="s">
        <v>29</v>
      </c>
      <c r="J1439" s="61" t="s">
        <v>2289</v>
      </c>
      <c r="K1439" s="61" t="s">
        <v>212</v>
      </c>
      <c r="L1439" s="61" t="s">
        <v>8592</v>
      </c>
      <c r="M1439" s="475">
        <v>45730</v>
      </c>
      <c r="N1439" s="475">
        <v>45734</v>
      </c>
      <c r="O1439" s="475">
        <v>45734</v>
      </c>
      <c r="P1439" s="475">
        <v>45734</v>
      </c>
      <c r="Q1439" s="475">
        <v>45735</v>
      </c>
      <c r="R1439" s="61">
        <f t="shared" si="104"/>
        <v>2</v>
      </c>
      <c r="S1439" s="61">
        <f t="shared" si="105"/>
        <v>1</v>
      </c>
      <c r="T1439" s="61">
        <f t="shared" si="103"/>
        <v>1</v>
      </c>
      <c r="U1439" s="61">
        <f t="shared" si="106"/>
        <v>1</v>
      </c>
      <c r="V1439" s="61" t="s">
        <v>150</v>
      </c>
      <c r="W1439" s="61" t="s">
        <v>1078</v>
      </c>
      <c r="X1439" s="61" t="s">
        <v>50</v>
      </c>
      <c r="Y1439" s="471">
        <v>15.8977</v>
      </c>
      <c r="Z1439" s="471">
        <v>120.89190000000001</v>
      </c>
      <c r="AA1439" s="61" t="s">
        <v>330</v>
      </c>
      <c r="AB1439" s="61"/>
    </row>
    <row r="1440" spans="1:28" s="2" customFormat="1" ht="15">
      <c r="A1440" s="61" t="s">
        <v>2286</v>
      </c>
      <c r="B1440" s="61" t="s">
        <v>1278</v>
      </c>
      <c r="C1440" s="61" t="s">
        <v>4976</v>
      </c>
      <c r="D1440" s="61" t="s">
        <v>7838</v>
      </c>
      <c r="E1440" s="61">
        <v>1675</v>
      </c>
      <c r="F1440" s="61">
        <v>1788</v>
      </c>
      <c r="G1440" s="61">
        <v>2025</v>
      </c>
      <c r="H1440" s="61" t="s">
        <v>3127</v>
      </c>
      <c r="I1440" s="61" t="s">
        <v>29</v>
      </c>
      <c r="J1440" s="61" t="s">
        <v>2289</v>
      </c>
      <c r="K1440" s="61" t="s">
        <v>212</v>
      </c>
      <c r="L1440" s="61" t="s">
        <v>8593</v>
      </c>
      <c r="M1440" s="475">
        <v>45918</v>
      </c>
      <c r="N1440" s="475">
        <v>45918</v>
      </c>
      <c r="O1440" s="475">
        <v>45923</v>
      </c>
      <c r="P1440" s="475">
        <v>45924</v>
      </c>
      <c r="Q1440" s="475">
        <v>45925</v>
      </c>
      <c r="R1440" s="61">
        <f t="shared" si="104"/>
        <v>1</v>
      </c>
      <c r="S1440" s="61">
        <f t="shared" si="105"/>
        <v>3</v>
      </c>
      <c r="T1440" s="61">
        <f t="shared" si="103"/>
        <v>1</v>
      </c>
      <c r="U1440" s="61">
        <f t="shared" si="106"/>
        <v>1</v>
      </c>
      <c r="V1440" s="61" t="s">
        <v>150</v>
      </c>
      <c r="W1440" s="61" t="s">
        <v>1078</v>
      </c>
      <c r="X1440" s="61" t="s">
        <v>50</v>
      </c>
      <c r="Y1440" s="471" t="s">
        <v>8594</v>
      </c>
      <c r="Z1440" s="471" t="s">
        <v>8595</v>
      </c>
      <c r="AA1440" s="61" t="s">
        <v>330</v>
      </c>
      <c r="AB1440" s="61"/>
    </row>
    <row r="1441" spans="1:29" s="2" customFormat="1" ht="15">
      <c r="A1441" s="61" t="s">
        <v>2286</v>
      </c>
      <c r="B1441" s="61" t="s">
        <v>1278</v>
      </c>
      <c r="C1441" s="61" t="s">
        <v>4979</v>
      </c>
      <c r="D1441" s="61" t="s">
        <v>7838</v>
      </c>
      <c r="E1441" s="61">
        <v>1840</v>
      </c>
      <c r="F1441" s="61">
        <v>1777</v>
      </c>
      <c r="G1441" s="61">
        <v>2025</v>
      </c>
      <c r="H1441" s="61" t="s">
        <v>3127</v>
      </c>
      <c r="I1441" s="61" t="s">
        <v>29</v>
      </c>
      <c r="J1441" s="61" t="s">
        <v>2289</v>
      </c>
      <c r="K1441" s="61" t="s">
        <v>212</v>
      </c>
      <c r="L1441" s="61" t="s">
        <v>8596</v>
      </c>
      <c r="M1441" s="475">
        <v>45918</v>
      </c>
      <c r="N1441" s="475">
        <v>45918</v>
      </c>
      <c r="O1441" s="475">
        <v>45923</v>
      </c>
      <c r="P1441" s="475">
        <v>45924</v>
      </c>
      <c r="Q1441" s="475">
        <v>45925</v>
      </c>
      <c r="R1441" s="61">
        <f t="shared" si="104"/>
        <v>1</v>
      </c>
      <c r="S1441" s="61">
        <f t="shared" si="105"/>
        <v>3</v>
      </c>
      <c r="T1441" s="61">
        <f t="shared" si="103"/>
        <v>1</v>
      </c>
      <c r="U1441" s="61">
        <f t="shared" si="106"/>
        <v>1</v>
      </c>
      <c r="V1441" s="61" t="s">
        <v>150</v>
      </c>
      <c r="W1441" s="61" t="s">
        <v>1078</v>
      </c>
      <c r="X1441" s="61" t="s">
        <v>50</v>
      </c>
      <c r="Y1441" s="471" t="s">
        <v>8597</v>
      </c>
      <c r="Z1441" s="471" t="s">
        <v>8598</v>
      </c>
      <c r="AA1441" s="61" t="s">
        <v>330</v>
      </c>
      <c r="AB1441" s="61"/>
    </row>
    <row r="1442" spans="1:29" s="2" customFormat="1" ht="15">
      <c r="A1442" s="61" t="s">
        <v>2286</v>
      </c>
      <c r="B1442" s="61" t="s">
        <v>1278</v>
      </c>
      <c r="C1442" s="61" t="s">
        <v>4982</v>
      </c>
      <c r="D1442" s="61" t="s">
        <v>7838</v>
      </c>
      <c r="E1442" s="61">
        <v>2677</v>
      </c>
      <c r="F1442" s="61">
        <v>2454</v>
      </c>
      <c r="G1442" s="61"/>
      <c r="H1442" s="61"/>
      <c r="I1442" s="61" t="s">
        <v>29</v>
      </c>
      <c r="J1442" s="61"/>
      <c r="K1442" s="61" t="s">
        <v>212</v>
      </c>
      <c r="L1442" s="61"/>
      <c r="M1442" s="61"/>
      <c r="N1442" s="61"/>
      <c r="O1442" s="61"/>
      <c r="P1442" s="61"/>
      <c r="Q1442" s="61"/>
      <c r="R1442" s="61" t="str">
        <f t="shared" si="104"/>
        <v/>
      </c>
      <c r="S1442" s="61" t="str">
        <f t="shared" si="105"/>
        <v/>
      </c>
      <c r="T1442" s="61" t="str">
        <f t="shared" si="103"/>
        <v/>
      </c>
      <c r="U1442" s="61" t="str">
        <f t="shared" si="106"/>
        <v/>
      </c>
      <c r="V1442" s="61"/>
      <c r="W1442" s="61"/>
      <c r="X1442" s="61"/>
      <c r="Y1442" s="471"/>
      <c r="Z1442" s="471"/>
      <c r="AA1442" s="61"/>
      <c r="AB1442" s="61"/>
    </row>
    <row r="1443" spans="1:29" s="2" customFormat="1" ht="15">
      <c r="A1443" s="61" t="s">
        <v>2286</v>
      </c>
      <c r="B1443" s="61" t="s">
        <v>1278</v>
      </c>
      <c r="C1443" s="61" t="s">
        <v>1490</v>
      </c>
      <c r="D1443" s="61" t="s">
        <v>7838</v>
      </c>
      <c r="E1443" s="61">
        <v>1502</v>
      </c>
      <c r="F1443" s="61">
        <v>1570</v>
      </c>
      <c r="G1443" s="61"/>
      <c r="H1443" s="61"/>
      <c r="I1443" s="61" t="s">
        <v>29</v>
      </c>
      <c r="J1443" s="61"/>
      <c r="K1443" s="61" t="s">
        <v>212</v>
      </c>
      <c r="L1443" s="61"/>
      <c r="M1443" s="61"/>
      <c r="N1443" s="61"/>
      <c r="O1443" s="61"/>
      <c r="P1443" s="61"/>
      <c r="Q1443" s="61"/>
      <c r="R1443" s="61" t="str">
        <f t="shared" si="104"/>
        <v/>
      </c>
      <c r="S1443" s="61" t="str">
        <f t="shared" si="105"/>
        <v/>
      </c>
      <c r="T1443" s="61" t="str">
        <f t="shared" si="103"/>
        <v/>
      </c>
      <c r="U1443" s="61" t="str">
        <f t="shared" si="106"/>
        <v/>
      </c>
      <c r="V1443" s="61"/>
      <c r="W1443" s="61"/>
      <c r="X1443" s="61"/>
      <c r="Y1443" s="471"/>
      <c r="Z1443" s="471"/>
      <c r="AA1443" s="61"/>
      <c r="AB1443" s="61"/>
    </row>
    <row r="1444" spans="1:29" s="2" customFormat="1" ht="15">
      <c r="A1444" s="61" t="s">
        <v>2286</v>
      </c>
      <c r="B1444" s="61" t="s">
        <v>1278</v>
      </c>
      <c r="C1444" s="61" t="s">
        <v>4983</v>
      </c>
      <c r="D1444" s="61" t="s">
        <v>7838</v>
      </c>
      <c r="E1444" s="61">
        <v>1017</v>
      </c>
      <c r="F1444" s="61">
        <v>1075</v>
      </c>
      <c r="G1444" s="61"/>
      <c r="H1444" s="61"/>
      <c r="I1444" s="61" t="s">
        <v>29</v>
      </c>
      <c r="J1444" s="61"/>
      <c r="K1444" s="61" t="s">
        <v>212</v>
      </c>
      <c r="L1444" s="61"/>
      <c r="M1444" s="61"/>
      <c r="N1444" s="61"/>
      <c r="O1444" s="61"/>
      <c r="P1444" s="61"/>
      <c r="Q1444" s="61"/>
      <c r="R1444" s="61" t="str">
        <f t="shared" si="104"/>
        <v/>
      </c>
      <c r="S1444" s="61" t="str">
        <f t="shared" si="105"/>
        <v/>
      </c>
      <c r="T1444" s="61" t="str">
        <f t="shared" si="103"/>
        <v/>
      </c>
      <c r="U1444" s="61" t="str">
        <f t="shared" si="106"/>
        <v/>
      </c>
      <c r="V1444" s="61"/>
      <c r="W1444" s="61"/>
      <c r="X1444" s="61"/>
      <c r="Y1444" s="471"/>
      <c r="Z1444" s="471"/>
      <c r="AA1444" s="61"/>
      <c r="AB1444" s="61"/>
    </row>
    <row r="1445" spans="1:29" s="2" customFormat="1" ht="18">
      <c r="A1445" s="61" t="s">
        <v>2286</v>
      </c>
      <c r="B1445" s="61" t="s">
        <v>1278</v>
      </c>
      <c r="C1445" s="61" t="s">
        <v>4984</v>
      </c>
      <c r="D1445" s="61" t="s">
        <v>7838</v>
      </c>
      <c r="E1445" s="61">
        <v>1640</v>
      </c>
      <c r="F1445" s="61">
        <v>1817</v>
      </c>
      <c r="G1445" s="61"/>
      <c r="H1445" s="61"/>
      <c r="I1445" s="61" t="s">
        <v>29</v>
      </c>
      <c r="J1445" s="61"/>
      <c r="K1445" s="61" t="s">
        <v>212</v>
      </c>
      <c r="L1445" s="61"/>
      <c r="M1445" s="61"/>
      <c r="N1445" s="61"/>
      <c r="O1445" s="61"/>
      <c r="P1445" s="61"/>
      <c r="Q1445" s="61"/>
      <c r="R1445" s="61" t="str">
        <f t="shared" si="104"/>
        <v/>
      </c>
      <c r="S1445" s="61" t="str">
        <f t="shared" si="105"/>
        <v/>
      </c>
      <c r="T1445" s="61" t="str">
        <f t="shared" si="103"/>
        <v/>
      </c>
      <c r="U1445" s="61" t="str">
        <f t="shared" si="106"/>
        <v/>
      </c>
      <c r="V1445" s="61"/>
      <c r="W1445" s="61"/>
      <c r="X1445" s="61"/>
      <c r="Y1445" s="471"/>
      <c r="Z1445" s="471"/>
      <c r="AA1445" s="61"/>
      <c r="AB1445" s="61"/>
      <c r="AC1445" s="499"/>
    </row>
    <row r="1446" spans="1:29" s="2" customFormat="1" ht="15">
      <c r="A1446" s="61" t="s">
        <v>2286</v>
      </c>
      <c r="B1446" s="61" t="s">
        <v>1278</v>
      </c>
      <c r="C1446" s="61" t="s">
        <v>1279</v>
      </c>
      <c r="D1446" s="61" t="s">
        <v>7838</v>
      </c>
      <c r="E1446" s="61">
        <v>1743</v>
      </c>
      <c r="F1446" s="61">
        <v>2058</v>
      </c>
      <c r="G1446" s="61">
        <v>2025</v>
      </c>
      <c r="H1446" s="61" t="s">
        <v>3127</v>
      </c>
      <c r="I1446" s="61" t="s">
        <v>29</v>
      </c>
      <c r="J1446" s="61" t="s">
        <v>2289</v>
      </c>
      <c r="K1446" s="61" t="s">
        <v>212</v>
      </c>
      <c r="L1446" s="61" t="s">
        <v>8599</v>
      </c>
      <c r="M1446" s="475">
        <v>45918</v>
      </c>
      <c r="N1446" s="475">
        <v>45919</v>
      </c>
      <c r="O1446" s="475">
        <v>45923</v>
      </c>
      <c r="P1446" s="475">
        <v>45924</v>
      </c>
      <c r="Q1446" s="475">
        <v>45925</v>
      </c>
      <c r="R1446" s="61">
        <f t="shared" si="104"/>
        <v>1</v>
      </c>
      <c r="S1446" s="61">
        <f t="shared" si="105"/>
        <v>2</v>
      </c>
      <c r="T1446" s="61">
        <f t="shared" si="103"/>
        <v>1</v>
      </c>
      <c r="U1446" s="61">
        <f t="shared" si="106"/>
        <v>1</v>
      </c>
      <c r="V1446" s="61" t="s">
        <v>150</v>
      </c>
      <c r="W1446" s="61" t="s">
        <v>1078</v>
      </c>
      <c r="X1446" s="61" t="s">
        <v>50</v>
      </c>
      <c r="Y1446" s="471" t="s">
        <v>8600</v>
      </c>
      <c r="Z1446" s="471" t="s">
        <v>8601</v>
      </c>
      <c r="AA1446" s="61" t="s">
        <v>330</v>
      </c>
      <c r="AB1446" s="61"/>
    </row>
    <row r="1447" spans="1:29" s="2" customFormat="1" ht="15">
      <c r="A1447" s="61" t="s">
        <v>2286</v>
      </c>
      <c r="B1447" s="61" t="s">
        <v>1278</v>
      </c>
      <c r="C1447" s="61" t="s">
        <v>4987</v>
      </c>
      <c r="D1447" s="61" t="s">
        <v>7838</v>
      </c>
      <c r="E1447" s="61">
        <v>1664</v>
      </c>
      <c r="F1447" s="61">
        <v>1823</v>
      </c>
      <c r="G1447" s="61">
        <v>2025</v>
      </c>
      <c r="H1447" s="61" t="s">
        <v>3127</v>
      </c>
      <c r="I1447" s="61" t="s">
        <v>29</v>
      </c>
      <c r="J1447" s="61" t="s">
        <v>2289</v>
      </c>
      <c r="K1447" s="61" t="s">
        <v>212</v>
      </c>
      <c r="L1447" s="61" t="s">
        <v>8602</v>
      </c>
      <c r="M1447" s="475">
        <v>45918</v>
      </c>
      <c r="N1447" s="475">
        <v>45918</v>
      </c>
      <c r="O1447" s="475">
        <v>45923</v>
      </c>
      <c r="P1447" s="475">
        <v>45924</v>
      </c>
      <c r="Q1447" s="475">
        <v>45925</v>
      </c>
      <c r="R1447" s="61">
        <f t="shared" si="104"/>
        <v>1</v>
      </c>
      <c r="S1447" s="61">
        <f t="shared" si="105"/>
        <v>3</v>
      </c>
      <c r="T1447" s="61">
        <f t="shared" si="103"/>
        <v>1</v>
      </c>
      <c r="U1447" s="61">
        <f t="shared" si="106"/>
        <v>1</v>
      </c>
      <c r="V1447" s="61" t="s">
        <v>150</v>
      </c>
      <c r="W1447" s="61" t="s">
        <v>1078</v>
      </c>
      <c r="X1447" s="61" t="s">
        <v>50</v>
      </c>
      <c r="Y1447" s="471" t="s">
        <v>8603</v>
      </c>
      <c r="Z1447" s="471" t="s">
        <v>8604</v>
      </c>
      <c r="AA1447" s="61" t="s">
        <v>330</v>
      </c>
      <c r="AB1447" s="61"/>
    </row>
    <row r="1448" spans="1:29" s="2" customFormat="1" ht="15">
      <c r="A1448" s="61" t="s">
        <v>2286</v>
      </c>
      <c r="B1448" s="61" t="s">
        <v>1278</v>
      </c>
      <c r="C1448" s="61" t="s">
        <v>1180</v>
      </c>
      <c r="D1448" s="61" t="s">
        <v>7838</v>
      </c>
      <c r="E1448" s="61">
        <v>4967</v>
      </c>
      <c r="F1448" s="61">
        <v>5239</v>
      </c>
      <c r="G1448" s="61"/>
      <c r="H1448" s="61"/>
      <c r="I1448" s="61" t="s">
        <v>29</v>
      </c>
      <c r="J1448" s="61"/>
      <c r="K1448" s="61" t="s">
        <v>212</v>
      </c>
      <c r="L1448" s="61"/>
      <c r="M1448" s="61"/>
      <c r="N1448" s="61"/>
      <c r="O1448" s="61"/>
      <c r="P1448" s="61"/>
      <c r="Q1448" s="61"/>
      <c r="R1448" s="61" t="str">
        <f t="shared" si="104"/>
        <v/>
      </c>
      <c r="S1448" s="61" t="str">
        <f t="shared" si="105"/>
        <v/>
      </c>
      <c r="T1448" s="61" t="str">
        <f t="shared" si="103"/>
        <v/>
      </c>
      <c r="U1448" s="61" t="str">
        <f t="shared" si="106"/>
        <v/>
      </c>
      <c r="V1448" s="61"/>
      <c r="W1448" s="61"/>
      <c r="X1448" s="61"/>
      <c r="Y1448" s="471"/>
      <c r="Z1448" s="471"/>
      <c r="AA1448" s="61"/>
      <c r="AB1448" s="61"/>
    </row>
    <row r="1449" spans="1:29" s="2" customFormat="1" ht="15">
      <c r="A1449" s="61" t="s">
        <v>2286</v>
      </c>
      <c r="B1449" s="61" t="s">
        <v>1278</v>
      </c>
      <c r="C1449" s="61" t="s">
        <v>3133</v>
      </c>
      <c r="D1449" s="61" t="s">
        <v>7838</v>
      </c>
      <c r="E1449" s="61">
        <v>651</v>
      </c>
      <c r="F1449" s="61">
        <v>713</v>
      </c>
      <c r="G1449" s="61">
        <v>2025</v>
      </c>
      <c r="H1449" s="61" t="s">
        <v>3128</v>
      </c>
      <c r="I1449" s="61" t="s">
        <v>29</v>
      </c>
      <c r="J1449" s="61" t="s">
        <v>2289</v>
      </c>
      <c r="K1449" s="61" t="s">
        <v>212</v>
      </c>
      <c r="L1449" s="61" t="s">
        <v>8605</v>
      </c>
      <c r="M1449" s="475">
        <v>45918</v>
      </c>
      <c r="N1449" s="475">
        <v>45918</v>
      </c>
      <c r="O1449" s="475">
        <v>45923</v>
      </c>
      <c r="P1449" s="475">
        <v>45924</v>
      </c>
      <c r="Q1449" s="475">
        <v>45925</v>
      </c>
      <c r="R1449" s="61">
        <f t="shared" si="104"/>
        <v>1</v>
      </c>
      <c r="S1449" s="61">
        <f t="shared" si="105"/>
        <v>3</v>
      </c>
      <c r="T1449" s="61">
        <f t="shared" si="103"/>
        <v>1</v>
      </c>
      <c r="U1449" s="61">
        <f t="shared" si="106"/>
        <v>1</v>
      </c>
      <c r="V1449" s="61" t="s">
        <v>150</v>
      </c>
      <c r="W1449" s="61" t="s">
        <v>1078</v>
      </c>
      <c r="X1449" s="61" t="s">
        <v>50</v>
      </c>
      <c r="Y1449" s="471" t="s">
        <v>8606</v>
      </c>
      <c r="Z1449" s="471" t="s">
        <v>8607</v>
      </c>
      <c r="AA1449" s="61" t="s">
        <v>330</v>
      </c>
      <c r="AB1449" s="61"/>
    </row>
    <row r="1450" spans="1:29" s="2" customFormat="1" ht="15">
      <c r="A1450" s="61" t="s">
        <v>2286</v>
      </c>
      <c r="B1450" s="61" t="s">
        <v>1120</v>
      </c>
      <c r="C1450" s="61" t="s">
        <v>5000</v>
      </c>
      <c r="D1450" s="61" t="s">
        <v>159</v>
      </c>
      <c r="E1450" s="61">
        <v>377</v>
      </c>
      <c r="F1450" s="61">
        <v>123</v>
      </c>
      <c r="G1450" s="61"/>
      <c r="H1450" s="61"/>
      <c r="I1450" s="61" t="s">
        <v>29</v>
      </c>
      <c r="J1450" s="61"/>
      <c r="K1450" s="61" t="s">
        <v>212</v>
      </c>
      <c r="L1450" s="61"/>
      <c r="M1450" s="61"/>
      <c r="N1450" s="61"/>
      <c r="O1450" s="61"/>
      <c r="P1450" s="61"/>
      <c r="Q1450" s="61"/>
      <c r="R1450" s="61" t="str">
        <f t="shared" si="104"/>
        <v/>
      </c>
      <c r="S1450" s="61" t="str">
        <f t="shared" si="105"/>
        <v/>
      </c>
      <c r="T1450" s="61" t="str">
        <f t="shared" si="103"/>
        <v/>
      </c>
      <c r="U1450" s="61" t="str">
        <f t="shared" si="106"/>
        <v/>
      </c>
      <c r="V1450" s="61"/>
      <c r="W1450" s="61"/>
      <c r="X1450" s="61"/>
      <c r="Y1450" s="471"/>
      <c r="Z1450" s="471"/>
      <c r="AA1450" s="61"/>
      <c r="AB1450" s="61"/>
    </row>
    <row r="1451" spans="1:29" s="2" customFormat="1" ht="15">
      <c r="A1451" s="61" t="s">
        <v>2286</v>
      </c>
      <c r="B1451" s="61" t="s">
        <v>1120</v>
      </c>
      <c r="C1451" s="61" t="s">
        <v>5001</v>
      </c>
      <c r="D1451" s="61" t="s">
        <v>159</v>
      </c>
      <c r="E1451" s="61">
        <v>1573</v>
      </c>
      <c r="F1451" s="61">
        <v>1620</v>
      </c>
      <c r="G1451" s="61"/>
      <c r="H1451" s="61"/>
      <c r="I1451" s="61" t="s">
        <v>29</v>
      </c>
      <c r="J1451" s="61"/>
      <c r="K1451" s="61" t="s">
        <v>212</v>
      </c>
      <c r="L1451" s="61"/>
      <c r="M1451" s="61"/>
      <c r="N1451" s="61"/>
      <c r="O1451" s="61"/>
      <c r="P1451" s="61"/>
      <c r="Q1451" s="61"/>
      <c r="R1451" s="61" t="str">
        <f t="shared" si="104"/>
        <v/>
      </c>
      <c r="S1451" s="61" t="str">
        <f t="shared" si="105"/>
        <v/>
      </c>
      <c r="T1451" s="61" t="str">
        <f t="shared" si="103"/>
        <v/>
      </c>
      <c r="U1451" s="61" t="str">
        <f t="shared" si="106"/>
        <v/>
      </c>
      <c r="V1451" s="61"/>
      <c r="W1451" s="61"/>
      <c r="X1451" s="61"/>
      <c r="Y1451" s="471"/>
      <c r="Z1451" s="471"/>
      <c r="AA1451" s="61"/>
      <c r="AB1451" s="61"/>
    </row>
    <row r="1452" spans="1:29" s="2" customFormat="1" ht="15">
      <c r="A1452" s="61" t="s">
        <v>2286</v>
      </c>
      <c r="B1452" s="61" t="s">
        <v>1120</v>
      </c>
      <c r="C1452" s="61" t="s">
        <v>5002</v>
      </c>
      <c r="D1452" s="61" t="s">
        <v>159</v>
      </c>
      <c r="E1452" s="61">
        <v>1727</v>
      </c>
      <c r="F1452" s="61">
        <v>1707</v>
      </c>
      <c r="G1452" s="61"/>
      <c r="H1452" s="61"/>
      <c r="I1452" s="61" t="s">
        <v>29</v>
      </c>
      <c r="J1452" s="61"/>
      <c r="K1452" s="61" t="s">
        <v>212</v>
      </c>
      <c r="L1452" s="61"/>
      <c r="M1452" s="61"/>
      <c r="N1452" s="61"/>
      <c r="O1452" s="61"/>
      <c r="P1452" s="61"/>
      <c r="Q1452" s="61"/>
      <c r="R1452" s="61" t="str">
        <f t="shared" si="104"/>
        <v/>
      </c>
      <c r="S1452" s="61" t="str">
        <f t="shared" si="105"/>
        <v/>
      </c>
      <c r="T1452" s="61" t="str">
        <f t="shared" si="103"/>
        <v/>
      </c>
      <c r="U1452" s="61" t="str">
        <f t="shared" si="106"/>
        <v/>
      </c>
      <c r="V1452" s="61"/>
      <c r="W1452" s="61"/>
      <c r="X1452" s="61"/>
      <c r="Y1452" s="471"/>
      <c r="Z1452" s="471"/>
      <c r="AA1452" s="61"/>
      <c r="AB1452" s="61"/>
    </row>
    <row r="1453" spans="1:29" s="2" customFormat="1" ht="15">
      <c r="A1453" s="61" t="s">
        <v>2286</v>
      </c>
      <c r="B1453" s="61" t="s">
        <v>1120</v>
      </c>
      <c r="C1453" s="61" t="s">
        <v>5003</v>
      </c>
      <c r="D1453" s="61" t="s">
        <v>159</v>
      </c>
      <c r="E1453" s="61">
        <v>400</v>
      </c>
      <c r="F1453" s="61">
        <v>391</v>
      </c>
      <c r="G1453" s="61"/>
      <c r="H1453" s="61"/>
      <c r="I1453" s="61" t="s">
        <v>29</v>
      </c>
      <c r="J1453" s="61"/>
      <c r="K1453" s="61" t="s">
        <v>212</v>
      </c>
      <c r="L1453" s="61"/>
      <c r="M1453" s="61"/>
      <c r="N1453" s="61"/>
      <c r="O1453" s="61"/>
      <c r="P1453" s="61"/>
      <c r="Q1453" s="61"/>
      <c r="R1453" s="61" t="str">
        <f t="shared" si="104"/>
        <v/>
      </c>
      <c r="S1453" s="61" t="str">
        <f t="shared" si="105"/>
        <v/>
      </c>
      <c r="T1453" s="61" t="str">
        <f t="shared" si="103"/>
        <v/>
      </c>
      <c r="U1453" s="61" t="str">
        <f t="shared" si="106"/>
        <v/>
      </c>
      <c r="V1453" s="61"/>
      <c r="W1453" s="61"/>
      <c r="X1453" s="61"/>
      <c r="Y1453" s="471"/>
      <c r="Z1453" s="471"/>
      <c r="AA1453" s="61"/>
      <c r="AB1453" s="61"/>
    </row>
    <row r="1454" spans="1:29" s="2" customFormat="1" ht="15">
      <c r="A1454" s="61" t="s">
        <v>2286</v>
      </c>
      <c r="B1454" s="61" t="s">
        <v>1120</v>
      </c>
      <c r="C1454" s="61" t="s">
        <v>5004</v>
      </c>
      <c r="D1454" s="61" t="s">
        <v>159</v>
      </c>
      <c r="E1454" s="61">
        <v>896</v>
      </c>
      <c r="F1454" s="61">
        <v>957</v>
      </c>
      <c r="G1454" s="61"/>
      <c r="H1454" s="61"/>
      <c r="I1454" s="61" t="s">
        <v>29</v>
      </c>
      <c r="J1454" s="61"/>
      <c r="K1454" s="61" t="s">
        <v>212</v>
      </c>
      <c r="L1454" s="61"/>
      <c r="M1454" s="61"/>
      <c r="N1454" s="61"/>
      <c r="O1454" s="61"/>
      <c r="P1454" s="61"/>
      <c r="Q1454" s="61"/>
      <c r="R1454" s="61" t="str">
        <f t="shared" si="104"/>
        <v/>
      </c>
      <c r="S1454" s="61" t="str">
        <f t="shared" si="105"/>
        <v/>
      </c>
      <c r="T1454" s="61" t="str">
        <f t="shared" si="103"/>
        <v/>
      </c>
      <c r="U1454" s="61" t="str">
        <f t="shared" si="106"/>
        <v/>
      </c>
      <c r="V1454" s="61"/>
      <c r="W1454" s="61"/>
      <c r="X1454" s="61"/>
      <c r="Y1454" s="471"/>
      <c r="Z1454" s="471"/>
      <c r="AA1454" s="61"/>
      <c r="AB1454" s="61"/>
    </row>
    <row r="1455" spans="1:29" s="2" customFormat="1" ht="15">
      <c r="A1455" s="61" t="s">
        <v>2286</v>
      </c>
      <c r="B1455" s="61" t="s">
        <v>1120</v>
      </c>
      <c r="C1455" s="61" t="s">
        <v>5005</v>
      </c>
      <c r="D1455" s="61" t="s">
        <v>159</v>
      </c>
      <c r="E1455" s="61">
        <v>429</v>
      </c>
      <c r="F1455" s="61">
        <v>408</v>
      </c>
      <c r="G1455" s="61"/>
      <c r="H1455" s="61"/>
      <c r="I1455" s="61" t="s">
        <v>29</v>
      </c>
      <c r="J1455" s="61"/>
      <c r="K1455" s="61" t="s">
        <v>212</v>
      </c>
      <c r="L1455" s="61"/>
      <c r="M1455" s="61"/>
      <c r="N1455" s="61"/>
      <c r="O1455" s="61"/>
      <c r="P1455" s="61"/>
      <c r="Q1455" s="61"/>
      <c r="R1455" s="61" t="str">
        <f t="shared" si="104"/>
        <v/>
      </c>
      <c r="S1455" s="61" t="str">
        <f t="shared" si="105"/>
        <v/>
      </c>
      <c r="T1455" s="61" t="str">
        <f t="shared" si="103"/>
        <v/>
      </c>
      <c r="U1455" s="61" t="str">
        <f t="shared" si="106"/>
        <v/>
      </c>
      <c r="V1455" s="61"/>
      <c r="W1455" s="61"/>
      <c r="X1455" s="61"/>
      <c r="Y1455" s="471"/>
      <c r="Z1455" s="471"/>
      <c r="AA1455" s="61"/>
      <c r="AB1455" s="61"/>
    </row>
    <row r="1456" spans="1:29" s="2" customFormat="1" ht="15">
      <c r="A1456" s="61" t="s">
        <v>2286</v>
      </c>
      <c r="B1456" s="61" t="s">
        <v>1120</v>
      </c>
      <c r="C1456" s="61" t="s">
        <v>5006</v>
      </c>
      <c r="D1456" s="61" t="s">
        <v>159</v>
      </c>
      <c r="E1456" s="61">
        <v>179</v>
      </c>
      <c r="F1456" s="61">
        <v>128</v>
      </c>
      <c r="G1456" s="61"/>
      <c r="H1456" s="61"/>
      <c r="I1456" s="61" t="s">
        <v>29</v>
      </c>
      <c r="J1456" s="61"/>
      <c r="K1456" s="61" t="s">
        <v>212</v>
      </c>
      <c r="L1456" s="61"/>
      <c r="M1456" s="61"/>
      <c r="N1456" s="61"/>
      <c r="O1456" s="61"/>
      <c r="P1456" s="61"/>
      <c r="Q1456" s="61"/>
      <c r="R1456" s="61" t="str">
        <f t="shared" si="104"/>
        <v/>
      </c>
      <c r="S1456" s="61" t="str">
        <f t="shared" si="105"/>
        <v/>
      </c>
      <c r="T1456" s="61" t="str">
        <f t="shared" si="103"/>
        <v/>
      </c>
      <c r="U1456" s="61" t="str">
        <f t="shared" si="106"/>
        <v/>
      </c>
      <c r="V1456" s="61"/>
      <c r="W1456" s="61"/>
      <c r="X1456" s="61"/>
      <c r="Y1456" s="471"/>
      <c r="Z1456" s="471"/>
      <c r="AA1456" s="61"/>
      <c r="AB1456" s="61"/>
    </row>
    <row r="1457" spans="1:28" s="2" customFormat="1" ht="15">
      <c r="A1457" s="61" t="s">
        <v>2286</v>
      </c>
      <c r="B1457" s="61" t="s">
        <v>1120</v>
      </c>
      <c r="C1457" s="61" t="s">
        <v>5007</v>
      </c>
      <c r="D1457" s="61" t="s">
        <v>159</v>
      </c>
      <c r="E1457" s="61">
        <v>653</v>
      </c>
      <c r="F1457" s="61">
        <v>658</v>
      </c>
      <c r="G1457" s="61"/>
      <c r="H1457" s="61"/>
      <c r="I1457" s="61" t="s">
        <v>29</v>
      </c>
      <c r="J1457" s="61"/>
      <c r="K1457" s="61" t="s">
        <v>212</v>
      </c>
      <c r="L1457" s="61"/>
      <c r="M1457" s="61"/>
      <c r="N1457" s="61"/>
      <c r="O1457" s="61"/>
      <c r="P1457" s="61"/>
      <c r="Q1457" s="61"/>
      <c r="R1457" s="61" t="str">
        <f t="shared" si="104"/>
        <v/>
      </c>
      <c r="S1457" s="61" t="str">
        <f t="shared" si="105"/>
        <v/>
      </c>
      <c r="T1457" s="61" t="str">
        <f t="shared" si="103"/>
        <v/>
      </c>
      <c r="U1457" s="61" t="str">
        <f t="shared" si="106"/>
        <v/>
      </c>
      <c r="V1457" s="61"/>
      <c r="W1457" s="61"/>
      <c r="X1457" s="61"/>
      <c r="Y1457" s="471"/>
      <c r="Z1457" s="471"/>
      <c r="AA1457" s="61"/>
      <c r="AB1457" s="61"/>
    </row>
    <row r="1458" spans="1:28" s="2" customFormat="1" ht="15">
      <c r="A1458" s="61" t="s">
        <v>2286</v>
      </c>
      <c r="B1458" s="61" t="s">
        <v>1120</v>
      </c>
      <c r="C1458" s="61" t="s">
        <v>5008</v>
      </c>
      <c r="D1458" s="61" t="s">
        <v>159</v>
      </c>
      <c r="E1458" s="61">
        <v>494</v>
      </c>
      <c r="F1458" s="61">
        <v>479</v>
      </c>
      <c r="G1458" s="61"/>
      <c r="H1458" s="61"/>
      <c r="I1458" s="61" t="s">
        <v>29</v>
      </c>
      <c r="J1458" s="61"/>
      <c r="K1458" s="61" t="s">
        <v>212</v>
      </c>
      <c r="L1458" s="61"/>
      <c r="M1458" s="61"/>
      <c r="N1458" s="61"/>
      <c r="O1458" s="61"/>
      <c r="P1458" s="61"/>
      <c r="Q1458" s="61"/>
      <c r="R1458" s="61" t="str">
        <f t="shared" si="104"/>
        <v/>
      </c>
      <c r="S1458" s="61" t="str">
        <f t="shared" si="105"/>
        <v/>
      </c>
      <c r="T1458" s="61" t="str">
        <f t="shared" si="103"/>
        <v/>
      </c>
      <c r="U1458" s="61" t="str">
        <f t="shared" si="106"/>
        <v/>
      </c>
      <c r="V1458" s="61"/>
      <c r="W1458" s="61"/>
      <c r="X1458" s="61"/>
      <c r="Y1458" s="471"/>
      <c r="Z1458" s="471"/>
      <c r="AA1458" s="61"/>
      <c r="AB1458" s="61"/>
    </row>
    <row r="1459" spans="1:28" s="2" customFormat="1" ht="15">
      <c r="A1459" s="61" t="s">
        <v>2286</v>
      </c>
      <c r="B1459" s="61" t="s">
        <v>1120</v>
      </c>
      <c r="C1459" s="61" t="s">
        <v>1485</v>
      </c>
      <c r="D1459" s="61" t="s">
        <v>159</v>
      </c>
      <c r="E1459" s="61">
        <v>1186</v>
      </c>
      <c r="F1459" s="61">
        <v>1111</v>
      </c>
      <c r="G1459" s="61"/>
      <c r="H1459" s="61"/>
      <c r="I1459" s="61" t="s">
        <v>29</v>
      </c>
      <c r="J1459" s="61"/>
      <c r="K1459" s="61" t="s">
        <v>212</v>
      </c>
      <c r="L1459" s="61"/>
      <c r="M1459" s="61"/>
      <c r="N1459" s="61"/>
      <c r="O1459" s="61"/>
      <c r="P1459" s="61"/>
      <c r="Q1459" s="61"/>
      <c r="R1459" s="61" t="str">
        <f t="shared" si="104"/>
        <v/>
      </c>
      <c r="S1459" s="61" t="str">
        <f t="shared" si="105"/>
        <v/>
      </c>
      <c r="T1459" s="61" t="str">
        <f t="shared" si="103"/>
        <v/>
      </c>
      <c r="U1459" s="61" t="str">
        <f t="shared" si="106"/>
        <v/>
      </c>
      <c r="V1459" s="61"/>
      <c r="W1459" s="61"/>
      <c r="X1459" s="61"/>
      <c r="Y1459" s="471"/>
      <c r="Z1459" s="471"/>
      <c r="AA1459" s="61"/>
      <c r="AB1459" s="61"/>
    </row>
    <row r="1460" spans="1:28" s="2" customFormat="1" ht="15">
      <c r="A1460" s="61" t="s">
        <v>2286</v>
      </c>
      <c r="B1460" s="61" t="s">
        <v>1120</v>
      </c>
      <c r="C1460" s="61" t="s">
        <v>5009</v>
      </c>
      <c r="D1460" s="61" t="s">
        <v>159</v>
      </c>
      <c r="E1460" s="61">
        <v>542</v>
      </c>
      <c r="F1460" s="61">
        <v>656</v>
      </c>
      <c r="G1460" s="61"/>
      <c r="H1460" s="61"/>
      <c r="I1460" s="61" t="s">
        <v>29</v>
      </c>
      <c r="J1460" s="61"/>
      <c r="K1460" s="61" t="s">
        <v>212</v>
      </c>
      <c r="L1460" s="61"/>
      <c r="M1460" s="61"/>
      <c r="N1460" s="61"/>
      <c r="O1460" s="61"/>
      <c r="P1460" s="61"/>
      <c r="Q1460" s="61"/>
      <c r="R1460" s="61" t="str">
        <f t="shared" si="104"/>
        <v/>
      </c>
      <c r="S1460" s="61" t="str">
        <f t="shared" si="105"/>
        <v/>
      </c>
      <c r="T1460" s="61" t="str">
        <f t="shared" si="103"/>
        <v/>
      </c>
      <c r="U1460" s="61" t="str">
        <f t="shared" si="106"/>
        <v/>
      </c>
      <c r="V1460" s="61"/>
      <c r="W1460" s="61"/>
      <c r="X1460" s="61"/>
      <c r="Y1460" s="471"/>
      <c r="Z1460" s="471"/>
      <c r="AA1460" s="61"/>
      <c r="AB1460" s="61"/>
    </row>
    <row r="1461" spans="1:28" s="2" customFormat="1" ht="15">
      <c r="A1461" s="61" t="s">
        <v>2286</v>
      </c>
      <c r="B1461" s="61" t="s">
        <v>1120</v>
      </c>
      <c r="C1461" s="61" t="s">
        <v>5010</v>
      </c>
      <c r="D1461" s="61" t="s">
        <v>159</v>
      </c>
      <c r="E1461" s="61">
        <v>975</v>
      </c>
      <c r="F1461" s="61">
        <v>962</v>
      </c>
      <c r="G1461" s="61"/>
      <c r="H1461" s="61"/>
      <c r="I1461" s="61" t="s">
        <v>29</v>
      </c>
      <c r="J1461" s="61"/>
      <c r="K1461" s="61" t="s">
        <v>212</v>
      </c>
      <c r="L1461" s="61"/>
      <c r="M1461" s="61"/>
      <c r="N1461" s="61"/>
      <c r="O1461" s="61"/>
      <c r="P1461" s="61"/>
      <c r="Q1461" s="61"/>
      <c r="R1461" s="61" t="str">
        <f t="shared" si="104"/>
        <v/>
      </c>
      <c r="S1461" s="61" t="str">
        <f t="shared" si="105"/>
        <v/>
      </c>
      <c r="T1461" s="61" t="str">
        <f t="shared" si="103"/>
        <v/>
      </c>
      <c r="U1461" s="61" t="str">
        <f t="shared" si="106"/>
        <v/>
      </c>
      <c r="V1461" s="61"/>
      <c r="W1461" s="61"/>
      <c r="X1461" s="61"/>
      <c r="Y1461" s="636"/>
      <c r="Z1461" s="471"/>
      <c r="AA1461" s="61"/>
      <c r="AB1461" s="61"/>
    </row>
    <row r="1462" spans="1:28" s="2" customFormat="1" ht="15">
      <c r="A1462" s="61" t="s">
        <v>2286</v>
      </c>
      <c r="B1462" s="61" t="s">
        <v>1120</v>
      </c>
      <c r="C1462" s="61" t="s">
        <v>947</v>
      </c>
      <c r="D1462" s="61" t="s">
        <v>159</v>
      </c>
      <c r="E1462" s="61">
        <v>544</v>
      </c>
      <c r="F1462" s="61">
        <v>551</v>
      </c>
      <c r="G1462" s="61"/>
      <c r="H1462" s="61"/>
      <c r="I1462" s="61" t="s">
        <v>29</v>
      </c>
      <c r="J1462" s="61"/>
      <c r="K1462" s="61" t="s">
        <v>212</v>
      </c>
      <c r="L1462" s="61"/>
      <c r="M1462" s="61"/>
      <c r="N1462" s="61"/>
      <c r="O1462" s="61"/>
      <c r="P1462" s="61"/>
      <c r="Q1462" s="61"/>
      <c r="R1462" s="61" t="str">
        <f t="shared" si="104"/>
        <v/>
      </c>
      <c r="S1462" s="61" t="str">
        <f t="shared" si="105"/>
        <v/>
      </c>
      <c r="T1462" s="61" t="str">
        <f t="shared" si="103"/>
        <v/>
      </c>
      <c r="U1462" s="61" t="str">
        <f t="shared" si="106"/>
        <v/>
      </c>
      <c r="V1462" s="61"/>
      <c r="W1462" s="61"/>
      <c r="X1462" s="61"/>
      <c r="Y1462" s="471"/>
      <c r="Z1462" s="471"/>
      <c r="AA1462" s="61"/>
      <c r="AB1462" s="61"/>
    </row>
    <row r="1463" spans="1:28" s="2" customFormat="1" ht="15">
      <c r="A1463" s="61" t="s">
        <v>2286</v>
      </c>
      <c r="B1463" s="61" t="s">
        <v>1120</v>
      </c>
      <c r="C1463" s="61" t="s">
        <v>5011</v>
      </c>
      <c r="D1463" s="61" t="s">
        <v>159</v>
      </c>
      <c r="E1463" s="61">
        <v>507</v>
      </c>
      <c r="F1463" s="61">
        <v>513</v>
      </c>
      <c r="G1463" s="61"/>
      <c r="H1463" s="61"/>
      <c r="I1463" s="61" t="s">
        <v>29</v>
      </c>
      <c r="J1463" s="61"/>
      <c r="K1463" s="61" t="s">
        <v>212</v>
      </c>
      <c r="L1463" s="61"/>
      <c r="M1463" s="61"/>
      <c r="N1463" s="61"/>
      <c r="O1463" s="61"/>
      <c r="P1463" s="61"/>
      <c r="Q1463" s="61"/>
      <c r="R1463" s="61" t="str">
        <f t="shared" si="104"/>
        <v/>
      </c>
      <c r="S1463" s="61" t="str">
        <f t="shared" si="105"/>
        <v/>
      </c>
      <c r="T1463" s="61" t="str">
        <f t="shared" si="103"/>
        <v/>
      </c>
      <c r="U1463" s="61" t="str">
        <f t="shared" si="106"/>
        <v/>
      </c>
      <c r="V1463" s="61"/>
      <c r="W1463" s="61"/>
      <c r="X1463" s="61"/>
      <c r="Y1463" s="636"/>
      <c r="Z1463" s="636"/>
      <c r="AA1463" s="61"/>
      <c r="AB1463" s="61"/>
    </row>
    <row r="1464" spans="1:28" s="2" customFormat="1" ht="15">
      <c r="A1464" s="61" t="s">
        <v>2286</v>
      </c>
      <c r="B1464" s="61" t="s">
        <v>1120</v>
      </c>
      <c r="C1464" s="61" t="s">
        <v>5012</v>
      </c>
      <c r="D1464" s="61" t="s">
        <v>159</v>
      </c>
      <c r="E1464" s="61">
        <v>1359</v>
      </c>
      <c r="F1464" s="61">
        <v>1354</v>
      </c>
      <c r="G1464" s="61"/>
      <c r="H1464" s="61"/>
      <c r="I1464" s="61" t="s">
        <v>29</v>
      </c>
      <c r="J1464" s="61"/>
      <c r="K1464" s="61" t="s">
        <v>212</v>
      </c>
      <c r="L1464" s="61"/>
      <c r="M1464" s="61"/>
      <c r="N1464" s="61"/>
      <c r="O1464" s="61"/>
      <c r="P1464" s="61"/>
      <c r="Q1464" s="61"/>
      <c r="R1464" s="61" t="str">
        <f t="shared" si="104"/>
        <v/>
      </c>
      <c r="S1464" s="61" t="str">
        <f t="shared" si="105"/>
        <v/>
      </c>
      <c r="T1464" s="61" t="str">
        <f t="shared" si="103"/>
        <v/>
      </c>
      <c r="U1464" s="61" t="str">
        <f t="shared" si="106"/>
        <v/>
      </c>
      <c r="V1464" s="61"/>
      <c r="W1464" s="61"/>
      <c r="X1464" s="61"/>
      <c r="Y1464" s="471"/>
      <c r="Z1464" s="471"/>
      <c r="AA1464" s="61"/>
      <c r="AB1464" s="61"/>
    </row>
    <row r="1465" spans="1:28" s="2" customFormat="1" ht="15">
      <c r="A1465" s="61" t="s">
        <v>2286</v>
      </c>
      <c r="B1465" s="61" t="s">
        <v>1120</v>
      </c>
      <c r="C1465" s="61" t="s">
        <v>5013</v>
      </c>
      <c r="D1465" s="61" t="s">
        <v>159</v>
      </c>
      <c r="E1465" s="61">
        <v>648</v>
      </c>
      <c r="F1465" s="61">
        <v>541</v>
      </c>
      <c r="G1465" s="61"/>
      <c r="H1465" s="61"/>
      <c r="I1465" s="61" t="s">
        <v>29</v>
      </c>
      <c r="J1465" s="61"/>
      <c r="K1465" s="61" t="s">
        <v>212</v>
      </c>
      <c r="L1465" s="61"/>
      <c r="M1465" s="61"/>
      <c r="N1465" s="61"/>
      <c r="O1465" s="61"/>
      <c r="P1465" s="61"/>
      <c r="Q1465" s="61"/>
      <c r="R1465" s="61" t="str">
        <f t="shared" si="104"/>
        <v/>
      </c>
      <c r="S1465" s="61" t="str">
        <f t="shared" si="105"/>
        <v/>
      </c>
      <c r="T1465" s="61" t="str">
        <f t="shared" si="103"/>
        <v/>
      </c>
      <c r="U1465" s="61" t="str">
        <f t="shared" si="106"/>
        <v/>
      </c>
      <c r="V1465" s="61"/>
      <c r="W1465" s="61"/>
      <c r="X1465" s="61"/>
      <c r="Y1465" s="471"/>
      <c r="Z1465" s="471"/>
      <c r="AA1465" s="61"/>
      <c r="AB1465" s="61"/>
    </row>
    <row r="1466" spans="1:28" s="2" customFormat="1" ht="15">
      <c r="A1466" s="61" t="s">
        <v>2286</v>
      </c>
      <c r="B1466" s="61" t="s">
        <v>1120</v>
      </c>
      <c r="C1466" s="61" t="s">
        <v>5014</v>
      </c>
      <c r="D1466" s="61" t="s">
        <v>159</v>
      </c>
      <c r="E1466" s="61">
        <v>458</v>
      </c>
      <c r="F1466" s="61">
        <v>450</v>
      </c>
      <c r="G1466" s="61"/>
      <c r="H1466" s="61"/>
      <c r="I1466" s="61" t="s">
        <v>29</v>
      </c>
      <c r="J1466" s="61"/>
      <c r="K1466" s="61" t="s">
        <v>212</v>
      </c>
      <c r="L1466" s="61"/>
      <c r="M1466" s="61"/>
      <c r="N1466" s="61"/>
      <c r="O1466" s="61"/>
      <c r="P1466" s="61"/>
      <c r="Q1466" s="61"/>
      <c r="R1466" s="61" t="str">
        <f t="shared" si="104"/>
        <v/>
      </c>
      <c r="S1466" s="61" t="str">
        <f t="shared" si="105"/>
        <v/>
      </c>
      <c r="T1466" s="61" t="str">
        <f t="shared" si="103"/>
        <v/>
      </c>
      <c r="U1466" s="61" t="str">
        <f t="shared" si="106"/>
        <v/>
      </c>
      <c r="V1466" s="61"/>
      <c r="W1466" s="61"/>
      <c r="X1466" s="61"/>
      <c r="Y1466" s="471"/>
      <c r="Z1466" s="471"/>
      <c r="AA1466" s="61"/>
      <c r="AB1466" s="61"/>
    </row>
    <row r="1467" spans="1:28" s="2" customFormat="1" ht="15">
      <c r="A1467" s="61" t="s">
        <v>2286</v>
      </c>
      <c r="B1467" s="61" t="s">
        <v>1120</v>
      </c>
      <c r="C1467" s="61" t="s">
        <v>5015</v>
      </c>
      <c r="D1467" s="61" t="s">
        <v>159</v>
      </c>
      <c r="E1467" s="61">
        <v>847</v>
      </c>
      <c r="F1467" s="61">
        <v>816</v>
      </c>
      <c r="G1467" s="61"/>
      <c r="H1467" s="61"/>
      <c r="I1467" s="61" t="s">
        <v>29</v>
      </c>
      <c r="J1467" s="61"/>
      <c r="K1467" s="61" t="s">
        <v>212</v>
      </c>
      <c r="L1467" s="61"/>
      <c r="M1467" s="61"/>
      <c r="N1467" s="61"/>
      <c r="O1467" s="61"/>
      <c r="P1467" s="61"/>
      <c r="Q1467" s="61"/>
      <c r="R1467" s="61" t="str">
        <f t="shared" si="104"/>
        <v/>
      </c>
      <c r="S1467" s="61" t="str">
        <f t="shared" si="105"/>
        <v/>
      </c>
      <c r="T1467" s="61" t="str">
        <f t="shared" si="103"/>
        <v/>
      </c>
      <c r="U1467" s="61" t="str">
        <f t="shared" si="106"/>
        <v/>
      </c>
      <c r="V1467" s="61"/>
      <c r="W1467" s="61"/>
      <c r="X1467" s="61"/>
      <c r="Y1467" s="471"/>
      <c r="Z1467" s="471"/>
      <c r="AA1467" s="61"/>
      <c r="AB1467" s="61"/>
    </row>
    <row r="1468" spans="1:28" s="2" customFormat="1" ht="15">
      <c r="A1468" s="61" t="s">
        <v>2286</v>
      </c>
      <c r="B1468" s="61" t="s">
        <v>1120</v>
      </c>
      <c r="C1468" s="61" t="s">
        <v>5016</v>
      </c>
      <c r="D1468" s="61" t="s">
        <v>159</v>
      </c>
      <c r="E1468" s="61">
        <v>205</v>
      </c>
      <c r="F1468" s="61">
        <v>21</v>
      </c>
      <c r="G1468" s="61"/>
      <c r="H1468" s="61"/>
      <c r="I1468" s="61" t="s">
        <v>29</v>
      </c>
      <c r="J1468" s="61"/>
      <c r="K1468" s="61" t="s">
        <v>212</v>
      </c>
      <c r="L1468" s="61"/>
      <c r="M1468" s="61"/>
      <c r="N1468" s="61"/>
      <c r="O1468" s="61"/>
      <c r="P1468" s="61"/>
      <c r="Q1468" s="61"/>
      <c r="R1468" s="61" t="str">
        <f t="shared" si="104"/>
        <v/>
      </c>
      <c r="S1468" s="61" t="str">
        <f t="shared" si="105"/>
        <v/>
      </c>
      <c r="T1468" s="61" t="str">
        <f t="shared" si="103"/>
        <v/>
      </c>
      <c r="U1468" s="61" t="str">
        <f t="shared" si="106"/>
        <v/>
      </c>
      <c r="V1468" s="61"/>
      <c r="W1468" s="61"/>
      <c r="X1468" s="61"/>
      <c r="Y1468" s="471"/>
      <c r="Z1468" s="471"/>
      <c r="AA1468" s="61"/>
      <c r="AB1468" s="61"/>
    </row>
    <row r="1469" spans="1:28" s="2" customFormat="1" ht="15">
      <c r="A1469" s="61" t="s">
        <v>2286</v>
      </c>
      <c r="B1469" s="61" t="s">
        <v>1120</v>
      </c>
      <c r="C1469" s="61" t="s">
        <v>5017</v>
      </c>
      <c r="D1469" s="61" t="s">
        <v>159</v>
      </c>
      <c r="E1469" s="61">
        <v>400</v>
      </c>
      <c r="F1469" s="61">
        <v>281</v>
      </c>
      <c r="G1469" s="61"/>
      <c r="H1469" s="61"/>
      <c r="I1469" s="61" t="s">
        <v>29</v>
      </c>
      <c r="J1469" s="61"/>
      <c r="K1469" s="61" t="s">
        <v>212</v>
      </c>
      <c r="L1469" s="61"/>
      <c r="M1469" s="61"/>
      <c r="N1469" s="61"/>
      <c r="O1469" s="61"/>
      <c r="P1469" s="61"/>
      <c r="Q1469" s="61"/>
      <c r="R1469" s="61" t="str">
        <f t="shared" si="104"/>
        <v/>
      </c>
      <c r="S1469" s="61" t="str">
        <f t="shared" si="105"/>
        <v/>
      </c>
      <c r="T1469" s="61" t="str">
        <f t="shared" si="103"/>
        <v/>
      </c>
      <c r="U1469" s="61" t="str">
        <f t="shared" si="106"/>
        <v/>
      </c>
      <c r="V1469" s="61"/>
      <c r="W1469" s="61"/>
      <c r="X1469" s="61"/>
      <c r="Y1469" s="471"/>
      <c r="Z1469" s="471"/>
      <c r="AA1469" s="61"/>
      <c r="AB1469" s="61"/>
    </row>
    <row r="1470" spans="1:28" s="2" customFormat="1" ht="15">
      <c r="A1470" s="61" t="s">
        <v>2286</v>
      </c>
      <c r="B1470" s="61" t="s">
        <v>1120</v>
      </c>
      <c r="C1470" s="61" t="s">
        <v>5018</v>
      </c>
      <c r="D1470" s="61" t="s">
        <v>159</v>
      </c>
      <c r="E1470" s="61">
        <v>555</v>
      </c>
      <c r="F1470" s="61">
        <v>744</v>
      </c>
      <c r="G1470" s="61"/>
      <c r="H1470" s="61"/>
      <c r="I1470" s="61" t="s">
        <v>29</v>
      </c>
      <c r="J1470" s="61"/>
      <c r="K1470" s="61" t="s">
        <v>212</v>
      </c>
      <c r="L1470" s="61"/>
      <c r="M1470" s="61"/>
      <c r="N1470" s="61"/>
      <c r="O1470" s="61"/>
      <c r="P1470" s="61"/>
      <c r="Q1470" s="61"/>
      <c r="R1470" s="61" t="str">
        <f t="shared" si="104"/>
        <v/>
      </c>
      <c r="S1470" s="61" t="str">
        <f t="shared" si="105"/>
        <v/>
      </c>
      <c r="T1470" s="61" t="str">
        <f t="shared" si="103"/>
        <v/>
      </c>
      <c r="U1470" s="61" t="str">
        <f t="shared" si="106"/>
        <v/>
      </c>
      <c r="V1470" s="61"/>
      <c r="W1470" s="61"/>
      <c r="X1470" s="61"/>
      <c r="Y1470" s="471"/>
      <c r="Z1470" s="471"/>
      <c r="AA1470" s="61"/>
      <c r="AB1470" s="61"/>
    </row>
    <row r="1471" spans="1:28" s="2" customFormat="1" ht="15">
      <c r="A1471" s="61" t="s">
        <v>2286</v>
      </c>
      <c r="B1471" s="61" t="s">
        <v>1285</v>
      </c>
      <c r="C1471" s="61" t="s">
        <v>5019</v>
      </c>
      <c r="D1471" s="61" t="s">
        <v>7838</v>
      </c>
      <c r="E1471" s="61">
        <v>2409</v>
      </c>
      <c r="F1471" s="61">
        <v>2632</v>
      </c>
      <c r="G1471" s="61"/>
      <c r="H1471" s="61"/>
      <c r="I1471" s="61" t="s">
        <v>26</v>
      </c>
      <c r="J1471" s="61"/>
      <c r="K1471" s="61" t="s">
        <v>212</v>
      </c>
      <c r="L1471" s="61"/>
      <c r="M1471" s="61"/>
      <c r="N1471" s="61"/>
      <c r="O1471" s="61"/>
      <c r="P1471" s="61"/>
      <c r="Q1471" s="61"/>
      <c r="R1471" s="61" t="str">
        <f t="shared" si="104"/>
        <v/>
      </c>
      <c r="S1471" s="61" t="str">
        <f t="shared" si="105"/>
        <v/>
      </c>
      <c r="T1471" s="61" t="str">
        <f t="shared" si="103"/>
        <v/>
      </c>
      <c r="U1471" s="61" t="str">
        <f t="shared" si="106"/>
        <v/>
      </c>
      <c r="V1471" s="61"/>
      <c r="W1471" s="61"/>
      <c r="X1471" s="61"/>
      <c r="Y1471" s="471"/>
      <c r="Z1471" s="471"/>
      <c r="AA1471" s="61"/>
      <c r="AB1471" s="61"/>
    </row>
    <row r="1472" spans="1:28" s="2" customFormat="1" ht="15">
      <c r="A1472" s="61" t="s">
        <v>2286</v>
      </c>
      <c r="B1472" s="61" t="s">
        <v>1285</v>
      </c>
      <c r="C1472" s="61" t="s">
        <v>5020</v>
      </c>
      <c r="D1472" s="61" t="s">
        <v>7838</v>
      </c>
      <c r="E1472" s="61">
        <v>2069</v>
      </c>
      <c r="F1472" s="61">
        <v>2079</v>
      </c>
      <c r="G1472" s="61"/>
      <c r="H1472" s="61"/>
      <c r="I1472" s="61" t="s">
        <v>26</v>
      </c>
      <c r="J1472" s="61"/>
      <c r="K1472" s="61" t="s">
        <v>212</v>
      </c>
      <c r="L1472" s="61"/>
      <c r="M1472" s="61"/>
      <c r="N1472" s="61"/>
      <c r="O1472" s="61"/>
      <c r="P1472" s="61"/>
      <c r="Q1472" s="61"/>
      <c r="R1472" s="61" t="str">
        <f t="shared" si="104"/>
        <v/>
      </c>
      <c r="S1472" s="61" t="str">
        <f t="shared" si="105"/>
        <v/>
      </c>
      <c r="T1472" s="61" t="str">
        <f t="shared" si="103"/>
        <v/>
      </c>
      <c r="U1472" s="61" t="str">
        <f t="shared" si="106"/>
        <v/>
      </c>
      <c r="V1472" s="61"/>
      <c r="W1472" s="61"/>
      <c r="X1472" s="61"/>
      <c r="Y1472" s="471"/>
      <c r="Z1472" s="471"/>
      <c r="AA1472" s="61"/>
      <c r="AB1472" s="61"/>
    </row>
    <row r="1473" spans="1:28" s="2" customFormat="1" ht="15">
      <c r="A1473" s="61" t="s">
        <v>2286</v>
      </c>
      <c r="B1473" s="61" t="s">
        <v>1285</v>
      </c>
      <c r="C1473" s="61" t="s">
        <v>5021</v>
      </c>
      <c r="D1473" s="61" t="s">
        <v>7838</v>
      </c>
      <c r="E1473" s="61">
        <v>2573</v>
      </c>
      <c r="F1473" s="61">
        <v>2743</v>
      </c>
      <c r="G1473" s="61"/>
      <c r="H1473" s="61"/>
      <c r="I1473" s="61" t="s">
        <v>26</v>
      </c>
      <c r="J1473" s="61"/>
      <c r="K1473" s="61" t="s">
        <v>212</v>
      </c>
      <c r="L1473" s="61"/>
      <c r="M1473" s="61"/>
      <c r="N1473" s="61"/>
      <c r="O1473" s="61"/>
      <c r="P1473" s="61"/>
      <c r="Q1473" s="61"/>
      <c r="R1473" s="61" t="str">
        <f t="shared" si="104"/>
        <v/>
      </c>
      <c r="S1473" s="61" t="str">
        <f t="shared" si="105"/>
        <v/>
      </c>
      <c r="T1473" s="61" t="str">
        <f t="shared" si="103"/>
        <v/>
      </c>
      <c r="U1473" s="61" t="str">
        <f t="shared" si="106"/>
        <v/>
      </c>
      <c r="V1473" s="61"/>
      <c r="W1473" s="61"/>
      <c r="X1473" s="61"/>
      <c r="Y1473" s="471"/>
      <c r="Z1473" s="471"/>
      <c r="AA1473" s="61"/>
      <c r="AB1473" s="61"/>
    </row>
    <row r="1474" spans="1:28" s="2" customFormat="1" ht="15">
      <c r="A1474" s="61" t="s">
        <v>2286</v>
      </c>
      <c r="B1474" s="61" t="s">
        <v>1285</v>
      </c>
      <c r="C1474" s="61" t="s">
        <v>4178</v>
      </c>
      <c r="D1474" s="61" t="s">
        <v>7838</v>
      </c>
      <c r="E1474" s="61">
        <v>1350</v>
      </c>
      <c r="F1474" s="61">
        <v>1192</v>
      </c>
      <c r="G1474" s="61"/>
      <c r="H1474" s="61"/>
      <c r="I1474" s="61" t="s">
        <v>26</v>
      </c>
      <c r="J1474" s="61"/>
      <c r="K1474" s="61" t="s">
        <v>212</v>
      </c>
      <c r="L1474" s="61"/>
      <c r="M1474" s="61"/>
      <c r="N1474" s="61"/>
      <c r="O1474" s="61"/>
      <c r="P1474" s="61"/>
      <c r="Q1474" s="61"/>
      <c r="R1474" s="61" t="str">
        <f t="shared" si="104"/>
        <v/>
      </c>
      <c r="S1474" s="61" t="str">
        <f t="shared" si="105"/>
        <v/>
      </c>
      <c r="T1474" s="61" t="str">
        <f t="shared" si="103"/>
        <v/>
      </c>
      <c r="U1474" s="61" t="str">
        <f t="shared" si="106"/>
        <v/>
      </c>
      <c r="V1474" s="61"/>
      <c r="W1474" s="61"/>
      <c r="X1474" s="61"/>
      <c r="Y1474" s="471"/>
      <c r="Z1474" s="471"/>
      <c r="AA1474" s="61"/>
      <c r="AB1474" s="61"/>
    </row>
    <row r="1475" spans="1:28" s="2" customFormat="1" ht="15">
      <c r="A1475" s="61" t="s">
        <v>2286</v>
      </c>
      <c r="B1475" s="61" t="s">
        <v>1285</v>
      </c>
      <c r="C1475" s="61" t="s">
        <v>5022</v>
      </c>
      <c r="D1475" s="61" t="s">
        <v>7838</v>
      </c>
      <c r="E1475" s="61">
        <v>2461</v>
      </c>
      <c r="F1475" s="61">
        <v>2492</v>
      </c>
      <c r="G1475" s="61"/>
      <c r="H1475" s="61"/>
      <c r="I1475" s="61" t="s">
        <v>26</v>
      </c>
      <c r="J1475" s="61"/>
      <c r="K1475" s="61" t="s">
        <v>212</v>
      </c>
      <c r="L1475" s="61"/>
      <c r="M1475" s="61"/>
      <c r="N1475" s="61"/>
      <c r="O1475" s="61"/>
      <c r="P1475" s="61"/>
      <c r="Q1475" s="61"/>
      <c r="R1475" s="61" t="str">
        <f t="shared" si="104"/>
        <v/>
      </c>
      <c r="S1475" s="61" t="str">
        <f t="shared" si="105"/>
        <v/>
      </c>
      <c r="T1475" s="61" t="str">
        <f t="shared" si="103"/>
        <v/>
      </c>
      <c r="U1475" s="61" t="str">
        <f t="shared" si="106"/>
        <v/>
      </c>
      <c r="V1475" s="61"/>
      <c r="W1475" s="61"/>
      <c r="X1475" s="61"/>
      <c r="Y1475" s="471"/>
      <c r="Z1475" s="471"/>
      <c r="AA1475" s="61"/>
      <c r="AB1475" s="61"/>
    </row>
    <row r="1476" spans="1:28" s="2" customFormat="1" ht="15">
      <c r="A1476" s="61" t="s">
        <v>2286</v>
      </c>
      <c r="B1476" s="61" t="s">
        <v>1285</v>
      </c>
      <c r="C1476" s="61" t="s">
        <v>5023</v>
      </c>
      <c r="D1476" s="61" t="s">
        <v>7838</v>
      </c>
      <c r="E1476" s="61">
        <v>1153</v>
      </c>
      <c r="F1476" s="61">
        <v>1193</v>
      </c>
      <c r="G1476" s="61"/>
      <c r="H1476" s="61"/>
      <c r="I1476" s="61" t="s">
        <v>26</v>
      </c>
      <c r="J1476" s="61"/>
      <c r="K1476" s="61" t="s">
        <v>212</v>
      </c>
      <c r="L1476" s="61"/>
      <c r="M1476" s="61"/>
      <c r="N1476" s="61"/>
      <c r="O1476" s="61"/>
      <c r="P1476" s="61"/>
      <c r="Q1476" s="61"/>
      <c r="R1476" s="61" t="str">
        <f t="shared" si="104"/>
        <v/>
      </c>
      <c r="S1476" s="61" t="str">
        <f t="shared" si="105"/>
        <v/>
      </c>
      <c r="T1476" s="61" t="str">
        <f t="shared" si="103"/>
        <v/>
      </c>
      <c r="U1476" s="61" t="str">
        <f t="shared" si="106"/>
        <v/>
      </c>
      <c r="V1476" s="61"/>
      <c r="W1476" s="61"/>
      <c r="X1476" s="61"/>
      <c r="Y1476" s="471"/>
      <c r="Z1476" s="471"/>
      <c r="AA1476" s="61"/>
      <c r="AB1476" s="61"/>
    </row>
    <row r="1477" spans="1:28" s="2" customFormat="1" ht="15">
      <c r="A1477" s="61" t="s">
        <v>2286</v>
      </c>
      <c r="B1477" s="61" t="s">
        <v>1285</v>
      </c>
      <c r="C1477" s="61" t="s">
        <v>5024</v>
      </c>
      <c r="D1477" s="61" t="s">
        <v>7838</v>
      </c>
      <c r="E1477" s="61">
        <v>2387</v>
      </c>
      <c r="F1477" s="61">
        <v>2808</v>
      </c>
      <c r="G1477" s="61"/>
      <c r="H1477" s="61"/>
      <c r="I1477" s="61" t="s">
        <v>26</v>
      </c>
      <c r="J1477" s="61"/>
      <c r="K1477" s="61" t="s">
        <v>212</v>
      </c>
      <c r="L1477" s="61"/>
      <c r="M1477" s="61"/>
      <c r="N1477" s="61"/>
      <c r="O1477" s="61"/>
      <c r="P1477" s="61"/>
      <c r="Q1477" s="61"/>
      <c r="R1477" s="61" t="str">
        <f t="shared" si="104"/>
        <v/>
      </c>
      <c r="S1477" s="61" t="str">
        <f t="shared" si="105"/>
        <v/>
      </c>
      <c r="T1477" s="61" t="str">
        <f t="shared" si="103"/>
        <v/>
      </c>
      <c r="U1477" s="61" t="str">
        <f t="shared" si="106"/>
        <v/>
      </c>
      <c r="V1477" s="61"/>
      <c r="W1477" s="61"/>
      <c r="X1477" s="61"/>
      <c r="Y1477" s="471"/>
      <c r="Z1477" s="471"/>
      <c r="AA1477" s="61"/>
      <c r="AB1477" s="61"/>
    </row>
    <row r="1478" spans="1:28" s="2" customFormat="1" ht="15">
      <c r="A1478" s="61" t="s">
        <v>2286</v>
      </c>
      <c r="B1478" s="61" t="s">
        <v>1285</v>
      </c>
      <c r="C1478" s="61" t="s">
        <v>3454</v>
      </c>
      <c r="D1478" s="61" t="s">
        <v>7838</v>
      </c>
      <c r="E1478" s="61">
        <v>2313</v>
      </c>
      <c r="F1478" s="61">
        <v>2582</v>
      </c>
      <c r="G1478" s="61"/>
      <c r="H1478" s="61"/>
      <c r="I1478" s="61" t="s">
        <v>26</v>
      </c>
      <c r="J1478" s="61"/>
      <c r="K1478" s="61" t="s">
        <v>212</v>
      </c>
      <c r="L1478" s="61"/>
      <c r="M1478" s="61"/>
      <c r="N1478" s="61"/>
      <c r="O1478" s="61"/>
      <c r="P1478" s="61"/>
      <c r="Q1478" s="61"/>
      <c r="R1478" s="61" t="str">
        <f t="shared" si="104"/>
        <v/>
      </c>
      <c r="S1478" s="61" t="str">
        <f t="shared" si="105"/>
        <v/>
      </c>
      <c r="T1478" s="61" t="str">
        <f t="shared" si="103"/>
        <v/>
      </c>
      <c r="U1478" s="61" t="str">
        <f t="shared" si="106"/>
        <v/>
      </c>
      <c r="V1478" s="61"/>
      <c r="W1478" s="61"/>
      <c r="X1478" s="61"/>
      <c r="Y1478" s="471"/>
      <c r="Z1478" s="471"/>
      <c r="AA1478" s="61"/>
      <c r="AB1478" s="61"/>
    </row>
    <row r="1479" spans="1:28" s="2" customFormat="1" ht="15">
      <c r="A1479" s="61" t="s">
        <v>2286</v>
      </c>
      <c r="B1479" s="61" t="s">
        <v>1285</v>
      </c>
      <c r="C1479" s="61" t="s">
        <v>5025</v>
      </c>
      <c r="D1479" s="61" t="s">
        <v>7838</v>
      </c>
      <c r="E1479" s="61">
        <v>1214</v>
      </c>
      <c r="F1479" s="61">
        <v>1226</v>
      </c>
      <c r="G1479" s="61"/>
      <c r="H1479" s="61"/>
      <c r="I1479" s="61" t="s">
        <v>26</v>
      </c>
      <c r="J1479" s="61"/>
      <c r="K1479" s="61" t="s">
        <v>212</v>
      </c>
      <c r="L1479" s="61"/>
      <c r="M1479" s="61"/>
      <c r="N1479" s="61"/>
      <c r="O1479" s="61"/>
      <c r="P1479" s="61"/>
      <c r="Q1479" s="61"/>
      <c r="R1479" s="61" t="str">
        <f t="shared" si="104"/>
        <v/>
      </c>
      <c r="S1479" s="61" t="str">
        <f t="shared" si="105"/>
        <v/>
      </c>
      <c r="T1479" s="61" t="str">
        <f t="shared" si="103"/>
        <v/>
      </c>
      <c r="U1479" s="61" t="str">
        <f t="shared" si="106"/>
        <v/>
      </c>
      <c r="V1479" s="61"/>
      <c r="W1479" s="61"/>
      <c r="X1479" s="61"/>
      <c r="Y1479" s="471"/>
      <c r="Z1479" s="471"/>
      <c r="AA1479" s="61"/>
      <c r="AB1479" s="61"/>
    </row>
    <row r="1480" spans="1:28" s="2" customFormat="1" ht="15">
      <c r="A1480" s="61" t="s">
        <v>2286</v>
      </c>
      <c r="B1480" s="61" t="s">
        <v>1285</v>
      </c>
      <c r="C1480" s="61" t="s">
        <v>1286</v>
      </c>
      <c r="D1480" s="61" t="s">
        <v>7838</v>
      </c>
      <c r="E1480" s="61">
        <v>3517</v>
      </c>
      <c r="F1480" s="61">
        <v>3757</v>
      </c>
      <c r="G1480" s="61"/>
      <c r="H1480" s="61"/>
      <c r="I1480" s="61" t="s">
        <v>26</v>
      </c>
      <c r="J1480" s="61"/>
      <c r="K1480" s="61" t="s">
        <v>212</v>
      </c>
      <c r="L1480" s="61"/>
      <c r="M1480" s="61"/>
      <c r="N1480" s="61"/>
      <c r="O1480" s="61"/>
      <c r="P1480" s="61"/>
      <c r="Q1480" s="61"/>
      <c r="R1480" s="61" t="str">
        <f t="shared" si="104"/>
        <v/>
      </c>
      <c r="S1480" s="61" t="str">
        <f t="shared" si="105"/>
        <v/>
      </c>
      <c r="T1480" s="61" t="str">
        <f t="shared" si="103"/>
        <v/>
      </c>
      <c r="U1480" s="61" t="str">
        <f t="shared" si="106"/>
        <v/>
      </c>
      <c r="V1480" s="61"/>
      <c r="W1480" s="61"/>
      <c r="X1480" s="61"/>
      <c r="Y1480" s="471"/>
      <c r="Z1480" s="471"/>
      <c r="AA1480" s="61"/>
      <c r="AB1480" s="61"/>
    </row>
    <row r="1481" spans="1:28" s="2" customFormat="1" ht="15">
      <c r="A1481" s="61" t="s">
        <v>2286</v>
      </c>
      <c r="B1481" s="61" t="s">
        <v>1285</v>
      </c>
      <c r="C1481" s="61" t="s">
        <v>4830</v>
      </c>
      <c r="D1481" s="61" t="s">
        <v>7838</v>
      </c>
      <c r="E1481" s="61">
        <v>3015</v>
      </c>
      <c r="F1481" s="61">
        <v>2625</v>
      </c>
      <c r="G1481" s="61"/>
      <c r="H1481" s="61"/>
      <c r="I1481" s="61" t="s">
        <v>26</v>
      </c>
      <c r="J1481" s="61"/>
      <c r="K1481" s="61" t="s">
        <v>212</v>
      </c>
      <c r="L1481" s="61"/>
      <c r="M1481" s="61"/>
      <c r="N1481" s="61"/>
      <c r="O1481" s="61"/>
      <c r="P1481" s="61"/>
      <c r="Q1481" s="61"/>
      <c r="R1481" s="61" t="str">
        <f t="shared" si="104"/>
        <v/>
      </c>
      <c r="S1481" s="61" t="str">
        <f t="shared" si="105"/>
        <v/>
      </c>
      <c r="T1481" s="61" t="str">
        <f t="shared" si="103"/>
        <v/>
      </c>
      <c r="U1481" s="61" t="str">
        <f t="shared" si="106"/>
        <v/>
      </c>
      <c r="V1481" s="61"/>
      <c r="W1481" s="61"/>
      <c r="X1481" s="61"/>
      <c r="Y1481" s="471"/>
      <c r="Z1481" s="471"/>
      <c r="AA1481" s="61"/>
      <c r="AB1481" s="61"/>
    </row>
    <row r="1482" spans="1:28" s="2" customFormat="1" ht="15">
      <c r="A1482" s="61" t="s">
        <v>2286</v>
      </c>
      <c r="B1482" s="61" t="s">
        <v>1285</v>
      </c>
      <c r="C1482" s="61" t="s">
        <v>4476</v>
      </c>
      <c r="D1482" s="61" t="s">
        <v>7838</v>
      </c>
      <c r="E1482" s="61">
        <v>2056</v>
      </c>
      <c r="F1482" s="61">
        <v>2086</v>
      </c>
      <c r="G1482" s="61"/>
      <c r="H1482" s="61"/>
      <c r="I1482" s="61" t="s">
        <v>26</v>
      </c>
      <c r="J1482" s="61"/>
      <c r="K1482" s="61" t="s">
        <v>212</v>
      </c>
      <c r="L1482" s="61"/>
      <c r="M1482" s="61"/>
      <c r="N1482" s="61"/>
      <c r="O1482" s="61"/>
      <c r="P1482" s="61"/>
      <c r="Q1482" s="61"/>
      <c r="R1482" s="61" t="str">
        <f t="shared" si="104"/>
        <v/>
      </c>
      <c r="S1482" s="61" t="str">
        <f t="shared" si="105"/>
        <v/>
      </c>
      <c r="T1482" s="61" t="str">
        <f t="shared" si="103"/>
        <v/>
      </c>
      <c r="U1482" s="61" t="str">
        <f t="shared" si="106"/>
        <v/>
      </c>
      <c r="V1482" s="61"/>
      <c r="W1482" s="61"/>
      <c r="X1482" s="61"/>
      <c r="Y1482" s="471"/>
      <c r="Z1482" s="471"/>
      <c r="AA1482" s="61"/>
      <c r="AB1482" s="61"/>
    </row>
    <row r="1483" spans="1:28" s="2" customFormat="1" ht="15">
      <c r="A1483" s="61" t="s">
        <v>2286</v>
      </c>
      <c r="B1483" s="61" t="s">
        <v>1285</v>
      </c>
      <c r="C1483" s="61" t="s">
        <v>918</v>
      </c>
      <c r="D1483" s="61" t="s">
        <v>7838</v>
      </c>
      <c r="E1483" s="61">
        <v>1717</v>
      </c>
      <c r="F1483" s="61">
        <v>2435</v>
      </c>
      <c r="G1483" s="61"/>
      <c r="H1483" s="61"/>
      <c r="I1483" s="61" t="s">
        <v>26</v>
      </c>
      <c r="J1483" s="61"/>
      <c r="K1483" s="61" t="s">
        <v>212</v>
      </c>
      <c r="L1483" s="61"/>
      <c r="M1483" s="61"/>
      <c r="N1483" s="61"/>
      <c r="O1483" s="61"/>
      <c r="P1483" s="61"/>
      <c r="Q1483" s="61"/>
      <c r="R1483" s="61" t="str">
        <f t="shared" si="104"/>
        <v/>
      </c>
      <c r="S1483" s="61" t="str">
        <f t="shared" si="105"/>
        <v/>
      </c>
      <c r="T1483" s="61" t="str">
        <f t="shared" si="103"/>
        <v/>
      </c>
      <c r="U1483" s="61" t="str">
        <f t="shared" si="106"/>
        <v/>
      </c>
      <c r="V1483" s="61"/>
      <c r="W1483" s="61"/>
      <c r="X1483" s="61"/>
      <c r="Y1483" s="471"/>
      <c r="Z1483" s="471"/>
      <c r="AA1483" s="61"/>
      <c r="AB1483" s="61"/>
    </row>
    <row r="1484" spans="1:28" s="2" customFormat="1" ht="15">
      <c r="A1484" s="61" t="s">
        <v>2286</v>
      </c>
      <c r="B1484" s="61" t="s">
        <v>1285</v>
      </c>
      <c r="C1484" s="61" t="s">
        <v>5026</v>
      </c>
      <c r="D1484" s="61" t="s">
        <v>7838</v>
      </c>
      <c r="E1484" s="61">
        <v>1691</v>
      </c>
      <c r="F1484" s="61">
        <v>1913</v>
      </c>
      <c r="G1484" s="61"/>
      <c r="H1484" s="61"/>
      <c r="I1484" s="61" t="s">
        <v>26</v>
      </c>
      <c r="J1484" s="61"/>
      <c r="K1484" s="61" t="s">
        <v>212</v>
      </c>
      <c r="L1484" s="61"/>
      <c r="M1484" s="61"/>
      <c r="N1484" s="61"/>
      <c r="O1484" s="61"/>
      <c r="P1484" s="61"/>
      <c r="Q1484" s="61"/>
      <c r="R1484" s="61" t="str">
        <f t="shared" si="104"/>
        <v/>
      </c>
      <c r="S1484" s="61" t="str">
        <f t="shared" si="105"/>
        <v/>
      </c>
      <c r="T1484" s="61" t="str">
        <f t="shared" si="103"/>
        <v/>
      </c>
      <c r="U1484" s="61" t="str">
        <f t="shared" si="106"/>
        <v/>
      </c>
      <c r="V1484" s="61"/>
      <c r="W1484" s="61"/>
      <c r="X1484" s="61"/>
      <c r="Y1484" s="471"/>
      <c r="Z1484" s="471"/>
      <c r="AA1484" s="61"/>
      <c r="AB1484" s="61"/>
    </row>
    <row r="1485" spans="1:28" s="2" customFormat="1" ht="15">
      <c r="A1485" s="61" t="s">
        <v>2286</v>
      </c>
      <c r="B1485" s="61" t="s">
        <v>1291</v>
      </c>
      <c r="C1485" s="61" t="s">
        <v>1292</v>
      </c>
      <c r="D1485" s="61" t="s">
        <v>7838</v>
      </c>
      <c r="E1485" s="61">
        <v>3322</v>
      </c>
      <c r="F1485" s="61">
        <v>3509</v>
      </c>
      <c r="G1485" s="61">
        <v>2025</v>
      </c>
      <c r="H1485" s="61" t="s">
        <v>3470</v>
      </c>
      <c r="I1485" s="61" t="s">
        <v>30</v>
      </c>
      <c r="J1485" s="61" t="s">
        <v>28</v>
      </c>
      <c r="K1485" s="61" t="s">
        <v>212</v>
      </c>
      <c r="L1485" s="61" t="s">
        <v>8608</v>
      </c>
      <c r="M1485" s="475">
        <v>45750</v>
      </c>
      <c r="N1485" s="475">
        <v>45750</v>
      </c>
      <c r="O1485" s="475">
        <v>45754</v>
      </c>
      <c r="P1485" s="475">
        <v>45754</v>
      </c>
      <c r="Q1485" s="475">
        <v>45757</v>
      </c>
      <c r="R1485" s="61">
        <f t="shared" si="104"/>
        <v>1</v>
      </c>
      <c r="S1485" s="61">
        <f t="shared" si="105"/>
        <v>2</v>
      </c>
      <c r="T1485" s="61">
        <f t="shared" si="103"/>
        <v>1</v>
      </c>
      <c r="U1485" s="61">
        <f t="shared" si="106"/>
        <v>3</v>
      </c>
      <c r="V1485" s="61" t="s">
        <v>150</v>
      </c>
      <c r="W1485" s="61" t="s">
        <v>1078</v>
      </c>
      <c r="X1485" s="61" t="s">
        <v>50</v>
      </c>
      <c r="Y1485" s="471">
        <v>15.336081</v>
      </c>
      <c r="Z1485" s="471">
        <v>121.03367299999999</v>
      </c>
      <c r="AA1485" s="61" t="s">
        <v>182</v>
      </c>
      <c r="AB1485" s="61"/>
    </row>
    <row r="1486" spans="1:28" s="2" customFormat="1" ht="15">
      <c r="A1486" s="61" t="s">
        <v>2286</v>
      </c>
      <c r="B1486" s="61" t="s">
        <v>1291</v>
      </c>
      <c r="C1486" s="61" t="s">
        <v>5027</v>
      </c>
      <c r="D1486" s="61" t="s">
        <v>7838</v>
      </c>
      <c r="E1486" s="61">
        <v>3219</v>
      </c>
      <c r="F1486" s="61">
        <v>3362</v>
      </c>
      <c r="G1486" s="61">
        <v>2025</v>
      </c>
      <c r="H1486" s="61" t="s">
        <v>3470</v>
      </c>
      <c r="I1486" s="61" t="s">
        <v>30</v>
      </c>
      <c r="J1486" s="61" t="s">
        <v>28</v>
      </c>
      <c r="K1486" s="61" t="s">
        <v>212</v>
      </c>
      <c r="L1486" s="61" t="s">
        <v>8609</v>
      </c>
      <c r="M1486" s="475">
        <v>45750</v>
      </c>
      <c r="N1486" s="475">
        <v>45750</v>
      </c>
      <c r="O1486" s="475">
        <v>45754</v>
      </c>
      <c r="P1486" s="475">
        <v>45754</v>
      </c>
      <c r="Q1486" s="475">
        <v>45757</v>
      </c>
      <c r="R1486" s="61">
        <f t="shared" si="104"/>
        <v>1</v>
      </c>
      <c r="S1486" s="61">
        <f t="shared" si="105"/>
        <v>2</v>
      </c>
      <c r="T1486" s="61">
        <f t="shared" si="103"/>
        <v>1</v>
      </c>
      <c r="U1486" s="61">
        <f t="shared" si="106"/>
        <v>3</v>
      </c>
      <c r="V1486" s="61" t="s">
        <v>150</v>
      </c>
      <c r="W1486" s="61" t="s">
        <v>1078</v>
      </c>
      <c r="X1486" s="61" t="s">
        <v>50</v>
      </c>
      <c r="Y1486" s="471">
        <v>15.373006999999999</v>
      </c>
      <c r="Z1486" s="471">
        <v>121.003703</v>
      </c>
      <c r="AA1486" s="61" t="s">
        <v>182</v>
      </c>
      <c r="AB1486" s="61"/>
    </row>
    <row r="1487" spans="1:28" s="2" customFormat="1" ht="15">
      <c r="A1487" s="61" t="s">
        <v>2286</v>
      </c>
      <c r="B1487" s="61" t="s">
        <v>1291</v>
      </c>
      <c r="C1487" s="61" t="s">
        <v>4206</v>
      </c>
      <c r="D1487" s="61" t="s">
        <v>7838</v>
      </c>
      <c r="E1487" s="61">
        <v>1731</v>
      </c>
      <c r="F1487" s="61">
        <v>1823</v>
      </c>
      <c r="G1487" s="61">
        <v>2025</v>
      </c>
      <c r="H1487" s="61" t="s">
        <v>3532</v>
      </c>
      <c r="I1487" s="61" t="s">
        <v>30</v>
      </c>
      <c r="J1487" s="61" t="s">
        <v>28</v>
      </c>
      <c r="K1487" s="61" t="s">
        <v>212</v>
      </c>
      <c r="L1487" s="61" t="s">
        <v>8610</v>
      </c>
      <c r="M1487" s="475">
        <v>45776</v>
      </c>
      <c r="N1487" s="475">
        <v>45778</v>
      </c>
      <c r="O1487" s="475">
        <v>45779</v>
      </c>
      <c r="P1487" s="475">
        <v>45782</v>
      </c>
      <c r="Q1487" s="475">
        <v>45791</v>
      </c>
      <c r="R1487" s="61">
        <f t="shared" si="104"/>
        <v>2</v>
      </c>
      <c r="S1487" s="61">
        <f t="shared" si="105"/>
        <v>1</v>
      </c>
      <c r="T1487" s="61">
        <f t="shared" si="103"/>
        <v>1</v>
      </c>
      <c r="U1487" s="61">
        <f t="shared" si="106"/>
        <v>7</v>
      </c>
      <c r="V1487" s="61" t="s">
        <v>150</v>
      </c>
      <c r="W1487" s="61" t="s">
        <v>1078</v>
      </c>
      <c r="X1487" s="61" t="s">
        <v>50</v>
      </c>
      <c r="Y1487" s="471">
        <v>15.351129</v>
      </c>
      <c r="Z1487" s="471">
        <v>121.004356</v>
      </c>
      <c r="AA1487" s="61" t="s">
        <v>182</v>
      </c>
      <c r="AB1487" s="61"/>
    </row>
    <row r="1488" spans="1:28" s="2" customFormat="1" ht="15">
      <c r="A1488" s="61" t="s">
        <v>2286</v>
      </c>
      <c r="B1488" s="61" t="s">
        <v>1291</v>
      </c>
      <c r="C1488" s="61" t="s">
        <v>4277</v>
      </c>
      <c r="D1488" s="61" t="s">
        <v>7838</v>
      </c>
      <c r="E1488" s="61">
        <v>1047</v>
      </c>
      <c r="F1488" s="61">
        <v>1144</v>
      </c>
      <c r="G1488" s="61">
        <v>2025</v>
      </c>
      <c r="H1488" s="61" t="s">
        <v>3532</v>
      </c>
      <c r="I1488" s="61" t="s">
        <v>30</v>
      </c>
      <c r="J1488" s="61" t="s">
        <v>28</v>
      </c>
      <c r="K1488" s="61" t="s">
        <v>212</v>
      </c>
      <c r="L1488" s="61" t="s">
        <v>8611</v>
      </c>
      <c r="M1488" s="475">
        <v>45776</v>
      </c>
      <c r="N1488" s="475">
        <v>45778</v>
      </c>
      <c r="O1488" s="475">
        <v>45779</v>
      </c>
      <c r="P1488" s="475">
        <v>45782</v>
      </c>
      <c r="Q1488" s="475">
        <v>45792</v>
      </c>
      <c r="R1488" s="61">
        <f t="shared" si="104"/>
        <v>2</v>
      </c>
      <c r="S1488" s="61">
        <f t="shared" si="105"/>
        <v>1</v>
      </c>
      <c r="T1488" s="61">
        <f t="shared" si="103"/>
        <v>1</v>
      </c>
      <c r="U1488" s="61">
        <f t="shared" si="106"/>
        <v>8</v>
      </c>
      <c r="V1488" s="61" t="s">
        <v>150</v>
      </c>
      <c r="W1488" s="61" t="s">
        <v>1078</v>
      </c>
      <c r="X1488" s="61" t="s">
        <v>50</v>
      </c>
      <c r="Y1488" s="471">
        <v>15.352582</v>
      </c>
      <c r="Z1488" s="471">
        <v>121.001349</v>
      </c>
      <c r="AA1488" s="61" t="s">
        <v>182</v>
      </c>
      <c r="AB1488" s="61"/>
    </row>
    <row r="1489" spans="1:28" s="2" customFormat="1" ht="15">
      <c r="A1489" s="61" t="s">
        <v>2286</v>
      </c>
      <c r="B1489" s="61" t="s">
        <v>1291</v>
      </c>
      <c r="C1489" s="61" t="s">
        <v>5031</v>
      </c>
      <c r="D1489" s="61" t="s">
        <v>7838</v>
      </c>
      <c r="E1489" s="61">
        <v>1139</v>
      </c>
      <c r="F1489" s="61">
        <v>1289</v>
      </c>
      <c r="G1489" s="61">
        <v>2025</v>
      </c>
      <c r="H1489" s="61" t="s">
        <v>3532</v>
      </c>
      <c r="I1489" s="61" t="s">
        <v>30</v>
      </c>
      <c r="J1489" s="61" t="s">
        <v>28</v>
      </c>
      <c r="K1489" s="61" t="s">
        <v>212</v>
      </c>
      <c r="L1489" s="61" t="s">
        <v>8612</v>
      </c>
      <c r="M1489" s="475">
        <v>45776</v>
      </c>
      <c r="N1489" s="475">
        <v>45779</v>
      </c>
      <c r="O1489" s="475">
        <v>45779</v>
      </c>
      <c r="P1489" s="475">
        <v>45782</v>
      </c>
      <c r="Q1489" s="475">
        <v>45792</v>
      </c>
      <c r="R1489" s="61">
        <f t="shared" si="104"/>
        <v>3</v>
      </c>
      <c r="S1489" s="61">
        <f t="shared" si="105"/>
        <v>1</v>
      </c>
      <c r="T1489" s="61">
        <f t="shared" si="103"/>
        <v>1</v>
      </c>
      <c r="U1489" s="61">
        <f t="shared" si="106"/>
        <v>8</v>
      </c>
      <c r="V1489" s="61" t="s">
        <v>150</v>
      </c>
      <c r="W1489" s="61" t="s">
        <v>1078</v>
      </c>
      <c r="X1489" s="61" t="s">
        <v>50</v>
      </c>
      <c r="Y1489" s="471">
        <v>15.356952</v>
      </c>
      <c r="Z1489" s="471">
        <v>121.00946</v>
      </c>
      <c r="AA1489" s="61" t="s">
        <v>182</v>
      </c>
      <c r="AB1489" s="61"/>
    </row>
    <row r="1490" spans="1:28" s="2" customFormat="1" ht="28.5">
      <c r="A1490" s="61" t="s">
        <v>2286</v>
      </c>
      <c r="B1490" s="61" t="s">
        <v>1291</v>
      </c>
      <c r="C1490" s="61" t="s">
        <v>5033</v>
      </c>
      <c r="D1490" s="61" t="s">
        <v>7838</v>
      </c>
      <c r="E1490" s="61">
        <v>1617</v>
      </c>
      <c r="F1490" s="61">
        <v>1700</v>
      </c>
      <c r="G1490" s="61">
        <v>2025</v>
      </c>
      <c r="H1490" s="61" t="s">
        <v>3126</v>
      </c>
      <c r="I1490" s="61" t="s">
        <v>30</v>
      </c>
      <c r="J1490" s="61" t="s">
        <v>28</v>
      </c>
      <c r="K1490" s="61" t="s">
        <v>212</v>
      </c>
      <c r="L1490" s="61" t="s">
        <v>8613</v>
      </c>
      <c r="M1490" s="475">
        <v>45881</v>
      </c>
      <c r="N1490" s="475">
        <v>45884</v>
      </c>
      <c r="O1490" s="475">
        <v>45887</v>
      </c>
      <c r="P1490" s="475">
        <v>45888</v>
      </c>
      <c r="Q1490" s="475">
        <v>45888</v>
      </c>
      <c r="R1490" s="61">
        <f t="shared" si="104"/>
        <v>3</v>
      </c>
      <c r="S1490" s="61">
        <f t="shared" si="105"/>
        <v>1</v>
      </c>
      <c r="T1490" s="61">
        <f t="shared" si="103"/>
        <v>1</v>
      </c>
      <c r="U1490" s="61">
        <f t="shared" si="106"/>
        <v>1</v>
      </c>
      <c r="V1490" s="61" t="s">
        <v>150</v>
      </c>
      <c r="W1490" s="61" t="s">
        <v>1078</v>
      </c>
      <c r="X1490" s="61" t="s">
        <v>50</v>
      </c>
      <c r="Y1490" s="494">
        <v>15.355645000000001</v>
      </c>
      <c r="Z1490" s="495">
        <v>120.999514</v>
      </c>
      <c r="AA1490" s="61" t="s">
        <v>8614</v>
      </c>
      <c r="AB1490" s="61"/>
    </row>
    <row r="1491" spans="1:28" s="474" customFormat="1">
      <c r="A1491" s="61" t="s">
        <v>2286</v>
      </c>
      <c r="B1491" s="61" t="s">
        <v>1291</v>
      </c>
      <c r="C1491" s="61" t="s">
        <v>4925</v>
      </c>
      <c r="D1491" s="61" t="s">
        <v>7838</v>
      </c>
      <c r="E1491" s="61">
        <v>4862</v>
      </c>
      <c r="F1491" s="61">
        <v>5495</v>
      </c>
      <c r="G1491" s="61">
        <v>2025</v>
      </c>
      <c r="H1491" s="61" t="s">
        <v>3470</v>
      </c>
      <c r="I1491" s="61" t="s">
        <v>30</v>
      </c>
      <c r="J1491" s="61" t="s">
        <v>28</v>
      </c>
      <c r="K1491" s="61" t="s">
        <v>212</v>
      </c>
      <c r="L1491" s="61" t="s">
        <v>8615</v>
      </c>
      <c r="M1491" s="475">
        <v>45750</v>
      </c>
      <c r="N1491" s="475">
        <v>45750</v>
      </c>
      <c r="O1491" s="475">
        <v>45754</v>
      </c>
      <c r="P1491" s="475">
        <v>45754</v>
      </c>
      <c r="Q1491" s="475">
        <v>45757</v>
      </c>
      <c r="R1491" s="61">
        <f t="shared" si="104"/>
        <v>1</v>
      </c>
      <c r="S1491" s="61">
        <f t="shared" si="105"/>
        <v>2</v>
      </c>
      <c r="T1491" s="61">
        <f t="shared" ref="T1491:T1554" si="107">IF(
  OR(A1491 = "Nueva_Ecija", A1491 = "Zambales"),
  IF(
    OR(ISBLANK(O1491), ISBLANK(P1491)),
    "",
    MAX(1, IF(
      NETWORKDAYS(O1491, P1491) &lt;= 0,
      1,
      NETWORKDAYS(O1491, P1491) - IF(O1491 = P1491, 0, 1)
    ))
  ),
  IF(
    OR(ISBLANK(N1491), ISBLANK(P1491)),
    "",
    MAX(1, IF(
      NETWORKDAYS(N1491, P1491) &lt;= 0,
      1,
      NETWORKDAYS(N1491, P1491) - IF(N1491 = P1491, 0, 1)
    ))
  )
)</f>
        <v>1</v>
      </c>
      <c r="U1491" s="61">
        <f t="shared" si="106"/>
        <v>3</v>
      </c>
      <c r="V1491" s="61" t="s">
        <v>150</v>
      </c>
      <c r="W1491" s="61" t="s">
        <v>1078</v>
      </c>
      <c r="X1491" s="61" t="s">
        <v>50</v>
      </c>
      <c r="Y1491" s="471">
        <v>15.348126000000001</v>
      </c>
      <c r="Z1491" s="471">
        <v>121.00964999999999</v>
      </c>
      <c r="AA1491" s="61" t="s">
        <v>182</v>
      </c>
      <c r="AB1491" s="61"/>
    </row>
    <row r="1492" spans="1:28" s="2" customFormat="1" ht="15">
      <c r="A1492" s="61" t="s">
        <v>2286</v>
      </c>
      <c r="B1492" s="61" t="s">
        <v>1291</v>
      </c>
      <c r="C1492" s="61" t="s">
        <v>5034</v>
      </c>
      <c r="D1492" s="61" t="s">
        <v>7838</v>
      </c>
      <c r="E1492" s="61">
        <v>847</v>
      </c>
      <c r="F1492" s="61">
        <v>1112</v>
      </c>
      <c r="G1492" s="61">
        <v>2025</v>
      </c>
      <c r="H1492" s="61" t="s">
        <v>3416</v>
      </c>
      <c r="I1492" s="61" t="s">
        <v>30</v>
      </c>
      <c r="J1492" s="61" t="s">
        <v>2289</v>
      </c>
      <c r="K1492" s="61" t="s">
        <v>212</v>
      </c>
      <c r="L1492" s="61" t="s">
        <v>8616</v>
      </c>
      <c r="M1492" s="475">
        <v>45713</v>
      </c>
      <c r="N1492" s="475">
        <v>45719</v>
      </c>
      <c r="O1492" s="475">
        <v>45719</v>
      </c>
      <c r="P1492" s="475">
        <v>45720</v>
      </c>
      <c r="Q1492" s="475">
        <v>45721</v>
      </c>
      <c r="R1492" s="61">
        <f t="shared" si="104"/>
        <v>4</v>
      </c>
      <c r="S1492" s="61">
        <f t="shared" si="105"/>
        <v>1</v>
      </c>
      <c r="T1492" s="61">
        <f t="shared" si="107"/>
        <v>1</v>
      </c>
      <c r="U1492" s="61">
        <f t="shared" si="106"/>
        <v>1</v>
      </c>
      <c r="V1492" s="61" t="s">
        <v>150</v>
      </c>
      <c r="W1492" s="61" t="s">
        <v>1078</v>
      </c>
      <c r="X1492" s="61" t="s">
        <v>50</v>
      </c>
      <c r="Y1492" s="473">
        <v>15.291332000000001</v>
      </c>
      <c r="Z1492" s="471">
        <v>120.884254</v>
      </c>
      <c r="AA1492" s="61" t="s">
        <v>8361</v>
      </c>
      <c r="AB1492" s="61"/>
    </row>
    <row r="1493" spans="1:28" s="2" customFormat="1" ht="28.5">
      <c r="A1493" s="61" t="s">
        <v>2286</v>
      </c>
      <c r="B1493" s="61" t="s">
        <v>1291</v>
      </c>
      <c r="C1493" s="61" t="s">
        <v>3566</v>
      </c>
      <c r="D1493" s="61" t="s">
        <v>7838</v>
      </c>
      <c r="E1493" s="61">
        <v>7417</v>
      </c>
      <c r="F1493" s="61">
        <v>7705</v>
      </c>
      <c r="G1493" s="61">
        <v>2025</v>
      </c>
      <c r="H1493" s="61" t="s">
        <v>3126</v>
      </c>
      <c r="I1493" s="61" t="s">
        <v>30</v>
      </c>
      <c r="J1493" s="61" t="s">
        <v>28</v>
      </c>
      <c r="K1493" s="61" t="s">
        <v>212</v>
      </c>
      <c r="L1493" s="61" t="s">
        <v>8617</v>
      </c>
      <c r="M1493" s="475">
        <v>45881</v>
      </c>
      <c r="N1493" s="475">
        <v>45884</v>
      </c>
      <c r="O1493" s="475">
        <v>45887</v>
      </c>
      <c r="P1493" s="475">
        <v>45888</v>
      </c>
      <c r="Q1493" s="475">
        <v>45888</v>
      </c>
      <c r="R1493" s="61">
        <f t="shared" si="104"/>
        <v>3</v>
      </c>
      <c r="S1493" s="61">
        <f t="shared" si="105"/>
        <v>1</v>
      </c>
      <c r="T1493" s="61">
        <f t="shared" si="107"/>
        <v>1</v>
      </c>
      <c r="U1493" s="61">
        <f t="shared" si="106"/>
        <v>1</v>
      </c>
      <c r="V1493" s="61" t="s">
        <v>150</v>
      </c>
      <c r="W1493" s="61" t="s">
        <v>1078</v>
      </c>
      <c r="X1493" s="61" t="s">
        <v>50</v>
      </c>
      <c r="Y1493" s="494">
        <v>15.351379</v>
      </c>
      <c r="Z1493" s="495">
        <v>121.01701300000001</v>
      </c>
      <c r="AA1493" s="61" t="s">
        <v>8614</v>
      </c>
      <c r="AB1493" s="61"/>
    </row>
    <row r="1494" spans="1:28" s="2" customFormat="1" ht="28.5">
      <c r="A1494" s="61" t="s">
        <v>2286</v>
      </c>
      <c r="B1494" s="61" t="s">
        <v>1291</v>
      </c>
      <c r="C1494" s="61" t="s">
        <v>2168</v>
      </c>
      <c r="D1494" s="61" t="s">
        <v>7838</v>
      </c>
      <c r="E1494" s="61">
        <v>4681</v>
      </c>
      <c r="F1494" s="61">
        <v>5130</v>
      </c>
      <c r="G1494" s="61">
        <v>2025</v>
      </c>
      <c r="H1494" s="61" t="s">
        <v>3126</v>
      </c>
      <c r="I1494" s="61" t="s">
        <v>30</v>
      </c>
      <c r="J1494" s="61" t="s">
        <v>28</v>
      </c>
      <c r="K1494" s="61" t="s">
        <v>212</v>
      </c>
      <c r="L1494" s="61" t="s">
        <v>8618</v>
      </c>
      <c r="M1494" s="475">
        <v>45881</v>
      </c>
      <c r="N1494" s="475">
        <v>45884</v>
      </c>
      <c r="O1494" s="475">
        <v>45887</v>
      </c>
      <c r="P1494" s="475">
        <v>45887</v>
      </c>
      <c r="Q1494" s="475">
        <v>45887</v>
      </c>
      <c r="R1494" s="61">
        <f t="shared" si="104"/>
        <v>3</v>
      </c>
      <c r="S1494" s="61">
        <f t="shared" si="105"/>
        <v>1</v>
      </c>
      <c r="T1494" s="61">
        <f t="shared" si="107"/>
        <v>1</v>
      </c>
      <c r="U1494" s="61">
        <f t="shared" si="106"/>
        <v>1</v>
      </c>
      <c r="V1494" s="61" t="s">
        <v>150</v>
      </c>
      <c r="W1494" s="61" t="s">
        <v>1078</v>
      </c>
      <c r="X1494" s="61" t="s">
        <v>50</v>
      </c>
      <c r="Y1494" s="473">
        <v>15.351379</v>
      </c>
      <c r="Z1494" s="473">
        <v>121.01701300000001</v>
      </c>
      <c r="AA1494" s="61" t="s">
        <v>8614</v>
      </c>
      <c r="AB1494" s="61"/>
    </row>
    <row r="1495" spans="1:28" s="2" customFormat="1" ht="15">
      <c r="A1495" s="61" t="s">
        <v>2286</v>
      </c>
      <c r="B1495" s="61" t="s">
        <v>1295</v>
      </c>
      <c r="C1495" s="61" t="s">
        <v>5040</v>
      </c>
      <c r="D1495" s="61" t="s">
        <v>7838</v>
      </c>
      <c r="E1495" s="61">
        <v>4827</v>
      </c>
      <c r="F1495" s="61">
        <v>4792</v>
      </c>
      <c r="G1495" s="61">
        <v>2025</v>
      </c>
      <c r="H1495" s="61" t="s">
        <v>8619</v>
      </c>
      <c r="I1495" s="61" t="s">
        <v>224</v>
      </c>
      <c r="J1495" s="61" t="s">
        <v>2289</v>
      </c>
      <c r="K1495" s="61" t="s">
        <v>212</v>
      </c>
      <c r="L1495" s="61" t="s">
        <v>8620</v>
      </c>
      <c r="M1495" s="475">
        <v>45695</v>
      </c>
      <c r="N1495" s="475">
        <v>45705</v>
      </c>
      <c r="O1495" s="475">
        <v>45706</v>
      </c>
      <c r="P1495" s="475">
        <v>45706</v>
      </c>
      <c r="Q1495" s="475">
        <v>45706</v>
      </c>
      <c r="R1495" s="61">
        <f t="shared" si="104"/>
        <v>6</v>
      </c>
      <c r="S1495" s="61">
        <f t="shared" si="105"/>
        <v>1</v>
      </c>
      <c r="T1495" s="61">
        <f t="shared" si="107"/>
        <v>1</v>
      </c>
      <c r="U1495" s="61">
        <f t="shared" si="106"/>
        <v>1</v>
      </c>
      <c r="V1495" s="61" t="s">
        <v>150</v>
      </c>
      <c r="W1495" s="61" t="s">
        <v>1078</v>
      </c>
      <c r="X1495" s="61" t="s">
        <v>50</v>
      </c>
      <c r="Y1495" s="473">
        <v>15.572699999999999</v>
      </c>
      <c r="Z1495" s="473">
        <v>120.8156</v>
      </c>
      <c r="AA1495" s="61" t="s">
        <v>8361</v>
      </c>
      <c r="AB1495" s="61"/>
    </row>
    <row r="1496" spans="1:28" s="474" customFormat="1">
      <c r="A1496" s="61" t="s">
        <v>2286</v>
      </c>
      <c r="B1496" s="61" t="s">
        <v>1295</v>
      </c>
      <c r="C1496" s="61" t="s">
        <v>8621</v>
      </c>
      <c r="D1496" s="61" t="s">
        <v>7838</v>
      </c>
      <c r="E1496" s="61">
        <v>2401</v>
      </c>
      <c r="F1496" s="61">
        <v>2262</v>
      </c>
      <c r="G1496" s="61">
        <v>2025</v>
      </c>
      <c r="H1496" s="61" t="s">
        <v>3125</v>
      </c>
      <c r="I1496" s="61" t="s">
        <v>224</v>
      </c>
      <c r="J1496" s="61" t="s">
        <v>2289</v>
      </c>
      <c r="K1496" s="61" t="s">
        <v>212</v>
      </c>
      <c r="L1496" s="61" t="s">
        <v>8622</v>
      </c>
      <c r="M1496" s="475">
        <v>45855</v>
      </c>
      <c r="N1496" s="475">
        <v>45856</v>
      </c>
      <c r="O1496" s="475">
        <v>45856</v>
      </c>
      <c r="P1496" s="475">
        <v>45856</v>
      </c>
      <c r="Q1496" s="475">
        <v>45856</v>
      </c>
      <c r="R1496" s="61">
        <f t="shared" ref="R1496:R1559" si="108">IF(
    OR(ISBLANK(M1496), ISBLANK(N1496)),
    "",
    MAX(1, IF(
        NETWORKDAYS(M1496, N1496) &lt;= 0,
        1,
        NETWORKDAYS(M1496, N1496) - IF(M1496 = N1496, 0, 1)
    ))
)</f>
        <v>1</v>
      </c>
      <c r="S1496" s="61">
        <f t="shared" ref="S1496:S1559" si="109">IF(
    OR(ISBLANK(N1496), ISBLANK(O1496)),
    "",
    MAX(1, IF(
        NETWORKDAYS(N1496, O1496) &lt;= 0,
        1,
        NETWORKDAYS(N1496, O1496) - IF(N1496 = O1496, 0, 1)
    ))
)</f>
        <v>1</v>
      </c>
      <c r="T1496" s="61">
        <f t="shared" si="107"/>
        <v>1</v>
      </c>
      <c r="U1496" s="61">
        <f t="shared" ref="U1496:U1559" si="110">IF(
    OR(ISBLANK(P1496), ISBLANK(Q1496)),
    "",
    MAX(1, IF(
        NETWORKDAYS(P1496, Q1496) &lt;= 0,
        1,
        NETWORKDAYS(P1496, Q1496) - IF(P1496 = Q1496, 0, 1)
    ))
)</f>
        <v>1</v>
      </c>
      <c r="V1496" s="61" t="s">
        <v>150</v>
      </c>
      <c r="W1496" s="61" t="s">
        <v>1078</v>
      </c>
      <c r="X1496" s="61" t="s">
        <v>50</v>
      </c>
      <c r="Y1496" s="61">
        <v>15.577999999999999</v>
      </c>
      <c r="Z1496" s="61">
        <v>120.79819999999999</v>
      </c>
      <c r="AA1496" s="61" t="s">
        <v>8361</v>
      </c>
      <c r="AB1496" s="61"/>
    </row>
    <row r="1497" spans="1:28" s="2" customFormat="1" ht="15">
      <c r="A1497" s="61" t="s">
        <v>2286</v>
      </c>
      <c r="B1497" s="61" t="s">
        <v>1295</v>
      </c>
      <c r="C1497" s="61" t="s">
        <v>4177</v>
      </c>
      <c r="D1497" s="61" t="s">
        <v>7838</v>
      </c>
      <c r="E1497" s="61">
        <v>4458</v>
      </c>
      <c r="F1497" s="61">
        <v>4687</v>
      </c>
      <c r="G1497" s="61">
        <v>2025</v>
      </c>
      <c r="H1497" s="61" t="s">
        <v>8619</v>
      </c>
      <c r="I1497" s="61" t="s">
        <v>224</v>
      </c>
      <c r="J1497" s="61" t="s">
        <v>2289</v>
      </c>
      <c r="K1497" s="61" t="s">
        <v>212</v>
      </c>
      <c r="L1497" s="61" t="s">
        <v>8623</v>
      </c>
      <c r="M1497" s="475">
        <v>45695</v>
      </c>
      <c r="N1497" s="475">
        <v>45705</v>
      </c>
      <c r="O1497" s="475">
        <v>45706</v>
      </c>
      <c r="P1497" s="475">
        <v>45706</v>
      </c>
      <c r="Q1497" s="475">
        <v>45706</v>
      </c>
      <c r="R1497" s="61">
        <f t="shared" si="108"/>
        <v>6</v>
      </c>
      <c r="S1497" s="61">
        <f t="shared" si="109"/>
        <v>1</v>
      </c>
      <c r="T1497" s="61">
        <f t="shared" si="107"/>
        <v>1</v>
      </c>
      <c r="U1497" s="61">
        <f t="shared" si="110"/>
        <v>1</v>
      </c>
      <c r="V1497" s="61" t="s">
        <v>150</v>
      </c>
      <c r="W1497" s="61" t="s">
        <v>1078</v>
      </c>
      <c r="X1497" s="61" t="s">
        <v>50</v>
      </c>
      <c r="Y1497" s="473">
        <v>15.553599999999999</v>
      </c>
      <c r="Z1497" s="473">
        <v>120.81440000000001</v>
      </c>
      <c r="AA1497" s="61" t="s">
        <v>8361</v>
      </c>
      <c r="AB1497" s="61"/>
    </row>
    <row r="1498" spans="1:28" s="2" customFormat="1" ht="15">
      <c r="A1498" s="61" t="s">
        <v>2286</v>
      </c>
      <c r="B1498" s="61" t="s">
        <v>1295</v>
      </c>
      <c r="C1498" s="61" t="s">
        <v>5045</v>
      </c>
      <c r="D1498" s="61" t="s">
        <v>7838</v>
      </c>
      <c r="E1498" s="61">
        <v>3624</v>
      </c>
      <c r="F1498" s="61">
        <v>3771</v>
      </c>
      <c r="G1498" s="61">
        <v>2025</v>
      </c>
      <c r="H1498" s="61" t="s">
        <v>3125</v>
      </c>
      <c r="I1498" s="61" t="s">
        <v>224</v>
      </c>
      <c r="J1498" s="61" t="s">
        <v>2289</v>
      </c>
      <c r="K1498" s="61" t="s">
        <v>212</v>
      </c>
      <c r="L1498" s="61" t="s">
        <v>8624</v>
      </c>
      <c r="M1498" s="475">
        <v>45855</v>
      </c>
      <c r="N1498" s="475">
        <v>45856</v>
      </c>
      <c r="O1498" s="475">
        <v>45856</v>
      </c>
      <c r="P1498" s="475">
        <v>45856</v>
      </c>
      <c r="Q1498" s="475">
        <v>45856</v>
      </c>
      <c r="R1498" s="61">
        <f t="shared" si="108"/>
        <v>1</v>
      </c>
      <c r="S1498" s="61">
        <f t="shared" si="109"/>
        <v>1</v>
      </c>
      <c r="T1498" s="61">
        <f t="shared" si="107"/>
        <v>1</v>
      </c>
      <c r="U1498" s="61">
        <f t="shared" si="110"/>
        <v>1</v>
      </c>
      <c r="V1498" s="61" t="s">
        <v>150</v>
      </c>
      <c r="W1498" s="61" t="s">
        <v>1078</v>
      </c>
      <c r="X1498" s="61" t="s">
        <v>50</v>
      </c>
      <c r="Y1498" s="61">
        <v>15.574999999999999</v>
      </c>
      <c r="Z1498" s="61">
        <v>120.831</v>
      </c>
      <c r="AA1498" s="61" t="s">
        <v>8361</v>
      </c>
      <c r="AB1498" s="61"/>
    </row>
    <row r="1499" spans="1:28" s="2" customFormat="1" ht="15">
      <c r="A1499" s="61" t="s">
        <v>2286</v>
      </c>
      <c r="B1499" s="61" t="s">
        <v>1295</v>
      </c>
      <c r="C1499" s="61" t="s">
        <v>5046</v>
      </c>
      <c r="D1499" s="61" t="s">
        <v>7838</v>
      </c>
      <c r="E1499" s="61">
        <v>1739</v>
      </c>
      <c r="F1499" s="61">
        <v>1760</v>
      </c>
      <c r="G1499" s="61">
        <v>2025</v>
      </c>
      <c r="H1499" s="61" t="s">
        <v>3470</v>
      </c>
      <c r="I1499" s="61" t="s">
        <v>224</v>
      </c>
      <c r="J1499" s="61" t="s">
        <v>2289</v>
      </c>
      <c r="K1499" s="61" t="s">
        <v>212</v>
      </c>
      <c r="L1499" s="61" t="s">
        <v>8625</v>
      </c>
      <c r="M1499" s="475">
        <v>45736</v>
      </c>
      <c r="N1499" s="475">
        <v>45738</v>
      </c>
      <c r="O1499" s="475">
        <v>45754</v>
      </c>
      <c r="P1499" s="475">
        <v>45754</v>
      </c>
      <c r="Q1499" s="475">
        <v>45757</v>
      </c>
      <c r="R1499" s="61">
        <f t="shared" si="108"/>
        <v>1</v>
      </c>
      <c r="S1499" s="61">
        <f t="shared" si="109"/>
        <v>10</v>
      </c>
      <c r="T1499" s="61">
        <f t="shared" si="107"/>
        <v>1</v>
      </c>
      <c r="U1499" s="61">
        <f t="shared" si="110"/>
        <v>3</v>
      </c>
      <c r="V1499" s="61" t="s">
        <v>150</v>
      </c>
      <c r="W1499" s="61" t="s">
        <v>1078</v>
      </c>
      <c r="X1499" s="61" t="s">
        <v>50</v>
      </c>
      <c r="Y1499" s="486">
        <v>15.5389</v>
      </c>
      <c r="Z1499" s="486">
        <v>120.8236</v>
      </c>
      <c r="AA1499" s="61" t="s">
        <v>8361</v>
      </c>
      <c r="AB1499" s="61"/>
    </row>
    <row r="1500" spans="1:28" s="2" customFormat="1" ht="15">
      <c r="A1500" s="61" t="s">
        <v>2286</v>
      </c>
      <c r="B1500" s="61" t="s">
        <v>1295</v>
      </c>
      <c r="C1500" s="61" t="s">
        <v>1151</v>
      </c>
      <c r="D1500" s="61" t="s">
        <v>7838</v>
      </c>
      <c r="E1500" s="61">
        <v>2752</v>
      </c>
      <c r="F1500" s="61">
        <v>2922</v>
      </c>
      <c r="G1500" s="61">
        <v>2025</v>
      </c>
      <c r="H1500" s="61" t="s">
        <v>3125</v>
      </c>
      <c r="I1500" s="61" t="s">
        <v>224</v>
      </c>
      <c r="J1500" s="61" t="s">
        <v>2289</v>
      </c>
      <c r="K1500" s="61" t="s">
        <v>212</v>
      </c>
      <c r="L1500" s="61" t="s">
        <v>8626</v>
      </c>
      <c r="M1500" s="475">
        <v>45855</v>
      </c>
      <c r="N1500" s="475">
        <v>45856</v>
      </c>
      <c r="O1500" s="475">
        <v>45856</v>
      </c>
      <c r="P1500" s="475">
        <v>45856</v>
      </c>
      <c r="Q1500" s="475">
        <v>45856</v>
      </c>
      <c r="R1500" s="61">
        <f t="shared" si="108"/>
        <v>1</v>
      </c>
      <c r="S1500" s="61">
        <f t="shared" si="109"/>
        <v>1</v>
      </c>
      <c r="T1500" s="61">
        <f t="shared" si="107"/>
        <v>1</v>
      </c>
      <c r="U1500" s="61">
        <f t="shared" si="110"/>
        <v>1</v>
      </c>
      <c r="V1500" s="61" t="s">
        <v>150</v>
      </c>
      <c r="W1500" s="61" t="s">
        <v>1078</v>
      </c>
      <c r="X1500" s="61" t="s">
        <v>50</v>
      </c>
      <c r="Y1500" s="61">
        <v>15.581099999999999</v>
      </c>
      <c r="Z1500" s="61">
        <v>120.8378</v>
      </c>
      <c r="AA1500" s="61" t="s">
        <v>8361</v>
      </c>
      <c r="AB1500" s="61"/>
    </row>
    <row r="1501" spans="1:28" s="2" customFormat="1" ht="15">
      <c r="A1501" s="61" t="s">
        <v>2286</v>
      </c>
      <c r="B1501" s="61" t="s">
        <v>1295</v>
      </c>
      <c r="C1501" s="61" t="s">
        <v>3403</v>
      </c>
      <c r="D1501" s="61" t="s">
        <v>7838</v>
      </c>
      <c r="E1501" s="61">
        <v>1487</v>
      </c>
      <c r="F1501" s="61">
        <v>1531</v>
      </c>
      <c r="G1501" s="61"/>
      <c r="H1501" s="61"/>
      <c r="I1501" s="61" t="s">
        <v>224</v>
      </c>
      <c r="J1501" s="61"/>
      <c r="K1501" s="61" t="s">
        <v>212</v>
      </c>
      <c r="L1501" s="61"/>
      <c r="M1501" s="61"/>
      <c r="N1501" s="61"/>
      <c r="O1501" s="61"/>
      <c r="P1501" s="61"/>
      <c r="Q1501" s="61"/>
      <c r="R1501" s="61" t="str">
        <f t="shared" si="108"/>
        <v/>
      </c>
      <c r="S1501" s="61" t="str">
        <f t="shared" si="109"/>
        <v/>
      </c>
      <c r="T1501" s="61" t="str">
        <f t="shared" si="107"/>
        <v/>
      </c>
      <c r="U1501" s="61" t="str">
        <f t="shared" si="110"/>
        <v/>
      </c>
      <c r="V1501" s="61"/>
      <c r="W1501" s="61"/>
      <c r="X1501" s="61"/>
      <c r="Y1501" s="471"/>
      <c r="Z1501" s="471"/>
      <c r="AA1501" s="61"/>
      <c r="AB1501" s="61"/>
    </row>
    <row r="1502" spans="1:28" s="2" customFormat="1" ht="15">
      <c r="A1502" s="61" t="s">
        <v>2286</v>
      </c>
      <c r="B1502" s="61" t="s">
        <v>1295</v>
      </c>
      <c r="C1502" s="61" t="s">
        <v>3407</v>
      </c>
      <c r="D1502" s="61" t="s">
        <v>7838</v>
      </c>
      <c r="E1502" s="61">
        <v>705</v>
      </c>
      <c r="F1502" s="61">
        <v>686</v>
      </c>
      <c r="G1502" s="61"/>
      <c r="H1502" s="61"/>
      <c r="I1502" s="61" t="s">
        <v>224</v>
      </c>
      <c r="J1502" s="61"/>
      <c r="K1502" s="61" t="s">
        <v>212</v>
      </c>
      <c r="L1502" s="61"/>
      <c r="M1502" s="61"/>
      <c r="N1502" s="61"/>
      <c r="O1502" s="61"/>
      <c r="P1502" s="61"/>
      <c r="Q1502" s="61"/>
      <c r="R1502" s="61" t="str">
        <f t="shared" si="108"/>
        <v/>
      </c>
      <c r="S1502" s="61" t="str">
        <f t="shared" si="109"/>
        <v/>
      </c>
      <c r="T1502" s="61" t="str">
        <f t="shared" si="107"/>
        <v/>
      </c>
      <c r="U1502" s="61" t="str">
        <f t="shared" si="110"/>
        <v/>
      </c>
      <c r="V1502" s="61"/>
      <c r="W1502" s="61"/>
      <c r="X1502" s="61"/>
      <c r="Y1502" s="471"/>
      <c r="Z1502" s="471"/>
      <c r="AA1502" s="61"/>
      <c r="AB1502" s="61"/>
    </row>
    <row r="1503" spans="1:28" s="2" customFormat="1" ht="15">
      <c r="A1503" s="61" t="s">
        <v>2286</v>
      </c>
      <c r="B1503" s="61" t="s">
        <v>1295</v>
      </c>
      <c r="C1503" s="61" t="s">
        <v>5042</v>
      </c>
      <c r="D1503" s="61" t="s">
        <v>7838</v>
      </c>
      <c r="E1503" s="61">
        <v>2329</v>
      </c>
      <c r="F1503" s="61">
        <v>2506</v>
      </c>
      <c r="G1503" s="61"/>
      <c r="H1503" s="61"/>
      <c r="I1503" s="61" t="s">
        <v>224</v>
      </c>
      <c r="J1503" s="61"/>
      <c r="K1503" s="61" t="s">
        <v>212</v>
      </c>
      <c r="L1503" s="61"/>
      <c r="M1503" s="61"/>
      <c r="N1503" s="61"/>
      <c r="O1503" s="61"/>
      <c r="P1503" s="61"/>
      <c r="Q1503" s="61"/>
      <c r="R1503" s="61" t="str">
        <f t="shared" si="108"/>
        <v/>
      </c>
      <c r="S1503" s="61" t="str">
        <f t="shared" si="109"/>
        <v/>
      </c>
      <c r="T1503" s="61" t="str">
        <f t="shared" si="107"/>
        <v/>
      </c>
      <c r="U1503" s="61" t="str">
        <f t="shared" si="110"/>
        <v/>
      </c>
      <c r="V1503" s="61"/>
      <c r="W1503" s="61"/>
      <c r="X1503" s="61"/>
      <c r="Y1503" s="471"/>
      <c r="Z1503" s="471"/>
      <c r="AA1503" s="61"/>
      <c r="AB1503" s="61"/>
    </row>
    <row r="1504" spans="1:28" s="2" customFormat="1" ht="15">
      <c r="A1504" s="61" t="s">
        <v>2286</v>
      </c>
      <c r="B1504" s="61" t="s">
        <v>1295</v>
      </c>
      <c r="C1504" s="61" t="s">
        <v>5047</v>
      </c>
      <c r="D1504" s="61" t="s">
        <v>7838</v>
      </c>
      <c r="E1504" s="61">
        <v>2027</v>
      </c>
      <c r="F1504" s="61">
        <v>2255</v>
      </c>
      <c r="G1504" s="61"/>
      <c r="H1504" s="61"/>
      <c r="I1504" s="61" t="s">
        <v>224</v>
      </c>
      <c r="J1504" s="61"/>
      <c r="K1504" s="61" t="s">
        <v>212</v>
      </c>
      <c r="L1504" s="61"/>
      <c r="M1504" s="61"/>
      <c r="N1504" s="61"/>
      <c r="O1504" s="61"/>
      <c r="P1504" s="61"/>
      <c r="Q1504" s="61"/>
      <c r="R1504" s="61" t="str">
        <f t="shared" si="108"/>
        <v/>
      </c>
      <c r="S1504" s="61" t="str">
        <f t="shared" si="109"/>
        <v/>
      </c>
      <c r="T1504" s="61" t="str">
        <f t="shared" si="107"/>
        <v/>
      </c>
      <c r="U1504" s="61" t="str">
        <f t="shared" si="110"/>
        <v/>
      </c>
      <c r="V1504" s="61"/>
      <c r="W1504" s="61"/>
      <c r="X1504" s="61"/>
      <c r="Y1504" s="471"/>
      <c r="Z1504" s="471"/>
      <c r="AA1504" s="61"/>
      <c r="AB1504" s="61"/>
    </row>
    <row r="1505" spans="1:28" s="2" customFormat="1" ht="15">
      <c r="A1505" s="61" t="s">
        <v>2286</v>
      </c>
      <c r="B1505" s="61" t="s">
        <v>1295</v>
      </c>
      <c r="C1505" s="61" t="s">
        <v>5049</v>
      </c>
      <c r="D1505" s="61" t="s">
        <v>7838</v>
      </c>
      <c r="E1505" s="61">
        <v>1793</v>
      </c>
      <c r="F1505" s="61">
        <v>1823</v>
      </c>
      <c r="G1505" s="61"/>
      <c r="H1505" s="61"/>
      <c r="I1505" s="61" t="s">
        <v>224</v>
      </c>
      <c r="J1505" s="61"/>
      <c r="K1505" s="61" t="s">
        <v>212</v>
      </c>
      <c r="L1505" s="61"/>
      <c r="M1505" s="61"/>
      <c r="N1505" s="61"/>
      <c r="O1505" s="61"/>
      <c r="P1505" s="61"/>
      <c r="Q1505" s="61"/>
      <c r="R1505" s="61" t="str">
        <f t="shared" si="108"/>
        <v/>
      </c>
      <c r="S1505" s="61" t="str">
        <f t="shared" si="109"/>
        <v/>
      </c>
      <c r="T1505" s="61" t="str">
        <f t="shared" si="107"/>
        <v/>
      </c>
      <c r="U1505" s="61" t="str">
        <f t="shared" si="110"/>
        <v/>
      </c>
      <c r="V1505" s="61"/>
      <c r="W1505" s="61"/>
      <c r="X1505" s="61"/>
      <c r="Y1505" s="471"/>
      <c r="Z1505" s="471"/>
      <c r="AA1505" s="61"/>
      <c r="AB1505" s="61"/>
    </row>
    <row r="1506" spans="1:28" s="2" customFormat="1" ht="15">
      <c r="A1506" s="61" t="s">
        <v>2286</v>
      </c>
      <c r="B1506" s="61" t="s">
        <v>1295</v>
      </c>
      <c r="C1506" s="61" t="s">
        <v>1511</v>
      </c>
      <c r="D1506" s="61" t="s">
        <v>7838</v>
      </c>
      <c r="E1506" s="61">
        <v>1800</v>
      </c>
      <c r="F1506" s="61">
        <v>1963</v>
      </c>
      <c r="G1506" s="61"/>
      <c r="H1506" s="61"/>
      <c r="I1506" s="61" t="s">
        <v>224</v>
      </c>
      <c r="J1506" s="61"/>
      <c r="K1506" s="61" t="s">
        <v>212</v>
      </c>
      <c r="L1506" s="61"/>
      <c r="M1506" s="61"/>
      <c r="N1506" s="61"/>
      <c r="O1506" s="61"/>
      <c r="P1506" s="61"/>
      <c r="Q1506" s="61"/>
      <c r="R1506" s="61" t="str">
        <f t="shared" si="108"/>
        <v/>
      </c>
      <c r="S1506" s="61" t="str">
        <f t="shared" si="109"/>
        <v/>
      </c>
      <c r="T1506" s="61" t="str">
        <f t="shared" si="107"/>
        <v/>
      </c>
      <c r="U1506" s="61" t="str">
        <f t="shared" si="110"/>
        <v/>
      </c>
      <c r="V1506" s="61"/>
      <c r="W1506" s="61"/>
      <c r="X1506" s="61"/>
      <c r="Y1506" s="471"/>
      <c r="Z1506" s="471"/>
      <c r="AA1506" s="61"/>
      <c r="AB1506" s="61"/>
    </row>
    <row r="1507" spans="1:28" s="2" customFormat="1" ht="15">
      <c r="A1507" s="61" t="s">
        <v>2286</v>
      </c>
      <c r="B1507" s="61" t="s">
        <v>1295</v>
      </c>
      <c r="C1507" s="61" t="s">
        <v>4242</v>
      </c>
      <c r="D1507" s="61" t="s">
        <v>7838</v>
      </c>
      <c r="E1507" s="61">
        <v>3868</v>
      </c>
      <c r="F1507" s="61">
        <v>4107</v>
      </c>
      <c r="G1507" s="61"/>
      <c r="H1507" s="61"/>
      <c r="I1507" s="61" t="s">
        <v>224</v>
      </c>
      <c r="J1507" s="61"/>
      <c r="K1507" s="61" t="s">
        <v>212</v>
      </c>
      <c r="L1507" s="61"/>
      <c r="M1507" s="61"/>
      <c r="N1507" s="61"/>
      <c r="O1507" s="61"/>
      <c r="P1507" s="61"/>
      <c r="Q1507" s="61"/>
      <c r="R1507" s="61" t="str">
        <f t="shared" si="108"/>
        <v/>
      </c>
      <c r="S1507" s="61" t="str">
        <f t="shared" si="109"/>
        <v/>
      </c>
      <c r="T1507" s="61" t="str">
        <f t="shared" si="107"/>
        <v/>
      </c>
      <c r="U1507" s="61" t="str">
        <f t="shared" si="110"/>
        <v/>
      </c>
      <c r="V1507" s="61"/>
      <c r="W1507" s="61"/>
      <c r="X1507" s="61"/>
      <c r="Y1507" s="471"/>
      <c r="Z1507" s="471"/>
      <c r="AA1507" s="61"/>
      <c r="AB1507" s="61"/>
    </row>
    <row r="1508" spans="1:28" s="2" customFormat="1" ht="15">
      <c r="A1508" s="61" t="s">
        <v>2286</v>
      </c>
      <c r="B1508" s="61" t="s">
        <v>1295</v>
      </c>
      <c r="C1508" s="61" t="s">
        <v>3977</v>
      </c>
      <c r="D1508" s="61" t="s">
        <v>7838</v>
      </c>
      <c r="E1508" s="61">
        <v>1185</v>
      </c>
      <c r="F1508" s="61">
        <v>1269</v>
      </c>
      <c r="G1508" s="61"/>
      <c r="H1508" s="61"/>
      <c r="I1508" s="61" t="s">
        <v>224</v>
      </c>
      <c r="J1508" s="61"/>
      <c r="K1508" s="61" t="s">
        <v>212</v>
      </c>
      <c r="L1508" s="61"/>
      <c r="M1508" s="61"/>
      <c r="N1508" s="61"/>
      <c r="O1508" s="61"/>
      <c r="P1508" s="61"/>
      <c r="Q1508" s="61"/>
      <c r="R1508" s="61" t="str">
        <f t="shared" si="108"/>
        <v/>
      </c>
      <c r="S1508" s="61" t="str">
        <f t="shared" si="109"/>
        <v/>
      </c>
      <c r="T1508" s="61" t="str">
        <f t="shared" si="107"/>
        <v/>
      </c>
      <c r="U1508" s="61" t="str">
        <f t="shared" si="110"/>
        <v/>
      </c>
      <c r="V1508" s="61"/>
      <c r="W1508" s="61"/>
      <c r="X1508" s="61"/>
      <c r="Y1508" s="471"/>
      <c r="Z1508" s="471"/>
      <c r="AA1508" s="61"/>
      <c r="AB1508" s="61"/>
    </row>
    <row r="1509" spans="1:28" s="2" customFormat="1" ht="15">
      <c r="A1509" s="61" t="s">
        <v>2286</v>
      </c>
      <c r="B1509" s="61" t="s">
        <v>1295</v>
      </c>
      <c r="C1509" s="61" t="s">
        <v>5052</v>
      </c>
      <c r="D1509" s="61" t="s">
        <v>7838</v>
      </c>
      <c r="E1509" s="61">
        <v>2111</v>
      </c>
      <c r="F1509" s="61">
        <v>2203</v>
      </c>
      <c r="G1509" s="61"/>
      <c r="H1509" s="61"/>
      <c r="I1509" s="61" t="s">
        <v>224</v>
      </c>
      <c r="J1509" s="61"/>
      <c r="K1509" s="61" t="s">
        <v>212</v>
      </c>
      <c r="L1509" s="61"/>
      <c r="M1509" s="61"/>
      <c r="N1509" s="61"/>
      <c r="O1509" s="61"/>
      <c r="P1509" s="61"/>
      <c r="Q1509" s="61"/>
      <c r="R1509" s="61" t="str">
        <f t="shared" si="108"/>
        <v/>
      </c>
      <c r="S1509" s="61" t="str">
        <f t="shared" si="109"/>
        <v/>
      </c>
      <c r="T1509" s="61" t="str">
        <f t="shared" si="107"/>
        <v/>
      </c>
      <c r="U1509" s="61" t="str">
        <f t="shared" si="110"/>
        <v/>
      </c>
      <c r="V1509" s="61"/>
      <c r="W1509" s="61"/>
      <c r="X1509" s="61"/>
      <c r="Y1509" s="471"/>
      <c r="Z1509" s="471"/>
      <c r="AA1509" s="61"/>
      <c r="AB1509" s="61"/>
    </row>
    <row r="1510" spans="1:28" s="2" customFormat="1" ht="15">
      <c r="A1510" s="61" t="s">
        <v>2286</v>
      </c>
      <c r="B1510" s="61" t="s">
        <v>1295</v>
      </c>
      <c r="C1510" s="61" t="s">
        <v>5036</v>
      </c>
      <c r="D1510" s="61" t="s">
        <v>7838</v>
      </c>
      <c r="E1510" s="61">
        <v>3486</v>
      </c>
      <c r="F1510" s="61">
        <v>3308</v>
      </c>
      <c r="G1510" s="61">
        <v>2025</v>
      </c>
      <c r="H1510" s="61" t="s">
        <v>3127</v>
      </c>
      <c r="I1510" s="61" t="s">
        <v>224</v>
      </c>
      <c r="J1510" s="61" t="s">
        <v>2289</v>
      </c>
      <c r="K1510" s="61" t="s">
        <v>212</v>
      </c>
      <c r="L1510" s="61" t="s">
        <v>8627</v>
      </c>
      <c r="M1510" s="475">
        <v>45918</v>
      </c>
      <c r="N1510" s="475">
        <v>45918</v>
      </c>
      <c r="O1510" s="475">
        <v>45918</v>
      </c>
      <c r="P1510" s="475">
        <v>45918</v>
      </c>
      <c r="Q1510" s="475">
        <v>45918</v>
      </c>
      <c r="R1510" s="61">
        <f t="shared" si="108"/>
        <v>1</v>
      </c>
      <c r="S1510" s="61">
        <f t="shared" si="109"/>
        <v>1</v>
      </c>
      <c r="T1510" s="61">
        <f t="shared" si="107"/>
        <v>1</v>
      </c>
      <c r="U1510" s="61">
        <f t="shared" si="110"/>
        <v>1</v>
      </c>
      <c r="V1510" s="61" t="s">
        <v>150</v>
      </c>
      <c r="W1510" s="61" t="s">
        <v>1078</v>
      </c>
      <c r="X1510" s="61" t="s">
        <v>50</v>
      </c>
      <c r="Y1510" s="471">
        <v>15.563800000000001</v>
      </c>
      <c r="Z1510" s="471">
        <v>120.8669</v>
      </c>
      <c r="AA1510" s="61" t="s">
        <v>8361</v>
      </c>
      <c r="AB1510" s="61"/>
    </row>
    <row r="1511" spans="1:28" s="2" customFormat="1" ht="15">
      <c r="A1511" s="61" t="s">
        <v>2286</v>
      </c>
      <c r="B1511" s="61" t="s">
        <v>1299</v>
      </c>
      <c r="C1511" s="61" t="s">
        <v>5053</v>
      </c>
      <c r="D1511" s="61" t="s">
        <v>7838</v>
      </c>
      <c r="E1511" s="61">
        <v>2486</v>
      </c>
      <c r="F1511" s="61">
        <v>2787</v>
      </c>
      <c r="G1511" s="61">
        <v>2025</v>
      </c>
      <c r="H1511" s="61" t="s">
        <v>8628</v>
      </c>
      <c r="I1511" s="61" t="s">
        <v>26</v>
      </c>
      <c r="J1511" s="61" t="s">
        <v>2289</v>
      </c>
      <c r="K1511" s="61" t="s">
        <v>212</v>
      </c>
      <c r="L1511" s="61" t="s">
        <v>8629</v>
      </c>
      <c r="M1511" s="475">
        <v>45751</v>
      </c>
      <c r="N1511" s="475">
        <v>45755</v>
      </c>
      <c r="O1511" s="475">
        <v>45757</v>
      </c>
      <c r="P1511" s="475">
        <v>45757</v>
      </c>
      <c r="Q1511" s="475">
        <v>45757</v>
      </c>
      <c r="R1511" s="61">
        <f t="shared" si="108"/>
        <v>2</v>
      </c>
      <c r="S1511" s="61">
        <f t="shared" si="109"/>
        <v>2</v>
      </c>
      <c r="T1511" s="61">
        <f t="shared" si="107"/>
        <v>1</v>
      </c>
      <c r="U1511" s="61">
        <f t="shared" si="110"/>
        <v>1</v>
      </c>
      <c r="V1511" s="61" t="s">
        <v>150</v>
      </c>
      <c r="W1511" s="61" t="s">
        <v>4</v>
      </c>
      <c r="X1511" s="61" t="s">
        <v>50</v>
      </c>
      <c r="Y1511" s="471">
        <v>15.699731999999999</v>
      </c>
      <c r="Z1511" s="471">
        <v>121.169625</v>
      </c>
      <c r="AA1511" s="61" t="s">
        <v>2590</v>
      </c>
      <c r="AB1511" s="61"/>
    </row>
    <row r="1512" spans="1:28" s="2" customFormat="1" ht="15">
      <c r="A1512" s="61" t="s">
        <v>2286</v>
      </c>
      <c r="B1512" s="61" t="s">
        <v>1299</v>
      </c>
      <c r="C1512" s="61" t="s">
        <v>4683</v>
      </c>
      <c r="D1512" s="61" t="s">
        <v>7838</v>
      </c>
      <c r="E1512" s="61">
        <v>2203</v>
      </c>
      <c r="F1512" s="61">
        <v>2511</v>
      </c>
      <c r="G1512" s="61">
        <v>2025</v>
      </c>
      <c r="H1512" s="61" t="s">
        <v>8628</v>
      </c>
      <c r="I1512" s="61" t="s">
        <v>26</v>
      </c>
      <c r="J1512" s="61" t="s">
        <v>2289</v>
      </c>
      <c r="K1512" s="61" t="s">
        <v>212</v>
      </c>
      <c r="L1512" s="61" t="s">
        <v>8630</v>
      </c>
      <c r="M1512" s="475">
        <v>45751</v>
      </c>
      <c r="N1512" s="475">
        <v>45755</v>
      </c>
      <c r="O1512" s="475">
        <v>45757</v>
      </c>
      <c r="P1512" s="475">
        <v>45757</v>
      </c>
      <c r="Q1512" s="475">
        <v>45757</v>
      </c>
      <c r="R1512" s="61">
        <f t="shared" si="108"/>
        <v>2</v>
      </c>
      <c r="S1512" s="61">
        <f t="shared" si="109"/>
        <v>2</v>
      </c>
      <c r="T1512" s="61">
        <f t="shared" si="107"/>
        <v>1</v>
      </c>
      <c r="U1512" s="61">
        <f t="shared" si="110"/>
        <v>1</v>
      </c>
      <c r="V1512" s="61" t="s">
        <v>150</v>
      </c>
      <c r="W1512" s="61" t="s">
        <v>4</v>
      </c>
      <c r="X1512" s="61" t="s">
        <v>50</v>
      </c>
      <c r="Y1512" s="471">
        <v>15.695970000000001</v>
      </c>
      <c r="Z1512" s="471">
        <v>121.17842</v>
      </c>
      <c r="AA1512" s="61" t="s">
        <v>2590</v>
      </c>
      <c r="AB1512" s="61"/>
    </row>
    <row r="1513" spans="1:28" s="2" customFormat="1" ht="15">
      <c r="A1513" s="61" t="s">
        <v>2286</v>
      </c>
      <c r="B1513" s="61" t="s">
        <v>1299</v>
      </c>
      <c r="C1513" s="61" t="s">
        <v>1286</v>
      </c>
      <c r="D1513" s="61" t="s">
        <v>7838</v>
      </c>
      <c r="E1513" s="61">
        <v>1969</v>
      </c>
      <c r="F1513" s="61">
        <v>2025</v>
      </c>
      <c r="G1513" s="61">
        <v>2025</v>
      </c>
      <c r="H1513" s="61" t="s">
        <v>3458</v>
      </c>
      <c r="I1513" s="61" t="s">
        <v>26</v>
      </c>
      <c r="J1513" s="61" t="s">
        <v>2289</v>
      </c>
      <c r="K1513" s="61" t="s">
        <v>212</v>
      </c>
      <c r="L1513" s="476" t="s">
        <v>8631</v>
      </c>
      <c r="M1513" s="475">
        <v>45693</v>
      </c>
      <c r="N1513" s="475">
        <v>45697</v>
      </c>
      <c r="O1513" s="475">
        <v>45698</v>
      </c>
      <c r="P1513" s="475">
        <v>45698</v>
      </c>
      <c r="Q1513" s="475">
        <v>45699</v>
      </c>
      <c r="R1513" s="61">
        <f t="shared" si="108"/>
        <v>2</v>
      </c>
      <c r="S1513" s="61">
        <f t="shared" si="109"/>
        <v>1</v>
      </c>
      <c r="T1513" s="61">
        <f t="shared" si="107"/>
        <v>1</v>
      </c>
      <c r="U1513" s="61">
        <f t="shared" si="110"/>
        <v>1</v>
      </c>
      <c r="V1513" s="61" t="s">
        <v>150</v>
      </c>
      <c r="W1513" s="61" t="s">
        <v>4</v>
      </c>
      <c r="X1513" s="61" t="s">
        <v>50</v>
      </c>
      <c r="Y1513" s="473">
        <v>15.71078</v>
      </c>
      <c r="Z1513" s="473" t="s">
        <v>8632</v>
      </c>
      <c r="AA1513" s="61" t="s">
        <v>2590</v>
      </c>
      <c r="AB1513" s="61"/>
    </row>
    <row r="1514" spans="1:28" s="2" customFormat="1" ht="15">
      <c r="A1514" s="61" t="s">
        <v>2286</v>
      </c>
      <c r="B1514" s="61" t="s">
        <v>1299</v>
      </c>
      <c r="C1514" s="61" t="s">
        <v>1486</v>
      </c>
      <c r="D1514" s="61" t="s">
        <v>7838</v>
      </c>
      <c r="E1514" s="61">
        <v>3003</v>
      </c>
      <c r="F1514" s="61">
        <v>3356</v>
      </c>
      <c r="G1514" s="61">
        <v>2025</v>
      </c>
      <c r="H1514" s="61" t="s">
        <v>3458</v>
      </c>
      <c r="I1514" s="61" t="s">
        <v>26</v>
      </c>
      <c r="J1514" s="61" t="s">
        <v>2289</v>
      </c>
      <c r="K1514" s="61" t="s">
        <v>212</v>
      </c>
      <c r="L1514" s="61" t="s">
        <v>8633</v>
      </c>
      <c r="M1514" s="475">
        <v>45699</v>
      </c>
      <c r="N1514" s="475">
        <v>45705</v>
      </c>
      <c r="O1514" s="475">
        <v>45706</v>
      </c>
      <c r="P1514" s="475">
        <v>45706</v>
      </c>
      <c r="Q1514" s="475">
        <v>45706</v>
      </c>
      <c r="R1514" s="61">
        <f t="shared" si="108"/>
        <v>4</v>
      </c>
      <c r="S1514" s="61">
        <f t="shared" si="109"/>
        <v>1</v>
      </c>
      <c r="T1514" s="61">
        <f t="shared" si="107"/>
        <v>1</v>
      </c>
      <c r="U1514" s="61">
        <f t="shared" si="110"/>
        <v>1</v>
      </c>
      <c r="V1514" s="61" t="s">
        <v>150</v>
      </c>
      <c r="W1514" s="61" t="s">
        <v>4</v>
      </c>
      <c r="X1514" s="61" t="s">
        <v>50</v>
      </c>
      <c r="Y1514" s="473">
        <v>15.710940000000001</v>
      </c>
      <c r="Z1514" s="473">
        <v>121.10438000000001</v>
      </c>
      <c r="AA1514" s="61" t="s">
        <v>2590</v>
      </c>
      <c r="AB1514" s="61"/>
    </row>
    <row r="1515" spans="1:28" s="2" customFormat="1" ht="15">
      <c r="A1515" s="61" t="s">
        <v>2286</v>
      </c>
      <c r="B1515" s="61" t="s">
        <v>1299</v>
      </c>
      <c r="C1515" s="61" t="s">
        <v>4830</v>
      </c>
      <c r="D1515" s="61" t="s">
        <v>7838</v>
      </c>
      <c r="E1515" s="61">
        <v>3696</v>
      </c>
      <c r="F1515" s="61">
        <v>3814</v>
      </c>
      <c r="G1515" s="61">
        <v>2025</v>
      </c>
      <c r="H1515" s="61" t="s">
        <v>3458</v>
      </c>
      <c r="I1515" s="61" t="s">
        <v>26</v>
      </c>
      <c r="J1515" s="61" t="s">
        <v>2289</v>
      </c>
      <c r="K1515" s="61" t="s">
        <v>212</v>
      </c>
      <c r="L1515" s="61" t="s">
        <v>8634</v>
      </c>
      <c r="M1515" s="475">
        <v>45693</v>
      </c>
      <c r="N1515" s="475">
        <v>45697</v>
      </c>
      <c r="O1515" s="475">
        <v>45698</v>
      </c>
      <c r="P1515" s="475">
        <v>45698</v>
      </c>
      <c r="Q1515" s="475">
        <v>45699</v>
      </c>
      <c r="R1515" s="61">
        <f t="shared" si="108"/>
        <v>2</v>
      </c>
      <c r="S1515" s="61">
        <f t="shared" si="109"/>
        <v>1</v>
      </c>
      <c r="T1515" s="61">
        <f t="shared" si="107"/>
        <v>1</v>
      </c>
      <c r="U1515" s="61">
        <f t="shared" si="110"/>
        <v>1</v>
      </c>
      <c r="V1515" s="61" t="s">
        <v>150</v>
      </c>
      <c r="W1515" s="61" t="s">
        <v>4</v>
      </c>
      <c r="X1515" s="61" t="s">
        <v>50</v>
      </c>
      <c r="Y1515" s="485">
        <v>15.713620000000001</v>
      </c>
      <c r="Z1515" s="485">
        <v>121.10245999999999</v>
      </c>
      <c r="AA1515" s="61" t="s">
        <v>2590</v>
      </c>
      <c r="AB1515" s="61"/>
    </row>
    <row r="1516" spans="1:28" s="2" customFormat="1" ht="15">
      <c r="A1516" s="61" t="s">
        <v>2286</v>
      </c>
      <c r="B1516" s="61" t="s">
        <v>1299</v>
      </c>
      <c r="C1516" s="61" t="s">
        <v>5055</v>
      </c>
      <c r="D1516" s="61" t="s">
        <v>7838</v>
      </c>
      <c r="E1516" s="61">
        <v>4182</v>
      </c>
      <c r="F1516" s="61">
        <v>4292</v>
      </c>
      <c r="G1516" s="61">
        <v>2025</v>
      </c>
      <c r="H1516" s="61" t="s">
        <v>3458</v>
      </c>
      <c r="I1516" s="61" t="s">
        <v>26</v>
      </c>
      <c r="J1516" s="61" t="s">
        <v>2289</v>
      </c>
      <c r="K1516" s="61" t="s">
        <v>212</v>
      </c>
      <c r="L1516" s="61" t="s">
        <v>8635</v>
      </c>
      <c r="M1516" s="475">
        <v>45701</v>
      </c>
      <c r="N1516" s="475">
        <v>45705</v>
      </c>
      <c r="O1516" s="475">
        <v>45706</v>
      </c>
      <c r="P1516" s="475">
        <v>45706</v>
      </c>
      <c r="Q1516" s="475">
        <v>45706</v>
      </c>
      <c r="R1516" s="61">
        <f t="shared" si="108"/>
        <v>2</v>
      </c>
      <c r="S1516" s="61">
        <f t="shared" si="109"/>
        <v>1</v>
      </c>
      <c r="T1516" s="61">
        <f t="shared" si="107"/>
        <v>1</v>
      </c>
      <c r="U1516" s="61">
        <f t="shared" si="110"/>
        <v>1</v>
      </c>
      <c r="V1516" s="61" t="s">
        <v>150</v>
      </c>
      <c r="W1516" s="61" t="s">
        <v>1078</v>
      </c>
      <c r="X1516" s="61" t="s">
        <v>50</v>
      </c>
      <c r="Y1516" s="473">
        <v>15.679919999999999</v>
      </c>
      <c r="Z1516" s="473">
        <v>121.08249000000001</v>
      </c>
      <c r="AA1516" s="61" t="s">
        <v>2590</v>
      </c>
      <c r="AB1516" s="61"/>
    </row>
    <row r="1517" spans="1:28" s="2" customFormat="1" ht="15">
      <c r="A1517" s="61" t="s">
        <v>2286</v>
      </c>
      <c r="B1517" s="61" t="s">
        <v>1299</v>
      </c>
      <c r="C1517" s="61" t="s">
        <v>5057</v>
      </c>
      <c r="D1517" s="61" t="s">
        <v>7838</v>
      </c>
      <c r="E1517" s="61">
        <v>4641</v>
      </c>
      <c r="F1517" s="61">
        <v>5869</v>
      </c>
      <c r="G1517" s="61">
        <v>2025</v>
      </c>
      <c r="H1517" s="61" t="s">
        <v>8619</v>
      </c>
      <c r="I1517" s="61" t="s">
        <v>26</v>
      </c>
      <c r="J1517" s="61" t="s">
        <v>2289</v>
      </c>
      <c r="K1517" s="61" t="s">
        <v>212</v>
      </c>
      <c r="L1517" s="61" t="s">
        <v>8636</v>
      </c>
      <c r="M1517" s="475">
        <v>45701</v>
      </c>
      <c r="N1517" s="475">
        <v>45705</v>
      </c>
      <c r="O1517" s="475">
        <v>45706</v>
      </c>
      <c r="P1517" s="475">
        <v>45706</v>
      </c>
      <c r="Q1517" s="475">
        <v>45706</v>
      </c>
      <c r="R1517" s="61">
        <f t="shared" si="108"/>
        <v>2</v>
      </c>
      <c r="S1517" s="61">
        <f t="shared" si="109"/>
        <v>1</v>
      </c>
      <c r="T1517" s="61">
        <f t="shared" si="107"/>
        <v>1</v>
      </c>
      <c r="U1517" s="61">
        <f t="shared" si="110"/>
        <v>1</v>
      </c>
      <c r="V1517" s="61" t="s">
        <v>150</v>
      </c>
      <c r="W1517" s="61" t="s">
        <v>1078</v>
      </c>
      <c r="X1517" s="61" t="s">
        <v>50</v>
      </c>
      <c r="Y1517" s="473">
        <v>15.65982</v>
      </c>
      <c r="Z1517" s="473">
        <v>121.04101</v>
      </c>
      <c r="AA1517" s="61" t="s">
        <v>2590</v>
      </c>
      <c r="AB1517" s="61"/>
    </row>
    <row r="1518" spans="1:28" s="2" customFormat="1" ht="15">
      <c r="A1518" s="61" t="s">
        <v>2286</v>
      </c>
      <c r="B1518" s="61" t="s">
        <v>1299</v>
      </c>
      <c r="C1518" s="61" t="s">
        <v>5062</v>
      </c>
      <c r="D1518" s="61" t="s">
        <v>7838</v>
      </c>
      <c r="E1518" s="61">
        <v>776</v>
      </c>
      <c r="F1518" s="61">
        <v>846</v>
      </c>
      <c r="G1518" s="61">
        <v>2025</v>
      </c>
      <c r="H1518" s="61" t="s">
        <v>8628</v>
      </c>
      <c r="I1518" s="61" t="s">
        <v>26</v>
      </c>
      <c r="J1518" s="61" t="s">
        <v>2289</v>
      </c>
      <c r="K1518" s="61" t="s">
        <v>212</v>
      </c>
      <c r="L1518" s="480" t="s">
        <v>8637</v>
      </c>
      <c r="M1518" s="475">
        <v>45751</v>
      </c>
      <c r="N1518" s="475">
        <v>45755</v>
      </c>
      <c r="O1518" s="475">
        <v>45757</v>
      </c>
      <c r="P1518" s="475">
        <v>45757</v>
      </c>
      <c r="Q1518" s="475">
        <v>45757</v>
      </c>
      <c r="R1518" s="61">
        <f t="shared" si="108"/>
        <v>2</v>
      </c>
      <c r="S1518" s="61">
        <f t="shared" si="109"/>
        <v>2</v>
      </c>
      <c r="T1518" s="61">
        <f t="shared" si="107"/>
        <v>1</v>
      </c>
      <c r="U1518" s="61">
        <f t="shared" si="110"/>
        <v>1</v>
      </c>
      <c r="V1518" s="61" t="s">
        <v>150</v>
      </c>
      <c r="W1518" s="61" t="s">
        <v>1078</v>
      </c>
      <c r="X1518" s="61" t="s">
        <v>50</v>
      </c>
      <c r="Y1518" s="471">
        <v>15.705859999999999</v>
      </c>
      <c r="Z1518" s="471">
        <v>121.15927000000001</v>
      </c>
      <c r="AA1518" s="61" t="s">
        <v>2590</v>
      </c>
      <c r="AB1518" s="61"/>
    </row>
    <row r="1519" spans="1:28" s="2" customFormat="1" ht="15">
      <c r="A1519" s="61" t="s">
        <v>2286</v>
      </c>
      <c r="B1519" s="61" t="s">
        <v>1299</v>
      </c>
      <c r="C1519" s="61" t="s">
        <v>5067</v>
      </c>
      <c r="D1519" s="61" t="s">
        <v>7838</v>
      </c>
      <c r="E1519" s="61">
        <v>2813</v>
      </c>
      <c r="F1519" s="61">
        <v>2925</v>
      </c>
      <c r="G1519" s="61">
        <v>2025</v>
      </c>
      <c r="H1519" s="61" t="s">
        <v>3689</v>
      </c>
      <c r="I1519" s="61" t="s">
        <v>26</v>
      </c>
      <c r="J1519" s="61" t="s">
        <v>2289</v>
      </c>
      <c r="K1519" s="61" t="s">
        <v>212</v>
      </c>
      <c r="L1519" s="61" t="s">
        <v>8638</v>
      </c>
      <c r="M1519" s="475">
        <v>45804</v>
      </c>
      <c r="N1519" s="475">
        <v>45810</v>
      </c>
      <c r="O1519" s="475">
        <v>45811</v>
      </c>
      <c r="P1519" s="475">
        <v>45812</v>
      </c>
      <c r="Q1519" s="475">
        <v>45813</v>
      </c>
      <c r="R1519" s="61">
        <f t="shared" si="108"/>
        <v>4</v>
      </c>
      <c r="S1519" s="61">
        <f t="shared" si="109"/>
        <v>1</v>
      </c>
      <c r="T1519" s="61">
        <f t="shared" si="107"/>
        <v>1</v>
      </c>
      <c r="U1519" s="61">
        <f t="shared" si="110"/>
        <v>1</v>
      </c>
      <c r="V1519" s="61" t="s">
        <v>150</v>
      </c>
      <c r="W1519" s="61" t="s">
        <v>1078</v>
      </c>
      <c r="X1519" s="61" t="s">
        <v>50</v>
      </c>
      <c r="Y1519" s="471">
        <v>15.677899999999999</v>
      </c>
      <c r="Z1519" s="485">
        <v>121.1322</v>
      </c>
      <c r="AA1519" s="61" t="s">
        <v>8361</v>
      </c>
      <c r="AB1519" s="61"/>
    </row>
    <row r="1520" spans="1:28" s="2" customFormat="1" ht="15">
      <c r="A1520" s="61" t="s">
        <v>2286</v>
      </c>
      <c r="B1520" s="61" t="s">
        <v>1299</v>
      </c>
      <c r="C1520" s="61" t="s">
        <v>4829</v>
      </c>
      <c r="D1520" s="61" t="s">
        <v>7838</v>
      </c>
      <c r="E1520" s="61">
        <v>771</v>
      </c>
      <c r="F1520" s="61">
        <v>643</v>
      </c>
      <c r="G1520" s="61">
        <v>2025</v>
      </c>
      <c r="H1520" s="61" t="s">
        <v>3458</v>
      </c>
      <c r="I1520" s="61" t="s">
        <v>26</v>
      </c>
      <c r="J1520" s="61" t="s">
        <v>2289</v>
      </c>
      <c r="K1520" s="61" t="s">
        <v>212</v>
      </c>
      <c r="L1520" s="61" t="s">
        <v>8639</v>
      </c>
      <c r="M1520" s="475">
        <v>45699</v>
      </c>
      <c r="N1520" s="475">
        <v>45705</v>
      </c>
      <c r="O1520" s="475">
        <v>45706</v>
      </c>
      <c r="P1520" s="475">
        <v>45706</v>
      </c>
      <c r="Q1520" s="475">
        <v>45706</v>
      </c>
      <c r="R1520" s="61">
        <f t="shared" si="108"/>
        <v>4</v>
      </c>
      <c r="S1520" s="61">
        <f t="shared" si="109"/>
        <v>1</v>
      </c>
      <c r="T1520" s="61">
        <f t="shared" si="107"/>
        <v>1</v>
      </c>
      <c r="U1520" s="61">
        <f t="shared" si="110"/>
        <v>1</v>
      </c>
      <c r="V1520" s="61" t="s">
        <v>150</v>
      </c>
      <c r="W1520" s="61" t="s">
        <v>1078</v>
      </c>
      <c r="X1520" s="61" t="s">
        <v>50</v>
      </c>
      <c r="Y1520" s="473">
        <v>15.710940000000001</v>
      </c>
      <c r="Z1520" s="473">
        <v>121.10438000000001</v>
      </c>
      <c r="AA1520" s="61" t="s">
        <v>2590</v>
      </c>
      <c r="AB1520" s="61"/>
    </row>
    <row r="1521" spans="1:28" s="2" customFormat="1" ht="15">
      <c r="A1521" s="61" t="s">
        <v>2286</v>
      </c>
      <c r="B1521" s="61" t="s">
        <v>1299</v>
      </c>
      <c r="C1521" s="61" t="s">
        <v>4946</v>
      </c>
      <c r="D1521" s="61" t="s">
        <v>7838</v>
      </c>
      <c r="E1521" s="61">
        <v>3160</v>
      </c>
      <c r="F1521" s="61">
        <v>3690</v>
      </c>
      <c r="G1521" s="61">
        <v>2025</v>
      </c>
      <c r="H1521" s="61" t="s">
        <v>3458</v>
      </c>
      <c r="I1521" s="61" t="s">
        <v>26</v>
      </c>
      <c r="J1521" s="61" t="s">
        <v>2289</v>
      </c>
      <c r="K1521" s="61" t="s">
        <v>212</v>
      </c>
      <c r="L1521" s="476" t="s">
        <v>8640</v>
      </c>
      <c r="M1521" s="475">
        <v>45693</v>
      </c>
      <c r="N1521" s="475">
        <v>45697</v>
      </c>
      <c r="O1521" s="475">
        <v>45698</v>
      </c>
      <c r="P1521" s="475">
        <v>45698</v>
      </c>
      <c r="Q1521" s="475">
        <v>45699</v>
      </c>
      <c r="R1521" s="61">
        <f t="shared" si="108"/>
        <v>2</v>
      </c>
      <c r="S1521" s="61">
        <f t="shared" si="109"/>
        <v>1</v>
      </c>
      <c r="T1521" s="61">
        <f t="shared" si="107"/>
        <v>1</v>
      </c>
      <c r="U1521" s="61">
        <f t="shared" si="110"/>
        <v>1</v>
      </c>
      <c r="V1521" s="61" t="s">
        <v>150</v>
      </c>
      <c r="W1521" s="61" t="s">
        <v>1078</v>
      </c>
      <c r="X1521" s="61" t="s">
        <v>50</v>
      </c>
      <c r="Y1521" s="473">
        <v>15.70824</v>
      </c>
      <c r="Z1521" s="473" t="s">
        <v>8641</v>
      </c>
      <c r="AA1521" s="61" t="s">
        <v>2590</v>
      </c>
      <c r="AB1521" s="61"/>
    </row>
    <row r="1522" spans="1:28" s="2" customFormat="1" ht="28.5">
      <c r="A1522" s="61" t="s">
        <v>2286</v>
      </c>
      <c r="B1522" s="61" t="s">
        <v>1299</v>
      </c>
      <c r="C1522" s="61" t="s">
        <v>5065</v>
      </c>
      <c r="D1522" s="61" t="s">
        <v>7838</v>
      </c>
      <c r="E1522" s="61">
        <v>1581</v>
      </c>
      <c r="F1522" s="61">
        <v>1655</v>
      </c>
      <c r="G1522" s="61">
        <v>2025</v>
      </c>
      <c r="H1522" s="61" t="s">
        <v>3126</v>
      </c>
      <c r="I1522" s="61" t="s">
        <v>26</v>
      </c>
      <c r="J1522" s="61" t="s">
        <v>2289</v>
      </c>
      <c r="K1522" s="61" t="s">
        <v>212</v>
      </c>
      <c r="L1522" s="61" t="s">
        <v>8642</v>
      </c>
      <c r="M1522" s="475">
        <v>45884</v>
      </c>
      <c r="N1522" s="475">
        <v>45889</v>
      </c>
      <c r="O1522" s="475">
        <v>45889</v>
      </c>
      <c r="P1522" s="475">
        <v>45889</v>
      </c>
      <c r="Q1522" s="475">
        <v>45889</v>
      </c>
      <c r="R1522" s="61">
        <f t="shared" si="108"/>
        <v>3</v>
      </c>
      <c r="S1522" s="61">
        <f t="shared" si="109"/>
        <v>1</v>
      </c>
      <c r="T1522" s="61">
        <f t="shared" si="107"/>
        <v>1</v>
      </c>
      <c r="U1522" s="61">
        <f t="shared" si="110"/>
        <v>1</v>
      </c>
      <c r="V1522" s="61" t="s">
        <v>150</v>
      </c>
      <c r="W1522" s="61" t="s">
        <v>4</v>
      </c>
      <c r="X1522" s="61" t="s">
        <v>50</v>
      </c>
      <c r="Y1522" s="473">
        <v>15.68355</v>
      </c>
      <c r="Z1522" s="473">
        <v>121.13218999999999</v>
      </c>
      <c r="AA1522" s="61" t="s">
        <v>8478</v>
      </c>
      <c r="AB1522" s="61"/>
    </row>
    <row r="1523" spans="1:28" s="2" customFormat="1" ht="28.5">
      <c r="A1523" s="61" t="s">
        <v>2286</v>
      </c>
      <c r="B1523" s="61" t="s">
        <v>1299</v>
      </c>
      <c r="C1523" s="61" t="s">
        <v>1300</v>
      </c>
      <c r="D1523" s="61" t="s">
        <v>7838</v>
      </c>
      <c r="E1523" s="61">
        <v>1544</v>
      </c>
      <c r="F1523" s="61">
        <v>1959</v>
      </c>
      <c r="G1523" s="61">
        <v>2025</v>
      </c>
      <c r="H1523" s="61" t="s">
        <v>3126</v>
      </c>
      <c r="I1523" s="61" t="s">
        <v>26</v>
      </c>
      <c r="J1523" s="61" t="s">
        <v>2289</v>
      </c>
      <c r="K1523" s="61" t="s">
        <v>212</v>
      </c>
      <c r="L1523" s="61" t="s">
        <v>8643</v>
      </c>
      <c r="M1523" s="475">
        <v>45884</v>
      </c>
      <c r="N1523" s="475">
        <v>45889</v>
      </c>
      <c r="O1523" s="475">
        <v>45889</v>
      </c>
      <c r="P1523" s="475">
        <v>45889</v>
      </c>
      <c r="Q1523" s="475">
        <v>45889</v>
      </c>
      <c r="R1523" s="61">
        <f t="shared" si="108"/>
        <v>3</v>
      </c>
      <c r="S1523" s="61">
        <f t="shared" si="109"/>
        <v>1</v>
      </c>
      <c r="T1523" s="61">
        <f t="shared" si="107"/>
        <v>1</v>
      </c>
      <c r="U1523" s="61">
        <f t="shared" si="110"/>
        <v>1</v>
      </c>
      <c r="V1523" s="61" t="s">
        <v>150</v>
      </c>
      <c r="W1523" s="61" t="s">
        <v>1078</v>
      </c>
      <c r="X1523" s="61" t="s">
        <v>50</v>
      </c>
      <c r="Y1523" s="473">
        <v>15.704319999999999</v>
      </c>
      <c r="Z1523" s="473">
        <v>121.11524</v>
      </c>
      <c r="AA1523" s="61" t="s">
        <v>8478</v>
      </c>
      <c r="AB1523" s="61"/>
    </row>
    <row r="1524" spans="1:28" s="2" customFormat="1" ht="15">
      <c r="A1524" s="61" t="s">
        <v>2286</v>
      </c>
      <c r="B1524" s="61" t="s">
        <v>1299</v>
      </c>
      <c r="C1524" s="61" t="s">
        <v>5074</v>
      </c>
      <c r="D1524" s="61" t="s">
        <v>7838</v>
      </c>
      <c r="E1524" s="61">
        <v>770</v>
      </c>
      <c r="F1524" s="61">
        <v>683</v>
      </c>
      <c r="G1524" s="61">
        <v>2025</v>
      </c>
      <c r="H1524" s="61" t="s">
        <v>3689</v>
      </c>
      <c r="I1524" s="61" t="s">
        <v>26</v>
      </c>
      <c r="J1524" s="61" t="s">
        <v>2289</v>
      </c>
      <c r="K1524" s="61" t="s">
        <v>212</v>
      </c>
      <c r="L1524" s="61" t="s">
        <v>8644</v>
      </c>
      <c r="M1524" s="475">
        <v>45793</v>
      </c>
      <c r="N1524" s="475">
        <v>45796</v>
      </c>
      <c r="O1524" s="475">
        <v>45803</v>
      </c>
      <c r="P1524" s="475">
        <v>45804</v>
      </c>
      <c r="Q1524" s="475">
        <v>45805</v>
      </c>
      <c r="R1524" s="61">
        <f t="shared" si="108"/>
        <v>1</v>
      </c>
      <c r="S1524" s="61">
        <f t="shared" si="109"/>
        <v>5</v>
      </c>
      <c r="T1524" s="61">
        <f t="shared" si="107"/>
        <v>1</v>
      </c>
      <c r="U1524" s="61">
        <f t="shared" si="110"/>
        <v>1</v>
      </c>
      <c r="V1524" s="61" t="s">
        <v>150</v>
      </c>
      <c r="W1524" s="61" t="s">
        <v>1078</v>
      </c>
      <c r="X1524" s="61" t="s">
        <v>50</v>
      </c>
      <c r="Y1524" s="485">
        <v>15.727</v>
      </c>
      <c r="Z1524" s="485">
        <v>121.12990000000001</v>
      </c>
      <c r="AA1524" s="61" t="s">
        <v>8361</v>
      </c>
      <c r="AB1524" s="61"/>
    </row>
    <row r="1525" spans="1:28" s="2" customFormat="1" ht="15">
      <c r="A1525" s="61" t="s">
        <v>2286</v>
      </c>
      <c r="B1525" s="61" t="s">
        <v>1299</v>
      </c>
      <c r="C1525" s="61" t="s">
        <v>5056</v>
      </c>
      <c r="D1525" s="61" t="s">
        <v>7838</v>
      </c>
      <c r="E1525" s="61">
        <v>3111</v>
      </c>
      <c r="F1525" s="61">
        <v>3463</v>
      </c>
      <c r="G1525" s="61">
        <v>2025</v>
      </c>
      <c r="H1525" s="61" t="s">
        <v>3127</v>
      </c>
      <c r="I1525" s="61" t="s">
        <v>26</v>
      </c>
      <c r="J1525" s="61"/>
      <c r="K1525" s="61" t="s">
        <v>212</v>
      </c>
      <c r="L1525" s="61" t="s">
        <v>8645</v>
      </c>
      <c r="M1525" s="475">
        <v>45910</v>
      </c>
      <c r="N1525" s="475">
        <v>45916</v>
      </c>
      <c r="O1525" s="475">
        <v>45916</v>
      </c>
      <c r="P1525" s="475">
        <v>45916</v>
      </c>
      <c r="Q1525" s="475">
        <v>45918</v>
      </c>
      <c r="R1525" s="61">
        <f t="shared" si="108"/>
        <v>4</v>
      </c>
      <c r="S1525" s="61">
        <f t="shared" si="109"/>
        <v>1</v>
      </c>
      <c r="T1525" s="61">
        <f t="shared" si="107"/>
        <v>1</v>
      </c>
      <c r="U1525" s="61">
        <f t="shared" si="110"/>
        <v>2</v>
      </c>
      <c r="V1525" s="61" t="s">
        <v>150</v>
      </c>
      <c r="W1525" s="61" t="s">
        <v>4</v>
      </c>
      <c r="X1525" s="61" t="s">
        <v>50</v>
      </c>
      <c r="Y1525" s="471" t="s">
        <v>69</v>
      </c>
      <c r="Z1525" s="471" t="s">
        <v>69</v>
      </c>
      <c r="AA1525" s="61" t="s">
        <v>524</v>
      </c>
      <c r="AB1525" s="61" t="s">
        <v>8646</v>
      </c>
    </row>
    <row r="1526" spans="1:28" s="2" customFormat="1" ht="15">
      <c r="A1526" s="61" t="s">
        <v>2286</v>
      </c>
      <c r="B1526" s="61" t="s">
        <v>1299</v>
      </c>
      <c r="C1526" s="61" t="s">
        <v>5058</v>
      </c>
      <c r="D1526" s="61" t="s">
        <v>7838</v>
      </c>
      <c r="E1526" s="61">
        <v>4641</v>
      </c>
      <c r="F1526" s="61">
        <v>5250</v>
      </c>
      <c r="G1526" s="61">
        <v>2025</v>
      </c>
      <c r="H1526" s="61" t="s">
        <v>3127</v>
      </c>
      <c r="I1526" s="61" t="s">
        <v>26</v>
      </c>
      <c r="J1526" s="61"/>
      <c r="K1526" s="61" t="s">
        <v>212</v>
      </c>
      <c r="L1526" s="61" t="s">
        <v>8645</v>
      </c>
      <c r="M1526" s="475">
        <v>45910</v>
      </c>
      <c r="N1526" s="475">
        <v>45916</v>
      </c>
      <c r="O1526" s="475">
        <v>45916</v>
      </c>
      <c r="P1526" s="475">
        <v>45916</v>
      </c>
      <c r="Q1526" s="475">
        <v>45918</v>
      </c>
      <c r="R1526" s="61">
        <f t="shared" si="108"/>
        <v>4</v>
      </c>
      <c r="S1526" s="61">
        <f t="shared" si="109"/>
        <v>1</v>
      </c>
      <c r="T1526" s="61">
        <f t="shared" si="107"/>
        <v>1</v>
      </c>
      <c r="U1526" s="61">
        <f t="shared" si="110"/>
        <v>2</v>
      </c>
      <c r="V1526" s="61" t="s">
        <v>150</v>
      </c>
      <c r="W1526" s="61" t="s">
        <v>4</v>
      </c>
      <c r="X1526" s="61" t="s">
        <v>50</v>
      </c>
      <c r="Y1526" s="471" t="s">
        <v>69</v>
      </c>
      <c r="Z1526" s="471" t="s">
        <v>69</v>
      </c>
      <c r="AA1526" s="61" t="s">
        <v>524</v>
      </c>
      <c r="AB1526" s="61" t="s">
        <v>8646</v>
      </c>
    </row>
    <row r="1527" spans="1:28" s="2" customFormat="1" ht="15">
      <c r="A1527" s="61" t="s">
        <v>2286</v>
      </c>
      <c r="B1527" s="61" t="s">
        <v>1299</v>
      </c>
      <c r="C1527" s="61" t="s">
        <v>5059</v>
      </c>
      <c r="D1527" s="61" t="s">
        <v>7838</v>
      </c>
      <c r="E1527" s="61">
        <v>3527</v>
      </c>
      <c r="F1527" s="61">
        <v>3842</v>
      </c>
      <c r="G1527" s="61">
        <v>2025</v>
      </c>
      <c r="H1527" s="61" t="s">
        <v>3127</v>
      </c>
      <c r="I1527" s="61" t="s">
        <v>26</v>
      </c>
      <c r="J1527" s="61"/>
      <c r="K1527" s="61" t="s">
        <v>212</v>
      </c>
      <c r="L1527" s="61" t="s">
        <v>8645</v>
      </c>
      <c r="M1527" s="475">
        <v>45910</v>
      </c>
      <c r="N1527" s="475">
        <v>45916</v>
      </c>
      <c r="O1527" s="475">
        <v>45916</v>
      </c>
      <c r="P1527" s="475">
        <v>45916</v>
      </c>
      <c r="Q1527" s="475">
        <v>45918</v>
      </c>
      <c r="R1527" s="61">
        <f t="shared" si="108"/>
        <v>4</v>
      </c>
      <c r="S1527" s="61">
        <f t="shared" si="109"/>
        <v>1</v>
      </c>
      <c r="T1527" s="61">
        <f t="shared" si="107"/>
        <v>1</v>
      </c>
      <c r="U1527" s="61">
        <f t="shared" si="110"/>
        <v>2</v>
      </c>
      <c r="V1527" s="61" t="s">
        <v>150</v>
      </c>
      <c r="W1527" s="61" t="s">
        <v>4</v>
      </c>
      <c r="X1527" s="61" t="s">
        <v>50</v>
      </c>
      <c r="Y1527" s="471" t="s">
        <v>69</v>
      </c>
      <c r="Z1527" s="471" t="s">
        <v>69</v>
      </c>
      <c r="AA1527" s="61" t="s">
        <v>524</v>
      </c>
      <c r="AB1527" s="61" t="s">
        <v>8646</v>
      </c>
    </row>
    <row r="1528" spans="1:28" s="2" customFormat="1" ht="15">
      <c r="A1528" s="61" t="s">
        <v>2286</v>
      </c>
      <c r="B1528" s="61" t="s">
        <v>1299</v>
      </c>
      <c r="C1528" s="61" t="s">
        <v>5061</v>
      </c>
      <c r="D1528" s="61" t="s">
        <v>7838</v>
      </c>
      <c r="E1528" s="61">
        <v>1006</v>
      </c>
      <c r="F1528" s="61">
        <v>1012</v>
      </c>
      <c r="G1528" s="61">
        <v>2025</v>
      </c>
      <c r="H1528" s="61" t="s">
        <v>3127</v>
      </c>
      <c r="I1528" s="61" t="s">
        <v>26</v>
      </c>
      <c r="J1528" s="61"/>
      <c r="K1528" s="61" t="s">
        <v>212</v>
      </c>
      <c r="L1528" s="61" t="s">
        <v>8645</v>
      </c>
      <c r="M1528" s="475">
        <v>45910</v>
      </c>
      <c r="N1528" s="475">
        <v>45916</v>
      </c>
      <c r="O1528" s="475">
        <v>45916</v>
      </c>
      <c r="P1528" s="475">
        <v>45916</v>
      </c>
      <c r="Q1528" s="475">
        <v>45918</v>
      </c>
      <c r="R1528" s="61">
        <f t="shared" si="108"/>
        <v>4</v>
      </c>
      <c r="S1528" s="61">
        <f t="shared" si="109"/>
        <v>1</v>
      </c>
      <c r="T1528" s="61">
        <f t="shared" si="107"/>
        <v>1</v>
      </c>
      <c r="U1528" s="61">
        <f t="shared" si="110"/>
        <v>2</v>
      </c>
      <c r="V1528" s="61" t="s">
        <v>150</v>
      </c>
      <c r="W1528" s="61" t="s">
        <v>4</v>
      </c>
      <c r="X1528" s="61" t="s">
        <v>50</v>
      </c>
      <c r="Y1528" s="471" t="s">
        <v>69</v>
      </c>
      <c r="Z1528" s="471" t="s">
        <v>69</v>
      </c>
      <c r="AA1528" s="61" t="s">
        <v>524</v>
      </c>
      <c r="AB1528" s="61" t="s">
        <v>8646</v>
      </c>
    </row>
    <row r="1529" spans="1:28" s="2" customFormat="1" ht="15">
      <c r="A1529" s="61" t="s">
        <v>2286</v>
      </c>
      <c r="B1529" s="61" t="s">
        <v>1299</v>
      </c>
      <c r="C1529" s="61" t="s">
        <v>5063</v>
      </c>
      <c r="D1529" s="61" t="s">
        <v>7838</v>
      </c>
      <c r="E1529" s="61">
        <v>1320</v>
      </c>
      <c r="F1529" s="61">
        <v>1425</v>
      </c>
      <c r="G1529" s="61">
        <v>2025</v>
      </c>
      <c r="H1529" s="61" t="s">
        <v>3127</v>
      </c>
      <c r="I1529" s="61" t="s">
        <v>26</v>
      </c>
      <c r="J1529" s="61"/>
      <c r="K1529" s="61" t="s">
        <v>212</v>
      </c>
      <c r="L1529" s="61" t="s">
        <v>8645</v>
      </c>
      <c r="M1529" s="475">
        <v>45910</v>
      </c>
      <c r="N1529" s="475">
        <v>45916</v>
      </c>
      <c r="O1529" s="475">
        <v>45916</v>
      </c>
      <c r="P1529" s="475">
        <v>45916</v>
      </c>
      <c r="Q1529" s="475">
        <v>45918</v>
      </c>
      <c r="R1529" s="61">
        <f t="shared" si="108"/>
        <v>4</v>
      </c>
      <c r="S1529" s="61">
        <f t="shared" si="109"/>
        <v>1</v>
      </c>
      <c r="T1529" s="61">
        <f t="shared" si="107"/>
        <v>1</v>
      </c>
      <c r="U1529" s="61">
        <f t="shared" si="110"/>
        <v>2</v>
      </c>
      <c r="V1529" s="61" t="s">
        <v>150</v>
      </c>
      <c r="W1529" s="61" t="s">
        <v>4</v>
      </c>
      <c r="X1529" s="61" t="s">
        <v>50</v>
      </c>
      <c r="Y1529" s="471" t="s">
        <v>69</v>
      </c>
      <c r="Z1529" s="471" t="s">
        <v>69</v>
      </c>
      <c r="AA1529" s="61" t="s">
        <v>524</v>
      </c>
      <c r="AB1529" s="61" t="s">
        <v>8646</v>
      </c>
    </row>
    <row r="1530" spans="1:28" s="2" customFormat="1" ht="15">
      <c r="A1530" s="61" t="s">
        <v>2286</v>
      </c>
      <c r="B1530" s="61" t="s">
        <v>1299</v>
      </c>
      <c r="C1530" s="61" t="s">
        <v>5064</v>
      </c>
      <c r="D1530" s="61" t="s">
        <v>7838</v>
      </c>
      <c r="E1530" s="61">
        <v>5175</v>
      </c>
      <c r="F1530" s="61">
        <v>5512</v>
      </c>
      <c r="G1530" s="61">
        <v>2025</v>
      </c>
      <c r="H1530" s="61" t="s">
        <v>3127</v>
      </c>
      <c r="I1530" s="61" t="s">
        <v>26</v>
      </c>
      <c r="J1530" s="61"/>
      <c r="K1530" s="61" t="s">
        <v>212</v>
      </c>
      <c r="L1530" s="61" t="s">
        <v>8645</v>
      </c>
      <c r="M1530" s="475">
        <v>45910</v>
      </c>
      <c r="N1530" s="475">
        <v>45916</v>
      </c>
      <c r="O1530" s="475">
        <v>45916</v>
      </c>
      <c r="P1530" s="475">
        <v>45916</v>
      </c>
      <c r="Q1530" s="475">
        <v>45918</v>
      </c>
      <c r="R1530" s="61">
        <f t="shared" si="108"/>
        <v>4</v>
      </c>
      <c r="S1530" s="61">
        <f t="shared" si="109"/>
        <v>1</v>
      </c>
      <c r="T1530" s="61">
        <f t="shared" si="107"/>
        <v>1</v>
      </c>
      <c r="U1530" s="61">
        <f t="shared" si="110"/>
        <v>2</v>
      </c>
      <c r="V1530" s="61" t="s">
        <v>150</v>
      </c>
      <c r="W1530" s="61" t="s">
        <v>4</v>
      </c>
      <c r="X1530" s="61" t="s">
        <v>50</v>
      </c>
      <c r="Y1530" s="471" t="s">
        <v>69</v>
      </c>
      <c r="Z1530" s="471" t="s">
        <v>69</v>
      </c>
      <c r="AA1530" s="61" t="s">
        <v>524</v>
      </c>
      <c r="AB1530" s="61" t="s">
        <v>8646</v>
      </c>
    </row>
    <row r="1531" spans="1:28" s="474" customFormat="1">
      <c r="A1531" s="61" t="s">
        <v>2286</v>
      </c>
      <c r="B1531" s="61" t="s">
        <v>1299</v>
      </c>
      <c r="C1531" s="61" t="s">
        <v>1245</v>
      </c>
      <c r="D1531" s="61" t="s">
        <v>7838</v>
      </c>
      <c r="E1531" s="61">
        <v>1666</v>
      </c>
      <c r="F1531" s="61">
        <v>1924</v>
      </c>
      <c r="G1531" s="61">
        <v>2025</v>
      </c>
      <c r="H1531" s="61" t="s">
        <v>3127</v>
      </c>
      <c r="I1531" s="61" t="s">
        <v>26</v>
      </c>
      <c r="J1531" s="61"/>
      <c r="K1531" s="61" t="s">
        <v>212</v>
      </c>
      <c r="L1531" s="61" t="s">
        <v>8645</v>
      </c>
      <c r="M1531" s="475">
        <v>45910</v>
      </c>
      <c r="N1531" s="475">
        <v>45916</v>
      </c>
      <c r="O1531" s="475">
        <v>45916</v>
      </c>
      <c r="P1531" s="475">
        <v>45916</v>
      </c>
      <c r="Q1531" s="475">
        <v>45918</v>
      </c>
      <c r="R1531" s="61">
        <f t="shared" si="108"/>
        <v>4</v>
      </c>
      <c r="S1531" s="61">
        <f t="shared" si="109"/>
        <v>1</v>
      </c>
      <c r="T1531" s="61">
        <f t="shared" si="107"/>
        <v>1</v>
      </c>
      <c r="U1531" s="61">
        <f t="shared" si="110"/>
        <v>2</v>
      </c>
      <c r="V1531" s="61" t="s">
        <v>150</v>
      </c>
      <c r="W1531" s="61" t="s">
        <v>4</v>
      </c>
      <c r="X1531" s="61" t="s">
        <v>50</v>
      </c>
      <c r="Y1531" s="471" t="s">
        <v>69</v>
      </c>
      <c r="Z1531" s="471" t="s">
        <v>69</v>
      </c>
      <c r="AA1531" s="61" t="s">
        <v>524</v>
      </c>
      <c r="AB1531" s="61" t="s">
        <v>8646</v>
      </c>
    </row>
    <row r="1532" spans="1:28" s="2" customFormat="1" ht="15">
      <c r="A1532" s="61" t="s">
        <v>2286</v>
      </c>
      <c r="B1532" s="61" t="s">
        <v>1299</v>
      </c>
      <c r="C1532" s="61" t="s">
        <v>5069</v>
      </c>
      <c r="D1532" s="61" t="s">
        <v>7838</v>
      </c>
      <c r="E1532" s="61">
        <v>3278</v>
      </c>
      <c r="F1532" s="61">
        <v>3425</v>
      </c>
      <c r="G1532" s="61">
        <v>2025</v>
      </c>
      <c r="H1532" s="61" t="s">
        <v>3127</v>
      </c>
      <c r="I1532" s="61" t="s">
        <v>26</v>
      </c>
      <c r="J1532" s="61"/>
      <c r="K1532" s="61" t="s">
        <v>212</v>
      </c>
      <c r="L1532" s="61" t="s">
        <v>8645</v>
      </c>
      <c r="M1532" s="475">
        <v>45910</v>
      </c>
      <c r="N1532" s="475">
        <v>45916</v>
      </c>
      <c r="O1532" s="475">
        <v>45916</v>
      </c>
      <c r="P1532" s="475">
        <v>45916</v>
      </c>
      <c r="Q1532" s="475">
        <v>45918</v>
      </c>
      <c r="R1532" s="61">
        <f t="shared" si="108"/>
        <v>4</v>
      </c>
      <c r="S1532" s="61">
        <f t="shared" si="109"/>
        <v>1</v>
      </c>
      <c r="T1532" s="61">
        <f t="shared" si="107"/>
        <v>1</v>
      </c>
      <c r="U1532" s="61">
        <f t="shared" si="110"/>
        <v>2</v>
      </c>
      <c r="V1532" s="61" t="s">
        <v>150</v>
      </c>
      <c r="W1532" s="61" t="s">
        <v>4</v>
      </c>
      <c r="X1532" s="61" t="s">
        <v>50</v>
      </c>
      <c r="Y1532" s="471" t="s">
        <v>69</v>
      </c>
      <c r="Z1532" s="471" t="s">
        <v>69</v>
      </c>
      <c r="AA1532" s="61" t="s">
        <v>524</v>
      </c>
      <c r="AB1532" s="61" t="s">
        <v>8646</v>
      </c>
    </row>
    <row r="1533" spans="1:28" s="2" customFormat="1" ht="15">
      <c r="A1533" s="61" t="s">
        <v>2286</v>
      </c>
      <c r="B1533" s="61" t="s">
        <v>1299</v>
      </c>
      <c r="C1533" s="61" t="s">
        <v>5070</v>
      </c>
      <c r="D1533" s="61" t="s">
        <v>7838</v>
      </c>
      <c r="E1533" s="61">
        <v>1385</v>
      </c>
      <c r="F1533" s="61">
        <v>1466</v>
      </c>
      <c r="G1533" s="61">
        <v>2025</v>
      </c>
      <c r="H1533" s="61" t="s">
        <v>3127</v>
      </c>
      <c r="I1533" s="61" t="s">
        <v>26</v>
      </c>
      <c r="J1533" s="61"/>
      <c r="K1533" s="61" t="s">
        <v>212</v>
      </c>
      <c r="L1533" s="61" t="s">
        <v>8645</v>
      </c>
      <c r="M1533" s="475">
        <v>45910</v>
      </c>
      <c r="N1533" s="475">
        <v>45916</v>
      </c>
      <c r="O1533" s="475">
        <v>45916</v>
      </c>
      <c r="P1533" s="475">
        <v>45916</v>
      </c>
      <c r="Q1533" s="475">
        <v>45918</v>
      </c>
      <c r="R1533" s="61">
        <f t="shared" si="108"/>
        <v>4</v>
      </c>
      <c r="S1533" s="61">
        <f t="shared" si="109"/>
        <v>1</v>
      </c>
      <c r="T1533" s="61">
        <f t="shared" si="107"/>
        <v>1</v>
      </c>
      <c r="U1533" s="61">
        <f t="shared" si="110"/>
        <v>2</v>
      </c>
      <c r="V1533" s="61" t="s">
        <v>150</v>
      </c>
      <c r="W1533" s="61" t="s">
        <v>4</v>
      </c>
      <c r="X1533" s="61" t="s">
        <v>50</v>
      </c>
      <c r="Y1533" s="471" t="s">
        <v>69</v>
      </c>
      <c r="Z1533" s="471" t="s">
        <v>69</v>
      </c>
      <c r="AA1533" s="61" t="s">
        <v>524</v>
      </c>
      <c r="AB1533" s="61" t="s">
        <v>8646</v>
      </c>
    </row>
    <row r="1534" spans="1:28" s="2" customFormat="1" ht="15">
      <c r="A1534" s="61" t="s">
        <v>2286</v>
      </c>
      <c r="B1534" s="61" t="s">
        <v>1299</v>
      </c>
      <c r="C1534" s="61" t="s">
        <v>5071</v>
      </c>
      <c r="D1534" s="61" t="s">
        <v>7838</v>
      </c>
      <c r="E1534" s="61">
        <v>1932</v>
      </c>
      <c r="F1534" s="61">
        <v>2075</v>
      </c>
      <c r="G1534" s="61">
        <v>2025</v>
      </c>
      <c r="H1534" s="61" t="s">
        <v>3127</v>
      </c>
      <c r="I1534" s="61" t="s">
        <v>26</v>
      </c>
      <c r="J1534" s="61"/>
      <c r="K1534" s="61" t="s">
        <v>212</v>
      </c>
      <c r="L1534" s="61" t="s">
        <v>8645</v>
      </c>
      <c r="M1534" s="475">
        <v>45910</v>
      </c>
      <c r="N1534" s="475">
        <v>45916</v>
      </c>
      <c r="O1534" s="475">
        <v>45916</v>
      </c>
      <c r="P1534" s="475">
        <v>45916</v>
      </c>
      <c r="Q1534" s="475">
        <v>45918</v>
      </c>
      <c r="R1534" s="61">
        <f t="shared" si="108"/>
        <v>4</v>
      </c>
      <c r="S1534" s="61">
        <f t="shared" si="109"/>
        <v>1</v>
      </c>
      <c r="T1534" s="61">
        <f t="shared" si="107"/>
        <v>1</v>
      </c>
      <c r="U1534" s="61">
        <f t="shared" si="110"/>
        <v>2</v>
      </c>
      <c r="V1534" s="61" t="s">
        <v>150</v>
      </c>
      <c r="W1534" s="61" t="s">
        <v>4</v>
      </c>
      <c r="X1534" s="61" t="s">
        <v>50</v>
      </c>
      <c r="Y1534" s="485" t="s">
        <v>69</v>
      </c>
      <c r="Z1534" s="485" t="s">
        <v>69</v>
      </c>
      <c r="AA1534" s="61" t="s">
        <v>524</v>
      </c>
      <c r="AB1534" s="61" t="s">
        <v>8646</v>
      </c>
    </row>
    <row r="1535" spans="1:28" s="2" customFormat="1" ht="15">
      <c r="A1535" s="61" t="s">
        <v>2286</v>
      </c>
      <c r="B1535" s="61" t="s">
        <v>1299</v>
      </c>
      <c r="C1535" s="61" t="s">
        <v>1424</v>
      </c>
      <c r="D1535" s="61" t="s">
        <v>7838</v>
      </c>
      <c r="E1535" s="61">
        <v>2570</v>
      </c>
      <c r="F1535" s="61">
        <v>2733</v>
      </c>
      <c r="G1535" s="61">
        <v>2025</v>
      </c>
      <c r="H1535" s="61" t="s">
        <v>3127</v>
      </c>
      <c r="I1535" s="61" t="s">
        <v>26</v>
      </c>
      <c r="J1535" s="61"/>
      <c r="K1535" s="61" t="s">
        <v>212</v>
      </c>
      <c r="L1535" s="61" t="s">
        <v>8645</v>
      </c>
      <c r="M1535" s="475">
        <v>45910</v>
      </c>
      <c r="N1535" s="475">
        <v>45916</v>
      </c>
      <c r="O1535" s="475">
        <v>45916</v>
      </c>
      <c r="P1535" s="475">
        <v>45916</v>
      </c>
      <c r="Q1535" s="475">
        <v>45918</v>
      </c>
      <c r="R1535" s="61">
        <f t="shared" si="108"/>
        <v>4</v>
      </c>
      <c r="S1535" s="61">
        <f t="shared" si="109"/>
        <v>1</v>
      </c>
      <c r="T1535" s="61">
        <f t="shared" si="107"/>
        <v>1</v>
      </c>
      <c r="U1535" s="61">
        <f t="shared" si="110"/>
        <v>2</v>
      </c>
      <c r="V1535" s="61" t="s">
        <v>150</v>
      </c>
      <c r="W1535" s="61" t="s">
        <v>4</v>
      </c>
      <c r="X1535" s="61" t="s">
        <v>50</v>
      </c>
      <c r="Y1535" s="485" t="s">
        <v>69</v>
      </c>
      <c r="Z1535" s="485" t="s">
        <v>69</v>
      </c>
      <c r="AA1535" s="61" t="s">
        <v>524</v>
      </c>
      <c r="AB1535" s="61" t="s">
        <v>8646</v>
      </c>
    </row>
    <row r="1536" spans="1:28" s="2" customFormat="1" ht="15">
      <c r="A1536" s="61" t="s">
        <v>2286</v>
      </c>
      <c r="B1536" s="61" t="s">
        <v>1299</v>
      </c>
      <c r="C1536" s="61" t="s">
        <v>5072</v>
      </c>
      <c r="D1536" s="61" t="s">
        <v>7838</v>
      </c>
      <c r="E1536" s="61">
        <v>881</v>
      </c>
      <c r="F1536" s="61">
        <v>1014</v>
      </c>
      <c r="G1536" s="61">
        <v>2025</v>
      </c>
      <c r="H1536" s="61" t="s">
        <v>3127</v>
      </c>
      <c r="I1536" s="61" t="s">
        <v>26</v>
      </c>
      <c r="J1536" s="61"/>
      <c r="K1536" s="61" t="s">
        <v>212</v>
      </c>
      <c r="L1536" s="61" t="s">
        <v>8645</v>
      </c>
      <c r="M1536" s="475">
        <v>45910</v>
      </c>
      <c r="N1536" s="475">
        <v>45916</v>
      </c>
      <c r="O1536" s="475">
        <v>45916</v>
      </c>
      <c r="P1536" s="475">
        <v>45916</v>
      </c>
      <c r="Q1536" s="475">
        <v>45918</v>
      </c>
      <c r="R1536" s="61">
        <f t="shared" si="108"/>
        <v>4</v>
      </c>
      <c r="S1536" s="61">
        <f t="shared" si="109"/>
        <v>1</v>
      </c>
      <c r="T1536" s="61">
        <f t="shared" si="107"/>
        <v>1</v>
      </c>
      <c r="U1536" s="61">
        <f t="shared" si="110"/>
        <v>2</v>
      </c>
      <c r="V1536" s="61" t="s">
        <v>150</v>
      </c>
      <c r="W1536" s="61" t="s">
        <v>4</v>
      </c>
      <c r="X1536" s="61" t="s">
        <v>50</v>
      </c>
      <c r="Y1536" s="471" t="s">
        <v>69</v>
      </c>
      <c r="Z1536" s="471" t="s">
        <v>69</v>
      </c>
      <c r="AA1536" s="61" t="s">
        <v>524</v>
      </c>
      <c r="AB1536" s="61" t="s">
        <v>8646</v>
      </c>
    </row>
    <row r="1537" spans="1:28" s="2" customFormat="1" ht="15">
      <c r="A1537" s="61" t="s">
        <v>2286</v>
      </c>
      <c r="B1537" s="61" t="s">
        <v>914</v>
      </c>
      <c r="C1537" s="61" t="s">
        <v>4024</v>
      </c>
      <c r="D1537" s="61" t="s">
        <v>7838</v>
      </c>
      <c r="E1537" s="61">
        <v>14533</v>
      </c>
      <c r="F1537" s="61">
        <v>15307</v>
      </c>
      <c r="G1537" s="61">
        <v>2025</v>
      </c>
      <c r="H1537" s="61" t="s">
        <v>3458</v>
      </c>
      <c r="I1537" s="61" t="s">
        <v>30</v>
      </c>
      <c r="J1537" s="61" t="s">
        <v>2289</v>
      </c>
      <c r="K1537" s="61" t="s">
        <v>212</v>
      </c>
      <c r="L1537" s="61" t="s">
        <v>8647</v>
      </c>
      <c r="M1537" s="475">
        <v>45694</v>
      </c>
      <c r="N1537" s="475">
        <v>45698</v>
      </c>
      <c r="O1537" s="475">
        <v>45699</v>
      </c>
      <c r="P1537" s="475">
        <v>45699</v>
      </c>
      <c r="Q1537" s="475">
        <v>45701</v>
      </c>
      <c r="R1537" s="61">
        <f t="shared" si="108"/>
        <v>2</v>
      </c>
      <c r="S1537" s="61">
        <f t="shared" si="109"/>
        <v>1</v>
      </c>
      <c r="T1537" s="61">
        <f t="shared" si="107"/>
        <v>1</v>
      </c>
      <c r="U1537" s="61">
        <f t="shared" si="110"/>
        <v>2</v>
      </c>
      <c r="V1537" s="61" t="s">
        <v>150</v>
      </c>
      <c r="W1537" s="61" t="s">
        <v>4</v>
      </c>
      <c r="X1537" s="61" t="s">
        <v>50</v>
      </c>
      <c r="Y1537" s="473">
        <v>15.353615</v>
      </c>
      <c r="Z1537" s="473">
        <v>120.842894</v>
      </c>
      <c r="AA1537" s="61" t="s">
        <v>2590</v>
      </c>
      <c r="AB1537" s="61"/>
    </row>
    <row r="1538" spans="1:28" s="2" customFormat="1" ht="15">
      <c r="A1538" s="61" t="s">
        <v>2286</v>
      </c>
      <c r="B1538" s="61" t="s">
        <v>914</v>
      </c>
      <c r="C1538" s="61" t="s">
        <v>4425</v>
      </c>
      <c r="D1538" s="61" t="s">
        <v>7838</v>
      </c>
      <c r="E1538" s="61">
        <v>4205</v>
      </c>
      <c r="F1538" s="61">
        <v>4631</v>
      </c>
      <c r="G1538" s="61">
        <v>2025</v>
      </c>
      <c r="H1538" s="61" t="s">
        <v>3689</v>
      </c>
      <c r="I1538" s="61" t="s">
        <v>30</v>
      </c>
      <c r="J1538" s="61" t="s">
        <v>28</v>
      </c>
      <c r="K1538" s="61" t="s">
        <v>212</v>
      </c>
      <c r="L1538" s="61" t="s">
        <v>8648</v>
      </c>
      <c r="M1538" s="475">
        <v>45798</v>
      </c>
      <c r="N1538" s="475">
        <v>45799</v>
      </c>
      <c r="O1538" s="475">
        <v>45805</v>
      </c>
      <c r="P1538" s="475">
        <v>45805</v>
      </c>
      <c r="Q1538" s="475">
        <v>45805</v>
      </c>
      <c r="R1538" s="61">
        <f t="shared" si="108"/>
        <v>1</v>
      </c>
      <c r="S1538" s="61">
        <f t="shared" si="109"/>
        <v>4</v>
      </c>
      <c r="T1538" s="61">
        <f t="shared" si="107"/>
        <v>1</v>
      </c>
      <c r="U1538" s="61">
        <f t="shared" si="110"/>
        <v>1</v>
      </c>
      <c r="V1538" s="61" t="s">
        <v>150</v>
      </c>
      <c r="W1538" s="61" t="s">
        <v>1078</v>
      </c>
      <c r="X1538" s="61" t="s">
        <v>50</v>
      </c>
      <c r="Y1538" s="471">
        <v>15.270953</v>
      </c>
      <c r="Z1538" s="471">
        <v>120.864238</v>
      </c>
      <c r="AA1538" s="61" t="s">
        <v>2590</v>
      </c>
      <c r="AB1538" s="61"/>
    </row>
    <row r="1539" spans="1:28" s="2" customFormat="1" ht="15">
      <c r="A1539" s="61" t="s">
        <v>2286</v>
      </c>
      <c r="B1539" s="61" t="s">
        <v>914</v>
      </c>
      <c r="C1539" s="61" t="s">
        <v>5077</v>
      </c>
      <c r="D1539" s="61" t="s">
        <v>7838</v>
      </c>
      <c r="E1539" s="61">
        <v>2778</v>
      </c>
      <c r="F1539" s="61">
        <v>2806</v>
      </c>
      <c r="G1539" s="61">
        <v>2025</v>
      </c>
      <c r="H1539" s="61" t="s">
        <v>3470</v>
      </c>
      <c r="I1539" s="61" t="s">
        <v>30</v>
      </c>
      <c r="J1539" s="61" t="s">
        <v>2289</v>
      </c>
      <c r="K1539" s="61" t="s">
        <v>212</v>
      </c>
      <c r="L1539" s="61" t="s">
        <v>8649</v>
      </c>
      <c r="M1539" s="475">
        <v>45734</v>
      </c>
      <c r="N1539" s="475">
        <v>45738</v>
      </c>
      <c r="O1539" s="475">
        <v>45754</v>
      </c>
      <c r="P1539" s="475">
        <v>45754</v>
      </c>
      <c r="Q1539" s="475">
        <v>45757</v>
      </c>
      <c r="R1539" s="61">
        <f t="shared" si="108"/>
        <v>3</v>
      </c>
      <c r="S1539" s="61">
        <f t="shared" si="109"/>
        <v>10</v>
      </c>
      <c r="T1539" s="61">
        <f t="shared" si="107"/>
        <v>1</v>
      </c>
      <c r="U1539" s="61">
        <f t="shared" si="110"/>
        <v>3</v>
      </c>
      <c r="V1539" s="61" t="s">
        <v>150</v>
      </c>
      <c r="W1539" s="61" t="s">
        <v>1078</v>
      </c>
      <c r="X1539" s="61" t="s">
        <v>50</v>
      </c>
      <c r="Y1539" s="473">
        <v>15.39029</v>
      </c>
      <c r="Z1539" s="473">
        <v>120.766533</v>
      </c>
      <c r="AA1539" s="61" t="s">
        <v>2590</v>
      </c>
      <c r="AB1539" s="61"/>
    </row>
    <row r="1540" spans="1:28" s="2" customFormat="1" ht="15.75">
      <c r="A1540" s="61" t="s">
        <v>2286</v>
      </c>
      <c r="B1540" s="61" t="s">
        <v>914</v>
      </c>
      <c r="C1540" s="61" t="s">
        <v>5078</v>
      </c>
      <c r="D1540" s="61" t="s">
        <v>7838</v>
      </c>
      <c r="E1540" s="61">
        <v>5046</v>
      </c>
      <c r="F1540" s="61">
        <v>5082</v>
      </c>
      <c r="G1540" s="61">
        <v>2025</v>
      </c>
      <c r="H1540" s="61" t="s">
        <v>3532</v>
      </c>
      <c r="I1540" s="61" t="s">
        <v>30</v>
      </c>
      <c r="J1540" s="61" t="s">
        <v>28</v>
      </c>
      <c r="K1540" s="61" t="s">
        <v>212</v>
      </c>
      <c r="L1540" s="61" t="s">
        <v>8650</v>
      </c>
      <c r="M1540" s="475">
        <v>45777</v>
      </c>
      <c r="N1540" s="475">
        <v>45778</v>
      </c>
      <c r="O1540" s="475">
        <v>45779</v>
      </c>
      <c r="P1540" s="475">
        <v>45782</v>
      </c>
      <c r="Q1540" s="475">
        <v>45792</v>
      </c>
      <c r="R1540" s="61">
        <f t="shared" si="108"/>
        <v>1</v>
      </c>
      <c r="S1540" s="61">
        <f t="shared" si="109"/>
        <v>1</v>
      </c>
      <c r="T1540" s="61">
        <f t="shared" si="107"/>
        <v>1</v>
      </c>
      <c r="U1540" s="61">
        <f t="shared" si="110"/>
        <v>8</v>
      </c>
      <c r="V1540" s="61" t="s">
        <v>150</v>
      </c>
      <c r="W1540" s="61" t="s">
        <v>1078</v>
      </c>
      <c r="X1540" s="61" t="s">
        <v>50</v>
      </c>
      <c r="Y1540" s="492">
        <v>15.303515000000001</v>
      </c>
      <c r="Z1540" s="492">
        <v>120.862864</v>
      </c>
      <c r="AA1540" s="61" t="s">
        <v>2590</v>
      </c>
      <c r="AB1540" s="61"/>
    </row>
    <row r="1541" spans="1:28" s="2" customFormat="1" ht="15">
      <c r="A1541" s="61" t="s">
        <v>2286</v>
      </c>
      <c r="B1541" s="61" t="s">
        <v>914</v>
      </c>
      <c r="C1541" s="61" t="s">
        <v>5079</v>
      </c>
      <c r="D1541" s="61" t="s">
        <v>7838</v>
      </c>
      <c r="E1541" s="61">
        <v>2875</v>
      </c>
      <c r="F1541" s="61">
        <v>3152</v>
      </c>
      <c r="G1541" s="61">
        <v>2025</v>
      </c>
      <c r="H1541" s="61" t="s">
        <v>3416</v>
      </c>
      <c r="I1541" s="61" t="s">
        <v>30</v>
      </c>
      <c r="J1541" s="61" t="s">
        <v>2289</v>
      </c>
      <c r="K1541" s="61" t="s">
        <v>212</v>
      </c>
      <c r="L1541" s="61" t="s">
        <v>8651</v>
      </c>
      <c r="M1541" s="475">
        <v>45706</v>
      </c>
      <c r="N1541" s="475">
        <v>45712</v>
      </c>
      <c r="O1541" s="475">
        <v>45714</v>
      </c>
      <c r="P1541" s="475">
        <v>45719</v>
      </c>
      <c r="Q1541" s="475">
        <v>45721</v>
      </c>
      <c r="R1541" s="61">
        <f t="shared" si="108"/>
        <v>4</v>
      </c>
      <c r="S1541" s="61">
        <f t="shared" si="109"/>
        <v>2</v>
      </c>
      <c r="T1541" s="61">
        <f t="shared" si="107"/>
        <v>3</v>
      </c>
      <c r="U1541" s="61">
        <f t="shared" si="110"/>
        <v>2</v>
      </c>
      <c r="V1541" s="61" t="s">
        <v>150</v>
      </c>
      <c r="W1541" s="61" t="s">
        <v>1078</v>
      </c>
      <c r="X1541" s="61" t="s">
        <v>50</v>
      </c>
      <c r="Y1541" s="473">
        <v>15.348761</v>
      </c>
      <c r="Z1541" s="473">
        <v>120.85457</v>
      </c>
      <c r="AA1541" s="61" t="s">
        <v>2590</v>
      </c>
      <c r="AB1541" s="61"/>
    </row>
    <row r="1542" spans="1:28" s="2" customFormat="1" ht="15">
      <c r="A1542" s="61" t="s">
        <v>2286</v>
      </c>
      <c r="B1542" s="61" t="s">
        <v>914</v>
      </c>
      <c r="C1542" s="61" t="s">
        <v>2226</v>
      </c>
      <c r="D1542" s="61" t="s">
        <v>7838</v>
      </c>
      <c r="E1542" s="61">
        <v>3550</v>
      </c>
      <c r="F1542" s="61">
        <v>3744</v>
      </c>
      <c r="G1542" s="61">
        <v>2025</v>
      </c>
      <c r="H1542" s="61" t="s">
        <v>3689</v>
      </c>
      <c r="I1542" s="61" t="s">
        <v>30</v>
      </c>
      <c r="J1542" s="61" t="s">
        <v>28</v>
      </c>
      <c r="K1542" s="61" t="s">
        <v>212</v>
      </c>
      <c r="L1542" s="61" t="s">
        <v>8652</v>
      </c>
      <c r="M1542" s="475">
        <v>45798</v>
      </c>
      <c r="N1542" s="475">
        <v>45799</v>
      </c>
      <c r="O1542" s="475">
        <v>45805</v>
      </c>
      <c r="P1542" s="475">
        <v>45805</v>
      </c>
      <c r="Q1542" s="475">
        <v>45807</v>
      </c>
      <c r="R1542" s="61">
        <f t="shared" si="108"/>
        <v>1</v>
      </c>
      <c r="S1542" s="61">
        <f t="shared" si="109"/>
        <v>4</v>
      </c>
      <c r="T1542" s="61">
        <f t="shared" si="107"/>
        <v>1</v>
      </c>
      <c r="U1542" s="61">
        <f t="shared" si="110"/>
        <v>2</v>
      </c>
      <c r="V1542" s="61" t="s">
        <v>150</v>
      </c>
      <c r="W1542" s="61" t="s">
        <v>1078</v>
      </c>
      <c r="X1542" s="61" t="s">
        <v>50</v>
      </c>
      <c r="Y1542" s="471">
        <v>15.286951999999999</v>
      </c>
      <c r="Z1542" s="471">
        <v>120.85120999999999</v>
      </c>
      <c r="AA1542" s="61" t="s">
        <v>2590</v>
      </c>
      <c r="AB1542" s="61"/>
    </row>
    <row r="1543" spans="1:28" s="2" customFormat="1" ht="15">
      <c r="A1543" s="61" t="s">
        <v>2286</v>
      </c>
      <c r="B1543" s="61" t="s">
        <v>914</v>
      </c>
      <c r="C1543" s="61" t="s">
        <v>5082</v>
      </c>
      <c r="D1543" s="61" t="s">
        <v>7838</v>
      </c>
      <c r="E1543" s="61">
        <v>4971</v>
      </c>
      <c r="F1543" s="61">
        <v>5383</v>
      </c>
      <c r="G1543" s="61">
        <v>2025</v>
      </c>
      <c r="H1543" s="61" t="s">
        <v>3416</v>
      </c>
      <c r="I1543" s="61" t="s">
        <v>30</v>
      </c>
      <c r="J1543" s="61" t="s">
        <v>2289</v>
      </c>
      <c r="K1543" s="61" t="s">
        <v>212</v>
      </c>
      <c r="L1543" s="61" t="s">
        <v>8653</v>
      </c>
      <c r="M1543" s="475">
        <v>45706</v>
      </c>
      <c r="N1543" s="475">
        <v>45719</v>
      </c>
      <c r="O1543" s="475">
        <v>45719</v>
      </c>
      <c r="P1543" s="475">
        <v>45720</v>
      </c>
      <c r="Q1543" s="475">
        <v>45721</v>
      </c>
      <c r="R1543" s="61">
        <f t="shared" si="108"/>
        <v>9</v>
      </c>
      <c r="S1543" s="61">
        <f t="shared" si="109"/>
        <v>1</v>
      </c>
      <c r="T1543" s="61">
        <f t="shared" si="107"/>
        <v>1</v>
      </c>
      <c r="U1543" s="61">
        <f t="shared" si="110"/>
        <v>1</v>
      </c>
      <c r="V1543" s="61" t="s">
        <v>150</v>
      </c>
      <c r="W1543" s="61" t="s">
        <v>1078</v>
      </c>
      <c r="X1543" s="61" t="s">
        <v>50</v>
      </c>
      <c r="Y1543" s="473">
        <v>15.316057000000001</v>
      </c>
      <c r="Z1543" s="473">
        <v>120.856877</v>
      </c>
      <c r="AA1543" s="61" t="s">
        <v>2590</v>
      </c>
      <c r="AB1543" s="61"/>
    </row>
    <row r="1544" spans="1:28" s="2" customFormat="1" ht="15">
      <c r="A1544" s="61" t="s">
        <v>2286</v>
      </c>
      <c r="B1544" s="61" t="s">
        <v>914</v>
      </c>
      <c r="C1544" s="61" t="s">
        <v>5083</v>
      </c>
      <c r="D1544" s="61" t="s">
        <v>7838</v>
      </c>
      <c r="E1544" s="61">
        <v>2904</v>
      </c>
      <c r="F1544" s="61">
        <v>2937</v>
      </c>
      <c r="G1544" s="61">
        <v>2025</v>
      </c>
      <c r="H1544" s="61" t="s">
        <v>3470</v>
      </c>
      <c r="I1544" s="61" t="s">
        <v>30</v>
      </c>
      <c r="J1544" s="61" t="s">
        <v>2289</v>
      </c>
      <c r="K1544" s="61" t="s">
        <v>212</v>
      </c>
      <c r="L1544" s="61" t="s">
        <v>8654</v>
      </c>
      <c r="M1544" s="475">
        <v>45734</v>
      </c>
      <c r="N1544" s="475">
        <v>45738</v>
      </c>
      <c r="O1544" s="475">
        <v>45755</v>
      </c>
      <c r="P1544" s="475">
        <v>45757</v>
      </c>
      <c r="Q1544" s="475">
        <v>45757</v>
      </c>
      <c r="R1544" s="61">
        <f t="shared" si="108"/>
        <v>3</v>
      </c>
      <c r="S1544" s="61">
        <f t="shared" si="109"/>
        <v>11</v>
      </c>
      <c r="T1544" s="61">
        <f t="shared" si="107"/>
        <v>2</v>
      </c>
      <c r="U1544" s="61">
        <f t="shared" si="110"/>
        <v>1</v>
      </c>
      <c r="V1544" s="61" t="s">
        <v>150</v>
      </c>
      <c r="W1544" s="61" t="s">
        <v>1078</v>
      </c>
      <c r="X1544" s="61" t="s">
        <v>50</v>
      </c>
      <c r="Y1544" s="473">
        <v>15.378945999999999</v>
      </c>
      <c r="Z1544" s="473">
        <v>120.76664</v>
      </c>
      <c r="AA1544" s="61" t="s">
        <v>2590</v>
      </c>
      <c r="AB1544" s="61"/>
    </row>
    <row r="1545" spans="1:28" s="2" customFormat="1" ht="15">
      <c r="A1545" s="61" t="s">
        <v>2286</v>
      </c>
      <c r="B1545" s="61" t="s">
        <v>914</v>
      </c>
      <c r="C1545" s="61" t="s">
        <v>5084</v>
      </c>
      <c r="D1545" s="61" t="s">
        <v>7838</v>
      </c>
      <c r="E1545" s="61">
        <v>7862</v>
      </c>
      <c r="F1545" s="61">
        <v>8063</v>
      </c>
      <c r="G1545" s="61">
        <v>2025</v>
      </c>
      <c r="H1545" s="61" t="s">
        <v>3416</v>
      </c>
      <c r="I1545" s="61" t="s">
        <v>30</v>
      </c>
      <c r="J1545" s="61" t="s">
        <v>2289</v>
      </c>
      <c r="K1545" s="61" t="s">
        <v>212</v>
      </c>
      <c r="L1545" s="61" t="s">
        <v>8655</v>
      </c>
      <c r="M1545" s="475">
        <v>45706</v>
      </c>
      <c r="N1545" s="475">
        <v>45712</v>
      </c>
      <c r="O1545" s="475">
        <v>45713</v>
      </c>
      <c r="P1545" s="475">
        <v>45719</v>
      </c>
      <c r="Q1545" s="475">
        <v>45721</v>
      </c>
      <c r="R1545" s="61">
        <f t="shared" si="108"/>
        <v>4</v>
      </c>
      <c r="S1545" s="61">
        <f t="shared" si="109"/>
        <v>1</v>
      </c>
      <c r="T1545" s="61">
        <f t="shared" si="107"/>
        <v>4</v>
      </c>
      <c r="U1545" s="61">
        <f t="shared" si="110"/>
        <v>2</v>
      </c>
      <c r="V1545" s="61" t="s">
        <v>150</v>
      </c>
      <c r="W1545" s="61" t="s">
        <v>1078</v>
      </c>
      <c r="X1545" s="61" t="s">
        <v>50</v>
      </c>
      <c r="Y1545" s="473">
        <v>15.320963000000001</v>
      </c>
      <c r="Z1545" s="473">
        <v>120.836609</v>
      </c>
      <c r="AA1545" s="61" t="s">
        <v>2590</v>
      </c>
      <c r="AB1545" s="61"/>
    </row>
    <row r="1546" spans="1:28" s="2" customFormat="1" ht="15.75">
      <c r="A1546" s="61" t="s">
        <v>2286</v>
      </c>
      <c r="B1546" s="61" t="s">
        <v>914</v>
      </c>
      <c r="C1546" s="61" t="s">
        <v>1056</v>
      </c>
      <c r="D1546" s="61" t="s">
        <v>7838</v>
      </c>
      <c r="E1546" s="61">
        <v>1955</v>
      </c>
      <c r="F1546" s="61">
        <v>1971</v>
      </c>
      <c r="G1546" s="61">
        <v>2025</v>
      </c>
      <c r="H1546" s="61" t="s">
        <v>3126</v>
      </c>
      <c r="I1546" s="61" t="s">
        <v>30</v>
      </c>
      <c r="J1546" s="61" t="s">
        <v>28</v>
      </c>
      <c r="K1546" s="61" t="s">
        <v>212</v>
      </c>
      <c r="L1546" s="61" t="s">
        <v>8656</v>
      </c>
      <c r="M1546" s="475">
        <v>45868</v>
      </c>
      <c r="N1546" s="475">
        <v>45873</v>
      </c>
      <c r="O1546" s="475">
        <v>45876</v>
      </c>
      <c r="P1546" s="475">
        <v>45876</v>
      </c>
      <c r="Q1546" s="475">
        <v>45882</v>
      </c>
      <c r="R1546" s="61">
        <f t="shared" si="108"/>
        <v>3</v>
      </c>
      <c r="S1546" s="61">
        <f t="shared" si="109"/>
        <v>3</v>
      </c>
      <c r="T1546" s="61">
        <f t="shared" si="107"/>
        <v>1</v>
      </c>
      <c r="U1546" s="61">
        <f t="shared" si="110"/>
        <v>4</v>
      </c>
      <c r="V1546" s="61" t="s">
        <v>150</v>
      </c>
      <c r="W1546" s="61" t="s">
        <v>1078</v>
      </c>
      <c r="X1546" s="61" t="s">
        <v>50</v>
      </c>
      <c r="Y1546" s="494">
        <v>15.302191000000001</v>
      </c>
      <c r="Z1546" s="495">
        <v>120.85633799999999</v>
      </c>
      <c r="AA1546" s="61" t="s">
        <v>2590</v>
      </c>
      <c r="AB1546" s="61"/>
    </row>
    <row r="1547" spans="1:28" s="2" customFormat="1" ht="15">
      <c r="A1547" s="61" t="s">
        <v>2286</v>
      </c>
      <c r="B1547" s="61" t="s">
        <v>914</v>
      </c>
      <c r="C1547" s="61" t="s">
        <v>5034</v>
      </c>
      <c r="D1547" s="61" t="s">
        <v>7838</v>
      </c>
      <c r="E1547" s="61">
        <v>6582</v>
      </c>
      <c r="F1547" s="61">
        <v>7271</v>
      </c>
      <c r="G1547" s="61">
        <v>2025</v>
      </c>
      <c r="H1547" s="61" t="s">
        <v>3126</v>
      </c>
      <c r="I1547" s="61" t="s">
        <v>30</v>
      </c>
      <c r="J1547" s="61" t="s">
        <v>28</v>
      </c>
      <c r="K1547" s="61" t="s">
        <v>212</v>
      </c>
      <c r="L1547" s="61" t="s">
        <v>8657</v>
      </c>
      <c r="M1547" s="475">
        <v>45868</v>
      </c>
      <c r="N1547" s="475">
        <v>45873</v>
      </c>
      <c r="O1547" s="475">
        <v>45876</v>
      </c>
      <c r="P1547" s="475">
        <v>45876</v>
      </c>
      <c r="Q1547" s="475">
        <v>45882</v>
      </c>
      <c r="R1547" s="61">
        <f t="shared" si="108"/>
        <v>3</v>
      </c>
      <c r="S1547" s="61">
        <f t="shared" si="109"/>
        <v>3</v>
      </c>
      <c r="T1547" s="61">
        <f t="shared" si="107"/>
        <v>1</v>
      </c>
      <c r="U1547" s="61">
        <f t="shared" si="110"/>
        <v>4</v>
      </c>
      <c r="V1547" s="61" t="s">
        <v>150</v>
      </c>
      <c r="W1547" s="61" t="s">
        <v>1078</v>
      </c>
      <c r="X1547" s="61" t="s">
        <v>50</v>
      </c>
      <c r="Y1547" s="471">
        <v>15.321134000000001</v>
      </c>
      <c r="Z1547" s="471">
        <v>120.87372000000001</v>
      </c>
      <c r="AA1547" s="61" t="s">
        <v>2590</v>
      </c>
      <c r="AB1547" s="61"/>
    </row>
    <row r="1548" spans="1:28" s="2" customFormat="1" ht="15">
      <c r="A1548" s="61" t="s">
        <v>2286</v>
      </c>
      <c r="B1548" s="61" t="s">
        <v>914</v>
      </c>
      <c r="C1548" s="61" t="s">
        <v>3975</v>
      </c>
      <c r="D1548" s="61" t="s">
        <v>7838</v>
      </c>
      <c r="E1548" s="61">
        <v>7527</v>
      </c>
      <c r="F1548" s="61">
        <v>8161</v>
      </c>
      <c r="G1548" s="61">
        <v>2025</v>
      </c>
      <c r="H1548" s="61" t="s">
        <v>3470</v>
      </c>
      <c r="I1548" s="61" t="s">
        <v>30</v>
      </c>
      <c r="J1548" s="61" t="s">
        <v>2289</v>
      </c>
      <c r="K1548" s="61" t="s">
        <v>212</v>
      </c>
      <c r="L1548" s="61" t="s">
        <v>8658</v>
      </c>
      <c r="M1548" s="475">
        <v>45734</v>
      </c>
      <c r="N1548" s="475">
        <v>45738</v>
      </c>
      <c r="O1548" s="475">
        <v>45754</v>
      </c>
      <c r="P1548" s="475">
        <v>45754</v>
      </c>
      <c r="Q1548" s="475">
        <v>45757</v>
      </c>
      <c r="R1548" s="61">
        <f t="shared" si="108"/>
        <v>3</v>
      </c>
      <c r="S1548" s="61">
        <f t="shared" si="109"/>
        <v>10</v>
      </c>
      <c r="T1548" s="61">
        <f t="shared" si="107"/>
        <v>1</v>
      </c>
      <c r="U1548" s="61">
        <f t="shared" si="110"/>
        <v>3</v>
      </c>
      <c r="V1548" s="61" t="s">
        <v>150</v>
      </c>
      <c r="W1548" s="61" t="s">
        <v>1078</v>
      </c>
      <c r="X1548" s="61" t="s">
        <v>50</v>
      </c>
      <c r="Y1548" s="471">
        <v>15.392856999999999</v>
      </c>
      <c r="Z1548" s="471">
        <v>120799858</v>
      </c>
      <c r="AA1548" s="61" t="s">
        <v>2590</v>
      </c>
      <c r="AB1548" s="61"/>
    </row>
    <row r="1549" spans="1:28" s="2" customFormat="1" ht="15">
      <c r="A1549" s="61" t="s">
        <v>2286</v>
      </c>
      <c r="B1549" s="61" t="s">
        <v>914</v>
      </c>
      <c r="C1549" s="61" t="s">
        <v>1899</v>
      </c>
      <c r="D1549" s="61" t="s">
        <v>7838</v>
      </c>
      <c r="E1549" s="61">
        <v>1521</v>
      </c>
      <c r="F1549" s="61">
        <v>1782</v>
      </c>
      <c r="G1549" s="61">
        <v>2025</v>
      </c>
      <c r="H1549" s="61" t="s">
        <v>3532</v>
      </c>
      <c r="I1549" s="61" t="s">
        <v>30</v>
      </c>
      <c r="J1549" s="61" t="s">
        <v>28</v>
      </c>
      <c r="K1549" s="61" t="s">
        <v>212</v>
      </c>
      <c r="L1549" s="476" t="s">
        <v>8659</v>
      </c>
      <c r="M1549" s="475">
        <v>45770</v>
      </c>
      <c r="N1549" s="475">
        <v>45776</v>
      </c>
      <c r="O1549" s="475">
        <v>45779</v>
      </c>
      <c r="P1549" s="475">
        <v>45782</v>
      </c>
      <c r="Q1549" s="475">
        <v>45791</v>
      </c>
      <c r="R1549" s="61">
        <f t="shared" si="108"/>
        <v>4</v>
      </c>
      <c r="S1549" s="61">
        <f t="shared" si="109"/>
        <v>3</v>
      </c>
      <c r="T1549" s="61">
        <f t="shared" si="107"/>
        <v>1</v>
      </c>
      <c r="U1549" s="61">
        <f t="shared" si="110"/>
        <v>7</v>
      </c>
      <c r="V1549" s="61" t="s">
        <v>150</v>
      </c>
      <c r="W1549" s="61" t="s">
        <v>1078</v>
      </c>
      <c r="X1549" s="61" t="s">
        <v>50</v>
      </c>
      <c r="Y1549" s="486" t="s">
        <v>8660</v>
      </c>
      <c r="Z1549" s="486" t="s">
        <v>8661</v>
      </c>
      <c r="AA1549" s="61" t="s">
        <v>2590</v>
      </c>
      <c r="AB1549" s="61"/>
    </row>
    <row r="1550" spans="1:28" s="2" customFormat="1" ht="15">
      <c r="A1550" s="61" t="s">
        <v>2286</v>
      </c>
      <c r="B1550" s="61" t="s">
        <v>914</v>
      </c>
      <c r="C1550" s="61" t="s">
        <v>3977</v>
      </c>
      <c r="D1550" s="61" t="s">
        <v>7838</v>
      </c>
      <c r="E1550" s="61">
        <v>8273</v>
      </c>
      <c r="F1550" s="61">
        <v>9341</v>
      </c>
      <c r="G1550" s="61">
        <v>2025</v>
      </c>
      <c r="H1550" s="61" t="s">
        <v>3126</v>
      </c>
      <c r="I1550" s="61" t="s">
        <v>30</v>
      </c>
      <c r="J1550" s="61" t="s">
        <v>28</v>
      </c>
      <c r="K1550" s="61" t="s">
        <v>212</v>
      </c>
      <c r="L1550" s="61" t="s">
        <v>8662</v>
      </c>
      <c r="M1550" s="475">
        <v>45860</v>
      </c>
      <c r="N1550" s="475">
        <v>45862</v>
      </c>
      <c r="O1550" s="475">
        <v>45883</v>
      </c>
      <c r="P1550" s="475">
        <v>45887</v>
      </c>
      <c r="Q1550" s="475">
        <v>45887</v>
      </c>
      <c r="R1550" s="61">
        <f t="shared" si="108"/>
        <v>2</v>
      </c>
      <c r="S1550" s="61">
        <f t="shared" si="109"/>
        <v>15</v>
      </c>
      <c r="T1550" s="61">
        <f t="shared" si="107"/>
        <v>2</v>
      </c>
      <c r="U1550" s="61">
        <f t="shared" si="110"/>
        <v>1</v>
      </c>
      <c r="V1550" s="61" t="s">
        <v>150</v>
      </c>
      <c r="W1550" s="61" t="s">
        <v>1078</v>
      </c>
      <c r="X1550" s="61" t="s">
        <v>50</v>
      </c>
      <c r="Y1550" s="494" t="s">
        <v>8663</v>
      </c>
      <c r="Z1550" s="494" t="s">
        <v>8664</v>
      </c>
      <c r="AA1550" s="61" t="s">
        <v>2590</v>
      </c>
      <c r="AB1550" s="61"/>
    </row>
    <row r="1551" spans="1:28" s="2" customFormat="1" ht="15">
      <c r="A1551" s="61" t="s">
        <v>2286</v>
      </c>
      <c r="B1551" s="61" t="s">
        <v>914</v>
      </c>
      <c r="C1551" s="61" t="s">
        <v>5091</v>
      </c>
      <c r="D1551" s="61" t="s">
        <v>7838</v>
      </c>
      <c r="E1551" s="61">
        <v>2900</v>
      </c>
      <c r="F1551" s="61">
        <v>2910</v>
      </c>
      <c r="G1551" s="61">
        <v>2025</v>
      </c>
      <c r="H1551" s="61" t="s">
        <v>3689</v>
      </c>
      <c r="I1551" s="61" t="s">
        <v>30</v>
      </c>
      <c r="J1551" s="61" t="s">
        <v>28</v>
      </c>
      <c r="K1551" s="61" t="s">
        <v>212</v>
      </c>
      <c r="L1551" s="61" t="s">
        <v>8665</v>
      </c>
      <c r="M1551" s="475">
        <v>45804</v>
      </c>
      <c r="N1551" s="475">
        <v>45812</v>
      </c>
      <c r="O1551" s="475">
        <v>45813</v>
      </c>
      <c r="P1551" s="475">
        <v>45813</v>
      </c>
      <c r="Q1551" s="475">
        <v>45813</v>
      </c>
      <c r="R1551" s="61">
        <f t="shared" si="108"/>
        <v>6</v>
      </c>
      <c r="S1551" s="61">
        <f t="shared" si="109"/>
        <v>1</v>
      </c>
      <c r="T1551" s="61">
        <f t="shared" si="107"/>
        <v>1</v>
      </c>
      <c r="U1551" s="61">
        <f t="shared" si="110"/>
        <v>1</v>
      </c>
      <c r="V1551" s="61" t="s">
        <v>150</v>
      </c>
      <c r="W1551" s="61" t="s">
        <v>1078</v>
      </c>
      <c r="X1551" s="61" t="s">
        <v>50</v>
      </c>
      <c r="Y1551" s="471">
        <v>15.306915</v>
      </c>
      <c r="Z1551" s="485">
        <v>120.854204</v>
      </c>
      <c r="AA1551" s="61" t="s">
        <v>2590</v>
      </c>
      <c r="AB1551" s="61"/>
    </row>
    <row r="1552" spans="1:28" s="2" customFormat="1" ht="28.5">
      <c r="A1552" s="61" t="s">
        <v>2286</v>
      </c>
      <c r="B1552" s="61" t="s">
        <v>914</v>
      </c>
      <c r="C1552" s="61" t="s">
        <v>858</v>
      </c>
      <c r="D1552" s="61" t="s">
        <v>7838</v>
      </c>
      <c r="E1552" s="61">
        <v>354</v>
      </c>
      <c r="F1552" s="61">
        <v>519</v>
      </c>
      <c r="G1552" s="61">
        <v>2025</v>
      </c>
      <c r="H1552" s="61" t="s">
        <v>3129</v>
      </c>
      <c r="I1552" s="61" t="s">
        <v>30</v>
      </c>
      <c r="J1552" s="61"/>
      <c r="K1552" s="61" t="s">
        <v>212</v>
      </c>
      <c r="L1552" s="61" t="s">
        <v>8666</v>
      </c>
      <c r="M1552" s="475">
        <v>45966</v>
      </c>
      <c r="N1552" s="475">
        <v>45967</v>
      </c>
      <c r="O1552" s="475">
        <v>45980</v>
      </c>
      <c r="P1552" s="475">
        <v>45981</v>
      </c>
      <c r="Q1552" s="475">
        <v>45981</v>
      </c>
      <c r="R1552" s="61">
        <f t="shared" si="108"/>
        <v>1</v>
      </c>
      <c r="S1552" s="61">
        <f t="shared" si="109"/>
        <v>9</v>
      </c>
      <c r="T1552" s="61">
        <f t="shared" si="107"/>
        <v>1</v>
      </c>
      <c r="U1552" s="61">
        <f t="shared" si="110"/>
        <v>1</v>
      </c>
      <c r="V1552" s="61" t="s">
        <v>150</v>
      </c>
      <c r="W1552" s="61" t="s">
        <v>1078</v>
      </c>
      <c r="X1552" s="61" t="s">
        <v>50</v>
      </c>
      <c r="Y1552" s="471">
        <v>15.349957</v>
      </c>
      <c r="Z1552" s="471">
        <v>120.73989</v>
      </c>
      <c r="AA1552" s="61" t="s">
        <v>8478</v>
      </c>
      <c r="AB1552" s="61"/>
    </row>
    <row r="1553" spans="1:28" s="2" customFormat="1" ht="15.75">
      <c r="A1553" s="61" t="s">
        <v>2286</v>
      </c>
      <c r="B1553" s="61" t="s">
        <v>1180</v>
      </c>
      <c r="C1553" s="61" t="s">
        <v>5093</v>
      </c>
      <c r="D1553" s="61" t="s">
        <v>7838</v>
      </c>
      <c r="E1553" s="61">
        <v>4989</v>
      </c>
      <c r="F1553" s="61">
        <v>5157</v>
      </c>
      <c r="G1553" s="61">
        <v>2025</v>
      </c>
      <c r="H1553" s="61" t="s">
        <v>3470</v>
      </c>
      <c r="I1553" s="61" t="s">
        <v>30</v>
      </c>
      <c r="J1553" s="61" t="s">
        <v>28</v>
      </c>
      <c r="K1553" s="61" t="s">
        <v>212</v>
      </c>
      <c r="L1553" s="61" t="s">
        <v>8667</v>
      </c>
      <c r="M1553" s="475">
        <v>45763</v>
      </c>
      <c r="N1553" s="475">
        <v>45763</v>
      </c>
      <c r="O1553" s="475">
        <v>45769</v>
      </c>
      <c r="P1553" s="475">
        <v>45769</v>
      </c>
      <c r="Q1553" s="475">
        <v>45769</v>
      </c>
      <c r="R1553" s="61">
        <f t="shared" si="108"/>
        <v>1</v>
      </c>
      <c r="S1553" s="61">
        <f t="shared" si="109"/>
        <v>4</v>
      </c>
      <c r="T1553" s="61">
        <f t="shared" si="107"/>
        <v>1</v>
      </c>
      <c r="U1553" s="61">
        <f t="shared" si="110"/>
        <v>1</v>
      </c>
      <c r="V1553" s="61" t="s">
        <v>150</v>
      </c>
      <c r="W1553" s="61" t="s">
        <v>1078</v>
      </c>
      <c r="X1553" s="61" t="s">
        <v>50</v>
      </c>
      <c r="Y1553" s="485">
        <v>15.308991000000001</v>
      </c>
      <c r="Z1553" s="500">
        <v>120.895</v>
      </c>
      <c r="AA1553" s="61" t="s">
        <v>404</v>
      </c>
      <c r="AB1553" s="61"/>
    </row>
    <row r="1554" spans="1:28" s="2" customFormat="1" ht="15.75">
      <c r="A1554" s="61" t="s">
        <v>2286</v>
      </c>
      <c r="B1554" s="61" t="s">
        <v>1180</v>
      </c>
      <c r="C1554" s="61" t="s">
        <v>3974</v>
      </c>
      <c r="D1554" s="61" t="s">
        <v>7838</v>
      </c>
      <c r="E1554" s="61">
        <v>6745</v>
      </c>
      <c r="F1554" s="61">
        <v>7019</v>
      </c>
      <c r="G1554" s="61">
        <v>2025</v>
      </c>
      <c r="H1554" s="61" t="s">
        <v>3416</v>
      </c>
      <c r="I1554" s="61" t="s">
        <v>30</v>
      </c>
      <c r="J1554" s="61" t="s">
        <v>2289</v>
      </c>
      <c r="K1554" s="61" t="s">
        <v>212</v>
      </c>
      <c r="L1554" s="61" t="s">
        <v>8668</v>
      </c>
      <c r="M1554" s="475">
        <v>45715</v>
      </c>
      <c r="N1554" s="475">
        <v>45719</v>
      </c>
      <c r="O1554" s="475">
        <v>45719</v>
      </c>
      <c r="P1554" s="475">
        <v>45720</v>
      </c>
      <c r="Q1554" s="475">
        <v>45721</v>
      </c>
      <c r="R1554" s="61">
        <f t="shared" si="108"/>
        <v>2</v>
      </c>
      <c r="S1554" s="61">
        <f t="shared" si="109"/>
        <v>1</v>
      </c>
      <c r="T1554" s="61">
        <f t="shared" si="107"/>
        <v>1</v>
      </c>
      <c r="U1554" s="61">
        <f t="shared" si="110"/>
        <v>1</v>
      </c>
      <c r="V1554" s="61" t="s">
        <v>150</v>
      </c>
      <c r="W1554" s="61" t="s">
        <v>1078</v>
      </c>
      <c r="X1554" s="61" t="s">
        <v>50</v>
      </c>
      <c r="Y1554" s="478">
        <v>15.291332000000001</v>
      </c>
      <c r="Z1554" s="490">
        <v>120.884254</v>
      </c>
      <c r="AA1554" s="61" t="s">
        <v>404</v>
      </c>
      <c r="AB1554" s="61"/>
    </row>
    <row r="1555" spans="1:28" s="2" customFormat="1" ht="15.75">
      <c r="A1555" s="61" t="s">
        <v>2286</v>
      </c>
      <c r="B1555" s="61" t="s">
        <v>1180</v>
      </c>
      <c r="C1555" s="61" t="s">
        <v>1305</v>
      </c>
      <c r="D1555" s="61" t="s">
        <v>7838</v>
      </c>
      <c r="E1555" s="61">
        <v>3853</v>
      </c>
      <c r="F1555" s="61">
        <v>4388</v>
      </c>
      <c r="G1555" s="61">
        <v>2025</v>
      </c>
      <c r="H1555" s="61" t="s">
        <v>3416</v>
      </c>
      <c r="I1555" s="61" t="s">
        <v>30</v>
      </c>
      <c r="J1555" s="61" t="s">
        <v>2289</v>
      </c>
      <c r="K1555" s="61" t="s">
        <v>212</v>
      </c>
      <c r="L1555" s="61" t="s">
        <v>8669</v>
      </c>
      <c r="M1555" s="475">
        <v>45720</v>
      </c>
      <c r="N1555" s="475">
        <v>45721</v>
      </c>
      <c r="O1555" s="475">
        <v>45721</v>
      </c>
      <c r="P1555" s="475">
        <v>45729</v>
      </c>
      <c r="Q1555" s="475">
        <v>45730</v>
      </c>
      <c r="R1555" s="61">
        <f t="shared" si="108"/>
        <v>1</v>
      </c>
      <c r="S1555" s="61">
        <f t="shared" si="109"/>
        <v>1</v>
      </c>
      <c r="T1555" s="61">
        <f t="shared" ref="T1555:T1618" si="111">IF(
  OR(A1555 = "Nueva_Ecija", A1555 = "Zambales"),
  IF(
    OR(ISBLANK(O1555), ISBLANK(P1555)),
    "",
    MAX(1, IF(
      NETWORKDAYS(O1555, P1555) &lt;= 0,
      1,
      NETWORKDAYS(O1555, P1555) - IF(O1555 = P1555, 0, 1)
    ))
  ),
  IF(
    OR(ISBLANK(N1555), ISBLANK(P1555)),
    "",
    MAX(1, IF(
      NETWORKDAYS(N1555, P1555) &lt;= 0,
      1,
      NETWORKDAYS(N1555, P1555) - IF(N1555 = P1555, 0, 1)
    ))
  )
)</f>
        <v>6</v>
      </c>
      <c r="U1555" s="61">
        <f t="shared" si="110"/>
        <v>1</v>
      </c>
      <c r="V1555" s="61" t="s">
        <v>150</v>
      </c>
      <c r="W1555" s="61" t="s">
        <v>1078</v>
      </c>
      <c r="X1555" s="61" t="s">
        <v>50</v>
      </c>
      <c r="Y1555" s="478">
        <v>15.272532999999999</v>
      </c>
      <c r="Z1555" s="490">
        <v>120.912251</v>
      </c>
      <c r="AA1555" s="61" t="s">
        <v>404</v>
      </c>
      <c r="AB1555" s="61"/>
    </row>
    <row r="1556" spans="1:28" s="2" customFormat="1" ht="15">
      <c r="A1556" s="61" t="s">
        <v>2286</v>
      </c>
      <c r="B1556" s="61" t="s">
        <v>1180</v>
      </c>
      <c r="C1556" s="61" t="s">
        <v>5096</v>
      </c>
      <c r="D1556" s="61" t="s">
        <v>7838</v>
      </c>
      <c r="E1556" s="61">
        <v>9160</v>
      </c>
      <c r="F1556" s="61">
        <v>9596</v>
      </c>
      <c r="G1556" s="61">
        <v>2025</v>
      </c>
      <c r="H1556" s="61" t="s">
        <v>3128</v>
      </c>
      <c r="I1556" s="61" t="s">
        <v>30</v>
      </c>
      <c r="J1556" s="61" t="s">
        <v>2289</v>
      </c>
      <c r="K1556" s="61" t="s">
        <v>212</v>
      </c>
      <c r="L1556" s="61" t="s">
        <v>8670</v>
      </c>
      <c r="M1556" s="475">
        <v>45926</v>
      </c>
      <c r="N1556" s="475">
        <v>45927</v>
      </c>
      <c r="O1556" s="475">
        <v>45939</v>
      </c>
      <c r="P1556" s="475">
        <v>45946</v>
      </c>
      <c r="Q1556" s="475">
        <v>45947</v>
      </c>
      <c r="R1556" s="61">
        <f t="shared" si="108"/>
        <v>1</v>
      </c>
      <c r="S1556" s="61">
        <f t="shared" si="109"/>
        <v>8</v>
      </c>
      <c r="T1556" s="61">
        <f t="shared" si="111"/>
        <v>5</v>
      </c>
      <c r="U1556" s="61">
        <f t="shared" si="110"/>
        <v>1</v>
      </c>
      <c r="V1556" s="61" t="s">
        <v>150</v>
      </c>
      <c r="W1556" s="61" t="s">
        <v>1078</v>
      </c>
      <c r="X1556" s="61" t="s">
        <v>50</v>
      </c>
      <c r="Y1556" s="478">
        <v>15.308374000000001</v>
      </c>
      <c r="Z1556" s="478">
        <v>120.906801</v>
      </c>
      <c r="AA1556" s="61" t="s">
        <v>404</v>
      </c>
      <c r="AB1556" s="61"/>
    </row>
    <row r="1557" spans="1:28" s="2" customFormat="1" ht="15">
      <c r="A1557" s="61" t="s">
        <v>2286</v>
      </c>
      <c r="B1557" s="61" t="s">
        <v>1180</v>
      </c>
      <c r="C1557" s="61" t="s">
        <v>5103</v>
      </c>
      <c r="D1557" s="61" t="s">
        <v>7838</v>
      </c>
      <c r="E1557" s="61">
        <v>2533</v>
      </c>
      <c r="F1557" s="61">
        <v>2665</v>
      </c>
      <c r="G1557" s="61">
        <v>2025</v>
      </c>
      <c r="H1557" s="61" t="s">
        <v>3128</v>
      </c>
      <c r="I1557" s="61" t="s">
        <v>30</v>
      </c>
      <c r="J1557" s="61" t="s">
        <v>2289</v>
      </c>
      <c r="K1557" s="61" t="s">
        <v>212</v>
      </c>
      <c r="L1557" s="61" t="s">
        <v>8671</v>
      </c>
      <c r="M1557" s="475">
        <v>45926</v>
      </c>
      <c r="N1557" s="475">
        <v>45927</v>
      </c>
      <c r="O1557" s="475">
        <v>45939</v>
      </c>
      <c r="P1557" s="475">
        <v>45946</v>
      </c>
      <c r="Q1557" s="475">
        <v>45947</v>
      </c>
      <c r="R1557" s="61">
        <f t="shared" si="108"/>
        <v>1</v>
      </c>
      <c r="S1557" s="61">
        <f t="shared" si="109"/>
        <v>8</v>
      </c>
      <c r="T1557" s="61">
        <f t="shared" si="111"/>
        <v>5</v>
      </c>
      <c r="U1557" s="61">
        <f t="shared" si="110"/>
        <v>1</v>
      </c>
      <c r="V1557" s="61" t="s">
        <v>150</v>
      </c>
      <c r="W1557" s="61" t="s">
        <v>1078</v>
      </c>
      <c r="X1557" s="61" t="s">
        <v>50</v>
      </c>
      <c r="Y1557" s="478">
        <v>15.221405000000001</v>
      </c>
      <c r="Z1557" s="478">
        <v>120.90841500000001</v>
      </c>
      <c r="AA1557" s="61" t="s">
        <v>404</v>
      </c>
      <c r="AB1557" s="61"/>
    </row>
    <row r="1558" spans="1:28" s="2" customFormat="1" ht="15">
      <c r="A1558" s="61" t="s">
        <v>2286</v>
      </c>
      <c r="B1558" s="61" t="s">
        <v>1180</v>
      </c>
      <c r="C1558" s="61" t="s">
        <v>1056</v>
      </c>
      <c r="D1558" s="61" t="s">
        <v>7838</v>
      </c>
      <c r="E1558" s="61">
        <v>7214</v>
      </c>
      <c r="F1558" s="61">
        <v>7464</v>
      </c>
      <c r="G1558" s="61">
        <v>2025</v>
      </c>
      <c r="H1558" s="61" t="s">
        <v>3128</v>
      </c>
      <c r="I1558" s="61" t="s">
        <v>30</v>
      </c>
      <c r="J1558" s="61" t="s">
        <v>2289</v>
      </c>
      <c r="K1558" s="61" t="s">
        <v>212</v>
      </c>
      <c r="L1558" s="61" t="s">
        <v>8672</v>
      </c>
      <c r="M1558" s="475">
        <v>45926</v>
      </c>
      <c r="N1558" s="475">
        <v>45927</v>
      </c>
      <c r="O1558" s="475">
        <v>45939</v>
      </c>
      <c r="P1558" s="475">
        <v>45946</v>
      </c>
      <c r="Q1558" s="475">
        <v>45947</v>
      </c>
      <c r="R1558" s="61">
        <f t="shared" si="108"/>
        <v>1</v>
      </c>
      <c r="S1558" s="61">
        <f t="shared" si="109"/>
        <v>8</v>
      </c>
      <c r="T1558" s="61">
        <f t="shared" si="111"/>
        <v>5</v>
      </c>
      <c r="U1558" s="61">
        <f t="shared" si="110"/>
        <v>1</v>
      </c>
      <c r="V1558" s="61" t="s">
        <v>150</v>
      </c>
      <c r="W1558" s="61" t="s">
        <v>1078</v>
      </c>
      <c r="X1558" s="61" t="s">
        <v>50</v>
      </c>
      <c r="Y1558" s="478">
        <v>15.308365</v>
      </c>
      <c r="Z1558" s="478">
        <v>120.906807</v>
      </c>
      <c r="AA1558" s="61" t="s">
        <v>404</v>
      </c>
      <c r="AB1558" s="61"/>
    </row>
    <row r="1559" spans="1:28" s="2" customFormat="1" ht="15">
      <c r="A1559" s="61" t="s">
        <v>2286</v>
      </c>
      <c r="B1559" s="61" t="s">
        <v>1180</v>
      </c>
      <c r="C1559" s="61" t="s">
        <v>3763</v>
      </c>
      <c r="D1559" s="61" t="s">
        <v>7838</v>
      </c>
      <c r="E1559" s="61">
        <v>5812</v>
      </c>
      <c r="F1559" s="61">
        <v>6021</v>
      </c>
      <c r="G1559" s="61">
        <v>2025</v>
      </c>
      <c r="H1559" s="61" t="s">
        <v>3128</v>
      </c>
      <c r="I1559" s="61" t="s">
        <v>30</v>
      </c>
      <c r="J1559" s="61" t="s">
        <v>2289</v>
      </c>
      <c r="K1559" s="61" t="s">
        <v>212</v>
      </c>
      <c r="L1559" s="61" t="s">
        <v>8673</v>
      </c>
      <c r="M1559" s="475">
        <v>45926</v>
      </c>
      <c r="N1559" s="475">
        <v>45927</v>
      </c>
      <c r="O1559" s="475">
        <v>45943</v>
      </c>
      <c r="P1559" s="475">
        <v>45946</v>
      </c>
      <c r="Q1559" s="475">
        <v>45947</v>
      </c>
      <c r="R1559" s="61">
        <f t="shared" si="108"/>
        <v>1</v>
      </c>
      <c r="S1559" s="61">
        <f t="shared" si="109"/>
        <v>10</v>
      </c>
      <c r="T1559" s="61">
        <f t="shared" si="111"/>
        <v>3</v>
      </c>
      <c r="U1559" s="61">
        <f t="shared" si="110"/>
        <v>1</v>
      </c>
      <c r="V1559" s="61" t="s">
        <v>150</v>
      </c>
      <c r="W1559" s="61" t="s">
        <v>1078</v>
      </c>
      <c r="X1559" s="61" t="s">
        <v>50</v>
      </c>
      <c r="Y1559" s="478">
        <v>15.221404</v>
      </c>
      <c r="Z1559" s="478">
        <v>120.908393</v>
      </c>
      <c r="AA1559" s="61" t="s">
        <v>404</v>
      </c>
      <c r="AB1559" s="61"/>
    </row>
    <row r="1560" spans="1:28" s="2" customFormat="1" ht="15">
      <c r="A1560" s="61" t="s">
        <v>2286</v>
      </c>
      <c r="B1560" s="61" t="s">
        <v>1180</v>
      </c>
      <c r="C1560" s="61" t="s">
        <v>5094</v>
      </c>
      <c r="D1560" s="61" t="s">
        <v>7838</v>
      </c>
      <c r="E1560" s="61">
        <v>5129</v>
      </c>
      <c r="F1560" s="61">
        <v>5290</v>
      </c>
      <c r="G1560" s="61">
        <v>2025</v>
      </c>
      <c r="H1560" s="61" t="s">
        <v>3127</v>
      </c>
      <c r="I1560" s="61" t="s">
        <v>30</v>
      </c>
      <c r="J1560" s="61" t="s">
        <v>2289</v>
      </c>
      <c r="K1560" s="61" t="s">
        <v>212</v>
      </c>
      <c r="L1560" s="61" t="s">
        <v>8674</v>
      </c>
      <c r="M1560" s="475">
        <v>45898</v>
      </c>
      <c r="N1560" s="475">
        <v>45918</v>
      </c>
      <c r="O1560" s="475">
        <v>45918</v>
      </c>
      <c r="P1560" s="475">
        <v>45918</v>
      </c>
      <c r="Q1560" s="475">
        <v>45918</v>
      </c>
      <c r="R1560" s="61">
        <f t="shared" ref="R1560:R1623" si="112">IF(
    OR(ISBLANK(M1560), ISBLANK(N1560)),
    "",
    MAX(1, IF(
        NETWORKDAYS(M1560, N1560) &lt;= 0,
        1,
        NETWORKDAYS(M1560, N1560) - IF(M1560 = N1560, 0, 1)
    ))
)</f>
        <v>14</v>
      </c>
      <c r="S1560" s="61">
        <f t="shared" ref="S1560:S1623" si="113">IF(
    OR(ISBLANK(N1560), ISBLANK(O1560)),
    "",
    MAX(1, IF(
        NETWORKDAYS(N1560, O1560) &lt;= 0,
        1,
        NETWORKDAYS(N1560, O1560) - IF(N1560 = O1560, 0, 1)
    ))
)</f>
        <v>1</v>
      </c>
      <c r="T1560" s="61">
        <f t="shared" si="111"/>
        <v>1</v>
      </c>
      <c r="U1560" s="61">
        <f t="shared" ref="U1560:U1623" si="114">IF(
    OR(ISBLANK(P1560), ISBLANK(Q1560)),
    "",
    MAX(1, IF(
        NETWORKDAYS(P1560, Q1560) &lt;= 0,
        1,
        NETWORKDAYS(P1560, Q1560) - IF(P1560 = Q1560, 0, 1)
    ))
)</f>
        <v>1</v>
      </c>
      <c r="V1560" s="61" t="s">
        <v>150</v>
      </c>
      <c r="W1560" s="61" t="s">
        <v>1078</v>
      </c>
      <c r="X1560" s="61" t="s">
        <v>50</v>
      </c>
      <c r="Y1560" s="471">
        <v>15.299937</v>
      </c>
      <c r="Z1560" s="471">
        <v>120.87400599999999</v>
      </c>
      <c r="AA1560" s="61" t="s">
        <v>404</v>
      </c>
      <c r="AB1560" s="61"/>
    </row>
    <row r="1561" spans="1:28" s="2" customFormat="1" ht="15">
      <c r="A1561" s="61" t="s">
        <v>2286</v>
      </c>
      <c r="B1561" s="61" t="s">
        <v>1180</v>
      </c>
      <c r="C1561" s="61" t="s">
        <v>3977</v>
      </c>
      <c r="D1561" s="61" t="s">
        <v>7838</v>
      </c>
      <c r="E1561" s="61">
        <v>6177</v>
      </c>
      <c r="F1561" s="61">
        <v>6772</v>
      </c>
      <c r="G1561" s="61">
        <v>2025</v>
      </c>
      <c r="H1561" s="61" t="s">
        <v>3127</v>
      </c>
      <c r="I1561" s="61" t="s">
        <v>30</v>
      </c>
      <c r="J1561" s="61" t="s">
        <v>2289</v>
      </c>
      <c r="K1561" s="61" t="s">
        <v>212</v>
      </c>
      <c r="L1561" s="61" t="s">
        <v>8675</v>
      </c>
      <c r="M1561" s="475">
        <v>45898</v>
      </c>
      <c r="N1561" s="475">
        <v>45918</v>
      </c>
      <c r="O1561" s="475">
        <v>45918</v>
      </c>
      <c r="P1561" s="475">
        <v>45918</v>
      </c>
      <c r="Q1561" s="475">
        <v>45918</v>
      </c>
      <c r="R1561" s="61">
        <f t="shared" si="112"/>
        <v>14</v>
      </c>
      <c r="S1561" s="61">
        <f t="shared" si="113"/>
        <v>1</v>
      </c>
      <c r="T1561" s="61">
        <f t="shared" si="111"/>
        <v>1</v>
      </c>
      <c r="U1561" s="61">
        <f t="shared" si="114"/>
        <v>1</v>
      </c>
      <c r="V1561" s="61" t="s">
        <v>150</v>
      </c>
      <c r="W1561" s="61" t="s">
        <v>1078</v>
      </c>
      <c r="X1561" s="61" t="s">
        <v>50</v>
      </c>
      <c r="Y1561" s="471">
        <v>15.298078</v>
      </c>
      <c r="Z1561" s="471">
        <v>120.88819700000001</v>
      </c>
      <c r="AA1561" s="61" t="s">
        <v>404</v>
      </c>
      <c r="AB1561" s="61"/>
    </row>
    <row r="1562" spans="1:28" s="2" customFormat="1" ht="15">
      <c r="A1562" s="61" t="s">
        <v>2286</v>
      </c>
      <c r="B1562" s="61" t="s">
        <v>1309</v>
      </c>
      <c r="C1562" s="61" t="s">
        <v>5122</v>
      </c>
      <c r="D1562" s="61" t="s">
        <v>7838</v>
      </c>
      <c r="E1562" s="61">
        <v>2651</v>
      </c>
      <c r="F1562" s="61">
        <v>3048</v>
      </c>
      <c r="G1562" s="61">
        <v>2025</v>
      </c>
      <c r="H1562" s="61" t="s">
        <v>3416</v>
      </c>
      <c r="I1562" s="61" t="s">
        <v>26</v>
      </c>
      <c r="J1562" s="61" t="s">
        <v>2289</v>
      </c>
      <c r="K1562" s="61" t="s">
        <v>212</v>
      </c>
      <c r="L1562" s="634" t="s">
        <v>8676</v>
      </c>
      <c r="M1562" s="475">
        <v>45728</v>
      </c>
      <c r="N1562" s="475">
        <v>45733</v>
      </c>
      <c r="O1562" s="475">
        <v>45734</v>
      </c>
      <c r="P1562" s="475">
        <v>45734</v>
      </c>
      <c r="Q1562" s="475">
        <v>45735</v>
      </c>
      <c r="R1562" s="61">
        <f t="shared" si="112"/>
        <v>3</v>
      </c>
      <c r="S1562" s="61">
        <f t="shared" si="113"/>
        <v>1</v>
      </c>
      <c r="T1562" s="61">
        <f t="shared" si="111"/>
        <v>1</v>
      </c>
      <c r="U1562" s="61">
        <f t="shared" si="114"/>
        <v>1</v>
      </c>
      <c r="V1562" s="61" t="s">
        <v>150</v>
      </c>
      <c r="W1562" s="61" t="s">
        <v>4</v>
      </c>
      <c r="X1562" s="61" t="s">
        <v>50</v>
      </c>
      <c r="Y1562" s="485">
        <v>15.81446</v>
      </c>
      <c r="Z1562" s="485">
        <v>120.03493</v>
      </c>
      <c r="AA1562" s="61" t="s">
        <v>182</v>
      </c>
      <c r="AB1562" s="61"/>
    </row>
    <row r="1563" spans="1:28" s="2" customFormat="1" ht="15">
      <c r="A1563" s="61" t="s">
        <v>2286</v>
      </c>
      <c r="B1563" s="61" t="s">
        <v>1309</v>
      </c>
      <c r="C1563" s="61" t="s">
        <v>5125</v>
      </c>
      <c r="D1563" s="61" t="s">
        <v>7838</v>
      </c>
      <c r="E1563" s="61">
        <v>4718</v>
      </c>
      <c r="F1563" s="61">
        <v>5317</v>
      </c>
      <c r="G1563" s="61">
        <v>2025</v>
      </c>
      <c r="H1563" s="61" t="s">
        <v>3416</v>
      </c>
      <c r="I1563" s="61" t="s">
        <v>26</v>
      </c>
      <c r="J1563" s="61" t="s">
        <v>2289</v>
      </c>
      <c r="K1563" s="61" t="s">
        <v>212</v>
      </c>
      <c r="L1563" s="61" t="s">
        <v>8677</v>
      </c>
      <c r="M1563" s="475">
        <v>45715</v>
      </c>
      <c r="N1563" s="475">
        <v>45720</v>
      </c>
      <c r="O1563" s="475">
        <v>45720</v>
      </c>
      <c r="P1563" s="475">
        <v>45720</v>
      </c>
      <c r="Q1563" s="475">
        <v>45721</v>
      </c>
      <c r="R1563" s="61">
        <f t="shared" si="112"/>
        <v>3</v>
      </c>
      <c r="S1563" s="61">
        <f t="shared" si="113"/>
        <v>1</v>
      </c>
      <c r="T1563" s="61">
        <f t="shared" si="111"/>
        <v>1</v>
      </c>
      <c r="U1563" s="61">
        <f t="shared" si="114"/>
        <v>1</v>
      </c>
      <c r="V1563" s="61" t="s">
        <v>150</v>
      </c>
      <c r="W1563" s="61" t="s">
        <v>4</v>
      </c>
      <c r="X1563" s="61" t="s">
        <v>50</v>
      </c>
      <c r="Y1563" s="471">
        <v>15.76995</v>
      </c>
      <c r="Z1563" s="478">
        <v>121.01794</v>
      </c>
      <c r="AA1563" s="61" t="s">
        <v>182</v>
      </c>
      <c r="AB1563" s="61"/>
    </row>
    <row r="1564" spans="1:28" s="2" customFormat="1" ht="15">
      <c r="A1564" s="61" t="s">
        <v>2286</v>
      </c>
      <c r="B1564" s="61" t="s">
        <v>1309</v>
      </c>
      <c r="C1564" s="61" t="s">
        <v>5110</v>
      </c>
      <c r="D1564" s="61" t="s">
        <v>7838</v>
      </c>
      <c r="E1564" s="61">
        <v>2983</v>
      </c>
      <c r="F1564" s="61">
        <v>4031</v>
      </c>
      <c r="G1564" s="61">
        <v>2025</v>
      </c>
      <c r="H1564" s="61" t="s">
        <v>3458</v>
      </c>
      <c r="I1564" s="61" t="s">
        <v>26</v>
      </c>
      <c r="J1564" s="61" t="s">
        <v>2289</v>
      </c>
      <c r="K1564" s="61" t="s">
        <v>212</v>
      </c>
      <c r="L1564" s="61" t="s">
        <v>8678</v>
      </c>
      <c r="M1564" s="475">
        <v>45702</v>
      </c>
      <c r="N1564" s="475">
        <v>45705</v>
      </c>
      <c r="O1564" s="475">
        <v>45706</v>
      </c>
      <c r="P1564" s="475">
        <v>45706</v>
      </c>
      <c r="Q1564" s="475">
        <v>45706</v>
      </c>
      <c r="R1564" s="61">
        <f t="shared" si="112"/>
        <v>1</v>
      </c>
      <c r="S1564" s="61">
        <f t="shared" si="113"/>
        <v>1</v>
      </c>
      <c r="T1564" s="61">
        <f t="shared" si="111"/>
        <v>1</v>
      </c>
      <c r="U1564" s="61">
        <f t="shared" si="114"/>
        <v>1</v>
      </c>
      <c r="V1564" s="61" t="s">
        <v>150</v>
      </c>
      <c r="W1564" s="61" t="s">
        <v>1078</v>
      </c>
      <c r="X1564" s="61" t="s">
        <v>50</v>
      </c>
      <c r="Y1564" s="473">
        <v>15.78002</v>
      </c>
      <c r="Z1564" s="473">
        <v>120.96778</v>
      </c>
      <c r="AA1564" s="61" t="s">
        <v>182</v>
      </c>
      <c r="AB1564" s="61"/>
    </row>
    <row r="1565" spans="1:28" s="2" customFormat="1" ht="15">
      <c r="A1565" s="61" t="s">
        <v>2286</v>
      </c>
      <c r="B1565" s="61" t="s">
        <v>1309</v>
      </c>
      <c r="C1565" s="61" t="s">
        <v>5111</v>
      </c>
      <c r="D1565" s="61" t="s">
        <v>7838</v>
      </c>
      <c r="E1565" s="61">
        <v>20172</v>
      </c>
      <c r="F1565" s="61">
        <v>21214</v>
      </c>
      <c r="G1565" s="61">
        <v>2025</v>
      </c>
      <c r="H1565" s="61" t="s">
        <v>3458</v>
      </c>
      <c r="I1565" s="61" t="s">
        <v>26</v>
      </c>
      <c r="J1565" s="61" t="s">
        <v>2289</v>
      </c>
      <c r="K1565" s="61" t="s">
        <v>212</v>
      </c>
      <c r="L1565" s="634" t="s">
        <v>8679</v>
      </c>
      <c r="M1565" s="475">
        <v>45702</v>
      </c>
      <c r="N1565" s="475">
        <v>45705</v>
      </c>
      <c r="O1565" s="475">
        <v>45706</v>
      </c>
      <c r="P1565" s="475">
        <v>45706</v>
      </c>
      <c r="Q1565" s="475">
        <v>45706</v>
      </c>
      <c r="R1565" s="61">
        <f t="shared" si="112"/>
        <v>1</v>
      </c>
      <c r="S1565" s="61">
        <f t="shared" si="113"/>
        <v>1</v>
      </c>
      <c r="T1565" s="61">
        <f t="shared" si="111"/>
        <v>1</v>
      </c>
      <c r="U1565" s="61">
        <f t="shared" si="114"/>
        <v>1</v>
      </c>
      <c r="V1565" s="61" t="s">
        <v>150</v>
      </c>
      <c r="W1565" s="61" t="s">
        <v>1078</v>
      </c>
      <c r="X1565" s="61" t="s">
        <v>50</v>
      </c>
      <c r="Y1565" s="473">
        <v>15.792490000000001</v>
      </c>
      <c r="Z1565" s="473">
        <v>120.97787</v>
      </c>
      <c r="AA1565" s="61" t="s">
        <v>182</v>
      </c>
      <c r="AB1565" s="61"/>
    </row>
    <row r="1566" spans="1:28" s="2" customFormat="1" ht="15">
      <c r="A1566" s="61" t="s">
        <v>2286</v>
      </c>
      <c r="B1566" s="61" t="s">
        <v>1309</v>
      </c>
      <c r="C1566" s="61" t="s">
        <v>5112</v>
      </c>
      <c r="D1566" s="61" t="s">
        <v>7838</v>
      </c>
      <c r="E1566" s="61">
        <v>5032</v>
      </c>
      <c r="F1566" s="61">
        <v>5217</v>
      </c>
      <c r="G1566" s="61">
        <v>2025</v>
      </c>
      <c r="H1566" s="61" t="s">
        <v>3458</v>
      </c>
      <c r="I1566" s="61" t="s">
        <v>26</v>
      </c>
      <c r="J1566" s="61" t="s">
        <v>2289</v>
      </c>
      <c r="K1566" s="61" t="s">
        <v>212</v>
      </c>
      <c r="L1566" s="61" t="s">
        <v>8680</v>
      </c>
      <c r="M1566" s="475">
        <v>45702</v>
      </c>
      <c r="N1566" s="475">
        <v>45705</v>
      </c>
      <c r="O1566" s="475">
        <v>45706</v>
      </c>
      <c r="P1566" s="475">
        <v>45706</v>
      </c>
      <c r="Q1566" s="475">
        <v>45706</v>
      </c>
      <c r="R1566" s="61">
        <f t="shared" si="112"/>
        <v>1</v>
      </c>
      <c r="S1566" s="61">
        <f t="shared" si="113"/>
        <v>1</v>
      </c>
      <c r="T1566" s="61">
        <f t="shared" si="111"/>
        <v>1</v>
      </c>
      <c r="U1566" s="61">
        <f t="shared" si="114"/>
        <v>1</v>
      </c>
      <c r="V1566" s="61" t="s">
        <v>150</v>
      </c>
      <c r="W1566" s="61" t="s">
        <v>1078</v>
      </c>
      <c r="X1566" s="61" t="s">
        <v>50</v>
      </c>
      <c r="Y1566" s="473">
        <v>15.76979</v>
      </c>
      <c r="Z1566" s="473">
        <v>120.96351</v>
      </c>
      <c r="AA1566" s="61" t="s">
        <v>182</v>
      </c>
      <c r="AB1566" s="61"/>
    </row>
    <row r="1567" spans="1:28" s="2" customFormat="1" ht="15">
      <c r="A1567" s="61" t="s">
        <v>2286</v>
      </c>
      <c r="B1567" s="61" t="s">
        <v>1309</v>
      </c>
      <c r="C1567" s="61" t="s">
        <v>5113</v>
      </c>
      <c r="D1567" s="61" t="s">
        <v>7838</v>
      </c>
      <c r="E1567" s="61">
        <v>1649</v>
      </c>
      <c r="F1567" s="61">
        <v>2887</v>
      </c>
      <c r="G1567" s="61">
        <v>2025</v>
      </c>
      <c r="H1567" s="61" t="s">
        <v>3126</v>
      </c>
      <c r="I1567" s="61" t="s">
        <v>26</v>
      </c>
      <c r="J1567" s="61" t="s">
        <v>2289</v>
      </c>
      <c r="K1567" s="61" t="s">
        <v>212</v>
      </c>
      <c r="L1567" s="634" t="s">
        <v>8681</v>
      </c>
      <c r="M1567" s="475">
        <v>45855</v>
      </c>
      <c r="N1567" s="475">
        <v>45859</v>
      </c>
      <c r="O1567" s="475">
        <v>45869</v>
      </c>
      <c r="P1567" s="475">
        <v>45875</v>
      </c>
      <c r="Q1567" s="475">
        <v>45875</v>
      </c>
      <c r="R1567" s="61">
        <f t="shared" si="112"/>
        <v>2</v>
      </c>
      <c r="S1567" s="61">
        <f t="shared" si="113"/>
        <v>8</v>
      </c>
      <c r="T1567" s="61">
        <f t="shared" si="111"/>
        <v>4</v>
      </c>
      <c r="U1567" s="61">
        <f t="shared" si="114"/>
        <v>1</v>
      </c>
      <c r="V1567" s="61" t="s">
        <v>150</v>
      </c>
      <c r="W1567" s="61" t="s">
        <v>1078</v>
      </c>
      <c r="X1567" s="61" t="s">
        <v>50</v>
      </c>
      <c r="Y1567" s="473">
        <v>15.76606</v>
      </c>
      <c r="Z1567" s="473">
        <v>120.97954</v>
      </c>
      <c r="AA1567" s="61" t="s">
        <v>182</v>
      </c>
      <c r="AB1567" s="61"/>
    </row>
    <row r="1568" spans="1:28" s="2" customFormat="1" ht="15">
      <c r="A1568" s="61" t="s">
        <v>2286</v>
      </c>
      <c r="B1568" s="61" t="s">
        <v>1309</v>
      </c>
      <c r="C1568" s="61" t="s">
        <v>5115</v>
      </c>
      <c r="D1568" s="61" t="s">
        <v>7838</v>
      </c>
      <c r="E1568" s="61">
        <v>2353</v>
      </c>
      <c r="F1568" s="61">
        <v>2069</v>
      </c>
      <c r="G1568" s="61">
        <v>2025</v>
      </c>
      <c r="H1568" s="61" t="s">
        <v>3126</v>
      </c>
      <c r="I1568" s="61" t="s">
        <v>26</v>
      </c>
      <c r="J1568" s="61"/>
      <c r="K1568" s="61" t="s">
        <v>212</v>
      </c>
      <c r="L1568" s="61" t="s">
        <v>8682</v>
      </c>
      <c r="M1568" s="475">
        <v>45855</v>
      </c>
      <c r="N1568" s="475">
        <v>45859</v>
      </c>
      <c r="O1568" s="475">
        <v>45862</v>
      </c>
      <c r="P1568" s="475">
        <v>45862</v>
      </c>
      <c r="Q1568" s="475">
        <v>45866</v>
      </c>
      <c r="R1568" s="61">
        <f t="shared" si="112"/>
        <v>2</v>
      </c>
      <c r="S1568" s="61">
        <f t="shared" si="113"/>
        <v>3</v>
      </c>
      <c r="T1568" s="61">
        <f t="shared" si="111"/>
        <v>1</v>
      </c>
      <c r="U1568" s="61">
        <f t="shared" si="114"/>
        <v>2</v>
      </c>
      <c r="V1568" s="61" t="s">
        <v>150</v>
      </c>
      <c r="W1568" s="61" t="s">
        <v>1078</v>
      </c>
      <c r="X1568" s="61" t="s">
        <v>50</v>
      </c>
      <c r="Y1568" s="473">
        <v>15.787990000000001</v>
      </c>
      <c r="Z1568" s="473">
        <v>120.98985</v>
      </c>
      <c r="AA1568" s="61" t="s">
        <v>182</v>
      </c>
      <c r="AB1568" s="61"/>
    </row>
    <row r="1569" spans="1:28" s="2" customFormat="1" ht="15">
      <c r="A1569" s="61" t="s">
        <v>2286</v>
      </c>
      <c r="B1569" s="61" t="s">
        <v>1309</v>
      </c>
      <c r="C1569" s="61" t="s">
        <v>5121</v>
      </c>
      <c r="D1569" s="61" t="s">
        <v>7838</v>
      </c>
      <c r="E1569" s="61">
        <v>1929</v>
      </c>
      <c r="F1569" s="61">
        <v>1550</v>
      </c>
      <c r="G1569" s="61">
        <v>2025</v>
      </c>
      <c r="H1569" s="61" t="s">
        <v>3416</v>
      </c>
      <c r="I1569" s="61" t="s">
        <v>26</v>
      </c>
      <c r="J1569" s="61" t="s">
        <v>2289</v>
      </c>
      <c r="K1569" s="61" t="s">
        <v>212</v>
      </c>
      <c r="L1569" s="61" t="s">
        <v>8683</v>
      </c>
      <c r="M1569" s="475">
        <v>45709</v>
      </c>
      <c r="N1569" s="475">
        <v>45714</v>
      </c>
      <c r="O1569" s="475">
        <v>45715</v>
      </c>
      <c r="P1569" s="475">
        <v>45719</v>
      </c>
      <c r="Q1569" s="475">
        <v>45721</v>
      </c>
      <c r="R1569" s="61">
        <f t="shared" si="112"/>
        <v>3</v>
      </c>
      <c r="S1569" s="61">
        <f t="shared" si="113"/>
        <v>1</v>
      </c>
      <c r="T1569" s="61">
        <f t="shared" si="111"/>
        <v>2</v>
      </c>
      <c r="U1569" s="61">
        <f t="shared" si="114"/>
        <v>2</v>
      </c>
      <c r="V1569" s="61" t="s">
        <v>150</v>
      </c>
      <c r="W1569" s="61" t="s">
        <v>1078</v>
      </c>
      <c r="X1569" s="61" t="s">
        <v>50</v>
      </c>
      <c r="Y1569" s="491">
        <v>15.795059999999999</v>
      </c>
      <c r="Z1569" s="491">
        <v>120.99281999999999</v>
      </c>
      <c r="AA1569" s="61" t="s">
        <v>182</v>
      </c>
      <c r="AB1569" s="61"/>
    </row>
    <row r="1570" spans="1:28" s="2" customFormat="1" ht="15">
      <c r="A1570" s="61" t="s">
        <v>2286</v>
      </c>
      <c r="B1570" s="61" t="s">
        <v>1309</v>
      </c>
      <c r="C1570" s="61" t="s">
        <v>1867</v>
      </c>
      <c r="D1570" s="61" t="s">
        <v>7838</v>
      </c>
      <c r="E1570" s="61">
        <v>7756</v>
      </c>
      <c r="F1570" s="61">
        <v>8614</v>
      </c>
      <c r="G1570" s="61">
        <v>2025</v>
      </c>
      <c r="H1570" s="61" t="s">
        <v>3532</v>
      </c>
      <c r="I1570" s="61" t="s">
        <v>26</v>
      </c>
      <c r="J1570" s="61" t="s">
        <v>2289</v>
      </c>
      <c r="K1570" s="61" t="s">
        <v>212</v>
      </c>
      <c r="L1570" s="634" t="s">
        <v>8684</v>
      </c>
      <c r="M1570" s="475">
        <v>45776</v>
      </c>
      <c r="N1570" s="475">
        <v>45784</v>
      </c>
      <c r="O1570" s="475">
        <v>45791</v>
      </c>
      <c r="P1570" s="475">
        <v>45791</v>
      </c>
      <c r="Q1570" s="475">
        <v>45792</v>
      </c>
      <c r="R1570" s="61">
        <f t="shared" si="112"/>
        <v>6</v>
      </c>
      <c r="S1570" s="61">
        <f t="shared" si="113"/>
        <v>5</v>
      </c>
      <c r="T1570" s="61">
        <f t="shared" si="111"/>
        <v>1</v>
      </c>
      <c r="U1570" s="61">
        <f t="shared" si="114"/>
        <v>1</v>
      </c>
      <c r="V1570" s="61" t="s">
        <v>150</v>
      </c>
      <c r="W1570" s="61" t="s">
        <v>1078</v>
      </c>
      <c r="X1570" s="61" t="s">
        <v>50</v>
      </c>
      <c r="Y1570" s="485">
        <v>15.80743</v>
      </c>
      <c r="Z1570" s="485">
        <v>121.00126</v>
      </c>
      <c r="AA1570" s="61" t="s">
        <v>2590</v>
      </c>
      <c r="AB1570" s="61"/>
    </row>
    <row r="1571" spans="1:28" s="2" customFormat="1" ht="15">
      <c r="A1571" s="61" t="s">
        <v>2286</v>
      </c>
      <c r="B1571" s="61" t="s">
        <v>1309</v>
      </c>
      <c r="C1571" s="61" t="s">
        <v>5127</v>
      </c>
      <c r="D1571" s="61" t="s">
        <v>7838</v>
      </c>
      <c r="E1571" s="61">
        <v>3066</v>
      </c>
      <c r="F1571" s="61">
        <v>3968</v>
      </c>
      <c r="G1571" s="61">
        <v>2025</v>
      </c>
      <c r="H1571" s="61" t="s">
        <v>3126</v>
      </c>
      <c r="I1571" s="61" t="s">
        <v>26</v>
      </c>
      <c r="J1571" s="61" t="s">
        <v>2289</v>
      </c>
      <c r="K1571" s="61" t="s">
        <v>212</v>
      </c>
      <c r="L1571" s="634" t="s">
        <v>8685</v>
      </c>
      <c r="M1571" s="475">
        <v>45877</v>
      </c>
      <c r="N1571" s="475">
        <v>45881</v>
      </c>
      <c r="O1571" s="475">
        <v>45881</v>
      </c>
      <c r="P1571" s="475">
        <v>45881</v>
      </c>
      <c r="Q1571" s="475">
        <v>45884</v>
      </c>
      <c r="R1571" s="61">
        <f t="shared" si="112"/>
        <v>2</v>
      </c>
      <c r="S1571" s="61">
        <f t="shared" si="113"/>
        <v>1</v>
      </c>
      <c r="T1571" s="61">
        <f t="shared" si="111"/>
        <v>1</v>
      </c>
      <c r="U1571" s="61">
        <f t="shared" si="114"/>
        <v>3</v>
      </c>
      <c r="V1571" s="61" t="s">
        <v>150</v>
      </c>
      <c r="W1571" s="61" t="s">
        <v>1078</v>
      </c>
      <c r="X1571" s="61" t="s">
        <v>50</v>
      </c>
      <c r="Y1571" s="487">
        <v>15.76925</v>
      </c>
      <c r="Z1571" s="487">
        <v>121.0373</v>
      </c>
      <c r="AA1571" s="61" t="s">
        <v>182</v>
      </c>
      <c r="AB1571" s="61"/>
    </row>
    <row r="1572" spans="1:28" s="2" customFormat="1" ht="15">
      <c r="A1572" s="61" t="s">
        <v>2286</v>
      </c>
      <c r="B1572" s="61" t="s">
        <v>1309</v>
      </c>
      <c r="C1572" s="61" t="s">
        <v>5107</v>
      </c>
      <c r="D1572" s="61" t="s">
        <v>7838</v>
      </c>
      <c r="E1572" s="61">
        <v>3320</v>
      </c>
      <c r="F1572" s="61">
        <v>3435</v>
      </c>
      <c r="G1572" s="61">
        <v>2025</v>
      </c>
      <c r="H1572" s="61" t="s">
        <v>3126</v>
      </c>
      <c r="I1572" s="61" t="s">
        <v>26</v>
      </c>
      <c r="J1572" s="61" t="s">
        <v>2289</v>
      </c>
      <c r="K1572" s="61" t="s">
        <v>212</v>
      </c>
      <c r="L1572" s="634" t="s">
        <v>8686</v>
      </c>
      <c r="M1572" s="475">
        <v>45877</v>
      </c>
      <c r="N1572" s="475">
        <v>45881</v>
      </c>
      <c r="O1572" s="475">
        <v>45883</v>
      </c>
      <c r="P1572" s="475">
        <v>45887</v>
      </c>
      <c r="Q1572" s="475">
        <v>45887</v>
      </c>
      <c r="R1572" s="61">
        <f t="shared" si="112"/>
        <v>2</v>
      </c>
      <c r="S1572" s="61">
        <f t="shared" si="113"/>
        <v>2</v>
      </c>
      <c r="T1572" s="61">
        <f t="shared" si="111"/>
        <v>2</v>
      </c>
      <c r="U1572" s="61">
        <f t="shared" si="114"/>
        <v>1</v>
      </c>
      <c r="V1572" s="61" t="s">
        <v>150</v>
      </c>
      <c r="W1572" s="61" t="s">
        <v>1078</v>
      </c>
      <c r="X1572" s="61" t="s">
        <v>50</v>
      </c>
      <c r="Y1572" s="473" t="s">
        <v>8687</v>
      </c>
      <c r="Z1572" s="473" t="s">
        <v>8687</v>
      </c>
      <c r="AA1572" s="61" t="s">
        <v>182</v>
      </c>
      <c r="AB1572" s="61"/>
    </row>
    <row r="1573" spans="1:28" s="2" customFormat="1" ht="15">
      <c r="A1573" s="61" t="s">
        <v>2286</v>
      </c>
      <c r="B1573" s="61" t="s">
        <v>1309</v>
      </c>
      <c r="C1573" s="61" t="s">
        <v>5131</v>
      </c>
      <c r="D1573" s="61" t="s">
        <v>7838</v>
      </c>
      <c r="E1573" s="61">
        <v>2139</v>
      </c>
      <c r="F1573" s="61">
        <v>1867</v>
      </c>
      <c r="G1573" s="61">
        <v>2025</v>
      </c>
      <c r="H1573" s="61" t="s">
        <v>3416</v>
      </c>
      <c r="I1573" s="61" t="s">
        <v>26</v>
      </c>
      <c r="J1573" s="61" t="s">
        <v>2289</v>
      </c>
      <c r="K1573" s="61" t="s">
        <v>212</v>
      </c>
      <c r="L1573" s="61" t="s">
        <v>8688</v>
      </c>
      <c r="M1573" s="475">
        <v>45709</v>
      </c>
      <c r="N1573" s="475">
        <v>45714</v>
      </c>
      <c r="O1573" s="475">
        <v>45715</v>
      </c>
      <c r="P1573" s="475">
        <v>45719</v>
      </c>
      <c r="Q1573" s="475">
        <v>45721</v>
      </c>
      <c r="R1573" s="61">
        <f t="shared" si="112"/>
        <v>3</v>
      </c>
      <c r="S1573" s="61">
        <f t="shared" si="113"/>
        <v>1</v>
      </c>
      <c r="T1573" s="61">
        <f t="shared" si="111"/>
        <v>2</v>
      </c>
      <c r="U1573" s="61">
        <f t="shared" si="114"/>
        <v>2</v>
      </c>
      <c r="V1573" s="61" t="s">
        <v>150</v>
      </c>
      <c r="W1573" s="61" t="s">
        <v>1078</v>
      </c>
      <c r="X1573" s="61" t="s">
        <v>50</v>
      </c>
      <c r="Y1573" s="491">
        <v>15.79208</v>
      </c>
      <c r="Z1573" s="491">
        <v>120.98715</v>
      </c>
      <c r="AA1573" s="61" t="s">
        <v>182</v>
      </c>
      <c r="AB1573" s="61"/>
    </row>
    <row r="1574" spans="1:28" s="2" customFormat="1" ht="15">
      <c r="A1574" s="61" t="s">
        <v>2286</v>
      </c>
      <c r="B1574" s="61" t="s">
        <v>1309</v>
      </c>
      <c r="C1574" s="61" t="s">
        <v>5139</v>
      </c>
      <c r="D1574" s="61" t="s">
        <v>7838</v>
      </c>
      <c r="E1574" s="61">
        <v>6333</v>
      </c>
      <c r="F1574" s="61">
        <v>6473</v>
      </c>
      <c r="G1574" s="61">
        <v>2025</v>
      </c>
      <c r="H1574" s="61" t="s">
        <v>3416</v>
      </c>
      <c r="I1574" s="61" t="s">
        <v>26</v>
      </c>
      <c r="J1574" s="61" t="s">
        <v>2289</v>
      </c>
      <c r="K1574" s="61" t="s">
        <v>212</v>
      </c>
      <c r="L1574" s="61" t="s">
        <v>8689</v>
      </c>
      <c r="M1574" s="475">
        <v>45714</v>
      </c>
      <c r="N1574" s="475">
        <v>45714</v>
      </c>
      <c r="O1574" s="475">
        <v>45715</v>
      </c>
      <c r="P1574" s="475">
        <v>45719</v>
      </c>
      <c r="Q1574" s="475">
        <v>45721</v>
      </c>
      <c r="R1574" s="61">
        <f t="shared" si="112"/>
        <v>1</v>
      </c>
      <c r="S1574" s="61">
        <f t="shared" si="113"/>
        <v>1</v>
      </c>
      <c r="T1574" s="61">
        <f t="shared" si="111"/>
        <v>2</v>
      </c>
      <c r="U1574" s="61">
        <f t="shared" si="114"/>
        <v>2</v>
      </c>
      <c r="V1574" s="61" t="s">
        <v>150</v>
      </c>
      <c r="W1574" s="61" t="s">
        <v>1078</v>
      </c>
      <c r="X1574" s="61" t="s">
        <v>50</v>
      </c>
      <c r="Y1574" s="478">
        <v>15.79158</v>
      </c>
      <c r="Z1574" s="478">
        <v>120.99724999999999</v>
      </c>
      <c r="AA1574" s="61" t="s">
        <v>182</v>
      </c>
      <c r="AB1574" s="61"/>
    </row>
    <row r="1575" spans="1:28" s="2" customFormat="1" ht="15">
      <c r="A1575" s="61" t="s">
        <v>2286</v>
      </c>
      <c r="B1575" s="61" t="s">
        <v>1309</v>
      </c>
      <c r="C1575" s="61" t="s">
        <v>5109</v>
      </c>
      <c r="D1575" s="61" t="s">
        <v>7838</v>
      </c>
      <c r="E1575" s="61">
        <v>1514</v>
      </c>
      <c r="F1575" s="61">
        <v>1486</v>
      </c>
      <c r="G1575" s="61">
        <v>2025</v>
      </c>
      <c r="H1575" s="61" t="s">
        <v>3127</v>
      </c>
      <c r="I1575" s="61" t="s">
        <v>26</v>
      </c>
      <c r="J1575" s="61" t="s">
        <v>2289</v>
      </c>
      <c r="K1575" s="61" t="s">
        <v>212</v>
      </c>
      <c r="L1575" s="61" t="s">
        <v>8690</v>
      </c>
      <c r="M1575" s="475">
        <v>45909</v>
      </c>
      <c r="N1575" s="475">
        <v>45916</v>
      </c>
      <c r="O1575" s="475">
        <v>45916</v>
      </c>
      <c r="P1575" s="475">
        <v>45916</v>
      </c>
      <c r="Q1575" s="475">
        <v>45918</v>
      </c>
      <c r="R1575" s="61">
        <f t="shared" si="112"/>
        <v>5</v>
      </c>
      <c r="S1575" s="61">
        <f t="shared" si="113"/>
        <v>1</v>
      </c>
      <c r="T1575" s="61">
        <f t="shared" si="111"/>
        <v>1</v>
      </c>
      <c r="U1575" s="61">
        <f t="shared" si="114"/>
        <v>2</v>
      </c>
      <c r="V1575" s="61" t="s">
        <v>150</v>
      </c>
      <c r="W1575" s="61" t="s">
        <v>4</v>
      </c>
      <c r="X1575" s="61" t="s">
        <v>50</v>
      </c>
      <c r="Y1575" s="471" t="s">
        <v>69</v>
      </c>
      <c r="Z1575" s="471" t="s">
        <v>69</v>
      </c>
      <c r="AA1575" s="61" t="s">
        <v>182</v>
      </c>
      <c r="AB1575" s="61" t="s">
        <v>8691</v>
      </c>
    </row>
    <row r="1576" spans="1:28" s="2" customFormat="1" ht="15">
      <c r="A1576" s="61" t="s">
        <v>2286</v>
      </c>
      <c r="B1576" s="61" t="s">
        <v>1309</v>
      </c>
      <c r="C1576" s="61" t="s">
        <v>4569</v>
      </c>
      <c r="D1576" s="61" t="s">
        <v>7838</v>
      </c>
      <c r="E1576" s="61">
        <v>2215</v>
      </c>
      <c r="F1576" s="61">
        <v>2270</v>
      </c>
      <c r="G1576" s="61">
        <v>2025</v>
      </c>
      <c r="H1576" s="61" t="s">
        <v>3127</v>
      </c>
      <c r="I1576" s="61" t="s">
        <v>26</v>
      </c>
      <c r="J1576" s="61" t="s">
        <v>2289</v>
      </c>
      <c r="K1576" s="61" t="s">
        <v>212</v>
      </c>
      <c r="L1576" s="61" t="s">
        <v>8690</v>
      </c>
      <c r="M1576" s="475">
        <v>45909</v>
      </c>
      <c r="N1576" s="475">
        <v>45916</v>
      </c>
      <c r="O1576" s="475">
        <v>45916</v>
      </c>
      <c r="P1576" s="475">
        <v>45916</v>
      </c>
      <c r="Q1576" s="475">
        <v>45918</v>
      </c>
      <c r="R1576" s="61">
        <f t="shared" si="112"/>
        <v>5</v>
      </c>
      <c r="S1576" s="61">
        <f t="shared" si="113"/>
        <v>1</v>
      </c>
      <c r="T1576" s="61">
        <f t="shared" si="111"/>
        <v>1</v>
      </c>
      <c r="U1576" s="61">
        <f t="shared" si="114"/>
        <v>2</v>
      </c>
      <c r="V1576" s="61" t="s">
        <v>150</v>
      </c>
      <c r="W1576" s="61" t="s">
        <v>4</v>
      </c>
      <c r="X1576" s="61" t="s">
        <v>50</v>
      </c>
      <c r="Y1576" s="471" t="s">
        <v>69</v>
      </c>
      <c r="Z1576" s="471" t="s">
        <v>69</v>
      </c>
      <c r="AA1576" s="61" t="s">
        <v>182</v>
      </c>
      <c r="AB1576" s="61" t="s">
        <v>8691</v>
      </c>
    </row>
    <row r="1577" spans="1:28" s="474" customFormat="1">
      <c r="A1577" s="61" t="s">
        <v>2286</v>
      </c>
      <c r="B1577" s="61" t="s">
        <v>1309</v>
      </c>
      <c r="C1577" s="61" t="s">
        <v>3509</v>
      </c>
      <c r="D1577" s="61" t="s">
        <v>7838</v>
      </c>
      <c r="E1577" s="61">
        <v>6430</v>
      </c>
      <c r="F1577" s="61">
        <v>5945</v>
      </c>
      <c r="G1577" s="61">
        <v>2025</v>
      </c>
      <c r="H1577" s="61" t="s">
        <v>3127</v>
      </c>
      <c r="I1577" s="61" t="s">
        <v>26</v>
      </c>
      <c r="J1577" s="61" t="s">
        <v>2289</v>
      </c>
      <c r="K1577" s="61" t="s">
        <v>212</v>
      </c>
      <c r="L1577" s="61" t="s">
        <v>8690</v>
      </c>
      <c r="M1577" s="475">
        <v>45909</v>
      </c>
      <c r="N1577" s="475">
        <v>45916</v>
      </c>
      <c r="O1577" s="475">
        <v>45916</v>
      </c>
      <c r="P1577" s="475">
        <v>45916</v>
      </c>
      <c r="Q1577" s="475">
        <v>45918</v>
      </c>
      <c r="R1577" s="61">
        <f t="shared" si="112"/>
        <v>5</v>
      </c>
      <c r="S1577" s="61">
        <f t="shared" si="113"/>
        <v>1</v>
      </c>
      <c r="T1577" s="61">
        <f t="shared" si="111"/>
        <v>1</v>
      </c>
      <c r="U1577" s="61">
        <f t="shared" si="114"/>
        <v>2</v>
      </c>
      <c r="V1577" s="61" t="s">
        <v>150</v>
      </c>
      <c r="W1577" s="61" t="s">
        <v>4</v>
      </c>
      <c r="X1577" s="61" t="s">
        <v>50</v>
      </c>
      <c r="Y1577" s="471" t="s">
        <v>69</v>
      </c>
      <c r="Z1577" s="471" t="s">
        <v>69</v>
      </c>
      <c r="AA1577" s="61" t="s">
        <v>182</v>
      </c>
      <c r="AB1577" s="61" t="s">
        <v>8691</v>
      </c>
    </row>
    <row r="1578" spans="1:28" s="2" customFormat="1" ht="15">
      <c r="A1578" s="61" t="s">
        <v>2286</v>
      </c>
      <c r="B1578" s="61" t="s">
        <v>1309</v>
      </c>
      <c r="C1578" s="61" t="s">
        <v>5117</v>
      </c>
      <c r="D1578" s="61" t="s">
        <v>7838</v>
      </c>
      <c r="E1578" s="61">
        <v>1251</v>
      </c>
      <c r="F1578" s="61">
        <v>1133</v>
      </c>
      <c r="G1578" s="61">
        <v>2025</v>
      </c>
      <c r="H1578" s="61" t="s">
        <v>3127</v>
      </c>
      <c r="I1578" s="61" t="s">
        <v>26</v>
      </c>
      <c r="J1578" s="61" t="s">
        <v>2289</v>
      </c>
      <c r="K1578" s="61" t="s">
        <v>212</v>
      </c>
      <c r="L1578" s="61" t="s">
        <v>8690</v>
      </c>
      <c r="M1578" s="475">
        <v>45909</v>
      </c>
      <c r="N1578" s="475">
        <v>45916</v>
      </c>
      <c r="O1578" s="475">
        <v>45916</v>
      </c>
      <c r="P1578" s="475">
        <v>45916</v>
      </c>
      <c r="Q1578" s="475">
        <v>45918</v>
      </c>
      <c r="R1578" s="61">
        <f t="shared" si="112"/>
        <v>5</v>
      </c>
      <c r="S1578" s="61">
        <f t="shared" si="113"/>
        <v>1</v>
      </c>
      <c r="T1578" s="61">
        <f t="shared" si="111"/>
        <v>1</v>
      </c>
      <c r="U1578" s="61">
        <f t="shared" si="114"/>
        <v>2</v>
      </c>
      <c r="V1578" s="61" t="s">
        <v>150</v>
      </c>
      <c r="W1578" s="61" t="s">
        <v>4</v>
      </c>
      <c r="X1578" s="61" t="s">
        <v>50</v>
      </c>
      <c r="Y1578" s="473" t="s">
        <v>69</v>
      </c>
      <c r="Z1578" s="473" t="s">
        <v>69</v>
      </c>
      <c r="AA1578" s="61" t="s">
        <v>182</v>
      </c>
      <c r="AB1578" s="61" t="s">
        <v>8691</v>
      </c>
    </row>
    <row r="1579" spans="1:28" s="474" customFormat="1">
      <c r="A1579" s="61" t="s">
        <v>2286</v>
      </c>
      <c r="B1579" s="61" t="s">
        <v>1309</v>
      </c>
      <c r="C1579" s="61" t="s">
        <v>5119</v>
      </c>
      <c r="D1579" s="61" t="s">
        <v>7838</v>
      </c>
      <c r="E1579" s="61">
        <v>1886</v>
      </c>
      <c r="F1579" s="61">
        <v>1894</v>
      </c>
      <c r="G1579" s="61">
        <v>2025</v>
      </c>
      <c r="H1579" s="61" t="s">
        <v>3127</v>
      </c>
      <c r="I1579" s="61" t="s">
        <v>26</v>
      </c>
      <c r="J1579" s="61" t="s">
        <v>2289</v>
      </c>
      <c r="K1579" s="61" t="s">
        <v>212</v>
      </c>
      <c r="L1579" s="61" t="s">
        <v>8690</v>
      </c>
      <c r="M1579" s="475">
        <v>45909</v>
      </c>
      <c r="N1579" s="475">
        <v>45916</v>
      </c>
      <c r="O1579" s="475">
        <v>45916</v>
      </c>
      <c r="P1579" s="475">
        <v>45916</v>
      </c>
      <c r="Q1579" s="475">
        <v>45918</v>
      </c>
      <c r="R1579" s="61">
        <f t="shared" si="112"/>
        <v>5</v>
      </c>
      <c r="S1579" s="61">
        <f t="shared" si="113"/>
        <v>1</v>
      </c>
      <c r="T1579" s="61">
        <f t="shared" si="111"/>
        <v>1</v>
      </c>
      <c r="U1579" s="61">
        <f t="shared" si="114"/>
        <v>2</v>
      </c>
      <c r="V1579" s="61" t="s">
        <v>150</v>
      </c>
      <c r="W1579" s="61" t="s">
        <v>4</v>
      </c>
      <c r="X1579" s="61" t="s">
        <v>50</v>
      </c>
      <c r="Y1579" s="471" t="s">
        <v>69</v>
      </c>
      <c r="Z1579" s="471" t="s">
        <v>69</v>
      </c>
      <c r="AA1579" s="61" t="s">
        <v>182</v>
      </c>
      <c r="AB1579" s="61" t="s">
        <v>8691</v>
      </c>
    </row>
    <row r="1580" spans="1:28" s="2" customFormat="1" ht="15">
      <c r="A1580" s="61" t="s">
        <v>2286</v>
      </c>
      <c r="B1580" s="61" t="s">
        <v>1309</v>
      </c>
      <c r="C1580" s="61" t="s">
        <v>5120</v>
      </c>
      <c r="D1580" s="61" t="s">
        <v>7838</v>
      </c>
      <c r="E1580" s="61">
        <v>912</v>
      </c>
      <c r="F1580" s="61">
        <v>1055</v>
      </c>
      <c r="G1580" s="61">
        <v>2025</v>
      </c>
      <c r="H1580" s="61" t="s">
        <v>3127</v>
      </c>
      <c r="I1580" s="61" t="s">
        <v>26</v>
      </c>
      <c r="J1580" s="61" t="s">
        <v>2289</v>
      </c>
      <c r="K1580" s="61" t="s">
        <v>212</v>
      </c>
      <c r="L1580" s="61" t="s">
        <v>8690</v>
      </c>
      <c r="M1580" s="475">
        <v>45909</v>
      </c>
      <c r="N1580" s="475">
        <v>45916</v>
      </c>
      <c r="O1580" s="475">
        <v>45916</v>
      </c>
      <c r="P1580" s="475">
        <v>45916</v>
      </c>
      <c r="Q1580" s="475">
        <v>45918</v>
      </c>
      <c r="R1580" s="61">
        <f t="shared" si="112"/>
        <v>5</v>
      </c>
      <c r="S1580" s="61">
        <f t="shared" si="113"/>
        <v>1</v>
      </c>
      <c r="T1580" s="61">
        <f t="shared" si="111"/>
        <v>1</v>
      </c>
      <c r="U1580" s="61">
        <f t="shared" si="114"/>
        <v>2</v>
      </c>
      <c r="V1580" s="61" t="s">
        <v>150</v>
      </c>
      <c r="W1580" s="61" t="s">
        <v>4</v>
      </c>
      <c r="X1580" s="61" t="s">
        <v>50</v>
      </c>
      <c r="Y1580" s="471" t="s">
        <v>69</v>
      </c>
      <c r="Z1580" s="471" t="s">
        <v>69</v>
      </c>
      <c r="AA1580" s="61" t="s">
        <v>182</v>
      </c>
      <c r="AB1580" s="61" t="s">
        <v>8691</v>
      </c>
    </row>
    <row r="1581" spans="1:28" s="474" customFormat="1">
      <c r="A1581" s="61" t="s">
        <v>2286</v>
      </c>
      <c r="B1581" s="61" t="s">
        <v>1309</v>
      </c>
      <c r="C1581" s="61" t="s">
        <v>5123</v>
      </c>
      <c r="D1581" s="61" t="s">
        <v>7838</v>
      </c>
      <c r="E1581" s="61">
        <v>5314</v>
      </c>
      <c r="F1581" s="61">
        <v>5772</v>
      </c>
      <c r="G1581" s="61">
        <v>2025</v>
      </c>
      <c r="H1581" s="61" t="s">
        <v>3127</v>
      </c>
      <c r="I1581" s="61" t="s">
        <v>26</v>
      </c>
      <c r="J1581" s="61" t="s">
        <v>2289</v>
      </c>
      <c r="K1581" s="61" t="s">
        <v>212</v>
      </c>
      <c r="L1581" s="61" t="s">
        <v>8690</v>
      </c>
      <c r="M1581" s="475">
        <v>45909</v>
      </c>
      <c r="N1581" s="475">
        <v>45916</v>
      </c>
      <c r="O1581" s="475">
        <v>45916</v>
      </c>
      <c r="P1581" s="475">
        <v>45916</v>
      </c>
      <c r="Q1581" s="475">
        <v>45918</v>
      </c>
      <c r="R1581" s="61">
        <f t="shared" si="112"/>
        <v>5</v>
      </c>
      <c r="S1581" s="61">
        <f t="shared" si="113"/>
        <v>1</v>
      </c>
      <c r="T1581" s="61">
        <f t="shared" si="111"/>
        <v>1</v>
      </c>
      <c r="U1581" s="61">
        <f t="shared" si="114"/>
        <v>2</v>
      </c>
      <c r="V1581" s="61" t="s">
        <v>150</v>
      </c>
      <c r="W1581" s="61" t="s">
        <v>4</v>
      </c>
      <c r="X1581" s="61" t="s">
        <v>50</v>
      </c>
      <c r="Y1581" s="471" t="s">
        <v>69</v>
      </c>
      <c r="Z1581" s="471" t="s">
        <v>69</v>
      </c>
      <c r="AA1581" s="61" t="s">
        <v>182</v>
      </c>
      <c r="AB1581" s="61" t="s">
        <v>8691</v>
      </c>
    </row>
    <row r="1582" spans="1:28" s="2" customFormat="1" ht="15">
      <c r="A1582" s="61" t="s">
        <v>2286</v>
      </c>
      <c r="B1582" s="61" t="s">
        <v>1309</v>
      </c>
      <c r="C1582" s="61" t="s">
        <v>5124</v>
      </c>
      <c r="D1582" s="61" t="s">
        <v>7838</v>
      </c>
      <c r="E1582" s="61">
        <v>2036</v>
      </c>
      <c r="F1582" s="61">
        <v>2595</v>
      </c>
      <c r="G1582" s="61">
        <v>2025</v>
      </c>
      <c r="H1582" s="61" t="s">
        <v>3127</v>
      </c>
      <c r="I1582" s="61" t="s">
        <v>26</v>
      </c>
      <c r="J1582" s="61" t="s">
        <v>2289</v>
      </c>
      <c r="K1582" s="61" t="s">
        <v>212</v>
      </c>
      <c r="L1582" s="61" t="s">
        <v>8690</v>
      </c>
      <c r="M1582" s="475">
        <v>45909</v>
      </c>
      <c r="N1582" s="475">
        <v>45916</v>
      </c>
      <c r="O1582" s="475">
        <v>45916</v>
      </c>
      <c r="P1582" s="475">
        <v>45916</v>
      </c>
      <c r="Q1582" s="475">
        <v>45918</v>
      </c>
      <c r="R1582" s="61">
        <f t="shared" si="112"/>
        <v>5</v>
      </c>
      <c r="S1582" s="61">
        <f t="shared" si="113"/>
        <v>1</v>
      </c>
      <c r="T1582" s="61">
        <f t="shared" si="111"/>
        <v>1</v>
      </c>
      <c r="U1582" s="61">
        <f t="shared" si="114"/>
        <v>2</v>
      </c>
      <c r="V1582" s="61" t="s">
        <v>150</v>
      </c>
      <c r="W1582" s="61" t="s">
        <v>4</v>
      </c>
      <c r="X1582" s="61" t="s">
        <v>50</v>
      </c>
      <c r="Y1582" s="471" t="s">
        <v>69</v>
      </c>
      <c r="Z1582" s="471" t="s">
        <v>69</v>
      </c>
      <c r="AA1582" s="61" t="s">
        <v>182</v>
      </c>
      <c r="AB1582" s="61" t="s">
        <v>8691</v>
      </c>
    </row>
    <row r="1583" spans="1:28" s="2" customFormat="1" ht="15">
      <c r="A1583" s="61" t="s">
        <v>2286</v>
      </c>
      <c r="B1583" s="61" t="s">
        <v>1309</v>
      </c>
      <c r="C1583" s="61" t="s">
        <v>5126</v>
      </c>
      <c r="D1583" s="61" t="s">
        <v>7838</v>
      </c>
      <c r="E1583" s="61">
        <v>986</v>
      </c>
      <c r="F1583" s="61">
        <v>1062</v>
      </c>
      <c r="G1583" s="61">
        <v>2025</v>
      </c>
      <c r="H1583" s="61" t="s">
        <v>3127</v>
      </c>
      <c r="I1583" s="61" t="s">
        <v>26</v>
      </c>
      <c r="J1583" s="61" t="s">
        <v>2289</v>
      </c>
      <c r="K1583" s="61" t="s">
        <v>212</v>
      </c>
      <c r="L1583" s="61" t="s">
        <v>8690</v>
      </c>
      <c r="M1583" s="475">
        <v>45909</v>
      </c>
      <c r="N1583" s="475">
        <v>45916</v>
      </c>
      <c r="O1583" s="475">
        <v>45916</v>
      </c>
      <c r="P1583" s="475">
        <v>45916</v>
      </c>
      <c r="Q1583" s="475">
        <v>45918</v>
      </c>
      <c r="R1583" s="61">
        <f t="shared" si="112"/>
        <v>5</v>
      </c>
      <c r="S1583" s="61">
        <f t="shared" si="113"/>
        <v>1</v>
      </c>
      <c r="T1583" s="61">
        <f t="shared" si="111"/>
        <v>1</v>
      </c>
      <c r="U1583" s="61">
        <f t="shared" si="114"/>
        <v>2</v>
      </c>
      <c r="V1583" s="61" t="s">
        <v>150</v>
      </c>
      <c r="W1583" s="61" t="s">
        <v>4</v>
      </c>
      <c r="X1583" s="61" t="s">
        <v>50</v>
      </c>
      <c r="Y1583" s="471" t="s">
        <v>69</v>
      </c>
      <c r="Z1583" s="471" t="s">
        <v>69</v>
      </c>
      <c r="AA1583" s="61" t="s">
        <v>182</v>
      </c>
      <c r="AB1583" s="61" t="s">
        <v>8691</v>
      </c>
    </row>
    <row r="1584" spans="1:28" s="2" customFormat="1" ht="15">
      <c r="A1584" s="61" t="s">
        <v>2286</v>
      </c>
      <c r="B1584" s="61" t="s">
        <v>1309</v>
      </c>
      <c r="C1584" s="61" t="s">
        <v>5132</v>
      </c>
      <c r="D1584" s="61" t="s">
        <v>7838</v>
      </c>
      <c r="E1584" s="61">
        <v>1246</v>
      </c>
      <c r="F1584" s="61">
        <v>1218</v>
      </c>
      <c r="G1584" s="61">
        <v>2025</v>
      </c>
      <c r="H1584" s="61" t="s">
        <v>3127</v>
      </c>
      <c r="I1584" s="61" t="s">
        <v>26</v>
      </c>
      <c r="J1584" s="61" t="s">
        <v>2289</v>
      </c>
      <c r="K1584" s="61" t="s">
        <v>212</v>
      </c>
      <c r="L1584" s="61" t="s">
        <v>8690</v>
      </c>
      <c r="M1584" s="475">
        <v>45909</v>
      </c>
      <c r="N1584" s="475">
        <v>45916</v>
      </c>
      <c r="O1584" s="475">
        <v>45916</v>
      </c>
      <c r="P1584" s="475">
        <v>45916</v>
      </c>
      <c r="Q1584" s="475">
        <v>45918</v>
      </c>
      <c r="R1584" s="61">
        <f t="shared" si="112"/>
        <v>5</v>
      </c>
      <c r="S1584" s="61">
        <f t="shared" si="113"/>
        <v>1</v>
      </c>
      <c r="T1584" s="61">
        <f t="shared" si="111"/>
        <v>1</v>
      </c>
      <c r="U1584" s="61">
        <f t="shared" si="114"/>
        <v>2</v>
      </c>
      <c r="V1584" s="61" t="s">
        <v>150</v>
      </c>
      <c r="W1584" s="61" t="s">
        <v>4</v>
      </c>
      <c r="X1584" s="61" t="s">
        <v>50</v>
      </c>
      <c r="Y1584" s="473" t="s">
        <v>69</v>
      </c>
      <c r="Z1584" s="473" t="s">
        <v>69</v>
      </c>
      <c r="AA1584" s="61" t="s">
        <v>182</v>
      </c>
      <c r="AB1584" s="61" t="s">
        <v>8691</v>
      </c>
    </row>
    <row r="1585" spans="1:28" s="2" customFormat="1" ht="15">
      <c r="A1585" s="61" t="s">
        <v>2286</v>
      </c>
      <c r="B1585" s="61" t="s">
        <v>1309</v>
      </c>
      <c r="C1585" s="61" t="s">
        <v>4126</v>
      </c>
      <c r="D1585" s="61" t="s">
        <v>7838</v>
      </c>
      <c r="E1585" s="61">
        <v>3475</v>
      </c>
      <c r="F1585" s="61">
        <v>4333</v>
      </c>
      <c r="G1585" s="61">
        <v>2025</v>
      </c>
      <c r="H1585" s="61" t="s">
        <v>3127</v>
      </c>
      <c r="I1585" s="61" t="s">
        <v>26</v>
      </c>
      <c r="J1585" s="61" t="s">
        <v>2289</v>
      </c>
      <c r="K1585" s="61" t="s">
        <v>212</v>
      </c>
      <c r="L1585" s="61" t="s">
        <v>8690</v>
      </c>
      <c r="M1585" s="475">
        <v>45909</v>
      </c>
      <c r="N1585" s="475">
        <v>45916</v>
      </c>
      <c r="O1585" s="475">
        <v>45916</v>
      </c>
      <c r="P1585" s="475">
        <v>45916</v>
      </c>
      <c r="Q1585" s="475">
        <v>45918</v>
      </c>
      <c r="R1585" s="61">
        <f t="shared" si="112"/>
        <v>5</v>
      </c>
      <c r="S1585" s="61">
        <f t="shared" si="113"/>
        <v>1</v>
      </c>
      <c r="T1585" s="61">
        <f t="shared" si="111"/>
        <v>1</v>
      </c>
      <c r="U1585" s="61">
        <f t="shared" si="114"/>
        <v>2</v>
      </c>
      <c r="V1585" s="61" t="s">
        <v>150</v>
      </c>
      <c r="W1585" s="61" t="s">
        <v>4</v>
      </c>
      <c r="X1585" s="61" t="s">
        <v>50</v>
      </c>
      <c r="Y1585" s="473" t="s">
        <v>69</v>
      </c>
      <c r="Z1585" s="473" t="s">
        <v>69</v>
      </c>
      <c r="AA1585" s="61" t="s">
        <v>182</v>
      </c>
      <c r="AB1585" s="61" t="s">
        <v>8691</v>
      </c>
    </row>
    <row r="1586" spans="1:28" s="2" customFormat="1" ht="15">
      <c r="A1586" s="61" t="s">
        <v>2286</v>
      </c>
      <c r="B1586" s="61" t="s">
        <v>1309</v>
      </c>
      <c r="C1586" s="61" t="s">
        <v>918</v>
      </c>
      <c r="D1586" s="61" t="s">
        <v>7838</v>
      </c>
      <c r="E1586" s="61">
        <v>2204</v>
      </c>
      <c r="F1586" s="61">
        <v>1890</v>
      </c>
      <c r="G1586" s="61">
        <v>2025</v>
      </c>
      <c r="H1586" s="61" t="s">
        <v>3127</v>
      </c>
      <c r="I1586" s="61" t="s">
        <v>26</v>
      </c>
      <c r="J1586" s="61" t="s">
        <v>2289</v>
      </c>
      <c r="K1586" s="61" t="s">
        <v>212</v>
      </c>
      <c r="L1586" s="61" t="s">
        <v>8690</v>
      </c>
      <c r="M1586" s="475">
        <v>45909</v>
      </c>
      <c r="N1586" s="475">
        <v>45916</v>
      </c>
      <c r="O1586" s="475">
        <v>45916</v>
      </c>
      <c r="P1586" s="475">
        <v>45916</v>
      </c>
      <c r="Q1586" s="475">
        <v>45918</v>
      </c>
      <c r="R1586" s="61">
        <f t="shared" si="112"/>
        <v>5</v>
      </c>
      <c r="S1586" s="61">
        <f t="shared" si="113"/>
        <v>1</v>
      </c>
      <c r="T1586" s="61">
        <f t="shared" si="111"/>
        <v>1</v>
      </c>
      <c r="U1586" s="61">
        <f t="shared" si="114"/>
        <v>2</v>
      </c>
      <c r="V1586" s="61" t="s">
        <v>150</v>
      </c>
      <c r="W1586" s="61" t="s">
        <v>4</v>
      </c>
      <c r="X1586" s="61" t="s">
        <v>50</v>
      </c>
      <c r="Y1586" s="471" t="s">
        <v>69</v>
      </c>
      <c r="Z1586" s="471" t="s">
        <v>69</v>
      </c>
      <c r="AA1586" s="61" t="s">
        <v>182</v>
      </c>
      <c r="AB1586" s="61" t="s">
        <v>8691</v>
      </c>
    </row>
    <row r="1587" spans="1:28" s="2" customFormat="1" ht="15">
      <c r="A1587" s="61" t="s">
        <v>2286</v>
      </c>
      <c r="B1587" s="61" t="s">
        <v>1309</v>
      </c>
      <c r="C1587" s="61" t="s">
        <v>5135</v>
      </c>
      <c r="D1587" s="61" t="s">
        <v>7838</v>
      </c>
      <c r="E1587" s="61">
        <v>1039</v>
      </c>
      <c r="F1587" s="61">
        <v>1205</v>
      </c>
      <c r="G1587" s="61">
        <v>2025</v>
      </c>
      <c r="H1587" s="61" t="s">
        <v>3127</v>
      </c>
      <c r="I1587" s="61" t="s">
        <v>26</v>
      </c>
      <c r="J1587" s="61" t="s">
        <v>2289</v>
      </c>
      <c r="K1587" s="61" t="s">
        <v>212</v>
      </c>
      <c r="L1587" s="61" t="s">
        <v>8690</v>
      </c>
      <c r="M1587" s="475">
        <v>45909</v>
      </c>
      <c r="N1587" s="475">
        <v>45916</v>
      </c>
      <c r="O1587" s="475">
        <v>45916</v>
      </c>
      <c r="P1587" s="475">
        <v>45916</v>
      </c>
      <c r="Q1587" s="475">
        <v>45918</v>
      </c>
      <c r="R1587" s="61">
        <f t="shared" si="112"/>
        <v>5</v>
      </c>
      <c r="S1587" s="61">
        <f t="shared" si="113"/>
        <v>1</v>
      </c>
      <c r="T1587" s="61">
        <f t="shared" si="111"/>
        <v>1</v>
      </c>
      <c r="U1587" s="61">
        <f t="shared" si="114"/>
        <v>2</v>
      </c>
      <c r="V1587" s="61" t="s">
        <v>150</v>
      </c>
      <c r="W1587" s="61" t="s">
        <v>4</v>
      </c>
      <c r="X1587" s="61" t="s">
        <v>50</v>
      </c>
      <c r="Y1587" s="471" t="s">
        <v>69</v>
      </c>
      <c r="Z1587" s="471" t="s">
        <v>69</v>
      </c>
      <c r="AA1587" s="61" t="s">
        <v>182</v>
      </c>
      <c r="AB1587" s="61" t="s">
        <v>8691</v>
      </c>
    </row>
    <row r="1588" spans="1:28" s="2" customFormat="1" ht="15">
      <c r="A1588" s="61" t="s">
        <v>2286</v>
      </c>
      <c r="B1588" s="61" t="s">
        <v>1309</v>
      </c>
      <c r="C1588" s="61" t="s">
        <v>5136</v>
      </c>
      <c r="D1588" s="61" t="s">
        <v>7838</v>
      </c>
      <c r="E1588" s="61">
        <v>7065</v>
      </c>
      <c r="F1588" s="61">
        <v>7294</v>
      </c>
      <c r="G1588" s="61">
        <v>2025</v>
      </c>
      <c r="H1588" s="61" t="s">
        <v>3127</v>
      </c>
      <c r="I1588" s="61" t="s">
        <v>26</v>
      </c>
      <c r="J1588" s="61" t="s">
        <v>2289</v>
      </c>
      <c r="K1588" s="61" t="s">
        <v>212</v>
      </c>
      <c r="L1588" s="61" t="s">
        <v>8690</v>
      </c>
      <c r="M1588" s="475">
        <v>45909</v>
      </c>
      <c r="N1588" s="475">
        <v>45916</v>
      </c>
      <c r="O1588" s="475">
        <v>45916</v>
      </c>
      <c r="P1588" s="475">
        <v>45916</v>
      </c>
      <c r="Q1588" s="475">
        <v>45918</v>
      </c>
      <c r="R1588" s="61">
        <f t="shared" si="112"/>
        <v>5</v>
      </c>
      <c r="S1588" s="61">
        <f t="shared" si="113"/>
        <v>1</v>
      </c>
      <c r="T1588" s="61">
        <f t="shared" si="111"/>
        <v>1</v>
      </c>
      <c r="U1588" s="61">
        <f t="shared" si="114"/>
        <v>2</v>
      </c>
      <c r="V1588" s="61" t="s">
        <v>150</v>
      </c>
      <c r="W1588" s="61" t="s">
        <v>4</v>
      </c>
      <c r="X1588" s="61" t="s">
        <v>50</v>
      </c>
      <c r="Y1588" s="471" t="s">
        <v>69</v>
      </c>
      <c r="Z1588" s="471" t="s">
        <v>69</v>
      </c>
      <c r="AA1588" s="61" t="s">
        <v>182</v>
      </c>
      <c r="AB1588" s="61" t="s">
        <v>8691</v>
      </c>
    </row>
    <row r="1589" spans="1:28" s="2" customFormat="1" ht="15">
      <c r="A1589" s="61" t="s">
        <v>2286</v>
      </c>
      <c r="B1589" s="61" t="s">
        <v>1309</v>
      </c>
      <c r="C1589" s="61" t="s">
        <v>5137</v>
      </c>
      <c r="D1589" s="61" t="s">
        <v>7838</v>
      </c>
      <c r="E1589" s="61">
        <v>6252</v>
      </c>
      <c r="F1589" s="61">
        <v>6093</v>
      </c>
      <c r="G1589" s="61">
        <v>2025</v>
      </c>
      <c r="H1589" s="61" t="s">
        <v>3127</v>
      </c>
      <c r="I1589" s="61" t="s">
        <v>26</v>
      </c>
      <c r="J1589" s="61" t="s">
        <v>2289</v>
      </c>
      <c r="K1589" s="61" t="s">
        <v>212</v>
      </c>
      <c r="L1589" s="61" t="s">
        <v>8690</v>
      </c>
      <c r="M1589" s="475">
        <v>45909</v>
      </c>
      <c r="N1589" s="475">
        <v>45916</v>
      </c>
      <c r="O1589" s="475">
        <v>45916</v>
      </c>
      <c r="P1589" s="475">
        <v>45916</v>
      </c>
      <c r="Q1589" s="475">
        <v>45918</v>
      </c>
      <c r="R1589" s="61">
        <f t="shared" si="112"/>
        <v>5</v>
      </c>
      <c r="S1589" s="61">
        <f t="shared" si="113"/>
        <v>1</v>
      </c>
      <c r="T1589" s="61">
        <f t="shared" si="111"/>
        <v>1</v>
      </c>
      <c r="U1589" s="61">
        <f t="shared" si="114"/>
        <v>2</v>
      </c>
      <c r="V1589" s="61" t="s">
        <v>150</v>
      </c>
      <c r="W1589" s="61" t="s">
        <v>4</v>
      </c>
      <c r="X1589" s="61" t="s">
        <v>50</v>
      </c>
      <c r="Y1589" s="471" t="s">
        <v>69</v>
      </c>
      <c r="Z1589" s="471" t="s">
        <v>69</v>
      </c>
      <c r="AA1589" s="61" t="s">
        <v>182</v>
      </c>
      <c r="AB1589" s="61" t="s">
        <v>8691</v>
      </c>
    </row>
    <row r="1590" spans="1:28" s="2" customFormat="1" ht="15">
      <c r="A1590" s="61" t="s">
        <v>2286</v>
      </c>
      <c r="B1590" s="61" t="s">
        <v>1309</v>
      </c>
      <c r="C1590" s="61" t="s">
        <v>5138</v>
      </c>
      <c r="D1590" s="61" t="s">
        <v>7838</v>
      </c>
      <c r="E1590" s="61">
        <v>8780</v>
      </c>
      <c r="F1590" s="61">
        <v>9851</v>
      </c>
      <c r="G1590" s="61">
        <v>2025</v>
      </c>
      <c r="H1590" s="61" t="s">
        <v>3127</v>
      </c>
      <c r="I1590" s="61" t="s">
        <v>26</v>
      </c>
      <c r="J1590" s="61" t="s">
        <v>2289</v>
      </c>
      <c r="K1590" s="61" t="s">
        <v>212</v>
      </c>
      <c r="L1590" s="61" t="s">
        <v>8690</v>
      </c>
      <c r="M1590" s="475">
        <v>45909</v>
      </c>
      <c r="N1590" s="475">
        <v>45916</v>
      </c>
      <c r="O1590" s="475">
        <v>45916</v>
      </c>
      <c r="P1590" s="475">
        <v>45916</v>
      </c>
      <c r="Q1590" s="475">
        <v>45918</v>
      </c>
      <c r="R1590" s="61">
        <f t="shared" si="112"/>
        <v>5</v>
      </c>
      <c r="S1590" s="61">
        <f t="shared" si="113"/>
        <v>1</v>
      </c>
      <c r="T1590" s="61">
        <f t="shared" si="111"/>
        <v>1</v>
      </c>
      <c r="U1590" s="61">
        <f t="shared" si="114"/>
        <v>2</v>
      </c>
      <c r="V1590" s="61" t="s">
        <v>150</v>
      </c>
      <c r="W1590" s="61" t="s">
        <v>4</v>
      </c>
      <c r="X1590" s="61" t="s">
        <v>50</v>
      </c>
      <c r="Y1590" s="471" t="s">
        <v>69</v>
      </c>
      <c r="Z1590" s="471" t="s">
        <v>69</v>
      </c>
      <c r="AA1590" s="61" t="s">
        <v>182</v>
      </c>
      <c r="AB1590" s="61" t="s">
        <v>8691</v>
      </c>
    </row>
    <row r="1591" spans="1:28" s="2" customFormat="1" ht="15">
      <c r="A1591" s="61" t="s">
        <v>2286</v>
      </c>
      <c r="B1591" s="61" t="s">
        <v>1309</v>
      </c>
      <c r="C1591" s="61" t="s">
        <v>3566</v>
      </c>
      <c r="D1591" s="61" t="s">
        <v>7838</v>
      </c>
      <c r="E1591" s="61">
        <v>6144</v>
      </c>
      <c r="F1591" s="61">
        <v>7290</v>
      </c>
      <c r="G1591" s="61">
        <v>2025</v>
      </c>
      <c r="H1591" s="61" t="s">
        <v>3127</v>
      </c>
      <c r="I1591" s="61" t="s">
        <v>26</v>
      </c>
      <c r="J1591" s="61" t="s">
        <v>2289</v>
      </c>
      <c r="K1591" s="61" t="s">
        <v>212</v>
      </c>
      <c r="L1591" s="61" t="s">
        <v>8690</v>
      </c>
      <c r="M1591" s="475">
        <v>45909</v>
      </c>
      <c r="N1591" s="475">
        <v>45916</v>
      </c>
      <c r="O1591" s="475">
        <v>45916</v>
      </c>
      <c r="P1591" s="475">
        <v>45916</v>
      </c>
      <c r="Q1591" s="475">
        <v>45918</v>
      </c>
      <c r="R1591" s="61">
        <f t="shared" si="112"/>
        <v>5</v>
      </c>
      <c r="S1591" s="61">
        <f t="shared" si="113"/>
        <v>1</v>
      </c>
      <c r="T1591" s="61">
        <f t="shared" si="111"/>
        <v>1</v>
      </c>
      <c r="U1591" s="61">
        <f t="shared" si="114"/>
        <v>2</v>
      </c>
      <c r="V1591" s="61" t="s">
        <v>150</v>
      </c>
      <c r="W1591" s="61" t="s">
        <v>4</v>
      </c>
      <c r="X1591" s="61" t="s">
        <v>50</v>
      </c>
      <c r="Y1591" s="471" t="s">
        <v>69</v>
      </c>
      <c r="Z1591" s="471" t="s">
        <v>69</v>
      </c>
      <c r="AA1591" s="61" t="s">
        <v>182</v>
      </c>
      <c r="AB1591" s="61" t="s">
        <v>8691</v>
      </c>
    </row>
    <row r="1592" spans="1:28" s="2" customFormat="1" ht="15">
      <c r="A1592" s="61" t="s">
        <v>2286</v>
      </c>
      <c r="B1592" s="61" t="s">
        <v>1309</v>
      </c>
      <c r="C1592" s="61" t="s">
        <v>5141</v>
      </c>
      <c r="D1592" s="61" t="s">
        <v>7838</v>
      </c>
      <c r="E1592" s="61">
        <v>1534</v>
      </c>
      <c r="F1592" s="61">
        <v>1800</v>
      </c>
      <c r="G1592" s="61">
        <v>2025</v>
      </c>
      <c r="H1592" s="61" t="s">
        <v>3127</v>
      </c>
      <c r="I1592" s="61" t="s">
        <v>26</v>
      </c>
      <c r="J1592" s="61" t="s">
        <v>2289</v>
      </c>
      <c r="K1592" s="61" t="s">
        <v>212</v>
      </c>
      <c r="L1592" s="61" t="s">
        <v>8690</v>
      </c>
      <c r="M1592" s="475">
        <v>45909</v>
      </c>
      <c r="N1592" s="475">
        <v>45916</v>
      </c>
      <c r="O1592" s="475">
        <v>45916</v>
      </c>
      <c r="P1592" s="475">
        <v>45916</v>
      </c>
      <c r="Q1592" s="475">
        <v>45918</v>
      </c>
      <c r="R1592" s="61">
        <f t="shared" si="112"/>
        <v>5</v>
      </c>
      <c r="S1592" s="61">
        <f t="shared" si="113"/>
        <v>1</v>
      </c>
      <c r="T1592" s="61">
        <f t="shared" si="111"/>
        <v>1</v>
      </c>
      <c r="U1592" s="61">
        <f t="shared" si="114"/>
        <v>2</v>
      </c>
      <c r="V1592" s="61" t="s">
        <v>150</v>
      </c>
      <c r="W1592" s="61" t="s">
        <v>4</v>
      </c>
      <c r="X1592" s="61" t="s">
        <v>50</v>
      </c>
      <c r="Y1592" s="471" t="s">
        <v>69</v>
      </c>
      <c r="Z1592" s="471" t="s">
        <v>69</v>
      </c>
      <c r="AA1592" s="61" t="s">
        <v>182</v>
      </c>
      <c r="AB1592" s="61" t="s">
        <v>8691</v>
      </c>
    </row>
    <row r="1593" spans="1:28" s="2" customFormat="1" ht="15">
      <c r="A1593" s="61" t="s">
        <v>2286</v>
      </c>
      <c r="B1593" s="61" t="s">
        <v>1309</v>
      </c>
      <c r="C1593" s="61" t="s">
        <v>5142</v>
      </c>
      <c r="D1593" s="61" t="s">
        <v>7838</v>
      </c>
      <c r="E1593" s="61">
        <v>1208</v>
      </c>
      <c r="F1593" s="61">
        <v>1258</v>
      </c>
      <c r="G1593" s="61">
        <v>2025</v>
      </c>
      <c r="H1593" s="61" t="s">
        <v>3127</v>
      </c>
      <c r="I1593" s="61" t="s">
        <v>26</v>
      </c>
      <c r="J1593" s="61" t="s">
        <v>2289</v>
      </c>
      <c r="K1593" s="61" t="s">
        <v>212</v>
      </c>
      <c r="L1593" s="61" t="s">
        <v>8690</v>
      </c>
      <c r="M1593" s="475">
        <v>45909</v>
      </c>
      <c r="N1593" s="475">
        <v>45916</v>
      </c>
      <c r="O1593" s="475">
        <v>45916</v>
      </c>
      <c r="P1593" s="475">
        <v>45916</v>
      </c>
      <c r="Q1593" s="475">
        <v>45918</v>
      </c>
      <c r="R1593" s="61">
        <f t="shared" si="112"/>
        <v>5</v>
      </c>
      <c r="S1593" s="61">
        <f t="shared" si="113"/>
        <v>1</v>
      </c>
      <c r="T1593" s="61">
        <f t="shared" si="111"/>
        <v>1</v>
      </c>
      <c r="U1593" s="61">
        <f t="shared" si="114"/>
        <v>2</v>
      </c>
      <c r="V1593" s="61" t="s">
        <v>150</v>
      </c>
      <c r="W1593" s="61" t="s">
        <v>4</v>
      </c>
      <c r="X1593" s="61" t="s">
        <v>50</v>
      </c>
      <c r="Y1593" s="471" t="s">
        <v>69</v>
      </c>
      <c r="Z1593" s="471" t="s">
        <v>69</v>
      </c>
      <c r="AA1593" s="61" t="s">
        <v>182</v>
      </c>
      <c r="AB1593" s="61" t="s">
        <v>8691</v>
      </c>
    </row>
    <row r="1594" spans="1:28" s="2" customFormat="1" ht="15">
      <c r="A1594" s="61" t="s">
        <v>2286</v>
      </c>
      <c r="B1594" s="61" t="s">
        <v>1309</v>
      </c>
      <c r="C1594" s="61" t="s">
        <v>5143</v>
      </c>
      <c r="D1594" s="61" t="s">
        <v>7838</v>
      </c>
      <c r="E1594" s="61">
        <v>4758</v>
      </c>
      <c r="F1594" s="61">
        <v>5518</v>
      </c>
      <c r="G1594" s="61">
        <v>2025</v>
      </c>
      <c r="H1594" s="61" t="s">
        <v>3127</v>
      </c>
      <c r="I1594" s="61" t="s">
        <v>26</v>
      </c>
      <c r="J1594" s="61" t="s">
        <v>2289</v>
      </c>
      <c r="K1594" s="61" t="s">
        <v>212</v>
      </c>
      <c r="L1594" s="61" t="s">
        <v>8690</v>
      </c>
      <c r="M1594" s="475">
        <v>45909</v>
      </c>
      <c r="N1594" s="475">
        <v>45916</v>
      </c>
      <c r="O1594" s="475">
        <v>45916</v>
      </c>
      <c r="P1594" s="475">
        <v>45916</v>
      </c>
      <c r="Q1594" s="475">
        <v>45918</v>
      </c>
      <c r="R1594" s="61">
        <f t="shared" si="112"/>
        <v>5</v>
      </c>
      <c r="S1594" s="61">
        <f t="shared" si="113"/>
        <v>1</v>
      </c>
      <c r="T1594" s="61">
        <f t="shared" si="111"/>
        <v>1</v>
      </c>
      <c r="U1594" s="61">
        <f t="shared" si="114"/>
        <v>2</v>
      </c>
      <c r="V1594" s="61" t="s">
        <v>150</v>
      </c>
      <c r="W1594" s="61" t="s">
        <v>4</v>
      </c>
      <c r="X1594" s="61" t="s">
        <v>50</v>
      </c>
      <c r="Y1594" s="471" t="s">
        <v>69</v>
      </c>
      <c r="Z1594" s="471" t="s">
        <v>69</v>
      </c>
      <c r="AA1594" s="61" t="s">
        <v>182</v>
      </c>
      <c r="AB1594" s="61" t="s">
        <v>8691</v>
      </c>
    </row>
    <row r="1595" spans="1:28" s="2" customFormat="1" ht="15">
      <c r="A1595" s="61" t="s">
        <v>2286</v>
      </c>
      <c r="B1595" s="61" t="s">
        <v>1309</v>
      </c>
      <c r="C1595" s="61" t="s">
        <v>5144</v>
      </c>
      <c r="D1595" s="61" t="s">
        <v>7838</v>
      </c>
      <c r="E1595" s="61">
        <v>3323</v>
      </c>
      <c r="F1595" s="61">
        <v>3468</v>
      </c>
      <c r="G1595" s="61">
        <v>2025</v>
      </c>
      <c r="H1595" s="61" t="s">
        <v>3127</v>
      </c>
      <c r="I1595" s="61" t="s">
        <v>26</v>
      </c>
      <c r="J1595" s="61" t="s">
        <v>2289</v>
      </c>
      <c r="K1595" s="61" t="s">
        <v>212</v>
      </c>
      <c r="L1595" s="61" t="s">
        <v>8690</v>
      </c>
      <c r="M1595" s="475">
        <v>45909</v>
      </c>
      <c r="N1595" s="475">
        <v>45916</v>
      </c>
      <c r="O1595" s="475">
        <v>45916</v>
      </c>
      <c r="P1595" s="475">
        <v>45916</v>
      </c>
      <c r="Q1595" s="475">
        <v>45918</v>
      </c>
      <c r="R1595" s="61">
        <f t="shared" si="112"/>
        <v>5</v>
      </c>
      <c r="S1595" s="61">
        <f t="shared" si="113"/>
        <v>1</v>
      </c>
      <c r="T1595" s="61">
        <f t="shared" si="111"/>
        <v>1</v>
      </c>
      <c r="U1595" s="61">
        <f t="shared" si="114"/>
        <v>2</v>
      </c>
      <c r="V1595" s="61" t="s">
        <v>150</v>
      </c>
      <c r="W1595" s="61" t="s">
        <v>4</v>
      </c>
      <c r="X1595" s="61" t="s">
        <v>50</v>
      </c>
      <c r="Y1595" s="471" t="s">
        <v>69</v>
      </c>
      <c r="Z1595" s="471" t="s">
        <v>69</v>
      </c>
      <c r="AA1595" s="61" t="s">
        <v>182</v>
      </c>
      <c r="AB1595" s="61" t="s">
        <v>8691</v>
      </c>
    </row>
    <row r="1596" spans="1:28" s="474" customFormat="1">
      <c r="A1596" s="61" t="s">
        <v>2286</v>
      </c>
      <c r="B1596" s="61" t="s">
        <v>1309</v>
      </c>
      <c r="C1596" s="61" t="s">
        <v>5129</v>
      </c>
      <c r="D1596" s="61" t="s">
        <v>7838</v>
      </c>
      <c r="E1596" s="61">
        <v>1634</v>
      </c>
      <c r="F1596" s="61">
        <v>1657</v>
      </c>
      <c r="G1596" s="61">
        <v>2025</v>
      </c>
      <c r="H1596" s="61" t="s">
        <v>3127</v>
      </c>
      <c r="I1596" s="61" t="s">
        <v>26</v>
      </c>
      <c r="J1596" s="61" t="s">
        <v>2289</v>
      </c>
      <c r="K1596" s="61" t="s">
        <v>212</v>
      </c>
      <c r="L1596" s="61" t="s">
        <v>8690</v>
      </c>
      <c r="M1596" s="475">
        <v>45909</v>
      </c>
      <c r="N1596" s="475">
        <v>45916</v>
      </c>
      <c r="O1596" s="475">
        <v>45916</v>
      </c>
      <c r="P1596" s="475">
        <v>45916</v>
      </c>
      <c r="Q1596" s="475">
        <v>45918</v>
      </c>
      <c r="R1596" s="61">
        <f t="shared" si="112"/>
        <v>5</v>
      </c>
      <c r="S1596" s="61">
        <f t="shared" si="113"/>
        <v>1</v>
      </c>
      <c r="T1596" s="61">
        <f t="shared" si="111"/>
        <v>1</v>
      </c>
      <c r="U1596" s="61">
        <f t="shared" si="114"/>
        <v>2</v>
      </c>
      <c r="V1596" s="61" t="s">
        <v>150</v>
      </c>
      <c r="W1596" s="61" t="s">
        <v>4</v>
      </c>
      <c r="X1596" s="61" t="s">
        <v>50</v>
      </c>
      <c r="Y1596" s="471" t="s">
        <v>69</v>
      </c>
      <c r="Z1596" s="471" t="s">
        <v>69</v>
      </c>
      <c r="AA1596" s="61" t="s">
        <v>182</v>
      </c>
      <c r="AB1596" s="61" t="s">
        <v>8691</v>
      </c>
    </row>
    <row r="1597" spans="1:28" s="2" customFormat="1" ht="15">
      <c r="A1597" s="61" t="s">
        <v>2286</v>
      </c>
      <c r="B1597" s="61" t="s">
        <v>1309</v>
      </c>
      <c r="C1597" s="61" t="s">
        <v>5145</v>
      </c>
      <c r="D1597" s="61" t="s">
        <v>7838</v>
      </c>
      <c r="E1597" s="61">
        <v>762</v>
      </c>
      <c r="F1597" s="61">
        <v>960</v>
      </c>
      <c r="G1597" s="61">
        <v>2025</v>
      </c>
      <c r="H1597" s="61" t="s">
        <v>3127</v>
      </c>
      <c r="I1597" s="61" t="s">
        <v>26</v>
      </c>
      <c r="J1597" s="61" t="s">
        <v>2289</v>
      </c>
      <c r="K1597" s="61" t="s">
        <v>212</v>
      </c>
      <c r="L1597" s="61" t="s">
        <v>8690</v>
      </c>
      <c r="M1597" s="475">
        <v>45909</v>
      </c>
      <c r="N1597" s="475">
        <v>45916</v>
      </c>
      <c r="O1597" s="475">
        <v>45916</v>
      </c>
      <c r="P1597" s="475">
        <v>45916</v>
      </c>
      <c r="Q1597" s="475">
        <v>45918</v>
      </c>
      <c r="R1597" s="61">
        <f t="shared" si="112"/>
        <v>5</v>
      </c>
      <c r="S1597" s="61">
        <f t="shared" si="113"/>
        <v>1</v>
      </c>
      <c r="T1597" s="61">
        <f t="shared" si="111"/>
        <v>1</v>
      </c>
      <c r="U1597" s="61">
        <f t="shared" si="114"/>
        <v>2</v>
      </c>
      <c r="V1597" s="61" t="s">
        <v>150</v>
      </c>
      <c r="W1597" s="61" t="s">
        <v>4</v>
      </c>
      <c r="X1597" s="61" t="s">
        <v>50</v>
      </c>
      <c r="Y1597" s="471" t="s">
        <v>69</v>
      </c>
      <c r="Z1597" s="471" t="s">
        <v>69</v>
      </c>
      <c r="AA1597" s="61" t="s">
        <v>182</v>
      </c>
      <c r="AB1597" s="61" t="s">
        <v>8691</v>
      </c>
    </row>
    <row r="1598" spans="1:28" s="2" customFormat="1" ht="15">
      <c r="A1598" s="61" t="s">
        <v>2286</v>
      </c>
      <c r="B1598" s="61" t="s">
        <v>1309</v>
      </c>
      <c r="C1598" s="61" t="s">
        <v>5146</v>
      </c>
      <c r="D1598" s="61" t="s">
        <v>7838</v>
      </c>
      <c r="E1598" s="61">
        <v>1851</v>
      </c>
      <c r="F1598" s="61">
        <v>2216</v>
      </c>
      <c r="G1598" s="61">
        <v>2025</v>
      </c>
      <c r="H1598" s="61" t="s">
        <v>3127</v>
      </c>
      <c r="I1598" s="61" t="s">
        <v>26</v>
      </c>
      <c r="J1598" s="61" t="s">
        <v>2289</v>
      </c>
      <c r="K1598" s="61" t="s">
        <v>212</v>
      </c>
      <c r="L1598" s="61" t="s">
        <v>8690</v>
      </c>
      <c r="M1598" s="475">
        <v>45909</v>
      </c>
      <c r="N1598" s="475">
        <v>45916</v>
      </c>
      <c r="O1598" s="475">
        <v>45916</v>
      </c>
      <c r="P1598" s="475">
        <v>45916</v>
      </c>
      <c r="Q1598" s="475">
        <v>45918</v>
      </c>
      <c r="R1598" s="61">
        <f t="shared" si="112"/>
        <v>5</v>
      </c>
      <c r="S1598" s="61">
        <f t="shared" si="113"/>
        <v>1</v>
      </c>
      <c r="T1598" s="61">
        <f t="shared" si="111"/>
        <v>1</v>
      </c>
      <c r="U1598" s="61">
        <f t="shared" si="114"/>
        <v>2</v>
      </c>
      <c r="V1598" s="61" t="s">
        <v>150</v>
      </c>
      <c r="W1598" s="61" t="s">
        <v>4</v>
      </c>
      <c r="X1598" s="61" t="s">
        <v>50</v>
      </c>
      <c r="Y1598" s="471" t="s">
        <v>69</v>
      </c>
      <c r="Z1598" s="471" t="s">
        <v>69</v>
      </c>
      <c r="AA1598" s="61" t="s">
        <v>182</v>
      </c>
      <c r="AB1598" s="61" t="s">
        <v>8691</v>
      </c>
    </row>
    <row r="1599" spans="1:28" s="2" customFormat="1" ht="15">
      <c r="A1599" s="61" t="s">
        <v>2286</v>
      </c>
      <c r="B1599" s="61" t="s">
        <v>1309</v>
      </c>
      <c r="C1599" s="61" t="s">
        <v>5148</v>
      </c>
      <c r="D1599" s="61" t="s">
        <v>7838</v>
      </c>
      <c r="E1599" s="61">
        <v>1818</v>
      </c>
      <c r="F1599" s="61">
        <v>1964</v>
      </c>
      <c r="G1599" s="61">
        <v>2025</v>
      </c>
      <c r="H1599" s="61" t="s">
        <v>3127</v>
      </c>
      <c r="I1599" s="61" t="s">
        <v>26</v>
      </c>
      <c r="J1599" s="61" t="s">
        <v>2289</v>
      </c>
      <c r="K1599" s="61" t="s">
        <v>212</v>
      </c>
      <c r="L1599" s="61" t="s">
        <v>8690</v>
      </c>
      <c r="M1599" s="475">
        <v>45909</v>
      </c>
      <c r="N1599" s="475">
        <v>45916</v>
      </c>
      <c r="O1599" s="475">
        <v>45916</v>
      </c>
      <c r="P1599" s="475">
        <v>45916</v>
      </c>
      <c r="Q1599" s="475">
        <v>45918</v>
      </c>
      <c r="R1599" s="61">
        <f t="shared" si="112"/>
        <v>5</v>
      </c>
      <c r="S1599" s="61">
        <f t="shared" si="113"/>
        <v>1</v>
      </c>
      <c r="T1599" s="61">
        <f t="shared" si="111"/>
        <v>1</v>
      </c>
      <c r="U1599" s="61">
        <f t="shared" si="114"/>
        <v>2</v>
      </c>
      <c r="V1599" s="61" t="s">
        <v>150</v>
      </c>
      <c r="W1599" s="61" t="s">
        <v>4</v>
      </c>
      <c r="X1599" s="61" t="s">
        <v>50</v>
      </c>
      <c r="Y1599" s="471" t="s">
        <v>69</v>
      </c>
      <c r="Z1599" s="471" t="s">
        <v>69</v>
      </c>
      <c r="AA1599" s="61" t="s">
        <v>182</v>
      </c>
      <c r="AB1599" s="61" t="s">
        <v>8691</v>
      </c>
    </row>
    <row r="1600" spans="1:28" s="2" customFormat="1" ht="15">
      <c r="A1600" s="61" t="s">
        <v>2286</v>
      </c>
      <c r="B1600" s="61" t="s">
        <v>1314</v>
      </c>
      <c r="C1600" s="61" t="s">
        <v>5151</v>
      </c>
      <c r="D1600" s="61" t="s">
        <v>7838</v>
      </c>
      <c r="E1600" s="61">
        <v>1534</v>
      </c>
      <c r="F1600" s="61">
        <v>1501</v>
      </c>
      <c r="G1600" s="61">
        <v>2025</v>
      </c>
      <c r="H1600" s="61" t="s">
        <v>3126</v>
      </c>
      <c r="I1600" s="61" t="s">
        <v>267</v>
      </c>
      <c r="J1600" s="61" t="s">
        <v>28</v>
      </c>
      <c r="K1600" s="61" t="s">
        <v>212</v>
      </c>
      <c r="L1600" s="61" t="s">
        <v>8692</v>
      </c>
      <c r="M1600" s="489">
        <v>45877</v>
      </c>
      <c r="N1600" s="475">
        <v>45887</v>
      </c>
      <c r="O1600" s="475">
        <v>45887</v>
      </c>
      <c r="P1600" s="475">
        <v>45888</v>
      </c>
      <c r="Q1600" s="475">
        <v>45888</v>
      </c>
      <c r="R1600" s="61">
        <f t="shared" si="112"/>
        <v>6</v>
      </c>
      <c r="S1600" s="61">
        <f t="shared" si="113"/>
        <v>1</v>
      </c>
      <c r="T1600" s="61">
        <f t="shared" si="111"/>
        <v>1</v>
      </c>
      <c r="U1600" s="61">
        <f t="shared" si="114"/>
        <v>1</v>
      </c>
      <c r="V1600" s="61" t="s">
        <v>150</v>
      </c>
      <c r="W1600" s="61" t="s">
        <v>1078</v>
      </c>
      <c r="X1600" s="61" t="s">
        <v>50</v>
      </c>
      <c r="Y1600" s="478">
        <v>15.3657</v>
      </c>
      <c r="Z1600" s="478">
        <v>120.93819999999999</v>
      </c>
      <c r="AA1600" s="61" t="s">
        <v>533</v>
      </c>
      <c r="AB1600" s="61"/>
    </row>
    <row r="1601" spans="1:29" s="2" customFormat="1" ht="15">
      <c r="A1601" s="61" t="s">
        <v>2286</v>
      </c>
      <c r="B1601" s="61" t="s">
        <v>1314</v>
      </c>
      <c r="C1601" s="61" t="s">
        <v>5159</v>
      </c>
      <c r="D1601" s="61" t="s">
        <v>7838</v>
      </c>
      <c r="E1601" s="61">
        <v>4542</v>
      </c>
      <c r="F1601" s="61">
        <v>4638</v>
      </c>
      <c r="G1601" s="61">
        <v>2025</v>
      </c>
      <c r="H1601" s="61" t="s">
        <v>3125</v>
      </c>
      <c r="I1601" s="61" t="s">
        <v>267</v>
      </c>
      <c r="J1601" s="61" t="s">
        <v>28</v>
      </c>
      <c r="K1601" s="61" t="s">
        <v>212</v>
      </c>
      <c r="L1601" s="61" t="s">
        <v>8693</v>
      </c>
      <c r="M1601" s="475">
        <v>45835</v>
      </c>
      <c r="N1601" s="475">
        <v>45845</v>
      </c>
      <c r="O1601" s="475">
        <v>45846</v>
      </c>
      <c r="P1601" s="475">
        <v>45847</v>
      </c>
      <c r="Q1601" s="475">
        <v>45847</v>
      </c>
      <c r="R1601" s="61">
        <f t="shared" si="112"/>
        <v>6</v>
      </c>
      <c r="S1601" s="61">
        <f t="shared" si="113"/>
        <v>1</v>
      </c>
      <c r="T1601" s="61">
        <f t="shared" si="111"/>
        <v>1</v>
      </c>
      <c r="U1601" s="61">
        <f t="shared" si="114"/>
        <v>1</v>
      </c>
      <c r="V1601" s="61" t="s">
        <v>150</v>
      </c>
      <c r="W1601" s="61" t="s">
        <v>1078</v>
      </c>
      <c r="X1601" s="61" t="s">
        <v>50</v>
      </c>
      <c r="Y1601" s="61">
        <v>15.391999999999999</v>
      </c>
      <c r="Z1601" s="61">
        <v>120.9409</v>
      </c>
      <c r="AA1601" s="61" t="s">
        <v>533</v>
      </c>
      <c r="AB1601" s="61"/>
    </row>
    <row r="1602" spans="1:29" s="2" customFormat="1" ht="15">
      <c r="A1602" s="61" t="s">
        <v>2286</v>
      </c>
      <c r="B1602" s="61" t="s">
        <v>1314</v>
      </c>
      <c r="C1602" s="61" t="s">
        <v>4578</v>
      </c>
      <c r="D1602" s="61" t="s">
        <v>7838</v>
      </c>
      <c r="E1602" s="61">
        <v>3175</v>
      </c>
      <c r="F1602" s="61">
        <v>3294</v>
      </c>
      <c r="G1602" s="61"/>
      <c r="H1602" s="61"/>
      <c r="I1602" s="61" t="s">
        <v>28</v>
      </c>
      <c r="J1602" s="61"/>
      <c r="K1602" s="61" t="s">
        <v>212</v>
      </c>
      <c r="L1602" s="61"/>
      <c r="M1602" s="61"/>
      <c r="N1602" s="61"/>
      <c r="O1602" s="61"/>
      <c r="P1602" s="61"/>
      <c r="Q1602" s="61"/>
      <c r="R1602" s="61" t="str">
        <f t="shared" si="112"/>
        <v/>
      </c>
      <c r="S1602" s="61" t="str">
        <f t="shared" si="113"/>
        <v/>
      </c>
      <c r="T1602" s="61" t="str">
        <f t="shared" si="111"/>
        <v/>
      </c>
      <c r="U1602" s="61" t="str">
        <f t="shared" si="114"/>
        <v/>
      </c>
      <c r="V1602" s="61"/>
      <c r="W1602" s="61"/>
      <c r="X1602" s="61"/>
      <c r="Y1602" s="471"/>
      <c r="Z1602" s="471"/>
      <c r="AA1602" s="61"/>
      <c r="AB1602" s="61"/>
    </row>
    <row r="1603" spans="1:29" s="2" customFormat="1" ht="15">
      <c r="A1603" s="61" t="s">
        <v>2286</v>
      </c>
      <c r="B1603" s="61" t="s">
        <v>1314</v>
      </c>
      <c r="C1603" s="61" t="s">
        <v>5149</v>
      </c>
      <c r="D1603" s="61" t="s">
        <v>7838</v>
      </c>
      <c r="E1603" s="61">
        <v>2423</v>
      </c>
      <c r="F1603" s="61">
        <v>2172</v>
      </c>
      <c r="G1603" s="61"/>
      <c r="H1603" s="61"/>
      <c r="I1603" s="61" t="s">
        <v>28</v>
      </c>
      <c r="J1603" s="61"/>
      <c r="K1603" s="61" t="s">
        <v>212</v>
      </c>
      <c r="L1603" s="61"/>
      <c r="M1603" s="61"/>
      <c r="N1603" s="61"/>
      <c r="O1603" s="61"/>
      <c r="P1603" s="61"/>
      <c r="Q1603" s="61"/>
      <c r="R1603" s="61" t="str">
        <f t="shared" si="112"/>
        <v/>
      </c>
      <c r="S1603" s="61" t="str">
        <f t="shared" si="113"/>
        <v/>
      </c>
      <c r="T1603" s="61" t="str">
        <f t="shared" si="111"/>
        <v/>
      </c>
      <c r="U1603" s="61" t="str">
        <f t="shared" si="114"/>
        <v/>
      </c>
      <c r="V1603" s="61"/>
      <c r="W1603" s="61"/>
      <c r="X1603" s="61"/>
      <c r="Y1603" s="471"/>
      <c r="Z1603" s="471"/>
      <c r="AA1603" s="61"/>
      <c r="AB1603" s="61"/>
    </row>
    <row r="1604" spans="1:29" s="2" customFormat="1" ht="15">
      <c r="A1604" s="61" t="s">
        <v>2286</v>
      </c>
      <c r="B1604" s="61" t="s">
        <v>1314</v>
      </c>
      <c r="C1604" s="61" t="s">
        <v>5150</v>
      </c>
      <c r="D1604" s="61" t="s">
        <v>7838</v>
      </c>
      <c r="E1604" s="61">
        <v>4981</v>
      </c>
      <c r="F1604" s="61">
        <v>5548</v>
      </c>
      <c r="G1604" s="61"/>
      <c r="H1604" s="61"/>
      <c r="I1604" s="61" t="s">
        <v>28</v>
      </c>
      <c r="J1604" s="61"/>
      <c r="K1604" s="61" t="s">
        <v>212</v>
      </c>
      <c r="L1604" s="61"/>
      <c r="M1604" s="61"/>
      <c r="N1604" s="61"/>
      <c r="O1604" s="61"/>
      <c r="P1604" s="61"/>
      <c r="Q1604" s="61"/>
      <c r="R1604" s="61" t="str">
        <f t="shared" si="112"/>
        <v/>
      </c>
      <c r="S1604" s="61" t="str">
        <f t="shared" si="113"/>
        <v/>
      </c>
      <c r="T1604" s="61" t="str">
        <f t="shared" si="111"/>
        <v/>
      </c>
      <c r="U1604" s="61" t="str">
        <f t="shared" si="114"/>
        <v/>
      </c>
      <c r="V1604" s="61"/>
      <c r="W1604" s="61"/>
      <c r="X1604" s="61"/>
      <c r="Y1604" s="471"/>
      <c r="Z1604" s="471"/>
      <c r="AA1604" s="61"/>
      <c r="AB1604" s="61"/>
    </row>
    <row r="1605" spans="1:29" s="2" customFormat="1" ht="15">
      <c r="A1605" s="61" t="s">
        <v>2286</v>
      </c>
      <c r="B1605" s="61" t="s">
        <v>1314</v>
      </c>
      <c r="C1605" s="61" t="s">
        <v>5152</v>
      </c>
      <c r="D1605" s="61" t="s">
        <v>7838</v>
      </c>
      <c r="E1605" s="61">
        <v>5828</v>
      </c>
      <c r="F1605" s="61">
        <v>5867</v>
      </c>
      <c r="G1605" s="61"/>
      <c r="H1605" s="61"/>
      <c r="I1605" s="61" t="s">
        <v>28</v>
      </c>
      <c r="J1605" s="61"/>
      <c r="K1605" s="61" t="s">
        <v>212</v>
      </c>
      <c r="L1605" s="61"/>
      <c r="M1605" s="61"/>
      <c r="N1605" s="61"/>
      <c r="O1605" s="61"/>
      <c r="P1605" s="61"/>
      <c r="Q1605" s="61"/>
      <c r="R1605" s="61" t="str">
        <f t="shared" si="112"/>
        <v/>
      </c>
      <c r="S1605" s="61" t="str">
        <f t="shared" si="113"/>
        <v/>
      </c>
      <c r="T1605" s="61" t="str">
        <f t="shared" si="111"/>
        <v/>
      </c>
      <c r="U1605" s="61" t="str">
        <f t="shared" si="114"/>
        <v/>
      </c>
      <c r="V1605" s="61"/>
      <c r="W1605" s="61"/>
      <c r="X1605" s="61"/>
      <c r="Y1605" s="471"/>
      <c r="Z1605" s="471"/>
      <c r="AA1605" s="61"/>
      <c r="AB1605" s="61"/>
    </row>
    <row r="1606" spans="1:29" s="2" customFormat="1" ht="15">
      <c r="A1606" s="61" t="s">
        <v>2286</v>
      </c>
      <c r="B1606" s="61" t="s">
        <v>1314</v>
      </c>
      <c r="C1606" s="61" t="s">
        <v>5153</v>
      </c>
      <c r="D1606" s="61" t="s">
        <v>7838</v>
      </c>
      <c r="E1606" s="61">
        <v>9159</v>
      </c>
      <c r="F1606" s="61">
        <v>9152</v>
      </c>
      <c r="G1606" s="61"/>
      <c r="H1606" s="61"/>
      <c r="I1606" s="61" t="s">
        <v>28</v>
      </c>
      <c r="J1606" s="61"/>
      <c r="K1606" s="61" t="s">
        <v>212</v>
      </c>
      <c r="L1606" s="61"/>
      <c r="M1606" s="61"/>
      <c r="N1606" s="61"/>
      <c r="O1606" s="61"/>
      <c r="P1606" s="61"/>
      <c r="Q1606" s="61"/>
      <c r="R1606" s="61" t="str">
        <f t="shared" si="112"/>
        <v/>
      </c>
      <c r="S1606" s="61" t="str">
        <f t="shared" si="113"/>
        <v/>
      </c>
      <c r="T1606" s="61" t="str">
        <f t="shared" si="111"/>
        <v/>
      </c>
      <c r="U1606" s="61" t="str">
        <f t="shared" si="114"/>
        <v/>
      </c>
      <c r="V1606" s="61"/>
      <c r="W1606" s="61"/>
      <c r="X1606" s="61"/>
      <c r="Y1606" s="471"/>
      <c r="Z1606" s="471"/>
      <c r="AA1606" s="61"/>
      <c r="AB1606" s="61"/>
    </row>
    <row r="1607" spans="1:29" s="2" customFormat="1" ht="15">
      <c r="A1607" s="61" t="s">
        <v>2286</v>
      </c>
      <c r="B1607" s="61" t="s">
        <v>1314</v>
      </c>
      <c r="C1607" s="61" t="s">
        <v>5154</v>
      </c>
      <c r="D1607" s="61" t="s">
        <v>7838</v>
      </c>
      <c r="E1607" s="61">
        <v>8125</v>
      </c>
      <c r="F1607" s="61">
        <v>8597</v>
      </c>
      <c r="G1607" s="61"/>
      <c r="H1607" s="61"/>
      <c r="I1607" s="61" t="s">
        <v>28</v>
      </c>
      <c r="J1607" s="61"/>
      <c r="K1607" s="61" t="s">
        <v>212</v>
      </c>
      <c r="L1607" s="61"/>
      <c r="M1607" s="61"/>
      <c r="N1607" s="61"/>
      <c r="O1607" s="61"/>
      <c r="P1607" s="61"/>
      <c r="Q1607" s="61"/>
      <c r="R1607" s="61" t="str">
        <f t="shared" si="112"/>
        <v/>
      </c>
      <c r="S1607" s="61" t="str">
        <f t="shared" si="113"/>
        <v/>
      </c>
      <c r="T1607" s="61" t="str">
        <f t="shared" si="111"/>
        <v/>
      </c>
      <c r="U1607" s="61" t="str">
        <f t="shared" si="114"/>
        <v/>
      </c>
      <c r="V1607" s="61"/>
      <c r="W1607" s="61"/>
      <c r="X1607" s="61"/>
      <c r="Y1607" s="471"/>
      <c r="Z1607" s="471"/>
      <c r="AA1607" s="61"/>
      <c r="AB1607" s="61"/>
    </row>
    <row r="1608" spans="1:29" s="2" customFormat="1" ht="15">
      <c r="A1608" s="61" t="s">
        <v>2286</v>
      </c>
      <c r="B1608" s="61" t="s">
        <v>1314</v>
      </c>
      <c r="C1608" s="61" t="s">
        <v>5155</v>
      </c>
      <c r="D1608" s="61" t="s">
        <v>7838</v>
      </c>
      <c r="E1608" s="61">
        <v>5426</v>
      </c>
      <c r="F1608" s="61">
        <v>5763</v>
      </c>
      <c r="G1608" s="61"/>
      <c r="H1608" s="61"/>
      <c r="I1608" s="61" t="s">
        <v>28</v>
      </c>
      <c r="J1608" s="61"/>
      <c r="K1608" s="61" t="s">
        <v>212</v>
      </c>
      <c r="L1608" s="61"/>
      <c r="M1608" s="61"/>
      <c r="N1608" s="61"/>
      <c r="O1608" s="61"/>
      <c r="P1608" s="61"/>
      <c r="Q1608" s="61"/>
      <c r="R1608" s="61" t="str">
        <f t="shared" si="112"/>
        <v/>
      </c>
      <c r="S1608" s="61" t="str">
        <f t="shared" si="113"/>
        <v/>
      </c>
      <c r="T1608" s="61" t="str">
        <f t="shared" si="111"/>
        <v/>
      </c>
      <c r="U1608" s="61" t="str">
        <f t="shared" si="114"/>
        <v/>
      </c>
      <c r="V1608" s="61"/>
      <c r="W1608" s="61"/>
      <c r="X1608" s="61"/>
      <c r="Y1608" s="471"/>
      <c r="Z1608" s="471"/>
      <c r="AA1608" s="61"/>
      <c r="AB1608" s="61"/>
    </row>
    <row r="1609" spans="1:29" s="2" customFormat="1" ht="15">
      <c r="A1609" s="61" t="s">
        <v>2286</v>
      </c>
      <c r="B1609" s="61" t="s">
        <v>1314</v>
      </c>
      <c r="C1609" s="61" t="s">
        <v>5156</v>
      </c>
      <c r="D1609" s="61" t="s">
        <v>7838</v>
      </c>
      <c r="E1609" s="61">
        <v>2428</v>
      </c>
      <c r="F1609" s="61">
        <v>2391</v>
      </c>
      <c r="G1609" s="61"/>
      <c r="H1609" s="61"/>
      <c r="I1609" s="61" t="s">
        <v>28</v>
      </c>
      <c r="J1609" s="61"/>
      <c r="K1609" s="61" t="s">
        <v>212</v>
      </c>
      <c r="L1609" s="61"/>
      <c r="M1609" s="61"/>
      <c r="N1609" s="61"/>
      <c r="O1609" s="61"/>
      <c r="P1609" s="61"/>
      <c r="Q1609" s="61"/>
      <c r="R1609" s="61" t="str">
        <f t="shared" si="112"/>
        <v/>
      </c>
      <c r="S1609" s="61" t="str">
        <f t="shared" si="113"/>
        <v/>
      </c>
      <c r="T1609" s="61" t="str">
        <f t="shared" si="111"/>
        <v/>
      </c>
      <c r="U1609" s="61" t="str">
        <f t="shared" si="114"/>
        <v/>
      </c>
      <c r="V1609" s="61"/>
      <c r="W1609" s="61"/>
      <c r="X1609" s="61"/>
      <c r="Y1609" s="471"/>
      <c r="Z1609" s="471"/>
      <c r="AA1609" s="61"/>
      <c r="AB1609" s="61"/>
    </row>
    <row r="1610" spans="1:29" s="2" customFormat="1" ht="15">
      <c r="A1610" s="61" t="s">
        <v>2286</v>
      </c>
      <c r="B1610" s="61" t="s">
        <v>1314</v>
      </c>
      <c r="C1610" s="61" t="s">
        <v>5157</v>
      </c>
      <c r="D1610" s="61" t="s">
        <v>7838</v>
      </c>
      <c r="E1610" s="61">
        <v>5496</v>
      </c>
      <c r="F1610" s="61">
        <v>6993</v>
      </c>
      <c r="G1610" s="61"/>
      <c r="H1610" s="61"/>
      <c r="I1610" s="61" t="s">
        <v>28</v>
      </c>
      <c r="J1610" s="61"/>
      <c r="K1610" s="61" t="s">
        <v>212</v>
      </c>
      <c r="L1610" s="61"/>
      <c r="M1610" s="61"/>
      <c r="N1610" s="61"/>
      <c r="O1610" s="61"/>
      <c r="P1610" s="61"/>
      <c r="Q1610" s="61"/>
      <c r="R1610" s="61" t="str">
        <f t="shared" si="112"/>
        <v/>
      </c>
      <c r="S1610" s="61" t="str">
        <f t="shared" si="113"/>
        <v/>
      </c>
      <c r="T1610" s="61" t="str">
        <f t="shared" si="111"/>
        <v/>
      </c>
      <c r="U1610" s="61" t="str">
        <f t="shared" si="114"/>
        <v/>
      </c>
      <c r="V1610" s="61"/>
      <c r="W1610" s="61"/>
      <c r="X1610" s="61"/>
      <c r="Y1610" s="471"/>
      <c r="Z1610" s="471"/>
      <c r="AA1610" s="61"/>
      <c r="AB1610" s="61"/>
    </row>
    <row r="1611" spans="1:29" s="2" customFormat="1" ht="15">
      <c r="A1611" s="61" t="s">
        <v>2286</v>
      </c>
      <c r="B1611" s="61" t="s">
        <v>1314</v>
      </c>
      <c r="C1611" s="61" t="s">
        <v>5158</v>
      </c>
      <c r="D1611" s="61" t="s">
        <v>7838</v>
      </c>
      <c r="E1611" s="61">
        <v>2224</v>
      </c>
      <c r="F1611" s="61">
        <v>2270</v>
      </c>
      <c r="G1611" s="61"/>
      <c r="H1611" s="61" t="s">
        <v>3470</v>
      </c>
      <c r="I1611" s="61" t="s">
        <v>28</v>
      </c>
      <c r="J1611" s="61"/>
      <c r="K1611" s="61" t="s">
        <v>212</v>
      </c>
      <c r="L1611" s="61"/>
      <c r="M1611" s="475"/>
      <c r="N1611" s="475"/>
      <c r="O1611" s="61"/>
      <c r="P1611" s="475"/>
      <c r="Q1611" s="475"/>
      <c r="R1611" s="61" t="str">
        <f t="shared" si="112"/>
        <v/>
      </c>
      <c r="S1611" s="61" t="str">
        <f t="shared" si="113"/>
        <v/>
      </c>
      <c r="T1611" s="61" t="str">
        <f t="shared" si="111"/>
        <v/>
      </c>
      <c r="U1611" s="61" t="str">
        <f t="shared" si="114"/>
        <v/>
      </c>
      <c r="V1611" s="61"/>
      <c r="W1611" s="61"/>
      <c r="X1611" s="61"/>
      <c r="Y1611" s="471"/>
      <c r="Z1611" s="471"/>
      <c r="AA1611" s="61"/>
      <c r="AB1611" s="61"/>
    </row>
    <row r="1612" spans="1:29" s="474" customFormat="1" ht="15">
      <c r="A1612" s="61" t="s">
        <v>2286</v>
      </c>
      <c r="B1612" s="61" t="s">
        <v>1314</v>
      </c>
      <c r="C1612" s="61" t="s">
        <v>3974</v>
      </c>
      <c r="D1612" s="61" t="s">
        <v>7838</v>
      </c>
      <c r="E1612" s="61">
        <v>3373</v>
      </c>
      <c r="F1612" s="61">
        <v>3292</v>
      </c>
      <c r="G1612" s="61"/>
      <c r="H1612" s="61"/>
      <c r="I1612" s="61" t="s">
        <v>28</v>
      </c>
      <c r="J1612" s="61"/>
      <c r="K1612" s="61" t="s">
        <v>212</v>
      </c>
      <c r="L1612" s="61"/>
      <c r="M1612" s="61"/>
      <c r="N1612" s="61"/>
      <c r="O1612" s="61"/>
      <c r="P1612" s="61"/>
      <c r="Q1612" s="61"/>
      <c r="R1612" s="61" t="str">
        <f t="shared" si="112"/>
        <v/>
      </c>
      <c r="S1612" s="61" t="str">
        <f t="shared" si="113"/>
        <v/>
      </c>
      <c r="T1612" s="61" t="str">
        <f t="shared" si="111"/>
        <v/>
      </c>
      <c r="U1612" s="61" t="str">
        <f t="shared" si="114"/>
        <v/>
      </c>
      <c r="V1612" s="61"/>
      <c r="W1612" s="61"/>
      <c r="X1612" s="61"/>
      <c r="Y1612" s="471"/>
      <c r="Z1612" s="471"/>
      <c r="AA1612" s="61"/>
      <c r="AB1612" s="61"/>
      <c r="AC1612" s="2"/>
    </row>
    <row r="1613" spans="1:29" s="2" customFormat="1" ht="15">
      <c r="A1613" s="61" t="s">
        <v>2286</v>
      </c>
      <c r="B1613" s="61" t="s">
        <v>1314</v>
      </c>
      <c r="C1613" s="61" t="s">
        <v>1315</v>
      </c>
      <c r="D1613" s="61" t="s">
        <v>7838</v>
      </c>
      <c r="E1613" s="61">
        <v>982</v>
      </c>
      <c r="F1613" s="61">
        <v>1188</v>
      </c>
      <c r="G1613" s="61"/>
      <c r="H1613" s="61"/>
      <c r="I1613" s="61" t="s">
        <v>28</v>
      </c>
      <c r="J1613" s="61"/>
      <c r="K1613" s="61" t="s">
        <v>212</v>
      </c>
      <c r="L1613" s="61"/>
      <c r="M1613" s="61"/>
      <c r="N1613" s="61"/>
      <c r="O1613" s="61"/>
      <c r="P1613" s="61"/>
      <c r="Q1613" s="61"/>
      <c r="R1613" s="61" t="str">
        <f t="shared" si="112"/>
        <v/>
      </c>
      <c r="S1613" s="61" t="str">
        <f t="shared" si="113"/>
        <v/>
      </c>
      <c r="T1613" s="61" t="str">
        <f t="shared" si="111"/>
        <v/>
      </c>
      <c r="U1613" s="61" t="str">
        <f t="shared" si="114"/>
        <v/>
      </c>
      <c r="V1613" s="61"/>
      <c r="W1613" s="61"/>
      <c r="X1613" s="61"/>
      <c r="Y1613" s="471"/>
      <c r="Z1613" s="471"/>
      <c r="AA1613" s="61"/>
      <c r="AB1613" s="61"/>
    </row>
    <row r="1614" spans="1:29" s="2" customFormat="1" ht="15">
      <c r="A1614" s="61" t="s">
        <v>2286</v>
      </c>
      <c r="B1614" s="61" t="s">
        <v>1314</v>
      </c>
      <c r="C1614" s="61" t="s">
        <v>5160</v>
      </c>
      <c r="D1614" s="61" t="s">
        <v>7838</v>
      </c>
      <c r="E1614" s="61">
        <v>5603</v>
      </c>
      <c r="F1614" s="61">
        <v>5870</v>
      </c>
      <c r="G1614" s="61"/>
      <c r="H1614" s="61"/>
      <c r="I1614" s="61" t="s">
        <v>28</v>
      </c>
      <c r="J1614" s="61"/>
      <c r="K1614" s="61" t="s">
        <v>212</v>
      </c>
      <c r="L1614" s="61"/>
      <c r="M1614" s="61"/>
      <c r="N1614" s="61"/>
      <c r="O1614" s="61"/>
      <c r="P1614" s="61"/>
      <c r="Q1614" s="61"/>
      <c r="R1614" s="61" t="str">
        <f t="shared" si="112"/>
        <v/>
      </c>
      <c r="S1614" s="61" t="str">
        <f t="shared" si="113"/>
        <v/>
      </c>
      <c r="T1614" s="61" t="str">
        <f t="shared" si="111"/>
        <v/>
      </c>
      <c r="U1614" s="61" t="str">
        <f t="shared" si="114"/>
        <v/>
      </c>
      <c r="V1614" s="61"/>
      <c r="W1614" s="61"/>
      <c r="X1614" s="61"/>
      <c r="Y1614" s="471"/>
      <c r="Z1614" s="471"/>
      <c r="AA1614" s="61"/>
      <c r="AB1614" s="61"/>
    </row>
    <row r="1615" spans="1:29" s="2" customFormat="1" ht="15">
      <c r="A1615" s="61" t="s">
        <v>2286</v>
      </c>
      <c r="B1615" s="61" t="s">
        <v>3132</v>
      </c>
      <c r="C1615" s="61" t="s">
        <v>5034</v>
      </c>
      <c r="D1615" s="61" t="s">
        <v>7838</v>
      </c>
      <c r="E1615" s="61">
        <v>1765</v>
      </c>
      <c r="F1615" s="61">
        <v>1693</v>
      </c>
      <c r="G1615" s="61">
        <v>2025</v>
      </c>
      <c r="H1615" s="61" t="s">
        <v>3126</v>
      </c>
      <c r="I1615" s="61" t="s">
        <v>267</v>
      </c>
      <c r="J1615" s="61" t="s">
        <v>28</v>
      </c>
      <c r="K1615" s="61" t="s">
        <v>212</v>
      </c>
      <c r="L1615" s="61" t="s">
        <v>8694</v>
      </c>
      <c r="M1615" s="475">
        <v>45875</v>
      </c>
      <c r="N1615" s="475">
        <v>45887</v>
      </c>
      <c r="O1615" s="475">
        <v>45887</v>
      </c>
      <c r="P1615" s="475">
        <v>45888</v>
      </c>
      <c r="Q1615" s="475">
        <v>45888</v>
      </c>
      <c r="R1615" s="61">
        <f t="shared" si="112"/>
        <v>8</v>
      </c>
      <c r="S1615" s="61">
        <f t="shared" si="113"/>
        <v>1</v>
      </c>
      <c r="T1615" s="61">
        <f t="shared" si="111"/>
        <v>1</v>
      </c>
      <c r="U1615" s="61">
        <f t="shared" si="114"/>
        <v>1</v>
      </c>
      <c r="V1615" s="61" t="s">
        <v>150</v>
      </c>
      <c r="W1615" s="61" t="s">
        <v>4</v>
      </c>
      <c r="X1615" s="61" t="s">
        <v>50</v>
      </c>
      <c r="Y1615" s="471">
        <v>15.413600000000001</v>
      </c>
      <c r="Z1615" s="471">
        <v>120.9375</v>
      </c>
      <c r="AA1615" s="61" t="s">
        <v>8695</v>
      </c>
      <c r="AB1615" s="61"/>
    </row>
    <row r="1616" spans="1:29" s="474" customFormat="1">
      <c r="A1616" s="61" t="s">
        <v>2286</v>
      </c>
      <c r="B1616" s="61" t="s">
        <v>3132</v>
      </c>
      <c r="C1616" s="61" t="s">
        <v>1490</v>
      </c>
      <c r="D1616" s="61" t="s">
        <v>7838</v>
      </c>
      <c r="E1616" s="61">
        <v>1464</v>
      </c>
      <c r="F1616" s="61">
        <v>1422</v>
      </c>
      <c r="G1616" s="61">
        <v>2025</v>
      </c>
      <c r="H1616" s="61" t="s">
        <v>3125</v>
      </c>
      <c r="I1616" s="61" t="s">
        <v>267</v>
      </c>
      <c r="J1616" s="61" t="s">
        <v>28</v>
      </c>
      <c r="K1616" s="61" t="s">
        <v>212</v>
      </c>
      <c r="L1616" s="61" t="s">
        <v>8696</v>
      </c>
      <c r="M1616" s="475">
        <v>45828</v>
      </c>
      <c r="N1616" s="475">
        <v>45832</v>
      </c>
      <c r="O1616" s="475">
        <v>45839</v>
      </c>
      <c r="P1616" s="475">
        <v>45839</v>
      </c>
      <c r="Q1616" s="475">
        <v>45847</v>
      </c>
      <c r="R1616" s="61">
        <f t="shared" si="112"/>
        <v>2</v>
      </c>
      <c r="S1616" s="61">
        <f t="shared" si="113"/>
        <v>5</v>
      </c>
      <c r="T1616" s="61">
        <f t="shared" si="111"/>
        <v>1</v>
      </c>
      <c r="U1616" s="61">
        <f t="shared" si="114"/>
        <v>6</v>
      </c>
      <c r="V1616" s="61" t="s">
        <v>150</v>
      </c>
      <c r="W1616" s="61" t="s">
        <v>1078</v>
      </c>
      <c r="X1616" s="61" t="s">
        <v>50</v>
      </c>
      <c r="Y1616" s="61">
        <v>15.4328</v>
      </c>
      <c r="Z1616" s="61">
        <v>120.93940000000001</v>
      </c>
      <c r="AA1616" s="61" t="s">
        <v>8697</v>
      </c>
      <c r="AB1616" s="61"/>
    </row>
    <row r="1617" spans="1:29" s="474" customFormat="1" ht="15">
      <c r="A1617" s="61" t="s">
        <v>2286</v>
      </c>
      <c r="B1617" s="61" t="s">
        <v>3132</v>
      </c>
      <c r="C1617" s="61" t="s">
        <v>5185</v>
      </c>
      <c r="D1617" s="61" t="s">
        <v>7838</v>
      </c>
      <c r="E1617" s="61">
        <v>2737</v>
      </c>
      <c r="F1617" s="61">
        <v>2682</v>
      </c>
      <c r="G1617" s="61">
        <v>2025</v>
      </c>
      <c r="H1617" s="61" t="s">
        <v>3125</v>
      </c>
      <c r="I1617" s="61" t="s">
        <v>267</v>
      </c>
      <c r="J1617" s="61" t="s">
        <v>28</v>
      </c>
      <c r="K1617" s="61" t="s">
        <v>212</v>
      </c>
      <c r="L1617" s="61" t="s">
        <v>8698</v>
      </c>
      <c r="M1617" s="475">
        <v>45833</v>
      </c>
      <c r="N1617" s="475">
        <v>45843</v>
      </c>
      <c r="O1617" s="475">
        <v>45846</v>
      </c>
      <c r="P1617" s="475">
        <v>45847</v>
      </c>
      <c r="Q1617" s="475">
        <v>45847</v>
      </c>
      <c r="R1617" s="61">
        <f t="shared" si="112"/>
        <v>7</v>
      </c>
      <c r="S1617" s="61">
        <f t="shared" si="113"/>
        <v>1</v>
      </c>
      <c r="T1617" s="61">
        <f t="shared" si="111"/>
        <v>1</v>
      </c>
      <c r="U1617" s="61">
        <f t="shared" si="114"/>
        <v>1</v>
      </c>
      <c r="V1617" s="61" t="s">
        <v>150</v>
      </c>
      <c r="W1617" s="61" t="s">
        <v>1078</v>
      </c>
      <c r="X1617" s="61" t="s">
        <v>50</v>
      </c>
      <c r="Y1617" s="61">
        <v>15.430400000000001</v>
      </c>
      <c r="Z1617" s="61">
        <v>120.9374</v>
      </c>
      <c r="AA1617" s="61" t="s">
        <v>8695</v>
      </c>
      <c r="AB1617" s="61"/>
      <c r="AC1617" s="2"/>
    </row>
    <row r="1618" spans="1:29" s="2" customFormat="1" ht="15">
      <c r="A1618" s="61" t="s">
        <v>2286</v>
      </c>
      <c r="B1618" s="61" t="s">
        <v>3132</v>
      </c>
      <c r="C1618" s="61" t="s">
        <v>5164</v>
      </c>
      <c r="D1618" s="61" t="s">
        <v>7838</v>
      </c>
      <c r="E1618" s="61">
        <v>927</v>
      </c>
      <c r="F1618" s="61">
        <v>1040</v>
      </c>
      <c r="G1618" s="61"/>
      <c r="H1618" s="61"/>
      <c r="I1618" s="61" t="s">
        <v>28</v>
      </c>
      <c r="J1618" s="61"/>
      <c r="K1618" s="61" t="s">
        <v>212</v>
      </c>
      <c r="L1618" s="61"/>
      <c r="M1618" s="61"/>
      <c r="N1618" s="61"/>
      <c r="O1618" s="61"/>
      <c r="P1618" s="61"/>
      <c r="Q1618" s="61"/>
      <c r="R1618" s="61" t="str">
        <f t="shared" si="112"/>
        <v/>
      </c>
      <c r="S1618" s="61" t="str">
        <f t="shared" si="113"/>
        <v/>
      </c>
      <c r="T1618" s="61" t="str">
        <f t="shared" si="111"/>
        <v/>
      </c>
      <c r="U1618" s="61" t="str">
        <f t="shared" si="114"/>
        <v/>
      </c>
      <c r="V1618" s="61"/>
      <c r="W1618" s="61"/>
      <c r="X1618" s="61"/>
      <c r="Y1618" s="471"/>
      <c r="Z1618" s="471"/>
      <c r="AA1618" s="61"/>
      <c r="AB1618" s="61"/>
    </row>
    <row r="1619" spans="1:29" s="2" customFormat="1" ht="15">
      <c r="A1619" s="61" t="s">
        <v>2286</v>
      </c>
      <c r="B1619" s="61" t="s">
        <v>3132</v>
      </c>
      <c r="C1619" s="61" t="s">
        <v>5165</v>
      </c>
      <c r="D1619" s="61" t="s">
        <v>7838</v>
      </c>
      <c r="E1619" s="61">
        <v>1339</v>
      </c>
      <c r="F1619" s="61">
        <v>1392</v>
      </c>
      <c r="G1619" s="61"/>
      <c r="H1619" s="61"/>
      <c r="I1619" s="61" t="s">
        <v>28</v>
      </c>
      <c r="J1619" s="61"/>
      <c r="K1619" s="61" t="s">
        <v>212</v>
      </c>
      <c r="L1619" s="61"/>
      <c r="M1619" s="61"/>
      <c r="N1619" s="61"/>
      <c r="O1619" s="61"/>
      <c r="P1619" s="61"/>
      <c r="Q1619" s="61"/>
      <c r="R1619" s="61" t="str">
        <f t="shared" si="112"/>
        <v/>
      </c>
      <c r="S1619" s="61" t="str">
        <f t="shared" si="113"/>
        <v/>
      </c>
      <c r="T1619" s="61" t="str">
        <f t="shared" ref="T1619:T1682" si="115">IF(
  OR(A1619 = "Nueva_Ecija", A1619 = "Zambales"),
  IF(
    OR(ISBLANK(O1619), ISBLANK(P1619)),
    "",
    MAX(1, IF(
      NETWORKDAYS(O1619, P1619) &lt;= 0,
      1,
      NETWORKDAYS(O1619, P1619) - IF(O1619 = P1619, 0, 1)
    ))
  ),
  IF(
    OR(ISBLANK(N1619), ISBLANK(P1619)),
    "",
    MAX(1, IF(
      NETWORKDAYS(N1619, P1619) &lt;= 0,
      1,
      NETWORKDAYS(N1619, P1619) - IF(N1619 = P1619, 0, 1)
    ))
  )
)</f>
        <v/>
      </c>
      <c r="U1619" s="61" t="str">
        <f t="shared" si="114"/>
        <v/>
      </c>
      <c r="V1619" s="61"/>
      <c r="W1619" s="61"/>
      <c r="X1619" s="61"/>
      <c r="Y1619" s="471"/>
      <c r="Z1619" s="471"/>
      <c r="AA1619" s="61"/>
      <c r="AB1619" s="61"/>
    </row>
    <row r="1620" spans="1:29" s="2" customFormat="1" ht="15">
      <c r="A1620" s="61" t="s">
        <v>2286</v>
      </c>
      <c r="B1620" s="61" t="s">
        <v>3132</v>
      </c>
      <c r="C1620" s="61" t="s">
        <v>5167</v>
      </c>
      <c r="D1620" s="61" t="s">
        <v>7838</v>
      </c>
      <c r="E1620" s="61">
        <v>2378</v>
      </c>
      <c r="F1620" s="61">
        <v>2604</v>
      </c>
      <c r="G1620" s="61"/>
      <c r="H1620" s="61"/>
      <c r="I1620" s="61" t="s">
        <v>28</v>
      </c>
      <c r="J1620" s="61"/>
      <c r="K1620" s="61" t="s">
        <v>212</v>
      </c>
      <c r="L1620" s="61"/>
      <c r="M1620" s="61"/>
      <c r="N1620" s="61"/>
      <c r="O1620" s="61"/>
      <c r="P1620" s="61"/>
      <c r="Q1620" s="61"/>
      <c r="R1620" s="61" t="str">
        <f t="shared" si="112"/>
        <v/>
      </c>
      <c r="S1620" s="61" t="str">
        <f t="shared" si="113"/>
        <v/>
      </c>
      <c r="T1620" s="61" t="str">
        <f t="shared" si="115"/>
        <v/>
      </c>
      <c r="U1620" s="61" t="str">
        <f t="shared" si="114"/>
        <v/>
      </c>
      <c r="V1620" s="61"/>
      <c r="W1620" s="61"/>
      <c r="X1620" s="61"/>
      <c r="Y1620" s="471"/>
      <c r="Z1620" s="471"/>
      <c r="AA1620" s="61"/>
      <c r="AB1620" s="61"/>
    </row>
    <row r="1621" spans="1:29" s="2" customFormat="1" ht="15">
      <c r="A1621" s="61" t="s">
        <v>2286</v>
      </c>
      <c r="B1621" s="61" t="s">
        <v>3132</v>
      </c>
      <c r="C1621" s="61" t="s">
        <v>5063</v>
      </c>
      <c r="D1621" s="61" t="s">
        <v>7838</v>
      </c>
      <c r="E1621" s="61">
        <v>1342</v>
      </c>
      <c r="F1621" s="61">
        <v>1359</v>
      </c>
      <c r="G1621" s="61"/>
      <c r="H1621" s="61"/>
      <c r="I1621" s="61" t="s">
        <v>28</v>
      </c>
      <c r="J1621" s="61"/>
      <c r="K1621" s="61" t="s">
        <v>212</v>
      </c>
      <c r="L1621" s="61"/>
      <c r="M1621" s="61"/>
      <c r="N1621" s="61"/>
      <c r="O1621" s="61"/>
      <c r="P1621" s="61"/>
      <c r="Q1621" s="61"/>
      <c r="R1621" s="61" t="str">
        <f t="shared" si="112"/>
        <v/>
      </c>
      <c r="S1621" s="61" t="str">
        <f t="shared" si="113"/>
        <v/>
      </c>
      <c r="T1621" s="61" t="str">
        <f t="shared" si="115"/>
        <v/>
      </c>
      <c r="U1621" s="61" t="str">
        <f t="shared" si="114"/>
        <v/>
      </c>
      <c r="V1621" s="61"/>
      <c r="W1621" s="61"/>
      <c r="X1621" s="61"/>
      <c r="Y1621" s="471"/>
      <c r="Z1621" s="471"/>
      <c r="AA1621" s="61"/>
      <c r="AB1621" s="61"/>
    </row>
    <row r="1622" spans="1:29" s="2" customFormat="1" ht="15">
      <c r="A1622" s="61" t="s">
        <v>2286</v>
      </c>
      <c r="B1622" s="61" t="s">
        <v>3132</v>
      </c>
      <c r="C1622" s="61" t="s">
        <v>4966</v>
      </c>
      <c r="D1622" s="61" t="s">
        <v>7838</v>
      </c>
      <c r="E1622" s="61">
        <v>1882</v>
      </c>
      <c r="F1622" s="61">
        <v>1856</v>
      </c>
      <c r="G1622" s="61"/>
      <c r="H1622" s="61"/>
      <c r="I1622" s="61" t="s">
        <v>28</v>
      </c>
      <c r="J1622" s="61"/>
      <c r="K1622" s="61" t="s">
        <v>212</v>
      </c>
      <c r="L1622" s="61"/>
      <c r="M1622" s="61"/>
      <c r="N1622" s="61"/>
      <c r="O1622" s="61"/>
      <c r="P1622" s="61"/>
      <c r="Q1622" s="61"/>
      <c r="R1622" s="61" t="str">
        <f t="shared" si="112"/>
        <v/>
      </c>
      <c r="S1622" s="61" t="str">
        <f t="shared" si="113"/>
        <v/>
      </c>
      <c r="T1622" s="61" t="str">
        <f t="shared" si="115"/>
        <v/>
      </c>
      <c r="U1622" s="61" t="str">
        <f t="shared" si="114"/>
        <v/>
      </c>
      <c r="V1622" s="61"/>
      <c r="W1622" s="61"/>
      <c r="X1622" s="61"/>
      <c r="Y1622" s="471"/>
      <c r="Z1622" s="471"/>
      <c r="AA1622" s="61"/>
      <c r="AB1622" s="61"/>
    </row>
    <row r="1623" spans="1:29" s="2" customFormat="1" ht="15">
      <c r="A1623" s="61" t="s">
        <v>2286</v>
      </c>
      <c r="B1623" s="61" t="s">
        <v>3132</v>
      </c>
      <c r="C1623" s="61" t="s">
        <v>5168</v>
      </c>
      <c r="D1623" s="61" t="s">
        <v>7838</v>
      </c>
      <c r="E1623" s="61">
        <v>1984</v>
      </c>
      <c r="F1623" s="61">
        <v>2064</v>
      </c>
      <c r="G1623" s="61"/>
      <c r="H1623" s="61"/>
      <c r="I1623" s="61" t="s">
        <v>28</v>
      </c>
      <c r="J1623" s="61"/>
      <c r="K1623" s="61" t="s">
        <v>212</v>
      </c>
      <c r="L1623" s="61"/>
      <c r="M1623" s="61"/>
      <c r="N1623" s="61"/>
      <c r="O1623" s="61"/>
      <c r="P1623" s="61"/>
      <c r="Q1623" s="61"/>
      <c r="R1623" s="61" t="str">
        <f t="shared" si="112"/>
        <v/>
      </c>
      <c r="S1623" s="61" t="str">
        <f t="shared" si="113"/>
        <v/>
      </c>
      <c r="T1623" s="61" t="str">
        <f t="shared" si="115"/>
        <v/>
      </c>
      <c r="U1623" s="61" t="str">
        <f t="shared" si="114"/>
        <v/>
      </c>
      <c r="V1623" s="61"/>
      <c r="W1623" s="61"/>
      <c r="X1623" s="61"/>
      <c r="Y1623" s="471"/>
      <c r="Z1623" s="471"/>
      <c r="AA1623" s="61"/>
      <c r="AB1623" s="61"/>
    </row>
    <row r="1624" spans="1:29" s="2" customFormat="1" ht="15">
      <c r="A1624" s="61" t="s">
        <v>2286</v>
      </c>
      <c r="B1624" s="61" t="s">
        <v>3132</v>
      </c>
      <c r="C1624" s="61" t="s">
        <v>5169</v>
      </c>
      <c r="D1624" s="61" t="s">
        <v>7838</v>
      </c>
      <c r="E1624" s="61">
        <v>2427</v>
      </c>
      <c r="F1624" s="61">
        <v>2510</v>
      </c>
      <c r="G1624" s="61"/>
      <c r="H1624" s="61"/>
      <c r="I1624" s="61" t="s">
        <v>28</v>
      </c>
      <c r="J1624" s="61"/>
      <c r="K1624" s="61" t="s">
        <v>212</v>
      </c>
      <c r="L1624" s="61"/>
      <c r="M1624" s="61"/>
      <c r="N1624" s="61"/>
      <c r="O1624" s="61"/>
      <c r="P1624" s="61"/>
      <c r="Q1624" s="61"/>
      <c r="R1624" s="61" t="str">
        <f t="shared" ref="R1624:R1687" si="116">IF(
    OR(ISBLANK(M1624), ISBLANK(N1624)),
    "",
    MAX(1, IF(
        NETWORKDAYS(M1624, N1624) &lt;= 0,
        1,
        NETWORKDAYS(M1624, N1624) - IF(M1624 = N1624, 0, 1)
    ))
)</f>
        <v/>
      </c>
      <c r="S1624" s="61" t="str">
        <f t="shared" ref="S1624:S1687" si="117">IF(
    OR(ISBLANK(N1624), ISBLANK(O1624)),
    "",
    MAX(1, IF(
        NETWORKDAYS(N1624, O1624) &lt;= 0,
        1,
        NETWORKDAYS(N1624, O1624) - IF(N1624 = O1624, 0, 1)
    ))
)</f>
        <v/>
      </c>
      <c r="T1624" s="61" t="str">
        <f t="shared" si="115"/>
        <v/>
      </c>
      <c r="U1624" s="61" t="str">
        <f t="shared" ref="U1624:U1687" si="118">IF(
    OR(ISBLANK(P1624), ISBLANK(Q1624)),
    "",
    MAX(1, IF(
        NETWORKDAYS(P1624, Q1624) &lt;= 0,
        1,
        NETWORKDAYS(P1624, Q1624) - IF(P1624 = Q1624, 0, 1)
    ))
)</f>
        <v/>
      </c>
      <c r="V1624" s="61"/>
      <c r="W1624" s="61"/>
      <c r="X1624" s="61"/>
      <c r="Y1624" s="471"/>
      <c r="Z1624" s="471"/>
      <c r="AA1624" s="61"/>
      <c r="AB1624" s="61"/>
    </row>
    <row r="1625" spans="1:29" s="2" customFormat="1" ht="15">
      <c r="A1625" s="61" t="s">
        <v>2286</v>
      </c>
      <c r="B1625" s="61" t="s">
        <v>3132</v>
      </c>
      <c r="C1625" s="61" t="s">
        <v>5162</v>
      </c>
      <c r="D1625" s="61" t="s">
        <v>7838</v>
      </c>
      <c r="E1625" s="61">
        <v>2927</v>
      </c>
      <c r="F1625" s="61">
        <v>3107</v>
      </c>
      <c r="G1625" s="61"/>
      <c r="H1625" s="61"/>
      <c r="I1625" s="61" t="s">
        <v>28</v>
      </c>
      <c r="J1625" s="61"/>
      <c r="K1625" s="61" t="s">
        <v>212</v>
      </c>
      <c r="L1625" s="61"/>
      <c r="M1625" s="61"/>
      <c r="N1625" s="61"/>
      <c r="O1625" s="61"/>
      <c r="P1625" s="61"/>
      <c r="Q1625" s="61"/>
      <c r="R1625" s="61" t="str">
        <f t="shared" si="116"/>
        <v/>
      </c>
      <c r="S1625" s="61" t="str">
        <f t="shared" si="117"/>
        <v/>
      </c>
      <c r="T1625" s="61" t="str">
        <f t="shared" si="115"/>
        <v/>
      </c>
      <c r="U1625" s="61" t="str">
        <f t="shared" si="118"/>
        <v/>
      </c>
      <c r="V1625" s="61"/>
      <c r="W1625" s="61"/>
      <c r="X1625" s="61"/>
      <c r="Y1625" s="471"/>
      <c r="Z1625" s="471"/>
      <c r="AA1625" s="61"/>
      <c r="AB1625" s="61"/>
    </row>
    <row r="1626" spans="1:29" s="2" customFormat="1" ht="15">
      <c r="A1626" s="61" t="s">
        <v>2286</v>
      </c>
      <c r="B1626" s="61" t="s">
        <v>3132</v>
      </c>
      <c r="C1626" s="61" t="s">
        <v>4613</v>
      </c>
      <c r="D1626" s="61" t="s">
        <v>7838</v>
      </c>
      <c r="E1626" s="61">
        <v>2647</v>
      </c>
      <c r="F1626" s="61">
        <v>2695</v>
      </c>
      <c r="G1626" s="61"/>
      <c r="H1626" s="61"/>
      <c r="I1626" s="61" t="s">
        <v>28</v>
      </c>
      <c r="J1626" s="61"/>
      <c r="K1626" s="61" t="s">
        <v>212</v>
      </c>
      <c r="L1626" s="61"/>
      <c r="M1626" s="61"/>
      <c r="N1626" s="61"/>
      <c r="O1626" s="61"/>
      <c r="P1626" s="61"/>
      <c r="Q1626" s="61"/>
      <c r="R1626" s="61" t="str">
        <f t="shared" si="116"/>
        <v/>
      </c>
      <c r="S1626" s="61" t="str">
        <f t="shared" si="117"/>
        <v/>
      </c>
      <c r="T1626" s="61" t="str">
        <f t="shared" si="115"/>
        <v/>
      </c>
      <c r="U1626" s="61" t="str">
        <f t="shared" si="118"/>
        <v/>
      </c>
      <c r="V1626" s="61"/>
      <c r="W1626" s="61"/>
      <c r="X1626" s="61"/>
      <c r="Y1626" s="471"/>
      <c r="Z1626" s="471"/>
      <c r="AA1626" s="61"/>
      <c r="AB1626" s="61"/>
    </row>
    <row r="1627" spans="1:29" s="2" customFormat="1" ht="15">
      <c r="A1627" s="61" t="s">
        <v>2286</v>
      </c>
      <c r="B1627" s="61" t="s">
        <v>3132</v>
      </c>
      <c r="C1627" s="61" t="s">
        <v>4774</v>
      </c>
      <c r="D1627" s="61" t="s">
        <v>7838</v>
      </c>
      <c r="E1627" s="61">
        <v>1719</v>
      </c>
      <c r="F1627" s="61">
        <v>1864</v>
      </c>
      <c r="G1627" s="61"/>
      <c r="H1627" s="61"/>
      <c r="I1627" s="61" t="s">
        <v>28</v>
      </c>
      <c r="J1627" s="61"/>
      <c r="K1627" s="61" t="s">
        <v>212</v>
      </c>
      <c r="L1627" s="61"/>
      <c r="M1627" s="61"/>
      <c r="N1627" s="61"/>
      <c r="O1627" s="61"/>
      <c r="P1627" s="61"/>
      <c r="Q1627" s="61"/>
      <c r="R1627" s="61" t="str">
        <f t="shared" si="116"/>
        <v/>
      </c>
      <c r="S1627" s="61" t="str">
        <f t="shared" si="117"/>
        <v/>
      </c>
      <c r="T1627" s="61" t="str">
        <f t="shared" si="115"/>
        <v/>
      </c>
      <c r="U1627" s="61" t="str">
        <f t="shared" si="118"/>
        <v/>
      </c>
      <c r="V1627" s="61"/>
      <c r="W1627" s="61"/>
      <c r="X1627" s="61"/>
      <c r="Y1627" s="471"/>
      <c r="Z1627" s="471"/>
      <c r="AA1627" s="61"/>
      <c r="AB1627" s="61"/>
    </row>
    <row r="1628" spans="1:29" s="474" customFormat="1">
      <c r="A1628" s="61" t="s">
        <v>2286</v>
      </c>
      <c r="B1628" s="61" t="s">
        <v>3132</v>
      </c>
      <c r="C1628" s="61" t="s">
        <v>4969</v>
      </c>
      <c r="D1628" s="61" t="s">
        <v>7838</v>
      </c>
      <c r="E1628" s="61">
        <v>1786</v>
      </c>
      <c r="F1628" s="61">
        <v>1819</v>
      </c>
      <c r="G1628" s="61"/>
      <c r="H1628" s="61"/>
      <c r="I1628" s="61" t="s">
        <v>28</v>
      </c>
      <c r="J1628" s="61"/>
      <c r="K1628" s="61" t="s">
        <v>212</v>
      </c>
      <c r="L1628" s="61"/>
      <c r="M1628" s="61"/>
      <c r="N1628" s="61"/>
      <c r="O1628" s="61"/>
      <c r="P1628" s="61"/>
      <c r="Q1628" s="61"/>
      <c r="R1628" s="61" t="str">
        <f t="shared" si="116"/>
        <v/>
      </c>
      <c r="S1628" s="61" t="str">
        <f t="shared" si="117"/>
        <v/>
      </c>
      <c r="T1628" s="61" t="str">
        <f t="shared" si="115"/>
        <v/>
      </c>
      <c r="U1628" s="61" t="str">
        <f t="shared" si="118"/>
        <v/>
      </c>
      <c r="V1628" s="61"/>
      <c r="W1628" s="61"/>
      <c r="X1628" s="61"/>
      <c r="Y1628" s="471"/>
      <c r="Z1628" s="471"/>
      <c r="AA1628" s="61"/>
      <c r="AB1628" s="61"/>
    </row>
    <row r="1629" spans="1:29" s="2" customFormat="1" ht="15">
      <c r="A1629" s="61" t="s">
        <v>2286</v>
      </c>
      <c r="B1629" s="61" t="s">
        <v>3132</v>
      </c>
      <c r="C1629" s="61" t="s">
        <v>5174</v>
      </c>
      <c r="D1629" s="61" t="s">
        <v>7838</v>
      </c>
      <c r="E1629" s="61">
        <v>1760</v>
      </c>
      <c r="F1629" s="61">
        <v>1920</v>
      </c>
      <c r="G1629" s="61"/>
      <c r="H1629" s="61"/>
      <c r="I1629" s="61" t="s">
        <v>28</v>
      </c>
      <c r="J1629" s="61"/>
      <c r="K1629" s="61" t="s">
        <v>212</v>
      </c>
      <c r="L1629" s="61"/>
      <c r="M1629" s="61"/>
      <c r="N1629" s="61"/>
      <c r="O1629" s="61"/>
      <c r="P1629" s="61"/>
      <c r="Q1629" s="61"/>
      <c r="R1629" s="61" t="str">
        <f t="shared" si="116"/>
        <v/>
      </c>
      <c r="S1629" s="61" t="str">
        <f t="shared" si="117"/>
        <v/>
      </c>
      <c r="T1629" s="61" t="str">
        <f t="shared" si="115"/>
        <v/>
      </c>
      <c r="U1629" s="61" t="str">
        <f t="shared" si="118"/>
        <v/>
      </c>
      <c r="V1629" s="61"/>
      <c r="W1629" s="61"/>
      <c r="X1629" s="61"/>
      <c r="Y1629" s="471"/>
      <c r="Z1629" s="471"/>
      <c r="AA1629" s="61"/>
      <c r="AB1629" s="61"/>
    </row>
    <row r="1630" spans="1:29" s="2" customFormat="1" ht="15">
      <c r="A1630" s="61" t="s">
        <v>2286</v>
      </c>
      <c r="B1630" s="61" t="s">
        <v>3132</v>
      </c>
      <c r="C1630" s="61" t="s">
        <v>5175</v>
      </c>
      <c r="D1630" s="61" t="s">
        <v>7838</v>
      </c>
      <c r="E1630" s="61">
        <v>1288</v>
      </c>
      <c r="F1630" s="61">
        <v>1605</v>
      </c>
      <c r="G1630" s="61"/>
      <c r="H1630" s="61"/>
      <c r="I1630" s="61" t="s">
        <v>28</v>
      </c>
      <c r="J1630" s="61"/>
      <c r="K1630" s="61" t="s">
        <v>212</v>
      </c>
      <c r="L1630" s="61"/>
      <c r="M1630" s="61"/>
      <c r="N1630" s="61"/>
      <c r="O1630" s="61"/>
      <c r="P1630" s="61"/>
      <c r="Q1630" s="61"/>
      <c r="R1630" s="61" t="str">
        <f t="shared" si="116"/>
        <v/>
      </c>
      <c r="S1630" s="61" t="str">
        <f t="shared" si="117"/>
        <v/>
      </c>
      <c r="T1630" s="61" t="str">
        <f t="shared" si="115"/>
        <v/>
      </c>
      <c r="U1630" s="61" t="str">
        <f t="shared" si="118"/>
        <v/>
      </c>
      <c r="V1630" s="61"/>
      <c r="W1630" s="61"/>
      <c r="X1630" s="61"/>
      <c r="Y1630" s="471"/>
      <c r="Z1630" s="471"/>
      <c r="AA1630" s="61"/>
      <c r="AB1630" s="61"/>
    </row>
    <row r="1631" spans="1:29" s="2" customFormat="1" ht="15">
      <c r="A1631" s="61" t="s">
        <v>2286</v>
      </c>
      <c r="B1631" s="61" t="s">
        <v>3132</v>
      </c>
      <c r="C1631" s="61" t="s">
        <v>3474</v>
      </c>
      <c r="D1631" s="61" t="s">
        <v>7838</v>
      </c>
      <c r="E1631" s="61">
        <v>4089</v>
      </c>
      <c r="F1631" s="61">
        <v>4439</v>
      </c>
      <c r="G1631" s="61"/>
      <c r="H1631" s="61"/>
      <c r="I1631" s="61" t="s">
        <v>28</v>
      </c>
      <c r="J1631" s="61"/>
      <c r="K1631" s="61" t="s">
        <v>212</v>
      </c>
      <c r="L1631" s="61"/>
      <c r="M1631" s="61"/>
      <c r="N1631" s="61"/>
      <c r="O1631" s="61"/>
      <c r="P1631" s="61"/>
      <c r="Q1631" s="61"/>
      <c r="R1631" s="61" t="str">
        <f t="shared" si="116"/>
        <v/>
      </c>
      <c r="S1631" s="61" t="str">
        <f t="shared" si="117"/>
        <v/>
      </c>
      <c r="T1631" s="61" t="str">
        <f t="shared" si="115"/>
        <v/>
      </c>
      <c r="U1631" s="61" t="str">
        <f t="shared" si="118"/>
        <v/>
      </c>
      <c r="V1631" s="61"/>
      <c r="W1631" s="61"/>
      <c r="X1631" s="61"/>
      <c r="Y1631" s="471"/>
      <c r="Z1631" s="471"/>
      <c r="AA1631" s="61"/>
      <c r="AB1631" s="61"/>
    </row>
    <row r="1632" spans="1:29" s="2" customFormat="1" ht="15">
      <c r="A1632" s="61" t="s">
        <v>2286</v>
      </c>
      <c r="B1632" s="61" t="s">
        <v>3132</v>
      </c>
      <c r="C1632" s="61" t="s">
        <v>5176</v>
      </c>
      <c r="D1632" s="61" t="s">
        <v>7838</v>
      </c>
      <c r="E1632" s="61">
        <v>2018</v>
      </c>
      <c r="F1632" s="61">
        <v>2373</v>
      </c>
      <c r="G1632" s="61"/>
      <c r="H1632" s="61"/>
      <c r="I1632" s="61" t="s">
        <v>28</v>
      </c>
      <c r="J1632" s="61"/>
      <c r="K1632" s="61" t="s">
        <v>212</v>
      </c>
      <c r="L1632" s="61"/>
      <c r="M1632" s="61"/>
      <c r="N1632" s="61"/>
      <c r="O1632" s="61"/>
      <c r="P1632" s="61"/>
      <c r="Q1632" s="61"/>
      <c r="R1632" s="61" t="str">
        <f t="shared" si="116"/>
        <v/>
      </c>
      <c r="S1632" s="61" t="str">
        <f t="shared" si="117"/>
        <v/>
      </c>
      <c r="T1632" s="61" t="str">
        <f t="shared" si="115"/>
        <v/>
      </c>
      <c r="U1632" s="61" t="str">
        <f t="shared" si="118"/>
        <v/>
      </c>
      <c r="V1632" s="61"/>
      <c r="W1632" s="61"/>
      <c r="X1632" s="61"/>
      <c r="Y1632" s="471"/>
      <c r="Z1632" s="471"/>
      <c r="AA1632" s="61"/>
      <c r="AB1632" s="61"/>
    </row>
    <row r="1633" spans="1:28" s="2" customFormat="1" ht="15">
      <c r="A1633" s="61" t="s">
        <v>2286</v>
      </c>
      <c r="B1633" s="61" t="s">
        <v>3132</v>
      </c>
      <c r="C1633" s="61" t="s">
        <v>1905</v>
      </c>
      <c r="D1633" s="61" t="s">
        <v>7838</v>
      </c>
      <c r="E1633" s="61">
        <v>1599</v>
      </c>
      <c r="F1633" s="61">
        <v>2034</v>
      </c>
      <c r="G1633" s="61"/>
      <c r="H1633" s="61"/>
      <c r="I1633" s="61" t="s">
        <v>28</v>
      </c>
      <c r="J1633" s="61"/>
      <c r="K1633" s="61" t="s">
        <v>212</v>
      </c>
      <c r="L1633" s="61"/>
      <c r="M1633" s="61"/>
      <c r="N1633" s="61"/>
      <c r="O1633" s="61"/>
      <c r="P1633" s="61"/>
      <c r="Q1633" s="61"/>
      <c r="R1633" s="61" t="str">
        <f t="shared" si="116"/>
        <v/>
      </c>
      <c r="S1633" s="61" t="str">
        <f t="shared" si="117"/>
        <v/>
      </c>
      <c r="T1633" s="61" t="str">
        <f t="shared" si="115"/>
        <v/>
      </c>
      <c r="U1633" s="61" t="str">
        <f t="shared" si="118"/>
        <v/>
      </c>
      <c r="V1633" s="61"/>
      <c r="W1633" s="61"/>
      <c r="X1633" s="61"/>
      <c r="Y1633" s="471"/>
      <c r="Z1633" s="471"/>
      <c r="AA1633" s="61"/>
      <c r="AB1633" s="61"/>
    </row>
    <row r="1634" spans="1:28" s="2" customFormat="1" ht="15">
      <c r="A1634" s="61" t="s">
        <v>2286</v>
      </c>
      <c r="B1634" s="61" t="s">
        <v>3132</v>
      </c>
      <c r="C1634" s="61" t="s">
        <v>5177</v>
      </c>
      <c r="D1634" s="61" t="s">
        <v>7838</v>
      </c>
      <c r="E1634" s="61">
        <v>2390</v>
      </c>
      <c r="F1634" s="61">
        <v>2824</v>
      </c>
      <c r="G1634" s="61"/>
      <c r="H1634" s="61"/>
      <c r="I1634" s="61" t="s">
        <v>28</v>
      </c>
      <c r="J1634" s="61"/>
      <c r="K1634" s="61" t="s">
        <v>212</v>
      </c>
      <c r="L1634" s="61"/>
      <c r="M1634" s="61"/>
      <c r="N1634" s="61"/>
      <c r="O1634" s="61"/>
      <c r="P1634" s="61"/>
      <c r="Q1634" s="61"/>
      <c r="R1634" s="61" t="str">
        <f t="shared" si="116"/>
        <v/>
      </c>
      <c r="S1634" s="61" t="str">
        <f t="shared" si="117"/>
        <v/>
      </c>
      <c r="T1634" s="61" t="str">
        <f t="shared" si="115"/>
        <v/>
      </c>
      <c r="U1634" s="61" t="str">
        <f t="shared" si="118"/>
        <v/>
      </c>
      <c r="V1634" s="61"/>
      <c r="W1634" s="61"/>
      <c r="X1634" s="61"/>
      <c r="Y1634" s="471"/>
      <c r="Z1634" s="471"/>
      <c r="AA1634" s="61"/>
      <c r="AB1634" s="61"/>
    </row>
    <row r="1635" spans="1:28" s="2" customFormat="1" ht="15">
      <c r="A1635" s="61" t="s">
        <v>2286</v>
      </c>
      <c r="B1635" s="61" t="s">
        <v>3132</v>
      </c>
      <c r="C1635" s="61" t="s">
        <v>3713</v>
      </c>
      <c r="D1635" s="61" t="s">
        <v>7838</v>
      </c>
      <c r="E1635" s="61">
        <v>1939</v>
      </c>
      <c r="F1635" s="61">
        <v>2083</v>
      </c>
      <c r="G1635" s="61"/>
      <c r="H1635" s="61"/>
      <c r="I1635" s="61" t="s">
        <v>28</v>
      </c>
      <c r="J1635" s="61"/>
      <c r="K1635" s="61" t="s">
        <v>212</v>
      </c>
      <c r="L1635" s="61"/>
      <c r="M1635" s="61"/>
      <c r="N1635" s="61"/>
      <c r="O1635" s="61"/>
      <c r="P1635" s="61"/>
      <c r="Q1635" s="61"/>
      <c r="R1635" s="61" t="str">
        <f t="shared" si="116"/>
        <v/>
      </c>
      <c r="S1635" s="61" t="str">
        <f t="shared" si="117"/>
        <v/>
      </c>
      <c r="T1635" s="61" t="str">
        <f t="shared" si="115"/>
        <v/>
      </c>
      <c r="U1635" s="61" t="str">
        <f t="shared" si="118"/>
        <v/>
      </c>
      <c r="V1635" s="61"/>
      <c r="W1635" s="61"/>
      <c r="X1635" s="61"/>
      <c r="Y1635" s="471"/>
      <c r="Z1635" s="471"/>
      <c r="AA1635" s="61"/>
      <c r="AB1635" s="61"/>
    </row>
    <row r="1636" spans="1:28" s="2" customFormat="1" ht="15">
      <c r="A1636" s="61" t="s">
        <v>2286</v>
      </c>
      <c r="B1636" s="61" t="s">
        <v>3132</v>
      </c>
      <c r="C1636" s="61" t="s">
        <v>1300</v>
      </c>
      <c r="D1636" s="61" t="s">
        <v>7838</v>
      </c>
      <c r="E1636" s="61">
        <v>939</v>
      </c>
      <c r="F1636" s="61">
        <v>976</v>
      </c>
      <c r="G1636" s="61"/>
      <c r="H1636" s="61"/>
      <c r="I1636" s="61" t="s">
        <v>28</v>
      </c>
      <c r="J1636" s="61"/>
      <c r="K1636" s="61" t="s">
        <v>212</v>
      </c>
      <c r="L1636" s="61"/>
      <c r="M1636" s="61"/>
      <c r="N1636" s="61"/>
      <c r="O1636" s="61"/>
      <c r="P1636" s="61"/>
      <c r="Q1636" s="61"/>
      <c r="R1636" s="61" t="str">
        <f t="shared" si="116"/>
        <v/>
      </c>
      <c r="S1636" s="61" t="str">
        <f t="shared" si="117"/>
        <v/>
      </c>
      <c r="T1636" s="61" t="str">
        <f t="shared" si="115"/>
        <v/>
      </c>
      <c r="U1636" s="61" t="str">
        <f t="shared" si="118"/>
        <v/>
      </c>
      <c r="V1636" s="61"/>
      <c r="W1636" s="61"/>
      <c r="X1636" s="61"/>
      <c r="Y1636" s="471"/>
      <c r="Z1636" s="471"/>
      <c r="AA1636" s="61"/>
      <c r="AB1636" s="61"/>
    </row>
    <row r="1637" spans="1:28" s="2" customFormat="1" ht="15">
      <c r="A1637" s="61" t="s">
        <v>2286</v>
      </c>
      <c r="B1637" s="61" t="s">
        <v>3132</v>
      </c>
      <c r="C1637" s="61" t="s">
        <v>1180</v>
      </c>
      <c r="D1637" s="61" t="s">
        <v>7838</v>
      </c>
      <c r="E1637" s="61">
        <v>1842</v>
      </c>
      <c r="F1637" s="61">
        <v>2036</v>
      </c>
      <c r="G1637" s="61"/>
      <c r="H1637" s="61"/>
      <c r="I1637" s="61" t="s">
        <v>28</v>
      </c>
      <c r="J1637" s="61"/>
      <c r="K1637" s="61" t="s">
        <v>212</v>
      </c>
      <c r="L1637" s="61"/>
      <c r="M1637" s="61"/>
      <c r="N1637" s="61"/>
      <c r="O1637" s="61"/>
      <c r="P1637" s="61"/>
      <c r="Q1637" s="61"/>
      <c r="R1637" s="61" t="str">
        <f t="shared" si="116"/>
        <v/>
      </c>
      <c r="S1637" s="61" t="str">
        <f t="shared" si="117"/>
        <v/>
      </c>
      <c r="T1637" s="61" t="str">
        <f t="shared" si="115"/>
        <v/>
      </c>
      <c r="U1637" s="61" t="str">
        <f t="shared" si="118"/>
        <v/>
      </c>
      <c r="V1637" s="61"/>
      <c r="W1637" s="61"/>
      <c r="X1637" s="61"/>
      <c r="Y1637" s="471"/>
      <c r="Z1637" s="471"/>
      <c r="AA1637" s="61"/>
      <c r="AB1637" s="61"/>
    </row>
    <row r="1638" spans="1:28" s="2" customFormat="1" ht="15">
      <c r="A1638" s="61" t="s">
        <v>2286</v>
      </c>
      <c r="B1638" s="61" t="s">
        <v>3132</v>
      </c>
      <c r="C1638" s="61" t="s">
        <v>5178</v>
      </c>
      <c r="D1638" s="61" t="s">
        <v>7838</v>
      </c>
      <c r="E1638" s="61">
        <v>2544</v>
      </c>
      <c r="F1638" s="61">
        <v>2695</v>
      </c>
      <c r="G1638" s="61"/>
      <c r="H1638" s="61"/>
      <c r="I1638" s="61" t="s">
        <v>28</v>
      </c>
      <c r="J1638" s="61"/>
      <c r="K1638" s="61" t="s">
        <v>212</v>
      </c>
      <c r="L1638" s="61"/>
      <c r="M1638" s="61"/>
      <c r="N1638" s="61"/>
      <c r="O1638" s="61"/>
      <c r="P1638" s="61"/>
      <c r="Q1638" s="61"/>
      <c r="R1638" s="61" t="str">
        <f t="shared" si="116"/>
        <v/>
      </c>
      <c r="S1638" s="61" t="str">
        <f t="shared" si="117"/>
        <v/>
      </c>
      <c r="T1638" s="61" t="str">
        <f t="shared" si="115"/>
        <v/>
      </c>
      <c r="U1638" s="61" t="str">
        <f t="shared" si="118"/>
        <v/>
      </c>
      <c r="V1638" s="61"/>
      <c r="W1638" s="61"/>
      <c r="X1638" s="61"/>
      <c r="Y1638" s="471"/>
      <c r="Z1638" s="471"/>
      <c r="AA1638" s="61"/>
      <c r="AB1638" s="61"/>
    </row>
    <row r="1639" spans="1:28" s="2" customFormat="1" ht="15">
      <c r="A1639" s="61" t="s">
        <v>2286</v>
      </c>
      <c r="B1639" s="61" t="s">
        <v>3132</v>
      </c>
      <c r="C1639" s="61" t="s">
        <v>1253</v>
      </c>
      <c r="D1639" s="61" t="s">
        <v>7838</v>
      </c>
      <c r="E1639" s="61">
        <v>1800</v>
      </c>
      <c r="F1639" s="61">
        <v>1867</v>
      </c>
      <c r="G1639" s="61"/>
      <c r="H1639" s="61"/>
      <c r="I1639" s="61" t="s">
        <v>28</v>
      </c>
      <c r="J1639" s="61"/>
      <c r="K1639" s="61" t="s">
        <v>212</v>
      </c>
      <c r="L1639" s="61"/>
      <c r="M1639" s="61"/>
      <c r="N1639" s="61"/>
      <c r="O1639" s="61"/>
      <c r="P1639" s="61"/>
      <c r="Q1639" s="61"/>
      <c r="R1639" s="61" t="str">
        <f t="shared" si="116"/>
        <v/>
      </c>
      <c r="S1639" s="61" t="str">
        <f t="shared" si="117"/>
        <v/>
      </c>
      <c r="T1639" s="61" t="str">
        <f t="shared" si="115"/>
        <v/>
      </c>
      <c r="U1639" s="61" t="str">
        <f t="shared" si="118"/>
        <v/>
      </c>
      <c r="V1639" s="61"/>
      <c r="W1639" s="61"/>
      <c r="X1639" s="61"/>
      <c r="Y1639" s="471"/>
      <c r="Z1639" s="471"/>
      <c r="AA1639" s="61"/>
      <c r="AB1639" s="61"/>
    </row>
    <row r="1640" spans="1:28" s="2" customFormat="1" ht="15">
      <c r="A1640" s="61" t="s">
        <v>2286</v>
      </c>
      <c r="B1640" s="61" t="s">
        <v>3132</v>
      </c>
      <c r="C1640" s="61" t="s">
        <v>5180</v>
      </c>
      <c r="D1640" s="61" t="s">
        <v>7838</v>
      </c>
      <c r="E1640" s="61">
        <v>1626</v>
      </c>
      <c r="F1640" s="61">
        <v>1739</v>
      </c>
      <c r="G1640" s="61"/>
      <c r="H1640" s="61"/>
      <c r="I1640" s="61" t="s">
        <v>28</v>
      </c>
      <c r="J1640" s="61"/>
      <c r="K1640" s="61" t="s">
        <v>212</v>
      </c>
      <c r="L1640" s="61"/>
      <c r="M1640" s="61"/>
      <c r="N1640" s="61"/>
      <c r="O1640" s="61"/>
      <c r="P1640" s="61"/>
      <c r="Q1640" s="61"/>
      <c r="R1640" s="61" t="str">
        <f t="shared" si="116"/>
        <v/>
      </c>
      <c r="S1640" s="61" t="str">
        <f t="shared" si="117"/>
        <v/>
      </c>
      <c r="T1640" s="61" t="str">
        <f t="shared" si="115"/>
        <v/>
      </c>
      <c r="U1640" s="61" t="str">
        <f t="shared" si="118"/>
        <v/>
      </c>
      <c r="V1640" s="61"/>
      <c r="W1640" s="61"/>
      <c r="X1640" s="61"/>
      <c r="Y1640" s="471"/>
      <c r="Z1640" s="471"/>
      <c r="AA1640" s="61"/>
      <c r="AB1640" s="61"/>
    </row>
    <row r="1641" spans="1:28" s="2" customFormat="1" ht="15">
      <c r="A1641" s="61" t="s">
        <v>2286</v>
      </c>
      <c r="B1641" s="61" t="s">
        <v>3132</v>
      </c>
      <c r="C1641" s="61" t="s">
        <v>4261</v>
      </c>
      <c r="D1641" s="61" t="s">
        <v>7838</v>
      </c>
      <c r="E1641" s="61">
        <v>2840</v>
      </c>
      <c r="F1641" s="61">
        <v>2917</v>
      </c>
      <c r="G1641" s="61"/>
      <c r="H1641" s="61"/>
      <c r="I1641" s="61" t="s">
        <v>28</v>
      </c>
      <c r="J1641" s="61"/>
      <c r="K1641" s="61" t="s">
        <v>212</v>
      </c>
      <c r="L1641" s="61"/>
      <c r="M1641" s="61"/>
      <c r="N1641" s="61"/>
      <c r="O1641" s="61"/>
      <c r="P1641" s="61"/>
      <c r="Q1641" s="61"/>
      <c r="R1641" s="61" t="str">
        <f t="shared" si="116"/>
        <v/>
      </c>
      <c r="S1641" s="61" t="str">
        <f t="shared" si="117"/>
        <v/>
      </c>
      <c r="T1641" s="61" t="str">
        <f t="shared" si="115"/>
        <v/>
      </c>
      <c r="U1641" s="61" t="str">
        <f t="shared" si="118"/>
        <v/>
      </c>
      <c r="V1641" s="61"/>
      <c r="W1641" s="61"/>
      <c r="X1641" s="61"/>
      <c r="Y1641" s="471"/>
      <c r="Z1641" s="471"/>
      <c r="AA1641" s="61"/>
      <c r="AB1641" s="61"/>
    </row>
    <row r="1642" spans="1:28" s="2" customFormat="1" ht="15">
      <c r="A1642" s="61" t="s">
        <v>2286</v>
      </c>
      <c r="B1642" s="61" t="s">
        <v>3132</v>
      </c>
      <c r="C1642" s="61" t="s">
        <v>5181</v>
      </c>
      <c r="D1642" s="61" t="s">
        <v>7838</v>
      </c>
      <c r="E1642" s="61">
        <v>838</v>
      </c>
      <c r="F1642" s="61">
        <v>884</v>
      </c>
      <c r="G1642" s="61"/>
      <c r="H1642" s="61"/>
      <c r="I1642" s="61" t="s">
        <v>28</v>
      </c>
      <c r="J1642" s="61"/>
      <c r="K1642" s="61" t="s">
        <v>212</v>
      </c>
      <c r="L1642" s="61"/>
      <c r="M1642" s="61"/>
      <c r="N1642" s="61"/>
      <c r="O1642" s="61"/>
      <c r="P1642" s="61"/>
      <c r="Q1642" s="61"/>
      <c r="R1642" s="61" t="str">
        <f t="shared" si="116"/>
        <v/>
      </c>
      <c r="S1642" s="61" t="str">
        <f t="shared" si="117"/>
        <v/>
      </c>
      <c r="T1642" s="61" t="str">
        <f t="shared" si="115"/>
        <v/>
      </c>
      <c r="U1642" s="61" t="str">
        <f t="shared" si="118"/>
        <v/>
      </c>
      <c r="V1642" s="61"/>
      <c r="W1642" s="61"/>
      <c r="X1642" s="61"/>
      <c r="Y1642" s="471"/>
      <c r="Z1642" s="471"/>
      <c r="AA1642" s="61"/>
      <c r="AB1642" s="61"/>
    </row>
    <row r="1643" spans="1:28" s="2" customFormat="1" ht="15">
      <c r="A1643" s="61" t="s">
        <v>2286</v>
      </c>
      <c r="B1643" s="61" t="s">
        <v>3132</v>
      </c>
      <c r="C1643" s="61" t="s">
        <v>1322</v>
      </c>
      <c r="D1643" s="61" t="s">
        <v>7838</v>
      </c>
      <c r="E1643" s="61">
        <v>5060</v>
      </c>
      <c r="F1643" s="61">
        <v>6784</v>
      </c>
      <c r="G1643" s="61"/>
      <c r="H1643" s="61"/>
      <c r="I1643" s="61" t="s">
        <v>28</v>
      </c>
      <c r="J1643" s="61"/>
      <c r="K1643" s="61" t="s">
        <v>212</v>
      </c>
      <c r="L1643" s="61"/>
      <c r="M1643" s="61"/>
      <c r="N1643" s="61"/>
      <c r="O1643" s="61"/>
      <c r="P1643" s="61"/>
      <c r="Q1643" s="61"/>
      <c r="R1643" s="61" t="str">
        <f t="shared" si="116"/>
        <v/>
      </c>
      <c r="S1643" s="61" t="str">
        <f t="shared" si="117"/>
        <v/>
      </c>
      <c r="T1643" s="61" t="str">
        <f t="shared" si="115"/>
        <v/>
      </c>
      <c r="U1643" s="61" t="str">
        <f t="shared" si="118"/>
        <v/>
      </c>
      <c r="V1643" s="61"/>
      <c r="W1643" s="61"/>
      <c r="X1643" s="61"/>
      <c r="Y1643" s="471"/>
      <c r="Z1643" s="471"/>
      <c r="AA1643" s="61"/>
      <c r="AB1643" s="61"/>
    </row>
    <row r="1644" spans="1:28" s="2" customFormat="1" ht="15">
      <c r="A1644" s="61" t="s">
        <v>2286</v>
      </c>
      <c r="B1644" s="61" t="s">
        <v>3132</v>
      </c>
      <c r="C1644" s="61" t="s">
        <v>5182</v>
      </c>
      <c r="D1644" s="61" t="s">
        <v>7838</v>
      </c>
      <c r="E1644" s="61">
        <v>2977</v>
      </c>
      <c r="F1644" s="61">
        <v>3471</v>
      </c>
      <c r="G1644" s="61"/>
      <c r="H1644" s="61"/>
      <c r="I1644" s="61" t="s">
        <v>28</v>
      </c>
      <c r="J1644" s="61"/>
      <c r="K1644" s="61" t="s">
        <v>212</v>
      </c>
      <c r="L1644" s="61"/>
      <c r="M1644" s="61"/>
      <c r="N1644" s="61"/>
      <c r="O1644" s="61"/>
      <c r="P1644" s="61"/>
      <c r="Q1644" s="61"/>
      <c r="R1644" s="61" t="str">
        <f t="shared" si="116"/>
        <v/>
      </c>
      <c r="S1644" s="61" t="str">
        <f t="shared" si="117"/>
        <v/>
      </c>
      <c r="T1644" s="61" t="str">
        <f t="shared" si="115"/>
        <v/>
      </c>
      <c r="U1644" s="61" t="str">
        <f t="shared" si="118"/>
        <v/>
      </c>
      <c r="V1644" s="61"/>
      <c r="W1644" s="61"/>
      <c r="X1644" s="61"/>
      <c r="Y1644" s="471"/>
      <c r="Z1644" s="471"/>
      <c r="AA1644" s="61"/>
      <c r="AB1644" s="61"/>
    </row>
    <row r="1645" spans="1:28" s="2" customFormat="1" ht="15">
      <c r="A1645" s="61" t="s">
        <v>2286</v>
      </c>
      <c r="B1645" s="61" t="s">
        <v>3132</v>
      </c>
      <c r="C1645" s="61" t="s">
        <v>5183</v>
      </c>
      <c r="D1645" s="61" t="s">
        <v>7838</v>
      </c>
      <c r="E1645" s="61">
        <v>1588</v>
      </c>
      <c r="F1645" s="61">
        <v>1550</v>
      </c>
      <c r="G1645" s="61"/>
      <c r="H1645" s="61"/>
      <c r="I1645" s="61" t="s">
        <v>28</v>
      </c>
      <c r="J1645" s="61"/>
      <c r="K1645" s="61" t="s">
        <v>212</v>
      </c>
      <c r="L1645" s="61"/>
      <c r="M1645" s="61"/>
      <c r="N1645" s="61"/>
      <c r="O1645" s="61"/>
      <c r="P1645" s="61"/>
      <c r="Q1645" s="61"/>
      <c r="R1645" s="61" t="str">
        <f t="shared" si="116"/>
        <v/>
      </c>
      <c r="S1645" s="61" t="str">
        <f t="shared" si="117"/>
        <v/>
      </c>
      <c r="T1645" s="61" t="str">
        <f t="shared" si="115"/>
        <v/>
      </c>
      <c r="U1645" s="61" t="str">
        <f t="shared" si="118"/>
        <v/>
      </c>
      <c r="V1645" s="61"/>
      <c r="W1645" s="61"/>
      <c r="X1645" s="61"/>
      <c r="Y1645" s="471"/>
      <c r="Z1645" s="471"/>
      <c r="AA1645" s="61"/>
      <c r="AB1645" s="61"/>
    </row>
    <row r="1646" spans="1:28" s="2" customFormat="1" ht="15">
      <c r="A1646" s="61" t="s">
        <v>2286</v>
      </c>
      <c r="B1646" s="61" t="s">
        <v>3132</v>
      </c>
      <c r="C1646" s="61" t="s">
        <v>3736</v>
      </c>
      <c r="D1646" s="61" t="s">
        <v>7838</v>
      </c>
      <c r="E1646" s="61">
        <v>1461</v>
      </c>
      <c r="F1646" s="61">
        <v>1306</v>
      </c>
      <c r="G1646" s="61"/>
      <c r="H1646" s="61"/>
      <c r="I1646" s="61" t="s">
        <v>28</v>
      </c>
      <c r="J1646" s="61"/>
      <c r="K1646" s="61" t="s">
        <v>212</v>
      </c>
      <c r="L1646" s="61"/>
      <c r="M1646" s="61"/>
      <c r="N1646" s="61"/>
      <c r="O1646" s="61"/>
      <c r="P1646" s="61"/>
      <c r="Q1646" s="61"/>
      <c r="R1646" s="61" t="str">
        <f t="shared" si="116"/>
        <v/>
      </c>
      <c r="S1646" s="61" t="str">
        <f t="shared" si="117"/>
        <v/>
      </c>
      <c r="T1646" s="61" t="str">
        <f t="shared" si="115"/>
        <v/>
      </c>
      <c r="U1646" s="61" t="str">
        <f t="shared" si="118"/>
        <v/>
      </c>
      <c r="V1646" s="61"/>
      <c r="W1646" s="61"/>
      <c r="X1646" s="61"/>
      <c r="Y1646" s="471"/>
      <c r="Z1646" s="471"/>
      <c r="AA1646" s="61"/>
      <c r="AB1646" s="61"/>
    </row>
    <row r="1647" spans="1:28" s="2" customFormat="1" ht="15">
      <c r="A1647" s="61" t="s">
        <v>2286</v>
      </c>
      <c r="B1647" s="61" t="s">
        <v>3132</v>
      </c>
      <c r="C1647" s="61" t="s">
        <v>5171</v>
      </c>
      <c r="D1647" s="61" t="s">
        <v>7838</v>
      </c>
      <c r="E1647" s="61">
        <v>3545</v>
      </c>
      <c r="F1647" s="61">
        <v>4039</v>
      </c>
      <c r="G1647" s="61">
        <v>2025</v>
      </c>
      <c r="H1647" s="61" t="s">
        <v>3127</v>
      </c>
      <c r="I1647" s="61" t="s">
        <v>267</v>
      </c>
      <c r="J1647" s="61" t="s">
        <v>28</v>
      </c>
      <c r="K1647" s="61" t="s">
        <v>212</v>
      </c>
      <c r="L1647" s="61" t="s">
        <v>8699</v>
      </c>
      <c r="M1647" s="475">
        <v>45868</v>
      </c>
      <c r="N1647" s="475">
        <v>45884</v>
      </c>
      <c r="O1647" s="475">
        <v>45887</v>
      </c>
      <c r="P1647" s="475">
        <v>45888</v>
      </c>
      <c r="Q1647" s="475">
        <v>45889</v>
      </c>
      <c r="R1647" s="61">
        <f t="shared" si="116"/>
        <v>12</v>
      </c>
      <c r="S1647" s="61">
        <f t="shared" si="117"/>
        <v>1</v>
      </c>
      <c r="T1647" s="61">
        <f t="shared" si="115"/>
        <v>1</v>
      </c>
      <c r="U1647" s="61">
        <f t="shared" si="118"/>
        <v>1</v>
      </c>
      <c r="V1647" s="61" t="s">
        <v>150</v>
      </c>
      <c r="W1647" s="61" t="s">
        <v>4</v>
      </c>
      <c r="X1647" s="61" t="s">
        <v>50</v>
      </c>
      <c r="Y1647" s="61">
        <v>15.4377</v>
      </c>
      <c r="Z1647" s="61">
        <v>121.0552</v>
      </c>
      <c r="AA1647" s="61" t="s">
        <v>8697</v>
      </c>
      <c r="AB1647" s="61"/>
    </row>
    <row r="1648" spans="1:28" s="2" customFormat="1" ht="15">
      <c r="A1648" s="61" t="s">
        <v>2286</v>
      </c>
      <c r="B1648" s="61" t="s">
        <v>3133</v>
      </c>
      <c r="C1648" s="61" t="s">
        <v>4261</v>
      </c>
      <c r="D1648" s="61" t="s">
        <v>7838</v>
      </c>
      <c r="E1648" s="61">
        <v>6437</v>
      </c>
      <c r="F1648" s="61">
        <v>6275</v>
      </c>
      <c r="G1648" s="61">
        <v>2025</v>
      </c>
      <c r="H1648" s="61" t="s">
        <v>3125</v>
      </c>
      <c r="I1648" s="61" t="s">
        <v>224</v>
      </c>
      <c r="J1648" s="61" t="s">
        <v>2289</v>
      </c>
      <c r="K1648" s="61" t="s">
        <v>212</v>
      </c>
      <c r="L1648" s="61" t="s">
        <v>8700</v>
      </c>
      <c r="M1648" s="475">
        <v>45854</v>
      </c>
      <c r="N1648" s="475">
        <v>45854</v>
      </c>
      <c r="O1648" s="475">
        <v>45855</v>
      </c>
      <c r="P1648" s="475">
        <v>45855</v>
      </c>
      <c r="Q1648" s="475">
        <v>45856</v>
      </c>
      <c r="R1648" s="61">
        <f t="shared" si="116"/>
        <v>1</v>
      </c>
      <c r="S1648" s="61">
        <f t="shared" si="117"/>
        <v>1</v>
      </c>
      <c r="T1648" s="61">
        <f t="shared" si="115"/>
        <v>1</v>
      </c>
      <c r="U1648" s="61">
        <f t="shared" si="118"/>
        <v>1</v>
      </c>
      <c r="V1648" s="61" t="s">
        <v>150</v>
      </c>
      <c r="W1648" s="61" t="s">
        <v>4</v>
      </c>
      <c r="X1648" s="61" t="s">
        <v>50</v>
      </c>
      <c r="Y1648" s="61" t="s">
        <v>8701</v>
      </c>
      <c r="Z1648" s="61" t="s">
        <v>8702</v>
      </c>
      <c r="AA1648" s="61" t="s">
        <v>8361</v>
      </c>
      <c r="AB1648" s="61"/>
    </row>
    <row r="1649" spans="1:28" s="2" customFormat="1" ht="15">
      <c r="A1649" s="61" t="s">
        <v>2286</v>
      </c>
      <c r="B1649" s="61" t="s">
        <v>3133</v>
      </c>
      <c r="C1649" s="61" t="s">
        <v>5186</v>
      </c>
      <c r="D1649" s="61" t="s">
        <v>7838</v>
      </c>
      <c r="E1649" s="61">
        <v>9274</v>
      </c>
      <c r="F1649" s="61">
        <v>9619</v>
      </c>
      <c r="G1649" s="61">
        <v>2025</v>
      </c>
      <c r="H1649" s="61" t="s">
        <v>3532</v>
      </c>
      <c r="I1649" s="61" t="s">
        <v>224</v>
      </c>
      <c r="J1649" s="61" t="s">
        <v>2289</v>
      </c>
      <c r="K1649" s="61" t="s">
        <v>212</v>
      </c>
      <c r="L1649" s="61" t="s">
        <v>8703</v>
      </c>
      <c r="M1649" s="475">
        <v>45791</v>
      </c>
      <c r="N1649" s="475">
        <v>45792</v>
      </c>
      <c r="O1649" s="475">
        <v>45793</v>
      </c>
      <c r="P1649" s="475">
        <v>45793</v>
      </c>
      <c r="Q1649" s="475">
        <v>45796</v>
      </c>
      <c r="R1649" s="61">
        <f t="shared" si="116"/>
        <v>1</v>
      </c>
      <c r="S1649" s="61">
        <f t="shared" si="117"/>
        <v>1</v>
      </c>
      <c r="T1649" s="61">
        <f t="shared" si="115"/>
        <v>1</v>
      </c>
      <c r="U1649" s="61">
        <f t="shared" si="118"/>
        <v>1</v>
      </c>
      <c r="V1649" s="61" t="s">
        <v>150</v>
      </c>
      <c r="W1649" s="61" t="s">
        <v>1078</v>
      </c>
      <c r="X1649" s="61" t="s">
        <v>50</v>
      </c>
      <c r="Y1649" s="478">
        <v>15.640599999999999</v>
      </c>
      <c r="Z1649" s="478">
        <v>120.88630000000001</v>
      </c>
      <c r="AA1649" s="61" t="s">
        <v>8361</v>
      </c>
      <c r="AB1649" s="61"/>
    </row>
    <row r="1650" spans="1:28" s="2" customFormat="1" ht="15">
      <c r="A1650" s="61" t="s">
        <v>2286</v>
      </c>
      <c r="B1650" s="61" t="s">
        <v>3133</v>
      </c>
      <c r="C1650" s="61" t="s">
        <v>5188</v>
      </c>
      <c r="D1650" s="61" t="s">
        <v>7838</v>
      </c>
      <c r="E1650" s="61">
        <v>1229</v>
      </c>
      <c r="F1650" s="61">
        <v>1317</v>
      </c>
      <c r="G1650" s="61">
        <v>2025</v>
      </c>
      <c r="H1650" s="61" t="s">
        <v>3532</v>
      </c>
      <c r="I1650" s="61" t="s">
        <v>224</v>
      </c>
      <c r="J1650" s="61" t="s">
        <v>2289</v>
      </c>
      <c r="K1650" s="61" t="s">
        <v>212</v>
      </c>
      <c r="L1650" s="61" t="s">
        <v>8704</v>
      </c>
      <c r="M1650" s="475">
        <v>45790</v>
      </c>
      <c r="N1650" s="475">
        <v>45792</v>
      </c>
      <c r="O1650" s="475">
        <v>45793</v>
      </c>
      <c r="P1650" s="475">
        <v>45793</v>
      </c>
      <c r="Q1650" s="475">
        <v>45793</v>
      </c>
      <c r="R1650" s="61">
        <f t="shared" si="116"/>
        <v>2</v>
      </c>
      <c r="S1650" s="61">
        <f t="shared" si="117"/>
        <v>1</v>
      </c>
      <c r="T1650" s="61">
        <f t="shared" si="115"/>
        <v>1</v>
      </c>
      <c r="U1650" s="61">
        <f t="shared" si="118"/>
        <v>1</v>
      </c>
      <c r="V1650" s="61" t="s">
        <v>150</v>
      </c>
      <c r="W1650" s="61" t="s">
        <v>1078</v>
      </c>
      <c r="X1650" s="61" t="s">
        <v>50</v>
      </c>
      <c r="Y1650" s="478">
        <v>15.6225</v>
      </c>
      <c r="Z1650" s="478">
        <v>120.8952</v>
      </c>
      <c r="AA1650" s="61" t="s">
        <v>8361</v>
      </c>
      <c r="AB1650" s="61"/>
    </row>
    <row r="1651" spans="1:28" s="2" customFormat="1" ht="15">
      <c r="A1651" s="61" t="s">
        <v>2286</v>
      </c>
      <c r="B1651" s="61" t="s">
        <v>3133</v>
      </c>
      <c r="C1651" s="61" t="s">
        <v>1490</v>
      </c>
      <c r="D1651" s="61" t="s">
        <v>7838</v>
      </c>
      <c r="E1651" s="61">
        <v>1787</v>
      </c>
      <c r="F1651" s="61">
        <v>1812</v>
      </c>
      <c r="G1651" s="61">
        <v>2025</v>
      </c>
      <c r="H1651" s="61" t="s">
        <v>3416</v>
      </c>
      <c r="I1651" s="61" t="s">
        <v>224</v>
      </c>
      <c r="J1651" s="61" t="s">
        <v>2289</v>
      </c>
      <c r="K1651" s="61" t="s">
        <v>212</v>
      </c>
      <c r="L1651" s="61" t="s">
        <v>8705</v>
      </c>
      <c r="M1651" s="475">
        <v>45714</v>
      </c>
      <c r="N1651" s="475">
        <v>45714</v>
      </c>
      <c r="O1651" s="475">
        <v>45715</v>
      </c>
      <c r="P1651" s="475">
        <v>45719</v>
      </c>
      <c r="Q1651" s="475">
        <v>45721</v>
      </c>
      <c r="R1651" s="61">
        <f t="shared" si="116"/>
        <v>1</v>
      </c>
      <c r="S1651" s="61">
        <f t="shared" si="117"/>
        <v>1</v>
      </c>
      <c r="T1651" s="61">
        <f t="shared" si="115"/>
        <v>2</v>
      </c>
      <c r="U1651" s="61">
        <f t="shared" si="118"/>
        <v>2</v>
      </c>
      <c r="V1651" s="61" t="s">
        <v>150</v>
      </c>
      <c r="W1651" s="61" t="s">
        <v>1078</v>
      </c>
      <c r="X1651" s="61" t="s">
        <v>50</v>
      </c>
      <c r="Y1651" s="478">
        <v>15.6196</v>
      </c>
      <c r="Z1651" s="478" t="s">
        <v>8706</v>
      </c>
      <c r="AA1651" s="61" t="s">
        <v>8361</v>
      </c>
      <c r="AB1651" s="61"/>
    </row>
    <row r="1652" spans="1:28" s="2" customFormat="1" ht="15">
      <c r="A1652" s="61" t="s">
        <v>2286</v>
      </c>
      <c r="B1652" s="61" t="s">
        <v>3133</v>
      </c>
      <c r="C1652" s="61" t="s">
        <v>5191</v>
      </c>
      <c r="D1652" s="61" t="s">
        <v>7838</v>
      </c>
      <c r="E1652" s="61">
        <v>2336</v>
      </c>
      <c r="F1652" s="61">
        <v>2441</v>
      </c>
      <c r="G1652" s="61">
        <v>2025</v>
      </c>
      <c r="H1652" s="61" t="s">
        <v>3416</v>
      </c>
      <c r="I1652" s="61" t="s">
        <v>224</v>
      </c>
      <c r="J1652" s="61" t="s">
        <v>2289</v>
      </c>
      <c r="K1652" s="61" t="s">
        <v>212</v>
      </c>
      <c r="L1652" s="61" t="s">
        <v>8707</v>
      </c>
      <c r="M1652" s="475">
        <v>45708</v>
      </c>
      <c r="N1652" s="475">
        <v>45709</v>
      </c>
      <c r="O1652" s="475">
        <v>45709</v>
      </c>
      <c r="P1652" s="475">
        <v>45714</v>
      </c>
      <c r="Q1652" s="475">
        <v>45719</v>
      </c>
      <c r="R1652" s="61">
        <f t="shared" si="116"/>
        <v>1</v>
      </c>
      <c r="S1652" s="61">
        <f t="shared" si="117"/>
        <v>1</v>
      </c>
      <c r="T1652" s="61">
        <f t="shared" si="115"/>
        <v>3</v>
      </c>
      <c r="U1652" s="61">
        <f t="shared" si="118"/>
        <v>3</v>
      </c>
      <c r="V1652" s="61" t="s">
        <v>150</v>
      </c>
      <c r="W1652" s="61" t="s">
        <v>1078</v>
      </c>
      <c r="X1652" s="61" t="s">
        <v>50</v>
      </c>
      <c r="Y1652" s="473">
        <v>15.5868</v>
      </c>
      <c r="Z1652" s="473" t="s">
        <v>8708</v>
      </c>
      <c r="AA1652" s="61" t="s">
        <v>8361</v>
      </c>
      <c r="AB1652" s="61"/>
    </row>
    <row r="1653" spans="1:28" s="2" customFormat="1" ht="15">
      <c r="A1653" s="61" t="s">
        <v>2286</v>
      </c>
      <c r="B1653" s="61" t="s">
        <v>3133</v>
      </c>
      <c r="C1653" s="61" t="s">
        <v>5194</v>
      </c>
      <c r="D1653" s="61" t="s">
        <v>7838</v>
      </c>
      <c r="E1653" s="61">
        <v>1890</v>
      </c>
      <c r="F1653" s="61">
        <v>1934</v>
      </c>
      <c r="G1653" s="61">
        <v>2025</v>
      </c>
      <c r="H1653" s="61" t="s">
        <v>3125</v>
      </c>
      <c r="I1653" s="61" t="s">
        <v>224</v>
      </c>
      <c r="J1653" s="61" t="s">
        <v>2289</v>
      </c>
      <c r="K1653" s="61" t="s">
        <v>212</v>
      </c>
      <c r="L1653" s="61" t="s">
        <v>8709</v>
      </c>
      <c r="M1653" s="475">
        <v>45854</v>
      </c>
      <c r="N1653" s="475">
        <v>45854</v>
      </c>
      <c r="O1653" s="475">
        <v>45855</v>
      </c>
      <c r="P1653" s="475">
        <v>45855</v>
      </c>
      <c r="Q1653" s="475">
        <v>45856</v>
      </c>
      <c r="R1653" s="61">
        <f t="shared" si="116"/>
        <v>1</v>
      </c>
      <c r="S1653" s="61">
        <f t="shared" si="117"/>
        <v>1</v>
      </c>
      <c r="T1653" s="61">
        <f t="shared" si="115"/>
        <v>1</v>
      </c>
      <c r="U1653" s="61">
        <f t="shared" si="118"/>
        <v>1</v>
      </c>
      <c r="V1653" s="61" t="s">
        <v>150</v>
      </c>
      <c r="W1653" s="61" t="s">
        <v>1078</v>
      </c>
      <c r="X1653" s="61" t="s">
        <v>50</v>
      </c>
      <c r="Y1653" s="61">
        <v>15.6434</v>
      </c>
      <c r="Z1653" s="61">
        <v>120.8616</v>
      </c>
      <c r="AA1653" s="61" t="s">
        <v>8361</v>
      </c>
      <c r="AB1653" s="61"/>
    </row>
    <row r="1654" spans="1:28" s="2" customFormat="1" ht="15">
      <c r="A1654" s="61" t="s">
        <v>2286</v>
      </c>
      <c r="B1654" s="61" t="s">
        <v>3133</v>
      </c>
      <c r="C1654" s="61" t="s">
        <v>5197</v>
      </c>
      <c r="D1654" s="61" t="s">
        <v>7838</v>
      </c>
      <c r="E1654" s="61">
        <v>2045</v>
      </c>
      <c r="F1654" s="61">
        <v>2341</v>
      </c>
      <c r="G1654" s="61">
        <v>2025</v>
      </c>
      <c r="H1654" s="61" t="s">
        <v>3458</v>
      </c>
      <c r="I1654" s="61" t="s">
        <v>224</v>
      </c>
      <c r="J1654" s="61" t="s">
        <v>2289</v>
      </c>
      <c r="K1654" s="61" t="s">
        <v>212</v>
      </c>
      <c r="L1654" s="61" t="s">
        <v>8710</v>
      </c>
      <c r="M1654" s="475">
        <v>45701</v>
      </c>
      <c r="N1654" s="475">
        <v>45703</v>
      </c>
      <c r="O1654" s="475">
        <v>45705</v>
      </c>
      <c r="P1654" s="475">
        <v>45705</v>
      </c>
      <c r="Q1654" s="475">
        <v>45706</v>
      </c>
      <c r="R1654" s="61">
        <f t="shared" si="116"/>
        <v>1</v>
      </c>
      <c r="S1654" s="61">
        <f t="shared" si="117"/>
        <v>1</v>
      </c>
      <c r="T1654" s="61">
        <f t="shared" si="115"/>
        <v>1</v>
      </c>
      <c r="U1654" s="61">
        <f t="shared" si="118"/>
        <v>1</v>
      </c>
      <c r="V1654" s="61" t="s">
        <v>150</v>
      </c>
      <c r="W1654" s="61" t="s">
        <v>1078</v>
      </c>
      <c r="X1654" s="61" t="s">
        <v>50</v>
      </c>
      <c r="Y1654" s="473">
        <v>15.5661</v>
      </c>
      <c r="Z1654" s="473">
        <v>120.89490000000001</v>
      </c>
      <c r="AA1654" s="61" t="s">
        <v>8361</v>
      </c>
      <c r="AB1654" s="61"/>
    </row>
    <row r="1655" spans="1:28" s="2" customFormat="1" ht="15">
      <c r="A1655" s="61" t="s">
        <v>2286</v>
      </c>
      <c r="B1655" s="61" t="s">
        <v>3133</v>
      </c>
      <c r="C1655" s="61" t="s">
        <v>4150</v>
      </c>
      <c r="D1655" s="61" t="s">
        <v>7838</v>
      </c>
      <c r="E1655" s="61">
        <v>1963</v>
      </c>
      <c r="F1655" s="61">
        <v>2015</v>
      </c>
      <c r="G1655" s="61">
        <v>2025</v>
      </c>
      <c r="H1655" s="61" t="s">
        <v>3458</v>
      </c>
      <c r="I1655" s="61" t="s">
        <v>224</v>
      </c>
      <c r="J1655" s="61" t="s">
        <v>2289</v>
      </c>
      <c r="K1655" s="61" t="s">
        <v>212</v>
      </c>
      <c r="L1655" s="61" t="s">
        <v>8711</v>
      </c>
      <c r="M1655" s="475">
        <v>45694</v>
      </c>
      <c r="N1655" s="475">
        <v>45705</v>
      </c>
      <c r="O1655" s="475">
        <v>45706</v>
      </c>
      <c r="P1655" s="475">
        <v>45706</v>
      </c>
      <c r="Q1655" s="475">
        <v>45706</v>
      </c>
      <c r="R1655" s="61">
        <f t="shared" si="116"/>
        <v>7</v>
      </c>
      <c r="S1655" s="61">
        <f t="shared" si="117"/>
        <v>1</v>
      </c>
      <c r="T1655" s="61">
        <f t="shared" si="115"/>
        <v>1</v>
      </c>
      <c r="U1655" s="61">
        <f t="shared" si="118"/>
        <v>1</v>
      </c>
      <c r="V1655" s="61" t="s">
        <v>150</v>
      </c>
      <c r="W1655" s="61" t="s">
        <v>1078</v>
      </c>
      <c r="X1655" s="61" t="s">
        <v>50</v>
      </c>
      <c r="Y1655" s="473">
        <v>15.584099999999999</v>
      </c>
      <c r="Z1655" s="473">
        <v>120.8811</v>
      </c>
      <c r="AA1655" s="61" t="s">
        <v>8361</v>
      </c>
      <c r="AB1655" s="61"/>
    </row>
    <row r="1656" spans="1:28" s="2" customFormat="1" ht="15">
      <c r="A1656" s="61" t="s">
        <v>2286</v>
      </c>
      <c r="B1656" s="61" t="s">
        <v>3133</v>
      </c>
      <c r="C1656" s="61" t="s">
        <v>4969</v>
      </c>
      <c r="D1656" s="61" t="s">
        <v>7838</v>
      </c>
      <c r="E1656" s="61">
        <v>1469</v>
      </c>
      <c r="F1656" s="61">
        <v>1507</v>
      </c>
      <c r="G1656" s="61">
        <v>2025</v>
      </c>
      <c r="H1656" s="61" t="s">
        <v>3125</v>
      </c>
      <c r="I1656" s="61" t="s">
        <v>224</v>
      </c>
      <c r="J1656" s="61" t="s">
        <v>2289</v>
      </c>
      <c r="K1656" s="61" t="s">
        <v>212</v>
      </c>
      <c r="L1656" s="61" t="s">
        <v>8712</v>
      </c>
      <c r="M1656" s="475">
        <v>45854</v>
      </c>
      <c r="N1656" s="475">
        <v>45854</v>
      </c>
      <c r="O1656" s="475">
        <v>45855</v>
      </c>
      <c r="P1656" s="475">
        <v>45855</v>
      </c>
      <c r="Q1656" s="475">
        <v>45856</v>
      </c>
      <c r="R1656" s="61">
        <f t="shared" si="116"/>
        <v>1</v>
      </c>
      <c r="S1656" s="61">
        <f t="shared" si="117"/>
        <v>1</v>
      </c>
      <c r="T1656" s="61">
        <f t="shared" si="115"/>
        <v>1</v>
      </c>
      <c r="U1656" s="61">
        <f t="shared" si="118"/>
        <v>1</v>
      </c>
      <c r="V1656" s="61" t="s">
        <v>150</v>
      </c>
      <c r="W1656" s="61" t="s">
        <v>1078</v>
      </c>
      <c r="X1656" s="61" t="s">
        <v>50</v>
      </c>
      <c r="Y1656" s="61">
        <v>15.6434</v>
      </c>
      <c r="Z1656" s="61">
        <v>120.8616</v>
      </c>
      <c r="AA1656" s="61" t="s">
        <v>8361</v>
      </c>
      <c r="AB1656" s="61"/>
    </row>
    <row r="1657" spans="1:28" s="2" customFormat="1" ht="15">
      <c r="A1657" s="61" t="s">
        <v>2286</v>
      </c>
      <c r="B1657" s="61" t="s">
        <v>3133</v>
      </c>
      <c r="C1657" s="61" t="s">
        <v>5201</v>
      </c>
      <c r="D1657" s="61" t="s">
        <v>7838</v>
      </c>
      <c r="E1657" s="61">
        <v>2656</v>
      </c>
      <c r="F1657" s="61">
        <v>3024</v>
      </c>
      <c r="G1657" s="61">
        <v>2025</v>
      </c>
      <c r="H1657" s="61" t="s">
        <v>3470</v>
      </c>
      <c r="I1657" s="61" t="s">
        <v>224</v>
      </c>
      <c r="J1657" s="61" t="s">
        <v>2289</v>
      </c>
      <c r="K1657" s="61" t="s">
        <v>212</v>
      </c>
      <c r="L1657" s="61" t="s">
        <v>8713</v>
      </c>
      <c r="M1657" s="475">
        <v>45762</v>
      </c>
      <c r="N1657" s="475">
        <v>45762</v>
      </c>
      <c r="O1657" s="475">
        <v>45768</v>
      </c>
      <c r="P1657" s="475">
        <v>45768</v>
      </c>
      <c r="Q1657" s="475">
        <v>45769</v>
      </c>
      <c r="R1657" s="61">
        <f t="shared" si="116"/>
        <v>1</v>
      </c>
      <c r="S1657" s="61">
        <f t="shared" si="117"/>
        <v>4</v>
      </c>
      <c r="T1657" s="61">
        <f t="shared" si="115"/>
        <v>1</v>
      </c>
      <c r="U1657" s="61">
        <f t="shared" si="118"/>
        <v>1</v>
      </c>
      <c r="V1657" s="61" t="s">
        <v>150</v>
      </c>
      <c r="W1657" s="61" t="s">
        <v>1078</v>
      </c>
      <c r="X1657" s="61" t="s">
        <v>50</v>
      </c>
      <c r="Y1657" s="473">
        <v>15.6625</v>
      </c>
      <c r="Z1657" s="473">
        <v>120.8886</v>
      </c>
      <c r="AA1657" s="61" t="s">
        <v>8361</v>
      </c>
      <c r="AB1657" s="61"/>
    </row>
    <row r="1658" spans="1:28" s="2" customFormat="1" ht="15">
      <c r="A1658" s="61" t="s">
        <v>2286</v>
      </c>
      <c r="B1658" s="61" t="s">
        <v>3133</v>
      </c>
      <c r="C1658" s="61" t="s">
        <v>5202</v>
      </c>
      <c r="D1658" s="61" t="s">
        <v>7838</v>
      </c>
      <c r="E1658" s="61">
        <v>2183</v>
      </c>
      <c r="F1658" s="61">
        <v>2233</v>
      </c>
      <c r="G1658" s="61">
        <v>2025</v>
      </c>
      <c r="H1658" s="61" t="s">
        <v>3416</v>
      </c>
      <c r="I1658" s="61" t="s">
        <v>224</v>
      </c>
      <c r="J1658" s="61" t="s">
        <v>2289</v>
      </c>
      <c r="K1658" s="61" t="s">
        <v>212</v>
      </c>
      <c r="L1658" s="61" t="s">
        <v>8714</v>
      </c>
      <c r="M1658" s="475">
        <v>45708</v>
      </c>
      <c r="N1658" s="475">
        <v>45709</v>
      </c>
      <c r="O1658" s="475">
        <v>45709</v>
      </c>
      <c r="P1658" s="475">
        <v>45714</v>
      </c>
      <c r="Q1658" s="475">
        <v>45719</v>
      </c>
      <c r="R1658" s="61">
        <f t="shared" si="116"/>
        <v>1</v>
      </c>
      <c r="S1658" s="61">
        <f t="shared" si="117"/>
        <v>1</v>
      </c>
      <c r="T1658" s="61">
        <f t="shared" si="115"/>
        <v>3</v>
      </c>
      <c r="U1658" s="61">
        <f t="shared" si="118"/>
        <v>3</v>
      </c>
      <c r="V1658" s="61" t="s">
        <v>150</v>
      </c>
      <c r="W1658" s="61" t="s">
        <v>1078</v>
      </c>
      <c r="X1658" s="61" t="s">
        <v>50</v>
      </c>
      <c r="Y1658" s="473">
        <v>15.588100000000001</v>
      </c>
      <c r="Z1658" s="473" t="s">
        <v>8715</v>
      </c>
      <c r="AA1658" s="61" t="s">
        <v>8361</v>
      </c>
      <c r="AB1658" s="61"/>
    </row>
    <row r="1659" spans="1:28" s="2" customFormat="1" ht="15">
      <c r="A1659" s="61" t="s">
        <v>2286</v>
      </c>
      <c r="B1659" s="61" t="s">
        <v>3133</v>
      </c>
      <c r="C1659" s="61" t="s">
        <v>4242</v>
      </c>
      <c r="D1659" s="61" t="s">
        <v>7838</v>
      </c>
      <c r="E1659" s="61">
        <v>1289</v>
      </c>
      <c r="F1659" s="61">
        <v>1418</v>
      </c>
      <c r="G1659" s="61">
        <v>2025</v>
      </c>
      <c r="H1659" s="61" t="s">
        <v>3458</v>
      </c>
      <c r="I1659" s="61" t="s">
        <v>224</v>
      </c>
      <c r="J1659" s="61" t="s">
        <v>2289</v>
      </c>
      <c r="K1659" s="61" t="s">
        <v>212</v>
      </c>
      <c r="L1659" s="476" t="s">
        <v>8716</v>
      </c>
      <c r="M1659" s="475">
        <v>45701</v>
      </c>
      <c r="N1659" s="475">
        <v>45703</v>
      </c>
      <c r="O1659" s="475">
        <v>45705</v>
      </c>
      <c r="P1659" s="475">
        <v>45705</v>
      </c>
      <c r="Q1659" s="475">
        <v>45706</v>
      </c>
      <c r="R1659" s="61">
        <f t="shared" si="116"/>
        <v>1</v>
      </c>
      <c r="S1659" s="61">
        <f t="shared" si="117"/>
        <v>1</v>
      </c>
      <c r="T1659" s="61">
        <f t="shared" si="115"/>
        <v>1</v>
      </c>
      <c r="U1659" s="61">
        <f t="shared" si="118"/>
        <v>1</v>
      </c>
      <c r="V1659" s="61" t="s">
        <v>150</v>
      </c>
      <c r="W1659" s="61" t="s">
        <v>1078</v>
      </c>
      <c r="X1659" s="61" t="s">
        <v>50</v>
      </c>
      <c r="Y1659" s="473">
        <v>15.6205</v>
      </c>
      <c r="Z1659" s="473">
        <v>120.8618</v>
      </c>
      <c r="AA1659" s="61" t="s">
        <v>8361</v>
      </c>
      <c r="AB1659" s="61"/>
    </row>
    <row r="1660" spans="1:28" s="2" customFormat="1" ht="15">
      <c r="A1660" s="61" t="s">
        <v>2286</v>
      </c>
      <c r="B1660" s="61" t="s">
        <v>3133</v>
      </c>
      <c r="C1660" s="61" t="s">
        <v>5193</v>
      </c>
      <c r="D1660" s="61" t="s">
        <v>7838</v>
      </c>
      <c r="E1660" s="61">
        <v>1352</v>
      </c>
      <c r="F1660" s="61">
        <v>1470</v>
      </c>
      <c r="G1660" s="61"/>
      <c r="H1660" s="61"/>
      <c r="I1660" s="61" t="s">
        <v>224</v>
      </c>
      <c r="J1660" s="61"/>
      <c r="K1660" s="61" t="s">
        <v>212</v>
      </c>
      <c r="L1660" s="61"/>
      <c r="M1660" s="61"/>
      <c r="N1660" s="61"/>
      <c r="O1660" s="61"/>
      <c r="P1660" s="61"/>
      <c r="Q1660" s="61"/>
      <c r="R1660" s="61" t="str">
        <f t="shared" si="116"/>
        <v/>
      </c>
      <c r="S1660" s="61" t="str">
        <f t="shared" si="117"/>
        <v/>
      </c>
      <c r="T1660" s="61" t="str">
        <f t="shared" si="115"/>
        <v/>
      </c>
      <c r="U1660" s="61" t="str">
        <f t="shared" si="118"/>
        <v/>
      </c>
      <c r="V1660" s="61"/>
      <c r="W1660" s="61"/>
      <c r="X1660" s="61"/>
      <c r="Y1660" s="471"/>
      <c r="Z1660" s="471"/>
      <c r="AA1660" s="61"/>
      <c r="AB1660" s="61"/>
    </row>
    <row r="1661" spans="1:28" s="2" customFormat="1" ht="15">
      <c r="A1661" s="61" t="s">
        <v>2286</v>
      </c>
      <c r="B1661" s="61" t="s">
        <v>3133</v>
      </c>
      <c r="C1661" s="61" t="s">
        <v>1185</v>
      </c>
      <c r="D1661" s="61" t="s">
        <v>7838</v>
      </c>
      <c r="E1661" s="61">
        <v>1541</v>
      </c>
      <c r="F1661" s="61">
        <v>1575</v>
      </c>
      <c r="G1661" s="61"/>
      <c r="H1661" s="61"/>
      <c r="I1661" s="61" t="s">
        <v>224</v>
      </c>
      <c r="J1661" s="61"/>
      <c r="K1661" s="61" t="s">
        <v>212</v>
      </c>
      <c r="L1661" s="476"/>
      <c r="M1661" s="483"/>
      <c r="N1661" s="475"/>
      <c r="O1661" s="475"/>
      <c r="P1661" s="475"/>
      <c r="Q1661" s="475"/>
      <c r="R1661" s="61" t="str">
        <f t="shared" si="116"/>
        <v/>
      </c>
      <c r="S1661" s="61" t="str">
        <f t="shared" si="117"/>
        <v/>
      </c>
      <c r="T1661" s="61" t="str">
        <f t="shared" si="115"/>
        <v/>
      </c>
      <c r="U1661" s="61" t="str">
        <f t="shared" si="118"/>
        <v/>
      </c>
      <c r="V1661" s="61"/>
      <c r="W1661" s="61"/>
      <c r="X1661" s="61"/>
      <c r="Y1661" s="471"/>
      <c r="Z1661" s="471"/>
      <c r="AA1661" s="61"/>
      <c r="AB1661" s="61"/>
    </row>
    <row r="1662" spans="1:28" s="2" customFormat="1" ht="15">
      <c r="A1662" s="61" t="s">
        <v>2286</v>
      </c>
      <c r="B1662" s="61" t="s">
        <v>3133</v>
      </c>
      <c r="C1662" s="61" t="s">
        <v>4683</v>
      </c>
      <c r="D1662" s="61" t="s">
        <v>7838</v>
      </c>
      <c r="E1662" s="61">
        <v>1384</v>
      </c>
      <c r="F1662" s="61">
        <v>1482</v>
      </c>
      <c r="G1662" s="61"/>
      <c r="H1662" s="61"/>
      <c r="I1662" s="61" t="s">
        <v>224</v>
      </c>
      <c r="J1662" s="61"/>
      <c r="K1662" s="61" t="s">
        <v>212</v>
      </c>
      <c r="L1662" s="61"/>
      <c r="M1662" s="61"/>
      <c r="N1662" s="61"/>
      <c r="O1662" s="61"/>
      <c r="P1662" s="61"/>
      <c r="Q1662" s="61"/>
      <c r="R1662" s="61" t="str">
        <f t="shared" si="116"/>
        <v/>
      </c>
      <c r="S1662" s="61" t="str">
        <f t="shared" si="117"/>
        <v/>
      </c>
      <c r="T1662" s="61" t="str">
        <f t="shared" si="115"/>
        <v/>
      </c>
      <c r="U1662" s="61" t="str">
        <f t="shared" si="118"/>
        <v/>
      </c>
      <c r="V1662" s="61"/>
      <c r="W1662" s="61"/>
      <c r="X1662" s="61"/>
      <c r="Y1662" s="471"/>
      <c r="Z1662" s="471"/>
      <c r="AA1662" s="61"/>
      <c r="AB1662" s="61"/>
    </row>
    <row r="1663" spans="1:28" s="2" customFormat="1" ht="15">
      <c r="A1663" s="61" t="s">
        <v>2286</v>
      </c>
      <c r="B1663" s="61" t="s">
        <v>3133</v>
      </c>
      <c r="C1663" s="61" t="s">
        <v>1867</v>
      </c>
      <c r="D1663" s="61" t="s">
        <v>7838</v>
      </c>
      <c r="E1663" s="61">
        <v>1935</v>
      </c>
      <c r="F1663" s="61">
        <v>1945</v>
      </c>
      <c r="G1663" s="61"/>
      <c r="H1663" s="61"/>
      <c r="I1663" s="61" t="s">
        <v>224</v>
      </c>
      <c r="J1663" s="61"/>
      <c r="K1663" s="61" t="s">
        <v>212</v>
      </c>
      <c r="L1663" s="61"/>
      <c r="M1663" s="61"/>
      <c r="N1663" s="61"/>
      <c r="O1663" s="61"/>
      <c r="P1663" s="61"/>
      <c r="Q1663" s="61"/>
      <c r="R1663" s="61" t="str">
        <f t="shared" si="116"/>
        <v/>
      </c>
      <c r="S1663" s="61" t="str">
        <f t="shared" si="117"/>
        <v/>
      </c>
      <c r="T1663" s="61" t="str">
        <f t="shared" si="115"/>
        <v/>
      </c>
      <c r="U1663" s="61" t="str">
        <f t="shared" si="118"/>
        <v/>
      </c>
      <c r="V1663" s="61"/>
      <c r="W1663" s="61"/>
      <c r="X1663" s="61"/>
      <c r="Y1663" s="471"/>
      <c r="Z1663" s="471"/>
      <c r="AA1663" s="61"/>
      <c r="AB1663" s="61"/>
    </row>
    <row r="1664" spans="1:28" s="2" customFormat="1" ht="15">
      <c r="A1664" s="61" t="s">
        <v>2286</v>
      </c>
      <c r="B1664" s="61" t="s">
        <v>3133</v>
      </c>
      <c r="C1664" s="61" t="s">
        <v>932</v>
      </c>
      <c r="D1664" s="61" t="s">
        <v>7838</v>
      </c>
      <c r="E1664" s="61">
        <v>3296</v>
      </c>
      <c r="F1664" s="61">
        <v>3495</v>
      </c>
      <c r="G1664" s="61"/>
      <c r="H1664" s="61"/>
      <c r="I1664" s="61" t="s">
        <v>224</v>
      </c>
      <c r="J1664" s="61"/>
      <c r="K1664" s="61" t="s">
        <v>212</v>
      </c>
      <c r="L1664" s="61"/>
      <c r="M1664" s="61"/>
      <c r="N1664" s="61"/>
      <c r="O1664" s="61"/>
      <c r="P1664" s="61"/>
      <c r="Q1664" s="61"/>
      <c r="R1664" s="61" t="str">
        <f t="shared" si="116"/>
        <v/>
      </c>
      <c r="S1664" s="61" t="str">
        <f t="shared" si="117"/>
        <v/>
      </c>
      <c r="T1664" s="61" t="str">
        <f t="shared" si="115"/>
        <v/>
      </c>
      <c r="U1664" s="61" t="str">
        <f t="shared" si="118"/>
        <v/>
      </c>
      <c r="V1664" s="61"/>
      <c r="W1664" s="61"/>
      <c r="X1664" s="61"/>
      <c r="Y1664" s="471"/>
      <c r="Z1664" s="471"/>
      <c r="AA1664" s="61"/>
      <c r="AB1664" s="61"/>
    </row>
    <row r="1665" spans="1:28" s="2" customFormat="1" ht="15">
      <c r="A1665" s="61" t="s">
        <v>2286</v>
      </c>
      <c r="B1665" s="61" t="s">
        <v>3133</v>
      </c>
      <c r="C1665" s="61" t="s">
        <v>1056</v>
      </c>
      <c r="D1665" s="61" t="s">
        <v>7838</v>
      </c>
      <c r="E1665" s="61">
        <v>768</v>
      </c>
      <c r="F1665" s="61">
        <v>774</v>
      </c>
      <c r="G1665" s="61"/>
      <c r="H1665" s="61"/>
      <c r="I1665" s="61" t="s">
        <v>224</v>
      </c>
      <c r="J1665" s="61"/>
      <c r="K1665" s="61" t="s">
        <v>212</v>
      </c>
      <c r="L1665" s="61"/>
      <c r="M1665" s="61"/>
      <c r="N1665" s="61"/>
      <c r="O1665" s="61"/>
      <c r="P1665" s="61"/>
      <c r="Q1665" s="61"/>
      <c r="R1665" s="61" t="str">
        <f t="shared" si="116"/>
        <v/>
      </c>
      <c r="S1665" s="61" t="str">
        <f t="shared" si="117"/>
        <v/>
      </c>
      <c r="T1665" s="61" t="str">
        <f t="shared" si="115"/>
        <v/>
      </c>
      <c r="U1665" s="61" t="str">
        <f t="shared" si="118"/>
        <v/>
      </c>
      <c r="V1665" s="61"/>
      <c r="W1665" s="61"/>
      <c r="X1665" s="61"/>
      <c r="Y1665" s="471"/>
      <c r="Z1665" s="471"/>
      <c r="AA1665" s="61"/>
      <c r="AB1665" s="61"/>
    </row>
    <row r="1666" spans="1:28" s="2" customFormat="1" ht="15">
      <c r="A1666" s="61" t="s">
        <v>2286</v>
      </c>
      <c r="B1666" s="61" t="s">
        <v>3133</v>
      </c>
      <c r="C1666" s="61" t="s">
        <v>5204</v>
      </c>
      <c r="D1666" s="61" t="s">
        <v>7838</v>
      </c>
      <c r="E1666" s="61">
        <v>2150</v>
      </c>
      <c r="F1666" s="61">
        <v>2215</v>
      </c>
      <c r="G1666" s="61"/>
      <c r="H1666" s="61"/>
      <c r="I1666" s="61" t="s">
        <v>224</v>
      </c>
      <c r="J1666" s="61"/>
      <c r="K1666" s="61" t="s">
        <v>212</v>
      </c>
      <c r="L1666" s="61"/>
      <c r="M1666" s="61"/>
      <c r="N1666" s="61"/>
      <c r="O1666" s="61"/>
      <c r="P1666" s="61"/>
      <c r="Q1666" s="61"/>
      <c r="R1666" s="61" t="str">
        <f t="shared" si="116"/>
        <v/>
      </c>
      <c r="S1666" s="61" t="str">
        <f t="shared" si="117"/>
        <v/>
      </c>
      <c r="T1666" s="61" t="str">
        <f t="shared" si="115"/>
        <v/>
      </c>
      <c r="U1666" s="61" t="str">
        <f t="shared" si="118"/>
        <v/>
      </c>
      <c r="V1666" s="61"/>
      <c r="W1666" s="61"/>
      <c r="X1666" s="61"/>
      <c r="Y1666" s="471"/>
      <c r="Z1666" s="471"/>
      <c r="AA1666" s="61"/>
      <c r="AB1666" s="61"/>
    </row>
    <row r="1667" spans="1:28" s="2" customFormat="1" ht="15">
      <c r="A1667" s="61" t="s">
        <v>2286</v>
      </c>
      <c r="B1667" s="61" t="s">
        <v>3133</v>
      </c>
      <c r="C1667" s="61" t="s">
        <v>5205</v>
      </c>
      <c r="D1667" s="61" t="s">
        <v>7838</v>
      </c>
      <c r="E1667" s="61">
        <v>2986</v>
      </c>
      <c r="F1667" s="61">
        <v>3534</v>
      </c>
      <c r="G1667" s="61"/>
      <c r="H1667" s="61"/>
      <c r="I1667" s="61" t="s">
        <v>224</v>
      </c>
      <c r="J1667" s="61"/>
      <c r="K1667" s="61" t="s">
        <v>212</v>
      </c>
      <c r="L1667" s="61"/>
      <c r="M1667" s="61"/>
      <c r="N1667" s="61"/>
      <c r="O1667" s="61"/>
      <c r="P1667" s="61"/>
      <c r="Q1667" s="61"/>
      <c r="R1667" s="61" t="str">
        <f t="shared" si="116"/>
        <v/>
      </c>
      <c r="S1667" s="61" t="str">
        <f t="shared" si="117"/>
        <v/>
      </c>
      <c r="T1667" s="61" t="str">
        <f t="shared" si="115"/>
        <v/>
      </c>
      <c r="U1667" s="61" t="str">
        <f t="shared" si="118"/>
        <v/>
      </c>
      <c r="V1667" s="61"/>
      <c r="W1667" s="61"/>
      <c r="X1667" s="61"/>
      <c r="Y1667" s="471"/>
      <c r="Z1667" s="471"/>
      <c r="AA1667" s="61"/>
      <c r="AB1667" s="61"/>
    </row>
    <row r="1668" spans="1:28" s="2" customFormat="1" ht="15">
      <c r="A1668" s="61" t="s">
        <v>2286</v>
      </c>
      <c r="B1668" s="61" t="s">
        <v>3133</v>
      </c>
      <c r="C1668" s="61" t="s">
        <v>4126</v>
      </c>
      <c r="D1668" s="61" t="s">
        <v>7838</v>
      </c>
      <c r="E1668" s="61">
        <v>1498</v>
      </c>
      <c r="F1668" s="61">
        <v>1579</v>
      </c>
      <c r="G1668" s="61"/>
      <c r="H1668" s="61"/>
      <c r="I1668" s="61" t="s">
        <v>224</v>
      </c>
      <c r="J1668" s="61"/>
      <c r="K1668" s="61" t="s">
        <v>212</v>
      </c>
      <c r="L1668" s="61"/>
      <c r="M1668" s="61"/>
      <c r="N1668" s="61"/>
      <c r="O1668" s="61"/>
      <c r="P1668" s="61"/>
      <c r="Q1668" s="61"/>
      <c r="R1668" s="61" t="str">
        <f t="shared" si="116"/>
        <v/>
      </c>
      <c r="S1668" s="61" t="str">
        <f t="shared" si="117"/>
        <v/>
      </c>
      <c r="T1668" s="61" t="str">
        <f t="shared" si="115"/>
        <v/>
      </c>
      <c r="U1668" s="61" t="str">
        <f t="shared" si="118"/>
        <v/>
      </c>
      <c r="V1668" s="61"/>
      <c r="W1668" s="61"/>
      <c r="X1668" s="61"/>
      <c r="Y1668" s="471"/>
      <c r="Z1668" s="471"/>
      <c r="AA1668" s="61"/>
      <c r="AB1668" s="61"/>
    </row>
    <row r="1669" spans="1:28" s="2" customFormat="1" ht="15">
      <c r="A1669" s="61" t="s">
        <v>2286</v>
      </c>
      <c r="B1669" s="61" t="s">
        <v>3133</v>
      </c>
      <c r="C1669" s="61" t="s">
        <v>5206</v>
      </c>
      <c r="D1669" s="61" t="s">
        <v>7838</v>
      </c>
      <c r="E1669" s="61">
        <v>2254</v>
      </c>
      <c r="F1669" s="61">
        <v>2595</v>
      </c>
      <c r="G1669" s="61"/>
      <c r="H1669" s="61"/>
      <c r="I1669" s="61" t="s">
        <v>224</v>
      </c>
      <c r="J1669" s="61"/>
      <c r="K1669" s="61" t="s">
        <v>212</v>
      </c>
      <c r="L1669" s="61"/>
      <c r="M1669" s="61"/>
      <c r="N1669" s="61"/>
      <c r="O1669" s="61"/>
      <c r="P1669" s="61"/>
      <c r="Q1669" s="61"/>
      <c r="R1669" s="61" t="str">
        <f t="shared" si="116"/>
        <v/>
      </c>
      <c r="S1669" s="61" t="str">
        <f t="shared" si="117"/>
        <v/>
      </c>
      <c r="T1669" s="61" t="str">
        <f t="shared" si="115"/>
        <v/>
      </c>
      <c r="U1669" s="61" t="str">
        <f t="shared" si="118"/>
        <v/>
      </c>
      <c r="V1669" s="61"/>
      <c r="W1669" s="61"/>
      <c r="X1669" s="61"/>
      <c r="Y1669" s="471"/>
      <c r="Z1669" s="471"/>
      <c r="AA1669" s="61"/>
      <c r="AB1669" s="61"/>
    </row>
    <row r="1670" spans="1:28" s="2" customFormat="1" ht="15">
      <c r="A1670" s="61" t="s">
        <v>2286</v>
      </c>
      <c r="B1670" s="61" t="s">
        <v>3133</v>
      </c>
      <c r="C1670" s="61" t="s">
        <v>4024</v>
      </c>
      <c r="D1670" s="61" t="s">
        <v>7838</v>
      </c>
      <c r="E1670" s="61">
        <v>1180</v>
      </c>
      <c r="F1670" s="61">
        <v>1500</v>
      </c>
      <c r="G1670" s="61"/>
      <c r="H1670" s="61"/>
      <c r="I1670" s="61" t="s">
        <v>224</v>
      </c>
      <c r="J1670" s="61"/>
      <c r="K1670" s="61" t="s">
        <v>212</v>
      </c>
      <c r="L1670" s="61"/>
      <c r="M1670" s="61"/>
      <c r="N1670" s="61"/>
      <c r="O1670" s="61"/>
      <c r="P1670" s="61"/>
      <c r="Q1670" s="61"/>
      <c r="R1670" s="61" t="str">
        <f t="shared" si="116"/>
        <v/>
      </c>
      <c r="S1670" s="61" t="str">
        <f t="shared" si="117"/>
        <v/>
      </c>
      <c r="T1670" s="61" t="str">
        <f t="shared" si="115"/>
        <v/>
      </c>
      <c r="U1670" s="61" t="str">
        <f t="shared" si="118"/>
        <v/>
      </c>
      <c r="V1670" s="61"/>
      <c r="W1670" s="61"/>
      <c r="X1670" s="61"/>
      <c r="Y1670" s="471"/>
      <c r="Z1670" s="471"/>
      <c r="AA1670" s="61"/>
      <c r="AB1670" s="61"/>
    </row>
    <row r="1671" spans="1:28" s="2" customFormat="1" ht="15">
      <c r="A1671" s="61" t="s">
        <v>2286</v>
      </c>
      <c r="B1671" s="61" t="s">
        <v>3133</v>
      </c>
      <c r="C1671" s="61" t="s">
        <v>1234</v>
      </c>
      <c r="D1671" s="61" t="s">
        <v>7838</v>
      </c>
      <c r="E1671" s="61">
        <v>3041</v>
      </c>
      <c r="F1671" s="61">
        <v>2992</v>
      </c>
      <c r="G1671" s="61"/>
      <c r="H1671" s="61"/>
      <c r="I1671" s="61" t="s">
        <v>224</v>
      </c>
      <c r="J1671" s="61"/>
      <c r="K1671" s="61" t="s">
        <v>212</v>
      </c>
      <c r="L1671" s="61"/>
      <c r="M1671" s="61"/>
      <c r="N1671" s="61"/>
      <c r="O1671" s="61"/>
      <c r="P1671" s="61"/>
      <c r="Q1671" s="61"/>
      <c r="R1671" s="61" t="str">
        <f t="shared" si="116"/>
        <v/>
      </c>
      <c r="S1671" s="61" t="str">
        <f t="shared" si="117"/>
        <v/>
      </c>
      <c r="T1671" s="61" t="str">
        <f t="shared" si="115"/>
        <v/>
      </c>
      <c r="U1671" s="61" t="str">
        <f t="shared" si="118"/>
        <v/>
      </c>
      <c r="V1671" s="61"/>
      <c r="W1671" s="61"/>
      <c r="X1671" s="61"/>
      <c r="Y1671" s="471"/>
      <c r="Z1671" s="471"/>
      <c r="AA1671" s="61"/>
      <c r="AB1671" s="61"/>
    </row>
    <row r="1672" spans="1:28" s="2" customFormat="1" ht="15">
      <c r="A1672" s="61" t="s">
        <v>2286</v>
      </c>
      <c r="B1672" s="61" t="s">
        <v>1317</v>
      </c>
      <c r="C1672" s="61" t="s">
        <v>5212</v>
      </c>
      <c r="D1672" s="61" t="s">
        <v>7838</v>
      </c>
      <c r="E1672" s="61">
        <v>1080</v>
      </c>
      <c r="F1672" s="61">
        <v>1170</v>
      </c>
      <c r="G1672" s="61">
        <v>2025</v>
      </c>
      <c r="H1672" s="61" t="s">
        <v>3125</v>
      </c>
      <c r="I1672" s="61" t="s">
        <v>29</v>
      </c>
      <c r="J1672" s="61" t="s">
        <v>2289</v>
      </c>
      <c r="K1672" s="61" t="s">
        <v>212</v>
      </c>
      <c r="L1672" s="61" t="s">
        <v>8717</v>
      </c>
      <c r="M1672" s="475">
        <v>45853</v>
      </c>
      <c r="N1672" s="475">
        <v>45855</v>
      </c>
      <c r="O1672" s="475">
        <v>45855</v>
      </c>
      <c r="P1672" s="475">
        <v>45856</v>
      </c>
      <c r="Q1672" s="475">
        <v>45856</v>
      </c>
      <c r="R1672" s="61">
        <f t="shared" si="116"/>
        <v>2</v>
      </c>
      <c r="S1672" s="61">
        <f t="shared" si="117"/>
        <v>1</v>
      </c>
      <c r="T1672" s="61">
        <f t="shared" si="115"/>
        <v>1</v>
      </c>
      <c r="U1672" s="61">
        <f t="shared" si="118"/>
        <v>1</v>
      </c>
      <c r="V1672" s="61" t="s">
        <v>150</v>
      </c>
      <c r="W1672" s="61" t="s">
        <v>4</v>
      </c>
      <c r="X1672" s="61" t="s">
        <v>50</v>
      </c>
      <c r="Y1672" s="61">
        <v>15.703099999999999</v>
      </c>
      <c r="Z1672" s="61">
        <v>120.8644</v>
      </c>
      <c r="AA1672" s="61"/>
      <c r="AB1672" s="61"/>
    </row>
    <row r="1673" spans="1:28" s="2" customFormat="1" ht="15">
      <c r="A1673" s="61" t="s">
        <v>2286</v>
      </c>
      <c r="B1673" s="61" t="s">
        <v>1317</v>
      </c>
      <c r="C1673" s="61" t="s">
        <v>5219</v>
      </c>
      <c r="D1673" s="61" t="s">
        <v>7838</v>
      </c>
      <c r="E1673" s="61">
        <v>940</v>
      </c>
      <c r="F1673" s="61">
        <v>1064</v>
      </c>
      <c r="G1673" s="61">
        <v>2025</v>
      </c>
      <c r="H1673" s="61" t="s">
        <v>3125</v>
      </c>
      <c r="I1673" s="61" t="s">
        <v>29</v>
      </c>
      <c r="J1673" s="61" t="s">
        <v>2289</v>
      </c>
      <c r="K1673" s="61" t="s">
        <v>212</v>
      </c>
      <c r="L1673" s="61" t="s">
        <v>8718</v>
      </c>
      <c r="M1673" s="475">
        <v>45853</v>
      </c>
      <c r="N1673" s="475">
        <v>45855</v>
      </c>
      <c r="O1673" s="475">
        <v>45855</v>
      </c>
      <c r="P1673" s="475">
        <v>45856</v>
      </c>
      <c r="Q1673" s="475">
        <v>45856</v>
      </c>
      <c r="R1673" s="61">
        <f t="shared" si="116"/>
        <v>2</v>
      </c>
      <c r="S1673" s="61">
        <f t="shared" si="117"/>
        <v>1</v>
      </c>
      <c r="T1673" s="61">
        <f t="shared" si="115"/>
        <v>1</v>
      </c>
      <c r="U1673" s="61">
        <f t="shared" si="118"/>
        <v>1</v>
      </c>
      <c r="V1673" s="61" t="s">
        <v>150</v>
      </c>
      <c r="W1673" s="61" t="s">
        <v>4</v>
      </c>
      <c r="X1673" s="61" t="s">
        <v>50</v>
      </c>
      <c r="Y1673" s="61">
        <v>15.6996</v>
      </c>
      <c r="Z1673" s="61">
        <v>120.8492</v>
      </c>
      <c r="AA1673" s="61" t="s">
        <v>220</v>
      </c>
      <c r="AB1673" s="61"/>
    </row>
    <row r="1674" spans="1:28" s="2" customFormat="1" ht="15">
      <c r="A1674" s="61" t="s">
        <v>2286</v>
      </c>
      <c r="B1674" s="61" t="s">
        <v>1317</v>
      </c>
      <c r="C1674" s="61" t="s">
        <v>914</v>
      </c>
      <c r="D1674" s="61" t="s">
        <v>7838</v>
      </c>
      <c r="E1674" s="61">
        <v>2166</v>
      </c>
      <c r="F1674" s="61">
        <v>2305</v>
      </c>
      <c r="G1674" s="61">
        <v>2025</v>
      </c>
      <c r="H1674" s="61" t="s">
        <v>3125</v>
      </c>
      <c r="I1674" s="61" t="s">
        <v>29</v>
      </c>
      <c r="J1674" s="61" t="s">
        <v>2289</v>
      </c>
      <c r="K1674" s="61" t="s">
        <v>212</v>
      </c>
      <c r="L1674" s="61" t="s">
        <v>8719</v>
      </c>
      <c r="M1674" s="475">
        <v>45853</v>
      </c>
      <c r="N1674" s="475">
        <v>45855</v>
      </c>
      <c r="O1674" s="475">
        <v>45855</v>
      </c>
      <c r="P1674" s="475">
        <v>45856</v>
      </c>
      <c r="Q1674" s="475">
        <v>45856</v>
      </c>
      <c r="R1674" s="61">
        <f t="shared" si="116"/>
        <v>2</v>
      </c>
      <c r="S1674" s="61">
        <f t="shared" si="117"/>
        <v>1</v>
      </c>
      <c r="T1674" s="61">
        <f t="shared" si="115"/>
        <v>1</v>
      </c>
      <c r="U1674" s="61">
        <f t="shared" si="118"/>
        <v>1</v>
      </c>
      <c r="V1674" s="61" t="s">
        <v>150</v>
      </c>
      <c r="W1674" s="61" t="s">
        <v>4</v>
      </c>
      <c r="X1674" s="61" t="s">
        <v>50</v>
      </c>
      <c r="Y1674" s="61">
        <v>15.686400000000001</v>
      </c>
      <c r="Z1674" s="61">
        <v>120.8561</v>
      </c>
      <c r="AA1674" s="61" t="s">
        <v>220</v>
      </c>
      <c r="AB1674" s="61"/>
    </row>
    <row r="1675" spans="1:28" s="2" customFormat="1" ht="15">
      <c r="A1675" s="61" t="s">
        <v>2286</v>
      </c>
      <c r="B1675" s="61" t="s">
        <v>1317</v>
      </c>
      <c r="C1675" s="61" t="s">
        <v>5239</v>
      </c>
      <c r="D1675" s="61" t="s">
        <v>7838</v>
      </c>
      <c r="E1675" s="61">
        <v>2811</v>
      </c>
      <c r="F1675" s="61">
        <v>2686</v>
      </c>
      <c r="G1675" s="61">
        <v>2025</v>
      </c>
      <c r="H1675" s="61" t="s">
        <v>3125</v>
      </c>
      <c r="I1675" s="61" t="s">
        <v>29</v>
      </c>
      <c r="J1675" s="61" t="s">
        <v>2289</v>
      </c>
      <c r="K1675" s="61" t="s">
        <v>212</v>
      </c>
      <c r="L1675" s="61" t="s">
        <v>8720</v>
      </c>
      <c r="M1675" s="475">
        <v>45846</v>
      </c>
      <c r="N1675" s="475">
        <v>45855</v>
      </c>
      <c r="O1675" s="475">
        <v>45855</v>
      </c>
      <c r="P1675" s="475">
        <v>45855</v>
      </c>
      <c r="Q1675" s="475">
        <v>45856</v>
      </c>
      <c r="R1675" s="61">
        <f t="shared" si="116"/>
        <v>7</v>
      </c>
      <c r="S1675" s="61">
        <f t="shared" si="117"/>
        <v>1</v>
      </c>
      <c r="T1675" s="61">
        <f t="shared" si="115"/>
        <v>1</v>
      </c>
      <c r="U1675" s="61">
        <f t="shared" si="118"/>
        <v>1</v>
      </c>
      <c r="V1675" s="61" t="s">
        <v>150</v>
      </c>
      <c r="W1675" s="61" t="s">
        <v>4</v>
      </c>
      <c r="X1675" s="61" t="s">
        <v>50</v>
      </c>
      <c r="Y1675" s="61">
        <v>15.770899999999999</v>
      </c>
      <c r="Z1675" s="61">
        <v>120.86839999999999</v>
      </c>
      <c r="AA1675" s="61" t="s">
        <v>2590</v>
      </c>
      <c r="AB1675" s="61"/>
    </row>
    <row r="1676" spans="1:28" s="2" customFormat="1" ht="15">
      <c r="A1676" s="61" t="s">
        <v>2286</v>
      </c>
      <c r="B1676" s="61" t="s">
        <v>1317</v>
      </c>
      <c r="C1676" s="61" t="s">
        <v>5214</v>
      </c>
      <c r="D1676" s="61" t="s">
        <v>7838</v>
      </c>
      <c r="E1676" s="61">
        <v>968</v>
      </c>
      <c r="F1676" s="61">
        <v>1009</v>
      </c>
      <c r="G1676" s="61">
        <v>2025</v>
      </c>
      <c r="H1676" s="61" t="s">
        <v>3125</v>
      </c>
      <c r="I1676" s="61" t="s">
        <v>29</v>
      </c>
      <c r="J1676" s="61" t="s">
        <v>2289</v>
      </c>
      <c r="K1676" s="61" t="s">
        <v>212</v>
      </c>
      <c r="L1676" s="61" t="s">
        <v>8721</v>
      </c>
      <c r="M1676" s="475">
        <v>45853</v>
      </c>
      <c r="N1676" s="475">
        <v>45855</v>
      </c>
      <c r="O1676" s="475">
        <v>45855</v>
      </c>
      <c r="P1676" s="475">
        <v>45855</v>
      </c>
      <c r="Q1676" s="475">
        <v>45856</v>
      </c>
      <c r="R1676" s="61">
        <f t="shared" si="116"/>
        <v>2</v>
      </c>
      <c r="S1676" s="61">
        <f t="shared" si="117"/>
        <v>1</v>
      </c>
      <c r="T1676" s="61">
        <f t="shared" si="115"/>
        <v>1</v>
      </c>
      <c r="U1676" s="61">
        <f t="shared" si="118"/>
        <v>1</v>
      </c>
      <c r="V1676" s="61" t="s">
        <v>150</v>
      </c>
      <c r="W1676" s="61" t="s">
        <v>1078</v>
      </c>
      <c r="X1676" s="61" t="s">
        <v>50</v>
      </c>
      <c r="Y1676" s="61">
        <v>15.731400000000001</v>
      </c>
      <c r="Z1676" s="61">
        <v>120.8523</v>
      </c>
      <c r="AA1676" s="61"/>
      <c r="AB1676" s="61"/>
    </row>
    <row r="1677" spans="1:28" s="2" customFormat="1" ht="15">
      <c r="A1677" s="61" t="s">
        <v>2286</v>
      </c>
      <c r="B1677" s="61" t="s">
        <v>1317</v>
      </c>
      <c r="C1677" s="61" t="s">
        <v>5216</v>
      </c>
      <c r="D1677" s="61" t="s">
        <v>7838</v>
      </c>
      <c r="E1677" s="61">
        <v>3200</v>
      </c>
      <c r="F1677" s="61">
        <v>3783</v>
      </c>
      <c r="G1677" s="61">
        <v>2025</v>
      </c>
      <c r="H1677" s="61" t="s">
        <v>3470</v>
      </c>
      <c r="I1677" s="61" t="s">
        <v>29</v>
      </c>
      <c r="J1677" s="61" t="s">
        <v>2289</v>
      </c>
      <c r="K1677" s="61" t="s">
        <v>212</v>
      </c>
      <c r="L1677" s="61" t="s">
        <v>8722</v>
      </c>
      <c r="M1677" s="475">
        <v>45743</v>
      </c>
      <c r="N1677" s="475">
        <v>45758</v>
      </c>
      <c r="O1677" s="475">
        <v>45761</v>
      </c>
      <c r="P1677" s="475">
        <v>45762</v>
      </c>
      <c r="Q1677" s="475">
        <v>45762</v>
      </c>
      <c r="R1677" s="61">
        <f t="shared" si="116"/>
        <v>11</v>
      </c>
      <c r="S1677" s="61">
        <f t="shared" si="117"/>
        <v>1</v>
      </c>
      <c r="T1677" s="61">
        <f t="shared" si="115"/>
        <v>1</v>
      </c>
      <c r="U1677" s="61">
        <f t="shared" si="118"/>
        <v>1</v>
      </c>
      <c r="V1677" s="61" t="s">
        <v>150</v>
      </c>
      <c r="W1677" s="61" t="s">
        <v>1078</v>
      </c>
      <c r="X1677" s="61" t="s">
        <v>50</v>
      </c>
      <c r="Y1677" s="471">
        <v>15.7136</v>
      </c>
      <c r="Z1677" s="471">
        <v>120.8856</v>
      </c>
      <c r="AA1677" s="61" t="s">
        <v>8015</v>
      </c>
      <c r="AB1677" s="61"/>
    </row>
    <row r="1678" spans="1:28" s="2" customFormat="1" ht="15">
      <c r="A1678" s="61" t="s">
        <v>2286</v>
      </c>
      <c r="B1678" s="61" t="s">
        <v>1317</v>
      </c>
      <c r="C1678" s="61" t="s">
        <v>1193</v>
      </c>
      <c r="D1678" s="61" t="s">
        <v>7838</v>
      </c>
      <c r="E1678" s="61">
        <v>2118</v>
      </c>
      <c r="F1678" s="61">
        <v>2309</v>
      </c>
      <c r="G1678" s="61">
        <v>2025</v>
      </c>
      <c r="H1678" s="61" t="s">
        <v>3470</v>
      </c>
      <c r="I1678" s="61" t="s">
        <v>29</v>
      </c>
      <c r="J1678" s="61" t="s">
        <v>2289</v>
      </c>
      <c r="K1678" s="61" t="s">
        <v>212</v>
      </c>
      <c r="L1678" s="483" t="s">
        <v>8723</v>
      </c>
      <c r="M1678" s="475">
        <v>45743</v>
      </c>
      <c r="N1678" s="475">
        <v>45758</v>
      </c>
      <c r="O1678" s="475">
        <v>45761</v>
      </c>
      <c r="P1678" s="475">
        <v>45762</v>
      </c>
      <c r="Q1678" s="475">
        <v>45762</v>
      </c>
      <c r="R1678" s="61">
        <f t="shared" si="116"/>
        <v>11</v>
      </c>
      <c r="S1678" s="61">
        <f t="shared" si="117"/>
        <v>1</v>
      </c>
      <c r="T1678" s="61">
        <f t="shared" si="115"/>
        <v>1</v>
      </c>
      <c r="U1678" s="61">
        <f t="shared" si="118"/>
        <v>1</v>
      </c>
      <c r="V1678" s="61" t="s">
        <v>150</v>
      </c>
      <c r="W1678" s="61" t="s">
        <v>1078</v>
      </c>
      <c r="X1678" s="61" t="s">
        <v>50</v>
      </c>
      <c r="Y1678" s="486">
        <v>15.7257</v>
      </c>
      <c r="Z1678" s="486">
        <v>120.8775</v>
      </c>
      <c r="AA1678" s="61" t="s">
        <v>8015</v>
      </c>
      <c r="AB1678" s="61"/>
    </row>
    <row r="1679" spans="1:28" s="2" customFormat="1" ht="15">
      <c r="A1679" s="61" t="s">
        <v>2286</v>
      </c>
      <c r="B1679" s="61" t="s">
        <v>1317</v>
      </c>
      <c r="C1679" s="61" t="s">
        <v>5221</v>
      </c>
      <c r="D1679" s="61" t="s">
        <v>7838</v>
      </c>
      <c r="E1679" s="61">
        <v>1613</v>
      </c>
      <c r="F1679" s="61">
        <v>1521</v>
      </c>
      <c r="G1679" s="61">
        <v>2025</v>
      </c>
      <c r="H1679" s="61" t="s">
        <v>3532</v>
      </c>
      <c r="I1679" s="61" t="s">
        <v>29</v>
      </c>
      <c r="J1679" s="61" t="s">
        <v>28</v>
      </c>
      <c r="K1679" s="61" t="s">
        <v>212</v>
      </c>
      <c r="L1679" s="61" t="s">
        <v>8724</v>
      </c>
      <c r="M1679" s="475">
        <v>45793</v>
      </c>
      <c r="N1679" s="475">
        <v>45796</v>
      </c>
      <c r="O1679" s="475">
        <v>45796</v>
      </c>
      <c r="P1679" s="475">
        <v>45796</v>
      </c>
      <c r="Q1679" s="475">
        <v>45797</v>
      </c>
      <c r="R1679" s="61">
        <f t="shared" si="116"/>
        <v>1</v>
      </c>
      <c r="S1679" s="61">
        <f t="shared" si="117"/>
        <v>1</v>
      </c>
      <c r="T1679" s="61">
        <f t="shared" si="115"/>
        <v>1</v>
      </c>
      <c r="U1679" s="61">
        <f t="shared" si="118"/>
        <v>1</v>
      </c>
      <c r="V1679" s="61" t="s">
        <v>150</v>
      </c>
      <c r="W1679" s="61" t="s">
        <v>1078</v>
      </c>
      <c r="X1679" s="61" t="s">
        <v>50</v>
      </c>
      <c r="Y1679" s="473">
        <v>15.751899999999999</v>
      </c>
      <c r="Z1679" s="473">
        <v>120.93989999999999</v>
      </c>
      <c r="AA1679" s="61" t="s">
        <v>8015</v>
      </c>
      <c r="AB1679" s="61"/>
    </row>
    <row r="1680" spans="1:28" s="2" customFormat="1" ht="15">
      <c r="A1680" s="61" t="s">
        <v>2286</v>
      </c>
      <c r="B1680" s="61" t="s">
        <v>1317</v>
      </c>
      <c r="C1680" s="61" t="s">
        <v>5225</v>
      </c>
      <c r="D1680" s="61" t="s">
        <v>7838</v>
      </c>
      <c r="E1680" s="61">
        <v>1688</v>
      </c>
      <c r="F1680" s="61">
        <v>1819</v>
      </c>
      <c r="G1680" s="61">
        <v>2025</v>
      </c>
      <c r="H1680" s="61" t="s">
        <v>3458</v>
      </c>
      <c r="I1680" s="61" t="s">
        <v>29</v>
      </c>
      <c r="J1680" s="61" t="s">
        <v>2289</v>
      </c>
      <c r="K1680" s="61" t="s">
        <v>212</v>
      </c>
      <c r="L1680" s="61" t="s">
        <v>8725</v>
      </c>
      <c r="M1680" s="475">
        <v>45680</v>
      </c>
      <c r="N1680" s="475">
        <v>45706</v>
      </c>
      <c r="O1680" s="475">
        <v>45706</v>
      </c>
      <c r="P1680" s="475">
        <v>45706</v>
      </c>
      <c r="Q1680" s="475">
        <v>45706</v>
      </c>
      <c r="R1680" s="61">
        <f t="shared" si="116"/>
        <v>18</v>
      </c>
      <c r="S1680" s="61">
        <f t="shared" si="117"/>
        <v>1</v>
      </c>
      <c r="T1680" s="61">
        <f t="shared" si="115"/>
        <v>1</v>
      </c>
      <c r="U1680" s="61">
        <f t="shared" si="118"/>
        <v>1</v>
      </c>
      <c r="V1680" s="61" t="s">
        <v>150</v>
      </c>
      <c r="W1680" s="61" t="s">
        <v>1078</v>
      </c>
      <c r="X1680" s="61" t="s">
        <v>50</v>
      </c>
      <c r="Y1680" s="473">
        <v>15.791088</v>
      </c>
      <c r="Z1680" s="473">
        <v>120.882081</v>
      </c>
      <c r="AA1680" s="61" t="s">
        <v>8015</v>
      </c>
      <c r="AB1680" s="61"/>
    </row>
    <row r="1681" spans="1:28" s="2" customFormat="1" ht="15">
      <c r="A1681" s="61" t="s">
        <v>2286</v>
      </c>
      <c r="B1681" s="61" t="s">
        <v>1317</v>
      </c>
      <c r="C1681" s="61" t="s">
        <v>5228</v>
      </c>
      <c r="D1681" s="61" t="s">
        <v>7838</v>
      </c>
      <c r="E1681" s="61">
        <v>2935</v>
      </c>
      <c r="F1681" s="61">
        <v>2458</v>
      </c>
      <c r="G1681" s="61">
        <v>2025</v>
      </c>
      <c r="H1681" s="61" t="s">
        <v>3532</v>
      </c>
      <c r="I1681" s="61" t="s">
        <v>29</v>
      </c>
      <c r="J1681" s="61" t="s">
        <v>28</v>
      </c>
      <c r="K1681" s="61" t="s">
        <v>212</v>
      </c>
      <c r="L1681" s="61" t="s">
        <v>8726</v>
      </c>
      <c r="M1681" s="475">
        <v>45793</v>
      </c>
      <c r="N1681" s="475">
        <v>45796</v>
      </c>
      <c r="O1681" s="475">
        <v>45796</v>
      </c>
      <c r="P1681" s="475">
        <v>45796</v>
      </c>
      <c r="Q1681" s="475">
        <v>45797</v>
      </c>
      <c r="R1681" s="61">
        <f t="shared" si="116"/>
        <v>1</v>
      </c>
      <c r="S1681" s="61">
        <f t="shared" si="117"/>
        <v>1</v>
      </c>
      <c r="T1681" s="61">
        <f t="shared" si="115"/>
        <v>1</v>
      </c>
      <c r="U1681" s="61">
        <f t="shared" si="118"/>
        <v>1</v>
      </c>
      <c r="V1681" s="61" t="s">
        <v>150</v>
      </c>
      <c r="W1681" s="61" t="s">
        <v>1078</v>
      </c>
      <c r="X1681" s="61" t="s">
        <v>50</v>
      </c>
      <c r="Y1681" s="486">
        <v>15.7051</v>
      </c>
      <c r="Z1681" s="486">
        <v>120.95099999999999</v>
      </c>
      <c r="AA1681" s="61" t="s">
        <v>8015</v>
      </c>
      <c r="AB1681" s="61"/>
    </row>
    <row r="1682" spans="1:28" s="2" customFormat="1" ht="15">
      <c r="A1682" s="61" t="s">
        <v>2286</v>
      </c>
      <c r="B1682" s="61" t="s">
        <v>1317</v>
      </c>
      <c r="C1682" s="61" t="s">
        <v>4991</v>
      </c>
      <c r="D1682" s="61" t="s">
        <v>7838</v>
      </c>
      <c r="E1682" s="61">
        <v>2758</v>
      </c>
      <c r="F1682" s="61">
        <v>2707</v>
      </c>
      <c r="G1682" s="61">
        <v>2025</v>
      </c>
      <c r="H1682" s="61" t="s">
        <v>3125</v>
      </c>
      <c r="I1682" s="61" t="s">
        <v>29</v>
      </c>
      <c r="J1682" s="61" t="s">
        <v>2289</v>
      </c>
      <c r="K1682" s="61" t="s">
        <v>212</v>
      </c>
      <c r="L1682" s="61" t="s">
        <v>8727</v>
      </c>
      <c r="M1682" s="475">
        <v>45853</v>
      </c>
      <c r="N1682" s="475">
        <v>45855</v>
      </c>
      <c r="O1682" s="475">
        <v>45855</v>
      </c>
      <c r="P1682" s="475">
        <v>45856</v>
      </c>
      <c r="Q1682" s="475">
        <v>45856</v>
      </c>
      <c r="R1682" s="61">
        <f t="shared" si="116"/>
        <v>2</v>
      </c>
      <c r="S1682" s="61">
        <f t="shared" si="117"/>
        <v>1</v>
      </c>
      <c r="T1682" s="61">
        <f t="shared" si="115"/>
        <v>1</v>
      </c>
      <c r="U1682" s="61">
        <f t="shared" si="118"/>
        <v>1</v>
      </c>
      <c r="V1682" s="61" t="s">
        <v>150</v>
      </c>
      <c r="W1682" s="61" t="s">
        <v>1078</v>
      </c>
      <c r="X1682" s="61" t="s">
        <v>50</v>
      </c>
      <c r="Y1682" s="61">
        <v>15.7218</v>
      </c>
      <c r="Z1682" s="61">
        <v>120.9062</v>
      </c>
      <c r="AA1682" s="61" t="s">
        <v>220</v>
      </c>
      <c r="AB1682" s="61"/>
    </row>
    <row r="1683" spans="1:28" s="2" customFormat="1" ht="15">
      <c r="A1683" s="61" t="s">
        <v>2286</v>
      </c>
      <c r="B1683" s="61" t="s">
        <v>1317</v>
      </c>
      <c r="C1683" s="61" t="s">
        <v>2068</v>
      </c>
      <c r="D1683" s="61" t="s">
        <v>7838</v>
      </c>
      <c r="E1683" s="61">
        <v>2350</v>
      </c>
      <c r="F1683" s="61">
        <v>1790</v>
      </c>
      <c r="G1683" s="61">
        <v>2025</v>
      </c>
      <c r="H1683" s="61" t="s">
        <v>3470</v>
      </c>
      <c r="I1683" s="61" t="s">
        <v>29</v>
      </c>
      <c r="J1683" s="61" t="s">
        <v>2289</v>
      </c>
      <c r="K1683" s="61" t="s">
        <v>212</v>
      </c>
      <c r="L1683" s="61" t="s">
        <v>8728</v>
      </c>
      <c r="M1683" s="475">
        <v>45749</v>
      </c>
      <c r="N1683" s="475">
        <v>45757</v>
      </c>
      <c r="O1683" s="475">
        <v>45758</v>
      </c>
      <c r="P1683" s="475">
        <v>45758</v>
      </c>
      <c r="Q1683" s="475">
        <v>45762</v>
      </c>
      <c r="R1683" s="61">
        <f t="shared" si="116"/>
        <v>6</v>
      </c>
      <c r="S1683" s="61">
        <f t="shared" si="117"/>
        <v>1</v>
      </c>
      <c r="T1683" s="61">
        <f t="shared" ref="T1683:T1746" si="119">IF(
  OR(A1683 = "Nueva_Ecija", A1683 = "Zambales"),
  IF(
    OR(ISBLANK(O1683), ISBLANK(P1683)),
    "",
    MAX(1, IF(
      NETWORKDAYS(O1683, P1683) &lt;= 0,
      1,
      NETWORKDAYS(O1683, P1683) - IF(O1683 = P1683, 0, 1)
    ))
  ),
  IF(
    OR(ISBLANK(N1683), ISBLANK(P1683)),
    "",
    MAX(1, IF(
      NETWORKDAYS(N1683, P1683) &lt;= 0,
      1,
      NETWORKDAYS(N1683, P1683) - IF(N1683 = P1683, 0, 1)
    ))
  )
)</f>
        <v>1</v>
      </c>
      <c r="U1683" s="61">
        <f t="shared" si="118"/>
        <v>2</v>
      </c>
      <c r="V1683" s="61" t="s">
        <v>150</v>
      </c>
      <c r="W1683" s="61" t="s">
        <v>1078</v>
      </c>
      <c r="X1683" s="61" t="s">
        <v>50</v>
      </c>
      <c r="Y1683" s="486">
        <v>15.718400000000001</v>
      </c>
      <c r="Z1683" s="486">
        <v>120.9058</v>
      </c>
      <c r="AA1683" s="61" t="s">
        <v>8015</v>
      </c>
      <c r="AB1683" s="61"/>
    </row>
    <row r="1684" spans="1:28" s="2" customFormat="1" ht="15">
      <c r="A1684" s="61" t="s">
        <v>2286</v>
      </c>
      <c r="B1684" s="61" t="s">
        <v>1317</v>
      </c>
      <c r="C1684" s="61" t="s">
        <v>5235</v>
      </c>
      <c r="D1684" s="61" t="s">
        <v>7838</v>
      </c>
      <c r="E1684" s="61">
        <v>1483</v>
      </c>
      <c r="F1684" s="61">
        <v>1570</v>
      </c>
      <c r="G1684" s="61">
        <v>2025</v>
      </c>
      <c r="H1684" s="61" t="s">
        <v>3532</v>
      </c>
      <c r="I1684" s="61" t="s">
        <v>29</v>
      </c>
      <c r="J1684" s="61" t="s">
        <v>2289</v>
      </c>
      <c r="K1684" s="61" t="s">
        <v>212</v>
      </c>
      <c r="L1684" s="61" t="s">
        <v>8729</v>
      </c>
      <c r="M1684" s="475">
        <v>45777</v>
      </c>
      <c r="N1684" s="475">
        <v>45782</v>
      </c>
      <c r="O1684" s="475">
        <v>45791</v>
      </c>
      <c r="P1684" s="475">
        <v>45791</v>
      </c>
      <c r="Q1684" s="475">
        <v>45792</v>
      </c>
      <c r="R1684" s="61">
        <f t="shared" si="116"/>
        <v>3</v>
      </c>
      <c r="S1684" s="61">
        <f t="shared" si="117"/>
        <v>7</v>
      </c>
      <c r="T1684" s="61">
        <f t="shared" si="119"/>
        <v>1</v>
      </c>
      <c r="U1684" s="61">
        <f t="shared" si="118"/>
        <v>1</v>
      </c>
      <c r="V1684" s="61" t="s">
        <v>150</v>
      </c>
      <c r="W1684" s="61" t="s">
        <v>1078</v>
      </c>
      <c r="X1684" s="61" t="s">
        <v>50</v>
      </c>
      <c r="Y1684" s="471">
        <v>15.80743</v>
      </c>
      <c r="Z1684" s="471">
        <v>121.00126</v>
      </c>
      <c r="AA1684" s="61"/>
      <c r="AB1684" s="61"/>
    </row>
    <row r="1685" spans="1:28" s="2" customFormat="1" ht="15">
      <c r="A1685" s="61" t="s">
        <v>2286</v>
      </c>
      <c r="B1685" s="61" t="s">
        <v>1317</v>
      </c>
      <c r="C1685" s="61" t="s">
        <v>5237</v>
      </c>
      <c r="D1685" s="61" t="s">
        <v>7838</v>
      </c>
      <c r="E1685" s="61">
        <v>1498</v>
      </c>
      <c r="F1685" s="61">
        <v>1827</v>
      </c>
      <c r="G1685" s="61">
        <v>2025</v>
      </c>
      <c r="H1685" s="61" t="s">
        <v>3125</v>
      </c>
      <c r="I1685" s="61" t="s">
        <v>29</v>
      </c>
      <c r="J1685" s="61" t="s">
        <v>2289</v>
      </c>
      <c r="K1685" s="61" t="s">
        <v>212</v>
      </c>
      <c r="L1685" s="61" t="s">
        <v>8730</v>
      </c>
      <c r="M1685" s="475">
        <v>45846</v>
      </c>
      <c r="N1685" s="475">
        <v>45855</v>
      </c>
      <c r="O1685" s="475">
        <v>45855</v>
      </c>
      <c r="P1685" s="475">
        <v>45856</v>
      </c>
      <c r="Q1685" s="475">
        <v>45856</v>
      </c>
      <c r="R1685" s="61">
        <f t="shared" si="116"/>
        <v>7</v>
      </c>
      <c r="S1685" s="61">
        <f t="shared" si="117"/>
        <v>1</v>
      </c>
      <c r="T1685" s="61">
        <f t="shared" si="119"/>
        <v>1</v>
      </c>
      <c r="U1685" s="61">
        <f t="shared" si="118"/>
        <v>1</v>
      </c>
      <c r="V1685" s="61" t="s">
        <v>150</v>
      </c>
      <c r="W1685" s="61" t="s">
        <v>1078</v>
      </c>
      <c r="X1685" s="61" t="s">
        <v>50</v>
      </c>
      <c r="Y1685" s="61">
        <v>15.720499999999999</v>
      </c>
      <c r="Z1685" s="61">
        <v>120.8567</v>
      </c>
      <c r="AA1685" s="61" t="s">
        <v>220</v>
      </c>
      <c r="AB1685" s="61"/>
    </row>
    <row r="1686" spans="1:28" s="2" customFormat="1" ht="15">
      <c r="A1686" s="61" t="s">
        <v>2286</v>
      </c>
      <c r="B1686" s="61" t="s">
        <v>1317</v>
      </c>
      <c r="C1686" s="61" t="s">
        <v>5241</v>
      </c>
      <c r="D1686" s="61" t="s">
        <v>7838</v>
      </c>
      <c r="E1686" s="61">
        <v>1301</v>
      </c>
      <c r="F1686" s="61">
        <v>2377</v>
      </c>
      <c r="G1686" s="61">
        <v>2025</v>
      </c>
      <c r="H1686" s="61" t="s">
        <v>3532</v>
      </c>
      <c r="I1686" s="61" t="s">
        <v>29</v>
      </c>
      <c r="J1686" s="61" t="s">
        <v>28</v>
      </c>
      <c r="K1686" s="61" t="s">
        <v>212</v>
      </c>
      <c r="L1686" s="61" t="s">
        <v>8731</v>
      </c>
      <c r="M1686" s="475">
        <v>45793</v>
      </c>
      <c r="N1686" s="475">
        <v>45796</v>
      </c>
      <c r="O1686" s="475">
        <v>45796</v>
      </c>
      <c r="P1686" s="475">
        <v>45796</v>
      </c>
      <c r="Q1686" s="475">
        <v>45797</v>
      </c>
      <c r="R1686" s="61">
        <f t="shared" si="116"/>
        <v>1</v>
      </c>
      <c r="S1686" s="61">
        <f t="shared" si="117"/>
        <v>1</v>
      </c>
      <c r="T1686" s="61">
        <f t="shared" si="119"/>
        <v>1</v>
      </c>
      <c r="U1686" s="61">
        <f t="shared" si="118"/>
        <v>1</v>
      </c>
      <c r="V1686" s="61" t="s">
        <v>150</v>
      </c>
      <c r="W1686" s="61" t="s">
        <v>1078</v>
      </c>
      <c r="X1686" s="61" t="s">
        <v>50</v>
      </c>
      <c r="Y1686" s="471">
        <v>15.692500000000001</v>
      </c>
      <c r="Z1686" s="471">
        <v>120.9391</v>
      </c>
      <c r="AA1686" s="61" t="s">
        <v>8015</v>
      </c>
      <c r="AB1686" s="61"/>
    </row>
    <row r="1687" spans="1:28" s="474" customFormat="1">
      <c r="A1687" s="61" t="s">
        <v>2286</v>
      </c>
      <c r="B1687" s="61" t="s">
        <v>1317</v>
      </c>
      <c r="C1687" s="61" t="s">
        <v>4569</v>
      </c>
      <c r="D1687" s="61" t="s">
        <v>7838</v>
      </c>
      <c r="E1687" s="61">
        <v>2033</v>
      </c>
      <c r="F1687" s="61">
        <v>2031</v>
      </c>
      <c r="G1687" s="61"/>
      <c r="H1687" s="61"/>
      <c r="I1687" s="61" t="s">
        <v>29</v>
      </c>
      <c r="J1687" s="61"/>
      <c r="K1687" s="61" t="s">
        <v>212</v>
      </c>
      <c r="L1687" s="61"/>
      <c r="M1687" s="61"/>
      <c r="N1687" s="61"/>
      <c r="O1687" s="61"/>
      <c r="P1687" s="61"/>
      <c r="Q1687" s="61"/>
      <c r="R1687" s="61" t="str">
        <f t="shared" si="116"/>
        <v/>
      </c>
      <c r="S1687" s="61" t="str">
        <f t="shared" si="117"/>
        <v/>
      </c>
      <c r="T1687" s="61" t="str">
        <f t="shared" si="119"/>
        <v/>
      </c>
      <c r="U1687" s="61" t="str">
        <f t="shared" si="118"/>
        <v/>
      </c>
      <c r="V1687" s="61"/>
      <c r="W1687" s="61"/>
      <c r="X1687" s="61"/>
      <c r="Y1687" s="471"/>
      <c r="Z1687" s="471"/>
      <c r="AA1687" s="61"/>
      <c r="AB1687" s="61"/>
    </row>
    <row r="1688" spans="1:28" s="474" customFormat="1">
      <c r="A1688" s="61" t="s">
        <v>2286</v>
      </c>
      <c r="B1688" s="61" t="s">
        <v>1317</v>
      </c>
      <c r="C1688" s="61" t="s">
        <v>4698</v>
      </c>
      <c r="D1688" s="61" t="s">
        <v>7838</v>
      </c>
      <c r="E1688" s="61">
        <v>2039</v>
      </c>
      <c r="F1688" s="61">
        <v>1865</v>
      </c>
      <c r="G1688" s="61"/>
      <c r="H1688" s="61"/>
      <c r="I1688" s="61" t="s">
        <v>29</v>
      </c>
      <c r="J1688" s="61" t="s">
        <v>2289</v>
      </c>
      <c r="K1688" s="61" t="s">
        <v>212</v>
      </c>
      <c r="L1688" s="61"/>
      <c r="M1688" s="475"/>
      <c r="N1688" s="475"/>
      <c r="O1688" s="475"/>
      <c r="P1688" s="61"/>
      <c r="Q1688" s="61"/>
      <c r="R1688" s="61" t="str">
        <f t="shared" ref="R1688:R1751" si="120">IF(
    OR(ISBLANK(M1688), ISBLANK(N1688)),
    "",
    MAX(1, IF(
        NETWORKDAYS(M1688, N1688) &lt;= 0,
        1,
        NETWORKDAYS(M1688, N1688) - IF(M1688 = N1688, 0, 1)
    ))
)</f>
        <v/>
      </c>
      <c r="S1688" s="61" t="str">
        <f t="shared" ref="S1688:S1751" si="121">IF(
    OR(ISBLANK(N1688), ISBLANK(O1688)),
    "",
    MAX(1, IF(
        NETWORKDAYS(N1688, O1688) &lt;= 0,
        1,
        NETWORKDAYS(N1688, O1688) - IF(N1688 = O1688, 0, 1)
    ))
)</f>
        <v/>
      </c>
      <c r="T1688" s="61" t="str">
        <f t="shared" si="119"/>
        <v/>
      </c>
      <c r="U1688" s="61" t="str">
        <f t="shared" ref="U1688:U1751" si="122">IF(
    OR(ISBLANK(P1688), ISBLANK(Q1688)),
    "",
    MAX(1, IF(
        NETWORKDAYS(P1688, Q1688) &lt;= 0,
        1,
        NETWORKDAYS(P1688, Q1688) - IF(P1688 = Q1688, 0, 1)
    ))
)</f>
        <v/>
      </c>
      <c r="V1688" s="61"/>
      <c r="W1688" s="61"/>
      <c r="X1688" s="61"/>
      <c r="Y1688" s="471"/>
      <c r="Z1688" s="471"/>
      <c r="AA1688" s="61"/>
      <c r="AB1688" s="61"/>
    </row>
    <row r="1689" spans="1:28" s="2" customFormat="1" ht="15">
      <c r="A1689" s="61" t="s">
        <v>2286</v>
      </c>
      <c r="B1689" s="61" t="s">
        <v>1317</v>
      </c>
      <c r="C1689" s="61" t="s">
        <v>4535</v>
      </c>
      <c r="D1689" s="61" t="s">
        <v>7838</v>
      </c>
      <c r="E1689" s="61">
        <v>10345</v>
      </c>
      <c r="F1689" s="61">
        <v>11104</v>
      </c>
      <c r="G1689" s="61"/>
      <c r="H1689" s="61"/>
      <c r="I1689" s="61" t="s">
        <v>29</v>
      </c>
      <c r="J1689" s="61"/>
      <c r="K1689" s="61" t="s">
        <v>212</v>
      </c>
      <c r="L1689" s="61"/>
      <c r="M1689" s="61"/>
      <c r="N1689" s="61"/>
      <c r="O1689" s="61"/>
      <c r="P1689" s="61"/>
      <c r="Q1689" s="61"/>
      <c r="R1689" s="61" t="str">
        <f t="shared" si="120"/>
        <v/>
      </c>
      <c r="S1689" s="61" t="str">
        <f t="shared" si="121"/>
        <v/>
      </c>
      <c r="T1689" s="61" t="str">
        <f t="shared" si="119"/>
        <v/>
      </c>
      <c r="U1689" s="61" t="str">
        <f t="shared" si="122"/>
        <v/>
      </c>
      <c r="V1689" s="61"/>
      <c r="W1689" s="61"/>
      <c r="X1689" s="61"/>
      <c r="Y1689" s="471"/>
      <c r="Z1689" s="471"/>
      <c r="AA1689" s="61"/>
      <c r="AB1689" s="61"/>
    </row>
    <row r="1690" spans="1:28" s="2" customFormat="1" ht="15">
      <c r="A1690" s="61" t="s">
        <v>2286</v>
      </c>
      <c r="B1690" s="61" t="s">
        <v>1317</v>
      </c>
      <c r="C1690" s="61" t="s">
        <v>5210</v>
      </c>
      <c r="D1690" s="61" t="s">
        <v>7838</v>
      </c>
      <c r="E1690" s="61">
        <v>2793</v>
      </c>
      <c r="F1690" s="61">
        <v>2868</v>
      </c>
      <c r="G1690" s="61"/>
      <c r="H1690" s="61"/>
      <c r="I1690" s="61" t="s">
        <v>29</v>
      </c>
      <c r="J1690" s="61"/>
      <c r="K1690" s="61" t="s">
        <v>212</v>
      </c>
      <c r="L1690" s="61"/>
      <c r="M1690" s="61"/>
      <c r="N1690" s="61"/>
      <c r="O1690" s="61"/>
      <c r="P1690" s="61"/>
      <c r="Q1690" s="61"/>
      <c r="R1690" s="61" t="str">
        <f t="shared" si="120"/>
        <v/>
      </c>
      <c r="S1690" s="61" t="str">
        <f t="shared" si="121"/>
        <v/>
      </c>
      <c r="T1690" s="61" t="str">
        <f t="shared" si="119"/>
        <v/>
      </c>
      <c r="U1690" s="61" t="str">
        <f t="shared" si="122"/>
        <v/>
      </c>
      <c r="V1690" s="61"/>
      <c r="W1690" s="61"/>
      <c r="X1690" s="61"/>
      <c r="Y1690" s="471"/>
      <c r="Z1690" s="471"/>
      <c r="AA1690" s="61"/>
      <c r="AB1690" s="61"/>
    </row>
    <row r="1691" spans="1:28" s="2" customFormat="1" ht="15">
      <c r="A1691" s="61" t="s">
        <v>2286</v>
      </c>
      <c r="B1691" s="61" t="s">
        <v>1317</v>
      </c>
      <c r="C1691" s="61" t="s">
        <v>5211</v>
      </c>
      <c r="D1691" s="61" t="s">
        <v>7838</v>
      </c>
      <c r="E1691" s="61">
        <v>1264</v>
      </c>
      <c r="F1691" s="61">
        <v>1259</v>
      </c>
      <c r="G1691" s="61"/>
      <c r="H1691" s="61"/>
      <c r="I1691" s="61" t="s">
        <v>29</v>
      </c>
      <c r="J1691" s="61"/>
      <c r="K1691" s="61" t="s">
        <v>212</v>
      </c>
      <c r="L1691" s="61"/>
      <c r="M1691" s="61"/>
      <c r="N1691" s="61"/>
      <c r="O1691" s="61"/>
      <c r="P1691" s="61"/>
      <c r="Q1691" s="61"/>
      <c r="R1691" s="61" t="str">
        <f t="shared" si="120"/>
        <v/>
      </c>
      <c r="S1691" s="61" t="str">
        <f t="shared" si="121"/>
        <v/>
      </c>
      <c r="T1691" s="61" t="str">
        <f t="shared" si="119"/>
        <v/>
      </c>
      <c r="U1691" s="61" t="str">
        <f t="shared" si="122"/>
        <v/>
      </c>
      <c r="V1691" s="61"/>
      <c r="W1691" s="61"/>
      <c r="X1691" s="61"/>
      <c r="Y1691" s="471"/>
      <c r="Z1691" s="471"/>
      <c r="AA1691" s="61"/>
      <c r="AB1691" s="61"/>
    </row>
    <row r="1692" spans="1:28" s="2" customFormat="1" ht="15">
      <c r="A1692" s="61" t="s">
        <v>2286</v>
      </c>
      <c r="B1692" s="61" t="s">
        <v>1317</v>
      </c>
      <c r="C1692" s="61" t="s">
        <v>4531</v>
      </c>
      <c r="D1692" s="61" t="s">
        <v>7838</v>
      </c>
      <c r="E1692" s="61">
        <v>1201</v>
      </c>
      <c r="F1692" s="61">
        <v>1305</v>
      </c>
      <c r="G1692" s="61"/>
      <c r="H1692" s="61"/>
      <c r="I1692" s="61" t="s">
        <v>29</v>
      </c>
      <c r="J1692" s="61"/>
      <c r="K1692" s="61" t="s">
        <v>212</v>
      </c>
      <c r="L1692" s="61"/>
      <c r="M1692" s="61"/>
      <c r="N1692" s="61"/>
      <c r="O1692" s="61"/>
      <c r="P1692" s="61"/>
      <c r="Q1692" s="61"/>
      <c r="R1692" s="61" t="str">
        <f t="shared" si="120"/>
        <v/>
      </c>
      <c r="S1692" s="61" t="str">
        <f t="shared" si="121"/>
        <v/>
      </c>
      <c r="T1692" s="61" t="str">
        <f t="shared" si="119"/>
        <v/>
      </c>
      <c r="U1692" s="61" t="str">
        <f t="shared" si="122"/>
        <v/>
      </c>
      <c r="V1692" s="61"/>
      <c r="W1692" s="61"/>
      <c r="X1692" s="61"/>
      <c r="Y1692" s="471"/>
      <c r="Z1692" s="471"/>
      <c r="AA1692" s="61"/>
      <c r="AB1692" s="61"/>
    </row>
    <row r="1693" spans="1:28" s="2" customFormat="1" ht="15">
      <c r="A1693" s="61" t="s">
        <v>2286</v>
      </c>
      <c r="B1693" s="61" t="s">
        <v>1317</v>
      </c>
      <c r="C1693" s="61" t="s">
        <v>1318</v>
      </c>
      <c r="D1693" s="61" t="s">
        <v>7838</v>
      </c>
      <c r="E1693" s="61">
        <v>2650</v>
      </c>
      <c r="F1693" s="61">
        <v>2822</v>
      </c>
      <c r="G1693" s="61"/>
      <c r="H1693" s="61"/>
      <c r="I1693" s="61" t="s">
        <v>29</v>
      </c>
      <c r="J1693" s="61" t="s">
        <v>2289</v>
      </c>
      <c r="K1693" s="61" t="s">
        <v>212</v>
      </c>
      <c r="L1693" s="61"/>
      <c r="M1693" s="475"/>
      <c r="N1693" s="475"/>
      <c r="O1693" s="475"/>
      <c r="P1693" s="61"/>
      <c r="Q1693" s="61"/>
      <c r="R1693" s="61" t="str">
        <f t="shared" si="120"/>
        <v/>
      </c>
      <c r="S1693" s="61" t="str">
        <f t="shared" si="121"/>
        <v/>
      </c>
      <c r="T1693" s="61" t="str">
        <f t="shared" si="119"/>
        <v/>
      </c>
      <c r="U1693" s="61" t="str">
        <f t="shared" si="122"/>
        <v/>
      </c>
      <c r="V1693" s="61"/>
      <c r="W1693" s="61"/>
      <c r="X1693" s="61"/>
      <c r="Y1693" s="471"/>
      <c r="Z1693" s="471"/>
      <c r="AA1693" s="61"/>
      <c r="AB1693" s="61"/>
    </row>
    <row r="1694" spans="1:28" s="2" customFormat="1" ht="15">
      <c r="A1694" s="61" t="s">
        <v>2286</v>
      </c>
      <c r="B1694" s="61" t="s">
        <v>1317</v>
      </c>
      <c r="C1694" s="61" t="s">
        <v>5222</v>
      </c>
      <c r="D1694" s="61" t="s">
        <v>7838</v>
      </c>
      <c r="E1694" s="61">
        <v>2985</v>
      </c>
      <c r="F1694" s="61">
        <v>3151</v>
      </c>
      <c r="G1694" s="61"/>
      <c r="H1694" s="61"/>
      <c r="I1694" s="61" t="s">
        <v>29</v>
      </c>
      <c r="J1694" s="61"/>
      <c r="K1694" s="61" t="s">
        <v>212</v>
      </c>
      <c r="L1694" s="61"/>
      <c r="M1694" s="61"/>
      <c r="N1694" s="61"/>
      <c r="O1694" s="61"/>
      <c r="P1694" s="61"/>
      <c r="Q1694" s="61"/>
      <c r="R1694" s="61" t="str">
        <f t="shared" si="120"/>
        <v/>
      </c>
      <c r="S1694" s="61" t="str">
        <f t="shared" si="121"/>
        <v/>
      </c>
      <c r="T1694" s="61" t="str">
        <f t="shared" si="119"/>
        <v/>
      </c>
      <c r="U1694" s="61" t="str">
        <f t="shared" si="122"/>
        <v/>
      </c>
      <c r="V1694" s="61"/>
      <c r="W1694" s="61"/>
      <c r="X1694" s="61"/>
      <c r="Y1694" s="471"/>
      <c r="Z1694" s="471"/>
      <c r="AA1694" s="61"/>
      <c r="AB1694" s="61"/>
    </row>
    <row r="1695" spans="1:28" s="2" customFormat="1" ht="15">
      <c r="A1695" s="61" t="s">
        <v>2286</v>
      </c>
      <c r="B1695" s="61" t="s">
        <v>1317</v>
      </c>
      <c r="C1695" s="61" t="s">
        <v>5223</v>
      </c>
      <c r="D1695" s="61" t="s">
        <v>7838</v>
      </c>
      <c r="E1695" s="61">
        <v>2205</v>
      </c>
      <c r="F1695" s="61">
        <v>2452</v>
      </c>
      <c r="G1695" s="61"/>
      <c r="H1695" s="61"/>
      <c r="I1695" s="61" t="s">
        <v>29</v>
      </c>
      <c r="J1695" s="61"/>
      <c r="K1695" s="61" t="s">
        <v>212</v>
      </c>
      <c r="L1695" s="61"/>
      <c r="M1695" s="61"/>
      <c r="N1695" s="61"/>
      <c r="O1695" s="61"/>
      <c r="P1695" s="61"/>
      <c r="Q1695" s="61"/>
      <c r="R1695" s="61" t="str">
        <f t="shared" si="120"/>
        <v/>
      </c>
      <c r="S1695" s="61" t="str">
        <f t="shared" si="121"/>
        <v/>
      </c>
      <c r="T1695" s="61" t="str">
        <f t="shared" si="119"/>
        <v/>
      </c>
      <c r="U1695" s="61" t="str">
        <f t="shared" si="122"/>
        <v/>
      </c>
      <c r="V1695" s="61"/>
      <c r="W1695" s="61"/>
      <c r="X1695" s="61"/>
      <c r="Y1695" s="471"/>
      <c r="Z1695" s="471"/>
      <c r="AA1695" s="61"/>
      <c r="AB1695" s="61"/>
    </row>
    <row r="1696" spans="1:28" s="2" customFormat="1" ht="15">
      <c r="A1696" s="61" t="s">
        <v>2286</v>
      </c>
      <c r="B1696" s="61" t="s">
        <v>1317</v>
      </c>
      <c r="C1696" s="61" t="s">
        <v>1245</v>
      </c>
      <c r="D1696" s="61" t="s">
        <v>7838</v>
      </c>
      <c r="E1696" s="61">
        <v>4643</v>
      </c>
      <c r="F1696" s="61">
        <v>4656</v>
      </c>
      <c r="G1696" s="61"/>
      <c r="H1696" s="61"/>
      <c r="I1696" s="61" t="s">
        <v>29</v>
      </c>
      <c r="J1696" s="61"/>
      <c r="K1696" s="61" t="s">
        <v>212</v>
      </c>
      <c r="L1696" s="61"/>
      <c r="M1696" s="61"/>
      <c r="N1696" s="61"/>
      <c r="O1696" s="61"/>
      <c r="P1696" s="61"/>
      <c r="Q1696" s="61"/>
      <c r="R1696" s="61" t="str">
        <f t="shared" si="120"/>
        <v/>
      </c>
      <c r="S1696" s="61" t="str">
        <f t="shared" si="121"/>
        <v/>
      </c>
      <c r="T1696" s="61" t="str">
        <f t="shared" si="119"/>
        <v/>
      </c>
      <c r="U1696" s="61" t="str">
        <f t="shared" si="122"/>
        <v/>
      </c>
      <c r="V1696" s="61"/>
      <c r="W1696" s="61"/>
      <c r="X1696" s="61"/>
      <c r="Y1696" s="471"/>
      <c r="Z1696" s="471"/>
      <c r="AA1696" s="61"/>
      <c r="AB1696" s="61"/>
    </row>
    <row r="1697" spans="1:28" s="2" customFormat="1" ht="15">
      <c r="A1697" s="61" t="s">
        <v>2286</v>
      </c>
      <c r="B1697" s="61" t="s">
        <v>1317</v>
      </c>
      <c r="C1697" s="61" t="s">
        <v>4985</v>
      </c>
      <c r="D1697" s="61" t="s">
        <v>7838</v>
      </c>
      <c r="E1697" s="61">
        <v>575</v>
      </c>
      <c r="F1697" s="61">
        <v>627</v>
      </c>
      <c r="G1697" s="61"/>
      <c r="H1697" s="61"/>
      <c r="I1697" s="61" t="s">
        <v>29</v>
      </c>
      <c r="J1697" s="61"/>
      <c r="K1697" s="61" t="s">
        <v>212</v>
      </c>
      <c r="L1697" s="61"/>
      <c r="M1697" s="61"/>
      <c r="N1697" s="61"/>
      <c r="O1697" s="61"/>
      <c r="P1697" s="61"/>
      <c r="Q1697" s="61"/>
      <c r="R1697" s="61" t="str">
        <f t="shared" si="120"/>
        <v/>
      </c>
      <c r="S1697" s="61" t="str">
        <f t="shared" si="121"/>
        <v/>
      </c>
      <c r="T1697" s="61" t="str">
        <f t="shared" si="119"/>
        <v/>
      </c>
      <c r="U1697" s="61" t="str">
        <f t="shared" si="122"/>
        <v/>
      </c>
      <c r="V1697" s="61"/>
      <c r="W1697" s="61"/>
      <c r="X1697" s="61"/>
      <c r="Y1697" s="471"/>
      <c r="Z1697" s="471"/>
      <c r="AA1697" s="61"/>
      <c r="AB1697" s="61"/>
    </row>
    <row r="1698" spans="1:28" s="474" customFormat="1">
      <c r="A1698" s="61" t="s">
        <v>2286</v>
      </c>
      <c r="B1698" s="61" t="s">
        <v>1317</v>
      </c>
      <c r="C1698" s="61" t="s">
        <v>5229</v>
      </c>
      <c r="D1698" s="61" t="s">
        <v>7838</v>
      </c>
      <c r="E1698" s="61">
        <v>972</v>
      </c>
      <c r="F1698" s="61">
        <v>1093</v>
      </c>
      <c r="G1698" s="61"/>
      <c r="H1698" s="61"/>
      <c r="I1698" s="61" t="s">
        <v>29</v>
      </c>
      <c r="J1698" s="61"/>
      <c r="K1698" s="61" t="s">
        <v>212</v>
      </c>
      <c r="L1698" s="61"/>
      <c r="M1698" s="61"/>
      <c r="N1698" s="61"/>
      <c r="O1698" s="61"/>
      <c r="P1698" s="61"/>
      <c r="Q1698" s="61"/>
      <c r="R1698" s="61" t="str">
        <f t="shared" si="120"/>
        <v/>
      </c>
      <c r="S1698" s="61" t="str">
        <f t="shared" si="121"/>
        <v/>
      </c>
      <c r="T1698" s="61" t="str">
        <f t="shared" si="119"/>
        <v/>
      </c>
      <c r="U1698" s="61" t="str">
        <f t="shared" si="122"/>
        <v/>
      </c>
      <c r="V1698" s="61"/>
      <c r="W1698" s="61"/>
      <c r="X1698" s="61"/>
      <c r="Y1698" s="471"/>
      <c r="Z1698" s="471"/>
      <c r="AA1698" s="61"/>
      <c r="AB1698" s="61"/>
    </row>
    <row r="1699" spans="1:28" s="2" customFormat="1" ht="15">
      <c r="A1699" s="61" t="s">
        <v>2286</v>
      </c>
      <c r="B1699" s="61" t="s">
        <v>1317</v>
      </c>
      <c r="C1699" s="61" t="s">
        <v>4874</v>
      </c>
      <c r="D1699" s="61" t="s">
        <v>7838</v>
      </c>
      <c r="E1699" s="61">
        <v>586</v>
      </c>
      <c r="F1699" s="61">
        <v>584</v>
      </c>
      <c r="G1699" s="61"/>
      <c r="H1699" s="61"/>
      <c r="I1699" s="61" t="s">
        <v>29</v>
      </c>
      <c r="J1699" s="61"/>
      <c r="K1699" s="61" t="s">
        <v>212</v>
      </c>
      <c r="L1699" s="61"/>
      <c r="M1699" s="61"/>
      <c r="N1699" s="61"/>
      <c r="O1699" s="61"/>
      <c r="P1699" s="61"/>
      <c r="Q1699" s="61"/>
      <c r="R1699" s="61" t="str">
        <f t="shared" si="120"/>
        <v/>
      </c>
      <c r="S1699" s="61" t="str">
        <f t="shared" si="121"/>
        <v/>
      </c>
      <c r="T1699" s="61" t="str">
        <f t="shared" si="119"/>
        <v/>
      </c>
      <c r="U1699" s="61" t="str">
        <f t="shared" si="122"/>
        <v/>
      </c>
      <c r="V1699" s="61"/>
      <c r="W1699" s="61"/>
      <c r="X1699" s="61"/>
      <c r="Y1699" s="471"/>
      <c r="Z1699" s="471"/>
      <c r="AA1699" s="61"/>
      <c r="AB1699" s="61"/>
    </row>
    <row r="1700" spans="1:28" s="2" customFormat="1" ht="15">
      <c r="A1700" s="61" t="s">
        <v>2286</v>
      </c>
      <c r="B1700" s="61" t="s">
        <v>1317</v>
      </c>
      <c r="C1700" s="61" t="s">
        <v>5230</v>
      </c>
      <c r="D1700" s="61" t="s">
        <v>7838</v>
      </c>
      <c r="E1700" s="61">
        <v>2777</v>
      </c>
      <c r="F1700" s="61">
        <v>2987</v>
      </c>
      <c r="G1700" s="61"/>
      <c r="H1700" s="61"/>
      <c r="I1700" s="61" t="s">
        <v>29</v>
      </c>
      <c r="J1700" s="61"/>
      <c r="K1700" s="61" t="s">
        <v>212</v>
      </c>
      <c r="L1700" s="61"/>
      <c r="M1700" s="61"/>
      <c r="N1700" s="61"/>
      <c r="O1700" s="61"/>
      <c r="P1700" s="61"/>
      <c r="Q1700" s="61"/>
      <c r="R1700" s="61" t="str">
        <f t="shared" si="120"/>
        <v/>
      </c>
      <c r="S1700" s="61" t="str">
        <f t="shared" si="121"/>
        <v/>
      </c>
      <c r="T1700" s="61" t="str">
        <f t="shared" si="119"/>
        <v/>
      </c>
      <c r="U1700" s="61" t="str">
        <f t="shared" si="122"/>
        <v/>
      </c>
      <c r="V1700" s="61"/>
      <c r="W1700" s="61"/>
      <c r="X1700" s="61"/>
      <c r="Y1700" s="471"/>
      <c r="Z1700" s="471"/>
      <c r="AA1700" s="61"/>
      <c r="AB1700" s="61"/>
    </row>
    <row r="1701" spans="1:28" s="2" customFormat="1" ht="15">
      <c r="A1701" s="61" t="s">
        <v>2286</v>
      </c>
      <c r="B1701" s="61" t="s">
        <v>1317</v>
      </c>
      <c r="C1701" s="61" t="s">
        <v>5231</v>
      </c>
      <c r="D1701" s="61" t="s">
        <v>7838</v>
      </c>
      <c r="E1701" s="61">
        <v>963</v>
      </c>
      <c r="F1701" s="61">
        <v>990</v>
      </c>
      <c r="G1701" s="61"/>
      <c r="H1701" s="61"/>
      <c r="I1701" s="61" t="s">
        <v>29</v>
      </c>
      <c r="J1701" s="61"/>
      <c r="K1701" s="61" t="s">
        <v>212</v>
      </c>
      <c r="L1701" s="61"/>
      <c r="M1701" s="61"/>
      <c r="N1701" s="61"/>
      <c r="O1701" s="61"/>
      <c r="P1701" s="61"/>
      <c r="Q1701" s="61"/>
      <c r="R1701" s="61" t="str">
        <f t="shared" si="120"/>
        <v/>
      </c>
      <c r="S1701" s="61" t="str">
        <f t="shared" si="121"/>
        <v/>
      </c>
      <c r="T1701" s="61" t="str">
        <f t="shared" si="119"/>
        <v/>
      </c>
      <c r="U1701" s="61" t="str">
        <f t="shared" si="122"/>
        <v/>
      </c>
      <c r="V1701" s="61"/>
      <c r="W1701" s="61"/>
      <c r="X1701" s="61"/>
      <c r="Y1701" s="471"/>
      <c r="Z1701" s="471"/>
      <c r="AA1701" s="61"/>
      <c r="AB1701" s="61"/>
    </row>
    <row r="1702" spans="1:28" s="2" customFormat="1" ht="15">
      <c r="A1702" s="61" t="s">
        <v>2286</v>
      </c>
      <c r="B1702" s="61" t="s">
        <v>1317</v>
      </c>
      <c r="C1702" s="61" t="s">
        <v>1286</v>
      </c>
      <c r="D1702" s="61" t="s">
        <v>7838</v>
      </c>
      <c r="E1702" s="61">
        <v>2080</v>
      </c>
      <c r="F1702" s="61">
        <v>2006</v>
      </c>
      <c r="G1702" s="61"/>
      <c r="H1702" s="61"/>
      <c r="I1702" s="61" t="s">
        <v>29</v>
      </c>
      <c r="J1702" s="61" t="s">
        <v>2289</v>
      </c>
      <c r="K1702" s="61" t="s">
        <v>212</v>
      </c>
      <c r="L1702" s="61"/>
      <c r="M1702" s="475"/>
      <c r="N1702" s="475"/>
      <c r="O1702" s="475"/>
      <c r="P1702" s="61"/>
      <c r="Q1702" s="61"/>
      <c r="R1702" s="61" t="str">
        <f t="shared" si="120"/>
        <v/>
      </c>
      <c r="S1702" s="61" t="str">
        <f t="shared" si="121"/>
        <v/>
      </c>
      <c r="T1702" s="61" t="str">
        <f t="shared" si="119"/>
        <v/>
      </c>
      <c r="U1702" s="61" t="str">
        <f t="shared" si="122"/>
        <v/>
      </c>
      <c r="V1702" s="61"/>
      <c r="W1702" s="61"/>
      <c r="X1702" s="61"/>
      <c r="Y1702" s="471"/>
      <c r="Z1702" s="471"/>
      <c r="AA1702" s="61"/>
      <c r="AB1702" s="61"/>
    </row>
    <row r="1703" spans="1:28" s="2" customFormat="1" ht="15">
      <c r="A1703" s="61" t="s">
        <v>2286</v>
      </c>
      <c r="B1703" s="61" t="s">
        <v>1317</v>
      </c>
      <c r="C1703" s="61" t="s">
        <v>4830</v>
      </c>
      <c r="D1703" s="61" t="s">
        <v>7838</v>
      </c>
      <c r="E1703" s="61">
        <v>4085</v>
      </c>
      <c r="F1703" s="61">
        <v>3247</v>
      </c>
      <c r="G1703" s="61"/>
      <c r="H1703" s="61"/>
      <c r="I1703" s="61" t="s">
        <v>29</v>
      </c>
      <c r="J1703" s="61"/>
      <c r="K1703" s="61" t="s">
        <v>212</v>
      </c>
      <c r="L1703" s="61"/>
      <c r="M1703" s="61"/>
      <c r="N1703" s="61"/>
      <c r="O1703" s="61"/>
      <c r="P1703" s="61"/>
      <c r="Q1703" s="61"/>
      <c r="R1703" s="61" t="str">
        <f t="shared" si="120"/>
        <v/>
      </c>
      <c r="S1703" s="61" t="str">
        <f t="shared" si="121"/>
        <v/>
      </c>
      <c r="T1703" s="61" t="str">
        <f t="shared" si="119"/>
        <v/>
      </c>
      <c r="U1703" s="61" t="str">
        <f t="shared" si="122"/>
        <v/>
      </c>
      <c r="V1703" s="61"/>
      <c r="W1703" s="61"/>
      <c r="X1703" s="61"/>
      <c r="Y1703" s="471"/>
      <c r="Z1703" s="471"/>
      <c r="AA1703" s="61"/>
      <c r="AB1703" s="61"/>
    </row>
    <row r="1704" spans="1:28" s="2" customFormat="1" ht="15">
      <c r="A1704" s="61" t="s">
        <v>2286</v>
      </c>
      <c r="B1704" s="61" t="s">
        <v>1317</v>
      </c>
      <c r="C1704" s="61" t="s">
        <v>5233</v>
      </c>
      <c r="D1704" s="61" t="s">
        <v>7838</v>
      </c>
      <c r="E1704" s="61">
        <v>2139</v>
      </c>
      <c r="F1704" s="61">
        <v>2311</v>
      </c>
      <c r="G1704" s="61"/>
      <c r="H1704" s="61"/>
      <c r="I1704" s="61" t="s">
        <v>29</v>
      </c>
      <c r="J1704" s="61"/>
      <c r="K1704" s="61" t="s">
        <v>212</v>
      </c>
      <c r="L1704" s="61"/>
      <c r="M1704" s="61"/>
      <c r="N1704" s="61"/>
      <c r="O1704" s="61"/>
      <c r="P1704" s="61"/>
      <c r="Q1704" s="61"/>
      <c r="R1704" s="61" t="str">
        <f t="shared" si="120"/>
        <v/>
      </c>
      <c r="S1704" s="61" t="str">
        <f t="shared" si="121"/>
        <v/>
      </c>
      <c r="T1704" s="61" t="str">
        <f t="shared" si="119"/>
        <v/>
      </c>
      <c r="U1704" s="61" t="str">
        <f t="shared" si="122"/>
        <v/>
      </c>
      <c r="V1704" s="61"/>
      <c r="W1704" s="61"/>
      <c r="X1704" s="61"/>
      <c r="Y1704" s="471"/>
      <c r="Z1704" s="471"/>
      <c r="AA1704" s="61"/>
      <c r="AB1704" s="61"/>
    </row>
    <row r="1705" spans="1:28" s="2" customFormat="1" ht="15">
      <c r="A1705" s="61" t="s">
        <v>2286</v>
      </c>
      <c r="B1705" s="61" t="s">
        <v>1317</v>
      </c>
      <c r="C1705" s="61" t="s">
        <v>1299</v>
      </c>
      <c r="D1705" s="61" t="s">
        <v>7838</v>
      </c>
      <c r="E1705" s="61">
        <v>1640</v>
      </c>
      <c r="F1705" s="61">
        <v>1751</v>
      </c>
      <c r="G1705" s="61"/>
      <c r="H1705" s="61"/>
      <c r="I1705" s="61" t="s">
        <v>29</v>
      </c>
      <c r="J1705" s="61"/>
      <c r="K1705" s="61" t="s">
        <v>212</v>
      </c>
      <c r="L1705" s="61"/>
      <c r="M1705" s="61"/>
      <c r="N1705" s="61"/>
      <c r="O1705" s="61"/>
      <c r="P1705" s="61"/>
      <c r="Q1705" s="61"/>
      <c r="R1705" s="61" t="str">
        <f t="shared" si="120"/>
        <v/>
      </c>
      <c r="S1705" s="61" t="str">
        <f t="shared" si="121"/>
        <v/>
      </c>
      <c r="T1705" s="61" t="str">
        <f t="shared" si="119"/>
        <v/>
      </c>
      <c r="U1705" s="61" t="str">
        <f t="shared" si="122"/>
        <v/>
      </c>
      <c r="V1705" s="61"/>
      <c r="W1705" s="61"/>
      <c r="X1705" s="61"/>
      <c r="Y1705" s="471"/>
      <c r="Z1705" s="471"/>
      <c r="AA1705" s="61"/>
      <c r="AB1705" s="61"/>
    </row>
    <row r="1706" spans="1:28" s="2" customFormat="1" ht="15">
      <c r="A1706" s="61" t="s">
        <v>2286</v>
      </c>
      <c r="B1706" s="61" t="s">
        <v>1317</v>
      </c>
      <c r="C1706" s="61" t="s">
        <v>4882</v>
      </c>
      <c r="D1706" s="61" t="s">
        <v>7838</v>
      </c>
      <c r="E1706" s="61">
        <v>1667</v>
      </c>
      <c r="F1706" s="61">
        <v>1798</v>
      </c>
      <c r="G1706" s="61"/>
      <c r="H1706" s="61"/>
      <c r="I1706" s="61" t="s">
        <v>29</v>
      </c>
      <c r="J1706" s="61"/>
      <c r="K1706" s="61" t="s">
        <v>212</v>
      </c>
      <c r="L1706" s="61"/>
      <c r="M1706" s="61"/>
      <c r="N1706" s="61"/>
      <c r="O1706" s="61"/>
      <c r="P1706" s="61"/>
      <c r="Q1706" s="61"/>
      <c r="R1706" s="61" t="str">
        <f t="shared" si="120"/>
        <v/>
      </c>
      <c r="S1706" s="61" t="str">
        <f t="shared" si="121"/>
        <v/>
      </c>
      <c r="T1706" s="61" t="str">
        <f t="shared" si="119"/>
        <v/>
      </c>
      <c r="U1706" s="61" t="str">
        <f t="shared" si="122"/>
        <v/>
      </c>
      <c r="V1706" s="61"/>
      <c r="W1706" s="61"/>
      <c r="X1706" s="61"/>
      <c r="Y1706" s="471"/>
      <c r="Z1706" s="471"/>
      <c r="AA1706" s="61"/>
      <c r="AB1706" s="61"/>
    </row>
    <row r="1707" spans="1:28" s="2" customFormat="1" ht="15">
      <c r="A1707" s="61" t="s">
        <v>2286</v>
      </c>
      <c r="B1707" s="61" t="s">
        <v>1317</v>
      </c>
      <c r="C1707" s="61" t="s">
        <v>1225</v>
      </c>
      <c r="D1707" s="61" t="s">
        <v>7838</v>
      </c>
      <c r="E1707" s="61">
        <v>1973</v>
      </c>
      <c r="F1707" s="61">
        <v>2020</v>
      </c>
      <c r="G1707" s="61"/>
      <c r="H1707" s="61"/>
      <c r="I1707" s="61" t="s">
        <v>29</v>
      </c>
      <c r="J1707" s="61"/>
      <c r="K1707" s="61" t="s">
        <v>212</v>
      </c>
      <c r="L1707" s="61"/>
      <c r="M1707" s="61"/>
      <c r="N1707" s="61"/>
      <c r="O1707" s="61"/>
      <c r="P1707" s="61"/>
      <c r="Q1707" s="61"/>
      <c r="R1707" s="61" t="str">
        <f t="shared" si="120"/>
        <v/>
      </c>
      <c r="S1707" s="61" t="str">
        <f t="shared" si="121"/>
        <v/>
      </c>
      <c r="T1707" s="61" t="str">
        <f t="shared" si="119"/>
        <v/>
      </c>
      <c r="U1707" s="61" t="str">
        <f t="shared" si="122"/>
        <v/>
      </c>
      <c r="V1707" s="61"/>
      <c r="W1707" s="61"/>
      <c r="X1707" s="61"/>
      <c r="Y1707" s="471"/>
      <c r="Z1707" s="471"/>
      <c r="AA1707" s="61"/>
      <c r="AB1707" s="61"/>
    </row>
    <row r="1708" spans="1:28" s="2" customFormat="1" ht="15">
      <c r="A1708" s="61" t="s">
        <v>2286</v>
      </c>
      <c r="B1708" s="61" t="s">
        <v>1317</v>
      </c>
      <c r="C1708" s="61" t="s">
        <v>5242</v>
      </c>
      <c r="D1708" s="61" t="s">
        <v>7838</v>
      </c>
      <c r="E1708" s="61">
        <v>959</v>
      </c>
      <c r="F1708" s="61">
        <v>986</v>
      </c>
      <c r="G1708" s="61"/>
      <c r="H1708" s="61"/>
      <c r="I1708" s="61" t="s">
        <v>29</v>
      </c>
      <c r="J1708" s="61"/>
      <c r="K1708" s="61" t="s">
        <v>212</v>
      </c>
      <c r="L1708" s="61"/>
      <c r="M1708" s="61"/>
      <c r="N1708" s="61"/>
      <c r="O1708" s="61"/>
      <c r="P1708" s="61"/>
      <c r="Q1708" s="61"/>
      <c r="R1708" s="61" t="str">
        <f t="shared" si="120"/>
        <v/>
      </c>
      <c r="S1708" s="61" t="str">
        <f t="shared" si="121"/>
        <v/>
      </c>
      <c r="T1708" s="61" t="str">
        <f t="shared" si="119"/>
        <v/>
      </c>
      <c r="U1708" s="61" t="str">
        <f t="shared" si="122"/>
        <v/>
      </c>
      <c r="V1708" s="61"/>
      <c r="W1708" s="61"/>
      <c r="X1708" s="61"/>
      <c r="Y1708" s="471"/>
      <c r="Z1708" s="471"/>
      <c r="AA1708" s="61"/>
      <c r="AB1708" s="61"/>
    </row>
    <row r="1709" spans="1:28" s="2" customFormat="1" ht="15">
      <c r="A1709" s="61" t="s">
        <v>2286</v>
      </c>
      <c r="B1709" s="61" t="s">
        <v>1331</v>
      </c>
      <c r="C1709" s="61" t="s">
        <v>5243</v>
      </c>
      <c r="D1709" s="61" t="s">
        <v>7838</v>
      </c>
      <c r="E1709" s="61">
        <v>1781</v>
      </c>
      <c r="F1709" s="61">
        <v>2105</v>
      </c>
      <c r="G1709" s="61">
        <v>2025</v>
      </c>
      <c r="H1709" s="61" t="s">
        <v>3470</v>
      </c>
      <c r="I1709" s="61" t="s">
        <v>224</v>
      </c>
      <c r="J1709" s="61" t="s">
        <v>2289</v>
      </c>
      <c r="K1709" s="61" t="s">
        <v>212</v>
      </c>
      <c r="L1709" s="61" t="s">
        <v>8732</v>
      </c>
      <c r="M1709" s="475">
        <v>45762</v>
      </c>
      <c r="N1709" s="475">
        <v>45762</v>
      </c>
      <c r="O1709" s="475">
        <v>45768</v>
      </c>
      <c r="P1709" s="475">
        <v>45768</v>
      </c>
      <c r="Q1709" s="475">
        <v>45769</v>
      </c>
      <c r="R1709" s="61">
        <f t="shared" si="120"/>
        <v>1</v>
      </c>
      <c r="S1709" s="61">
        <f t="shared" si="121"/>
        <v>4</v>
      </c>
      <c r="T1709" s="61">
        <f t="shared" si="119"/>
        <v>1</v>
      </c>
      <c r="U1709" s="61">
        <f t="shared" si="122"/>
        <v>1</v>
      </c>
      <c r="V1709" s="61" t="s">
        <v>150</v>
      </c>
      <c r="W1709" s="61" t="s">
        <v>1078</v>
      </c>
      <c r="X1709" s="61" t="s">
        <v>50</v>
      </c>
      <c r="Y1709" s="471">
        <v>15.595700000000001</v>
      </c>
      <c r="Z1709" s="471">
        <v>120.9267</v>
      </c>
      <c r="AA1709" s="61" t="s">
        <v>2590</v>
      </c>
      <c r="AB1709" s="61"/>
    </row>
    <row r="1710" spans="1:28" s="2" customFormat="1" ht="15">
      <c r="A1710" s="61" t="s">
        <v>2286</v>
      </c>
      <c r="B1710" s="61" t="s">
        <v>1331</v>
      </c>
      <c r="C1710" s="61" t="s">
        <v>1332</v>
      </c>
      <c r="D1710" s="61" t="s">
        <v>7838</v>
      </c>
      <c r="E1710" s="61">
        <v>1691</v>
      </c>
      <c r="F1710" s="61">
        <v>1719</v>
      </c>
      <c r="G1710" s="61">
        <v>2025</v>
      </c>
      <c r="H1710" s="61" t="s">
        <v>3458</v>
      </c>
      <c r="I1710" s="61" t="s">
        <v>224</v>
      </c>
      <c r="J1710" s="61" t="s">
        <v>2289</v>
      </c>
      <c r="K1710" s="61" t="s">
        <v>212</v>
      </c>
      <c r="L1710" s="483" t="s">
        <v>8733</v>
      </c>
      <c r="M1710" s="475">
        <v>45693</v>
      </c>
      <c r="N1710" s="475">
        <v>45705</v>
      </c>
      <c r="O1710" s="475">
        <v>45706</v>
      </c>
      <c r="P1710" s="475">
        <v>45706</v>
      </c>
      <c r="Q1710" s="475">
        <v>45706</v>
      </c>
      <c r="R1710" s="61">
        <f t="shared" si="120"/>
        <v>8</v>
      </c>
      <c r="S1710" s="61">
        <f t="shared" si="121"/>
        <v>1</v>
      </c>
      <c r="T1710" s="61">
        <f t="shared" si="119"/>
        <v>1</v>
      </c>
      <c r="U1710" s="61">
        <f t="shared" si="122"/>
        <v>1</v>
      </c>
      <c r="V1710" s="61" t="s">
        <v>150</v>
      </c>
      <c r="W1710" s="61" t="s">
        <v>1078</v>
      </c>
      <c r="X1710" s="61" t="s">
        <v>50</v>
      </c>
      <c r="Y1710" s="473">
        <v>15.6349</v>
      </c>
      <c r="Z1710" s="471">
        <v>120.9</v>
      </c>
      <c r="AA1710" s="61" t="s">
        <v>2590</v>
      </c>
      <c r="AB1710" s="61"/>
    </row>
    <row r="1711" spans="1:28" s="2" customFormat="1" ht="15">
      <c r="A1711" s="61" t="s">
        <v>2286</v>
      </c>
      <c r="B1711" s="61" t="s">
        <v>1331</v>
      </c>
      <c r="C1711" s="61" t="s">
        <v>5245</v>
      </c>
      <c r="D1711" s="61" t="s">
        <v>7838</v>
      </c>
      <c r="E1711" s="61">
        <v>2612</v>
      </c>
      <c r="F1711" s="61">
        <v>2671</v>
      </c>
      <c r="G1711" s="61">
        <v>2025</v>
      </c>
      <c r="H1711" s="61" t="s">
        <v>3532</v>
      </c>
      <c r="I1711" s="61" t="s">
        <v>224</v>
      </c>
      <c r="J1711" s="61" t="s">
        <v>2289</v>
      </c>
      <c r="K1711" s="61" t="s">
        <v>212</v>
      </c>
      <c r="L1711" s="61" t="s">
        <v>8734</v>
      </c>
      <c r="M1711" s="475">
        <v>45790</v>
      </c>
      <c r="N1711" s="475">
        <v>45792</v>
      </c>
      <c r="O1711" s="477">
        <v>45793</v>
      </c>
      <c r="P1711" s="477">
        <v>45793</v>
      </c>
      <c r="Q1711" s="475">
        <v>45796</v>
      </c>
      <c r="R1711" s="61">
        <f t="shared" si="120"/>
        <v>2</v>
      </c>
      <c r="S1711" s="61">
        <f t="shared" si="121"/>
        <v>1</v>
      </c>
      <c r="T1711" s="61">
        <f t="shared" si="119"/>
        <v>1</v>
      </c>
      <c r="U1711" s="61">
        <f t="shared" si="122"/>
        <v>1</v>
      </c>
      <c r="V1711" s="61" t="s">
        <v>150</v>
      </c>
      <c r="W1711" s="61" t="s">
        <v>1078</v>
      </c>
      <c r="X1711" s="61" t="s">
        <v>50</v>
      </c>
      <c r="Y1711" s="471">
        <v>15.6869</v>
      </c>
      <c r="Z1711" s="471">
        <v>120.8929</v>
      </c>
      <c r="AA1711" s="61" t="s">
        <v>2590</v>
      </c>
      <c r="AB1711" s="61"/>
    </row>
    <row r="1712" spans="1:28" s="2" customFormat="1" ht="15">
      <c r="A1712" s="61" t="s">
        <v>2286</v>
      </c>
      <c r="B1712" s="61" t="s">
        <v>1331</v>
      </c>
      <c r="C1712" s="61" t="s">
        <v>5247</v>
      </c>
      <c r="D1712" s="61" t="s">
        <v>7838</v>
      </c>
      <c r="E1712" s="61">
        <v>4003</v>
      </c>
      <c r="F1712" s="61">
        <v>3724</v>
      </c>
      <c r="G1712" s="61">
        <v>2025</v>
      </c>
      <c r="H1712" s="61" t="s">
        <v>4933</v>
      </c>
      <c r="I1712" s="61" t="s">
        <v>224</v>
      </c>
      <c r="J1712" s="61" t="s">
        <v>2289</v>
      </c>
      <c r="K1712" s="61" t="s">
        <v>212</v>
      </c>
      <c r="L1712" s="61" t="s">
        <v>8735</v>
      </c>
      <c r="M1712" s="475">
        <v>45762</v>
      </c>
      <c r="N1712" s="475">
        <v>45773</v>
      </c>
      <c r="O1712" s="475">
        <v>45779</v>
      </c>
      <c r="P1712" s="475">
        <v>45782</v>
      </c>
      <c r="Q1712" s="475">
        <v>45791</v>
      </c>
      <c r="R1712" s="61">
        <f t="shared" si="120"/>
        <v>8</v>
      </c>
      <c r="S1712" s="61">
        <f t="shared" si="121"/>
        <v>4</v>
      </c>
      <c r="T1712" s="61">
        <f t="shared" si="119"/>
        <v>1</v>
      </c>
      <c r="U1712" s="61">
        <f t="shared" si="122"/>
        <v>7</v>
      </c>
      <c r="V1712" s="61" t="s">
        <v>150</v>
      </c>
      <c r="W1712" s="61" t="s">
        <v>1078</v>
      </c>
      <c r="X1712" s="61" t="s">
        <v>50</v>
      </c>
      <c r="Y1712" s="471">
        <v>15.6974</v>
      </c>
      <c r="Z1712" s="471">
        <v>120.8993</v>
      </c>
      <c r="AA1712" s="61" t="s">
        <v>2590</v>
      </c>
      <c r="AB1712" s="61"/>
    </row>
    <row r="1713" spans="1:28" s="2" customFormat="1" ht="15">
      <c r="A1713" s="61" t="s">
        <v>2286</v>
      </c>
      <c r="B1713" s="61" t="s">
        <v>1331</v>
      </c>
      <c r="C1713" s="61" t="s">
        <v>5252</v>
      </c>
      <c r="D1713" s="61" t="s">
        <v>7838</v>
      </c>
      <c r="E1713" s="61">
        <v>1585</v>
      </c>
      <c r="F1713" s="61">
        <v>1651</v>
      </c>
      <c r="G1713" s="61">
        <v>2025</v>
      </c>
      <c r="H1713" s="61" t="s">
        <v>3689</v>
      </c>
      <c r="I1713" s="61" t="s">
        <v>224</v>
      </c>
      <c r="J1713" s="61" t="s">
        <v>2289</v>
      </c>
      <c r="K1713" s="61" t="s">
        <v>212</v>
      </c>
      <c r="L1713" s="61" t="s">
        <v>8736</v>
      </c>
      <c r="M1713" s="475">
        <v>45825</v>
      </c>
      <c r="N1713" s="475">
        <v>45826</v>
      </c>
      <c r="O1713" s="475">
        <v>45826</v>
      </c>
      <c r="P1713" s="475">
        <v>45826</v>
      </c>
      <c r="Q1713" s="475">
        <v>45827</v>
      </c>
      <c r="R1713" s="61">
        <f t="shared" si="120"/>
        <v>1</v>
      </c>
      <c r="S1713" s="61">
        <f t="shared" si="121"/>
        <v>1</v>
      </c>
      <c r="T1713" s="61">
        <f t="shared" si="119"/>
        <v>1</v>
      </c>
      <c r="U1713" s="61">
        <f t="shared" si="122"/>
        <v>1</v>
      </c>
      <c r="V1713" s="61" t="s">
        <v>150</v>
      </c>
      <c r="W1713" s="61" t="s">
        <v>1078</v>
      </c>
      <c r="X1713" s="61" t="s">
        <v>50</v>
      </c>
      <c r="Y1713" s="471">
        <v>15.614000000000001</v>
      </c>
      <c r="Z1713" s="471">
        <v>120.9466</v>
      </c>
      <c r="AA1713" s="61" t="s">
        <v>2590</v>
      </c>
      <c r="AB1713" s="61"/>
    </row>
    <row r="1714" spans="1:28" s="2" customFormat="1" ht="15">
      <c r="A1714" s="61" t="s">
        <v>2286</v>
      </c>
      <c r="B1714" s="61" t="s">
        <v>1331</v>
      </c>
      <c r="C1714" s="61" t="s">
        <v>5255</v>
      </c>
      <c r="D1714" s="61" t="s">
        <v>7838</v>
      </c>
      <c r="E1714" s="61">
        <v>1083</v>
      </c>
      <c r="F1714" s="61">
        <v>1110</v>
      </c>
      <c r="G1714" s="61">
        <v>2025</v>
      </c>
      <c r="H1714" s="61" t="s">
        <v>3689</v>
      </c>
      <c r="I1714" s="61" t="s">
        <v>224</v>
      </c>
      <c r="J1714" s="61" t="s">
        <v>2289</v>
      </c>
      <c r="K1714" s="61" t="s">
        <v>212</v>
      </c>
      <c r="L1714" s="61" t="s">
        <v>8737</v>
      </c>
      <c r="M1714" s="475">
        <v>45825</v>
      </c>
      <c r="N1714" s="475">
        <v>45826</v>
      </c>
      <c r="O1714" s="475">
        <v>45826</v>
      </c>
      <c r="P1714" s="475">
        <v>45826</v>
      </c>
      <c r="Q1714" s="475">
        <v>45827</v>
      </c>
      <c r="R1714" s="61">
        <f t="shared" si="120"/>
        <v>1</v>
      </c>
      <c r="S1714" s="61">
        <f t="shared" si="121"/>
        <v>1</v>
      </c>
      <c r="T1714" s="61">
        <f t="shared" si="119"/>
        <v>1</v>
      </c>
      <c r="U1714" s="61">
        <f t="shared" si="122"/>
        <v>1</v>
      </c>
      <c r="V1714" s="61" t="s">
        <v>150</v>
      </c>
      <c r="W1714" s="61" t="s">
        <v>1078</v>
      </c>
      <c r="X1714" s="61" t="s">
        <v>50</v>
      </c>
      <c r="Y1714" s="485">
        <v>15.615500000000001</v>
      </c>
      <c r="Z1714" s="485">
        <v>120.9564</v>
      </c>
      <c r="AA1714" s="61" t="s">
        <v>2590</v>
      </c>
      <c r="AB1714" s="61"/>
    </row>
    <row r="1715" spans="1:28" s="2" customFormat="1" ht="15">
      <c r="A1715" s="61" t="s">
        <v>2286</v>
      </c>
      <c r="B1715" s="61" t="s">
        <v>1331</v>
      </c>
      <c r="C1715" s="61" t="s">
        <v>5260</v>
      </c>
      <c r="D1715" s="61" t="s">
        <v>7838</v>
      </c>
      <c r="E1715" s="61">
        <v>5208</v>
      </c>
      <c r="F1715" s="61">
        <v>5013</v>
      </c>
      <c r="G1715" s="61">
        <v>2025</v>
      </c>
      <c r="H1715" s="61" t="s">
        <v>3470</v>
      </c>
      <c r="I1715" s="61" t="s">
        <v>224</v>
      </c>
      <c r="J1715" s="61"/>
      <c r="K1715" s="61" t="s">
        <v>212</v>
      </c>
      <c r="L1715" s="61" t="s">
        <v>8738</v>
      </c>
      <c r="M1715" s="475">
        <v>45762</v>
      </c>
      <c r="N1715" s="475">
        <v>45768</v>
      </c>
      <c r="O1715" s="475">
        <v>45769</v>
      </c>
      <c r="P1715" s="475">
        <v>45769</v>
      </c>
      <c r="Q1715" s="475">
        <v>45769</v>
      </c>
      <c r="R1715" s="61">
        <f t="shared" si="120"/>
        <v>4</v>
      </c>
      <c r="S1715" s="61">
        <f t="shared" si="121"/>
        <v>1</v>
      </c>
      <c r="T1715" s="61">
        <f t="shared" si="119"/>
        <v>1</v>
      </c>
      <c r="U1715" s="61">
        <f t="shared" si="122"/>
        <v>1</v>
      </c>
      <c r="V1715" s="61" t="s">
        <v>150</v>
      </c>
      <c r="W1715" s="61" t="s">
        <v>1078</v>
      </c>
      <c r="X1715" s="61" t="s">
        <v>50</v>
      </c>
      <c r="Y1715" s="471">
        <v>15.6065</v>
      </c>
      <c r="Z1715" s="471">
        <v>120.9383</v>
      </c>
      <c r="AA1715" s="61" t="s">
        <v>2590</v>
      </c>
      <c r="AB1715" s="61"/>
    </row>
    <row r="1716" spans="1:28" s="2" customFormat="1" ht="15">
      <c r="A1716" s="61" t="s">
        <v>2286</v>
      </c>
      <c r="B1716" s="61" t="s">
        <v>1331</v>
      </c>
      <c r="C1716" s="61" t="s">
        <v>5265</v>
      </c>
      <c r="D1716" s="61" t="s">
        <v>7838</v>
      </c>
      <c r="E1716" s="61">
        <v>1822</v>
      </c>
      <c r="F1716" s="61">
        <v>1960</v>
      </c>
      <c r="G1716" s="61">
        <v>2025</v>
      </c>
      <c r="H1716" s="61" t="s">
        <v>3125</v>
      </c>
      <c r="I1716" s="61" t="s">
        <v>224</v>
      </c>
      <c r="J1716" s="61" t="s">
        <v>2289</v>
      </c>
      <c r="K1716" s="61" t="s">
        <v>212</v>
      </c>
      <c r="L1716" s="61" t="s">
        <v>8739</v>
      </c>
      <c r="M1716" s="475">
        <v>45846</v>
      </c>
      <c r="N1716" s="475">
        <v>45850</v>
      </c>
      <c r="O1716" s="475">
        <v>45852</v>
      </c>
      <c r="P1716" s="475">
        <v>45852</v>
      </c>
      <c r="Q1716" s="475">
        <v>45854</v>
      </c>
      <c r="R1716" s="61">
        <f t="shared" si="120"/>
        <v>3</v>
      </c>
      <c r="S1716" s="61">
        <f t="shared" si="121"/>
        <v>1</v>
      </c>
      <c r="T1716" s="61">
        <f t="shared" si="119"/>
        <v>1</v>
      </c>
      <c r="U1716" s="61">
        <f t="shared" si="122"/>
        <v>2</v>
      </c>
      <c r="V1716" s="61" t="s">
        <v>150</v>
      </c>
      <c r="W1716" s="61" t="s">
        <v>1078</v>
      </c>
      <c r="X1716" s="61" t="s">
        <v>50</v>
      </c>
      <c r="Y1716" s="61">
        <v>15.639699999999999</v>
      </c>
      <c r="Z1716" s="61">
        <v>120.9529</v>
      </c>
      <c r="AA1716" s="61" t="s">
        <v>2590</v>
      </c>
      <c r="AB1716" s="61"/>
    </row>
    <row r="1717" spans="1:28" s="2" customFormat="1" ht="15">
      <c r="A1717" s="61" t="s">
        <v>2286</v>
      </c>
      <c r="B1717" s="61" t="s">
        <v>1331</v>
      </c>
      <c r="C1717" s="61" t="s">
        <v>5270</v>
      </c>
      <c r="D1717" s="61" t="s">
        <v>7838</v>
      </c>
      <c r="E1717" s="61">
        <v>1210</v>
      </c>
      <c r="F1717" s="61">
        <v>1302</v>
      </c>
      <c r="G1717" s="61">
        <v>2025</v>
      </c>
      <c r="H1717" s="61" t="s">
        <v>3470</v>
      </c>
      <c r="I1717" s="61" t="s">
        <v>224</v>
      </c>
      <c r="J1717" s="61" t="s">
        <v>2289</v>
      </c>
      <c r="K1717" s="61" t="s">
        <v>212</v>
      </c>
      <c r="L1717" s="61" t="s">
        <v>8740</v>
      </c>
      <c r="M1717" s="475">
        <v>45755</v>
      </c>
      <c r="N1717" s="475">
        <v>45756</v>
      </c>
      <c r="O1717" s="475">
        <v>45757</v>
      </c>
      <c r="P1717" s="475">
        <v>45757</v>
      </c>
      <c r="Q1717" s="475">
        <v>45757</v>
      </c>
      <c r="R1717" s="61">
        <f t="shared" si="120"/>
        <v>1</v>
      </c>
      <c r="S1717" s="61">
        <f t="shared" si="121"/>
        <v>1</v>
      </c>
      <c r="T1717" s="61">
        <f t="shared" si="119"/>
        <v>1</v>
      </c>
      <c r="U1717" s="61">
        <f t="shared" si="122"/>
        <v>1</v>
      </c>
      <c r="V1717" s="61" t="s">
        <v>150</v>
      </c>
      <c r="W1717" s="61" t="s">
        <v>1078</v>
      </c>
      <c r="X1717" s="61" t="s">
        <v>50</v>
      </c>
      <c r="Y1717" s="486">
        <v>15.557499999999999</v>
      </c>
      <c r="Z1717" s="486">
        <v>120.92610000000001</v>
      </c>
      <c r="AA1717" s="61" t="s">
        <v>2590</v>
      </c>
      <c r="AB1717" s="61"/>
    </row>
    <row r="1718" spans="1:28" s="2" customFormat="1" ht="15">
      <c r="A1718" s="61" t="s">
        <v>2286</v>
      </c>
      <c r="B1718" s="61" t="s">
        <v>1331</v>
      </c>
      <c r="C1718" s="61" t="s">
        <v>5272</v>
      </c>
      <c r="D1718" s="61" t="s">
        <v>7838</v>
      </c>
      <c r="E1718" s="61">
        <v>3202</v>
      </c>
      <c r="F1718" s="61">
        <v>3563</v>
      </c>
      <c r="G1718" s="61">
        <v>2025</v>
      </c>
      <c r="H1718" s="61" t="s">
        <v>3689</v>
      </c>
      <c r="I1718" s="61" t="s">
        <v>224</v>
      </c>
      <c r="J1718" s="61" t="s">
        <v>2289</v>
      </c>
      <c r="K1718" s="61" t="s">
        <v>212</v>
      </c>
      <c r="L1718" s="61" t="s">
        <v>8741</v>
      </c>
      <c r="M1718" s="475">
        <v>45825</v>
      </c>
      <c r="N1718" s="475">
        <v>45826</v>
      </c>
      <c r="O1718" s="475">
        <v>45826</v>
      </c>
      <c r="P1718" s="475">
        <v>45826</v>
      </c>
      <c r="Q1718" s="475">
        <v>45827</v>
      </c>
      <c r="R1718" s="61">
        <f t="shared" si="120"/>
        <v>1</v>
      </c>
      <c r="S1718" s="61">
        <f t="shared" si="121"/>
        <v>1</v>
      </c>
      <c r="T1718" s="61">
        <f t="shared" si="119"/>
        <v>1</v>
      </c>
      <c r="U1718" s="61">
        <f t="shared" si="122"/>
        <v>1</v>
      </c>
      <c r="V1718" s="61" t="s">
        <v>150</v>
      </c>
      <c r="W1718" s="61" t="s">
        <v>1078</v>
      </c>
      <c r="X1718" s="61" t="s">
        <v>50</v>
      </c>
      <c r="Y1718" s="471">
        <v>15.588699999999999</v>
      </c>
      <c r="Z1718" s="471">
        <v>120.9224</v>
      </c>
      <c r="AA1718" s="61" t="s">
        <v>2590</v>
      </c>
      <c r="AB1718" s="61"/>
    </row>
    <row r="1719" spans="1:28" s="2" customFormat="1" ht="15">
      <c r="A1719" s="61" t="s">
        <v>2286</v>
      </c>
      <c r="B1719" s="61" t="s">
        <v>1331</v>
      </c>
      <c r="C1719" s="61" t="s">
        <v>5273</v>
      </c>
      <c r="D1719" s="61" t="s">
        <v>7838</v>
      </c>
      <c r="E1719" s="61">
        <v>1473</v>
      </c>
      <c r="F1719" s="61">
        <v>1535</v>
      </c>
      <c r="G1719" s="61">
        <v>2025</v>
      </c>
      <c r="H1719" s="61" t="s">
        <v>3470</v>
      </c>
      <c r="I1719" s="61" t="s">
        <v>224</v>
      </c>
      <c r="J1719" s="61" t="s">
        <v>2289</v>
      </c>
      <c r="K1719" s="61" t="s">
        <v>212</v>
      </c>
      <c r="L1719" s="61" t="s">
        <v>8742</v>
      </c>
      <c r="M1719" s="475">
        <v>45762</v>
      </c>
      <c r="N1719" s="475">
        <v>45762</v>
      </c>
      <c r="O1719" s="475">
        <v>45768</v>
      </c>
      <c r="P1719" s="475">
        <v>45768</v>
      </c>
      <c r="Q1719" s="475">
        <v>45769</v>
      </c>
      <c r="R1719" s="61">
        <f t="shared" si="120"/>
        <v>1</v>
      </c>
      <c r="S1719" s="61">
        <f t="shared" si="121"/>
        <v>4</v>
      </c>
      <c r="T1719" s="61">
        <f t="shared" si="119"/>
        <v>1</v>
      </c>
      <c r="U1719" s="61">
        <f t="shared" si="122"/>
        <v>1</v>
      </c>
      <c r="V1719" s="61" t="s">
        <v>150</v>
      </c>
      <c r="W1719" s="61" t="s">
        <v>1078</v>
      </c>
      <c r="X1719" s="61" t="s">
        <v>50</v>
      </c>
      <c r="Y1719" s="486">
        <v>15.5991</v>
      </c>
      <c r="Z1719" s="486">
        <v>120.9383</v>
      </c>
      <c r="AA1719" s="61" t="s">
        <v>2590</v>
      </c>
      <c r="AB1719" s="61"/>
    </row>
    <row r="1720" spans="1:28" s="2" customFormat="1" ht="15">
      <c r="A1720" s="61" t="s">
        <v>2286</v>
      </c>
      <c r="B1720" s="61" t="s">
        <v>1331</v>
      </c>
      <c r="C1720" s="61" t="s">
        <v>5274</v>
      </c>
      <c r="D1720" s="61" t="s">
        <v>7838</v>
      </c>
      <c r="E1720" s="61">
        <v>1755</v>
      </c>
      <c r="F1720" s="61">
        <v>2041</v>
      </c>
      <c r="G1720" s="61">
        <v>2025</v>
      </c>
      <c r="H1720" s="61" t="s">
        <v>3125</v>
      </c>
      <c r="I1720" s="61" t="s">
        <v>224</v>
      </c>
      <c r="J1720" s="61" t="s">
        <v>2289</v>
      </c>
      <c r="K1720" s="61" t="s">
        <v>212</v>
      </c>
      <c r="L1720" s="61" t="s">
        <v>8743</v>
      </c>
      <c r="M1720" s="475">
        <v>45826</v>
      </c>
      <c r="N1720" s="475">
        <v>45826</v>
      </c>
      <c r="O1720" s="475">
        <v>45832</v>
      </c>
      <c r="P1720" s="475">
        <v>45838</v>
      </c>
      <c r="Q1720" s="475">
        <v>45847</v>
      </c>
      <c r="R1720" s="61">
        <f t="shared" si="120"/>
        <v>1</v>
      </c>
      <c r="S1720" s="61">
        <f t="shared" si="121"/>
        <v>4</v>
      </c>
      <c r="T1720" s="61">
        <f t="shared" si="119"/>
        <v>4</v>
      </c>
      <c r="U1720" s="61">
        <f t="shared" si="122"/>
        <v>7</v>
      </c>
      <c r="V1720" s="61" t="s">
        <v>150</v>
      </c>
      <c r="W1720" s="61" t="s">
        <v>1078</v>
      </c>
      <c r="X1720" s="61" t="s">
        <v>50</v>
      </c>
      <c r="Y1720" s="61">
        <v>15.5695</v>
      </c>
      <c r="Z1720" s="61">
        <v>120.95610000000001</v>
      </c>
      <c r="AA1720" s="61" t="s">
        <v>8361</v>
      </c>
      <c r="AB1720" s="61"/>
    </row>
    <row r="1721" spans="1:28" s="2" customFormat="1" ht="15">
      <c r="A1721" s="61" t="s">
        <v>2286</v>
      </c>
      <c r="B1721" s="61" t="s">
        <v>1331</v>
      </c>
      <c r="C1721" s="61" t="s">
        <v>5276</v>
      </c>
      <c r="D1721" s="61" t="s">
        <v>7838</v>
      </c>
      <c r="E1721" s="61">
        <v>1047</v>
      </c>
      <c r="F1721" s="61">
        <v>1172</v>
      </c>
      <c r="G1721" s="61">
        <v>2025</v>
      </c>
      <c r="H1721" s="61" t="s">
        <v>3125</v>
      </c>
      <c r="I1721" s="61" t="s">
        <v>224</v>
      </c>
      <c r="J1721" s="61" t="s">
        <v>2289</v>
      </c>
      <c r="K1721" s="61" t="s">
        <v>212</v>
      </c>
      <c r="L1721" s="61" t="s">
        <v>8744</v>
      </c>
      <c r="M1721" s="475">
        <v>45856</v>
      </c>
      <c r="N1721" s="475">
        <v>45856</v>
      </c>
      <c r="O1721" s="475">
        <v>45856</v>
      </c>
      <c r="P1721" s="475">
        <v>45859</v>
      </c>
      <c r="Q1721" s="475">
        <v>45859</v>
      </c>
      <c r="R1721" s="61">
        <f t="shared" si="120"/>
        <v>1</v>
      </c>
      <c r="S1721" s="61">
        <f t="shared" si="121"/>
        <v>1</v>
      </c>
      <c r="T1721" s="61">
        <f t="shared" si="119"/>
        <v>1</v>
      </c>
      <c r="U1721" s="61">
        <f t="shared" si="122"/>
        <v>1</v>
      </c>
      <c r="V1721" s="61" t="s">
        <v>150</v>
      </c>
      <c r="W1721" s="61" t="s">
        <v>1078</v>
      </c>
      <c r="X1721" s="61" t="s">
        <v>50</v>
      </c>
      <c r="Y1721" s="61">
        <v>15.6358</v>
      </c>
      <c r="Z1721" s="61">
        <v>120.96169999999999</v>
      </c>
      <c r="AA1721" s="61" t="s">
        <v>8361</v>
      </c>
      <c r="AB1721" s="61"/>
    </row>
    <row r="1722" spans="1:28" s="2" customFormat="1" ht="15">
      <c r="A1722" s="61" t="s">
        <v>2286</v>
      </c>
      <c r="B1722" s="61" t="s">
        <v>1331</v>
      </c>
      <c r="C1722" s="61" t="s">
        <v>5277</v>
      </c>
      <c r="D1722" s="61" t="s">
        <v>7838</v>
      </c>
      <c r="E1722" s="61">
        <v>4427</v>
      </c>
      <c r="F1722" s="61">
        <v>4876</v>
      </c>
      <c r="G1722" s="61">
        <v>2025</v>
      </c>
      <c r="H1722" s="61" t="s">
        <v>3416</v>
      </c>
      <c r="I1722" s="61" t="s">
        <v>224</v>
      </c>
      <c r="J1722" s="61" t="s">
        <v>2289</v>
      </c>
      <c r="K1722" s="61" t="s">
        <v>212</v>
      </c>
      <c r="L1722" s="61" t="s">
        <v>8745</v>
      </c>
      <c r="M1722" s="475">
        <v>45709</v>
      </c>
      <c r="N1722" s="475">
        <v>45710</v>
      </c>
      <c r="O1722" s="475">
        <v>45713</v>
      </c>
      <c r="P1722" s="475">
        <v>45714</v>
      </c>
      <c r="Q1722" s="475">
        <v>45721</v>
      </c>
      <c r="R1722" s="61">
        <f t="shared" si="120"/>
        <v>1</v>
      </c>
      <c r="S1722" s="61">
        <f t="shared" si="121"/>
        <v>1</v>
      </c>
      <c r="T1722" s="61">
        <f t="shared" si="119"/>
        <v>1</v>
      </c>
      <c r="U1722" s="61">
        <f t="shared" si="122"/>
        <v>5</v>
      </c>
      <c r="V1722" s="61" t="s">
        <v>150</v>
      </c>
      <c r="W1722" s="61" t="s">
        <v>1078</v>
      </c>
      <c r="X1722" s="61" t="s">
        <v>50</v>
      </c>
      <c r="Y1722" s="491">
        <v>15.5679</v>
      </c>
      <c r="Z1722" s="491" t="s">
        <v>8746</v>
      </c>
      <c r="AA1722" s="61" t="s">
        <v>2590</v>
      </c>
      <c r="AB1722" s="61"/>
    </row>
    <row r="1723" spans="1:28" s="2" customFormat="1" ht="15">
      <c r="A1723" s="61" t="s">
        <v>2286</v>
      </c>
      <c r="B1723" s="61" t="s">
        <v>1331</v>
      </c>
      <c r="C1723" s="61" t="s">
        <v>5280</v>
      </c>
      <c r="D1723" s="61" t="s">
        <v>7838</v>
      </c>
      <c r="E1723" s="61">
        <v>887</v>
      </c>
      <c r="F1723" s="61">
        <v>961</v>
      </c>
      <c r="G1723" s="61">
        <v>2025</v>
      </c>
      <c r="H1723" s="61" t="s">
        <v>3125</v>
      </c>
      <c r="I1723" s="61" t="s">
        <v>224</v>
      </c>
      <c r="J1723" s="61" t="s">
        <v>2289</v>
      </c>
      <c r="K1723" s="61" t="s">
        <v>212</v>
      </c>
      <c r="L1723" s="61" t="s">
        <v>8747</v>
      </c>
      <c r="M1723" s="475">
        <v>45856</v>
      </c>
      <c r="N1723" s="475">
        <v>45856</v>
      </c>
      <c r="O1723" s="475">
        <v>45856</v>
      </c>
      <c r="P1723" s="475">
        <v>45856</v>
      </c>
      <c r="Q1723" s="475">
        <v>45856</v>
      </c>
      <c r="R1723" s="61">
        <f t="shared" si="120"/>
        <v>1</v>
      </c>
      <c r="S1723" s="61">
        <f t="shared" si="121"/>
        <v>1</v>
      </c>
      <c r="T1723" s="61">
        <f t="shared" si="119"/>
        <v>1</v>
      </c>
      <c r="U1723" s="61">
        <f t="shared" si="122"/>
        <v>1</v>
      </c>
      <c r="V1723" s="61" t="s">
        <v>150</v>
      </c>
      <c r="W1723" s="61" t="s">
        <v>1078</v>
      </c>
      <c r="X1723" s="61" t="s">
        <v>50</v>
      </c>
      <c r="Y1723" s="61">
        <v>15.644500000000001</v>
      </c>
      <c r="Z1723" s="61">
        <v>120.9616</v>
      </c>
      <c r="AA1723" s="61" t="s">
        <v>2590</v>
      </c>
      <c r="AB1723" s="61"/>
    </row>
    <row r="1724" spans="1:28" s="2" customFormat="1" ht="15">
      <c r="A1724" s="61" t="s">
        <v>2286</v>
      </c>
      <c r="B1724" s="61" t="s">
        <v>1331</v>
      </c>
      <c r="C1724" s="61" t="s">
        <v>5281</v>
      </c>
      <c r="D1724" s="61" t="s">
        <v>7838</v>
      </c>
      <c r="E1724" s="61">
        <v>3536</v>
      </c>
      <c r="F1724" s="61">
        <v>3937</v>
      </c>
      <c r="G1724" s="61">
        <v>2025</v>
      </c>
      <c r="H1724" s="61" t="s">
        <v>3689</v>
      </c>
      <c r="I1724" s="61" t="s">
        <v>224</v>
      </c>
      <c r="J1724" s="61" t="s">
        <v>2289</v>
      </c>
      <c r="K1724" s="61" t="s">
        <v>212</v>
      </c>
      <c r="L1724" s="61" t="s">
        <v>8748</v>
      </c>
      <c r="M1724" s="475">
        <v>45825</v>
      </c>
      <c r="N1724" s="475">
        <v>45826</v>
      </c>
      <c r="O1724" s="475">
        <v>45826</v>
      </c>
      <c r="P1724" s="475">
        <v>45826</v>
      </c>
      <c r="Q1724" s="475">
        <v>45826</v>
      </c>
      <c r="R1724" s="61">
        <f t="shared" si="120"/>
        <v>1</v>
      </c>
      <c r="S1724" s="61">
        <f t="shared" si="121"/>
        <v>1</v>
      </c>
      <c r="T1724" s="61">
        <f t="shared" si="119"/>
        <v>1</v>
      </c>
      <c r="U1724" s="61">
        <f t="shared" si="122"/>
        <v>1</v>
      </c>
      <c r="V1724" s="61" t="s">
        <v>150</v>
      </c>
      <c r="W1724" s="61" t="s">
        <v>1078</v>
      </c>
      <c r="X1724" s="61" t="s">
        <v>50</v>
      </c>
      <c r="Y1724" s="471">
        <v>15.5814</v>
      </c>
      <c r="Z1724" s="471">
        <v>120.9175</v>
      </c>
      <c r="AA1724" s="61" t="s">
        <v>2590</v>
      </c>
      <c r="AB1724" s="61"/>
    </row>
    <row r="1725" spans="1:28" s="2" customFormat="1" ht="15">
      <c r="A1725" s="61" t="s">
        <v>2286</v>
      </c>
      <c r="B1725" s="61" t="s">
        <v>1331</v>
      </c>
      <c r="C1725" s="61" t="s">
        <v>5282</v>
      </c>
      <c r="D1725" s="61" t="s">
        <v>7838</v>
      </c>
      <c r="E1725" s="61">
        <v>1127</v>
      </c>
      <c r="F1725" s="61">
        <v>1301</v>
      </c>
      <c r="G1725" s="61">
        <v>2025</v>
      </c>
      <c r="H1725" s="61" t="s">
        <v>3532</v>
      </c>
      <c r="I1725" s="61" t="s">
        <v>224</v>
      </c>
      <c r="J1725" s="61" t="s">
        <v>2289</v>
      </c>
      <c r="K1725" s="61" t="s">
        <v>212</v>
      </c>
      <c r="L1725" s="61" t="s">
        <v>8749</v>
      </c>
      <c r="M1725" s="475">
        <v>45790</v>
      </c>
      <c r="N1725" s="475">
        <v>45792</v>
      </c>
      <c r="O1725" s="475">
        <v>45793</v>
      </c>
      <c r="P1725" s="475">
        <v>45793</v>
      </c>
      <c r="Q1725" s="475">
        <v>45796</v>
      </c>
      <c r="R1725" s="61">
        <f t="shared" si="120"/>
        <v>2</v>
      </c>
      <c r="S1725" s="61">
        <f t="shared" si="121"/>
        <v>1</v>
      </c>
      <c r="T1725" s="61">
        <f t="shared" si="119"/>
        <v>1</v>
      </c>
      <c r="U1725" s="61">
        <f t="shared" si="122"/>
        <v>1</v>
      </c>
      <c r="V1725" s="61" t="s">
        <v>150</v>
      </c>
      <c r="W1725" s="61" t="s">
        <v>1078</v>
      </c>
      <c r="X1725" s="61" t="s">
        <v>50</v>
      </c>
      <c r="Y1725" s="471">
        <v>15.5517</v>
      </c>
      <c r="Z1725" s="471">
        <v>120.9037</v>
      </c>
      <c r="AA1725" s="61" t="s">
        <v>2590</v>
      </c>
      <c r="AB1725" s="61"/>
    </row>
    <row r="1726" spans="1:28" s="2" customFormat="1" ht="15">
      <c r="A1726" s="61" t="s">
        <v>2286</v>
      </c>
      <c r="B1726" s="61" t="s">
        <v>1331</v>
      </c>
      <c r="C1726" s="61" t="s">
        <v>4299</v>
      </c>
      <c r="D1726" s="61" t="s">
        <v>7838</v>
      </c>
      <c r="E1726" s="61">
        <v>4989</v>
      </c>
      <c r="F1726" s="61">
        <v>5162</v>
      </c>
      <c r="G1726" s="61">
        <v>2025</v>
      </c>
      <c r="H1726" s="61" t="s">
        <v>3532</v>
      </c>
      <c r="I1726" s="61" t="s">
        <v>224</v>
      </c>
      <c r="J1726" s="61" t="s">
        <v>2289</v>
      </c>
      <c r="K1726" s="61" t="s">
        <v>212</v>
      </c>
      <c r="L1726" s="61" t="s">
        <v>8750</v>
      </c>
      <c r="M1726" s="475">
        <v>45793</v>
      </c>
      <c r="N1726" s="475">
        <v>45793</v>
      </c>
      <c r="O1726" s="475">
        <v>45796</v>
      </c>
      <c r="P1726" s="475">
        <v>45796</v>
      </c>
      <c r="Q1726" s="475">
        <v>45796</v>
      </c>
      <c r="R1726" s="61">
        <f t="shared" si="120"/>
        <v>1</v>
      </c>
      <c r="S1726" s="61">
        <f t="shared" si="121"/>
        <v>1</v>
      </c>
      <c r="T1726" s="61">
        <f t="shared" si="119"/>
        <v>1</v>
      </c>
      <c r="U1726" s="61">
        <f t="shared" si="122"/>
        <v>1</v>
      </c>
      <c r="V1726" s="61" t="s">
        <v>150</v>
      </c>
      <c r="W1726" s="61" t="s">
        <v>1078</v>
      </c>
      <c r="X1726" s="61" t="s">
        <v>50</v>
      </c>
      <c r="Y1726" s="471">
        <v>15.5844</v>
      </c>
      <c r="Z1726" s="471">
        <v>120.9139</v>
      </c>
      <c r="AA1726" s="61" t="s">
        <v>2590</v>
      </c>
      <c r="AB1726" s="61"/>
    </row>
    <row r="1727" spans="1:28" s="2" customFormat="1" ht="15">
      <c r="A1727" s="61" t="s">
        <v>2286</v>
      </c>
      <c r="B1727" s="61" t="s">
        <v>1331</v>
      </c>
      <c r="C1727" s="61" t="s">
        <v>5287</v>
      </c>
      <c r="D1727" s="61" t="s">
        <v>7838</v>
      </c>
      <c r="E1727" s="61">
        <v>906</v>
      </c>
      <c r="F1727" s="61">
        <v>1016</v>
      </c>
      <c r="G1727" s="61">
        <v>2025</v>
      </c>
      <c r="H1727" s="61" t="s">
        <v>3125</v>
      </c>
      <c r="I1727" s="61" t="s">
        <v>224</v>
      </c>
      <c r="J1727" s="61" t="s">
        <v>2289</v>
      </c>
      <c r="K1727" s="61" t="s">
        <v>212</v>
      </c>
      <c r="L1727" s="61" t="s">
        <v>8751</v>
      </c>
      <c r="M1727" s="475">
        <v>45826</v>
      </c>
      <c r="N1727" s="475">
        <v>45826</v>
      </c>
      <c r="O1727" s="475">
        <v>45832</v>
      </c>
      <c r="P1727" s="475">
        <v>45838</v>
      </c>
      <c r="Q1727" s="475">
        <v>45840</v>
      </c>
      <c r="R1727" s="61">
        <f t="shared" si="120"/>
        <v>1</v>
      </c>
      <c r="S1727" s="61">
        <f t="shared" si="121"/>
        <v>4</v>
      </c>
      <c r="T1727" s="61">
        <f t="shared" si="119"/>
        <v>4</v>
      </c>
      <c r="U1727" s="61">
        <f t="shared" si="122"/>
        <v>2</v>
      </c>
      <c r="V1727" s="61" t="s">
        <v>150</v>
      </c>
      <c r="W1727" s="61" t="s">
        <v>1078</v>
      </c>
      <c r="X1727" s="61" t="s">
        <v>50</v>
      </c>
      <c r="Y1727" s="61">
        <v>15.5763</v>
      </c>
      <c r="Z1727" s="61">
        <v>120.953</v>
      </c>
      <c r="AA1727" s="61" t="s">
        <v>8752</v>
      </c>
      <c r="AB1727" s="61"/>
    </row>
    <row r="1728" spans="1:28" s="2" customFormat="1" ht="15">
      <c r="A1728" s="61" t="s">
        <v>2286</v>
      </c>
      <c r="B1728" s="61" t="s">
        <v>1331</v>
      </c>
      <c r="C1728" s="61" t="s">
        <v>5291</v>
      </c>
      <c r="D1728" s="61" t="s">
        <v>7838</v>
      </c>
      <c r="E1728" s="61">
        <v>1374</v>
      </c>
      <c r="F1728" s="61">
        <v>1481</v>
      </c>
      <c r="G1728" s="61">
        <v>2025</v>
      </c>
      <c r="H1728" s="61" t="s">
        <v>3689</v>
      </c>
      <c r="I1728" s="61" t="s">
        <v>224</v>
      </c>
      <c r="J1728" s="61" t="s">
        <v>2289</v>
      </c>
      <c r="K1728" s="61" t="s">
        <v>212</v>
      </c>
      <c r="L1728" s="61" t="s">
        <v>8753</v>
      </c>
      <c r="M1728" s="475">
        <v>45825</v>
      </c>
      <c r="N1728" s="475">
        <v>45826</v>
      </c>
      <c r="O1728" s="475">
        <v>45826</v>
      </c>
      <c r="P1728" s="475">
        <v>45826</v>
      </c>
      <c r="Q1728" s="475">
        <v>45827</v>
      </c>
      <c r="R1728" s="61">
        <f t="shared" si="120"/>
        <v>1</v>
      </c>
      <c r="S1728" s="61">
        <f t="shared" si="121"/>
        <v>1</v>
      </c>
      <c r="T1728" s="61">
        <f t="shared" si="119"/>
        <v>1</v>
      </c>
      <c r="U1728" s="61">
        <f t="shared" si="122"/>
        <v>1</v>
      </c>
      <c r="V1728" s="61" t="s">
        <v>150</v>
      </c>
      <c r="W1728" s="61" t="s">
        <v>1078</v>
      </c>
      <c r="X1728" s="61" t="s">
        <v>50</v>
      </c>
      <c r="Y1728" s="471">
        <v>15.5931</v>
      </c>
      <c r="Z1728" s="471">
        <v>120.91889999999999</v>
      </c>
      <c r="AA1728" s="61" t="s">
        <v>2590</v>
      </c>
      <c r="AB1728" s="61"/>
    </row>
    <row r="1729" spans="1:28" s="2" customFormat="1" ht="15">
      <c r="A1729" s="61" t="s">
        <v>2286</v>
      </c>
      <c r="B1729" s="61" t="s">
        <v>1331</v>
      </c>
      <c r="C1729" s="61" t="s">
        <v>5292</v>
      </c>
      <c r="D1729" s="61" t="s">
        <v>7838</v>
      </c>
      <c r="E1729" s="61">
        <v>1638</v>
      </c>
      <c r="F1729" s="61">
        <v>1444</v>
      </c>
      <c r="G1729" s="61">
        <v>2025</v>
      </c>
      <c r="H1729" s="61" t="s">
        <v>3125</v>
      </c>
      <c r="I1729" s="61" t="s">
        <v>224</v>
      </c>
      <c r="J1729" s="61" t="s">
        <v>2289</v>
      </c>
      <c r="K1729" s="61" t="s">
        <v>212</v>
      </c>
      <c r="L1729" s="61" t="s">
        <v>8754</v>
      </c>
      <c r="M1729" s="475">
        <v>45826</v>
      </c>
      <c r="N1729" s="475">
        <v>45826</v>
      </c>
      <c r="O1729" s="475">
        <v>45832</v>
      </c>
      <c r="P1729" s="475">
        <v>45838</v>
      </c>
      <c r="Q1729" s="475">
        <v>45840</v>
      </c>
      <c r="R1729" s="61">
        <f t="shared" si="120"/>
        <v>1</v>
      </c>
      <c r="S1729" s="61">
        <f t="shared" si="121"/>
        <v>4</v>
      </c>
      <c r="T1729" s="61">
        <f t="shared" si="119"/>
        <v>4</v>
      </c>
      <c r="U1729" s="61">
        <f t="shared" si="122"/>
        <v>2</v>
      </c>
      <c r="V1729" s="61" t="s">
        <v>150</v>
      </c>
      <c r="W1729" s="61" t="s">
        <v>1078</v>
      </c>
      <c r="X1729" s="61" t="s">
        <v>50</v>
      </c>
      <c r="Y1729" s="61">
        <v>15.589</v>
      </c>
      <c r="Z1729" s="61">
        <v>120.91800000000001</v>
      </c>
      <c r="AA1729" s="61" t="s">
        <v>8752</v>
      </c>
      <c r="AB1729" s="61"/>
    </row>
    <row r="1730" spans="1:28" s="2" customFormat="1" ht="15">
      <c r="A1730" s="61" t="s">
        <v>2286</v>
      </c>
      <c r="B1730" s="61" t="s">
        <v>1331</v>
      </c>
      <c r="C1730" s="61" t="s">
        <v>4476</v>
      </c>
      <c r="D1730" s="61" t="s">
        <v>7838</v>
      </c>
      <c r="E1730" s="61">
        <v>1470</v>
      </c>
      <c r="F1730" s="61">
        <v>1786</v>
      </c>
      <c r="G1730" s="61">
        <v>2025</v>
      </c>
      <c r="H1730" s="61" t="s">
        <v>3458</v>
      </c>
      <c r="I1730" s="61" t="s">
        <v>224</v>
      </c>
      <c r="J1730" s="61" t="s">
        <v>2289</v>
      </c>
      <c r="K1730" s="61" t="s">
        <v>212</v>
      </c>
      <c r="L1730" s="61" t="s">
        <v>8755</v>
      </c>
      <c r="M1730" s="475">
        <v>45702</v>
      </c>
      <c r="N1730" s="475">
        <v>45705</v>
      </c>
      <c r="O1730" s="475">
        <v>45705</v>
      </c>
      <c r="P1730" s="475">
        <v>45705</v>
      </c>
      <c r="Q1730" s="475">
        <v>45706</v>
      </c>
      <c r="R1730" s="61">
        <f t="shared" si="120"/>
        <v>1</v>
      </c>
      <c r="S1730" s="61">
        <f t="shared" si="121"/>
        <v>1</v>
      </c>
      <c r="T1730" s="61">
        <f t="shared" si="119"/>
        <v>1</v>
      </c>
      <c r="U1730" s="61">
        <f t="shared" si="122"/>
        <v>1</v>
      </c>
      <c r="V1730" s="61" t="s">
        <v>150</v>
      </c>
      <c r="W1730" s="61" t="s">
        <v>1078</v>
      </c>
      <c r="X1730" s="61" t="s">
        <v>50</v>
      </c>
      <c r="Y1730" s="473">
        <v>15.588100000000001</v>
      </c>
      <c r="Z1730" s="473">
        <v>120.9318</v>
      </c>
      <c r="AA1730" s="61" t="s">
        <v>2590</v>
      </c>
      <c r="AB1730" s="61"/>
    </row>
    <row r="1731" spans="1:28" s="2" customFormat="1" ht="15">
      <c r="A1731" s="61" t="s">
        <v>2286</v>
      </c>
      <c r="B1731" s="61" t="s">
        <v>1331</v>
      </c>
      <c r="C1731" s="61" t="s">
        <v>3848</v>
      </c>
      <c r="D1731" s="61" t="s">
        <v>7838</v>
      </c>
      <c r="E1731" s="61">
        <v>2771</v>
      </c>
      <c r="F1731" s="61">
        <v>3240</v>
      </c>
      <c r="G1731" s="61">
        <v>2025</v>
      </c>
      <c r="H1731" s="61" t="s">
        <v>3125</v>
      </c>
      <c r="I1731" s="61" t="s">
        <v>224</v>
      </c>
      <c r="J1731" s="61" t="s">
        <v>2289</v>
      </c>
      <c r="K1731" s="61" t="s">
        <v>212</v>
      </c>
      <c r="L1731" s="61" t="s">
        <v>8756</v>
      </c>
      <c r="M1731" s="475">
        <v>45856</v>
      </c>
      <c r="N1731" s="475">
        <v>45856</v>
      </c>
      <c r="O1731" s="475">
        <v>45856</v>
      </c>
      <c r="P1731" s="475">
        <v>45859</v>
      </c>
      <c r="Q1731" s="475">
        <v>45859</v>
      </c>
      <c r="R1731" s="61">
        <f t="shared" si="120"/>
        <v>1</v>
      </c>
      <c r="S1731" s="61">
        <f t="shared" si="121"/>
        <v>1</v>
      </c>
      <c r="T1731" s="61">
        <f t="shared" si="119"/>
        <v>1</v>
      </c>
      <c r="U1731" s="61">
        <f t="shared" si="122"/>
        <v>1</v>
      </c>
      <c r="V1731" s="61" t="s">
        <v>150</v>
      </c>
      <c r="W1731" s="61" t="s">
        <v>1078</v>
      </c>
      <c r="X1731" s="61" t="s">
        <v>50</v>
      </c>
      <c r="Y1731" s="61">
        <v>15.628299999999999</v>
      </c>
      <c r="Z1731" s="61">
        <v>120.95869999999999</v>
      </c>
      <c r="AA1731" s="61" t="s">
        <v>8361</v>
      </c>
      <c r="AB1731" s="61"/>
    </row>
    <row r="1732" spans="1:28" s="2" customFormat="1" ht="15">
      <c r="A1732" s="61" t="s">
        <v>2286</v>
      </c>
      <c r="B1732" s="61" t="s">
        <v>1331</v>
      </c>
      <c r="C1732" s="61" t="s">
        <v>5296</v>
      </c>
      <c r="D1732" s="61" t="s">
        <v>7838</v>
      </c>
      <c r="E1732" s="61">
        <v>4042</v>
      </c>
      <c r="F1732" s="61">
        <v>4455</v>
      </c>
      <c r="G1732" s="61">
        <v>2025</v>
      </c>
      <c r="H1732" s="61" t="s">
        <v>3458</v>
      </c>
      <c r="I1732" s="61" t="s">
        <v>224</v>
      </c>
      <c r="J1732" s="61" t="s">
        <v>2289</v>
      </c>
      <c r="K1732" s="61" t="s">
        <v>212</v>
      </c>
      <c r="L1732" s="61" t="s">
        <v>8757</v>
      </c>
      <c r="M1732" s="475">
        <v>45693</v>
      </c>
      <c r="N1732" s="475">
        <v>45705</v>
      </c>
      <c r="O1732" s="475">
        <v>45706</v>
      </c>
      <c r="P1732" s="475">
        <v>45706</v>
      </c>
      <c r="Q1732" s="475">
        <v>45706</v>
      </c>
      <c r="R1732" s="61">
        <f t="shared" si="120"/>
        <v>8</v>
      </c>
      <c r="S1732" s="61">
        <f t="shared" si="121"/>
        <v>1</v>
      </c>
      <c r="T1732" s="61">
        <f t="shared" si="119"/>
        <v>1</v>
      </c>
      <c r="U1732" s="61">
        <f t="shared" si="122"/>
        <v>1</v>
      </c>
      <c r="V1732" s="61" t="s">
        <v>150</v>
      </c>
      <c r="W1732" s="61" t="s">
        <v>1078</v>
      </c>
      <c r="X1732" s="61" t="s">
        <v>50</v>
      </c>
      <c r="Y1732" s="473">
        <v>15.648</v>
      </c>
      <c r="Z1732" s="473">
        <v>120.9387</v>
      </c>
      <c r="AA1732" s="61" t="s">
        <v>2590</v>
      </c>
      <c r="AB1732" s="61"/>
    </row>
    <row r="1733" spans="1:28" s="2" customFormat="1" ht="15">
      <c r="A1733" s="61" t="s">
        <v>2286</v>
      </c>
      <c r="B1733" s="61" t="s">
        <v>1331</v>
      </c>
      <c r="C1733" s="61" t="s">
        <v>5300</v>
      </c>
      <c r="D1733" s="61" t="s">
        <v>7838</v>
      </c>
      <c r="E1733" s="61">
        <v>1450</v>
      </c>
      <c r="F1733" s="61">
        <v>1625</v>
      </c>
      <c r="G1733" s="61">
        <v>2025</v>
      </c>
      <c r="H1733" s="61" t="s">
        <v>3458</v>
      </c>
      <c r="I1733" s="61" t="s">
        <v>224</v>
      </c>
      <c r="J1733" s="61" t="s">
        <v>2289</v>
      </c>
      <c r="K1733" s="61" t="s">
        <v>212</v>
      </c>
      <c r="L1733" s="61" t="s">
        <v>8758</v>
      </c>
      <c r="M1733" s="475">
        <v>45702</v>
      </c>
      <c r="N1733" s="475">
        <v>45705</v>
      </c>
      <c r="O1733" s="475">
        <v>45705</v>
      </c>
      <c r="P1733" s="475">
        <v>45705</v>
      </c>
      <c r="Q1733" s="475">
        <v>45706</v>
      </c>
      <c r="R1733" s="61">
        <f t="shared" si="120"/>
        <v>1</v>
      </c>
      <c r="S1733" s="61">
        <f t="shared" si="121"/>
        <v>1</v>
      </c>
      <c r="T1733" s="61">
        <f t="shared" si="119"/>
        <v>1</v>
      </c>
      <c r="U1733" s="61">
        <f t="shared" si="122"/>
        <v>1</v>
      </c>
      <c r="V1733" s="61" t="s">
        <v>150</v>
      </c>
      <c r="W1733" s="61" t="s">
        <v>1078</v>
      </c>
      <c r="X1733" s="61" t="s">
        <v>50</v>
      </c>
      <c r="Y1733" s="473">
        <v>15.6374</v>
      </c>
      <c r="Z1733" s="473">
        <v>120.9393</v>
      </c>
      <c r="AA1733" s="61" t="s">
        <v>2590</v>
      </c>
      <c r="AB1733" s="61"/>
    </row>
    <row r="1734" spans="1:28" s="2" customFormat="1" ht="15">
      <c r="A1734" s="61" t="s">
        <v>2286</v>
      </c>
      <c r="B1734" s="61" t="s">
        <v>1331</v>
      </c>
      <c r="C1734" s="61" t="s">
        <v>4569</v>
      </c>
      <c r="D1734" s="61" t="s">
        <v>7838</v>
      </c>
      <c r="E1734" s="61">
        <v>1965</v>
      </c>
      <c r="F1734" s="61">
        <v>2090</v>
      </c>
      <c r="G1734" s="61"/>
      <c r="H1734" s="61"/>
      <c r="I1734" s="61" t="s">
        <v>224</v>
      </c>
      <c r="J1734" s="61"/>
      <c r="K1734" s="61" t="s">
        <v>212</v>
      </c>
      <c r="L1734" s="61"/>
      <c r="M1734" s="61"/>
      <c r="N1734" s="61"/>
      <c r="O1734" s="61"/>
      <c r="P1734" s="61"/>
      <c r="Q1734" s="61"/>
      <c r="R1734" s="61" t="str">
        <f t="shared" si="120"/>
        <v/>
      </c>
      <c r="S1734" s="61" t="str">
        <f t="shared" si="121"/>
        <v/>
      </c>
      <c r="T1734" s="61" t="str">
        <f t="shared" si="119"/>
        <v/>
      </c>
      <c r="U1734" s="61" t="str">
        <f t="shared" si="122"/>
        <v/>
      </c>
      <c r="V1734" s="61"/>
      <c r="W1734" s="61"/>
      <c r="X1734" s="61"/>
      <c r="Y1734" s="471"/>
      <c r="Z1734" s="471"/>
      <c r="AA1734" s="61" t="s">
        <v>2590</v>
      </c>
      <c r="AB1734" s="61"/>
    </row>
    <row r="1735" spans="1:28" s="2" customFormat="1" ht="15">
      <c r="A1735" s="61" t="s">
        <v>2286</v>
      </c>
      <c r="B1735" s="61" t="s">
        <v>1331</v>
      </c>
      <c r="C1735" s="61" t="s">
        <v>5249</v>
      </c>
      <c r="D1735" s="61" t="s">
        <v>7838</v>
      </c>
      <c r="E1735" s="61">
        <v>6565</v>
      </c>
      <c r="F1735" s="61">
        <v>6555</v>
      </c>
      <c r="G1735" s="61"/>
      <c r="H1735" s="61"/>
      <c r="I1735" s="61" t="s">
        <v>224</v>
      </c>
      <c r="J1735" s="61"/>
      <c r="K1735" s="61" t="s">
        <v>212</v>
      </c>
      <c r="L1735" s="61"/>
      <c r="M1735" s="61"/>
      <c r="N1735" s="61"/>
      <c r="O1735" s="61"/>
      <c r="P1735" s="61"/>
      <c r="Q1735" s="61"/>
      <c r="R1735" s="61" t="str">
        <f t="shared" si="120"/>
        <v/>
      </c>
      <c r="S1735" s="61" t="str">
        <f t="shared" si="121"/>
        <v/>
      </c>
      <c r="T1735" s="61" t="str">
        <f t="shared" si="119"/>
        <v/>
      </c>
      <c r="U1735" s="61" t="str">
        <f t="shared" si="122"/>
        <v/>
      </c>
      <c r="V1735" s="61"/>
      <c r="W1735" s="61"/>
      <c r="X1735" s="61"/>
      <c r="Y1735" s="471"/>
      <c r="Z1735" s="471"/>
      <c r="AA1735" s="61" t="s">
        <v>2590</v>
      </c>
      <c r="AB1735" s="61"/>
    </row>
    <row r="1736" spans="1:28" s="2" customFormat="1" ht="15">
      <c r="A1736" s="61" t="s">
        <v>2286</v>
      </c>
      <c r="B1736" s="61" t="s">
        <v>1331</v>
      </c>
      <c r="C1736" s="61" t="s">
        <v>5251</v>
      </c>
      <c r="D1736" s="61" t="s">
        <v>7838</v>
      </c>
      <c r="E1736" s="61">
        <v>2489</v>
      </c>
      <c r="F1736" s="61">
        <v>2740</v>
      </c>
      <c r="G1736" s="61"/>
      <c r="H1736" s="61"/>
      <c r="I1736" s="61" t="s">
        <v>224</v>
      </c>
      <c r="J1736" s="61"/>
      <c r="K1736" s="61" t="s">
        <v>212</v>
      </c>
      <c r="L1736" s="61"/>
      <c r="M1736" s="61"/>
      <c r="N1736" s="61"/>
      <c r="O1736" s="61"/>
      <c r="P1736" s="61"/>
      <c r="Q1736" s="61"/>
      <c r="R1736" s="61" t="str">
        <f t="shared" si="120"/>
        <v/>
      </c>
      <c r="S1736" s="61" t="str">
        <f t="shared" si="121"/>
        <v/>
      </c>
      <c r="T1736" s="61" t="str">
        <f t="shared" si="119"/>
        <v/>
      </c>
      <c r="U1736" s="61" t="str">
        <f t="shared" si="122"/>
        <v/>
      </c>
      <c r="V1736" s="61"/>
      <c r="W1736" s="61"/>
      <c r="X1736" s="61"/>
      <c r="Y1736" s="471"/>
      <c r="Z1736" s="471"/>
      <c r="AA1736" s="61" t="s">
        <v>2590</v>
      </c>
      <c r="AB1736" s="61"/>
    </row>
    <row r="1737" spans="1:28" s="474" customFormat="1">
      <c r="A1737" s="61" t="s">
        <v>2286</v>
      </c>
      <c r="B1737" s="61" t="s">
        <v>1331</v>
      </c>
      <c r="C1737" s="61" t="s">
        <v>4535</v>
      </c>
      <c r="D1737" s="61" t="s">
        <v>7838</v>
      </c>
      <c r="E1737" s="61">
        <v>4724</v>
      </c>
      <c r="F1737" s="61">
        <v>4924</v>
      </c>
      <c r="G1737" s="61"/>
      <c r="H1737" s="61"/>
      <c r="I1737" s="61" t="s">
        <v>224</v>
      </c>
      <c r="J1737" s="61"/>
      <c r="K1737" s="61" t="s">
        <v>212</v>
      </c>
      <c r="L1737" s="61"/>
      <c r="M1737" s="61"/>
      <c r="N1737" s="61"/>
      <c r="O1737" s="61"/>
      <c r="P1737" s="61"/>
      <c r="Q1737" s="61"/>
      <c r="R1737" s="61" t="str">
        <f t="shared" si="120"/>
        <v/>
      </c>
      <c r="S1737" s="61" t="str">
        <f t="shared" si="121"/>
        <v/>
      </c>
      <c r="T1737" s="61" t="str">
        <f t="shared" si="119"/>
        <v/>
      </c>
      <c r="U1737" s="61" t="str">
        <f t="shared" si="122"/>
        <v/>
      </c>
      <c r="V1737" s="61"/>
      <c r="W1737" s="61"/>
      <c r="X1737" s="61"/>
      <c r="Y1737" s="471"/>
      <c r="Z1737" s="471"/>
      <c r="AA1737" s="61" t="s">
        <v>2590</v>
      </c>
      <c r="AB1737" s="61"/>
    </row>
    <row r="1738" spans="1:28" s="2" customFormat="1" ht="15">
      <c r="A1738" s="61" t="s">
        <v>2286</v>
      </c>
      <c r="B1738" s="61" t="s">
        <v>1331</v>
      </c>
      <c r="C1738" s="61" t="s">
        <v>5253</v>
      </c>
      <c r="D1738" s="61" t="s">
        <v>7838</v>
      </c>
      <c r="E1738" s="61">
        <v>1914</v>
      </c>
      <c r="F1738" s="61">
        <v>2029</v>
      </c>
      <c r="G1738" s="61"/>
      <c r="H1738" s="61"/>
      <c r="I1738" s="61" t="s">
        <v>224</v>
      </c>
      <c r="J1738" s="61"/>
      <c r="K1738" s="61" t="s">
        <v>212</v>
      </c>
      <c r="L1738" s="61"/>
      <c r="M1738" s="61"/>
      <c r="N1738" s="475"/>
      <c r="O1738" s="475"/>
      <c r="P1738" s="475"/>
      <c r="Q1738" s="475"/>
      <c r="R1738" s="61" t="str">
        <f t="shared" si="120"/>
        <v/>
      </c>
      <c r="S1738" s="61" t="str">
        <f t="shared" si="121"/>
        <v/>
      </c>
      <c r="T1738" s="61" t="str">
        <f t="shared" si="119"/>
        <v/>
      </c>
      <c r="U1738" s="61" t="str">
        <f t="shared" si="122"/>
        <v/>
      </c>
      <c r="V1738" s="61"/>
      <c r="W1738" s="61"/>
      <c r="X1738" s="61"/>
      <c r="Y1738" s="471"/>
      <c r="Z1738" s="471"/>
      <c r="AA1738" s="61" t="s">
        <v>2590</v>
      </c>
      <c r="AB1738" s="61"/>
    </row>
    <row r="1739" spans="1:28" s="2" customFormat="1" ht="15">
      <c r="A1739" s="61" t="s">
        <v>2286</v>
      </c>
      <c r="B1739" s="61" t="s">
        <v>1331</v>
      </c>
      <c r="C1739" s="61" t="s">
        <v>4484</v>
      </c>
      <c r="D1739" s="61" t="s">
        <v>7838</v>
      </c>
      <c r="E1739" s="61">
        <v>1678</v>
      </c>
      <c r="F1739" s="61">
        <v>1872</v>
      </c>
      <c r="G1739" s="61"/>
      <c r="H1739" s="61"/>
      <c r="I1739" s="61" t="s">
        <v>224</v>
      </c>
      <c r="J1739" s="61"/>
      <c r="K1739" s="61" t="s">
        <v>212</v>
      </c>
      <c r="L1739" s="61"/>
      <c r="M1739" s="61"/>
      <c r="N1739" s="61"/>
      <c r="O1739" s="61"/>
      <c r="P1739" s="61"/>
      <c r="Q1739" s="61"/>
      <c r="R1739" s="61" t="str">
        <f t="shared" si="120"/>
        <v/>
      </c>
      <c r="S1739" s="61" t="str">
        <f t="shared" si="121"/>
        <v/>
      </c>
      <c r="T1739" s="61" t="str">
        <f t="shared" si="119"/>
        <v/>
      </c>
      <c r="U1739" s="61" t="str">
        <f t="shared" si="122"/>
        <v/>
      </c>
      <c r="V1739" s="61"/>
      <c r="W1739" s="61"/>
      <c r="X1739" s="61"/>
      <c r="Y1739" s="471"/>
      <c r="Z1739" s="471"/>
      <c r="AA1739" s="61" t="s">
        <v>2590</v>
      </c>
      <c r="AB1739" s="61"/>
    </row>
    <row r="1740" spans="1:28" s="2" customFormat="1" ht="15">
      <c r="A1740" s="61" t="s">
        <v>2286</v>
      </c>
      <c r="B1740" s="61" t="s">
        <v>1331</v>
      </c>
      <c r="C1740" s="61" t="s">
        <v>5257</v>
      </c>
      <c r="D1740" s="61" t="s">
        <v>7838</v>
      </c>
      <c r="E1740" s="61">
        <v>2298</v>
      </c>
      <c r="F1740" s="61">
        <v>2477</v>
      </c>
      <c r="G1740" s="61"/>
      <c r="H1740" s="61"/>
      <c r="I1740" s="61" t="s">
        <v>224</v>
      </c>
      <c r="J1740" s="61"/>
      <c r="K1740" s="61" t="s">
        <v>212</v>
      </c>
      <c r="L1740" s="61"/>
      <c r="M1740" s="61"/>
      <c r="N1740" s="61"/>
      <c r="O1740" s="61"/>
      <c r="P1740" s="61"/>
      <c r="Q1740" s="61"/>
      <c r="R1740" s="61" t="str">
        <f t="shared" si="120"/>
        <v/>
      </c>
      <c r="S1740" s="61" t="str">
        <f t="shared" si="121"/>
        <v/>
      </c>
      <c r="T1740" s="61" t="str">
        <f t="shared" si="119"/>
        <v/>
      </c>
      <c r="U1740" s="61" t="str">
        <f t="shared" si="122"/>
        <v/>
      </c>
      <c r="V1740" s="61"/>
      <c r="W1740" s="61"/>
      <c r="X1740" s="61"/>
      <c r="Y1740" s="471"/>
      <c r="Z1740" s="471"/>
      <c r="AA1740" s="61" t="s">
        <v>2590</v>
      </c>
      <c r="AB1740" s="61"/>
    </row>
    <row r="1741" spans="1:28" s="2" customFormat="1" ht="15">
      <c r="A1741" s="61" t="s">
        <v>2286</v>
      </c>
      <c r="B1741" s="61" t="s">
        <v>1331</v>
      </c>
      <c r="C1741" s="61" t="s">
        <v>5258</v>
      </c>
      <c r="D1741" s="61" t="s">
        <v>7838</v>
      </c>
      <c r="E1741" s="61">
        <v>1613</v>
      </c>
      <c r="F1741" s="61">
        <v>1697</v>
      </c>
      <c r="G1741" s="61"/>
      <c r="H1741" s="61"/>
      <c r="I1741" s="61" t="s">
        <v>224</v>
      </c>
      <c r="J1741" s="61"/>
      <c r="K1741" s="61" t="s">
        <v>212</v>
      </c>
      <c r="L1741" s="61"/>
      <c r="M1741" s="61"/>
      <c r="N1741" s="61"/>
      <c r="O1741" s="61"/>
      <c r="P1741" s="61"/>
      <c r="Q1741" s="61"/>
      <c r="R1741" s="61" t="str">
        <f t="shared" si="120"/>
        <v/>
      </c>
      <c r="S1741" s="61" t="str">
        <f t="shared" si="121"/>
        <v/>
      </c>
      <c r="T1741" s="61" t="str">
        <f t="shared" si="119"/>
        <v/>
      </c>
      <c r="U1741" s="61" t="str">
        <f t="shared" si="122"/>
        <v/>
      </c>
      <c r="V1741" s="61"/>
      <c r="W1741" s="61"/>
      <c r="X1741" s="61"/>
      <c r="Y1741" s="471"/>
      <c r="Z1741" s="471"/>
      <c r="AA1741" s="61" t="s">
        <v>2590</v>
      </c>
      <c r="AB1741" s="61"/>
    </row>
    <row r="1742" spans="1:28" s="2" customFormat="1" ht="15">
      <c r="A1742" s="61" t="s">
        <v>2286</v>
      </c>
      <c r="B1742" s="61" t="s">
        <v>1331</v>
      </c>
      <c r="C1742" s="61" t="s">
        <v>5259</v>
      </c>
      <c r="D1742" s="61" t="s">
        <v>7838</v>
      </c>
      <c r="E1742" s="61">
        <v>792</v>
      </c>
      <c r="F1742" s="61">
        <v>816</v>
      </c>
      <c r="G1742" s="61"/>
      <c r="H1742" s="61"/>
      <c r="I1742" s="61" t="s">
        <v>224</v>
      </c>
      <c r="J1742" s="61"/>
      <c r="K1742" s="61" t="s">
        <v>212</v>
      </c>
      <c r="L1742" s="61"/>
      <c r="M1742" s="61"/>
      <c r="N1742" s="61"/>
      <c r="O1742" s="61"/>
      <c r="P1742" s="61"/>
      <c r="Q1742" s="61"/>
      <c r="R1742" s="61" t="str">
        <f t="shared" si="120"/>
        <v/>
      </c>
      <c r="S1742" s="61" t="str">
        <f t="shared" si="121"/>
        <v/>
      </c>
      <c r="T1742" s="61" t="str">
        <f t="shared" si="119"/>
        <v/>
      </c>
      <c r="U1742" s="61" t="str">
        <f t="shared" si="122"/>
        <v/>
      </c>
      <c r="V1742" s="61"/>
      <c r="W1742" s="61"/>
      <c r="X1742" s="61"/>
      <c r="Y1742" s="471"/>
      <c r="Z1742" s="471"/>
      <c r="AA1742" s="61" t="s">
        <v>2590</v>
      </c>
      <c r="AB1742" s="61"/>
    </row>
    <row r="1743" spans="1:28" s="2" customFormat="1" ht="15">
      <c r="A1743" s="61" t="s">
        <v>2286</v>
      </c>
      <c r="B1743" s="61" t="s">
        <v>1331</v>
      </c>
      <c r="C1743" s="61" t="s">
        <v>5261</v>
      </c>
      <c r="D1743" s="61" t="s">
        <v>7838</v>
      </c>
      <c r="E1743" s="61">
        <v>1971</v>
      </c>
      <c r="F1743" s="61">
        <v>2152</v>
      </c>
      <c r="G1743" s="61"/>
      <c r="H1743" s="61"/>
      <c r="I1743" s="61" t="s">
        <v>224</v>
      </c>
      <c r="J1743" s="61"/>
      <c r="K1743" s="61" t="s">
        <v>212</v>
      </c>
      <c r="L1743" s="61"/>
      <c r="M1743" s="61"/>
      <c r="N1743" s="61"/>
      <c r="O1743" s="61"/>
      <c r="P1743" s="61"/>
      <c r="Q1743" s="61"/>
      <c r="R1743" s="61" t="str">
        <f t="shared" si="120"/>
        <v/>
      </c>
      <c r="S1743" s="61" t="str">
        <f t="shared" si="121"/>
        <v/>
      </c>
      <c r="T1743" s="61" t="str">
        <f t="shared" si="119"/>
        <v/>
      </c>
      <c r="U1743" s="61" t="str">
        <f t="shared" si="122"/>
        <v/>
      </c>
      <c r="V1743" s="61"/>
      <c r="W1743" s="61"/>
      <c r="X1743" s="61"/>
      <c r="Y1743" s="471"/>
      <c r="Z1743" s="471"/>
      <c r="AA1743" s="61" t="s">
        <v>2590</v>
      </c>
      <c r="AB1743" s="61"/>
    </row>
    <row r="1744" spans="1:28" s="2" customFormat="1" ht="15">
      <c r="A1744" s="61" t="s">
        <v>2286</v>
      </c>
      <c r="B1744" s="61" t="s">
        <v>1331</v>
      </c>
      <c r="C1744" s="61" t="s">
        <v>5263</v>
      </c>
      <c r="D1744" s="61" t="s">
        <v>7838</v>
      </c>
      <c r="E1744" s="61">
        <v>1713</v>
      </c>
      <c r="F1744" s="61">
        <v>1746</v>
      </c>
      <c r="G1744" s="61"/>
      <c r="H1744" s="61"/>
      <c r="I1744" s="61" t="s">
        <v>224</v>
      </c>
      <c r="J1744" s="61"/>
      <c r="K1744" s="61" t="s">
        <v>212</v>
      </c>
      <c r="L1744" s="61"/>
      <c r="M1744" s="61"/>
      <c r="N1744" s="61"/>
      <c r="O1744" s="61"/>
      <c r="P1744" s="61"/>
      <c r="Q1744" s="61"/>
      <c r="R1744" s="61" t="str">
        <f t="shared" si="120"/>
        <v/>
      </c>
      <c r="S1744" s="61" t="str">
        <f t="shared" si="121"/>
        <v/>
      </c>
      <c r="T1744" s="61" t="str">
        <f t="shared" si="119"/>
        <v/>
      </c>
      <c r="U1744" s="61" t="str">
        <f t="shared" si="122"/>
        <v/>
      </c>
      <c r="V1744" s="61"/>
      <c r="W1744" s="61"/>
      <c r="X1744" s="61"/>
      <c r="Y1744" s="471"/>
      <c r="Z1744" s="471"/>
      <c r="AA1744" s="61" t="s">
        <v>2590</v>
      </c>
      <c r="AB1744" s="61"/>
    </row>
    <row r="1745" spans="1:29" s="2" customFormat="1" ht="15">
      <c r="A1745" s="61" t="s">
        <v>2286</v>
      </c>
      <c r="B1745" s="61" t="s">
        <v>1331</v>
      </c>
      <c r="C1745" s="61" t="s">
        <v>5264</v>
      </c>
      <c r="D1745" s="61" t="s">
        <v>7838</v>
      </c>
      <c r="E1745" s="61">
        <v>953</v>
      </c>
      <c r="F1745" s="61">
        <v>904</v>
      </c>
      <c r="G1745" s="61"/>
      <c r="H1745" s="61"/>
      <c r="I1745" s="61" t="s">
        <v>224</v>
      </c>
      <c r="J1745" s="61"/>
      <c r="K1745" s="61" t="s">
        <v>212</v>
      </c>
      <c r="L1745" s="61"/>
      <c r="M1745" s="61"/>
      <c r="N1745" s="61"/>
      <c r="O1745" s="61"/>
      <c r="P1745" s="61"/>
      <c r="Q1745" s="61"/>
      <c r="R1745" s="61" t="str">
        <f t="shared" si="120"/>
        <v/>
      </c>
      <c r="S1745" s="61" t="str">
        <f t="shared" si="121"/>
        <v/>
      </c>
      <c r="T1745" s="61" t="str">
        <f t="shared" si="119"/>
        <v/>
      </c>
      <c r="U1745" s="61" t="str">
        <f t="shared" si="122"/>
        <v/>
      </c>
      <c r="V1745" s="61"/>
      <c r="W1745" s="61"/>
      <c r="X1745" s="61"/>
      <c r="Y1745" s="471"/>
      <c r="Z1745" s="471"/>
      <c r="AA1745" s="61" t="s">
        <v>2590</v>
      </c>
      <c r="AB1745" s="61"/>
    </row>
    <row r="1746" spans="1:29" s="2" customFormat="1" ht="15">
      <c r="A1746" s="61" t="s">
        <v>2286</v>
      </c>
      <c r="B1746" s="61" t="s">
        <v>1331</v>
      </c>
      <c r="C1746" s="61" t="s">
        <v>5267</v>
      </c>
      <c r="D1746" s="61" t="s">
        <v>7838</v>
      </c>
      <c r="E1746" s="61">
        <v>1445</v>
      </c>
      <c r="F1746" s="61">
        <v>1536</v>
      </c>
      <c r="G1746" s="61"/>
      <c r="H1746" s="61"/>
      <c r="I1746" s="61" t="s">
        <v>224</v>
      </c>
      <c r="J1746" s="61"/>
      <c r="K1746" s="61" t="s">
        <v>212</v>
      </c>
      <c r="L1746" s="61"/>
      <c r="M1746" s="61"/>
      <c r="N1746" s="61"/>
      <c r="O1746" s="61"/>
      <c r="P1746" s="61"/>
      <c r="Q1746" s="61"/>
      <c r="R1746" s="61" t="str">
        <f t="shared" si="120"/>
        <v/>
      </c>
      <c r="S1746" s="61" t="str">
        <f t="shared" si="121"/>
        <v/>
      </c>
      <c r="T1746" s="61" t="str">
        <f t="shared" si="119"/>
        <v/>
      </c>
      <c r="U1746" s="61" t="str">
        <f t="shared" si="122"/>
        <v/>
      </c>
      <c r="V1746" s="61"/>
      <c r="W1746" s="61"/>
      <c r="X1746" s="61"/>
      <c r="Y1746" s="471"/>
      <c r="Z1746" s="471"/>
      <c r="AA1746" s="61" t="s">
        <v>2590</v>
      </c>
      <c r="AB1746" s="61"/>
    </row>
    <row r="1747" spans="1:29" s="2" customFormat="1" ht="15">
      <c r="A1747" s="61" t="s">
        <v>2286</v>
      </c>
      <c r="B1747" s="61" t="s">
        <v>1331</v>
      </c>
      <c r="C1747" s="61" t="s">
        <v>5268</v>
      </c>
      <c r="D1747" s="61" t="s">
        <v>7838</v>
      </c>
      <c r="E1747" s="61">
        <v>1657</v>
      </c>
      <c r="F1747" s="61">
        <v>1653</v>
      </c>
      <c r="G1747" s="61"/>
      <c r="H1747" s="61"/>
      <c r="I1747" s="61" t="s">
        <v>224</v>
      </c>
      <c r="J1747" s="61"/>
      <c r="K1747" s="61" t="s">
        <v>212</v>
      </c>
      <c r="L1747" s="61"/>
      <c r="M1747" s="61"/>
      <c r="N1747" s="61"/>
      <c r="O1747" s="61"/>
      <c r="P1747" s="61"/>
      <c r="Q1747" s="61"/>
      <c r="R1747" s="61" t="str">
        <f t="shared" si="120"/>
        <v/>
      </c>
      <c r="S1747" s="61" t="str">
        <f t="shared" si="121"/>
        <v/>
      </c>
      <c r="T1747" s="61" t="str">
        <f t="shared" ref="T1747:T1810" si="123">IF(
  OR(A1747 = "Nueva_Ecija", A1747 = "Zambales"),
  IF(
    OR(ISBLANK(O1747), ISBLANK(P1747)),
    "",
    MAX(1, IF(
      NETWORKDAYS(O1747, P1747) &lt;= 0,
      1,
      NETWORKDAYS(O1747, P1747) - IF(O1747 = P1747, 0, 1)
    ))
  ),
  IF(
    OR(ISBLANK(N1747), ISBLANK(P1747)),
    "",
    MAX(1, IF(
      NETWORKDAYS(N1747, P1747) &lt;= 0,
      1,
      NETWORKDAYS(N1747, P1747) - IF(N1747 = P1747, 0, 1)
    ))
  )
)</f>
        <v/>
      </c>
      <c r="U1747" s="61" t="str">
        <f t="shared" si="122"/>
        <v/>
      </c>
      <c r="V1747" s="61"/>
      <c r="W1747" s="61"/>
      <c r="X1747" s="61"/>
      <c r="Y1747" s="471"/>
      <c r="Z1747" s="471"/>
      <c r="AA1747" s="61" t="s">
        <v>2590</v>
      </c>
      <c r="AB1747" s="61"/>
    </row>
    <row r="1748" spans="1:29" s="2" customFormat="1" ht="15">
      <c r="A1748" s="61" t="s">
        <v>2286</v>
      </c>
      <c r="B1748" s="61" t="s">
        <v>1331</v>
      </c>
      <c r="C1748" s="61" t="s">
        <v>5275</v>
      </c>
      <c r="D1748" s="61" t="s">
        <v>7838</v>
      </c>
      <c r="E1748" s="61">
        <v>1832</v>
      </c>
      <c r="F1748" s="61">
        <v>2019</v>
      </c>
      <c r="G1748" s="61"/>
      <c r="H1748" s="61"/>
      <c r="I1748" s="61" t="s">
        <v>224</v>
      </c>
      <c r="J1748" s="61"/>
      <c r="K1748" s="61" t="s">
        <v>212</v>
      </c>
      <c r="L1748" s="61"/>
      <c r="M1748" s="61"/>
      <c r="N1748" s="61"/>
      <c r="O1748" s="61"/>
      <c r="P1748" s="61"/>
      <c r="Q1748" s="61"/>
      <c r="R1748" s="61" t="str">
        <f t="shared" si="120"/>
        <v/>
      </c>
      <c r="S1748" s="61" t="str">
        <f t="shared" si="121"/>
        <v/>
      </c>
      <c r="T1748" s="61" t="str">
        <f t="shared" si="123"/>
        <v/>
      </c>
      <c r="U1748" s="61" t="str">
        <f t="shared" si="122"/>
        <v/>
      </c>
      <c r="V1748" s="61"/>
      <c r="W1748" s="61"/>
      <c r="X1748" s="61"/>
      <c r="Y1748" s="471"/>
      <c r="Z1748" s="471"/>
      <c r="AA1748" s="61" t="s">
        <v>2590</v>
      </c>
      <c r="AB1748" s="61"/>
    </row>
    <row r="1749" spans="1:29" s="2" customFormat="1" ht="15">
      <c r="A1749" s="61" t="s">
        <v>2286</v>
      </c>
      <c r="B1749" s="61" t="s">
        <v>1331</v>
      </c>
      <c r="C1749" s="61" t="s">
        <v>5278</v>
      </c>
      <c r="D1749" s="61" t="s">
        <v>7838</v>
      </c>
      <c r="E1749" s="61">
        <v>1792</v>
      </c>
      <c r="F1749" s="61">
        <v>2022</v>
      </c>
      <c r="G1749" s="61"/>
      <c r="H1749" s="61"/>
      <c r="I1749" s="61" t="s">
        <v>224</v>
      </c>
      <c r="J1749" s="61"/>
      <c r="K1749" s="61" t="s">
        <v>212</v>
      </c>
      <c r="L1749" s="61"/>
      <c r="M1749" s="61"/>
      <c r="N1749" s="61"/>
      <c r="O1749" s="61"/>
      <c r="P1749" s="61"/>
      <c r="Q1749" s="61"/>
      <c r="R1749" s="61" t="str">
        <f t="shared" si="120"/>
        <v/>
      </c>
      <c r="S1749" s="61" t="str">
        <f t="shared" si="121"/>
        <v/>
      </c>
      <c r="T1749" s="61" t="str">
        <f t="shared" si="123"/>
        <v/>
      </c>
      <c r="U1749" s="61" t="str">
        <f t="shared" si="122"/>
        <v/>
      </c>
      <c r="V1749" s="61"/>
      <c r="W1749" s="61"/>
      <c r="X1749" s="61"/>
      <c r="Y1749" s="471"/>
      <c r="Z1749" s="471"/>
      <c r="AA1749" s="61" t="s">
        <v>2590</v>
      </c>
      <c r="AB1749" s="61"/>
    </row>
    <row r="1750" spans="1:29" s="2" customFormat="1" ht="15">
      <c r="A1750" s="61" t="s">
        <v>2286</v>
      </c>
      <c r="B1750" s="61" t="s">
        <v>1331</v>
      </c>
      <c r="C1750" s="61" t="s">
        <v>5284</v>
      </c>
      <c r="D1750" s="61" t="s">
        <v>7838</v>
      </c>
      <c r="E1750" s="61">
        <v>948</v>
      </c>
      <c r="F1750" s="61">
        <v>1156</v>
      </c>
      <c r="G1750" s="61"/>
      <c r="H1750" s="61"/>
      <c r="I1750" s="61" t="s">
        <v>224</v>
      </c>
      <c r="J1750" s="61"/>
      <c r="K1750" s="61" t="s">
        <v>212</v>
      </c>
      <c r="L1750" s="61"/>
      <c r="M1750" s="61"/>
      <c r="N1750" s="61"/>
      <c r="O1750" s="61"/>
      <c r="P1750" s="61"/>
      <c r="Q1750" s="61"/>
      <c r="R1750" s="61" t="str">
        <f t="shared" si="120"/>
        <v/>
      </c>
      <c r="S1750" s="61" t="str">
        <f t="shared" si="121"/>
        <v/>
      </c>
      <c r="T1750" s="61" t="str">
        <f t="shared" si="123"/>
        <v/>
      </c>
      <c r="U1750" s="61" t="str">
        <f t="shared" si="122"/>
        <v/>
      </c>
      <c r="V1750" s="61"/>
      <c r="W1750" s="61"/>
      <c r="X1750" s="61"/>
      <c r="Y1750" s="471"/>
      <c r="Z1750" s="471"/>
      <c r="AA1750" s="61" t="s">
        <v>2590</v>
      </c>
      <c r="AB1750" s="61"/>
    </row>
    <row r="1751" spans="1:29" s="2" customFormat="1" ht="15">
      <c r="A1751" s="61" t="s">
        <v>2286</v>
      </c>
      <c r="B1751" s="61" t="s">
        <v>1331</v>
      </c>
      <c r="C1751" s="61" t="s">
        <v>5229</v>
      </c>
      <c r="D1751" s="61" t="s">
        <v>7838</v>
      </c>
      <c r="E1751" s="61">
        <v>1201</v>
      </c>
      <c r="F1751" s="61">
        <v>1405</v>
      </c>
      <c r="G1751" s="61"/>
      <c r="H1751" s="61"/>
      <c r="I1751" s="61" t="s">
        <v>224</v>
      </c>
      <c r="J1751" s="61"/>
      <c r="K1751" s="61" t="s">
        <v>212</v>
      </c>
      <c r="L1751" s="61"/>
      <c r="M1751" s="61"/>
      <c r="N1751" s="61"/>
      <c r="O1751" s="61"/>
      <c r="P1751" s="61"/>
      <c r="Q1751" s="61"/>
      <c r="R1751" s="61" t="str">
        <f t="shared" si="120"/>
        <v/>
      </c>
      <c r="S1751" s="61" t="str">
        <f t="shared" si="121"/>
        <v/>
      </c>
      <c r="T1751" s="61" t="str">
        <f t="shared" si="123"/>
        <v/>
      </c>
      <c r="U1751" s="61" t="str">
        <f t="shared" si="122"/>
        <v/>
      </c>
      <c r="V1751" s="61"/>
      <c r="W1751" s="61"/>
      <c r="X1751" s="61"/>
      <c r="Y1751" s="471"/>
      <c r="Z1751" s="471"/>
      <c r="AA1751" s="61" t="s">
        <v>2590</v>
      </c>
      <c r="AB1751" s="61"/>
    </row>
    <row r="1752" spans="1:29" s="2" customFormat="1" ht="15">
      <c r="A1752" s="61" t="s">
        <v>2286</v>
      </c>
      <c r="B1752" s="61" t="s">
        <v>1331</v>
      </c>
      <c r="C1752" s="61" t="s">
        <v>5286</v>
      </c>
      <c r="D1752" s="61" t="s">
        <v>7838</v>
      </c>
      <c r="E1752" s="61">
        <v>2227</v>
      </c>
      <c r="F1752" s="61">
        <v>2243</v>
      </c>
      <c r="G1752" s="61"/>
      <c r="H1752" s="61"/>
      <c r="I1752" s="61" t="s">
        <v>224</v>
      </c>
      <c r="J1752" s="61"/>
      <c r="K1752" s="61" t="s">
        <v>212</v>
      </c>
      <c r="L1752" s="61"/>
      <c r="M1752" s="61"/>
      <c r="N1752" s="61"/>
      <c r="O1752" s="61"/>
      <c r="P1752" s="61"/>
      <c r="Q1752" s="61"/>
      <c r="R1752" s="61" t="str">
        <f t="shared" ref="R1752:R1815" si="124">IF(
    OR(ISBLANK(M1752), ISBLANK(N1752)),
    "",
    MAX(1, IF(
        NETWORKDAYS(M1752, N1752) &lt;= 0,
        1,
        NETWORKDAYS(M1752, N1752) - IF(M1752 = N1752, 0, 1)
    ))
)</f>
        <v/>
      </c>
      <c r="S1752" s="61" t="str">
        <f t="shared" ref="S1752:S1815" si="125">IF(
    OR(ISBLANK(N1752), ISBLANK(O1752)),
    "",
    MAX(1, IF(
        NETWORKDAYS(N1752, O1752) &lt;= 0,
        1,
        NETWORKDAYS(N1752, O1752) - IF(N1752 = O1752, 0, 1)
    ))
)</f>
        <v/>
      </c>
      <c r="T1752" s="61" t="str">
        <f t="shared" si="123"/>
        <v/>
      </c>
      <c r="U1752" s="61" t="str">
        <f t="shared" ref="U1752:U1815" si="126">IF(
    OR(ISBLANK(P1752), ISBLANK(Q1752)),
    "",
    MAX(1, IF(
        NETWORKDAYS(P1752, Q1752) &lt;= 0,
        1,
        NETWORKDAYS(P1752, Q1752) - IF(P1752 = Q1752, 0, 1)
    ))
)</f>
        <v/>
      </c>
      <c r="V1752" s="61"/>
      <c r="W1752" s="61"/>
      <c r="X1752" s="61"/>
      <c r="Y1752" s="471"/>
      <c r="Z1752" s="471"/>
      <c r="AA1752" s="61" t="s">
        <v>2590</v>
      </c>
      <c r="AB1752" s="61"/>
      <c r="AC1752" s="474"/>
    </row>
    <row r="1753" spans="1:29" s="2" customFormat="1" ht="15">
      <c r="A1753" s="61" t="s">
        <v>2286</v>
      </c>
      <c r="B1753" s="61" t="s">
        <v>1331</v>
      </c>
      <c r="C1753" s="61" t="s">
        <v>5288</v>
      </c>
      <c r="D1753" s="61" t="s">
        <v>7838</v>
      </c>
      <c r="E1753" s="61">
        <v>851</v>
      </c>
      <c r="F1753" s="61">
        <v>1017</v>
      </c>
      <c r="G1753" s="61"/>
      <c r="H1753" s="61"/>
      <c r="I1753" s="61" t="s">
        <v>224</v>
      </c>
      <c r="J1753" s="61"/>
      <c r="K1753" s="61" t="s">
        <v>212</v>
      </c>
      <c r="L1753" s="61"/>
      <c r="M1753" s="61"/>
      <c r="N1753" s="61"/>
      <c r="O1753" s="61"/>
      <c r="P1753" s="61"/>
      <c r="Q1753" s="61"/>
      <c r="R1753" s="61" t="str">
        <f t="shared" si="124"/>
        <v/>
      </c>
      <c r="S1753" s="61" t="str">
        <f t="shared" si="125"/>
        <v/>
      </c>
      <c r="T1753" s="61" t="str">
        <f t="shared" si="123"/>
        <v/>
      </c>
      <c r="U1753" s="61" t="str">
        <f t="shared" si="126"/>
        <v/>
      </c>
      <c r="V1753" s="61"/>
      <c r="W1753" s="61"/>
      <c r="X1753" s="61"/>
      <c r="Y1753" s="471"/>
      <c r="Z1753" s="471"/>
      <c r="AA1753" s="61" t="s">
        <v>2590</v>
      </c>
      <c r="AB1753" s="61"/>
    </row>
    <row r="1754" spans="1:29" s="2" customFormat="1" ht="15">
      <c r="A1754" s="61" t="s">
        <v>2286</v>
      </c>
      <c r="B1754" s="61" t="s">
        <v>1331</v>
      </c>
      <c r="C1754" s="61" t="s">
        <v>5290</v>
      </c>
      <c r="D1754" s="61" t="s">
        <v>7838</v>
      </c>
      <c r="E1754" s="61">
        <v>5581</v>
      </c>
      <c r="F1754" s="61">
        <v>5445</v>
      </c>
      <c r="G1754" s="61"/>
      <c r="H1754" s="61"/>
      <c r="I1754" s="61" t="s">
        <v>224</v>
      </c>
      <c r="J1754" s="61"/>
      <c r="K1754" s="61" t="s">
        <v>212</v>
      </c>
      <c r="L1754" s="61"/>
      <c r="M1754" s="61"/>
      <c r="N1754" s="61"/>
      <c r="O1754" s="61"/>
      <c r="P1754" s="61"/>
      <c r="Q1754" s="61"/>
      <c r="R1754" s="61" t="str">
        <f t="shared" si="124"/>
        <v/>
      </c>
      <c r="S1754" s="61" t="str">
        <f t="shared" si="125"/>
        <v/>
      </c>
      <c r="T1754" s="61" t="str">
        <f t="shared" si="123"/>
        <v/>
      </c>
      <c r="U1754" s="61" t="str">
        <f t="shared" si="126"/>
        <v/>
      </c>
      <c r="V1754" s="61"/>
      <c r="W1754" s="61"/>
      <c r="X1754" s="61"/>
      <c r="Y1754" s="471"/>
      <c r="Z1754" s="471"/>
      <c r="AA1754" s="61" t="s">
        <v>2590</v>
      </c>
      <c r="AB1754" s="61"/>
    </row>
    <row r="1755" spans="1:29" s="2" customFormat="1" ht="15">
      <c r="A1755" s="61" t="s">
        <v>2286</v>
      </c>
      <c r="B1755" s="61" t="s">
        <v>1331</v>
      </c>
      <c r="C1755" s="61" t="s">
        <v>4946</v>
      </c>
      <c r="D1755" s="61" t="s">
        <v>7838</v>
      </c>
      <c r="E1755" s="61">
        <v>3409</v>
      </c>
      <c r="F1755" s="61">
        <v>3651</v>
      </c>
      <c r="G1755" s="61"/>
      <c r="H1755" s="61"/>
      <c r="I1755" s="61" t="s">
        <v>224</v>
      </c>
      <c r="J1755" s="61"/>
      <c r="K1755" s="61" t="s">
        <v>212</v>
      </c>
      <c r="L1755" s="61"/>
      <c r="M1755" s="61"/>
      <c r="N1755" s="61"/>
      <c r="O1755" s="61"/>
      <c r="P1755" s="61"/>
      <c r="Q1755" s="61"/>
      <c r="R1755" s="61" t="str">
        <f t="shared" si="124"/>
        <v/>
      </c>
      <c r="S1755" s="61" t="str">
        <f t="shared" si="125"/>
        <v/>
      </c>
      <c r="T1755" s="61" t="str">
        <f t="shared" si="123"/>
        <v/>
      </c>
      <c r="U1755" s="61" t="str">
        <f t="shared" si="126"/>
        <v/>
      </c>
      <c r="V1755" s="61"/>
      <c r="W1755" s="61"/>
      <c r="X1755" s="61"/>
      <c r="Y1755" s="471"/>
      <c r="Z1755" s="471"/>
      <c r="AA1755" s="61" t="s">
        <v>2590</v>
      </c>
      <c r="AB1755" s="61"/>
    </row>
    <row r="1756" spans="1:29" s="2" customFormat="1" ht="15">
      <c r="A1756" s="61" t="s">
        <v>2286</v>
      </c>
      <c r="B1756" s="61" t="s">
        <v>1331</v>
      </c>
      <c r="C1756" s="61" t="s">
        <v>4637</v>
      </c>
      <c r="D1756" s="61" t="s">
        <v>7838</v>
      </c>
      <c r="E1756" s="61">
        <v>2454</v>
      </c>
      <c r="F1756" s="61">
        <v>2667</v>
      </c>
      <c r="G1756" s="61"/>
      <c r="H1756" s="61"/>
      <c r="I1756" s="61" t="s">
        <v>224</v>
      </c>
      <c r="J1756" s="61"/>
      <c r="K1756" s="61" t="s">
        <v>212</v>
      </c>
      <c r="L1756" s="61"/>
      <c r="M1756" s="61"/>
      <c r="N1756" s="61"/>
      <c r="O1756" s="61"/>
      <c r="P1756" s="61"/>
      <c r="Q1756" s="61"/>
      <c r="R1756" s="61" t="str">
        <f t="shared" si="124"/>
        <v/>
      </c>
      <c r="S1756" s="61" t="str">
        <f t="shared" si="125"/>
        <v/>
      </c>
      <c r="T1756" s="61" t="str">
        <f t="shared" si="123"/>
        <v/>
      </c>
      <c r="U1756" s="61" t="str">
        <f t="shared" si="126"/>
        <v/>
      </c>
      <c r="V1756" s="61"/>
      <c r="W1756" s="61"/>
      <c r="X1756" s="61"/>
      <c r="Y1756" s="471"/>
      <c r="Z1756" s="471"/>
      <c r="AA1756" s="61" t="s">
        <v>2590</v>
      </c>
      <c r="AB1756" s="61"/>
    </row>
    <row r="1757" spans="1:29" s="2" customFormat="1" ht="15">
      <c r="A1757" s="61" t="s">
        <v>2286</v>
      </c>
      <c r="B1757" s="61" t="s">
        <v>1331</v>
      </c>
      <c r="C1757" s="61" t="s">
        <v>2116</v>
      </c>
      <c r="D1757" s="61" t="s">
        <v>7838</v>
      </c>
      <c r="E1757" s="61">
        <v>3340</v>
      </c>
      <c r="F1757" s="61">
        <v>3750</v>
      </c>
      <c r="G1757" s="61"/>
      <c r="H1757" s="61"/>
      <c r="I1757" s="61" t="s">
        <v>224</v>
      </c>
      <c r="J1757" s="61"/>
      <c r="K1757" s="61" t="s">
        <v>212</v>
      </c>
      <c r="L1757" s="61"/>
      <c r="M1757" s="61"/>
      <c r="N1757" s="61"/>
      <c r="O1757" s="61"/>
      <c r="P1757" s="61"/>
      <c r="Q1757" s="61"/>
      <c r="R1757" s="61" t="str">
        <f t="shared" si="124"/>
        <v/>
      </c>
      <c r="S1757" s="61" t="str">
        <f t="shared" si="125"/>
        <v/>
      </c>
      <c r="T1757" s="61" t="str">
        <f t="shared" si="123"/>
        <v/>
      </c>
      <c r="U1757" s="61" t="str">
        <f t="shared" si="126"/>
        <v/>
      </c>
      <c r="V1757" s="61"/>
      <c r="W1757" s="61"/>
      <c r="X1757" s="61"/>
      <c r="Y1757" s="471"/>
      <c r="Z1757" s="471"/>
      <c r="AA1757" s="61" t="s">
        <v>2590</v>
      </c>
      <c r="AB1757" s="61"/>
    </row>
    <row r="1758" spans="1:29" s="2" customFormat="1" ht="15">
      <c r="A1758" s="61" t="s">
        <v>2286</v>
      </c>
      <c r="B1758" s="61" t="s">
        <v>1331</v>
      </c>
      <c r="C1758" s="61" t="s">
        <v>1234</v>
      </c>
      <c r="D1758" s="61" t="s">
        <v>7838</v>
      </c>
      <c r="E1758" s="61">
        <v>6435</v>
      </c>
      <c r="F1758" s="61">
        <v>6542</v>
      </c>
      <c r="G1758" s="61"/>
      <c r="H1758" s="61"/>
      <c r="I1758" s="61" t="s">
        <v>224</v>
      </c>
      <c r="J1758" s="61"/>
      <c r="K1758" s="61" t="s">
        <v>212</v>
      </c>
      <c r="L1758" s="61"/>
      <c r="M1758" s="61"/>
      <c r="N1758" s="61"/>
      <c r="O1758" s="61"/>
      <c r="P1758" s="61"/>
      <c r="Q1758" s="61"/>
      <c r="R1758" s="61" t="str">
        <f t="shared" si="124"/>
        <v/>
      </c>
      <c r="S1758" s="61" t="str">
        <f t="shared" si="125"/>
        <v/>
      </c>
      <c r="T1758" s="61" t="str">
        <f t="shared" si="123"/>
        <v/>
      </c>
      <c r="U1758" s="61" t="str">
        <f t="shared" si="126"/>
        <v/>
      </c>
      <c r="V1758" s="61"/>
      <c r="W1758" s="61"/>
      <c r="X1758" s="61"/>
      <c r="Y1758" s="471"/>
      <c r="Z1758" s="471"/>
      <c r="AA1758" s="61" t="s">
        <v>2590</v>
      </c>
      <c r="AB1758" s="61"/>
    </row>
    <row r="1759" spans="1:29" s="2" customFormat="1" ht="15">
      <c r="A1759" s="61" t="s">
        <v>2286</v>
      </c>
      <c r="B1759" s="61" t="s">
        <v>1331</v>
      </c>
      <c r="C1759" s="61" t="s">
        <v>5293</v>
      </c>
      <c r="D1759" s="61" t="s">
        <v>7838</v>
      </c>
      <c r="E1759" s="61">
        <v>2747</v>
      </c>
      <c r="F1759" s="61">
        <v>2769</v>
      </c>
      <c r="G1759" s="61"/>
      <c r="H1759" s="61"/>
      <c r="I1759" s="61" t="s">
        <v>224</v>
      </c>
      <c r="J1759" s="61"/>
      <c r="K1759" s="61" t="s">
        <v>212</v>
      </c>
      <c r="L1759" s="61"/>
      <c r="M1759" s="61"/>
      <c r="N1759" s="61"/>
      <c r="O1759" s="61"/>
      <c r="P1759" s="61"/>
      <c r="Q1759" s="61"/>
      <c r="R1759" s="61" t="str">
        <f t="shared" si="124"/>
        <v/>
      </c>
      <c r="S1759" s="61" t="str">
        <f t="shared" si="125"/>
        <v/>
      </c>
      <c r="T1759" s="61" t="str">
        <f t="shared" si="123"/>
        <v/>
      </c>
      <c r="U1759" s="61" t="str">
        <f t="shared" si="126"/>
        <v/>
      </c>
      <c r="V1759" s="61"/>
      <c r="W1759" s="61"/>
      <c r="X1759" s="61"/>
      <c r="Y1759" s="471"/>
      <c r="Z1759" s="471"/>
      <c r="AA1759" s="61" t="s">
        <v>2590</v>
      </c>
      <c r="AB1759" s="61"/>
    </row>
    <row r="1760" spans="1:29" s="2" customFormat="1" ht="15">
      <c r="A1760" s="61" t="s">
        <v>2286</v>
      </c>
      <c r="B1760" s="61" t="s">
        <v>1331</v>
      </c>
      <c r="C1760" s="61" t="s">
        <v>5294</v>
      </c>
      <c r="D1760" s="61" t="s">
        <v>7838</v>
      </c>
      <c r="E1760" s="61">
        <v>2053</v>
      </c>
      <c r="F1760" s="61">
        <v>2411</v>
      </c>
      <c r="G1760" s="61"/>
      <c r="H1760" s="61"/>
      <c r="I1760" s="61" t="s">
        <v>224</v>
      </c>
      <c r="J1760" s="61"/>
      <c r="K1760" s="61" t="s">
        <v>212</v>
      </c>
      <c r="L1760" s="61"/>
      <c r="M1760" s="61"/>
      <c r="N1760" s="61"/>
      <c r="O1760" s="61"/>
      <c r="P1760" s="61"/>
      <c r="Q1760" s="61"/>
      <c r="R1760" s="61" t="str">
        <f t="shared" si="124"/>
        <v/>
      </c>
      <c r="S1760" s="61" t="str">
        <f t="shared" si="125"/>
        <v/>
      </c>
      <c r="T1760" s="61" t="str">
        <f t="shared" si="123"/>
        <v/>
      </c>
      <c r="U1760" s="61" t="str">
        <f t="shared" si="126"/>
        <v/>
      </c>
      <c r="V1760" s="61"/>
      <c r="W1760" s="61"/>
      <c r="X1760" s="61"/>
      <c r="Y1760" s="471"/>
      <c r="Z1760" s="471"/>
      <c r="AA1760" s="61" t="s">
        <v>2590</v>
      </c>
      <c r="AB1760" s="61"/>
    </row>
    <row r="1761" spans="1:28" s="2" customFormat="1" ht="15">
      <c r="A1761" s="61" t="s">
        <v>2286</v>
      </c>
      <c r="B1761" s="61" t="s">
        <v>1331</v>
      </c>
      <c r="C1761" s="61" t="s">
        <v>5298</v>
      </c>
      <c r="D1761" s="61" t="s">
        <v>7838</v>
      </c>
      <c r="E1761" s="61">
        <v>1093</v>
      </c>
      <c r="F1761" s="61">
        <v>1200</v>
      </c>
      <c r="G1761" s="61"/>
      <c r="H1761" s="61"/>
      <c r="I1761" s="61" t="s">
        <v>224</v>
      </c>
      <c r="J1761" s="61"/>
      <c r="K1761" s="61" t="s">
        <v>212</v>
      </c>
      <c r="L1761" s="61"/>
      <c r="M1761" s="61"/>
      <c r="N1761" s="61"/>
      <c r="O1761" s="61"/>
      <c r="P1761" s="61"/>
      <c r="Q1761" s="61"/>
      <c r="R1761" s="61" t="str">
        <f t="shared" si="124"/>
        <v/>
      </c>
      <c r="S1761" s="61" t="str">
        <f t="shared" si="125"/>
        <v/>
      </c>
      <c r="T1761" s="61" t="str">
        <f t="shared" si="123"/>
        <v/>
      </c>
      <c r="U1761" s="61" t="str">
        <f t="shared" si="126"/>
        <v/>
      </c>
      <c r="V1761" s="61"/>
      <c r="W1761" s="61"/>
      <c r="X1761" s="61"/>
      <c r="Y1761" s="471"/>
      <c r="Z1761" s="471"/>
      <c r="AA1761" s="61" t="s">
        <v>2590</v>
      </c>
      <c r="AB1761" s="61"/>
    </row>
    <row r="1762" spans="1:28" s="2" customFormat="1" ht="15">
      <c r="A1762" s="61" t="s">
        <v>2286</v>
      </c>
      <c r="B1762" s="61" t="s">
        <v>1335</v>
      </c>
      <c r="C1762" s="61" t="s">
        <v>1336</v>
      </c>
      <c r="D1762" s="61" t="s">
        <v>7838</v>
      </c>
      <c r="E1762" s="61">
        <v>683</v>
      </c>
      <c r="F1762" s="61">
        <v>712</v>
      </c>
      <c r="G1762" s="61">
        <v>2025</v>
      </c>
      <c r="H1762" s="61" t="s">
        <v>3458</v>
      </c>
      <c r="I1762" s="61" t="s">
        <v>29</v>
      </c>
      <c r="J1762" s="61" t="s">
        <v>2289</v>
      </c>
      <c r="K1762" s="61" t="s">
        <v>212</v>
      </c>
      <c r="L1762" s="61" t="s">
        <v>8759</v>
      </c>
      <c r="M1762" s="475">
        <v>45694</v>
      </c>
      <c r="N1762" s="475">
        <v>45706</v>
      </c>
      <c r="O1762" s="475">
        <v>45706</v>
      </c>
      <c r="P1762" s="475">
        <v>45706</v>
      </c>
      <c r="Q1762" s="475">
        <v>45706</v>
      </c>
      <c r="R1762" s="61">
        <f t="shared" si="124"/>
        <v>8</v>
      </c>
      <c r="S1762" s="61">
        <f t="shared" si="125"/>
        <v>1</v>
      </c>
      <c r="T1762" s="61">
        <f t="shared" si="123"/>
        <v>1</v>
      </c>
      <c r="U1762" s="61">
        <f t="shared" si="126"/>
        <v>1</v>
      </c>
      <c r="V1762" s="61" t="s">
        <v>150</v>
      </c>
      <c r="W1762" s="61" t="s">
        <v>1078</v>
      </c>
      <c r="X1762" s="61" t="s">
        <v>50</v>
      </c>
      <c r="Y1762" s="473">
        <v>15.7921</v>
      </c>
      <c r="Z1762" s="473">
        <v>120.81100000000001</v>
      </c>
      <c r="AA1762" s="61" t="s">
        <v>8361</v>
      </c>
      <c r="AB1762" s="61"/>
    </row>
    <row r="1763" spans="1:28" s="2" customFormat="1" ht="15">
      <c r="A1763" s="61" t="s">
        <v>2286</v>
      </c>
      <c r="B1763" s="61" t="s">
        <v>1335</v>
      </c>
      <c r="C1763" s="61" t="s">
        <v>5301</v>
      </c>
      <c r="D1763" s="61" t="s">
        <v>7838</v>
      </c>
      <c r="E1763" s="61">
        <v>1276</v>
      </c>
      <c r="F1763" s="61">
        <v>1247</v>
      </c>
      <c r="G1763" s="61"/>
      <c r="H1763" s="61"/>
      <c r="I1763" s="61" t="s">
        <v>29</v>
      </c>
      <c r="J1763" s="61"/>
      <c r="K1763" s="61" t="s">
        <v>212</v>
      </c>
      <c r="L1763" s="61"/>
      <c r="M1763" s="61"/>
      <c r="N1763" s="61"/>
      <c r="O1763" s="61"/>
      <c r="P1763" s="61"/>
      <c r="Q1763" s="61"/>
      <c r="R1763" s="61" t="str">
        <f t="shared" si="124"/>
        <v/>
      </c>
      <c r="S1763" s="61" t="str">
        <f t="shared" si="125"/>
        <v/>
      </c>
      <c r="T1763" s="61" t="str">
        <f t="shared" si="123"/>
        <v/>
      </c>
      <c r="U1763" s="61" t="str">
        <f t="shared" si="126"/>
        <v/>
      </c>
      <c r="V1763" s="61"/>
      <c r="W1763" s="61"/>
      <c r="X1763" s="61"/>
      <c r="Y1763" s="471"/>
      <c r="Z1763" s="471"/>
      <c r="AA1763" s="61"/>
      <c r="AB1763" s="61"/>
    </row>
    <row r="1764" spans="1:28" s="2" customFormat="1" ht="15">
      <c r="A1764" s="61" t="s">
        <v>2286</v>
      </c>
      <c r="B1764" s="61" t="s">
        <v>1335</v>
      </c>
      <c r="C1764" s="61" t="s">
        <v>5302</v>
      </c>
      <c r="D1764" s="61" t="s">
        <v>7838</v>
      </c>
      <c r="E1764" s="61">
        <v>1451</v>
      </c>
      <c r="F1764" s="61">
        <v>1663</v>
      </c>
      <c r="G1764" s="61"/>
      <c r="H1764" s="61"/>
      <c r="I1764" s="61" t="s">
        <v>29</v>
      </c>
      <c r="J1764" s="61"/>
      <c r="K1764" s="61" t="s">
        <v>212</v>
      </c>
      <c r="L1764" s="61"/>
      <c r="M1764" s="61"/>
      <c r="N1764" s="61"/>
      <c r="O1764" s="61"/>
      <c r="P1764" s="61"/>
      <c r="Q1764" s="61"/>
      <c r="R1764" s="61" t="str">
        <f t="shared" si="124"/>
        <v/>
      </c>
      <c r="S1764" s="61" t="str">
        <f t="shared" si="125"/>
        <v/>
      </c>
      <c r="T1764" s="61" t="str">
        <f t="shared" si="123"/>
        <v/>
      </c>
      <c r="U1764" s="61" t="str">
        <f t="shared" si="126"/>
        <v/>
      </c>
      <c r="V1764" s="61"/>
      <c r="W1764" s="61"/>
      <c r="X1764" s="61"/>
      <c r="Y1764" s="471"/>
      <c r="Z1764" s="471"/>
      <c r="AA1764" s="61"/>
      <c r="AB1764" s="61"/>
    </row>
    <row r="1765" spans="1:28" s="2" customFormat="1" ht="15">
      <c r="A1765" s="61" t="s">
        <v>2286</v>
      </c>
      <c r="B1765" s="61" t="s">
        <v>1335</v>
      </c>
      <c r="C1765" s="61" t="s">
        <v>5305</v>
      </c>
      <c r="D1765" s="61" t="s">
        <v>7838</v>
      </c>
      <c r="E1765" s="61">
        <v>597</v>
      </c>
      <c r="F1765" s="61">
        <v>658</v>
      </c>
      <c r="G1765" s="61"/>
      <c r="H1765" s="61"/>
      <c r="I1765" s="61" t="s">
        <v>29</v>
      </c>
      <c r="J1765" s="61"/>
      <c r="K1765" s="61" t="s">
        <v>212</v>
      </c>
      <c r="L1765" s="61"/>
      <c r="M1765" s="61"/>
      <c r="N1765" s="61"/>
      <c r="O1765" s="61"/>
      <c r="P1765" s="61"/>
      <c r="Q1765" s="61"/>
      <c r="R1765" s="61" t="str">
        <f t="shared" si="124"/>
        <v/>
      </c>
      <c r="S1765" s="61" t="str">
        <f t="shared" si="125"/>
        <v/>
      </c>
      <c r="T1765" s="61" t="str">
        <f t="shared" si="123"/>
        <v/>
      </c>
      <c r="U1765" s="61" t="str">
        <f t="shared" si="126"/>
        <v/>
      </c>
      <c r="V1765" s="61"/>
      <c r="W1765" s="61"/>
      <c r="X1765" s="61"/>
      <c r="Y1765" s="471"/>
      <c r="Z1765" s="471"/>
      <c r="AA1765" s="61"/>
      <c r="AB1765" s="61"/>
    </row>
    <row r="1766" spans="1:28" s="2" customFormat="1" ht="15">
      <c r="A1766" s="61" t="s">
        <v>2286</v>
      </c>
      <c r="B1766" s="61" t="s">
        <v>1335</v>
      </c>
      <c r="C1766" s="61" t="s">
        <v>5214</v>
      </c>
      <c r="D1766" s="61" t="s">
        <v>7838</v>
      </c>
      <c r="E1766" s="61">
        <v>472</v>
      </c>
      <c r="F1766" s="61">
        <v>483</v>
      </c>
      <c r="G1766" s="61"/>
      <c r="H1766" s="61"/>
      <c r="I1766" s="61" t="s">
        <v>29</v>
      </c>
      <c r="J1766" s="61"/>
      <c r="K1766" s="61" t="s">
        <v>212</v>
      </c>
      <c r="L1766" s="61"/>
      <c r="M1766" s="61"/>
      <c r="N1766" s="61"/>
      <c r="O1766" s="61"/>
      <c r="P1766" s="61"/>
      <c r="Q1766" s="61"/>
      <c r="R1766" s="61" t="str">
        <f t="shared" si="124"/>
        <v/>
      </c>
      <c r="S1766" s="61" t="str">
        <f t="shared" si="125"/>
        <v/>
      </c>
      <c r="T1766" s="61" t="str">
        <f t="shared" si="123"/>
        <v/>
      </c>
      <c r="U1766" s="61" t="str">
        <f t="shared" si="126"/>
        <v/>
      </c>
      <c r="V1766" s="61"/>
      <c r="W1766" s="61"/>
      <c r="X1766" s="61"/>
      <c r="Y1766" s="471"/>
      <c r="Z1766" s="471"/>
      <c r="AA1766" s="61"/>
      <c r="AB1766" s="61"/>
    </row>
    <row r="1767" spans="1:28" s="2" customFormat="1" ht="15">
      <c r="A1767" s="61" t="s">
        <v>2286</v>
      </c>
      <c r="B1767" s="61" t="s">
        <v>1335</v>
      </c>
      <c r="C1767" s="61" t="s">
        <v>5306</v>
      </c>
      <c r="D1767" s="61" t="s">
        <v>7838</v>
      </c>
      <c r="E1767" s="61">
        <v>800</v>
      </c>
      <c r="F1767" s="61">
        <v>780</v>
      </c>
      <c r="G1767" s="61"/>
      <c r="H1767" s="61"/>
      <c r="I1767" s="61" t="s">
        <v>29</v>
      </c>
      <c r="J1767" s="61"/>
      <c r="K1767" s="61" t="s">
        <v>212</v>
      </c>
      <c r="L1767" s="61"/>
      <c r="M1767" s="61"/>
      <c r="N1767" s="61"/>
      <c r="O1767" s="61"/>
      <c r="P1767" s="61"/>
      <c r="Q1767" s="61"/>
      <c r="R1767" s="61" t="str">
        <f t="shared" si="124"/>
        <v/>
      </c>
      <c r="S1767" s="61" t="str">
        <f t="shared" si="125"/>
        <v/>
      </c>
      <c r="T1767" s="61" t="str">
        <f t="shared" si="123"/>
        <v/>
      </c>
      <c r="U1767" s="61" t="str">
        <f t="shared" si="126"/>
        <v/>
      </c>
      <c r="V1767" s="61"/>
      <c r="W1767" s="61"/>
      <c r="X1767" s="61"/>
      <c r="Y1767" s="471"/>
      <c r="Z1767" s="471"/>
      <c r="AA1767" s="61"/>
      <c r="AB1767" s="61"/>
    </row>
    <row r="1768" spans="1:28" s="2" customFormat="1" ht="15">
      <c r="A1768" s="61" t="s">
        <v>2286</v>
      </c>
      <c r="B1768" s="61" t="s">
        <v>1335</v>
      </c>
      <c r="C1768" s="61" t="s">
        <v>5308</v>
      </c>
      <c r="D1768" s="61" t="s">
        <v>7838</v>
      </c>
      <c r="E1768" s="61">
        <v>851</v>
      </c>
      <c r="F1768" s="61">
        <v>957</v>
      </c>
      <c r="G1768" s="61"/>
      <c r="H1768" s="61"/>
      <c r="I1768" s="61" t="s">
        <v>29</v>
      </c>
      <c r="J1768" s="61"/>
      <c r="K1768" s="61" t="s">
        <v>212</v>
      </c>
      <c r="L1768" s="61"/>
      <c r="M1768" s="61"/>
      <c r="N1768" s="61"/>
      <c r="O1768" s="61"/>
      <c r="P1768" s="61"/>
      <c r="Q1768" s="61"/>
      <c r="R1768" s="61" t="str">
        <f t="shared" si="124"/>
        <v/>
      </c>
      <c r="S1768" s="61" t="str">
        <f t="shared" si="125"/>
        <v/>
      </c>
      <c r="T1768" s="61" t="str">
        <f t="shared" si="123"/>
        <v/>
      </c>
      <c r="U1768" s="61" t="str">
        <f t="shared" si="126"/>
        <v/>
      </c>
      <c r="V1768" s="61"/>
      <c r="W1768" s="61"/>
      <c r="X1768" s="61"/>
      <c r="Y1768" s="471"/>
      <c r="Z1768" s="471"/>
      <c r="AA1768" s="61"/>
      <c r="AB1768" s="61"/>
    </row>
    <row r="1769" spans="1:28" s="2" customFormat="1" ht="15">
      <c r="A1769" s="61" t="s">
        <v>2286</v>
      </c>
      <c r="B1769" s="61" t="s">
        <v>1335</v>
      </c>
      <c r="C1769" s="61" t="s">
        <v>5309</v>
      </c>
      <c r="D1769" s="61" t="s">
        <v>7838</v>
      </c>
      <c r="E1769" s="61">
        <v>778</v>
      </c>
      <c r="F1769" s="61">
        <v>842</v>
      </c>
      <c r="G1769" s="61"/>
      <c r="H1769" s="61"/>
      <c r="I1769" s="61" t="s">
        <v>29</v>
      </c>
      <c r="J1769" s="61"/>
      <c r="K1769" s="61" t="s">
        <v>212</v>
      </c>
      <c r="L1769" s="61"/>
      <c r="M1769" s="61"/>
      <c r="N1769" s="61"/>
      <c r="O1769" s="61"/>
      <c r="P1769" s="61"/>
      <c r="Q1769" s="61"/>
      <c r="R1769" s="61" t="str">
        <f t="shared" si="124"/>
        <v/>
      </c>
      <c r="S1769" s="61" t="str">
        <f t="shared" si="125"/>
        <v/>
      </c>
      <c r="T1769" s="61" t="str">
        <f t="shared" si="123"/>
        <v/>
      </c>
      <c r="U1769" s="61" t="str">
        <f t="shared" si="126"/>
        <v/>
      </c>
      <c r="V1769" s="61"/>
      <c r="W1769" s="61"/>
      <c r="X1769" s="61"/>
      <c r="Y1769" s="471"/>
      <c r="Z1769" s="471"/>
      <c r="AA1769" s="61"/>
      <c r="AB1769" s="61"/>
    </row>
    <row r="1770" spans="1:28" s="2" customFormat="1" ht="15">
      <c r="A1770" s="61" t="s">
        <v>2286</v>
      </c>
      <c r="B1770" s="61" t="s">
        <v>1335</v>
      </c>
      <c r="C1770" s="61" t="s">
        <v>5310</v>
      </c>
      <c r="D1770" s="61" t="s">
        <v>7838</v>
      </c>
      <c r="E1770" s="61">
        <v>1480</v>
      </c>
      <c r="F1770" s="61">
        <v>1520</v>
      </c>
      <c r="G1770" s="61"/>
      <c r="H1770" s="61"/>
      <c r="I1770" s="61" t="s">
        <v>29</v>
      </c>
      <c r="J1770" s="61"/>
      <c r="K1770" s="61" t="s">
        <v>212</v>
      </c>
      <c r="L1770" s="61"/>
      <c r="M1770" s="61"/>
      <c r="N1770" s="61"/>
      <c r="O1770" s="61"/>
      <c r="P1770" s="61"/>
      <c r="Q1770" s="61"/>
      <c r="R1770" s="61" t="str">
        <f t="shared" si="124"/>
        <v/>
      </c>
      <c r="S1770" s="61" t="str">
        <f t="shared" si="125"/>
        <v/>
      </c>
      <c r="T1770" s="61" t="str">
        <f t="shared" si="123"/>
        <v/>
      </c>
      <c r="U1770" s="61" t="str">
        <f t="shared" si="126"/>
        <v/>
      </c>
      <c r="V1770" s="61"/>
      <c r="W1770" s="61"/>
      <c r="X1770" s="61"/>
      <c r="Y1770" s="471"/>
      <c r="Z1770" s="471"/>
      <c r="AA1770" s="61"/>
      <c r="AB1770" s="61"/>
    </row>
    <row r="1771" spans="1:28" s="2" customFormat="1" ht="15">
      <c r="A1771" s="61" t="s">
        <v>2286</v>
      </c>
      <c r="B1771" s="61" t="s">
        <v>1335</v>
      </c>
      <c r="C1771" s="61" t="s">
        <v>5311</v>
      </c>
      <c r="D1771" s="61" t="s">
        <v>7838</v>
      </c>
      <c r="E1771" s="61">
        <v>658</v>
      </c>
      <c r="F1771" s="61">
        <v>730</v>
      </c>
      <c r="G1771" s="61"/>
      <c r="H1771" s="61"/>
      <c r="I1771" s="61" t="s">
        <v>29</v>
      </c>
      <c r="J1771" s="61"/>
      <c r="K1771" s="61" t="s">
        <v>212</v>
      </c>
      <c r="L1771" s="61"/>
      <c r="M1771" s="61"/>
      <c r="N1771" s="61"/>
      <c r="O1771" s="61"/>
      <c r="P1771" s="61"/>
      <c r="Q1771" s="61"/>
      <c r="R1771" s="61" t="str">
        <f t="shared" si="124"/>
        <v/>
      </c>
      <c r="S1771" s="61" t="str">
        <f t="shared" si="125"/>
        <v/>
      </c>
      <c r="T1771" s="61" t="str">
        <f t="shared" si="123"/>
        <v/>
      </c>
      <c r="U1771" s="61" t="str">
        <f t="shared" si="126"/>
        <v/>
      </c>
      <c r="V1771" s="61"/>
      <c r="W1771" s="61"/>
      <c r="X1771" s="61"/>
      <c r="Y1771" s="471"/>
      <c r="Z1771" s="471"/>
      <c r="AA1771" s="61"/>
      <c r="AB1771" s="61"/>
    </row>
    <row r="1772" spans="1:28" s="2" customFormat="1" ht="15">
      <c r="A1772" s="61" t="s">
        <v>2286</v>
      </c>
      <c r="B1772" s="61" t="s">
        <v>1335</v>
      </c>
      <c r="C1772" s="61" t="s">
        <v>5312</v>
      </c>
      <c r="D1772" s="61" t="s">
        <v>7838</v>
      </c>
      <c r="E1772" s="61">
        <v>160</v>
      </c>
      <c r="F1772" s="61">
        <v>159</v>
      </c>
      <c r="G1772" s="61"/>
      <c r="H1772" s="61"/>
      <c r="I1772" s="61" t="s">
        <v>29</v>
      </c>
      <c r="J1772" s="61"/>
      <c r="K1772" s="61" t="s">
        <v>212</v>
      </c>
      <c r="L1772" s="61"/>
      <c r="M1772" s="61"/>
      <c r="N1772" s="61"/>
      <c r="O1772" s="61"/>
      <c r="P1772" s="61"/>
      <c r="Q1772" s="61"/>
      <c r="R1772" s="61" t="str">
        <f t="shared" si="124"/>
        <v/>
      </c>
      <c r="S1772" s="61" t="str">
        <f t="shared" si="125"/>
        <v/>
      </c>
      <c r="T1772" s="61" t="str">
        <f t="shared" si="123"/>
        <v/>
      </c>
      <c r="U1772" s="61" t="str">
        <f t="shared" si="126"/>
        <v/>
      </c>
      <c r="V1772" s="61"/>
      <c r="W1772" s="61"/>
      <c r="X1772" s="61"/>
      <c r="Y1772" s="471"/>
      <c r="Z1772" s="471"/>
      <c r="AA1772" s="61"/>
      <c r="AB1772" s="61"/>
    </row>
    <row r="1773" spans="1:28" s="2" customFormat="1" ht="15">
      <c r="A1773" s="61" t="s">
        <v>2286</v>
      </c>
      <c r="B1773" s="61" t="s">
        <v>1335</v>
      </c>
      <c r="C1773" s="61" t="s">
        <v>5313</v>
      </c>
      <c r="D1773" s="61" t="s">
        <v>7838</v>
      </c>
      <c r="E1773" s="61">
        <v>893</v>
      </c>
      <c r="F1773" s="61">
        <v>936</v>
      </c>
      <c r="G1773" s="61"/>
      <c r="H1773" s="61"/>
      <c r="I1773" s="61" t="s">
        <v>29</v>
      </c>
      <c r="J1773" s="61"/>
      <c r="K1773" s="61" t="s">
        <v>212</v>
      </c>
      <c r="L1773" s="61"/>
      <c r="M1773" s="61"/>
      <c r="N1773" s="61"/>
      <c r="O1773" s="61"/>
      <c r="P1773" s="61"/>
      <c r="Q1773" s="61"/>
      <c r="R1773" s="61" t="str">
        <f t="shared" si="124"/>
        <v/>
      </c>
      <c r="S1773" s="61" t="str">
        <f t="shared" si="125"/>
        <v/>
      </c>
      <c r="T1773" s="61" t="str">
        <f t="shared" si="123"/>
        <v/>
      </c>
      <c r="U1773" s="61" t="str">
        <f t="shared" si="126"/>
        <v/>
      </c>
      <c r="V1773" s="61"/>
      <c r="W1773" s="61"/>
      <c r="X1773" s="61"/>
      <c r="Y1773" s="471"/>
      <c r="Z1773" s="471"/>
      <c r="AA1773" s="61"/>
      <c r="AB1773" s="61"/>
    </row>
    <row r="1774" spans="1:28" s="2" customFormat="1" ht="15">
      <c r="A1774" s="61" t="s">
        <v>2286</v>
      </c>
      <c r="B1774" s="61" t="s">
        <v>1335</v>
      </c>
      <c r="C1774" s="61" t="s">
        <v>5314</v>
      </c>
      <c r="D1774" s="61" t="s">
        <v>7838</v>
      </c>
      <c r="E1774" s="61">
        <v>1091</v>
      </c>
      <c r="F1774" s="61">
        <v>1093</v>
      </c>
      <c r="G1774" s="61"/>
      <c r="H1774" s="61"/>
      <c r="I1774" s="61" t="s">
        <v>29</v>
      </c>
      <c r="J1774" s="61"/>
      <c r="K1774" s="61" t="s">
        <v>212</v>
      </c>
      <c r="L1774" s="61"/>
      <c r="M1774" s="61"/>
      <c r="N1774" s="61"/>
      <c r="O1774" s="61"/>
      <c r="P1774" s="61"/>
      <c r="Q1774" s="61"/>
      <c r="R1774" s="61" t="str">
        <f t="shared" si="124"/>
        <v/>
      </c>
      <c r="S1774" s="61" t="str">
        <f t="shared" si="125"/>
        <v/>
      </c>
      <c r="T1774" s="61" t="str">
        <f t="shared" si="123"/>
        <v/>
      </c>
      <c r="U1774" s="61" t="str">
        <f t="shared" si="126"/>
        <v/>
      </c>
      <c r="V1774" s="61"/>
      <c r="W1774" s="61"/>
      <c r="X1774" s="61"/>
      <c r="Y1774" s="471"/>
      <c r="Z1774" s="471"/>
      <c r="AA1774" s="61"/>
      <c r="AB1774" s="61"/>
    </row>
    <row r="1775" spans="1:28" s="2" customFormat="1" ht="15">
      <c r="A1775" s="61" t="s">
        <v>2286</v>
      </c>
      <c r="B1775" s="61" t="s">
        <v>1335</v>
      </c>
      <c r="C1775" s="61" t="s">
        <v>5315</v>
      </c>
      <c r="D1775" s="61" t="s">
        <v>7838</v>
      </c>
      <c r="E1775" s="61">
        <v>895</v>
      </c>
      <c r="F1775" s="61">
        <v>871</v>
      </c>
      <c r="G1775" s="61"/>
      <c r="H1775" s="61"/>
      <c r="I1775" s="61" t="s">
        <v>29</v>
      </c>
      <c r="J1775" s="61"/>
      <c r="K1775" s="61" t="s">
        <v>212</v>
      </c>
      <c r="L1775" s="61"/>
      <c r="M1775" s="61"/>
      <c r="N1775" s="61"/>
      <c r="O1775" s="61"/>
      <c r="P1775" s="61"/>
      <c r="Q1775" s="61"/>
      <c r="R1775" s="61" t="str">
        <f t="shared" si="124"/>
        <v/>
      </c>
      <c r="S1775" s="61" t="str">
        <f t="shared" si="125"/>
        <v/>
      </c>
      <c r="T1775" s="61" t="str">
        <f t="shared" si="123"/>
        <v/>
      </c>
      <c r="U1775" s="61" t="str">
        <f t="shared" si="126"/>
        <v/>
      </c>
      <c r="V1775" s="61"/>
      <c r="W1775" s="61"/>
      <c r="X1775" s="61"/>
      <c r="Y1775" s="471"/>
      <c r="Z1775" s="471"/>
      <c r="AA1775" s="61"/>
      <c r="AB1775" s="61"/>
    </row>
    <row r="1776" spans="1:28" s="2" customFormat="1" ht="15">
      <c r="A1776" s="61" t="s">
        <v>2286</v>
      </c>
      <c r="B1776" s="61" t="s">
        <v>1335</v>
      </c>
      <c r="C1776" s="61" t="s">
        <v>5316</v>
      </c>
      <c r="D1776" s="61" t="s">
        <v>7838</v>
      </c>
      <c r="E1776" s="61">
        <v>1433</v>
      </c>
      <c r="F1776" s="61">
        <v>1455</v>
      </c>
      <c r="G1776" s="61"/>
      <c r="H1776" s="61"/>
      <c r="I1776" s="61" t="s">
        <v>29</v>
      </c>
      <c r="J1776" s="61"/>
      <c r="K1776" s="61" t="s">
        <v>212</v>
      </c>
      <c r="L1776" s="61"/>
      <c r="M1776" s="61"/>
      <c r="N1776" s="61"/>
      <c r="O1776" s="61"/>
      <c r="P1776" s="61"/>
      <c r="Q1776" s="61"/>
      <c r="R1776" s="61" t="str">
        <f t="shared" si="124"/>
        <v/>
      </c>
      <c r="S1776" s="61" t="str">
        <f t="shared" si="125"/>
        <v/>
      </c>
      <c r="T1776" s="61" t="str">
        <f t="shared" si="123"/>
        <v/>
      </c>
      <c r="U1776" s="61" t="str">
        <f t="shared" si="126"/>
        <v/>
      </c>
      <c r="V1776" s="61"/>
      <c r="W1776" s="61"/>
      <c r="X1776" s="61"/>
      <c r="Y1776" s="471"/>
      <c r="Z1776" s="471"/>
      <c r="AA1776" s="61"/>
      <c r="AB1776" s="61"/>
    </row>
    <row r="1777" spans="1:28" s="2" customFormat="1" ht="15">
      <c r="A1777" s="61" t="s">
        <v>2286</v>
      </c>
      <c r="B1777" s="61" t="s">
        <v>1335</v>
      </c>
      <c r="C1777" s="61" t="s">
        <v>5317</v>
      </c>
      <c r="D1777" s="61" t="s">
        <v>7838</v>
      </c>
      <c r="E1777" s="61">
        <v>1062</v>
      </c>
      <c r="F1777" s="61">
        <v>1230</v>
      </c>
      <c r="G1777" s="61"/>
      <c r="H1777" s="61"/>
      <c r="I1777" s="61" t="s">
        <v>29</v>
      </c>
      <c r="J1777" s="61"/>
      <c r="K1777" s="61" t="s">
        <v>212</v>
      </c>
      <c r="L1777" s="61"/>
      <c r="M1777" s="61"/>
      <c r="N1777" s="61"/>
      <c r="O1777" s="61"/>
      <c r="P1777" s="61"/>
      <c r="Q1777" s="61"/>
      <c r="R1777" s="61" t="str">
        <f t="shared" si="124"/>
        <v/>
      </c>
      <c r="S1777" s="61" t="str">
        <f t="shared" si="125"/>
        <v/>
      </c>
      <c r="T1777" s="61" t="str">
        <f t="shared" si="123"/>
        <v/>
      </c>
      <c r="U1777" s="61" t="str">
        <f t="shared" si="126"/>
        <v/>
      </c>
      <c r="V1777" s="61"/>
      <c r="W1777" s="61"/>
      <c r="X1777" s="61"/>
      <c r="Y1777" s="471"/>
      <c r="Z1777" s="471"/>
      <c r="AA1777" s="61"/>
      <c r="AB1777" s="61"/>
    </row>
    <row r="1778" spans="1:28" s="2" customFormat="1" ht="15">
      <c r="A1778" s="61" t="s">
        <v>2286</v>
      </c>
      <c r="B1778" s="61" t="s">
        <v>1335</v>
      </c>
      <c r="C1778" s="61" t="s">
        <v>5318</v>
      </c>
      <c r="D1778" s="61" t="s">
        <v>7838</v>
      </c>
      <c r="E1778" s="61">
        <v>1071</v>
      </c>
      <c r="F1778" s="61">
        <v>1075</v>
      </c>
      <c r="G1778" s="61"/>
      <c r="H1778" s="61"/>
      <c r="I1778" s="61" t="s">
        <v>29</v>
      </c>
      <c r="J1778" s="61"/>
      <c r="K1778" s="61" t="s">
        <v>212</v>
      </c>
      <c r="L1778" s="61"/>
      <c r="M1778" s="61"/>
      <c r="N1778" s="61"/>
      <c r="O1778" s="61"/>
      <c r="P1778" s="61"/>
      <c r="Q1778" s="61"/>
      <c r="R1778" s="61" t="str">
        <f t="shared" si="124"/>
        <v/>
      </c>
      <c r="S1778" s="61" t="str">
        <f t="shared" si="125"/>
        <v/>
      </c>
      <c r="T1778" s="61" t="str">
        <f t="shared" si="123"/>
        <v/>
      </c>
      <c r="U1778" s="61" t="str">
        <f t="shared" si="126"/>
        <v/>
      </c>
      <c r="V1778" s="61"/>
      <c r="W1778" s="61"/>
      <c r="X1778" s="61"/>
      <c r="Y1778" s="471"/>
      <c r="Z1778" s="471"/>
      <c r="AA1778" s="61"/>
      <c r="AB1778" s="61"/>
    </row>
    <row r="1779" spans="1:28" s="2" customFormat="1" ht="15">
      <c r="A1779" s="61" t="s">
        <v>2286</v>
      </c>
      <c r="B1779" s="61" t="s">
        <v>1335</v>
      </c>
      <c r="C1779" s="61" t="s">
        <v>3715</v>
      </c>
      <c r="D1779" s="61" t="s">
        <v>7838</v>
      </c>
      <c r="E1779" s="61">
        <v>932</v>
      </c>
      <c r="F1779" s="61">
        <v>974</v>
      </c>
      <c r="G1779" s="61"/>
      <c r="H1779" s="61"/>
      <c r="I1779" s="61" t="s">
        <v>29</v>
      </c>
      <c r="J1779" s="61"/>
      <c r="K1779" s="61" t="s">
        <v>212</v>
      </c>
      <c r="L1779" s="61"/>
      <c r="M1779" s="61"/>
      <c r="N1779" s="61"/>
      <c r="O1779" s="61"/>
      <c r="P1779" s="61"/>
      <c r="Q1779" s="61"/>
      <c r="R1779" s="61" t="str">
        <f t="shared" si="124"/>
        <v/>
      </c>
      <c r="S1779" s="61" t="str">
        <f t="shared" si="125"/>
        <v/>
      </c>
      <c r="T1779" s="61" t="str">
        <f t="shared" si="123"/>
        <v/>
      </c>
      <c r="U1779" s="61" t="str">
        <f t="shared" si="126"/>
        <v/>
      </c>
      <c r="V1779" s="61"/>
      <c r="W1779" s="61"/>
      <c r="X1779" s="61"/>
      <c r="Y1779" s="471"/>
      <c r="Z1779" s="471"/>
      <c r="AA1779" s="61"/>
      <c r="AB1779" s="61"/>
    </row>
    <row r="1780" spans="1:28" s="2" customFormat="1" ht="15">
      <c r="A1780" s="61" t="s">
        <v>2286</v>
      </c>
      <c r="B1780" s="61" t="s">
        <v>1335</v>
      </c>
      <c r="C1780" s="61" t="s">
        <v>3717</v>
      </c>
      <c r="D1780" s="61" t="s">
        <v>7838</v>
      </c>
      <c r="E1780" s="61">
        <v>155</v>
      </c>
      <c r="F1780" s="61">
        <v>195</v>
      </c>
      <c r="G1780" s="61"/>
      <c r="H1780" s="61"/>
      <c r="I1780" s="61" t="s">
        <v>29</v>
      </c>
      <c r="J1780" s="61"/>
      <c r="K1780" s="61" t="s">
        <v>212</v>
      </c>
      <c r="L1780" s="61"/>
      <c r="M1780" s="61"/>
      <c r="N1780" s="61"/>
      <c r="O1780" s="61"/>
      <c r="P1780" s="61"/>
      <c r="Q1780" s="61"/>
      <c r="R1780" s="61" t="str">
        <f t="shared" si="124"/>
        <v/>
      </c>
      <c r="S1780" s="61" t="str">
        <f t="shared" si="125"/>
        <v/>
      </c>
      <c r="T1780" s="61" t="str">
        <f t="shared" si="123"/>
        <v/>
      </c>
      <c r="U1780" s="61" t="str">
        <f t="shared" si="126"/>
        <v/>
      </c>
      <c r="V1780" s="61"/>
      <c r="W1780" s="61"/>
      <c r="X1780" s="61"/>
      <c r="Y1780" s="471"/>
      <c r="Z1780" s="471"/>
      <c r="AA1780" s="61"/>
      <c r="AB1780" s="61"/>
    </row>
    <row r="1781" spans="1:28" s="2" customFormat="1" ht="15">
      <c r="A1781" s="61" t="s">
        <v>2286</v>
      </c>
      <c r="B1781" s="61" t="s">
        <v>1335</v>
      </c>
      <c r="C1781" s="61" t="s">
        <v>4476</v>
      </c>
      <c r="D1781" s="61" t="s">
        <v>7838</v>
      </c>
      <c r="E1781" s="61">
        <v>322</v>
      </c>
      <c r="F1781" s="61">
        <v>327</v>
      </c>
      <c r="G1781" s="61"/>
      <c r="H1781" s="61"/>
      <c r="I1781" s="61" t="s">
        <v>29</v>
      </c>
      <c r="J1781" s="61"/>
      <c r="K1781" s="61" t="s">
        <v>212</v>
      </c>
      <c r="L1781" s="61"/>
      <c r="M1781" s="61"/>
      <c r="N1781" s="61"/>
      <c r="O1781" s="61"/>
      <c r="P1781" s="61"/>
      <c r="Q1781" s="61"/>
      <c r="R1781" s="61" t="str">
        <f t="shared" si="124"/>
        <v/>
      </c>
      <c r="S1781" s="61" t="str">
        <f t="shared" si="125"/>
        <v/>
      </c>
      <c r="T1781" s="61" t="str">
        <f t="shared" si="123"/>
        <v/>
      </c>
      <c r="U1781" s="61" t="str">
        <f t="shared" si="126"/>
        <v/>
      </c>
      <c r="V1781" s="61"/>
      <c r="W1781" s="61"/>
      <c r="X1781" s="61"/>
      <c r="Y1781" s="471"/>
      <c r="Z1781" s="471"/>
      <c r="AA1781" s="61"/>
      <c r="AB1781" s="61"/>
    </row>
    <row r="1782" spans="1:28" s="2" customFormat="1" ht="15">
      <c r="A1782" s="61" t="s">
        <v>2286</v>
      </c>
      <c r="B1782" s="61" t="s">
        <v>1335</v>
      </c>
      <c r="C1782" s="61" t="s">
        <v>5319</v>
      </c>
      <c r="D1782" s="61" t="s">
        <v>7838</v>
      </c>
      <c r="E1782" s="61">
        <v>622</v>
      </c>
      <c r="F1782" s="61">
        <v>698</v>
      </c>
      <c r="G1782" s="61"/>
      <c r="H1782" s="61"/>
      <c r="I1782" s="61" t="s">
        <v>29</v>
      </c>
      <c r="J1782" s="61"/>
      <c r="K1782" s="61" t="s">
        <v>212</v>
      </c>
      <c r="L1782" s="61"/>
      <c r="M1782" s="61"/>
      <c r="N1782" s="61"/>
      <c r="O1782" s="61"/>
      <c r="P1782" s="61"/>
      <c r="Q1782" s="61"/>
      <c r="R1782" s="61" t="str">
        <f t="shared" si="124"/>
        <v/>
      </c>
      <c r="S1782" s="61" t="str">
        <f t="shared" si="125"/>
        <v/>
      </c>
      <c r="T1782" s="61" t="str">
        <f t="shared" si="123"/>
        <v/>
      </c>
      <c r="U1782" s="61" t="str">
        <f t="shared" si="126"/>
        <v/>
      </c>
      <c r="V1782" s="61"/>
      <c r="W1782" s="61"/>
      <c r="X1782" s="61"/>
      <c r="Y1782" s="471"/>
      <c r="Z1782" s="471"/>
      <c r="AA1782" s="61"/>
      <c r="AB1782" s="61"/>
    </row>
    <row r="1783" spans="1:28" s="2" customFormat="1" ht="15">
      <c r="A1783" s="61" t="s">
        <v>2286</v>
      </c>
      <c r="B1783" s="61" t="s">
        <v>1335</v>
      </c>
      <c r="C1783" s="61" t="s">
        <v>3133</v>
      </c>
      <c r="D1783" s="61" t="s">
        <v>7838</v>
      </c>
      <c r="E1783" s="61">
        <v>665</v>
      </c>
      <c r="F1783" s="61">
        <v>682</v>
      </c>
      <c r="G1783" s="61"/>
      <c r="H1783" s="61"/>
      <c r="I1783" s="61" t="s">
        <v>29</v>
      </c>
      <c r="J1783" s="61"/>
      <c r="K1783" s="61" t="s">
        <v>212</v>
      </c>
      <c r="L1783" s="61"/>
      <c r="M1783" s="61"/>
      <c r="N1783" s="61"/>
      <c r="O1783" s="61"/>
      <c r="P1783" s="61"/>
      <c r="Q1783" s="61"/>
      <c r="R1783" s="61" t="str">
        <f t="shared" si="124"/>
        <v/>
      </c>
      <c r="S1783" s="61" t="str">
        <f t="shared" si="125"/>
        <v/>
      </c>
      <c r="T1783" s="61" t="str">
        <f t="shared" si="123"/>
        <v/>
      </c>
      <c r="U1783" s="61" t="str">
        <f t="shared" si="126"/>
        <v/>
      </c>
      <c r="V1783" s="61"/>
      <c r="W1783" s="61"/>
      <c r="X1783" s="61"/>
      <c r="Y1783" s="471"/>
      <c r="Z1783" s="471"/>
      <c r="AA1783" s="61"/>
      <c r="AB1783" s="61"/>
    </row>
    <row r="1784" spans="1:28" s="2" customFormat="1" ht="15">
      <c r="A1784" s="61" t="s">
        <v>2286</v>
      </c>
      <c r="B1784" s="61" t="s">
        <v>1335</v>
      </c>
      <c r="C1784" s="61" t="s">
        <v>5320</v>
      </c>
      <c r="D1784" s="61" t="s">
        <v>7838</v>
      </c>
      <c r="E1784" s="61">
        <v>850</v>
      </c>
      <c r="F1784" s="61">
        <v>910</v>
      </c>
      <c r="G1784" s="61"/>
      <c r="H1784" s="61"/>
      <c r="I1784" s="61" t="s">
        <v>29</v>
      </c>
      <c r="J1784" s="61"/>
      <c r="K1784" s="61" t="s">
        <v>212</v>
      </c>
      <c r="L1784" s="61"/>
      <c r="M1784" s="61"/>
      <c r="N1784" s="61"/>
      <c r="O1784" s="61"/>
      <c r="P1784" s="61"/>
      <c r="Q1784" s="61"/>
      <c r="R1784" s="61" t="str">
        <f t="shared" si="124"/>
        <v/>
      </c>
      <c r="S1784" s="61" t="str">
        <f t="shared" si="125"/>
        <v/>
      </c>
      <c r="T1784" s="61" t="str">
        <f t="shared" si="123"/>
        <v/>
      </c>
      <c r="U1784" s="61" t="str">
        <f t="shared" si="126"/>
        <v/>
      </c>
      <c r="V1784" s="61"/>
      <c r="W1784" s="61"/>
      <c r="X1784" s="61"/>
      <c r="Y1784" s="471"/>
      <c r="Z1784" s="471"/>
      <c r="AA1784" s="61"/>
      <c r="AB1784" s="61"/>
    </row>
    <row r="1785" spans="1:28" s="2" customFormat="1" ht="15">
      <c r="A1785" s="61" t="s">
        <v>2286</v>
      </c>
      <c r="B1785" s="61" t="s">
        <v>1335</v>
      </c>
      <c r="C1785" s="61" t="s">
        <v>5321</v>
      </c>
      <c r="D1785" s="61" t="s">
        <v>7838</v>
      </c>
      <c r="E1785" s="61">
        <v>1552</v>
      </c>
      <c r="F1785" s="61">
        <v>1762</v>
      </c>
      <c r="G1785" s="61"/>
      <c r="H1785" s="61"/>
      <c r="I1785" s="61" t="s">
        <v>29</v>
      </c>
      <c r="J1785" s="61"/>
      <c r="K1785" s="61" t="s">
        <v>212</v>
      </c>
      <c r="L1785" s="61"/>
      <c r="M1785" s="61"/>
      <c r="N1785" s="61"/>
      <c r="O1785" s="61"/>
      <c r="P1785" s="61"/>
      <c r="Q1785" s="61"/>
      <c r="R1785" s="61" t="str">
        <f t="shared" si="124"/>
        <v/>
      </c>
      <c r="S1785" s="61" t="str">
        <f t="shared" si="125"/>
        <v/>
      </c>
      <c r="T1785" s="61" t="str">
        <f t="shared" si="123"/>
        <v/>
      </c>
      <c r="U1785" s="61" t="str">
        <f t="shared" si="126"/>
        <v/>
      </c>
      <c r="V1785" s="61"/>
      <c r="W1785" s="61"/>
      <c r="X1785" s="61"/>
      <c r="Y1785" s="471"/>
      <c r="Z1785" s="471"/>
      <c r="AA1785" s="61"/>
      <c r="AB1785" s="61"/>
    </row>
    <row r="1786" spans="1:28" s="2" customFormat="1" ht="15">
      <c r="A1786" s="61" t="s">
        <v>2286</v>
      </c>
      <c r="B1786" s="61" t="s">
        <v>1335</v>
      </c>
      <c r="C1786" s="61" t="s">
        <v>5322</v>
      </c>
      <c r="D1786" s="61" t="s">
        <v>7838</v>
      </c>
      <c r="E1786" s="61">
        <v>945</v>
      </c>
      <c r="F1786" s="61">
        <v>898</v>
      </c>
      <c r="G1786" s="61"/>
      <c r="H1786" s="61"/>
      <c r="I1786" s="61" t="s">
        <v>29</v>
      </c>
      <c r="J1786" s="61"/>
      <c r="K1786" s="61" t="s">
        <v>212</v>
      </c>
      <c r="L1786" s="61"/>
      <c r="M1786" s="61"/>
      <c r="N1786" s="61"/>
      <c r="O1786" s="61"/>
      <c r="P1786" s="61"/>
      <c r="Q1786" s="61"/>
      <c r="R1786" s="61" t="str">
        <f t="shared" si="124"/>
        <v/>
      </c>
      <c r="S1786" s="61" t="str">
        <f t="shared" si="125"/>
        <v/>
      </c>
      <c r="T1786" s="61" t="str">
        <f t="shared" si="123"/>
        <v/>
      </c>
      <c r="U1786" s="61" t="str">
        <f t="shared" si="126"/>
        <v/>
      </c>
      <c r="V1786" s="61"/>
      <c r="W1786" s="61"/>
      <c r="X1786" s="61"/>
      <c r="Y1786" s="471"/>
      <c r="Z1786" s="471"/>
      <c r="AA1786" s="61"/>
      <c r="AB1786" s="61"/>
    </row>
    <row r="1787" spans="1:28" s="2" customFormat="1" ht="15">
      <c r="A1787" s="61" t="s">
        <v>2286</v>
      </c>
      <c r="B1787" s="61" t="s">
        <v>1335</v>
      </c>
      <c r="C1787" s="61" t="s">
        <v>1462</v>
      </c>
      <c r="D1787" s="61" t="s">
        <v>7838</v>
      </c>
      <c r="E1787" s="61">
        <v>625</v>
      </c>
      <c r="F1787" s="61">
        <v>729</v>
      </c>
      <c r="G1787" s="61"/>
      <c r="H1787" s="61"/>
      <c r="I1787" s="61" t="s">
        <v>29</v>
      </c>
      <c r="J1787" s="61"/>
      <c r="K1787" s="61" t="s">
        <v>212</v>
      </c>
      <c r="L1787" s="61"/>
      <c r="M1787" s="61"/>
      <c r="N1787" s="61"/>
      <c r="O1787" s="61"/>
      <c r="P1787" s="61"/>
      <c r="Q1787" s="61"/>
      <c r="R1787" s="61" t="str">
        <f t="shared" si="124"/>
        <v/>
      </c>
      <c r="S1787" s="61" t="str">
        <f t="shared" si="125"/>
        <v/>
      </c>
      <c r="T1787" s="61" t="str">
        <f t="shared" si="123"/>
        <v/>
      </c>
      <c r="U1787" s="61" t="str">
        <f t="shared" si="126"/>
        <v/>
      </c>
      <c r="V1787" s="61"/>
      <c r="W1787" s="61"/>
      <c r="X1787" s="61"/>
      <c r="Y1787" s="471"/>
      <c r="Z1787" s="471"/>
      <c r="AA1787" s="61"/>
      <c r="AB1787" s="61"/>
    </row>
    <row r="1788" spans="1:28" s="2" customFormat="1" ht="15">
      <c r="A1788" s="61" t="s">
        <v>2286</v>
      </c>
      <c r="B1788" s="61" t="s">
        <v>1335</v>
      </c>
      <c r="C1788" s="61" t="s">
        <v>5323</v>
      </c>
      <c r="D1788" s="61" t="s">
        <v>7838</v>
      </c>
      <c r="E1788" s="61">
        <v>1053</v>
      </c>
      <c r="F1788" s="61">
        <v>1192</v>
      </c>
      <c r="G1788" s="61"/>
      <c r="H1788" s="61"/>
      <c r="I1788" s="61" t="s">
        <v>29</v>
      </c>
      <c r="J1788" s="61"/>
      <c r="K1788" s="61" t="s">
        <v>212</v>
      </c>
      <c r="L1788" s="61"/>
      <c r="M1788" s="61"/>
      <c r="N1788" s="61"/>
      <c r="O1788" s="61"/>
      <c r="P1788" s="61"/>
      <c r="Q1788" s="61"/>
      <c r="R1788" s="61" t="str">
        <f t="shared" si="124"/>
        <v/>
      </c>
      <c r="S1788" s="61" t="str">
        <f t="shared" si="125"/>
        <v/>
      </c>
      <c r="T1788" s="61" t="str">
        <f t="shared" si="123"/>
        <v/>
      </c>
      <c r="U1788" s="61" t="str">
        <f t="shared" si="126"/>
        <v/>
      </c>
      <c r="V1788" s="61"/>
      <c r="W1788" s="61"/>
      <c r="X1788" s="61"/>
      <c r="Y1788" s="471"/>
      <c r="Z1788" s="471"/>
      <c r="AA1788" s="61"/>
      <c r="AB1788" s="61"/>
    </row>
    <row r="1789" spans="1:28" s="2" customFormat="1" ht="15">
      <c r="A1789" s="61" t="s">
        <v>2286</v>
      </c>
      <c r="B1789" s="61" t="s">
        <v>1335</v>
      </c>
      <c r="C1789" s="61" t="s">
        <v>5325</v>
      </c>
      <c r="D1789" s="61" t="s">
        <v>7838</v>
      </c>
      <c r="E1789" s="61">
        <v>445</v>
      </c>
      <c r="F1789" s="61">
        <v>458</v>
      </c>
      <c r="G1789" s="61"/>
      <c r="H1789" s="61"/>
      <c r="I1789" s="61" t="s">
        <v>29</v>
      </c>
      <c r="J1789" s="61"/>
      <c r="K1789" s="61" t="s">
        <v>212</v>
      </c>
      <c r="L1789" s="61"/>
      <c r="M1789" s="61"/>
      <c r="N1789" s="61"/>
      <c r="O1789" s="61"/>
      <c r="P1789" s="61"/>
      <c r="Q1789" s="61"/>
      <c r="R1789" s="61" t="str">
        <f t="shared" si="124"/>
        <v/>
      </c>
      <c r="S1789" s="61" t="str">
        <f t="shared" si="125"/>
        <v/>
      </c>
      <c r="T1789" s="61" t="str">
        <f t="shared" si="123"/>
        <v/>
      </c>
      <c r="U1789" s="61" t="str">
        <f t="shared" si="126"/>
        <v/>
      </c>
      <c r="V1789" s="61"/>
      <c r="W1789" s="61"/>
      <c r="X1789" s="61"/>
      <c r="Y1789" s="471"/>
      <c r="Z1789" s="471"/>
      <c r="AA1789" s="61"/>
      <c r="AB1789" s="61"/>
    </row>
    <row r="1790" spans="1:28" s="2" customFormat="1" ht="15">
      <c r="A1790" s="61" t="s">
        <v>2286</v>
      </c>
      <c r="B1790" s="61" t="s">
        <v>5326</v>
      </c>
      <c r="C1790" s="61" t="s">
        <v>5336</v>
      </c>
      <c r="D1790" s="61" t="s">
        <v>7838</v>
      </c>
      <c r="E1790" s="61">
        <v>3257</v>
      </c>
      <c r="F1790" s="61">
        <v>3784</v>
      </c>
      <c r="G1790" s="61">
        <v>2025</v>
      </c>
      <c r="H1790" s="61" t="s">
        <v>3689</v>
      </c>
      <c r="I1790" s="61" t="s">
        <v>224</v>
      </c>
      <c r="J1790" s="61" t="s">
        <v>2289</v>
      </c>
      <c r="K1790" s="61" t="s">
        <v>212</v>
      </c>
      <c r="L1790" s="61" t="s">
        <v>8760</v>
      </c>
      <c r="M1790" s="475">
        <v>45797</v>
      </c>
      <c r="N1790" s="475">
        <v>45800</v>
      </c>
      <c r="O1790" s="475">
        <v>45803</v>
      </c>
      <c r="P1790" s="475">
        <v>45804</v>
      </c>
      <c r="Q1790" s="475">
        <v>45805</v>
      </c>
      <c r="R1790" s="61">
        <f t="shared" si="124"/>
        <v>3</v>
      </c>
      <c r="S1790" s="61">
        <f t="shared" si="125"/>
        <v>1</v>
      </c>
      <c r="T1790" s="61">
        <f t="shared" si="123"/>
        <v>1</v>
      </c>
      <c r="U1790" s="61">
        <f t="shared" si="126"/>
        <v>1</v>
      </c>
      <c r="V1790" s="61" t="s">
        <v>150</v>
      </c>
      <c r="W1790" s="61" t="s">
        <v>4</v>
      </c>
      <c r="X1790" s="61" t="s">
        <v>50</v>
      </c>
      <c r="Y1790" s="473">
        <v>15.459300000000001</v>
      </c>
      <c r="Z1790" s="473" t="s">
        <v>8761</v>
      </c>
      <c r="AA1790" s="61" t="s">
        <v>2590</v>
      </c>
      <c r="AB1790" s="61"/>
    </row>
    <row r="1791" spans="1:28" s="2" customFormat="1" ht="15">
      <c r="A1791" s="61" t="s">
        <v>2286</v>
      </c>
      <c r="B1791" s="61" t="s">
        <v>5326</v>
      </c>
      <c r="C1791" s="61" t="s">
        <v>5328</v>
      </c>
      <c r="D1791" s="61" t="s">
        <v>7838</v>
      </c>
      <c r="E1791" s="61">
        <v>3405</v>
      </c>
      <c r="F1791" s="61">
        <v>3623</v>
      </c>
      <c r="G1791" s="61">
        <v>2025</v>
      </c>
      <c r="H1791" s="61" t="s">
        <v>3458</v>
      </c>
      <c r="I1791" s="61" t="s">
        <v>224</v>
      </c>
      <c r="J1791" s="61" t="s">
        <v>2289</v>
      </c>
      <c r="K1791" s="61" t="s">
        <v>212</v>
      </c>
      <c r="L1791" s="476" t="s">
        <v>8762</v>
      </c>
      <c r="M1791" s="475">
        <v>45699</v>
      </c>
      <c r="N1791" s="475">
        <v>45701</v>
      </c>
      <c r="O1791" s="475">
        <v>45702</v>
      </c>
      <c r="P1791" s="475">
        <v>45702</v>
      </c>
      <c r="Q1791" s="475">
        <v>45706</v>
      </c>
      <c r="R1791" s="61">
        <f t="shared" si="124"/>
        <v>2</v>
      </c>
      <c r="S1791" s="61">
        <f t="shared" si="125"/>
        <v>1</v>
      </c>
      <c r="T1791" s="61">
        <f t="shared" si="123"/>
        <v>1</v>
      </c>
      <c r="U1791" s="61">
        <f t="shared" si="126"/>
        <v>2</v>
      </c>
      <c r="V1791" s="61" t="s">
        <v>150</v>
      </c>
      <c r="W1791" s="61" t="s">
        <v>1078</v>
      </c>
      <c r="X1791" s="61" t="s">
        <v>50</v>
      </c>
      <c r="Y1791" s="473">
        <v>15.445399999999999</v>
      </c>
      <c r="Z1791" s="473" t="s">
        <v>8763</v>
      </c>
      <c r="AA1791" s="61" t="s">
        <v>2590</v>
      </c>
      <c r="AB1791" s="61"/>
    </row>
    <row r="1792" spans="1:28" s="2" customFormat="1" ht="15">
      <c r="A1792" s="61" t="s">
        <v>2286</v>
      </c>
      <c r="B1792" s="61" t="s">
        <v>5326</v>
      </c>
      <c r="C1792" s="61" t="s">
        <v>4683</v>
      </c>
      <c r="D1792" s="61" t="s">
        <v>7838</v>
      </c>
      <c r="E1792" s="61">
        <v>2285</v>
      </c>
      <c r="F1792" s="61">
        <v>2424</v>
      </c>
      <c r="G1792" s="61">
        <v>2025</v>
      </c>
      <c r="H1792" s="61" t="s">
        <v>3458</v>
      </c>
      <c r="I1792" s="61" t="s">
        <v>224</v>
      </c>
      <c r="J1792" s="61" t="s">
        <v>2289</v>
      </c>
      <c r="K1792" s="61" t="s">
        <v>212</v>
      </c>
      <c r="L1792" s="61" t="s">
        <v>8764</v>
      </c>
      <c r="M1792" s="475">
        <v>45699</v>
      </c>
      <c r="N1792" s="475">
        <v>45701</v>
      </c>
      <c r="O1792" s="475">
        <v>45702</v>
      </c>
      <c r="P1792" s="475">
        <v>45702</v>
      </c>
      <c r="Q1792" s="475">
        <v>45705</v>
      </c>
      <c r="R1792" s="61">
        <f t="shared" si="124"/>
        <v>2</v>
      </c>
      <c r="S1792" s="61">
        <f t="shared" si="125"/>
        <v>1</v>
      </c>
      <c r="T1792" s="61">
        <f t="shared" si="123"/>
        <v>1</v>
      </c>
      <c r="U1792" s="61">
        <f t="shared" si="126"/>
        <v>1</v>
      </c>
      <c r="V1792" s="61" t="s">
        <v>150</v>
      </c>
      <c r="W1792" s="61" t="s">
        <v>1078</v>
      </c>
      <c r="X1792" s="61" t="s">
        <v>57</v>
      </c>
      <c r="Y1792" s="473">
        <v>15.4605</v>
      </c>
      <c r="Z1792" s="473" t="s">
        <v>8765</v>
      </c>
      <c r="AA1792" s="61" t="s">
        <v>2590</v>
      </c>
      <c r="AB1792" s="61"/>
    </row>
    <row r="1793" spans="1:28" s="2" customFormat="1" ht="15">
      <c r="A1793" s="61" t="s">
        <v>2286</v>
      </c>
      <c r="B1793" s="61" t="s">
        <v>5326</v>
      </c>
      <c r="C1793" s="61" t="s">
        <v>5327</v>
      </c>
      <c r="D1793" s="61" t="s">
        <v>7838</v>
      </c>
      <c r="E1793" s="61">
        <v>3792</v>
      </c>
      <c r="F1793" s="61">
        <v>4241</v>
      </c>
      <c r="G1793" s="61"/>
      <c r="H1793" s="61"/>
      <c r="I1793" s="61" t="s">
        <v>224</v>
      </c>
      <c r="J1793" s="61"/>
      <c r="K1793" s="61" t="s">
        <v>212</v>
      </c>
      <c r="L1793" s="61"/>
      <c r="M1793" s="61"/>
      <c r="N1793" s="61"/>
      <c r="O1793" s="61"/>
      <c r="P1793" s="61"/>
      <c r="Q1793" s="61"/>
      <c r="R1793" s="61" t="str">
        <f t="shared" si="124"/>
        <v/>
      </c>
      <c r="S1793" s="61" t="str">
        <f t="shared" si="125"/>
        <v/>
      </c>
      <c r="T1793" s="61" t="str">
        <f t="shared" si="123"/>
        <v/>
      </c>
      <c r="U1793" s="61" t="str">
        <f t="shared" si="126"/>
        <v/>
      </c>
      <c r="V1793" s="61"/>
      <c r="W1793" s="61"/>
      <c r="X1793" s="61"/>
      <c r="Y1793" s="471"/>
      <c r="Z1793" s="471"/>
      <c r="AA1793" s="61"/>
      <c r="AB1793" s="61"/>
    </row>
    <row r="1794" spans="1:28" s="2" customFormat="1" ht="15">
      <c r="A1794" s="61" t="s">
        <v>2286</v>
      </c>
      <c r="B1794" s="61" t="s">
        <v>5326</v>
      </c>
      <c r="C1794" s="61" t="s">
        <v>1185</v>
      </c>
      <c r="D1794" s="61" t="s">
        <v>7838</v>
      </c>
      <c r="E1794" s="61">
        <v>5534</v>
      </c>
      <c r="F1794" s="61">
        <v>5965</v>
      </c>
      <c r="G1794" s="61"/>
      <c r="H1794" s="61"/>
      <c r="I1794" s="61" t="s">
        <v>224</v>
      </c>
      <c r="J1794" s="61"/>
      <c r="K1794" s="61" t="s">
        <v>212</v>
      </c>
      <c r="L1794" s="61"/>
      <c r="M1794" s="61"/>
      <c r="N1794" s="61"/>
      <c r="O1794" s="61"/>
      <c r="P1794" s="61"/>
      <c r="Q1794" s="61"/>
      <c r="R1794" s="61" t="str">
        <f t="shared" si="124"/>
        <v/>
      </c>
      <c r="S1794" s="61" t="str">
        <f t="shared" si="125"/>
        <v/>
      </c>
      <c r="T1794" s="61" t="str">
        <f t="shared" si="123"/>
        <v/>
      </c>
      <c r="U1794" s="61" t="str">
        <f t="shared" si="126"/>
        <v/>
      </c>
      <c r="V1794" s="61"/>
      <c r="W1794" s="61"/>
      <c r="X1794" s="61"/>
      <c r="Y1794" s="471"/>
      <c r="Z1794" s="471"/>
      <c r="AA1794" s="61"/>
      <c r="AB1794" s="61"/>
    </row>
    <row r="1795" spans="1:28" s="2" customFormat="1" ht="15">
      <c r="A1795" s="61" t="s">
        <v>2286</v>
      </c>
      <c r="B1795" s="61" t="s">
        <v>5326</v>
      </c>
      <c r="C1795" s="61" t="s">
        <v>5063</v>
      </c>
      <c r="D1795" s="61" t="s">
        <v>7838</v>
      </c>
      <c r="E1795" s="61">
        <v>3528</v>
      </c>
      <c r="F1795" s="61">
        <v>3746</v>
      </c>
      <c r="G1795" s="61"/>
      <c r="H1795" s="61"/>
      <c r="I1795" s="61" t="s">
        <v>224</v>
      </c>
      <c r="J1795" s="61"/>
      <c r="K1795" s="61" t="s">
        <v>212</v>
      </c>
      <c r="L1795" s="61"/>
      <c r="M1795" s="61"/>
      <c r="N1795" s="61"/>
      <c r="O1795" s="61"/>
      <c r="P1795" s="61"/>
      <c r="Q1795" s="61"/>
      <c r="R1795" s="61" t="str">
        <f t="shared" si="124"/>
        <v/>
      </c>
      <c r="S1795" s="61" t="str">
        <f t="shared" si="125"/>
        <v/>
      </c>
      <c r="T1795" s="61" t="str">
        <f t="shared" si="123"/>
        <v/>
      </c>
      <c r="U1795" s="61" t="str">
        <f t="shared" si="126"/>
        <v/>
      </c>
      <c r="V1795" s="61"/>
      <c r="W1795" s="61"/>
      <c r="X1795" s="61"/>
      <c r="Y1795" s="471"/>
      <c r="Z1795" s="471"/>
      <c r="AA1795" s="61"/>
      <c r="AB1795" s="61"/>
    </row>
    <row r="1796" spans="1:28" s="2" customFormat="1" ht="15">
      <c r="A1796" s="61" t="s">
        <v>2286</v>
      </c>
      <c r="B1796" s="61" t="s">
        <v>5326</v>
      </c>
      <c r="C1796" s="61" t="s">
        <v>5331</v>
      </c>
      <c r="D1796" s="61" t="s">
        <v>7838</v>
      </c>
      <c r="E1796" s="61">
        <v>757</v>
      </c>
      <c r="F1796" s="61">
        <v>860</v>
      </c>
      <c r="G1796" s="61"/>
      <c r="H1796" s="61"/>
      <c r="I1796" s="61" t="s">
        <v>224</v>
      </c>
      <c r="J1796" s="61"/>
      <c r="K1796" s="61" t="s">
        <v>212</v>
      </c>
      <c r="L1796" s="61"/>
      <c r="M1796" s="61"/>
      <c r="N1796" s="61"/>
      <c r="O1796" s="61"/>
      <c r="P1796" s="61"/>
      <c r="Q1796" s="61"/>
      <c r="R1796" s="61" t="str">
        <f t="shared" si="124"/>
        <v/>
      </c>
      <c r="S1796" s="61" t="str">
        <f t="shared" si="125"/>
        <v/>
      </c>
      <c r="T1796" s="61" t="str">
        <f t="shared" si="123"/>
        <v/>
      </c>
      <c r="U1796" s="61" t="str">
        <f t="shared" si="126"/>
        <v/>
      </c>
      <c r="V1796" s="61"/>
      <c r="W1796" s="61"/>
      <c r="X1796" s="61"/>
      <c r="Y1796" s="471"/>
      <c r="Z1796" s="471"/>
      <c r="AA1796" s="61"/>
      <c r="AB1796" s="61"/>
    </row>
    <row r="1797" spans="1:28" s="2" customFormat="1" ht="15">
      <c r="A1797" s="61" t="s">
        <v>2286</v>
      </c>
      <c r="B1797" s="61" t="s">
        <v>5326</v>
      </c>
      <c r="C1797" s="61" t="s">
        <v>5332</v>
      </c>
      <c r="D1797" s="61" t="s">
        <v>7838</v>
      </c>
      <c r="E1797" s="61">
        <v>2884</v>
      </c>
      <c r="F1797" s="61">
        <v>3211</v>
      </c>
      <c r="G1797" s="61"/>
      <c r="H1797" s="61"/>
      <c r="I1797" s="61" t="s">
        <v>224</v>
      </c>
      <c r="J1797" s="61"/>
      <c r="K1797" s="61" t="s">
        <v>212</v>
      </c>
      <c r="L1797" s="61"/>
      <c r="M1797" s="61"/>
      <c r="N1797" s="61"/>
      <c r="O1797" s="61"/>
      <c r="P1797" s="61"/>
      <c r="Q1797" s="61"/>
      <c r="R1797" s="61" t="str">
        <f t="shared" si="124"/>
        <v/>
      </c>
      <c r="S1797" s="61" t="str">
        <f t="shared" si="125"/>
        <v/>
      </c>
      <c r="T1797" s="61" t="str">
        <f t="shared" si="123"/>
        <v/>
      </c>
      <c r="U1797" s="61" t="str">
        <f t="shared" si="126"/>
        <v/>
      </c>
      <c r="V1797" s="61"/>
      <c r="W1797" s="61"/>
      <c r="X1797" s="61"/>
      <c r="Y1797" s="471"/>
      <c r="Z1797" s="471"/>
      <c r="AA1797" s="61"/>
      <c r="AB1797" s="61"/>
    </row>
    <row r="1798" spans="1:28" s="2" customFormat="1" ht="15">
      <c r="A1798" s="61" t="s">
        <v>2286</v>
      </c>
      <c r="B1798" s="61" t="s">
        <v>5326</v>
      </c>
      <c r="C1798" s="61" t="s">
        <v>5333</v>
      </c>
      <c r="D1798" s="61" t="s">
        <v>7838</v>
      </c>
      <c r="E1798" s="61">
        <v>1271</v>
      </c>
      <c r="F1798" s="61">
        <v>1375</v>
      </c>
      <c r="G1798" s="61"/>
      <c r="H1798" s="61"/>
      <c r="I1798" s="61" t="s">
        <v>224</v>
      </c>
      <c r="J1798" s="61"/>
      <c r="K1798" s="61" t="s">
        <v>212</v>
      </c>
      <c r="L1798" s="61"/>
      <c r="M1798" s="61"/>
      <c r="N1798" s="61"/>
      <c r="O1798" s="61"/>
      <c r="P1798" s="61"/>
      <c r="Q1798" s="61"/>
      <c r="R1798" s="61" t="str">
        <f t="shared" si="124"/>
        <v/>
      </c>
      <c r="S1798" s="61" t="str">
        <f t="shared" si="125"/>
        <v/>
      </c>
      <c r="T1798" s="61" t="str">
        <f t="shared" si="123"/>
        <v/>
      </c>
      <c r="U1798" s="61" t="str">
        <f t="shared" si="126"/>
        <v/>
      </c>
      <c r="V1798" s="61"/>
      <c r="W1798" s="61"/>
      <c r="X1798" s="61"/>
      <c r="Y1798" s="471"/>
      <c r="Z1798" s="471"/>
      <c r="AA1798" s="61"/>
      <c r="AB1798" s="61"/>
    </row>
    <row r="1799" spans="1:28" s="2" customFormat="1" ht="15">
      <c r="A1799" s="61" t="s">
        <v>2286</v>
      </c>
      <c r="B1799" s="61" t="s">
        <v>5326</v>
      </c>
      <c r="C1799" s="61" t="s">
        <v>5334</v>
      </c>
      <c r="D1799" s="61" t="s">
        <v>7838</v>
      </c>
      <c r="E1799" s="61">
        <v>1357</v>
      </c>
      <c r="F1799" s="61">
        <v>1595</v>
      </c>
      <c r="G1799" s="61"/>
      <c r="H1799" s="61"/>
      <c r="I1799" s="61" t="s">
        <v>224</v>
      </c>
      <c r="J1799" s="61"/>
      <c r="K1799" s="61" t="s">
        <v>212</v>
      </c>
      <c r="L1799" s="61"/>
      <c r="M1799" s="61"/>
      <c r="N1799" s="61"/>
      <c r="O1799" s="61"/>
      <c r="P1799" s="61"/>
      <c r="Q1799" s="61"/>
      <c r="R1799" s="61" t="str">
        <f t="shared" si="124"/>
        <v/>
      </c>
      <c r="S1799" s="61" t="str">
        <f t="shared" si="125"/>
        <v/>
      </c>
      <c r="T1799" s="61" t="str">
        <f t="shared" si="123"/>
        <v/>
      </c>
      <c r="U1799" s="61" t="str">
        <f t="shared" si="126"/>
        <v/>
      </c>
      <c r="V1799" s="61"/>
      <c r="W1799" s="61"/>
      <c r="X1799" s="61"/>
      <c r="Y1799" s="471"/>
      <c r="Z1799" s="471"/>
      <c r="AA1799" s="61"/>
      <c r="AB1799" s="61"/>
    </row>
    <row r="1800" spans="1:28" s="2" customFormat="1" ht="15">
      <c r="A1800" s="61" t="s">
        <v>2286</v>
      </c>
      <c r="B1800" s="61" t="s">
        <v>5326</v>
      </c>
      <c r="C1800" s="61" t="s">
        <v>1197</v>
      </c>
      <c r="D1800" s="61" t="s">
        <v>7838</v>
      </c>
      <c r="E1800" s="61">
        <v>1317</v>
      </c>
      <c r="F1800" s="61">
        <v>1329</v>
      </c>
      <c r="G1800" s="61"/>
      <c r="H1800" s="61"/>
      <c r="I1800" s="61" t="s">
        <v>224</v>
      </c>
      <c r="J1800" s="61"/>
      <c r="K1800" s="61" t="s">
        <v>212</v>
      </c>
      <c r="L1800" s="61"/>
      <c r="M1800" s="61"/>
      <c r="N1800" s="61"/>
      <c r="O1800" s="61"/>
      <c r="P1800" s="61"/>
      <c r="Q1800" s="61"/>
      <c r="R1800" s="61" t="str">
        <f t="shared" si="124"/>
        <v/>
      </c>
      <c r="S1800" s="61" t="str">
        <f t="shared" si="125"/>
        <v/>
      </c>
      <c r="T1800" s="61" t="str">
        <f t="shared" si="123"/>
        <v/>
      </c>
      <c r="U1800" s="61" t="str">
        <f t="shared" si="126"/>
        <v/>
      </c>
      <c r="V1800" s="61"/>
      <c r="W1800" s="61"/>
      <c r="X1800" s="61"/>
      <c r="Y1800" s="471"/>
      <c r="Z1800" s="471"/>
      <c r="AA1800" s="61"/>
      <c r="AB1800" s="61"/>
    </row>
    <row r="1801" spans="1:28" s="2" customFormat="1" ht="15">
      <c r="A1801" s="61" t="s">
        <v>2286</v>
      </c>
      <c r="B1801" s="61" t="s">
        <v>5326</v>
      </c>
      <c r="C1801" s="61" t="s">
        <v>1180</v>
      </c>
      <c r="D1801" s="61" t="s">
        <v>7838</v>
      </c>
      <c r="E1801" s="61">
        <v>5944</v>
      </c>
      <c r="F1801" s="61">
        <v>6130</v>
      </c>
      <c r="G1801" s="61"/>
      <c r="H1801" s="61"/>
      <c r="I1801" s="61" t="s">
        <v>224</v>
      </c>
      <c r="J1801" s="61"/>
      <c r="K1801" s="61" t="s">
        <v>212</v>
      </c>
      <c r="L1801" s="61"/>
      <c r="M1801" s="61"/>
      <c r="N1801" s="61"/>
      <c r="O1801" s="61"/>
      <c r="P1801" s="61"/>
      <c r="Q1801" s="61"/>
      <c r="R1801" s="61" t="str">
        <f t="shared" si="124"/>
        <v/>
      </c>
      <c r="S1801" s="61" t="str">
        <f t="shared" si="125"/>
        <v/>
      </c>
      <c r="T1801" s="61" t="str">
        <f t="shared" si="123"/>
        <v/>
      </c>
      <c r="U1801" s="61" t="str">
        <f t="shared" si="126"/>
        <v/>
      </c>
      <c r="V1801" s="61"/>
      <c r="W1801" s="61"/>
      <c r="X1801" s="61"/>
      <c r="Y1801" s="471"/>
      <c r="Z1801" s="471"/>
      <c r="AA1801" s="61"/>
      <c r="AB1801" s="61"/>
    </row>
    <row r="1802" spans="1:28" s="2" customFormat="1" ht="15">
      <c r="A1802" s="61" t="s">
        <v>2286</v>
      </c>
      <c r="B1802" s="61" t="s">
        <v>5326</v>
      </c>
      <c r="C1802" s="61" t="s">
        <v>1155</v>
      </c>
      <c r="D1802" s="61" t="s">
        <v>7838</v>
      </c>
      <c r="E1802" s="61">
        <v>1340</v>
      </c>
      <c r="F1802" s="61">
        <v>1366</v>
      </c>
      <c r="G1802" s="61"/>
      <c r="H1802" s="61"/>
      <c r="I1802" s="61" t="s">
        <v>224</v>
      </c>
      <c r="J1802" s="61"/>
      <c r="K1802" s="61" t="s">
        <v>212</v>
      </c>
      <c r="L1802" s="61"/>
      <c r="M1802" s="61"/>
      <c r="N1802" s="61"/>
      <c r="O1802" s="61"/>
      <c r="P1802" s="61"/>
      <c r="Q1802" s="61"/>
      <c r="R1802" s="61" t="str">
        <f t="shared" si="124"/>
        <v/>
      </c>
      <c r="S1802" s="61" t="str">
        <f t="shared" si="125"/>
        <v/>
      </c>
      <c r="T1802" s="61" t="str">
        <f t="shared" si="123"/>
        <v/>
      </c>
      <c r="U1802" s="61" t="str">
        <f t="shared" si="126"/>
        <v/>
      </c>
      <c r="V1802" s="61"/>
      <c r="W1802" s="61"/>
      <c r="X1802" s="61"/>
      <c r="Y1802" s="471"/>
      <c r="Z1802" s="471"/>
      <c r="AA1802" s="61"/>
      <c r="AB1802" s="61"/>
    </row>
    <row r="1803" spans="1:28" s="2" customFormat="1" ht="15">
      <c r="A1803" s="61" t="s">
        <v>2286</v>
      </c>
      <c r="B1803" s="61" t="s">
        <v>5326</v>
      </c>
      <c r="C1803" s="61" t="s">
        <v>3878</v>
      </c>
      <c r="D1803" s="61" t="s">
        <v>7838</v>
      </c>
      <c r="E1803" s="61">
        <v>1544</v>
      </c>
      <c r="F1803" s="61">
        <v>1562</v>
      </c>
      <c r="G1803" s="61"/>
      <c r="H1803" s="61"/>
      <c r="I1803" s="61" t="s">
        <v>224</v>
      </c>
      <c r="J1803" s="61"/>
      <c r="K1803" s="61" t="s">
        <v>212</v>
      </c>
      <c r="L1803" s="61"/>
      <c r="M1803" s="61"/>
      <c r="N1803" s="61"/>
      <c r="O1803" s="61"/>
      <c r="P1803" s="61"/>
      <c r="Q1803" s="61"/>
      <c r="R1803" s="61" t="str">
        <f t="shared" si="124"/>
        <v/>
      </c>
      <c r="S1803" s="61" t="str">
        <f t="shared" si="125"/>
        <v/>
      </c>
      <c r="T1803" s="61" t="str">
        <f t="shared" si="123"/>
        <v/>
      </c>
      <c r="U1803" s="61" t="str">
        <f t="shared" si="126"/>
        <v/>
      </c>
      <c r="V1803" s="61"/>
      <c r="W1803" s="61"/>
      <c r="X1803" s="61"/>
      <c r="Y1803" s="471"/>
      <c r="Z1803" s="471"/>
      <c r="AA1803" s="61"/>
      <c r="AB1803" s="61"/>
    </row>
    <row r="1804" spans="1:28" s="2" customFormat="1" ht="15">
      <c r="A1804" s="61" t="s">
        <v>2286</v>
      </c>
      <c r="B1804" s="61" t="s">
        <v>5326</v>
      </c>
      <c r="C1804" s="61" t="s">
        <v>1899</v>
      </c>
      <c r="D1804" s="61" t="s">
        <v>7838</v>
      </c>
      <c r="E1804" s="61">
        <v>1732</v>
      </c>
      <c r="F1804" s="61">
        <v>1849</v>
      </c>
      <c r="G1804" s="61"/>
      <c r="H1804" s="61"/>
      <c r="I1804" s="61" t="s">
        <v>224</v>
      </c>
      <c r="J1804" s="61"/>
      <c r="K1804" s="61" t="s">
        <v>212</v>
      </c>
      <c r="L1804" s="61"/>
      <c r="M1804" s="61"/>
      <c r="N1804" s="61"/>
      <c r="O1804" s="61"/>
      <c r="P1804" s="61"/>
      <c r="Q1804" s="61"/>
      <c r="R1804" s="61" t="str">
        <f t="shared" si="124"/>
        <v/>
      </c>
      <c r="S1804" s="61" t="str">
        <f t="shared" si="125"/>
        <v/>
      </c>
      <c r="T1804" s="61" t="str">
        <f t="shared" si="123"/>
        <v/>
      </c>
      <c r="U1804" s="61" t="str">
        <f t="shared" si="126"/>
        <v/>
      </c>
      <c r="V1804" s="61"/>
      <c r="W1804" s="61"/>
      <c r="X1804" s="61"/>
      <c r="Y1804" s="471"/>
      <c r="Z1804" s="471"/>
      <c r="AA1804" s="61"/>
      <c r="AB1804" s="61"/>
    </row>
    <row r="1805" spans="1:28" s="2" customFormat="1" ht="15">
      <c r="A1805" s="61" t="s">
        <v>2286</v>
      </c>
      <c r="B1805" s="61" t="s">
        <v>5326</v>
      </c>
      <c r="C1805" s="61" t="s">
        <v>5335</v>
      </c>
      <c r="D1805" s="61" t="s">
        <v>7838</v>
      </c>
      <c r="E1805" s="61">
        <v>1759</v>
      </c>
      <c r="F1805" s="61">
        <v>1999</v>
      </c>
      <c r="G1805" s="61"/>
      <c r="H1805" s="61"/>
      <c r="I1805" s="61" t="s">
        <v>224</v>
      </c>
      <c r="J1805" s="61"/>
      <c r="K1805" s="61" t="s">
        <v>212</v>
      </c>
      <c r="L1805" s="61"/>
      <c r="M1805" s="61"/>
      <c r="N1805" s="61"/>
      <c r="O1805" s="61"/>
      <c r="P1805" s="61"/>
      <c r="Q1805" s="61"/>
      <c r="R1805" s="61" t="str">
        <f t="shared" si="124"/>
        <v/>
      </c>
      <c r="S1805" s="61" t="str">
        <f t="shared" si="125"/>
        <v/>
      </c>
      <c r="T1805" s="61" t="str">
        <f t="shared" si="123"/>
        <v/>
      </c>
      <c r="U1805" s="61" t="str">
        <f t="shared" si="126"/>
        <v/>
      </c>
      <c r="V1805" s="61"/>
      <c r="W1805" s="61"/>
      <c r="X1805" s="61"/>
      <c r="Y1805" s="471"/>
      <c r="Z1805" s="471"/>
      <c r="AA1805" s="61"/>
      <c r="AB1805" s="61"/>
    </row>
    <row r="1806" spans="1:28" s="2" customFormat="1" ht="15">
      <c r="A1806" s="61" t="s">
        <v>2286</v>
      </c>
      <c r="B1806" s="61" t="s">
        <v>5326</v>
      </c>
      <c r="C1806" s="61" t="s">
        <v>5338</v>
      </c>
      <c r="D1806" s="61" t="s">
        <v>7838</v>
      </c>
      <c r="E1806" s="61">
        <v>3228</v>
      </c>
      <c r="F1806" s="61">
        <v>3608</v>
      </c>
      <c r="G1806" s="61"/>
      <c r="H1806" s="61"/>
      <c r="I1806" s="61" t="s">
        <v>224</v>
      </c>
      <c r="J1806" s="61"/>
      <c r="K1806" s="61" t="s">
        <v>212</v>
      </c>
      <c r="L1806" s="61"/>
      <c r="M1806" s="61"/>
      <c r="N1806" s="61"/>
      <c r="O1806" s="61"/>
      <c r="P1806" s="61"/>
      <c r="Q1806" s="61"/>
      <c r="R1806" s="61" t="str">
        <f t="shared" si="124"/>
        <v/>
      </c>
      <c r="S1806" s="61" t="str">
        <f t="shared" si="125"/>
        <v/>
      </c>
      <c r="T1806" s="61" t="str">
        <f t="shared" si="123"/>
        <v/>
      </c>
      <c r="U1806" s="61" t="str">
        <f t="shared" si="126"/>
        <v/>
      </c>
      <c r="V1806" s="61"/>
      <c r="W1806" s="61"/>
      <c r="X1806" s="61"/>
      <c r="Y1806" s="471"/>
      <c r="Z1806" s="471"/>
      <c r="AA1806" s="61"/>
      <c r="AB1806" s="61"/>
    </row>
    <row r="1807" spans="1:28" s="2" customFormat="1" ht="15">
      <c r="A1807" s="61" t="s">
        <v>2286</v>
      </c>
      <c r="B1807" s="61" t="s">
        <v>5326</v>
      </c>
      <c r="C1807" s="61" t="s">
        <v>5339</v>
      </c>
      <c r="D1807" s="61" t="s">
        <v>7838</v>
      </c>
      <c r="E1807" s="61">
        <v>3914</v>
      </c>
      <c r="F1807" s="61">
        <v>3884</v>
      </c>
      <c r="G1807" s="61"/>
      <c r="H1807" s="61"/>
      <c r="I1807" s="61" t="s">
        <v>224</v>
      </c>
      <c r="J1807" s="61"/>
      <c r="K1807" s="61" t="s">
        <v>212</v>
      </c>
      <c r="L1807" s="61"/>
      <c r="M1807" s="61"/>
      <c r="N1807" s="61"/>
      <c r="O1807" s="61"/>
      <c r="P1807" s="61"/>
      <c r="Q1807" s="61"/>
      <c r="R1807" s="61" t="str">
        <f t="shared" si="124"/>
        <v/>
      </c>
      <c r="S1807" s="61" t="str">
        <f t="shared" si="125"/>
        <v/>
      </c>
      <c r="T1807" s="61" t="str">
        <f t="shared" si="123"/>
        <v/>
      </c>
      <c r="U1807" s="61" t="str">
        <f t="shared" si="126"/>
        <v/>
      </c>
      <c r="V1807" s="61"/>
      <c r="W1807" s="61"/>
      <c r="X1807" s="61"/>
      <c r="Y1807" s="471"/>
      <c r="Z1807" s="471"/>
      <c r="AA1807" s="61"/>
      <c r="AB1807" s="61"/>
    </row>
    <row r="1808" spans="1:28" s="2" customFormat="1" ht="15">
      <c r="A1808" s="61" t="s">
        <v>2286</v>
      </c>
      <c r="B1808" s="61" t="s">
        <v>5326</v>
      </c>
      <c r="C1808" s="61" t="s">
        <v>5340</v>
      </c>
      <c r="D1808" s="61" t="s">
        <v>7838</v>
      </c>
      <c r="E1808" s="61">
        <v>539</v>
      </c>
      <c r="F1808" s="61">
        <v>539</v>
      </c>
      <c r="G1808" s="61"/>
      <c r="H1808" s="61"/>
      <c r="I1808" s="61" t="s">
        <v>224</v>
      </c>
      <c r="J1808" s="61"/>
      <c r="K1808" s="61" t="s">
        <v>212</v>
      </c>
      <c r="L1808" s="61"/>
      <c r="M1808" s="61"/>
      <c r="N1808" s="61"/>
      <c r="O1808" s="61"/>
      <c r="P1808" s="61"/>
      <c r="Q1808" s="61"/>
      <c r="R1808" s="61" t="str">
        <f t="shared" si="124"/>
        <v/>
      </c>
      <c r="S1808" s="61" t="str">
        <f t="shared" si="125"/>
        <v/>
      </c>
      <c r="T1808" s="61" t="str">
        <f t="shared" si="123"/>
        <v/>
      </c>
      <c r="U1808" s="61" t="str">
        <f t="shared" si="126"/>
        <v/>
      </c>
      <c r="V1808" s="61"/>
      <c r="W1808" s="61"/>
      <c r="X1808" s="61"/>
      <c r="Y1808" s="471"/>
      <c r="Z1808" s="471"/>
      <c r="AA1808" s="61"/>
      <c r="AB1808" s="61"/>
    </row>
    <row r="1809" spans="1:28" s="2" customFormat="1" ht="28.5">
      <c r="A1809" s="61" t="s">
        <v>778</v>
      </c>
      <c r="B1809" s="61" t="s">
        <v>2172</v>
      </c>
      <c r="C1809" s="61" t="s">
        <v>5356</v>
      </c>
      <c r="D1809" s="61" t="s">
        <v>7838</v>
      </c>
      <c r="E1809" s="61">
        <v>5239</v>
      </c>
      <c r="F1809" s="61">
        <v>12229</v>
      </c>
      <c r="G1809" s="61">
        <v>2025</v>
      </c>
      <c r="H1809" s="61" t="s">
        <v>3458</v>
      </c>
      <c r="I1809" s="61" t="s">
        <v>33</v>
      </c>
      <c r="J1809" s="61"/>
      <c r="K1809" s="61" t="s">
        <v>148</v>
      </c>
      <c r="L1809" s="61" t="s">
        <v>8766</v>
      </c>
      <c r="M1809" s="475">
        <v>45699</v>
      </c>
      <c r="N1809" s="475">
        <v>45705</v>
      </c>
      <c r="O1809" s="61"/>
      <c r="P1809" s="475">
        <v>45706</v>
      </c>
      <c r="Q1809" s="475">
        <v>45706</v>
      </c>
      <c r="R1809" s="61">
        <f t="shared" si="124"/>
        <v>4</v>
      </c>
      <c r="S1809" s="61" t="str">
        <f t="shared" si="125"/>
        <v/>
      </c>
      <c r="T1809" s="61">
        <f t="shared" si="123"/>
        <v>1</v>
      </c>
      <c r="U1809" s="61">
        <f t="shared" si="126"/>
        <v>1</v>
      </c>
      <c r="V1809" s="61" t="s">
        <v>150</v>
      </c>
      <c r="W1809" s="61" t="s">
        <v>4</v>
      </c>
      <c r="X1809" s="61" t="s">
        <v>50</v>
      </c>
      <c r="Y1809" s="471">
        <v>120.54398999999999</v>
      </c>
      <c r="Z1809" s="471">
        <v>15.16286</v>
      </c>
      <c r="AA1809" s="61" t="s">
        <v>330</v>
      </c>
      <c r="AB1809" s="61"/>
    </row>
    <row r="1810" spans="1:28" s="2" customFormat="1" ht="28.5">
      <c r="A1810" s="61" t="s">
        <v>778</v>
      </c>
      <c r="B1810" s="61" t="s">
        <v>2172</v>
      </c>
      <c r="C1810" s="61" t="s">
        <v>5361</v>
      </c>
      <c r="D1810" s="61" t="s">
        <v>7838</v>
      </c>
      <c r="E1810" s="61">
        <v>12198</v>
      </c>
      <c r="F1810" s="61">
        <v>13025</v>
      </c>
      <c r="G1810" s="61">
        <v>2025</v>
      </c>
      <c r="H1810" s="61" t="s">
        <v>3458</v>
      </c>
      <c r="I1810" s="61" t="s">
        <v>33</v>
      </c>
      <c r="J1810" s="61"/>
      <c r="K1810" s="61" t="s">
        <v>148</v>
      </c>
      <c r="L1810" s="61" t="s">
        <v>8767</v>
      </c>
      <c r="M1810" s="475">
        <v>45699</v>
      </c>
      <c r="N1810" s="475">
        <v>45705</v>
      </c>
      <c r="O1810" s="61"/>
      <c r="P1810" s="475">
        <v>45706</v>
      </c>
      <c r="Q1810" s="475">
        <v>45706</v>
      </c>
      <c r="R1810" s="61">
        <f t="shared" si="124"/>
        <v>4</v>
      </c>
      <c r="S1810" s="61" t="str">
        <f t="shared" si="125"/>
        <v/>
      </c>
      <c r="T1810" s="61">
        <f t="shared" si="123"/>
        <v>1</v>
      </c>
      <c r="U1810" s="61">
        <f t="shared" si="126"/>
        <v>1</v>
      </c>
      <c r="V1810" s="61" t="s">
        <v>150</v>
      </c>
      <c r="W1810" s="61" t="s">
        <v>4</v>
      </c>
      <c r="X1810" s="61" t="s">
        <v>50</v>
      </c>
      <c r="Y1810" s="471">
        <v>120.59533999999999</v>
      </c>
      <c r="Z1810" s="471">
        <v>15.14</v>
      </c>
      <c r="AA1810" s="61" t="s">
        <v>330</v>
      </c>
      <c r="AB1810" s="61"/>
    </row>
    <row r="1811" spans="1:28" s="2" customFormat="1" ht="28.5">
      <c r="A1811" s="61" t="s">
        <v>778</v>
      </c>
      <c r="B1811" s="61" t="s">
        <v>2172</v>
      </c>
      <c r="C1811" s="61" t="s">
        <v>3133</v>
      </c>
      <c r="D1811" s="61" t="s">
        <v>7838</v>
      </c>
      <c r="E1811" s="61">
        <v>17693</v>
      </c>
      <c r="F1811" s="61">
        <v>18672</v>
      </c>
      <c r="G1811" s="61">
        <v>2025</v>
      </c>
      <c r="H1811" s="61" t="s">
        <v>3689</v>
      </c>
      <c r="I1811" s="61" t="s">
        <v>33</v>
      </c>
      <c r="J1811" s="61" t="s">
        <v>28</v>
      </c>
      <c r="K1811" s="61" t="s">
        <v>148</v>
      </c>
      <c r="L1811" s="61" t="s">
        <v>8768</v>
      </c>
      <c r="M1811" s="475">
        <v>45819</v>
      </c>
      <c r="N1811" s="475">
        <v>45823</v>
      </c>
      <c r="O1811" s="475">
        <v>45826</v>
      </c>
      <c r="P1811" s="475">
        <v>45826</v>
      </c>
      <c r="Q1811" s="475">
        <v>45826</v>
      </c>
      <c r="R1811" s="61">
        <f t="shared" si="124"/>
        <v>2</v>
      </c>
      <c r="S1811" s="61">
        <f t="shared" si="125"/>
        <v>2</v>
      </c>
      <c r="T1811" s="61">
        <f t="shared" ref="T1811:T1874" si="127">IF(
  OR(A1811 = "Nueva_Ecija", A1811 = "Zambales"),
  IF(
    OR(ISBLANK(O1811), ISBLANK(P1811)),
    "",
    MAX(1, IF(
      NETWORKDAYS(O1811, P1811) &lt;= 0,
      1,
      NETWORKDAYS(O1811, P1811) - IF(O1811 = P1811, 0, 1)
    ))
  ),
  IF(
    OR(ISBLANK(N1811), ISBLANK(P1811)),
    "",
    MAX(1, IF(
      NETWORKDAYS(N1811, P1811) &lt;= 0,
      1,
      NETWORKDAYS(N1811, P1811) - IF(N1811 = P1811, 0, 1)
    ))
  )
)</f>
        <v>2</v>
      </c>
      <c r="U1811" s="61">
        <f t="shared" si="126"/>
        <v>1</v>
      </c>
      <c r="V1811" s="61" t="s">
        <v>150</v>
      </c>
      <c r="W1811" s="61" t="s">
        <v>4</v>
      </c>
      <c r="X1811" s="61" t="s">
        <v>50</v>
      </c>
      <c r="Y1811" s="471" t="s">
        <v>8769</v>
      </c>
      <c r="Z1811" s="471" t="s">
        <v>8770</v>
      </c>
      <c r="AA1811" s="61" t="s">
        <v>330</v>
      </c>
      <c r="AB1811" s="61"/>
    </row>
    <row r="1812" spans="1:28" s="2" customFormat="1" ht="28.5">
      <c r="A1812" s="61" t="s">
        <v>778</v>
      </c>
      <c r="B1812" s="61" t="s">
        <v>2172</v>
      </c>
      <c r="C1812" s="61" t="s">
        <v>4132</v>
      </c>
      <c r="D1812" s="61" t="s">
        <v>7838</v>
      </c>
      <c r="E1812" s="61">
        <v>4902</v>
      </c>
      <c r="F1812" s="61">
        <v>5835</v>
      </c>
      <c r="G1812" s="61">
        <v>2025</v>
      </c>
      <c r="H1812" s="61" t="s">
        <v>3458</v>
      </c>
      <c r="I1812" s="61" t="s">
        <v>33</v>
      </c>
      <c r="J1812" s="61"/>
      <c r="K1812" s="61" t="s">
        <v>148</v>
      </c>
      <c r="L1812" s="61" t="s">
        <v>8771</v>
      </c>
      <c r="M1812" s="475">
        <v>45699</v>
      </c>
      <c r="N1812" s="475">
        <v>45705</v>
      </c>
      <c r="O1812" s="61"/>
      <c r="P1812" s="475">
        <v>45706</v>
      </c>
      <c r="Q1812" s="475">
        <v>45706</v>
      </c>
      <c r="R1812" s="61">
        <f t="shared" si="124"/>
        <v>4</v>
      </c>
      <c r="S1812" s="61" t="str">
        <f t="shared" si="125"/>
        <v/>
      </c>
      <c r="T1812" s="61">
        <f t="shared" si="127"/>
        <v>1</v>
      </c>
      <c r="U1812" s="61">
        <f t="shared" si="126"/>
        <v>1</v>
      </c>
      <c r="V1812" s="61" t="s">
        <v>150</v>
      </c>
      <c r="W1812" s="61" t="s">
        <v>4</v>
      </c>
      <c r="X1812" s="61" t="s">
        <v>50</v>
      </c>
      <c r="Y1812" s="471">
        <v>120.58503</v>
      </c>
      <c r="Z1812" s="471">
        <v>15.13176</v>
      </c>
      <c r="AA1812" s="61" t="s">
        <v>330</v>
      </c>
      <c r="AB1812" s="61"/>
    </row>
    <row r="1813" spans="1:28" s="2" customFormat="1" ht="28.5">
      <c r="A1813" s="61" t="s">
        <v>778</v>
      </c>
      <c r="B1813" s="61" t="s">
        <v>2172</v>
      </c>
      <c r="C1813" s="61" t="s">
        <v>5369</v>
      </c>
      <c r="D1813" s="61" t="s">
        <v>7838</v>
      </c>
      <c r="E1813" s="61">
        <v>1651</v>
      </c>
      <c r="F1813" s="61">
        <v>1175</v>
      </c>
      <c r="G1813" s="61">
        <v>2025</v>
      </c>
      <c r="H1813" s="61" t="s">
        <v>3416</v>
      </c>
      <c r="I1813" s="61" t="s">
        <v>33</v>
      </c>
      <c r="J1813" s="61"/>
      <c r="K1813" s="61" t="s">
        <v>148</v>
      </c>
      <c r="L1813" s="61" t="s">
        <v>8772</v>
      </c>
      <c r="M1813" s="475">
        <v>45729</v>
      </c>
      <c r="N1813" s="475">
        <v>45731</v>
      </c>
      <c r="O1813" s="61"/>
      <c r="P1813" s="475">
        <v>45733</v>
      </c>
      <c r="Q1813" s="475">
        <v>45734</v>
      </c>
      <c r="R1813" s="61">
        <f t="shared" si="124"/>
        <v>1</v>
      </c>
      <c r="S1813" s="61" t="str">
        <f t="shared" si="125"/>
        <v/>
      </c>
      <c r="T1813" s="61">
        <f t="shared" si="127"/>
        <v>1</v>
      </c>
      <c r="U1813" s="61">
        <f t="shared" si="126"/>
        <v>1</v>
      </c>
      <c r="V1813" s="61" t="s">
        <v>150</v>
      </c>
      <c r="W1813" s="61" t="s">
        <v>4</v>
      </c>
      <c r="X1813" s="61" t="s">
        <v>50</v>
      </c>
      <c r="Y1813" s="471">
        <v>15.150090000000001</v>
      </c>
      <c r="Z1813" s="471">
        <v>120.5925</v>
      </c>
      <c r="AA1813" s="61" t="s">
        <v>330</v>
      </c>
      <c r="AB1813" s="61"/>
    </row>
    <row r="1814" spans="1:28" s="2" customFormat="1" ht="28.5">
      <c r="A1814" s="61" t="s">
        <v>778</v>
      </c>
      <c r="B1814" s="61" t="s">
        <v>2172</v>
      </c>
      <c r="C1814" s="61" t="s">
        <v>5343</v>
      </c>
      <c r="D1814" s="61" t="s">
        <v>7838</v>
      </c>
      <c r="E1814" s="61">
        <v>20911</v>
      </c>
      <c r="F1814" s="61">
        <v>26063</v>
      </c>
      <c r="G1814" s="61">
        <v>2025</v>
      </c>
      <c r="H1814" s="61" t="s">
        <v>3689</v>
      </c>
      <c r="I1814" s="61" t="s">
        <v>33</v>
      </c>
      <c r="J1814" s="61" t="s">
        <v>28</v>
      </c>
      <c r="K1814" s="61" t="s">
        <v>148</v>
      </c>
      <c r="L1814" s="61" t="s">
        <v>8773</v>
      </c>
      <c r="M1814" s="475">
        <v>45812</v>
      </c>
      <c r="N1814" s="475">
        <v>45813</v>
      </c>
      <c r="O1814" s="475">
        <v>45819</v>
      </c>
      <c r="P1814" s="475">
        <v>45826</v>
      </c>
      <c r="Q1814" s="475">
        <v>45826</v>
      </c>
      <c r="R1814" s="61">
        <f t="shared" si="124"/>
        <v>1</v>
      </c>
      <c r="S1814" s="61">
        <f t="shared" si="125"/>
        <v>4</v>
      </c>
      <c r="T1814" s="61">
        <f t="shared" si="127"/>
        <v>9</v>
      </c>
      <c r="U1814" s="61">
        <f t="shared" si="126"/>
        <v>1</v>
      </c>
      <c r="V1814" s="61" t="s">
        <v>150</v>
      </c>
      <c r="W1814" s="61" t="s">
        <v>1078</v>
      </c>
      <c r="X1814" s="61" t="s">
        <v>57</v>
      </c>
      <c r="Y1814" s="471" t="s">
        <v>8774</v>
      </c>
      <c r="Z1814" s="471" t="s">
        <v>8775</v>
      </c>
      <c r="AA1814" s="61" t="s">
        <v>330</v>
      </c>
      <c r="AB1814" s="61"/>
    </row>
    <row r="1815" spans="1:28" s="2" customFormat="1" ht="28.5">
      <c r="A1815" s="61" t="s">
        <v>778</v>
      </c>
      <c r="B1815" s="61" t="s">
        <v>2172</v>
      </c>
      <c r="C1815" s="61" t="s">
        <v>5348</v>
      </c>
      <c r="D1815" s="61" t="s">
        <v>7838</v>
      </c>
      <c r="E1815" s="61">
        <v>10363</v>
      </c>
      <c r="F1815" s="61">
        <v>15046</v>
      </c>
      <c r="G1815" s="61">
        <v>2025</v>
      </c>
      <c r="H1815" s="61" t="s">
        <v>3125</v>
      </c>
      <c r="I1815" s="61" t="s">
        <v>33</v>
      </c>
      <c r="J1815" s="61" t="s">
        <v>28</v>
      </c>
      <c r="K1815" s="61" t="s">
        <v>148</v>
      </c>
      <c r="L1815" s="61" t="s">
        <v>8776</v>
      </c>
      <c r="M1815" s="475">
        <v>45848</v>
      </c>
      <c r="N1815" s="475">
        <v>45850</v>
      </c>
      <c r="O1815" s="475">
        <v>45856</v>
      </c>
      <c r="P1815" s="475">
        <v>45856</v>
      </c>
      <c r="Q1815" s="475">
        <v>45856</v>
      </c>
      <c r="R1815" s="61">
        <f t="shared" si="124"/>
        <v>1</v>
      </c>
      <c r="S1815" s="61">
        <f t="shared" si="125"/>
        <v>4</v>
      </c>
      <c r="T1815" s="61">
        <f t="shared" si="127"/>
        <v>4</v>
      </c>
      <c r="U1815" s="61">
        <f t="shared" si="126"/>
        <v>1</v>
      </c>
      <c r="V1815" s="61" t="s">
        <v>150</v>
      </c>
      <c r="W1815" s="61" t="s">
        <v>1078</v>
      </c>
      <c r="X1815" s="61" t="s">
        <v>50</v>
      </c>
      <c r="Y1815" s="61" t="s">
        <v>8777</v>
      </c>
      <c r="Z1815" s="61" t="s">
        <v>8778</v>
      </c>
      <c r="AA1815" s="61" t="s">
        <v>330</v>
      </c>
      <c r="AB1815" s="61"/>
    </row>
    <row r="1816" spans="1:28" s="2" customFormat="1" ht="28.5">
      <c r="A1816" s="61" t="s">
        <v>778</v>
      </c>
      <c r="B1816" s="61" t="s">
        <v>2172</v>
      </c>
      <c r="C1816" s="61" t="s">
        <v>1716</v>
      </c>
      <c r="D1816" s="61" t="s">
        <v>7838</v>
      </c>
      <c r="E1816" s="61">
        <v>27843</v>
      </c>
      <c r="F1816" s="61">
        <v>28296</v>
      </c>
      <c r="G1816" s="61">
        <v>2025</v>
      </c>
      <c r="H1816" s="61" t="s">
        <v>3416</v>
      </c>
      <c r="I1816" s="61" t="s">
        <v>33</v>
      </c>
      <c r="J1816" s="61"/>
      <c r="K1816" s="61" t="s">
        <v>148</v>
      </c>
      <c r="L1816" s="61" t="s">
        <v>8779</v>
      </c>
      <c r="M1816" s="475">
        <v>45729</v>
      </c>
      <c r="N1816" s="475">
        <v>45731</v>
      </c>
      <c r="O1816" s="61"/>
      <c r="P1816" s="475">
        <v>45733</v>
      </c>
      <c r="Q1816" s="475">
        <v>45734</v>
      </c>
      <c r="R1816" s="61">
        <f t="shared" ref="R1816:R1879" si="128">IF(
    OR(ISBLANK(M1816), ISBLANK(N1816)),
    "",
    MAX(1, IF(
        NETWORKDAYS(M1816, N1816) &lt;= 0,
        1,
        NETWORKDAYS(M1816, N1816) - IF(M1816 = N1816, 0, 1)
    ))
)</f>
        <v>1</v>
      </c>
      <c r="S1816" s="61" t="str">
        <f t="shared" ref="S1816:S1879" si="129">IF(
    OR(ISBLANK(N1816), ISBLANK(O1816)),
    "",
    MAX(1, IF(
        NETWORKDAYS(N1816, O1816) &lt;= 0,
        1,
        NETWORKDAYS(N1816, O1816) - IF(N1816 = O1816, 0, 1)
    ))
)</f>
        <v/>
      </c>
      <c r="T1816" s="61">
        <f t="shared" si="127"/>
        <v>1</v>
      </c>
      <c r="U1816" s="61">
        <f t="shared" ref="U1816:U1879" si="130">IF(
    OR(ISBLANK(P1816), ISBLANK(Q1816)),
    "",
    MAX(1, IF(
        NETWORKDAYS(P1816, Q1816) &lt;= 0,
        1,
        NETWORKDAYS(P1816, Q1816) - IF(P1816 = Q1816, 0, 1)
    ))
)</f>
        <v>1</v>
      </c>
      <c r="V1816" s="61" t="s">
        <v>150</v>
      </c>
      <c r="W1816" s="61" t="s">
        <v>1078</v>
      </c>
      <c r="X1816" s="61" t="s">
        <v>50</v>
      </c>
      <c r="Y1816" s="471">
        <v>15.14167</v>
      </c>
      <c r="Z1816" s="471" t="s">
        <v>8780</v>
      </c>
      <c r="AA1816" s="61" t="s">
        <v>330</v>
      </c>
      <c r="AB1816" s="61"/>
    </row>
    <row r="1817" spans="1:28" s="2" customFormat="1" ht="28.5">
      <c r="A1817" s="61" t="s">
        <v>778</v>
      </c>
      <c r="B1817" s="61" t="s">
        <v>2172</v>
      </c>
      <c r="C1817" s="61" t="s">
        <v>858</v>
      </c>
      <c r="D1817" s="61" t="s">
        <v>7838</v>
      </c>
      <c r="E1817" s="61">
        <v>5579</v>
      </c>
      <c r="F1817" s="61">
        <v>7187</v>
      </c>
      <c r="G1817" s="61">
        <v>2025</v>
      </c>
      <c r="H1817" s="61" t="s">
        <v>3532</v>
      </c>
      <c r="I1817" s="61" t="s">
        <v>33</v>
      </c>
      <c r="J1817" s="61"/>
      <c r="K1817" s="61" t="s">
        <v>148</v>
      </c>
      <c r="L1817" s="61" t="s">
        <v>8781</v>
      </c>
      <c r="M1817" s="475">
        <v>45790</v>
      </c>
      <c r="N1817" s="475">
        <v>45793</v>
      </c>
      <c r="O1817" s="61"/>
      <c r="P1817" s="475">
        <v>45793</v>
      </c>
      <c r="Q1817" s="475">
        <v>45793</v>
      </c>
      <c r="R1817" s="61">
        <f t="shared" si="128"/>
        <v>3</v>
      </c>
      <c r="S1817" s="61" t="str">
        <f t="shared" si="129"/>
        <v/>
      </c>
      <c r="T1817" s="61">
        <f t="shared" si="127"/>
        <v>1</v>
      </c>
      <c r="U1817" s="61">
        <f t="shared" si="130"/>
        <v>1</v>
      </c>
      <c r="V1817" s="61" t="s">
        <v>150</v>
      </c>
      <c r="W1817" s="61" t="s">
        <v>1078</v>
      </c>
      <c r="X1817" s="61" t="s">
        <v>50</v>
      </c>
      <c r="Y1817" s="471" t="s">
        <v>8782</v>
      </c>
      <c r="Z1817" s="471" t="s">
        <v>8783</v>
      </c>
      <c r="AA1817" s="61" t="s">
        <v>330</v>
      </c>
      <c r="AB1817" s="61"/>
    </row>
    <row r="1818" spans="1:28" s="2" customFormat="1" ht="28.5">
      <c r="A1818" s="61" t="s">
        <v>778</v>
      </c>
      <c r="B1818" s="61" t="s">
        <v>2172</v>
      </c>
      <c r="C1818" s="61" t="s">
        <v>5341</v>
      </c>
      <c r="D1818" s="61" t="s">
        <v>7838</v>
      </c>
      <c r="E1818" s="61">
        <v>3230</v>
      </c>
      <c r="F1818" s="61">
        <v>2556</v>
      </c>
      <c r="G1818" s="61"/>
      <c r="H1818" s="61"/>
      <c r="I1818" s="61" t="s">
        <v>33</v>
      </c>
      <c r="J1818" s="61"/>
      <c r="K1818" s="61" t="s">
        <v>148</v>
      </c>
      <c r="L1818" s="61"/>
      <c r="M1818" s="61"/>
      <c r="N1818" s="61"/>
      <c r="O1818" s="61"/>
      <c r="P1818" s="61"/>
      <c r="Q1818" s="61"/>
      <c r="R1818" s="61" t="str">
        <f t="shared" si="128"/>
        <v/>
      </c>
      <c r="S1818" s="61" t="str">
        <f t="shared" si="129"/>
        <v/>
      </c>
      <c r="T1818" s="61" t="str">
        <f t="shared" si="127"/>
        <v/>
      </c>
      <c r="U1818" s="61" t="str">
        <f t="shared" si="130"/>
        <v/>
      </c>
      <c r="V1818" s="61"/>
      <c r="W1818" s="61"/>
      <c r="X1818" s="61"/>
      <c r="Y1818" s="61"/>
      <c r="Z1818" s="61"/>
      <c r="AA1818" s="61"/>
      <c r="AB1818" s="61"/>
    </row>
    <row r="1819" spans="1:28" s="2" customFormat="1" ht="28.5">
      <c r="A1819" s="61" t="s">
        <v>778</v>
      </c>
      <c r="B1819" s="61" t="s">
        <v>2172</v>
      </c>
      <c r="C1819" s="61" t="s">
        <v>5342</v>
      </c>
      <c r="D1819" s="61" t="s">
        <v>7838</v>
      </c>
      <c r="E1819" s="61">
        <v>14379</v>
      </c>
      <c r="F1819" s="61">
        <v>16953</v>
      </c>
      <c r="G1819" s="61"/>
      <c r="H1819" s="61"/>
      <c r="I1819" s="61" t="s">
        <v>33</v>
      </c>
      <c r="J1819" s="61"/>
      <c r="K1819" s="61" t="s">
        <v>148</v>
      </c>
      <c r="L1819" s="61"/>
      <c r="M1819" s="61"/>
      <c r="N1819" s="61"/>
      <c r="O1819" s="61"/>
      <c r="P1819" s="61"/>
      <c r="Q1819" s="61"/>
      <c r="R1819" s="61" t="str">
        <f t="shared" si="128"/>
        <v/>
      </c>
      <c r="S1819" s="61" t="str">
        <f t="shared" si="129"/>
        <v/>
      </c>
      <c r="T1819" s="61" t="str">
        <f t="shared" si="127"/>
        <v/>
      </c>
      <c r="U1819" s="61" t="str">
        <f t="shared" si="130"/>
        <v/>
      </c>
      <c r="V1819" s="61"/>
      <c r="W1819" s="61"/>
      <c r="X1819" s="61"/>
      <c r="Y1819" s="61"/>
      <c r="Z1819" s="61"/>
      <c r="AA1819" s="61"/>
      <c r="AB1819" s="61"/>
    </row>
    <row r="1820" spans="1:28" s="2" customFormat="1" ht="28.5">
      <c r="A1820" s="61" t="s">
        <v>778</v>
      </c>
      <c r="B1820" s="61" t="s">
        <v>2172</v>
      </c>
      <c r="C1820" s="61" t="s">
        <v>5345</v>
      </c>
      <c r="D1820" s="61" t="s">
        <v>7838</v>
      </c>
      <c r="E1820" s="61">
        <v>40087</v>
      </c>
      <c r="F1820" s="61">
        <v>42274</v>
      </c>
      <c r="G1820" s="61"/>
      <c r="H1820" s="61"/>
      <c r="I1820" s="61" t="s">
        <v>33</v>
      </c>
      <c r="J1820" s="61"/>
      <c r="K1820" s="61" t="s">
        <v>148</v>
      </c>
      <c r="L1820" s="61"/>
      <c r="M1820" s="61"/>
      <c r="N1820" s="61"/>
      <c r="O1820" s="61"/>
      <c r="P1820" s="61"/>
      <c r="Q1820" s="61"/>
      <c r="R1820" s="61" t="str">
        <f t="shared" si="128"/>
        <v/>
      </c>
      <c r="S1820" s="61" t="str">
        <f t="shared" si="129"/>
        <v/>
      </c>
      <c r="T1820" s="61" t="str">
        <f t="shared" si="127"/>
        <v/>
      </c>
      <c r="U1820" s="61" t="str">
        <f t="shared" si="130"/>
        <v/>
      </c>
      <c r="V1820" s="61"/>
      <c r="W1820" s="61"/>
      <c r="X1820" s="61"/>
      <c r="Y1820" s="61"/>
      <c r="Z1820" s="61"/>
      <c r="AA1820" s="61"/>
      <c r="AB1820" s="61"/>
    </row>
    <row r="1821" spans="1:28" s="2" customFormat="1" ht="28.5">
      <c r="A1821" s="61" t="s">
        <v>778</v>
      </c>
      <c r="B1821" s="61" t="s">
        <v>2172</v>
      </c>
      <c r="C1821" s="61" t="s">
        <v>5346</v>
      </c>
      <c r="D1821" s="61" t="s">
        <v>7838</v>
      </c>
      <c r="E1821" s="61">
        <v>8870</v>
      </c>
      <c r="F1821" s="61">
        <v>12602</v>
      </c>
      <c r="G1821" s="61"/>
      <c r="H1821" s="61"/>
      <c r="I1821" s="61" t="s">
        <v>33</v>
      </c>
      <c r="J1821" s="61"/>
      <c r="K1821" s="61" t="s">
        <v>148</v>
      </c>
      <c r="L1821" s="61"/>
      <c r="M1821" s="61"/>
      <c r="N1821" s="61"/>
      <c r="O1821" s="61"/>
      <c r="P1821" s="61"/>
      <c r="Q1821" s="61"/>
      <c r="R1821" s="61" t="str">
        <f t="shared" si="128"/>
        <v/>
      </c>
      <c r="S1821" s="61" t="str">
        <f t="shared" si="129"/>
        <v/>
      </c>
      <c r="T1821" s="61" t="str">
        <f t="shared" si="127"/>
        <v/>
      </c>
      <c r="U1821" s="61" t="str">
        <f t="shared" si="130"/>
        <v/>
      </c>
      <c r="V1821" s="61"/>
      <c r="W1821" s="61"/>
      <c r="X1821" s="61"/>
      <c r="Y1821" s="61"/>
      <c r="Z1821" s="61"/>
      <c r="AA1821" s="61"/>
      <c r="AB1821" s="61"/>
    </row>
    <row r="1822" spans="1:28" s="2" customFormat="1" ht="28.5">
      <c r="A1822" s="61" t="s">
        <v>778</v>
      </c>
      <c r="B1822" s="61" t="s">
        <v>2172</v>
      </c>
      <c r="C1822" s="61" t="s">
        <v>5347</v>
      </c>
      <c r="D1822" s="61" t="s">
        <v>7838</v>
      </c>
      <c r="E1822" s="61">
        <v>3981</v>
      </c>
      <c r="F1822" s="61">
        <v>5149</v>
      </c>
      <c r="G1822" s="61"/>
      <c r="H1822" s="61"/>
      <c r="I1822" s="61" t="s">
        <v>33</v>
      </c>
      <c r="J1822" s="61"/>
      <c r="K1822" s="61" t="s">
        <v>148</v>
      </c>
      <c r="L1822" s="61"/>
      <c r="M1822" s="61"/>
      <c r="N1822" s="61"/>
      <c r="O1822" s="61"/>
      <c r="P1822" s="61"/>
      <c r="Q1822" s="61"/>
      <c r="R1822" s="61" t="str">
        <f t="shared" si="128"/>
        <v/>
      </c>
      <c r="S1822" s="61" t="str">
        <f t="shared" si="129"/>
        <v/>
      </c>
      <c r="T1822" s="61" t="str">
        <f t="shared" si="127"/>
        <v/>
      </c>
      <c r="U1822" s="61" t="str">
        <f t="shared" si="130"/>
        <v/>
      </c>
      <c r="V1822" s="61"/>
      <c r="W1822" s="61"/>
      <c r="X1822" s="61"/>
      <c r="Y1822" s="61"/>
      <c r="Z1822" s="61"/>
      <c r="AA1822" s="61"/>
      <c r="AB1822" s="61"/>
    </row>
    <row r="1823" spans="1:28" s="2" customFormat="1" ht="28.5">
      <c r="A1823" s="61" t="s">
        <v>778</v>
      </c>
      <c r="B1823" s="61" t="s">
        <v>2172</v>
      </c>
      <c r="C1823" s="61" t="s">
        <v>5350</v>
      </c>
      <c r="D1823" s="61" t="s">
        <v>7838</v>
      </c>
      <c r="E1823" s="61">
        <v>23177</v>
      </c>
      <c r="F1823" s="61">
        <v>24821</v>
      </c>
      <c r="G1823" s="61"/>
      <c r="H1823" s="61"/>
      <c r="I1823" s="61" t="s">
        <v>33</v>
      </c>
      <c r="J1823" s="61"/>
      <c r="K1823" s="61" t="s">
        <v>148</v>
      </c>
      <c r="L1823" s="61"/>
      <c r="M1823" s="61"/>
      <c r="N1823" s="61"/>
      <c r="O1823" s="61"/>
      <c r="P1823" s="61"/>
      <c r="Q1823" s="61"/>
      <c r="R1823" s="61" t="str">
        <f t="shared" si="128"/>
        <v/>
      </c>
      <c r="S1823" s="61" t="str">
        <f t="shared" si="129"/>
        <v/>
      </c>
      <c r="T1823" s="61" t="str">
        <f t="shared" si="127"/>
        <v/>
      </c>
      <c r="U1823" s="61" t="str">
        <f t="shared" si="130"/>
        <v/>
      </c>
      <c r="V1823" s="61"/>
      <c r="W1823" s="61"/>
      <c r="X1823" s="61"/>
      <c r="Y1823" s="61"/>
      <c r="Z1823" s="61"/>
      <c r="AA1823" s="61"/>
      <c r="AB1823" s="61"/>
    </row>
    <row r="1824" spans="1:28" s="2" customFormat="1" ht="28.5">
      <c r="A1824" s="61" t="s">
        <v>778</v>
      </c>
      <c r="B1824" s="61" t="s">
        <v>2172</v>
      </c>
      <c r="C1824" s="61" t="s">
        <v>5351</v>
      </c>
      <c r="D1824" s="61" t="s">
        <v>7838</v>
      </c>
      <c r="E1824" s="61">
        <v>9896</v>
      </c>
      <c r="F1824" s="61">
        <v>10054</v>
      </c>
      <c r="G1824" s="61"/>
      <c r="H1824" s="61"/>
      <c r="I1824" s="61" t="s">
        <v>33</v>
      </c>
      <c r="J1824" s="61"/>
      <c r="K1824" s="61" t="s">
        <v>148</v>
      </c>
      <c r="L1824" s="61"/>
      <c r="M1824" s="61"/>
      <c r="N1824" s="61"/>
      <c r="O1824" s="61"/>
      <c r="P1824" s="61"/>
      <c r="Q1824" s="61"/>
      <c r="R1824" s="61" t="str">
        <f t="shared" si="128"/>
        <v/>
      </c>
      <c r="S1824" s="61" t="str">
        <f t="shared" si="129"/>
        <v/>
      </c>
      <c r="T1824" s="61" t="str">
        <f t="shared" si="127"/>
        <v/>
      </c>
      <c r="U1824" s="61" t="str">
        <f t="shared" si="130"/>
        <v/>
      </c>
      <c r="V1824" s="61"/>
      <c r="W1824" s="61"/>
      <c r="X1824" s="61"/>
      <c r="Y1824" s="61"/>
      <c r="Z1824" s="61"/>
      <c r="AA1824" s="61"/>
      <c r="AB1824" s="61"/>
    </row>
    <row r="1825" spans="1:28" s="2" customFormat="1" ht="28.5">
      <c r="A1825" s="61" t="s">
        <v>778</v>
      </c>
      <c r="B1825" s="61" t="s">
        <v>2172</v>
      </c>
      <c r="C1825" s="61" t="s">
        <v>5352</v>
      </c>
      <c r="D1825" s="61" t="s">
        <v>7838</v>
      </c>
      <c r="E1825" s="61">
        <v>4797</v>
      </c>
      <c r="F1825" s="61">
        <v>4879</v>
      </c>
      <c r="G1825" s="61"/>
      <c r="H1825" s="61"/>
      <c r="I1825" s="61" t="s">
        <v>33</v>
      </c>
      <c r="J1825" s="61"/>
      <c r="K1825" s="61" t="s">
        <v>148</v>
      </c>
      <c r="L1825" s="61"/>
      <c r="M1825" s="61"/>
      <c r="N1825" s="61"/>
      <c r="O1825" s="61"/>
      <c r="P1825" s="61"/>
      <c r="Q1825" s="61"/>
      <c r="R1825" s="61" t="str">
        <f t="shared" si="128"/>
        <v/>
      </c>
      <c r="S1825" s="61" t="str">
        <f t="shared" si="129"/>
        <v/>
      </c>
      <c r="T1825" s="61" t="str">
        <f t="shared" si="127"/>
        <v/>
      </c>
      <c r="U1825" s="61" t="str">
        <f t="shared" si="130"/>
        <v/>
      </c>
      <c r="V1825" s="61"/>
      <c r="W1825" s="61"/>
      <c r="X1825" s="61"/>
      <c r="Y1825" s="61"/>
      <c r="Z1825" s="61"/>
      <c r="AA1825" s="61"/>
      <c r="AB1825" s="61"/>
    </row>
    <row r="1826" spans="1:28" s="2" customFormat="1" ht="28.5">
      <c r="A1826" s="61" t="s">
        <v>778</v>
      </c>
      <c r="B1826" s="61" t="s">
        <v>2172</v>
      </c>
      <c r="C1826" s="61" t="s">
        <v>5353</v>
      </c>
      <c r="D1826" s="61" t="s">
        <v>7838</v>
      </c>
      <c r="E1826" s="61">
        <v>4741</v>
      </c>
      <c r="F1826" s="61">
        <v>3639</v>
      </c>
      <c r="G1826" s="61"/>
      <c r="H1826" s="61"/>
      <c r="I1826" s="61" t="s">
        <v>33</v>
      </c>
      <c r="J1826" s="61"/>
      <c r="K1826" s="61" t="s">
        <v>148</v>
      </c>
      <c r="L1826" s="61"/>
      <c r="M1826" s="61"/>
      <c r="N1826" s="61"/>
      <c r="O1826" s="61"/>
      <c r="P1826" s="61"/>
      <c r="Q1826" s="61"/>
      <c r="R1826" s="61" t="str">
        <f t="shared" si="128"/>
        <v/>
      </c>
      <c r="S1826" s="61" t="str">
        <f t="shared" si="129"/>
        <v/>
      </c>
      <c r="T1826" s="61" t="str">
        <f t="shared" si="127"/>
        <v/>
      </c>
      <c r="U1826" s="61" t="str">
        <f t="shared" si="130"/>
        <v/>
      </c>
      <c r="V1826" s="61"/>
      <c r="W1826" s="61"/>
      <c r="X1826" s="61"/>
      <c r="Y1826" s="61"/>
      <c r="Z1826" s="61"/>
      <c r="AA1826" s="61"/>
      <c r="AB1826" s="61"/>
    </row>
    <row r="1827" spans="1:28" s="2" customFormat="1" ht="28.5">
      <c r="A1827" s="61" t="s">
        <v>778</v>
      </c>
      <c r="B1827" s="61" t="s">
        <v>2172</v>
      </c>
      <c r="C1827" s="61" t="s">
        <v>5355</v>
      </c>
      <c r="D1827" s="61" t="s">
        <v>7838</v>
      </c>
      <c r="E1827" s="61">
        <v>33174</v>
      </c>
      <c r="F1827" s="61">
        <v>29841</v>
      </c>
      <c r="G1827" s="61"/>
      <c r="H1827" s="61"/>
      <c r="I1827" s="61" t="s">
        <v>33</v>
      </c>
      <c r="J1827" s="61"/>
      <c r="K1827" s="61" t="s">
        <v>148</v>
      </c>
      <c r="L1827" s="61"/>
      <c r="M1827" s="61"/>
      <c r="N1827" s="61"/>
      <c r="O1827" s="61"/>
      <c r="P1827" s="61"/>
      <c r="Q1827" s="61"/>
      <c r="R1827" s="61" t="str">
        <f t="shared" si="128"/>
        <v/>
      </c>
      <c r="S1827" s="61" t="str">
        <f t="shared" si="129"/>
        <v/>
      </c>
      <c r="T1827" s="61" t="str">
        <f t="shared" si="127"/>
        <v/>
      </c>
      <c r="U1827" s="61" t="str">
        <f t="shared" si="130"/>
        <v/>
      </c>
      <c r="V1827" s="61"/>
      <c r="W1827" s="61"/>
      <c r="X1827" s="61"/>
      <c r="Y1827" s="61"/>
      <c r="Z1827" s="61"/>
      <c r="AA1827" s="61"/>
      <c r="AB1827" s="61"/>
    </row>
    <row r="1828" spans="1:28" s="2" customFormat="1" ht="28.5">
      <c r="A1828" s="61" t="s">
        <v>778</v>
      </c>
      <c r="B1828" s="61" t="s">
        <v>2172</v>
      </c>
      <c r="C1828" s="61" t="s">
        <v>1917</v>
      </c>
      <c r="D1828" s="61" t="s">
        <v>7838</v>
      </c>
      <c r="E1828" s="61">
        <v>3186</v>
      </c>
      <c r="F1828" s="61">
        <v>5265</v>
      </c>
      <c r="G1828" s="61"/>
      <c r="H1828" s="61"/>
      <c r="I1828" s="61" t="s">
        <v>33</v>
      </c>
      <c r="J1828" s="61"/>
      <c r="K1828" s="61" t="s">
        <v>148</v>
      </c>
      <c r="L1828" s="61"/>
      <c r="M1828" s="61"/>
      <c r="N1828" s="61"/>
      <c r="O1828" s="61"/>
      <c r="P1828" s="61"/>
      <c r="Q1828" s="61"/>
      <c r="R1828" s="61" t="str">
        <f t="shared" si="128"/>
        <v/>
      </c>
      <c r="S1828" s="61" t="str">
        <f t="shared" si="129"/>
        <v/>
      </c>
      <c r="T1828" s="61" t="str">
        <f t="shared" si="127"/>
        <v/>
      </c>
      <c r="U1828" s="61" t="str">
        <f t="shared" si="130"/>
        <v/>
      </c>
      <c r="V1828" s="61"/>
      <c r="W1828" s="61"/>
      <c r="X1828" s="61"/>
      <c r="Y1828" s="61"/>
      <c r="Z1828" s="61"/>
      <c r="AA1828" s="61"/>
      <c r="AB1828" s="61"/>
    </row>
    <row r="1829" spans="1:28" s="2" customFormat="1" ht="28.5">
      <c r="A1829" s="61" t="s">
        <v>778</v>
      </c>
      <c r="B1829" s="61" t="s">
        <v>2172</v>
      </c>
      <c r="C1829" s="61" t="s">
        <v>5357</v>
      </c>
      <c r="D1829" s="61" t="s">
        <v>7838</v>
      </c>
      <c r="E1829" s="61">
        <v>11658</v>
      </c>
      <c r="F1829" s="61">
        <v>11337</v>
      </c>
      <c r="G1829" s="61"/>
      <c r="H1829" s="61"/>
      <c r="I1829" s="61" t="s">
        <v>33</v>
      </c>
      <c r="J1829" s="61"/>
      <c r="K1829" s="61" t="s">
        <v>148</v>
      </c>
      <c r="L1829" s="61"/>
      <c r="M1829" s="61"/>
      <c r="N1829" s="61"/>
      <c r="O1829" s="61"/>
      <c r="P1829" s="61"/>
      <c r="Q1829" s="61"/>
      <c r="R1829" s="61" t="str">
        <f t="shared" si="128"/>
        <v/>
      </c>
      <c r="S1829" s="61" t="str">
        <f t="shared" si="129"/>
        <v/>
      </c>
      <c r="T1829" s="61" t="str">
        <f t="shared" si="127"/>
        <v/>
      </c>
      <c r="U1829" s="61" t="str">
        <f t="shared" si="130"/>
        <v/>
      </c>
      <c r="V1829" s="61"/>
      <c r="W1829" s="61"/>
      <c r="X1829" s="61"/>
      <c r="Y1829" s="61"/>
      <c r="Z1829" s="61"/>
      <c r="AA1829" s="61"/>
      <c r="AB1829" s="61"/>
    </row>
    <row r="1830" spans="1:28" s="2" customFormat="1" ht="28.5">
      <c r="A1830" s="61" t="s">
        <v>778</v>
      </c>
      <c r="B1830" s="61" t="s">
        <v>2172</v>
      </c>
      <c r="C1830" s="61" t="s">
        <v>2173</v>
      </c>
      <c r="D1830" s="61" t="s">
        <v>7838</v>
      </c>
      <c r="E1830" s="61">
        <v>20419</v>
      </c>
      <c r="F1830" s="61">
        <v>24653</v>
      </c>
      <c r="G1830" s="61"/>
      <c r="H1830" s="61"/>
      <c r="I1830" s="61" t="s">
        <v>33</v>
      </c>
      <c r="J1830" s="61"/>
      <c r="K1830" s="61" t="s">
        <v>148</v>
      </c>
      <c r="L1830" s="61"/>
      <c r="M1830" s="61"/>
      <c r="N1830" s="61"/>
      <c r="O1830" s="61"/>
      <c r="P1830" s="61"/>
      <c r="Q1830" s="61"/>
      <c r="R1830" s="61" t="str">
        <f t="shared" si="128"/>
        <v/>
      </c>
      <c r="S1830" s="61" t="str">
        <f t="shared" si="129"/>
        <v/>
      </c>
      <c r="T1830" s="61" t="str">
        <f t="shared" si="127"/>
        <v/>
      </c>
      <c r="U1830" s="61" t="str">
        <f t="shared" si="130"/>
        <v/>
      </c>
      <c r="V1830" s="61"/>
      <c r="W1830" s="61"/>
      <c r="X1830" s="61"/>
      <c r="Y1830" s="61"/>
      <c r="Z1830" s="61"/>
      <c r="AA1830" s="61"/>
      <c r="AB1830" s="61"/>
    </row>
    <row r="1831" spans="1:28" s="2" customFormat="1" ht="28.5">
      <c r="A1831" s="61" t="s">
        <v>778</v>
      </c>
      <c r="B1831" s="61" t="s">
        <v>2172</v>
      </c>
      <c r="C1831" s="61" t="s">
        <v>5358</v>
      </c>
      <c r="D1831" s="61" t="s">
        <v>7838</v>
      </c>
      <c r="E1831" s="61">
        <v>20598</v>
      </c>
      <c r="F1831" s="61">
        <v>23928</v>
      </c>
      <c r="G1831" s="61"/>
      <c r="H1831" s="61"/>
      <c r="I1831" s="61" t="s">
        <v>33</v>
      </c>
      <c r="J1831" s="61"/>
      <c r="K1831" s="61" t="s">
        <v>148</v>
      </c>
      <c r="L1831" s="61"/>
      <c r="M1831" s="61"/>
      <c r="N1831" s="61"/>
      <c r="O1831" s="61"/>
      <c r="P1831" s="61"/>
      <c r="Q1831" s="61"/>
      <c r="R1831" s="61" t="str">
        <f t="shared" si="128"/>
        <v/>
      </c>
      <c r="S1831" s="61" t="str">
        <f t="shared" si="129"/>
        <v/>
      </c>
      <c r="T1831" s="61" t="str">
        <f t="shared" si="127"/>
        <v/>
      </c>
      <c r="U1831" s="61" t="str">
        <f t="shared" si="130"/>
        <v/>
      </c>
      <c r="V1831" s="61"/>
      <c r="W1831" s="61"/>
      <c r="X1831" s="61"/>
      <c r="Y1831" s="61"/>
      <c r="Z1831" s="61"/>
      <c r="AA1831" s="61"/>
      <c r="AB1831" s="61"/>
    </row>
    <row r="1832" spans="1:28" s="2" customFormat="1" ht="28.5">
      <c r="A1832" s="61" t="s">
        <v>778</v>
      </c>
      <c r="B1832" s="61" t="s">
        <v>2172</v>
      </c>
      <c r="C1832" s="61" t="s">
        <v>5359</v>
      </c>
      <c r="D1832" s="61" t="s">
        <v>7838</v>
      </c>
      <c r="E1832" s="61">
        <v>23891</v>
      </c>
      <c r="F1832" s="61">
        <v>25385</v>
      </c>
      <c r="G1832" s="61"/>
      <c r="H1832" s="61"/>
      <c r="I1832" s="61" t="s">
        <v>33</v>
      </c>
      <c r="J1832" s="61"/>
      <c r="K1832" s="61" t="s">
        <v>148</v>
      </c>
      <c r="L1832" s="61"/>
      <c r="M1832" s="61"/>
      <c r="N1832" s="61"/>
      <c r="O1832" s="61"/>
      <c r="P1832" s="61"/>
      <c r="Q1832" s="61"/>
      <c r="R1832" s="61" t="str">
        <f t="shared" si="128"/>
        <v/>
      </c>
      <c r="S1832" s="61" t="str">
        <f t="shared" si="129"/>
        <v/>
      </c>
      <c r="T1832" s="61" t="str">
        <f t="shared" si="127"/>
        <v/>
      </c>
      <c r="U1832" s="61" t="str">
        <f t="shared" si="130"/>
        <v/>
      </c>
      <c r="V1832" s="61"/>
      <c r="W1832" s="61"/>
      <c r="X1832" s="61"/>
      <c r="Y1832" s="61"/>
      <c r="Z1832" s="61"/>
      <c r="AA1832" s="61"/>
      <c r="AB1832" s="61"/>
    </row>
    <row r="1833" spans="1:28" s="2" customFormat="1" ht="28.5">
      <c r="A1833" s="61" t="s">
        <v>778</v>
      </c>
      <c r="B1833" s="61" t="s">
        <v>2172</v>
      </c>
      <c r="C1833" s="61" t="s">
        <v>5360</v>
      </c>
      <c r="D1833" s="61" t="s">
        <v>7838</v>
      </c>
      <c r="E1833" s="61">
        <v>18067</v>
      </c>
      <c r="F1833" s="61">
        <v>20675</v>
      </c>
      <c r="G1833" s="61"/>
      <c r="H1833" s="61"/>
      <c r="I1833" s="61" t="s">
        <v>33</v>
      </c>
      <c r="J1833" s="61"/>
      <c r="K1833" s="61" t="s">
        <v>148</v>
      </c>
      <c r="L1833" s="61"/>
      <c r="M1833" s="61"/>
      <c r="N1833" s="61"/>
      <c r="O1833" s="61"/>
      <c r="P1833" s="61"/>
      <c r="Q1833" s="61"/>
      <c r="R1833" s="61" t="str">
        <f t="shared" si="128"/>
        <v/>
      </c>
      <c r="S1833" s="61" t="str">
        <f t="shared" si="129"/>
        <v/>
      </c>
      <c r="T1833" s="61" t="str">
        <f t="shared" si="127"/>
        <v/>
      </c>
      <c r="U1833" s="61" t="str">
        <f t="shared" si="130"/>
        <v/>
      </c>
      <c r="V1833" s="61"/>
      <c r="W1833" s="61"/>
      <c r="X1833" s="61"/>
      <c r="Y1833" s="61"/>
      <c r="Z1833" s="61"/>
      <c r="AA1833" s="61"/>
      <c r="AB1833" s="61"/>
    </row>
    <row r="1834" spans="1:28" s="2" customFormat="1" ht="28.5">
      <c r="A1834" s="61" t="s">
        <v>778</v>
      </c>
      <c r="B1834" s="61" t="s">
        <v>2172</v>
      </c>
      <c r="C1834" s="61" t="s">
        <v>4475</v>
      </c>
      <c r="D1834" s="61" t="s">
        <v>7838</v>
      </c>
      <c r="E1834" s="61">
        <v>5443</v>
      </c>
      <c r="F1834" s="61">
        <v>5298</v>
      </c>
      <c r="G1834" s="61"/>
      <c r="H1834" s="61"/>
      <c r="I1834" s="61" t="s">
        <v>33</v>
      </c>
      <c r="J1834" s="61"/>
      <c r="K1834" s="61" t="s">
        <v>148</v>
      </c>
      <c r="L1834" s="61"/>
      <c r="M1834" s="475"/>
      <c r="N1834" s="475"/>
      <c r="O1834" s="61"/>
      <c r="P1834" s="475"/>
      <c r="Q1834" s="61"/>
      <c r="R1834" s="61" t="str">
        <f t="shared" si="128"/>
        <v/>
      </c>
      <c r="S1834" s="61" t="str">
        <f t="shared" si="129"/>
        <v/>
      </c>
      <c r="T1834" s="61" t="str">
        <f t="shared" si="127"/>
        <v/>
      </c>
      <c r="U1834" s="61" t="str">
        <f t="shared" si="130"/>
        <v/>
      </c>
      <c r="V1834" s="61"/>
      <c r="W1834" s="61"/>
      <c r="X1834" s="61"/>
      <c r="Y1834" s="471"/>
      <c r="Z1834" s="471"/>
      <c r="AA1834" s="61"/>
      <c r="AB1834" s="61"/>
    </row>
    <row r="1835" spans="1:28" s="2" customFormat="1" ht="28.5">
      <c r="A1835" s="61" t="s">
        <v>778</v>
      </c>
      <c r="B1835" s="61" t="s">
        <v>2172</v>
      </c>
      <c r="C1835" s="61" t="s">
        <v>1439</v>
      </c>
      <c r="D1835" s="61" t="s">
        <v>7838</v>
      </c>
      <c r="E1835" s="61">
        <v>3424</v>
      </c>
      <c r="F1835" s="61">
        <v>4811</v>
      </c>
      <c r="G1835" s="61"/>
      <c r="H1835" s="61"/>
      <c r="I1835" s="61" t="s">
        <v>33</v>
      </c>
      <c r="J1835" s="61"/>
      <c r="K1835" s="61" t="s">
        <v>148</v>
      </c>
      <c r="L1835" s="61"/>
      <c r="M1835" s="61"/>
      <c r="N1835" s="61"/>
      <c r="O1835" s="61"/>
      <c r="P1835" s="61"/>
      <c r="Q1835" s="61"/>
      <c r="R1835" s="61" t="str">
        <f t="shared" si="128"/>
        <v/>
      </c>
      <c r="S1835" s="61" t="str">
        <f t="shared" si="129"/>
        <v/>
      </c>
      <c r="T1835" s="61" t="str">
        <f t="shared" si="127"/>
        <v/>
      </c>
      <c r="U1835" s="61" t="str">
        <f t="shared" si="130"/>
        <v/>
      </c>
      <c r="V1835" s="61"/>
      <c r="W1835" s="61"/>
      <c r="X1835" s="61"/>
      <c r="Y1835" s="61"/>
      <c r="Z1835" s="474"/>
      <c r="AA1835" s="61"/>
      <c r="AB1835" s="61"/>
    </row>
    <row r="1836" spans="1:28" s="2" customFormat="1" ht="28.5">
      <c r="A1836" s="61" t="s">
        <v>778</v>
      </c>
      <c r="B1836" s="61" t="s">
        <v>2172</v>
      </c>
      <c r="C1836" s="61" t="s">
        <v>5180</v>
      </c>
      <c r="D1836" s="61" t="s">
        <v>7838</v>
      </c>
      <c r="E1836" s="61">
        <v>8402</v>
      </c>
      <c r="F1836" s="61">
        <v>9164</v>
      </c>
      <c r="G1836" s="61"/>
      <c r="H1836" s="61"/>
      <c r="I1836" s="61" t="s">
        <v>33</v>
      </c>
      <c r="J1836" s="61"/>
      <c r="K1836" s="61" t="s">
        <v>148</v>
      </c>
      <c r="L1836" s="61"/>
      <c r="M1836" s="61"/>
      <c r="N1836" s="61"/>
      <c r="O1836" s="61"/>
      <c r="P1836" s="61"/>
      <c r="Q1836" s="61"/>
      <c r="R1836" s="61" t="str">
        <f t="shared" si="128"/>
        <v/>
      </c>
      <c r="S1836" s="61" t="str">
        <f t="shared" si="129"/>
        <v/>
      </c>
      <c r="T1836" s="61" t="str">
        <f t="shared" si="127"/>
        <v/>
      </c>
      <c r="U1836" s="61" t="str">
        <f t="shared" si="130"/>
        <v/>
      </c>
      <c r="V1836" s="61"/>
      <c r="W1836" s="61"/>
      <c r="X1836" s="61"/>
      <c r="Y1836" s="61"/>
      <c r="Z1836" s="61"/>
      <c r="AA1836" s="61"/>
      <c r="AB1836" s="61"/>
    </row>
    <row r="1837" spans="1:28" s="2" customFormat="1" ht="28.5">
      <c r="A1837" s="61" t="s">
        <v>778</v>
      </c>
      <c r="B1837" s="61" t="s">
        <v>2172</v>
      </c>
      <c r="C1837" s="61" t="s">
        <v>5364</v>
      </c>
      <c r="D1837" s="61" t="s">
        <v>7838</v>
      </c>
      <c r="E1837" s="61">
        <v>5036</v>
      </c>
      <c r="F1837" s="61">
        <v>6208</v>
      </c>
      <c r="G1837" s="61"/>
      <c r="H1837" s="61"/>
      <c r="I1837" s="61" t="s">
        <v>33</v>
      </c>
      <c r="J1837" s="61"/>
      <c r="K1837" s="61" t="s">
        <v>148</v>
      </c>
      <c r="L1837" s="61"/>
      <c r="M1837" s="61"/>
      <c r="N1837" s="61"/>
      <c r="O1837" s="61"/>
      <c r="P1837" s="61"/>
      <c r="Q1837" s="61"/>
      <c r="R1837" s="61" t="str">
        <f t="shared" si="128"/>
        <v/>
      </c>
      <c r="S1837" s="61" t="str">
        <f t="shared" si="129"/>
        <v/>
      </c>
      <c r="T1837" s="61" t="str">
        <f t="shared" si="127"/>
        <v/>
      </c>
      <c r="U1837" s="61" t="str">
        <f t="shared" si="130"/>
        <v/>
      </c>
      <c r="V1837" s="61"/>
      <c r="W1837" s="61"/>
      <c r="X1837" s="61"/>
      <c r="Y1837" s="61"/>
      <c r="Z1837" s="61"/>
      <c r="AA1837" s="61"/>
      <c r="AB1837" s="61"/>
    </row>
    <row r="1838" spans="1:28" s="2" customFormat="1" ht="28.5">
      <c r="A1838" s="61" t="s">
        <v>778</v>
      </c>
      <c r="B1838" s="61" t="s">
        <v>2172</v>
      </c>
      <c r="C1838" s="61" t="s">
        <v>3977</v>
      </c>
      <c r="D1838" s="61" t="s">
        <v>7838</v>
      </c>
      <c r="E1838" s="61">
        <v>4222</v>
      </c>
      <c r="F1838" s="61">
        <v>4060</v>
      </c>
      <c r="G1838" s="61"/>
      <c r="H1838" s="61"/>
      <c r="I1838" s="61" t="s">
        <v>33</v>
      </c>
      <c r="J1838" s="61"/>
      <c r="K1838" s="61" t="s">
        <v>148</v>
      </c>
      <c r="L1838" s="61"/>
      <c r="M1838" s="61"/>
      <c r="N1838" s="61"/>
      <c r="O1838" s="61"/>
      <c r="P1838" s="61"/>
      <c r="Q1838" s="61"/>
      <c r="R1838" s="61" t="str">
        <f t="shared" si="128"/>
        <v/>
      </c>
      <c r="S1838" s="61" t="str">
        <f t="shared" si="129"/>
        <v/>
      </c>
      <c r="T1838" s="61" t="str">
        <f t="shared" si="127"/>
        <v/>
      </c>
      <c r="U1838" s="61" t="str">
        <f t="shared" si="130"/>
        <v/>
      </c>
      <c r="V1838" s="61"/>
      <c r="W1838" s="61"/>
      <c r="X1838" s="61"/>
      <c r="Y1838" s="61"/>
      <c r="Z1838" s="61"/>
      <c r="AA1838" s="61"/>
      <c r="AB1838" s="61"/>
    </row>
    <row r="1839" spans="1:28" s="2" customFormat="1" ht="28.5">
      <c r="A1839" s="61" t="s">
        <v>778</v>
      </c>
      <c r="B1839" s="61" t="s">
        <v>2172</v>
      </c>
      <c r="C1839" s="61" t="s">
        <v>5366</v>
      </c>
      <c r="D1839" s="61" t="s">
        <v>7838</v>
      </c>
      <c r="E1839" s="61">
        <v>12698</v>
      </c>
      <c r="F1839" s="61">
        <v>14280</v>
      </c>
      <c r="G1839" s="61"/>
      <c r="H1839" s="61"/>
      <c r="I1839" s="61" t="s">
        <v>33</v>
      </c>
      <c r="J1839" s="61"/>
      <c r="K1839" s="61" t="s">
        <v>148</v>
      </c>
      <c r="L1839" s="61"/>
      <c r="M1839" s="61"/>
      <c r="N1839" s="61"/>
      <c r="O1839" s="61"/>
      <c r="P1839" s="61"/>
      <c r="Q1839" s="61"/>
      <c r="R1839" s="61" t="str">
        <f t="shared" si="128"/>
        <v/>
      </c>
      <c r="S1839" s="61" t="str">
        <f t="shared" si="129"/>
        <v/>
      </c>
      <c r="T1839" s="61" t="str">
        <f t="shared" si="127"/>
        <v/>
      </c>
      <c r="U1839" s="61" t="str">
        <f t="shared" si="130"/>
        <v/>
      </c>
      <c r="V1839" s="61"/>
      <c r="W1839" s="61"/>
      <c r="X1839" s="61"/>
      <c r="Y1839" s="61"/>
      <c r="Z1839" s="61"/>
      <c r="AA1839" s="61"/>
      <c r="AB1839" s="61"/>
    </row>
    <row r="1840" spans="1:28" s="2" customFormat="1" ht="28.5">
      <c r="A1840" s="61" t="s">
        <v>778</v>
      </c>
      <c r="B1840" s="61" t="s">
        <v>2172</v>
      </c>
      <c r="C1840" s="61" t="s">
        <v>5367</v>
      </c>
      <c r="D1840" s="61" t="s">
        <v>7838</v>
      </c>
      <c r="E1840" s="61">
        <v>10965</v>
      </c>
      <c r="F1840" s="61">
        <v>13912</v>
      </c>
      <c r="G1840" s="61"/>
      <c r="H1840" s="61"/>
      <c r="I1840" s="61" t="s">
        <v>33</v>
      </c>
      <c r="J1840" s="61"/>
      <c r="K1840" s="61" t="s">
        <v>148</v>
      </c>
      <c r="L1840" s="61"/>
      <c r="M1840" s="61"/>
      <c r="N1840" s="61"/>
      <c r="O1840" s="61"/>
      <c r="P1840" s="61"/>
      <c r="Q1840" s="61"/>
      <c r="R1840" s="61" t="str">
        <f t="shared" si="128"/>
        <v/>
      </c>
      <c r="S1840" s="61" t="str">
        <f t="shared" si="129"/>
        <v/>
      </c>
      <c r="T1840" s="61" t="str">
        <f t="shared" si="127"/>
        <v/>
      </c>
      <c r="U1840" s="61" t="str">
        <f t="shared" si="130"/>
        <v/>
      </c>
      <c r="V1840" s="61"/>
      <c r="W1840" s="61"/>
      <c r="X1840" s="61"/>
      <c r="Y1840" s="61"/>
      <c r="Z1840" s="61"/>
      <c r="AA1840" s="61"/>
      <c r="AB1840" s="61"/>
    </row>
    <row r="1841" spans="1:28" s="2" customFormat="1" ht="28.5">
      <c r="A1841" s="61" t="s">
        <v>778</v>
      </c>
      <c r="B1841" s="61" t="s">
        <v>2172</v>
      </c>
      <c r="C1841" s="61" t="s">
        <v>5368</v>
      </c>
      <c r="D1841" s="61" t="s">
        <v>7838</v>
      </c>
      <c r="E1841" s="61">
        <v>10914</v>
      </c>
      <c r="F1841" s="61">
        <v>13656</v>
      </c>
      <c r="G1841" s="61"/>
      <c r="H1841" s="61"/>
      <c r="I1841" s="61" t="s">
        <v>33</v>
      </c>
      <c r="J1841" s="61"/>
      <c r="K1841" s="61" t="s">
        <v>148</v>
      </c>
      <c r="L1841" s="61"/>
      <c r="M1841" s="61"/>
      <c r="N1841" s="61"/>
      <c r="O1841" s="61"/>
      <c r="P1841" s="61"/>
      <c r="Q1841" s="61"/>
      <c r="R1841" s="61" t="str">
        <f t="shared" si="128"/>
        <v/>
      </c>
      <c r="S1841" s="61" t="str">
        <f t="shared" si="129"/>
        <v/>
      </c>
      <c r="T1841" s="61" t="str">
        <f t="shared" si="127"/>
        <v/>
      </c>
      <c r="U1841" s="61" t="str">
        <f t="shared" si="130"/>
        <v/>
      </c>
      <c r="V1841" s="61"/>
      <c r="W1841" s="61"/>
      <c r="X1841" s="61"/>
      <c r="Y1841" s="61"/>
      <c r="Z1841" s="61"/>
      <c r="AA1841" s="61"/>
      <c r="AB1841" s="61"/>
    </row>
    <row r="1842" spans="1:28" s="2" customFormat="1" ht="28.5">
      <c r="A1842" s="61" t="s">
        <v>778</v>
      </c>
      <c r="B1842" s="61" t="s">
        <v>1343</v>
      </c>
      <c r="C1842" s="61" t="s">
        <v>5375</v>
      </c>
      <c r="D1842" s="61" t="s">
        <v>7838</v>
      </c>
      <c r="E1842" s="61">
        <v>7329</v>
      </c>
      <c r="F1842" s="61">
        <v>7856</v>
      </c>
      <c r="G1842" s="61">
        <v>2025</v>
      </c>
      <c r="H1842" s="61" t="s">
        <v>3458</v>
      </c>
      <c r="I1842" s="61" t="s">
        <v>1345</v>
      </c>
      <c r="J1842" s="61"/>
      <c r="K1842" s="61" t="s">
        <v>148</v>
      </c>
      <c r="L1842" s="61" t="s">
        <v>8784</v>
      </c>
      <c r="M1842" s="475">
        <v>45701</v>
      </c>
      <c r="N1842" s="475">
        <v>45706</v>
      </c>
      <c r="O1842" s="475"/>
      <c r="P1842" s="475">
        <v>45706</v>
      </c>
      <c r="Q1842" s="475">
        <v>45706</v>
      </c>
      <c r="R1842" s="61">
        <f t="shared" si="128"/>
        <v>3</v>
      </c>
      <c r="S1842" s="61" t="str">
        <f t="shared" si="129"/>
        <v/>
      </c>
      <c r="T1842" s="61">
        <f t="shared" si="127"/>
        <v>1</v>
      </c>
      <c r="U1842" s="61">
        <f t="shared" si="130"/>
        <v>1</v>
      </c>
      <c r="V1842" s="61" t="s">
        <v>150</v>
      </c>
      <c r="W1842" s="61" t="s">
        <v>1078</v>
      </c>
      <c r="X1842" s="61" t="s">
        <v>50</v>
      </c>
      <c r="Y1842" s="471"/>
      <c r="Z1842" s="471"/>
      <c r="AA1842" s="61"/>
      <c r="AB1842" s="61"/>
    </row>
    <row r="1843" spans="1:28" s="2" customFormat="1" ht="28.5">
      <c r="A1843" s="61" t="s">
        <v>778</v>
      </c>
      <c r="B1843" s="61" t="s">
        <v>1343</v>
      </c>
      <c r="C1843" s="61" t="s">
        <v>5371</v>
      </c>
      <c r="D1843" s="61" t="s">
        <v>7838</v>
      </c>
      <c r="E1843" s="61">
        <v>10104</v>
      </c>
      <c r="F1843" s="61">
        <v>10867</v>
      </c>
      <c r="G1843" s="61">
        <v>2025</v>
      </c>
      <c r="H1843" s="61" t="s">
        <v>3470</v>
      </c>
      <c r="I1843" s="61" t="s">
        <v>1345</v>
      </c>
      <c r="J1843" s="61"/>
      <c r="K1843" s="61" t="s">
        <v>148</v>
      </c>
      <c r="L1843" s="61" t="s">
        <v>8785</v>
      </c>
      <c r="M1843" s="475">
        <v>45757</v>
      </c>
      <c r="N1843" s="475">
        <v>45762</v>
      </c>
      <c r="O1843" s="61"/>
      <c r="P1843" s="475">
        <v>45762</v>
      </c>
      <c r="Q1843" s="475">
        <v>45762</v>
      </c>
      <c r="R1843" s="61">
        <f t="shared" si="128"/>
        <v>3</v>
      </c>
      <c r="S1843" s="61" t="str">
        <f t="shared" si="129"/>
        <v/>
      </c>
      <c r="T1843" s="61">
        <f t="shared" si="127"/>
        <v>1</v>
      </c>
      <c r="U1843" s="61">
        <f t="shared" si="130"/>
        <v>1</v>
      </c>
      <c r="V1843" s="61" t="s">
        <v>150</v>
      </c>
      <c r="W1843" s="61" t="s">
        <v>3527</v>
      </c>
      <c r="X1843" s="61" t="s">
        <v>3528</v>
      </c>
      <c r="Y1843" s="471">
        <v>14.965</v>
      </c>
      <c r="Z1843" s="471" t="s">
        <v>8786</v>
      </c>
      <c r="AA1843" s="61" t="s">
        <v>404</v>
      </c>
      <c r="AB1843" s="61"/>
    </row>
    <row r="1844" spans="1:28" s="2" customFormat="1" ht="28.5">
      <c r="A1844" s="61" t="s">
        <v>778</v>
      </c>
      <c r="B1844" s="61" t="s">
        <v>1343</v>
      </c>
      <c r="C1844" s="61" t="s">
        <v>5373</v>
      </c>
      <c r="D1844" s="61" t="s">
        <v>7838</v>
      </c>
      <c r="E1844" s="61">
        <v>3883</v>
      </c>
      <c r="F1844" s="61">
        <v>3998</v>
      </c>
      <c r="G1844" s="61">
        <v>2025</v>
      </c>
      <c r="H1844" s="61" t="s">
        <v>3470</v>
      </c>
      <c r="I1844" s="61" t="s">
        <v>1345</v>
      </c>
      <c r="J1844" s="61"/>
      <c r="K1844" s="61" t="s">
        <v>148</v>
      </c>
      <c r="L1844" s="61" t="s">
        <v>8787</v>
      </c>
      <c r="M1844" s="475">
        <v>45757</v>
      </c>
      <c r="N1844" s="635">
        <v>45762</v>
      </c>
      <c r="O1844" s="634"/>
      <c r="P1844" s="635">
        <v>45762</v>
      </c>
      <c r="Q1844" s="635">
        <v>45762</v>
      </c>
      <c r="R1844" s="61">
        <f t="shared" si="128"/>
        <v>3</v>
      </c>
      <c r="S1844" s="61" t="str">
        <f t="shared" si="129"/>
        <v/>
      </c>
      <c r="T1844" s="61">
        <f t="shared" si="127"/>
        <v>1</v>
      </c>
      <c r="U1844" s="61">
        <f t="shared" si="130"/>
        <v>1</v>
      </c>
      <c r="V1844" s="61" t="s">
        <v>150</v>
      </c>
      <c r="W1844" s="61" t="s">
        <v>3527</v>
      </c>
      <c r="X1844" s="61" t="s">
        <v>3528</v>
      </c>
      <c r="Y1844" s="471" t="s">
        <v>8788</v>
      </c>
      <c r="Z1844" s="471">
        <v>120.85590000000001</v>
      </c>
      <c r="AA1844" s="61" t="s">
        <v>404</v>
      </c>
      <c r="AB1844" s="61"/>
    </row>
    <row r="1845" spans="1:28" s="2" customFormat="1" ht="28.5">
      <c r="A1845" s="61" t="s">
        <v>778</v>
      </c>
      <c r="B1845" s="61" t="s">
        <v>1343</v>
      </c>
      <c r="C1845" s="61" t="s">
        <v>5377</v>
      </c>
      <c r="D1845" s="61" t="s">
        <v>7838</v>
      </c>
      <c r="E1845" s="61">
        <v>7090</v>
      </c>
      <c r="F1845" s="61">
        <v>8307</v>
      </c>
      <c r="G1845" s="61">
        <v>2025</v>
      </c>
      <c r="H1845" s="61" t="s">
        <v>3125</v>
      </c>
      <c r="I1845" s="61" t="s">
        <v>1345</v>
      </c>
      <c r="J1845" s="61" t="s">
        <v>28</v>
      </c>
      <c r="K1845" s="61" t="s">
        <v>148</v>
      </c>
      <c r="L1845" s="61" t="s">
        <v>8789</v>
      </c>
      <c r="M1845" s="475">
        <v>45849</v>
      </c>
      <c r="N1845" s="475">
        <v>45854</v>
      </c>
      <c r="O1845" s="475">
        <v>45856</v>
      </c>
      <c r="P1845" s="475">
        <v>45856</v>
      </c>
      <c r="Q1845" s="475">
        <v>45856</v>
      </c>
      <c r="R1845" s="61">
        <f t="shared" si="128"/>
        <v>3</v>
      </c>
      <c r="S1845" s="61">
        <f t="shared" si="129"/>
        <v>2</v>
      </c>
      <c r="T1845" s="61">
        <f t="shared" si="127"/>
        <v>2</v>
      </c>
      <c r="U1845" s="61">
        <f t="shared" si="130"/>
        <v>1</v>
      </c>
      <c r="V1845" s="61" t="s">
        <v>150</v>
      </c>
      <c r="W1845" s="61" t="s">
        <v>3527</v>
      </c>
      <c r="X1845" s="61" t="s">
        <v>3528</v>
      </c>
      <c r="Y1845" s="61" t="s">
        <v>8790</v>
      </c>
      <c r="Z1845" s="61" t="s">
        <v>8791</v>
      </c>
      <c r="AA1845" s="61" t="s">
        <v>404</v>
      </c>
      <c r="AB1845" s="61"/>
    </row>
    <row r="1846" spans="1:28" s="2" customFormat="1" ht="28.5">
      <c r="A1846" s="61" t="s">
        <v>778</v>
      </c>
      <c r="B1846" s="61" t="s">
        <v>1343</v>
      </c>
      <c r="C1846" s="61" t="s">
        <v>5379</v>
      </c>
      <c r="D1846" s="61" t="s">
        <v>7838</v>
      </c>
      <c r="E1846" s="61">
        <v>2701</v>
      </c>
      <c r="F1846" s="61">
        <v>3925</v>
      </c>
      <c r="G1846" s="61">
        <v>2025</v>
      </c>
      <c r="H1846" s="61" t="s">
        <v>3532</v>
      </c>
      <c r="I1846" s="61" t="s">
        <v>1345</v>
      </c>
      <c r="J1846" s="61"/>
      <c r="K1846" s="61" t="s">
        <v>148</v>
      </c>
      <c r="L1846" s="61" t="s">
        <v>8792</v>
      </c>
      <c r="M1846" s="475">
        <v>45793</v>
      </c>
      <c r="N1846" s="475">
        <v>45794</v>
      </c>
      <c r="O1846" s="61"/>
      <c r="P1846" s="475">
        <v>45796</v>
      </c>
      <c r="Q1846" s="475">
        <v>45797</v>
      </c>
      <c r="R1846" s="61">
        <f t="shared" si="128"/>
        <v>1</v>
      </c>
      <c r="S1846" s="61" t="str">
        <f t="shared" si="129"/>
        <v/>
      </c>
      <c r="T1846" s="61">
        <f t="shared" si="127"/>
        <v>1</v>
      </c>
      <c r="U1846" s="61">
        <f t="shared" si="130"/>
        <v>1</v>
      </c>
      <c r="V1846" s="61" t="s">
        <v>150</v>
      </c>
      <c r="W1846" s="61" t="s">
        <v>3527</v>
      </c>
      <c r="X1846" s="61" t="s">
        <v>3528</v>
      </c>
      <c r="Y1846" s="471" t="s">
        <v>8793</v>
      </c>
      <c r="Z1846" s="471" t="s">
        <v>8794</v>
      </c>
      <c r="AA1846" s="61"/>
      <c r="AB1846" s="61"/>
    </row>
    <row r="1847" spans="1:28" s="2" customFormat="1" ht="28.5">
      <c r="A1847" s="61" t="s">
        <v>778</v>
      </c>
      <c r="B1847" s="61" t="s">
        <v>1343</v>
      </c>
      <c r="C1847" s="61" t="s">
        <v>3913</v>
      </c>
      <c r="D1847" s="61" t="s">
        <v>7838</v>
      </c>
      <c r="E1847" s="61">
        <v>8932</v>
      </c>
      <c r="F1847" s="61">
        <v>8861</v>
      </c>
      <c r="G1847" s="61">
        <v>2025</v>
      </c>
      <c r="H1847" s="61" t="s">
        <v>3125</v>
      </c>
      <c r="I1847" s="61" t="s">
        <v>1345</v>
      </c>
      <c r="J1847" s="61" t="s">
        <v>28</v>
      </c>
      <c r="K1847" s="61" t="s">
        <v>148</v>
      </c>
      <c r="L1847" s="61" t="s">
        <v>8795</v>
      </c>
      <c r="M1847" s="475">
        <v>45855</v>
      </c>
      <c r="N1847" s="635">
        <v>45856</v>
      </c>
      <c r="O1847" s="635">
        <v>45856</v>
      </c>
      <c r="P1847" s="635">
        <v>45856</v>
      </c>
      <c r="Q1847" s="635">
        <v>45856</v>
      </c>
      <c r="R1847" s="61">
        <f t="shared" si="128"/>
        <v>1</v>
      </c>
      <c r="S1847" s="61">
        <f t="shared" si="129"/>
        <v>1</v>
      </c>
      <c r="T1847" s="61">
        <f t="shared" si="127"/>
        <v>1</v>
      </c>
      <c r="U1847" s="61">
        <f t="shared" si="130"/>
        <v>1</v>
      </c>
      <c r="V1847" s="61" t="s">
        <v>150</v>
      </c>
      <c r="W1847" s="61" t="s">
        <v>3527</v>
      </c>
      <c r="X1847" s="61" t="s">
        <v>3528</v>
      </c>
      <c r="Y1847" s="61" t="s">
        <v>8796</v>
      </c>
      <c r="Z1847" s="61" t="s">
        <v>8797</v>
      </c>
      <c r="AA1847" s="61" t="s">
        <v>404</v>
      </c>
      <c r="AB1847" s="61"/>
    </row>
    <row r="1848" spans="1:28" s="2" customFormat="1" ht="28.5">
      <c r="A1848" s="61" t="s">
        <v>778</v>
      </c>
      <c r="B1848" s="61" t="s">
        <v>1343</v>
      </c>
      <c r="C1848" s="61" t="s">
        <v>2119</v>
      </c>
      <c r="D1848" s="61" t="s">
        <v>7838</v>
      </c>
      <c r="E1848" s="61">
        <v>7121</v>
      </c>
      <c r="F1848" s="61">
        <v>7394</v>
      </c>
      <c r="G1848" s="61">
        <v>2025</v>
      </c>
      <c r="H1848" s="61" t="s">
        <v>3127</v>
      </c>
      <c r="I1848" s="61" t="s">
        <v>1345</v>
      </c>
      <c r="J1848" s="61"/>
      <c r="K1848" s="61" t="s">
        <v>148</v>
      </c>
      <c r="L1848" s="61" t="s">
        <v>8798</v>
      </c>
      <c r="M1848" s="475">
        <v>45903</v>
      </c>
      <c r="N1848" s="475">
        <v>45916</v>
      </c>
      <c r="O1848" s="61"/>
      <c r="P1848" s="475">
        <v>45917</v>
      </c>
      <c r="Q1848" s="475">
        <v>45918</v>
      </c>
      <c r="R1848" s="61">
        <f t="shared" si="128"/>
        <v>9</v>
      </c>
      <c r="S1848" s="61" t="str">
        <f t="shared" si="129"/>
        <v/>
      </c>
      <c r="T1848" s="61">
        <f t="shared" si="127"/>
        <v>1</v>
      </c>
      <c r="U1848" s="61">
        <f t="shared" si="130"/>
        <v>1</v>
      </c>
      <c r="V1848" s="61" t="s">
        <v>150</v>
      </c>
      <c r="W1848" s="61" t="s">
        <v>1078</v>
      </c>
      <c r="X1848" s="61" t="s">
        <v>57</v>
      </c>
      <c r="Y1848" s="61" t="s">
        <v>69</v>
      </c>
      <c r="Z1848" s="61" t="s">
        <v>69</v>
      </c>
      <c r="AA1848" s="61" t="s">
        <v>612</v>
      </c>
      <c r="AB1848" s="61" t="s">
        <v>8799</v>
      </c>
    </row>
    <row r="1849" spans="1:28" s="2" customFormat="1" ht="28.5">
      <c r="A1849" s="61" t="s">
        <v>778</v>
      </c>
      <c r="B1849" s="61" t="s">
        <v>1343</v>
      </c>
      <c r="C1849" s="61" t="s">
        <v>4476</v>
      </c>
      <c r="D1849" s="61" t="s">
        <v>7838</v>
      </c>
      <c r="E1849" s="61">
        <v>11891</v>
      </c>
      <c r="F1849" s="61">
        <v>13408</v>
      </c>
      <c r="G1849" s="61">
        <v>2025</v>
      </c>
      <c r="H1849" s="61" t="s">
        <v>3127</v>
      </c>
      <c r="I1849" s="61" t="s">
        <v>1345</v>
      </c>
      <c r="J1849" s="61"/>
      <c r="K1849" s="61" t="s">
        <v>148</v>
      </c>
      <c r="L1849" s="61" t="s">
        <v>8798</v>
      </c>
      <c r="M1849" s="475">
        <v>45903</v>
      </c>
      <c r="N1849" s="475">
        <v>45916</v>
      </c>
      <c r="O1849" s="61"/>
      <c r="P1849" s="475">
        <v>45917</v>
      </c>
      <c r="Q1849" s="475">
        <v>45918</v>
      </c>
      <c r="R1849" s="61">
        <f t="shared" si="128"/>
        <v>9</v>
      </c>
      <c r="S1849" s="61" t="str">
        <f t="shared" si="129"/>
        <v/>
      </c>
      <c r="T1849" s="61">
        <f t="shared" si="127"/>
        <v>1</v>
      </c>
      <c r="U1849" s="61">
        <f t="shared" si="130"/>
        <v>1</v>
      </c>
      <c r="V1849" s="61" t="s">
        <v>150</v>
      </c>
      <c r="W1849" s="61" t="s">
        <v>4</v>
      </c>
      <c r="X1849" s="61" t="s">
        <v>50</v>
      </c>
      <c r="Y1849" s="61" t="s">
        <v>69</v>
      </c>
      <c r="Z1849" s="61" t="s">
        <v>69</v>
      </c>
      <c r="AA1849" s="61" t="s">
        <v>612</v>
      </c>
      <c r="AB1849" s="61" t="s">
        <v>8799</v>
      </c>
    </row>
    <row r="1850" spans="1:28" s="2" customFormat="1" ht="28.5">
      <c r="A1850" s="61" t="s">
        <v>778</v>
      </c>
      <c r="B1850" s="61" t="s">
        <v>1343</v>
      </c>
      <c r="C1850" s="61" t="s">
        <v>1166</v>
      </c>
      <c r="D1850" s="61" t="s">
        <v>7838</v>
      </c>
      <c r="E1850" s="61">
        <v>22580</v>
      </c>
      <c r="F1850" s="61">
        <v>23686</v>
      </c>
      <c r="G1850" s="61">
        <v>2025</v>
      </c>
      <c r="H1850" s="61" t="s">
        <v>3127</v>
      </c>
      <c r="I1850" s="61" t="s">
        <v>1345</v>
      </c>
      <c r="J1850" s="61"/>
      <c r="K1850" s="61" t="s">
        <v>148</v>
      </c>
      <c r="L1850" s="61" t="s">
        <v>8798</v>
      </c>
      <c r="M1850" s="475">
        <v>45903</v>
      </c>
      <c r="N1850" s="475">
        <v>45916</v>
      </c>
      <c r="O1850" s="61"/>
      <c r="P1850" s="475">
        <v>45917</v>
      </c>
      <c r="Q1850" s="475">
        <v>45918</v>
      </c>
      <c r="R1850" s="61">
        <f t="shared" si="128"/>
        <v>9</v>
      </c>
      <c r="S1850" s="61" t="str">
        <f t="shared" si="129"/>
        <v/>
      </c>
      <c r="T1850" s="61">
        <f t="shared" si="127"/>
        <v>1</v>
      </c>
      <c r="U1850" s="61">
        <f t="shared" si="130"/>
        <v>1</v>
      </c>
      <c r="V1850" s="61" t="s">
        <v>150</v>
      </c>
      <c r="W1850" s="61" t="s">
        <v>4</v>
      </c>
      <c r="X1850" s="61" t="s">
        <v>50</v>
      </c>
      <c r="Y1850" s="61" t="s">
        <v>69</v>
      </c>
      <c r="Z1850" s="61" t="s">
        <v>69</v>
      </c>
      <c r="AA1850" s="61" t="s">
        <v>612</v>
      </c>
      <c r="AB1850" s="61" t="s">
        <v>8799</v>
      </c>
    </row>
    <row r="1851" spans="1:28" s="2" customFormat="1" ht="28.5">
      <c r="A1851" s="61" t="s">
        <v>778</v>
      </c>
      <c r="B1851" s="61" t="s">
        <v>1343</v>
      </c>
      <c r="C1851" s="61" t="s">
        <v>5382</v>
      </c>
      <c r="D1851" s="61" t="s">
        <v>7838</v>
      </c>
      <c r="E1851" s="61">
        <v>7246</v>
      </c>
      <c r="F1851" s="61">
        <v>7775</v>
      </c>
      <c r="G1851" s="61">
        <v>2025</v>
      </c>
      <c r="H1851" s="61" t="s">
        <v>3127</v>
      </c>
      <c r="I1851" s="61" t="s">
        <v>1345</v>
      </c>
      <c r="J1851" s="61"/>
      <c r="K1851" s="61" t="s">
        <v>148</v>
      </c>
      <c r="L1851" s="61" t="s">
        <v>8798</v>
      </c>
      <c r="M1851" s="635">
        <v>45903</v>
      </c>
      <c r="N1851" s="635">
        <v>45916</v>
      </c>
      <c r="O1851" s="634"/>
      <c r="P1851" s="635">
        <v>45917</v>
      </c>
      <c r="Q1851" s="635">
        <v>45918</v>
      </c>
      <c r="R1851" s="61">
        <f t="shared" si="128"/>
        <v>9</v>
      </c>
      <c r="S1851" s="61" t="str">
        <f t="shared" si="129"/>
        <v/>
      </c>
      <c r="T1851" s="61">
        <f t="shared" si="127"/>
        <v>1</v>
      </c>
      <c r="U1851" s="61">
        <f t="shared" si="130"/>
        <v>1</v>
      </c>
      <c r="V1851" s="61" t="s">
        <v>150</v>
      </c>
      <c r="W1851" s="61" t="s">
        <v>1078</v>
      </c>
      <c r="X1851" s="61" t="s">
        <v>57</v>
      </c>
      <c r="Y1851" s="61" t="s">
        <v>69</v>
      </c>
      <c r="Z1851" s="61" t="s">
        <v>69</v>
      </c>
      <c r="AA1851" s="61" t="s">
        <v>612</v>
      </c>
      <c r="AB1851" s="61" t="s">
        <v>8799</v>
      </c>
    </row>
    <row r="1852" spans="1:28" s="2" customFormat="1" ht="28.5">
      <c r="A1852" s="61" t="s">
        <v>778</v>
      </c>
      <c r="B1852" s="61" t="s">
        <v>1343</v>
      </c>
      <c r="C1852" s="61" t="s">
        <v>1344</v>
      </c>
      <c r="D1852" s="61" t="s">
        <v>7838</v>
      </c>
      <c r="E1852" s="61">
        <v>9269</v>
      </c>
      <c r="F1852" s="61">
        <v>11693</v>
      </c>
      <c r="G1852" s="61">
        <v>2025</v>
      </c>
      <c r="H1852" s="61" t="s">
        <v>3127</v>
      </c>
      <c r="I1852" s="61" t="s">
        <v>1345</v>
      </c>
      <c r="J1852" s="61"/>
      <c r="K1852" s="61" t="s">
        <v>148</v>
      </c>
      <c r="L1852" s="61" t="s">
        <v>8798</v>
      </c>
      <c r="M1852" s="475">
        <v>45903</v>
      </c>
      <c r="N1852" s="475">
        <v>45916</v>
      </c>
      <c r="O1852" s="61"/>
      <c r="P1852" s="475">
        <v>45917</v>
      </c>
      <c r="Q1852" s="475">
        <v>45918</v>
      </c>
      <c r="R1852" s="61">
        <f t="shared" si="128"/>
        <v>9</v>
      </c>
      <c r="S1852" s="61" t="str">
        <f t="shared" si="129"/>
        <v/>
      </c>
      <c r="T1852" s="61">
        <f t="shared" si="127"/>
        <v>1</v>
      </c>
      <c r="U1852" s="61">
        <f t="shared" si="130"/>
        <v>1</v>
      </c>
      <c r="V1852" s="61" t="s">
        <v>150</v>
      </c>
      <c r="W1852" s="61" t="s">
        <v>1078</v>
      </c>
      <c r="X1852" s="61" t="s">
        <v>57</v>
      </c>
      <c r="Y1852" s="61" t="s">
        <v>69</v>
      </c>
      <c r="Z1852" s="61" t="s">
        <v>69</v>
      </c>
      <c r="AA1852" s="61" t="s">
        <v>612</v>
      </c>
      <c r="AB1852" s="61" t="s">
        <v>8799</v>
      </c>
    </row>
    <row r="1853" spans="1:28" s="2" customFormat="1" ht="28.5">
      <c r="A1853" s="61" t="s">
        <v>778</v>
      </c>
      <c r="B1853" s="61" t="s">
        <v>1343</v>
      </c>
      <c r="C1853" s="61" t="s">
        <v>5383</v>
      </c>
      <c r="D1853" s="61" t="s">
        <v>7838</v>
      </c>
      <c r="E1853" s="61">
        <v>9819</v>
      </c>
      <c r="F1853" s="61">
        <v>9390</v>
      </c>
      <c r="G1853" s="61">
        <v>2025</v>
      </c>
      <c r="H1853" s="61" t="s">
        <v>3127</v>
      </c>
      <c r="I1853" s="61" t="s">
        <v>1345</v>
      </c>
      <c r="J1853" s="61"/>
      <c r="K1853" s="61" t="s">
        <v>148</v>
      </c>
      <c r="L1853" s="61" t="s">
        <v>8798</v>
      </c>
      <c r="M1853" s="475">
        <v>45903</v>
      </c>
      <c r="N1853" s="475">
        <v>45916</v>
      </c>
      <c r="O1853" s="61"/>
      <c r="P1853" s="475">
        <v>45917</v>
      </c>
      <c r="Q1853" s="475">
        <v>45918</v>
      </c>
      <c r="R1853" s="61">
        <f t="shared" si="128"/>
        <v>9</v>
      </c>
      <c r="S1853" s="61" t="str">
        <f t="shared" si="129"/>
        <v/>
      </c>
      <c r="T1853" s="61">
        <f t="shared" si="127"/>
        <v>1</v>
      </c>
      <c r="U1853" s="61">
        <f t="shared" si="130"/>
        <v>1</v>
      </c>
      <c r="V1853" s="61" t="s">
        <v>150</v>
      </c>
      <c r="W1853" s="61" t="s">
        <v>1078</v>
      </c>
      <c r="X1853" s="61" t="s">
        <v>57</v>
      </c>
      <c r="Y1853" s="61" t="s">
        <v>69</v>
      </c>
      <c r="Z1853" s="61" t="s">
        <v>69</v>
      </c>
      <c r="AA1853" s="61" t="s">
        <v>612</v>
      </c>
      <c r="AB1853" s="61" t="s">
        <v>8799</v>
      </c>
    </row>
    <row r="1854" spans="1:28" s="2" customFormat="1" ht="28.5">
      <c r="A1854" s="61" t="s">
        <v>778</v>
      </c>
      <c r="B1854" s="61" t="s">
        <v>1349</v>
      </c>
      <c r="C1854" s="61" t="s">
        <v>5384</v>
      </c>
      <c r="D1854" s="61" t="s">
        <v>7838</v>
      </c>
      <c r="E1854" s="61">
        <v>4133</v>
      </c>
      <c r="F1854" s="61">
        <v>4429</v>
      </c>
      <c r="G1854" s="61">
        <v>2025</v>
      </c>
      <c r="H1854" s="61" t="s">
        <v>3126</v>
      </c>
      <c r="I1854" s="61" t="s">
        <v>32</v>
      </c>
      <c r="J1854" s="61" t="s">
        <v>28</v>
      </c>
      <c r="K1854" s="61" t="s">
        <v>148</v>
      </c>
      <c r="L1854" s="61" t="s">
        <v>8800</v>
      </c>
      <c r="M1854" s="475">
        <v>45874</v>
      </c>
      <c r="N1854" s="475">
        <v>45886</v>
      </c>
      <c r="O1854" s="475">
        <v>45887</v>
      </c>
      <c r="P1854" s="475">
        <v>45888</v>
      </c>
      <c r="Q1854" s="475">
        <v>45888</v>
      </c>
      <c r="R1854" s="61">
        <f t="shared" si="128"/>
        <v>8</v>
      </c>
      <c r="S1854" s="61">
        <f t="shared" si="129"/>
        <v>1</v>
      </c>
      <c r="T1854" s="61">
        <f t="shared" si="127"/>
        <v>1</v>
      </c>
      <c r="U1854" s="61">
        <f t="shared" si="130"/>
        <v>1</v>
      </c>
      <c r="V1854" s="61" t="s">
        <v>150</v>
      </c>
      <c r="W1854" s="61" t="s">
        <v>4</v>
      </c>
      <c r="X1854" s="61" t="s">
        <v>50</v>
      </c>
      <c r="Y1854" s="474"/>
      <c r="Z1854" s="474"/>
      <c r="AA1854" s="61" t="s">
        <v>182</v>
      </c>
      <c r="AB1854" s="61" t="s">
        <v>8801</v>
      </c>
    </row>
    <row r="1855" spans="1:28" s="2" customFormat="1" ht="28.5">
      <c r="A1855" s="61" t="s">
        <v>778</v>
      </c>
      <c r="B1855" s="61" t="s">
        <v>1349</v>
      </c>
      <c r="C1855" s="61" t="s">
        <v>5385</v>
      </c>
      <c r="D1855" s="61" t="s">
        <v>7838</v>
      </c>
      <c r="E1855" s="61">
        <v>2582</v>
      </c>
      <c r="F1855" s="61">
        <v>2849</v>
      </c>
      <c r="G1855" s="61">
        <v>2025</v>
      </c>
      <c r="H1855" s="61" t="s">
        <v>3689</v>
      </c>
      <c r="I1855" s="61" t="s">
        <v>32</v>
      </c>
      <c r="J1855" s="61" t="s">
        <v>28</v>
      </c>
      <c r="K1855" s="61" t="s">
        <v>148</v>
      </c>
      <c r="L1855" s="61" t="s">
        <v>8802</v>
      </c>
      <c r="M1855" s="635">
        <v>45811</v>
      </c>
      <c r="N1855" s="635">
        <v>45813</v>
      </c>
      <c r="O1855" s="635">
        <v>45818</v>
      </c>
      <c r="P1855" s="635">
        <v>45826</v>
      </c>
      <c r="Q1855" s="635">
        <v>45826</v>
      </c>
      <c r="R1855" s="61">
        <f t="shared" si="128"/>
        <v>2</v>
      </c>
      <c r="S1855" s="61">
        <f t="shared" si="129"/>
        <v>3</v>
      </c>
      <c r="T1855" s="61">
        <f t="shared" si="127"/>
        <v>9</v>
      </c>
      <c r="U1855" s="61">
        <f t="shared" si="130"/>
        <v>1</v>
      </c>
      <c r="V1855" s="61" t="s">
        <v>150</v>
      </c>
      <c r="W1855" s="61" t="s">
        <v>4</v>
      </c>
      <c r="X1855" s="61" t="s">
        <v>50</v>
      </c>
      <c r="Y1855" s="471">
        <v>15.18788</v>
      </c>
      <c r="Z1855" s="471">
        <v>120.69902</v>
      </c>
      <c r="AA1855" s="61" t="s">
        <v>182</v>
      </c>
      <c r="AB1855" s="61"/>
    </row>
    <row r="1856" spans="1:28" s="2" customFormat="1" ht="28.5">
      <c r="A1856" s="61" t="s">
        <v>778</v>
      </c>
      <c r="B1856" s="61" t="s">
        <v>1349</v>
      </c>
      <c r="C1856" s="61" t="s">
        <v>5387</v>
      </c>
      <c r="D1856" s="61" t="s">
        <v>7838</v>
      </c>
      <c r="E1856" s="61">
        <v>2493</v>
      </c>
      <c r="F1856" s="61">
        <v>2882</v>
      </c>
      <c r="G1856" s="61">
        <v>2025</v>
      </c>
      <c r="H1856" s="61" t="s">
        <v>3126</v>
      </c>
      <c r="I1856" s="61" t="s">
        <v>32</v>
      </c>
      <c r="J1856" s="61" t="s">
        <v>28</v>
      </c>
      <c r="K1856" s="61" t="s">
        <v>148</v>
      </c>
      <c r="L1856" s="61" t="s">
        <v>8800</v>
      </c>
      <c r="M1856" s="475">
        <v>45874</v>
      </c>
      <c r="N1856" s="475">
        <v>45886</v>
      </c>
      <c r="O1856" s="475">
        <v>45887</v>
      </c>
      <c r="P1856" s="475">
        <v>45888</v>
      </c>
      <c r="Q1856" s="475">
        <v>45888</v>
      </c>
      <c r="R1856" s="61">
        <f t="shared" si="128"/>
        <v>8</v>
      </c>
      <c r="S1856" s="61">
        <f t="shared" si="129"/>
        <v>1</v>
      </c>
      <c r="T1856" s="61">
        <f t="shared" si="127"/>
        <v>1</v>
      </c>
      <c r="U1856" s="61">
        <f t="shared" si="130"/>
        <v>1</v>
      </c>
      <c r="V1856" s="61" t="s">
        <v>150</v>
      </c>
      <c r="W1856" s="61" t="s">
        <v>4</v>
      </c>
      <c r="X1856" s="61" t="s">
        <v>57</v>
      </c>
      <c r="Y1856" s="474"/>
      <c r="Z1856" s="474"/>
      <c r="AA1856" s="61" t="s">
        <v>182</v>
      </c>
      <c r="AB1856" s="61" t="s">
        <v>8801</v>
      </c>
    </row>
    <row r="1857" spans="1:28" s="2" customFormat="1" ht="28.5">
      <c r="A1857" s="61" t="s">
        <v>778</v>
      </c>
      <c r="B1857" s="61" t="s">
        <v>1349</v>
      </c>
      <c r="C1857" s="61" t="s">
        <v>5388</v>
      </c>
      <c r="D1857" s="61" t="s">
        <v>7838</v>
      </c>
      <c r="E1857" s="61">
        <v>4322</v>
      </c>
      <c r="F1857" s="61">
        <v>5023</v>
      </c>
      <c r="G1857" s="61">
        <v>2025</v>
      </c>
      <c r="H1857" s="61" t="s">
        <v>3689</v>
      </c>
      <c r="I1857" s="61" t="s">
        <v>32</v>
      </c>
      <c r="J1857" s="61" t="s">
        <v>28</v>
      </c>
      <c r="K1857" s="61" t="s">
        <v>148</v>
      </c>
      <c r="L1857" s="61" t="s">
        <v>8803</v>
      </c>
      <c r="M1857" s="475">
        <v>45811</v>
      </c>
      <c r="N1857" s="475">
        <v>45813</v>
      </c>
      <c r="O1857" s="475">
        <v>45818</v>
      </c>
      <c r="P1857" s="475">
        <v>45826</v>
      </c>
      <c r="Q1857" s="475">
        <v>45826</v>
      </c>
      <c r="R1857" s="61">
        <f t="shared" si="128"/>
        <v>2</v>
      </c>
      <c r="S1857" s="61">
        <f t="shared" si="129"/>
        <v>3</v>
      </c>
      <c r="T1857" s="61">
        <f t="shared" si="127"/>
        <v>9</v>
      </c>
      <c r="U1857" s="61">
        <f t="shared" si="130"/>
        <v>1</v>
      </c>
      <c r="V1857" s="61" t="s">
        <v>150</v>
      </c>
      <c r="W1857" s="61" t="s">
        <v>4</v>
      </c>
      <c r="X1857" s="61" t="s">
        <v>57</v>
      </c>
      <c r="Y1857" s="471">
        <v>15.19459</v>
      </c>
      <c r="Z1857" s="471">
        <v>120.67203000000001</v>
      </c>
      <c r="AA1857" s="61" t="s">
        <v>182</v>
      </c>
      <c r="AB1857" s="61"/>
    </row>
    <row r="1858" spans="1:28" s="2" customFormat="1" ht="28.5">
      <c r="A1858" s="61" t="s">
        <v>778</v>
      </c>
      <c r="B1858" s="61" t="s">
        <v>1349</v>
      </c>
      <c r="C1858" s="61" t="s">
        <v>5389</v>
      </c>
      <c r="D1858" s="61" t="s">
        <v>7838</v>
      </c>
      <c r="E1858" s="61">
        <v>5029</v>
      </c>
      <c r="F1858" s="61">
        <v>5588</v>
      </c>
      <c r="G1858" s="61">
        <v>2025</v>
      </c>
      <c r="H1858" s="61" t="s">
        <v>3126</v>
      </c>
      <c r="I1858" s="61" t="s">
        <v>32</v>
      </c>
      <c r="J1858" s="61" t="s">
        <v>28</v>
      </c>
      <c r="K1858" s="61" t="s">
        <v>148</v>
      </c>
      <c r="L1858" s="61" t="s">
        <v>8800</v>
      </c>
      <c r="M1858" s="475">
        <v>45874</v>
      </c>
      <c r="N1858" s="475">
        <v>45886</v>
      </c>
      <c r="O1858" s="475">
        <v>45887</v>
      </c>
      <c r="P1858" s="475">
        <v>45888</v>
      </c>
      <c r="Q1858" s="475">
        <v>45888</v>
      </c>
      <c r="R1858" s="61">
        <f t="shared" si="128"/>
        <v>8</v>
      </c>
      <c r="S1858" s="61">
        <f t="shared" si="129"/>
        <v>1</v>
      </c>
      <c r="T1858" s="61">
        <f t="shared" si="127"/>
        <v>1</v>
      </c>
      <c r="U1858" s="61">
        <f t="shared" si="130"/>
        <v>1</v>
      </c>
      <c r="V1858" s="61" t="s">
        <v>150</v>
      </c>
      <c r="W1858" s="61" t="s">
        <v>4</v>
      </c>
      <c r="X1858" s="61" t="s">
        <v>57</v>
      </c>
      <c r="Y1858" s="474"/>
      <c r="Z1858" s="474"/>
      <c r="AA1858" s="61" t="s">
        <v>182</v>
      </c>
      <c r="AB1858" s="61" t="s">
        <v>8801</v>
      </c>
    </row>
    <row r="1859" spans="1:28" s="2" customFormat="1" ht="28.5">
      <c r="A1859" s="61" t="s">
        <v>778</v>
      </c>
      <c r="B1859" s="61" t="s">
        <v>1349</v>
      </c>
      <c r="C1859" s="61" t="s">
        <v>4313</v>
      </c>
      <c r="D1859" s="61" t="s">
        <v>7838</v>
      </c>
      <c r="E1859" s="61">
        <v>3763</v>
      </c>
      <c r="F1859" s="61">
        <v>4344</v>
      </c>
      <c r="G1859" s="61">
        <v>2025</v>
      </c>
      <c r="H1859" s="61" t="s">
        <v>3126</v>
      </c>
      <c r="I1859" s="61" t="s">
        <v>32</v>
      </c>
      <c r="J1859" s="61" t="s">
        <v>28</v>
      </c>
      <c r="K1859" s="61" t="s">
        <v>148</v>
      </c>
      <c r="L1859" s="61" t="s">
        <v>8800</v>
      </c>
      <c r="M1859" s="475">
        <v>45874</v>
      </c>
      <c r="N1859" s="475">
        <v>45886</v>
      </c>
      <c r="O1859" s="475">
        <v>45887</v>
      </c>
      <c r="P1859" s="475">
        <v>45888</v>
      </c>
      <c r="Q1859" s="475">
        <v>45888</v>
      </c>
      <c r="R1859" s="61">
        <f t="shared" si="128"/>
        <v>8</v>
      </c>
      <c r="S1859" s="61">
        <f t="shared" si="129"/>
        <v>1</v>
      </c>
      <c r="T1859" s="61">
        <f t="shared" si="127"/>
        <v>1</v>
      </c>
      <c r="U1859" s="61">
        <f t="shared" si="130"/>
        <v>1</v>
      </c>
      <c r="V1859" s="61" t="s">
        <v>150</v>
      </c>
      <c r="W1859" s="61" t="s">
        <v>4</v>
      </c>
      <c r="X1859" s="61" t="s">
        <v>57</v>
      </c>
      <c r="Y1859" s="474"/>
      <c r="Z1859" s="474"/>
      <c r="AA1859" s="61" t="s">
        <v>182</v>
      </c>
      <c r="AB1859" s="61" t="s">
        <v>8801</v>
      </c>
    </row>
    <row r="1860" spans="1:28" s="2" customFormat="1" ht="28.5">
      <c r="A1860" s="61" t="s">
        <v>778</v>
      </c>
      <c r="B1860" s="61" t="s">
        <v>1349</v>
      </c>
      <c r="C1860" s="61" t="s">
        <v>5390</v>
      </c>
      <c r="D1860" s="61" t="s">
        <v>7838</v>
      </c>
      <c r="E1860" s="61">
        <v>6323</v>
      </c>
      <c r="F1860" s="61">
        <v>7121</v>
      </c>
      <c r="G1860" s="61">
        <v>2025</v>
      </c>
      <c r="H1860" s="61" t="s">
        <v>3458</v>
      </c>
      <c r="I1860" s="61" t="s">
        <v>32</v>
      </c>
      <c r="J1860" s="61"/>
      <c r="K1860" s="61" t="s">
        <v>148</v>
      </c>
      <c r="L1860" s="61" t="s">
        <v>8804</v>
      </c>
      <c r="M1860" s="475">
        <v>45700</v>
      </c>
      <c r="N1860" s="475">
        <v>45702</v>
      </c>
      <c r="O1860" s="61"/>
      <c r="P1860" s="475">
        <v>45705</v>
      </c>
      <c r="Q1860" s="475">
        <v>45706</v>
      </c>
      <c r="R1860" s="61">
        <f t="shared" si="128"/>
        <v>2</v>
      </c>
      <c r="S1860" s="61" t="str">
        <f t="shared" si="129"/>
        <v/>
      </c>
      <c r="T1860" s="61">
        <f t="shared" si="127"/>
        <v>1</v>
      </c>
      <c r="U1860" s="61">
        <f t="shared" si="130"/>
        <v>1</v>
      </c>
      <c r="V1860" s="61" t="s">
        <v>150</v>
      </c>
      <c r="W1860" s="61" t="s">
        <v>4</v>
      </c>
      <c r="X1860" s="61" t="s">
        <v>57</v>
      </c>
      <c r="Y1860" s="471">
        <v>120.73717000000001</v>
      </c>
      <c r="Z1860" s="471">
        <v>15.15625</v>
      </c>
      <c r="AA1860" s="61" t="s">
        <v>182</v>
      </c>
      <c r="AB1860" s="61"/>
    </row>
    <row r="1861" spans="1:28" s="2" customFormat="1" ht="28.5">
      <c r="A1861" s="61" t="s">
        <v>778</v>
      </c>
      <c r="B1861" s="61" t="s">
        <v>1349</v>
      </c>
      <c r="C1861" s="61" t="s">
        <v>5392</v>
      </c>
      <c r="D1861" s="61" t="s">
        <v>7838</v>
      </c>
      <c r="E1861" s="61">
        <v>4118</v>
      </c>
      <c r="F1861" s="61">
        <v>4170</v>
      </c>
      <c r="G1861" s="61">
        <v>2025</v>
      </c>
      <c r="H1861" s="61" t="s">
        <v>3126</v>
      </c>
      <c r="I1861" s="61" t="s">
        <v>32</v>
      </c>
      <c r="J1861" s="61" t="s">
        <v>28</v>
      </c>
      <c r="K1861" s="61" t="s">
        <v>148</v>
      </c>
      <c r="L1861" s="61" t="s">
        <v>8800</v>
      </c>
      <c r="M1861" s="475">
        <v>45874</v>
      </c>
      <c r="N1861" s="475">
        <v>45886</v>
      </c>
      <c r="O1861" s="475">
        <v>45887</v>
      </c>
      <c r="P1861" s="475">
        <v>45888</v>
      </c>
      <c r="Q1861" s="475">
        <v>45888</v>
      </c>
      <c r="R1861" s="61">
        <f t="shared" si="128"/>
        <v>8</v>
      </c>
      <c r="S1861" s="61">
        <f t="shared" si="129"/>
        <v>1</v>
      </c>
      <c r="T1861" s="61">
        <f t="shared" si="127"/>
        <v>1</v>
      </c>
      <c r="U1861" s="61">
        <f t="shared" si="130"/>
        <v>1</v>
      </c>
      <c r="V1861" s="61" t="s">
        <v>150</v>
      </c>
      <c r="W1861" s="61" t="s">
        <v>4</v>
      </c>
      <c r="X1861" s="61" t="s">
        <v>57</v>
      </c>
      <c r="Y1861" s="474"/>
      <c r="Z1861" s="474"/>
      <c r="AA1861" s="61" t="s">
        <v>182</v>
      </c>
      <c r="AB1861" s="61" t="s">
        <v>8801</v>
      </c>
    </row>
    <row r="1862" spans="1:28" s="2" customFormat="1" ht="28.5">
      <c r="A1862" s="61" t="s">
        <v>778</v>
      </c>
      <c r="B1862" s="61" t="s">
        <v>1349</v>
      </c>
      <c r="C1862" s="61" t="s">
        <v>5394</v>
      </c>
      <c r="D1862" s="61" t="s">
        <v>7838</v>
      </c>
      <c r="E1862" s="61">
        <v>5423</v>
      </c>
      <c r="F1862" s="61">
        <v>5755</v>
      </c>
      <c r="G1862" s="61">
        <v>2025</v>
      </c>
      <c r="H1862" s="61" t="s">
        <v>3125</v>
      </c>
      <c r="I1862" s="61" t="s">
        <v>32</v>
      </c>
      <c r="J1862" s="61" t="s">
        <v>28</v>
      </c>
      <c r="K1862" s="61" t="s">
        <v>148</v>
      </c>
      <c r="L1862" s="61" t="s">
        <v>8805</v>
      </c>
      <c r="M1862" s="475">
        <v>45847</v>
      </c>
      <c r="N1862" s="475">
        <v>45849</v>
      </c>
      <c r="O1862" s="475">
        <v>45856</v>
      </c>
      <c r="P1862" s="475">
        <v>45856</v>
      </c>
      <c r="Q1862" s="475">
        <v>45856</v>
      </c>
      <c r="R1862" s="61">
        <f t="shared" si="128"/>
        <v>2</v>
      </c>
      <c r="S1862" s="61">
        <f t="shared" si="129"/>
        <v>5</v>
      </c>
      <c r="T1862" s="61">
        <f t="shared" si="127"/>
        <v>5</v>
      </c>
      <c r="U1862" s="61">
        <f t="shared" si="130"/>
        <v>1</v>
      </c>
      <c r="V1862" s="61" t="s">
        <v>150</v>
      </c>
      <c r="W1862" s="61" t="s">
        <v>4</v>
      </c>
      <c r="X1862" s="61" t="s">
        <v>57</v>
      </c>
      <c r="Y1862" s="61">
        <v>15.168279999999999</v>
      </c>
      <c r="Z1862" s="61">
        <v>120.78975</v>
      </c>
      <c r="AA1862" s="61" t="s">
        <v>182</v>
      </c>
      <c r="AB1862" s="61"/>
    </row>
    <row r="1863" spans="1:28" s="2" customFormat="1" ht="28.5">
      <c r="A1863" s="61" t="s">
        <v>778</v>
      </c>
      <c r="B1863" s="61" t="s">
        <v>1349</v>
      </c>
      <c r="C1863" s="61" t="s">
        <v>5396</v>
      </c>
      <c r="D1863" s="61" t="s">
        <v>7838</v>
      </c>
      <c r="E1863" s="61">
        <v>1059</v>
      </c>
      <c r="F1863" s="61">
        <v>964</v>
      </c>
      <c r="G1863" s="61">
        <v>2025</v>
      </c>
      <c r="H1863" s="61" t="s">
        <v>3126</v>
      </c>
      <c r="I1863" s="61" t="s">
        <v>32</v>
      </c>
      <c r="J1863" s="61" t="s">
        <v>28</v>
      </c>
      <c r="K1863" s="61" t="s">
        <v>148</v>
      </c>
      <c r="L1863" s="61" t="s">
        <v>8800</v>
      </c>
      <c r="M1863" s="475">
        <v>45874</v>
      </c>
      <c r="N1863" s="475">
        <v>45886</v>
      </c>
      <c r="O1863" s="475">
        <v>45887</v>
      </c>
      <c r="P1863" s="475">
        <v>45888</v>
      </c>
      <c r="Q1863" s="475">
        <v>45888</v>
      </c>
      <c r="R1863" s="61">
        <f t="shared" si="128"/>
        <v>8</v>
      </c>
      <c r="S1863" s="61">
        <f t="shared" si="129"/>
        <v>1</v>
      </c>
      <c r="T1863" s="61">
        <f t="shared" si="127"/>
        <v>1</v>
      </c>
      <c r="U1863" s="61">
        <f t="shared" si="130"/>
        <v>1</v>
      </c>
      <c r="V1863" s="61" t="s">
        <v>150</v>
      </c>
      <c r="W1863" s="61" t="s">
        <v>4</v>
      </c>
      <c r="X1863" s="61" t="s">
        <v>57</v>
      </c>
      <c r="Y1863" s="474"/>
      <c r="Z1863" s="474"/>
      <c r="AA1863" s="61" t="s">
        <v>182</v>
      </c>
      <c r="AB1863" s="61" t="s">
        <v>8801</v>
      </c>
    </row>
    <row r="1864" spans="1:28" s="2" customFormat="1" ht="28.5">
      <c r="A1864" s="61" t="s">
        <v>778</v>
      </c>
      <c r="B1864" s="61" t="s">
        <v>1349</v>
      </c>
      <c r="C1864" s="61" t="s">
        <v>5398</v>
      </c>
      <c r="D1864" s="61" t="s">
        <v>7838</v>
      </c>
      <c r="E1864" s="61">
        <v>3698</v>
      </c>
      <c r="F1864" s="61">
        <v>3736</v>
      </c>
      <c r="G1864" s="61">
        <v>2025</v>
      </c>
      <c r="H1864" s="61" t="s">
        <v>3126</v>
      </c>
      <c r="I1864" s="61" t="s">
        <v>32</v>
      </c>
      <c r="J1864" s="61" t="s">
        <v>28</v>
      </c>
      <c r="K1864" s="61" t="s">
        <v>148</v>
      </c>
      <c r="L1864" s="61" t="s">
        <v>8800</v>
      </c>
      <c r="M1864" s="475">
        <v>45874</v>
      </c>
      <c r="N1864" s="475">
        <v>45886</v>
      </c>
      <c r="O1864" s="475">
        <v>45887</v>
      </c>
      <c r="P1864" s="475">
        <v>45888</v>
      </c>
      <c r="Q1864" s="475">
        <v>45888</v>
      </c>
      <c r="R1864" s="61">
        <f t="shared" si="128"/>
        <v>8</v>
      </c>
      <c r="S1864" s="61">
        <f t="shared" si="129"/>
        <v>1</v>
      </c>
      <c r="T1864" s="61">
        <f t="shared" si="127"/>
        <v>1</v>
      </c>
      <c r="U1864" s="61">
        <f t="shared" si="130"/>
        <v>1</v>
      </c>
      <c r="V1864" s="61" t="s">
        <v>150</v>
      </c>
      <c r="W1864" s="61" t="s">
        <v>4</v>
      </c>
      <c r="X1864" s="61" t="s">
        <v>57</v>
      </c>
      <c r="Y1864" s="474"/>
      <c r="Z1864" s="474"/>
      <c r="AA1864" s="61" t="s">
        <v>182</v>
      </c>
      <c r="AB1864" s="61" t="s">
        <v>8801</v>
      </c>
    </row>
    <row r="1865" spans="1:28" s="2" customFormat="1" ht="28.5">
      <c r="A1865" s="61" t="s">
        <v>778</v>
      </c>
      <c r="B1865" s="61" t="s">
        <v>1349</v>
      </c>
      <c r="C1865" s="61" t="s">
        <v>5399</v>
      </c>
      <c r="D1865" s="61" t="s">
        <v>7838</v>
      </c>
      <c r="E1865" s="61">
        <v>10133</v>
      </c>
      <c r="F1865" s="61">
        <v>10996</v>
      </c>
      <c r="G1865" s="61">
        <v>2025</v>
      </c>
      <c r="H1865" s="61" t="s">
        <v>3689</v>
      </c>
      <c r="I1865" s="61" t="s">
        <v>32</v>
      </c>
      <c r="J1865" s="61" t="s">
        <v>28</v>
      </c>
      <c r="K1865" s="61" t="s">
        <v>148</v>
      </c>
      <c r="L1865" s="61" t="s">
        <v>8806</v>
      </c>
      <c r="M1865" s="475">
        <v>45811</v>
      </c>
      <c r="N1865" s="475">
        <v>45813</v>
      </c>
      <c r="O1865" s="475">
        <v>45818</v>
      </c>
      <c r="P1865" s="475">
        <v>45826</v>
      </c>
      <c r="Q1865" s="475">
        <v>45826</v>
      </c>
      <c r="R1865" s="61">
        <f t="shared" si="128"/>
        <v>2</v>
      </c>
      <c r="S1865" s="61">
        <f t="shared" si="129"/>
        <v>3</v>
      </c>
      <c r="T1865" s="61">
        <f t="shared" si="127"/>
        <v>9</v>
      </c>
      <c r="U1865" s="61">
        <f t="shared" si="130"/>
        <v>1</v>
      </c>
      <c r="V1865" s="61" t="s">
        <v>150</v>
      </c>
      <c r="W1865" s="61" t="s">
        <v>4</v>
      </c>
      <c r="X1865" s="61" t="s">
        <v>57</v>
      </c>
      <c r="Y1865" s="471">
        <v>15.14831</v>
      </c>
      <c r="Z1865" s="471">
        <v>120.75852999999999</v>
      </c>
      <c r="AA1865" s="61" t="s">
        <v>182</v>
      </c>
      <c r="AB1865" s="61"/>
    </row>
    <row r="1866" spans="1:28" s="2" customFormat="1" ht="28.5">
      <c r="A1866" s="61" t="s">
        <v>778</v>
      </c>
      <c r="B1866" s="61" t="s">
        <v>1349</v>
      </c>
      <c r="C1866" s="61" t="s">
        <v>3474</v>
      </c>
      <c r="D1866" s="61" t="s">
        <v>7838</v>
      </c>
      <c r="E1866" s="61">
        <v>3735</v>
      </c>
      <c r="F1866" s="61">
        <v>3955</v>
      </c>
      <c r="G1866" s="61">
        <v>2025</v>
      </c>
      <c r="H1866" s="61" t="s">
        <v>3126</v>
      </c>
      <c r="I1866" s="61" t="s">
        <v>32</v>
      </c>
      <c r="J1866" s="61" t="s">
        <v>28</v>
      </c>
      <c r="K1866" s="61" t="s">
        <v>148</v>
      </c>
      <c r="L1866" s="61" t="s">
        <v>8800</v>
      </c>
      <c r="M1866" s="475">
        <v>45874</v>
      </c>
      <c r="N1866" s="475">
        <v>45886</v>
      </c>
      <c r="O1866" s="475">
        <v>45887</v>
      </c>
      <c r="P1866" s="475">
        <v>45888</v>
      </c>
      <c r="Q1866" s="475">
        <v>45888</v>
      </c>
      <c r="R1866" s="61">
        <f t="shared" si="128"/>
        <v>8</v>
      </c>
      <c r="S1866" s="61">
        <f t="shared" si="129"/>
        <v>1</v>
      </c>
      <c r="T1866" s="61">
        <f t="shared" si="127"/>
        <v>1</v>
      </c>
      <c r="U1866" s="61">
        <f t="shared" si="130"/>
        <v>1</v>
      </c>
      <c r="V1866" s="61" t="s">
        <v>150</v>
      </c>
      <c r="W1866" s="61" t="s">
        <v>4</v>
      </c>
      <c r="X1866" s="61" t="s">
        <v>57</v>
      </c>
      <c r="Y1866" s="474"/>
      <c r="Z1866" s="474"/>
      <c r="AA1866" s="61" t="s">
        <v>182</v>
      </c>
      <c r="AB1866" s="61" t="s">
        <v>8801</v>
      </c>
    </row>
    <row r="1867" spans="1:28" s="2" customFormat="1" ht="28.5">
      <c r="A1867" s="61" t="s">
        <v>778</v>
      </c>
      <c r="B1867" s="61" t="s">
        <v>1349</v>
      </c>
      <c r="C1867" s="61" t="s">
        <v>5400</v>
      </c>
      <c r="D1867" s="61" t="s">
        <v>7838</v>
      </c>
      <c r="E1867" s="61">
        <v>3554</v>
      </c>
      <c r="F1867" s="61">
        <v>3820</v>
      </c>
      <c r="G1867" s="61">
        <v>2025</v>
      </c>
      <c r="H1867" s="61" t="s">
        <v>3126</v>
      </c>
      <c r="I1867" s="61" t="s">
        <v>32</v>
      </c>
      <c r="J1867" s="61" t="s">
        <v>28</v>
      </c>
      <c r="K1867" s="61" t="s">
        <v>148</v>
      </c>
      <c r="L1867" s="61" t="s">
        <v>8800</v>
      </c>
      <c r="M1867" s="475">
        <v>45874</v>
      </c>
      <c r="N1867" s="475">
        <v>45886</v>
      </c>
      <c r="O1867" s="475">
        <v>45887</v>
      </c>
      <c r="P1867" s="475">
        <v>45888</v>
      </c>
      <c r="Q1867" s="475">
        <v>45888</v>
      </c>
      <c r="R1867" s="61">
        <f t="shared" si="128"/>
        <v>8</v>
      </c>
      <c r="S1867" s="61">
        <f t="shared" si="129"/>
        <v>1</v>
      </c>
      <c r="T1867" s="61">
        <f t="shared" si="127"/>
        <v>1</v>
      </c>
      <c r="U1867" s="61">
        <f t="shared" si="130"/>
        <v>1</v>
      </c>
      <c r="V1867" s="61" t="s">
        <v>150</v>
      </c>
      <c r="W1867" s="61" t="s">
        <v>4</v>
      </c>
      <c r="X1867" s="61" t="s">
        <v>57</v>
      </c>
      <c r="Y1867" s="61"/>
      <c r="Z1867" s="61"/>
      <c r="AA1867" s="61" t="s">
        <v>182</v>
      </c>
      <c r="AB1867" s="61" t="s">
        <v>8801</v>
      </c>
    </row>
    <row r="1868" spans="1:28" s="2" customFormat="1" ht="28.5">
      <c r="A1868" s="61" t="s">
        <v>778</v>
      </c>
      <c r="B1868" s="61" t="s">
        <v>1349</v>
      </c>
      <c r="C1868" s="61" t="s">
        <v>5401</v>
      </c>
      <c r="D1868" s="61" t="s">
        <v>7838</v>
      </c>
      <c r="E1868" s="61">
        <v>3214</v>
      </c>
      <c r="F1868" s="61">
        <v>3411</v>
      </c>
      <c r="G1868" s="61">
        <v>2025</v>
      </c>
      <c r="H1868" s="61" t="s">
        <v>3689</v>
      </c>
      <c r="I1868" s="61" t="s">
        <v>32</v>
      </c>
      <c r="J1868" s="61" t="s">
        <v>28</v>
      </c>
      <c r="K1868" s="61" t="s">
        <v>148</v>
      </c>
      <c r="L1868" s="61" t="s">
        <v>8807</v>
      </c>
      <c r="M1868" s="475">
        <v>45811</v>
      </c>
      <c r="N1868" s="475">
        <v>45813</v>
      </c>
      <c r="O1868" s="475">
        <v>45818</v>
      </c>
      <c r="P1868" s="475">
        <v>45826</v>
      </c>
      <c r="Q1868" s="475">
        <v>45826</v>
      </c>
      <c r="R1868" s="61">
        <f t="shared" si="128"/>
        <v>2</v>
      </c>
      <c r="S1868" s="61">
        <f t="shared" si="129"/>
        <v>3</v>
      </c>
      <c r="T1868" s="61">
        <f t="shared" si="127"/>
        <v>9</v>
      </c>
      <c r="U1868" s="61">
        <f t="shared" si="130"/>
        <v>1</v>
      </c>
      <c r="V1868" s="61" t="s">
        <v>150</v>
      </c>
      <c r="W1868" s="61" t="s">
        <v>4</v>
      </c>
      <c r="X1868" s="61" t="s">
        <v>57</v>
      </c>
      <c r="Y1868" s="471">
        <v>15.162559999999999</v>
      </c>
      <c r="Z1868" s="471">
        <v>120.70985</v>
      </c>
      <c r="AA1868" s="61" t="s">
        <v>182</v>
      </c>
      <c r="AB1868" s="61"/>
    </row>
    <row r="1869" spans="1:28" s="2" customFormat="1" ht="28.5">
      <c r="A1869" s="61" t="s">
        <v>778</v>
      </c>
      <c r="B1869" s="61" t="s">
        <v>1349</v>
      </c>
      <c r="C1869" s="61" t="s">
        <v>5402</v>
      </c>
      <c r="D1869" s="61" t="s">
        <v>7838</v>
      </c>
      <c r="E1869" s="61">
        <v>1913</v>
      </c>
      <c r="F1869" s="61">
        <v>2026</v>
      </c>
      <c r="G1869" s="61">
        <v>2025</v>
      </c>
      <c r="H1869" s="61" t="s">
        <v>3126</v>
      </c>
      <c r="I1869" s="61" t="s">
        <v>32</v>
      </c>
      <c r="J1869" s="61" t="s">
        <v>28</v>
      </c>
      <c r="K1869" s="61" t="s">
        <v>148</v>
      </c>
      <c r="L1869" s="61" t="s">
        <v>8800</v>
      </c>
      <c r="M1869" s="475">
        <v>45874</v>
      </c>
      <c r="N1869" s="475">
        <v>45886</v>
      </c>
      <c r="O1869" s="475">
        <v>45887</v>
      </c>
      <c r="P1869" s="475">
        <v>45888</v>
      </c>
      <c r="Q1869" s="475">
        <v>45888</v>
      </c>
      <c r="R1869" s="61">
        <f t="shared" si="128"/>
        <v>8</v>
      </c>
      <c r="S1869" s="61">
        <f t="shared" si="129"/>
        <v>1</v>
      </c>
      <c r="T1869" s="61">
        <f t="shared" si="127"/>
        <v>1</v>
      </c>
      <c r="U1869" s="61">
        <f t="shared" si="130"/>
        <v>1</v>
      </c>
      <c r="V1869" s="61" t="s">
        <v>150</v>
      </c>
      <c r="W1869" s="61" t="s">
        <v>4</v>
      </c>
      <c r="X1869" s="61" t="s">
        <v>57</v>
      </c>
      <c r="Y1869" s="474"/>
      <c r="Z1869" s="474"/>
      <c r="AA1869" s="61" t="s">
        <v>182</v>
      </c>
      <c r="AB1869" s="61" t="s">
        <v>8801</v>
      </c>
    </row>
    <row r="1870" spans="1:28" s="2" customFormat="1" ht="28.5">
      <c r="A1870" s="61" t="s">
        <v>778</v>
      </c>
      <c r="B1870" s="61" t="s">
        <v>1349</v>
      </c>
      <c r="C1870" s="61" t="s">
        <v>5406</v>
      </c>
      <c r="D1870" s="61" t="s">
        <v>7838</v>
      </c>
      <c r="E1870" s="61">
        <v>3593</v>
      </c>
      <c r="F1870" s="61">
        <v>3627</v>
      </c>
      <c r="G1870" s="61">
        <v>2025</v>
      </c>
      <c r="H1870" s="61" t="s">
        <v>3125</v>
      </c>
      <c r="I1870" s="61" t="s">
        <v>32</v>
      </c>
      <c r="J1870" s="61" t="s">
        <v>28</v>
      </c>
      <c r="K1870" s="61" t="s">
        <v>148</v>
      </c>
      <c r="L1870" s="61" t="s">
        <v>8808</v>
      </c>
      <c r="M1870" s="475">
        <v>45847</v>
      </c>
      <c r="N1870" s="475">
        <v>45849</v>
      </c>
      <c r="O1870" s="475">
        <v>45856</v>
      </c>
      <c r="P1870" s="475">
        <v>45856</v>
      </c>
      <c r="Q1870" s="475">
        <v>45856</v>
      </c>
      <c r="R1870" s="61">
        <f t="shared" si="128"/>
        <v>2</v>
      </c>
      <c r="S1870" s="61">
        <f t="shared" si="129"/>
        <v>5</v>
      </c>
      <c r="T1870" s="61">
        <f t="shared" si="127"/>
        <v>5</v>
      </c>
      <c r="U1870" s="61">
        <f t="shared" si="130"/>
        <v>1</v>
      </c>
      <c r="V1870" s="61" t="s">
        <v>150</v>
      </c>
      <c r="W1870" s="61" t="s">
        <v>4</v>
      </c>
      <c r="X1870" s="61" t="s">
        <v>57</v>
      </c>
      <c r="Y1870" s="61">
        <v>15.16201</v>
      </c>
      <c r="Z1870" s="61">
        <v>120.779</v>
      </c>
      <c r="AA1870" s="61" t="s">
        <v>182</v>
      </c>
      <c r="AB1870" s="61"/>
    </row>
    <row r="1871" spans="1:28" s="2" customFormat="1" ht="28.5">
      <c r="A1871" s="61" t="s">
        <v>778</v>
      </c>
      <c r="B1871" s="61" t="s">
        <v>1349</v>
      </c>
      <c r="C1871" s="61" t="s">
        <v>4294</v>
      </c>
      <c r="D1871" s="61" t="s">
        <v>7838</v>
      </c>
      <c r="E1871" s="61">
        <v>6382</v>
      </c>
      <c r="F1871" s="61">
        <v>6611</v>
      </c>
      <c r="G1871" s="61">
        <v>2025</v>
      </c>
      <c r="H1871" s="61" t="s">
        <v>3125</v>
      </c>
      <c r="I1871" s="61" t="s">
        <v>32</v>
      </c>
      <c r="J1871" s="61" t="s">
        <v>28</v>
      </c>
      <c r="K1871" s="61" t="s">
        <v>148</v>
      </c>
      <c r="L1871" s="61" t="s">
        <v>8809</v>
      </c>
      <c r="M1871" s="475">
        <v>45847</v>
      </c>
      <c r="N1871" s="475">
        <v>45849</v>
      </c>
      <c r="O1871" s="475">
        <v>45856</v>
      </c>
      <c r="P1871" s="475">
        <v>45856</v>
      </c>
      <c r="Q1871" s="475">
        <v>45856</v>
      </c>
      <c r="R1871" s="61">
        <f t="shared" si="128"/>
        <v>2</v>
      </c>
      <c r="S1871" s="61">
        <f t="shared" si="129"/>
        <v>5</v>
      </c>
      <c r="T1871" s="61">
        <f t="shared" si="127"/>
        <v>5</v>
      </c>
      <c r="U1871" s="61">
        <f t="shared" si="130"/>
        <v>1</v>
      </c>
      <c r="V1871" s="61" t="s">
        <v>150</v>
      </c>
      <c r="W1871" s="61" t="s">
        <v>4</v>
      </c>
      <c r="X1871" s="61" t="s">
        <v>57</v>
      </c>
      <c r="Y1871" s="61">
        <v>15.19502</v>
      </c>
      <c r="Z1871" s="61">
        <v>120.80234</v>
      </c>
      <c r="AA1871" s="61" t="s">
        <v>182</v>
      </c>
      <c r="AB1871" s="61"/>
    </row>
    <row r="1872" spans="1:28" s="2" customFormat="1" ht="28.5">
      <c r="A1872" s="61" t="s">
        <v>778</v>
      </c>
      <c r="B1872" s="61" t="s">
        <v>1349</v>
      </c>
      <c r="C1872" s="61" t="s">
        <v>5415</v>
      </c>
      <c r="D1872" s="61" t="s">
        <v>7838</v>
      </c>
      <c r="E1872" s="61">
        <v>2725</v>
      </c>
      <c r="F1872" s="61">
        <v>3171</v>
      </c>
      <c r="G1872" s="61">
        <v>2025</v>
      </c>
      <c r="H1872" s="61" t="s">
        <v>3125</v>
      </c>
      <c r="I1872" s="61" t="s">
        <v>32</v>
      </c>
      <c r="J1872" s="61" t="s">
        <v>28</v>
      </c>
      <c r="K1872" s="61" t="s">
        <v>148</v>
      </c>
      <c r="L1872" s="61" t="s">
        <v>8810</v>
      </c>
      <c r="M1872" s="475">
        <v>45847</v>
      </c>
      <c r="N1872" s="475">
        <v>45849</v>
      </c>
      <c r="O1872" s="475">
        <v>45856</v>
      </c>
      <c r="P1872" s="475">
        <v>45856</v>
      </c>
      <c r="Q1872" s="475">
        <v>45856</v>
      </c>
      <c r="R1872" s="61">
        <f t="shared" si="128"/>
        <v>2</v>
      </c>
      <c r="S1872" s="61">
        <f t="shared" si="129"/>
        <v>5</v>
      </c>
      <c r="T1872" s="61">
        <f t="shared" si="127"/>
        <v>5</v>
      </c>
      <c r="U1872" s="61">
        <f t="shared" si="130"/>
        <v>1</v>
      </c>
      <c r="V1872" s="61" t="s">
        <v>150</v>
      </c>
      <c r="W1872" s="61" t="s">
        <v>4</v>
      </c>
      <c r="X1872" s="61" t="s">
        <v>50</v>
      </c>
      <c r="Y1872" s="61">
        <v>15.18953</v>
      </c>
      <c r="Z1872" s="61">
        <v>120.79131</v>
      </c>
      <c r="AA1872" s="61" t="s">
        <v>182</v>
      </c>
      <c r="AB1872" s="61"/>
    </row>
    <row r="1873" spans="1:28" s="2" customFormat="1" ht="28.5">
      <c r="A1873" s="61" t="s">
        <v>778</v>
      </c>
      <c r="B1873" s="61" t="s">
        <v>1349</v>
      </c>
      <c r="C1873" s="61" t="s">
        <v>5416</v>
      </c>
      <c r="D1873" s="61" t="s">
        <v>7838</v>
      </c>
      <c r="E1873" s="61">
        <v>5570</v>
      </c>
      <c r="F1873" s="61">
        <v>7749</v>
      </c>
      <c r="G1873" s="61">
        <v>2025</v>
      </c>
      <c r="H1873" s="61" t="s">
        <v>3458</v>
      </c>
      <c r="I1873" s="61" t="s">
        <v>32</v>
      </c>
      <c r="J1873" s="61"/>
      <c r="K1873" s="61" t="s">
        <v>148</v>
      </c>
      <c r="L1873" s="61" t="s">
        <v>8811</v>
      </c>
      <c r="M1873" s="475">
        <v>45700</v>
      </c>
      <c r="N1873" s="475">
        <v>45702</v>
      </c>
      <c r="O1873" s="61"/>
      <c r="P1873" s="475">
        <v>45705</v>
      </c>
      <c r="Q1873" s="475">
        <v>45706</v>
      </c>
      <c r="R1873" s="61">
        <f t="shared" si="128"/>
        <v>2</v>
      </c>
      <c r="S1873" s="61" t="str">
        <f t="shared" si="129"/>
        <v/>
      </c>
      <c r="T1873" s="61">
        <f t="shared" si="127"/>
        <v>1</v>
      </c>
      <c r="U1873" s="61">
        <f t="shared" si="130"/>
        <v>1</v>
      </c>
      <c r="V1873" s="61" t="s">
        <v>150</v>
      </c>
      <c r="W1873" s="61" t="s">
        <v>4</v>
      </c>
      <c r="X1873" s="61" t="s">
        <v>50</v>
      </c>
      <c r="Y1873" s="471">
        <v>120.66749</v>
      </c>
      <c r="Z1873" s="471">
        <v>15.178750000000001</v>
      </c>
      <c r="AA1873" s="61" t="s">
        <v>182</v>
      </c>
      <c r="AB1873" s="61"/>
    </row>
    <row r="1874" spans="1:28" s="2" customFormat="1" ht="28.5">
      <c r="A1874" s="61" t="s">
        <v>778</v>
      </c>
      <c r="B1874" s="61" t="s">
        <v>1349</v>
      </c>
      <c r="C1874" s="61" t="s">
        <v>5397</v>
      </c>
      <c r="D1874" s="61" t="s">
        <v>7838</v>
      </c>
      <c r="E1874" s="61">
        <v>5124</v>
      </c>
      <c r="F1874" s="61">
        <v>5197</v>
      </c>
      <c r="G1874" s="61"/>
      <c r="H1874" s="61"/>
      <c r="I1874" s="61" t="s">
        <v>32</v>
      </c>
      <c r="J1874" s="61"/>
      <c r="K1874" s="61" t="s">
        <v>148</v>
      </c>
      <c r="L1874" s="61"/>
      <c r="M1874" s="61"/>
      <c r="N1874" s="61"/>
      <c r="O1874" s="61"/>
      <c r="P1874" s="61"/>
      <c r="Q1874" s="61"/>
      <c r="R1874" s="61" t="str">
        <f t="shared" si="128"/>
        <v/>
      </c>
      <c r="S1874" s="61" t="str">
        <f t="shared" si="129"/>
        <v/>
      </c>
      <c r="T1874" s="61" t="str">
        <f t="shared" si="127"/>
        <v/>
      </c>
      <c r="U1874" s="61" t="str">
        <f t="shared" si="130"/>
        <v/>
      </c>
      <c r="V1874" s="61"/>
      <c r="W1874" s="61"/>
      <c r="X1874" s="61"/>
      <c r="Y1874" s="61"/>
      <c r="Z1874" s="61"/>
      <c r="AA1874" s="61"/>
      <c r="AB1874" s="61"/>
    </row>
    <row r="1875" spans="1:28" s="2" customFormat="1" ht="28.5">
      <c r="A1875" s="61" t="s">
        <v>778</v>
      </c>
      <c r="B1875" s="61" t="s">
        <v>1349</v>
      </c>
      <c r="C1875" s="61" t="s">
        <v>5404</v>
      </c>
      <c r="D1875" s="61" t="s">
        <v>7838</v>
      </c>
      <c r="E1875" s="61">
        <v>5330</v>
      </c>
      <c r="F1875" s="61">
        <v>5362</v>
      </c>
      <c r="G1875" s="61"/>
      <c r="H1875" s="61"/>
      <c r="I1875" s="61" t="s">
        <v>32</v>
      </c>
      <c r="J1875" s="61"/>
      <c r="K1875" s="61" t="s">
        <v>148</v>
      </c>
      <c r="L1875" s="61"/>
      <c r="M1875" s="61"/>
      <c r="N1875" s="61"/>
      <c r="O1875" s="61"/>
      <c r="P1875" s="61"/>
      <c r="Q1875" s="61"/>
      <c r="R1875" s="61" t="str">
        <f t="shared" si="128"/>
        <v/>
      </c>
      <c r="S1875" s="61" t="str">
        <f t="shared" si="129"/>
        <v/>
      </c>
      <c r="T1875" s="61" t="str">
        <f t="shared" ref="T1875:T1938" si="131">IF(
  OR(A1875 = "Nueva_Ecija", A1875 = "Zambales"),
  IF(
    OR(ISBLANK(O1875), ISBLANK(P1875)),
    "",
    MAX(1, IF(
      NETWORKDAYS(O1875, P1875) &lt;= 0,
      1,
      NETWORKDAYS(O1875, P1875) - IF(O1875 = P1875, 0, 1)
    ))
  ),
  IF(
    OR(ISBLANK(N1875), ISBLANK(P1875)),
    "",
    MAX(1, IF(
      NETWORKDAYS(N1875, P1875) &lt;= 0,
      1,
      NETWORKDAYS(N1875, P1875) - IF(N1875 = P1875, 0, 1)
    ))
  )
)</f>
        <v/>
      </c>
      <c r="U1875" s="61" t="str">
        <f t="shared" si="130"/>
        <v/>
      </c>
      <c r="V1875" s="61"/>
      <c r="W1875" s="61"/>
      <c r="X1875" s="61"/>
      <c r="Y1875" s="61"/>
      <c r="Z1875" s="61"/>
      <c r="AA1875" s="61"/>
      <c r="AB1875" s="61"/>
    </row>
    <row r="1876" spans="1:28" s="2" customFormat="1" ht="28.5">
      <c r="A1876" s="61" t="s">
        <v>778</v>
      </c>
      <c r="B1876" s="61" t="s">
        <v>1349</v>
      </c>
      <c r="C1876" s="61" t="s">
        <v>1056</v>
      </c>
      <c r="D1876" s="61" t="s">
        <v>7838</v>
      </c>
      <c r="E1876" s="61">
        <v>3167</v>
      </c>
      <c r="F1876" s="61">
        <v>2197</v>
      </c>
      <c r="G1876" s="61"/>
      <c r="H1876" s="61"/>
      <c r="I1876" s="61" t="s">
        <v>32</v>
      </c>
      <c r="J1876" s="61"/>
      <c r="K1876" s="61" t="s">
        <v>148</v>
      </c>
      <c r="L1876" s="61"/>
      <c r="M1876" s="61"/>
      <c r="N1876" s="61"/>
      <c r="O1876" s="61"/>
      <c r="P1876" s="61"/>
      <c r="Q1876" s="61"/>
      <c r="R1876" s="61" t="str">
        <f t="shared" si="128"/>
        <v/>
      </c>
      <c r="S1876" s="61" t="str">
        <f t="shared" si="129"/>
        <v/>
      </c>
      <c r="T1876" s="61" t="str">
        <f t="shared" si="131"/>
        <v/>
      </c>
      <c r="U1876" s="61" t="str">
        <f t="shared" si="130"/>
        <v/>
      </c>
      <c r="V1876" s="61"/>
      <c r="W1876" s="61"/>
      <c r="X1876" s="61"/>
      <c r="Y1876" s="61"/>
      <c r="Z1876" s="61"/>
      <c r="AA1876" s="61"/>
      <c r="AB1876" s="61"/>
    </row>
    <row r="1877" spans="1:28" s="2" customFormat="1" ht="28.5">
      <c r="A1877" s="61" t="s">
        <v>778</v>
      </c>
      <c r="B1877" s="61" t="s">
        <v>1349</v>
      </c>
      <c r="C1877" s="61" t="s">
        <v>5407</v>
      </c>
      <c r="D1877" s="61" t="s">
        <v>7838</v>
      </c>
      <c r="E1877" s="61">
        <v>1772</v>
      </c>
      <c r="F1877" s="61">
        <v>2011</v>
      </c>
      <c r="G1877" s="61"/>
      <c r="H1877" s="61"/>
      <c r="I1877" s="61" t="s">
        <v>32</v>
      </c>
      <c r="J1877" s="61"/>
      <c r="K1877" s="61" t="s">
        <v>148</v>
      </c>
      <c r="L1877" s="61"/>
      <c r="M1877" s="61"/>
      <c r="N1877" s="61"/>
      <c r="O1877" s="61"/>
      <c r="P1877" s="61"/>
      <c r="Q1877" s="61"/>
      <c r="R1877" s="61" t="str">
        <f t="shared" si="128"/>
        <v/>
      </c>
      <c r="S1877" s="61" t="str">
        <f t="shared" si="129"/>
        <v/>
      </c>
      <c r="T1877" s="61" t="str">
        <f t="shared" si="131"/>
        <v/>
      </c>
      <c r="U1877" s="61" t="str">
        <f t="shared" si="130"/>
        <v/>
      </c>
      <c r="V1877" s="61"/>
      <c r="W1877" s="61"/>
      <c r="X1877" s="61"/>
      <c r="Y1877" s="61"/>
      <c r="Z1877" s="61"/>
      <c r="AA1877" s="61"/>
      <c r="AB1877" s="61"/>
    </row>
    <row r="1878" spans="1:28" s="2" customFormat="1" ht="28.5">
      <c r="A1878" s="61" t="s">
        <v>778</v>
      </c>
      <c r="B1878" s="61" t="s">
        <v>1349</v>
      </c>
      <c r="C1878" s="61" t="s">
        <v>914</v>
      </c>
      <c r="D1878" s="61" t="s">
        <v>7838</v>
      </c>
      <c r="E1878" s="61">
        <v>3361</v>
      </c>
      <c r="F1878" s="61">
        <v>3351</v>
      </c>
      <c r="G1878" s="61"/>
      <c r="H1878" s="61"/>
      <c r="I1878" s="61" t="s">
        <v>32</v>
      </c>
      <c r="J1878" s="61"/>
      <c r="K1878" s="61" t="s">
        <v>148</v>
      </c>
      <c r="L1878" s="61"/>
      <c r="M1878" s="61"/>
      <c r="N1878" s="61"/>
      <c r="O1878" s="61"/>
      <c r="P1878" s="61"/>
      <c r="Q1878" s="61"/>
      <c r="R1878" s="61" t="str">
        <f t="shared" si="128"/>
        <v/>
      </c>
      <c r="S1878" s="61" t="str">
        <f t="shared" si="129"/>
        <v/>
      </c>
      <c r="T1878" s="61" t="str">
        <f t="shared" si="131"/>
        <v/>
      </c>
      <c r="U1878" s="61" t="str">
        <f t="shared" si="130"/>
        <v/>
      </c>
      <c r="V1878" s="61"/>
      <c r="W1878" s="61"/>
      <c r="X1878" s="61"/>
      <c r="Y1878" s="61"/>
      <c r="Z1878" s="61"/>
      <c r="AA1878" s="61"/>
      <c r="AB1878" s="61"/>
    </row>
    <row r="1879" spans="1:28" s="2" customFormat="1" ht="28.5">
      <c r="A1879" s="61" t="s">
        <v>778</v>
      </c>
      <c r="B1879" s="61" t="s">
        <v>1349</v>
      </c>
      <c r="C1879" s="61" t="s">
        <v>5409</v>
      </c>
      <c r="D1879" s="61" t="s">
        <v>7838</v>
      </c>
      <c r="E1879" s="61">
        <v>5004</v>
      </c>
      <c r="F1879" s="61">
        <v>5388</v>
      </c>
      <c r="G1879" s="61"/>
      <c r="H1879" s="61"/>
      <c r="I1879" s="61" t="s">
        <v>32</v>
      </c>
      <c r="J1879" s="61"/>
      <c r="K1879" s="61" t="s">
        <v>148</v>
      </c>
      <c r="L1879" s="61"/>
      <c r="M1879" s="61"/>
      <c r="N1879" s="61"/>
      <c r="O1879" s="61"/>
      <c r="P1879" s="61"/>
      <c r="Q1879" s="61"/>
      <c r="R1879" s="61" t="str">
        <f t="shared" si="128"/>
        <v/>
      </c>
      <c r="S1879" s="61" t="str">
        <f t="shared" si="129"/>
        <v/>
      </c>
      <c r="T1879" s="61" t="str">
        <f t="shared" si="131"/>
        <v/>
      </c>
      <c r="U1879" s="61" t="str">
        <f t="shared" si="130"/>
        <v/>
      </c>
      <c r="V1879" s="61"/>
      <c r="W1879" s="61"/>
      <c r="X1879" s="61"/>
      <c r="Y1879" s="61"/>
      <c r="Z1879" s="61"/>
      <c r="AA1879" s="61"/>
      <c r="AB1879" s="61"/>
    </row>
    <row r="1880" spans="1:28" s="2" customFormat="1" ht="28.5">
      <c r="A1880" s="61" t="s">
        <v>778</v>
      </c>
      <c r="B1880" s="61" t="s">
        <v>1349</v>
      </c>
      <c r="C1880" s="61" t="s">
        <v>5411</v>
      </c>
      <c r="D1880" s="61" t="s">
        <v>7838</v>
      </c>
      <c r="E1880" s="61">
        <v>9065</v>
      </c>
      <c r="F1880" s="61">
        <v>10476</v>
      </c>
      <c r="G1880" s="61"/>
      <c r="H1880" s="61"/>
      <c r="I1880" s="61" t="s">
        <v>32</v>
      </c>
      <c r="J1880" s="61"/>
      <c r="K1880" s="61" t="s">
        <v>148</v>
      </c>
      <c r="L1880" s="61"/>
      <c r="M1880" s="61"/>
      <c r="N1880" s="61"/>
      <c r="O1880" s="61"/>
      <c r="P1880" s="61"/>
      <c r="Q1880" s="61"/>
      <c r="R1880" s="61" t="str">
        <f t="shared" ref="R1880:R1943" si="132">IF(
    OR(ISBLANK(M1880), ISBLANK(N1880)),
    "",
    MAX(1, IF(
        NETWORKDAYS(M1880, N1880) &lt;= 0,
        1,
        NETWORKDAYS(M1880, N1880) - IF(M1880 = N1880, 0, 1)
    ))
)</f>
        <v/>
      </c>
      <c r="S1880" s="61" t="str">
        <f t="shared" ref="S1880:S1943" si="133">IF(
    OR(ISBLANK(N1880), ISBLANK(O1880)),
    "",
    MAX(1, IF(
        NETWORKDAYS(N1880, O1880) &lt;= 0,
        1,
        NETWORKDAYS(N1880, O1880) - IF(N1880 = O1880, 0, 1)
    ))
)</f>
        <v/>
      </c>
      <c r="T1880" s="61" t="str">
        <f t="shared" si="131"/>
        <v/>
      </c>
      <c r="U1880" s="61" t="str">
        <f t="shared" ref="U1880:U1943" si="134">IF(
    OR(ISBLANK(P1880), ISBLANK(Q1880)),
    "",
    MAX(1, IF(
        NETWORKDAYS(P1880, Q1880) &lt;= 0,
        1,
        NETWORKDAYS(P1880, Q1880) - IF(P1880 = Q1880, 0, 1)
    ))
)</f>
        <v/>
      </c>
      <c r="V1880" s="61"/>
      <c r="W1880" s="61"/>
      <c r="X1880" s="61"/>
      <c r="Y1880" s="61"/>
      <c r="Z1880" s="61"/>
      <c r="AA1880" s="61"/>
      <c r="AB1880" s="61"/>
    </row>
    <row r="1881" spans="1:28" s="2" customFormat="1" ht="28.5">
      <c r="A1881" s="61" t="s">
        <v>778</v>
      </c>
      <c r="B1881" s="61" t="s">
        <v>1349</v>
      </c>
      <c r="C1881" s="61" t="s">
        <v>1439</v>
      </c>
      <c r="D1881" s="61" t="s">
        <v>7838</v>
      </c>
      <c r="E1881" s="61">
        <v>8227</v>
      </c>
      <c r="F1881" s="61">
        <v>8832</v>
      </c>
      <c r="G1881" s="61"/>
      <c r="H1881" s="61"/>
      <c r="I1881" s="61" t="s">
        <v>32</v>
      </c>
      <c r="J1881" s="61"/>
      <c r="K1881" s="61" t="s">
        <v>148</v>
      </c>
      <c r="L1881" s="61"/>
      <c r="M1881" s="61"/>
      <c r="N1881" s="61"/>
      <c r="O1881" s="61"/>
      <c r="P1881" s="61"/>
      <c r="Q1881" s="61"/>
      <c r="R1881" s="61" t="str">
        <f t="shared" si="132"/>
        <v/>
      </c>
      <c r="S1881" s="61" t="str">
        <f t="shared" si="133"/>
        <v/>
      </c>
      <c r="T1881" s="61" t="str">
        <f t="shared" si="131"/>
        <v/>
      </c>
      <c r="U1881" s="61" t="str">
        <f t="shared" si="134"/>
        <v/>
      </c>
      <c r="V1881" s="61"/>
      <c r="W1881" s="61"/>
      <c r="X1881" s="61"/>
      <c r="Y1881" s="61"/>
      <c r="Z1881" s="61"/>
      <c r="AA1881" s="61"/>
      <c r="AB1881" s="61"/>
    </row>
    <row r="1882" spans="1:28" s="2" customFormat="1" ht="28.5">
      <c r="A1882" s="61" t="s">
        <v>778</v>
      </c>
      <c r="B1882" s="61" t="s">
        <v>1349</v>
      </c>
      <c r="C1882" s="61" t="s">
        <v>5414</v>
      </c>
      <c r="D1882" s="61" t="s">
        <v>7838</v>
      </c>
      <c r="E1882" s="61">
        <v>5389</v>
      </c>
      <c r="F1882" s="61">
        <v>6389</v>
      </c>
      <c r="G1882" s="61"/>
      <c r="H1882" s="61"/>
      <c r="I1882" s="61" t="s">
        <v>32</v>
      </c>
      <c r="J1882" s="61"/>
      <c r="K1882" s="61" t="s">
        <v>148</v>
      </c>
      <c r="L1882" s="61"/>
      <c r="M1882" s="61"/>
      <c r="N1882" s="61"/>
      <c r="O1882" s="61"/>
      <c r="P1882" s="61"/>
      <c r="Q1882" s="61"/>
      <c r="R1882" s="61" t="str">
        <f t="shared" si="132"/>
        <v/>
      </c>
      <c r="S1882" s="61" t="str">
        <f t="shared" si="133"/>
        <v/>
      </c>
      <c r="T1882" s="61" t="str">
        <f t="shared" si="131"/>
        <v/>
      </c>
      <c r="U1882" s="61" t="str">
        <f t="shared" si="134"/>
        <v/>
      </c>
      <c r="V1882" s="61"/>
      <c r="W1882" s="61"/>
      <c r="X1882" s="61"/>
      <c r="Y1882" s="61"/>
      <c r="Z1882" s="61"/>
      <c r="AA1882" s="61"/>
      <c r="AB1882" s="61"/>
    </row>
    <row r="1883" spans="1:28" s="2" customFormat="1" ht="28.5">
      <c r="A1883" s="61" t="s">
        <v>778</v>
      </c>
      <c r="B1883" s="61" t="s">
        <v>1349</v>
      </c>
      <c r="C1883" s="61" t="s">
        <v>3423</v>
      </c>
      <c r="D1883" s="61" t="s">
        <v>7838</v>
      </c>
      <c r="E1883" s="61">
        <v>3291</v>
      </c>
      <c r="F1883" s="61">
        <v>3445</v>
      </c>
      <c r="G1883" s="61"/>
      <c r="H1883" s="61"/>
      <c r="I1883" s="61" t="s">
        <v>32</v>
      </c>
      <c r="J1883" s="61"/>
      <c r="K1883" s="61" t="s">
        <v>148</v>
      </c>
      <c r="L1883" s="61"/>
      <c r="M1883" s="61"/>
      <c r="N1883" s="61"/>
      <c r="O1883" s="61"/>
      <c r="P1883" s="61"/>
      <c r="Q1883" s="61"/>
      <c r="R1883" s="61" t="str">
        <f t="shared" si="132"/>
        <v/>
      </c>
      <c r="S1883" s="61" t="str">
        <f t="shared" si="133"/>
        <v/>
      </c>
      <c r="T1883" s="61" t="str">
        <f t="shared" si="131"/>
        <v/>
      </c>
      <c r="U1883" s="61" t="str">
        <f t="shared" si="134"/>
        <v/>
      </c>
      <c r="V1883" s="61"/>
      <c r="W1883" s="61"/>
      <c r="X1883" s="61"/>
      <c r="Y1883" s="61"/>
      <c r="Z1883" s="61"/>
      <c r="AA1883" s="61"/>
      <c r="AB1883" s="61"/>
    </row>
    <row r="1884" spans="1:28" s="2" customFormat="1" ht="28.5">
      <c r="A1884" s="61" t="s">
        <v>778</v>
      </c>
      <c r="B1884" s="61" t="s">
        <v>1353</v>
      </c>
      <c r="C1884" s="61" t="s">
        <v>5423</v>
      </c>
      <c r="D1884" s="61" t="s">
        <v>7838</v>
      </c>
      <c r="E1884" s="61">
        <v>12048</v>
      </c>
      <c r="F1884" s="61">
        <v>12701</v>
      </c>
      <c r="G1884" s="61">
        <v>2025</v>
      </c>
      <c r="H1884" s="61" t="s">
        <v>3689</v>
      </c>
      <c r="I1884" s="61" t="s">
        <v>35</v>
      </c>
      <c r="J1884" s="61" t="s">
        <v>28</v>
      </c>
      <c r="K1884" s="61" t="s">
        <v>148</v>
      </c>
      <c r="L1884" s="61" t="s">
        <v>8812</v>
      </c>
      <c r="M1884" s="475">
        <v>45818</v>
      </c>
      <c r="N1884" s="475">
        <v>45819</v>
      </c>
      <c r="O1884" s="475">
        <v>45826</v>
      </c>
      <c r="P1884" s="475">
        <v>45826</v>
      </c>
      <c r="Q1884" s="475">
        <v>45826</v>
      </c>
      <c r="R1884" s="61">
        <f t="shared" si="132"/>
        <v>1</v>
      </c>
      <c r="S1884" s="61">
        <f t="shared" si="133"/>
        <v>5</v>
      </c>
      <c r="T1884" s="61">
        <f t="shared" si="131"/>
        <v>5</v>
      </c>
      <c r="U1884" s="61">
        <f t="shared" si="134"/>
        <v>1</v>
      </c>
      <c r="V1884" s="61" t="s">
        <v>150</v>
      </c>
      <c r="W1884" s="61" t="s">
        <v>4</v>
      </c>
      <c r="X1884" s="61" t="s">
        <v>50</v>
      </c>
      <c r="Y1884" s="471" t="s">
        <v>8813</v>
      </c>
      <c r="Z1884" s="471" t="s">
        <v>8814</v>
      </c>
      <c r="AA1884" s="61" t="s">
        <v>330</v>
      </c>
      <c r="AB1884" s="61"/>
    </row>
    <row r="1885" spans="1:28" s="2" customFormat="1" ht="28.5">
      <c r="A1885" s="61" t="s">
        <v>778</v>
      </c>
      <c r="B1885" s="61" t="s">
        <v>1353</v>
      </c>
      <c r="C1885" s="61" t="s">
        <v>1185</v>
      </c>
      <c r="D1885" s="61" t="s">
        <v>7838</v>
      </c>
      <c r="E1885" s="61">
        <v>160</v>
      </c>
      <c r="F1885" s="61">
        <v>223</v>
      </c>
      <c r="G1885" s="61">
        <v>2025</v>
      </c>
      <c r="H1885" s="61" t="s">
        <v>3458</v>
      </c>
      <c r="I1885" s="61" t="s">
        <v>35</v>
      </c>
      <c r="J1885" s="61"/>
      <c r="K1885" s="61" t="s">
        <v>148</v>
      </c>
      <c r="L1885" s="61" t="s">
        <v>8815</v>
      </c>
      <c r="M1885" s="475">
        <v>45701</v>
      </c>
      <c r="N1885" s="475">
        <v>45705</v>
      </c>
      <c r="O1885" s="61"/>
      <c r="P1885" s="475">
        <v>45706</v>
      </c>
      <c r="Q1885" s="475">
        <v>45707</v>
      </c>
      <c r="R1885" s="61">
        <f t="shared" si="132"/>
        <v>2</v>
      </c>
      <c r="S1885" s="61" t="str">
        <f t="shared" si="133"/>
        <v/>
      </c>
      <c r="T1885" s="61">
        <f t="shared" si="131"/>
        <v>1</v>
      </c>
      <c r="U1885" s="61">
        <f t="shared" si="134"/>
        <v>1</v>
      </c>
      <c r="V1885" s="61" t="s">
        <v>150</v>
      </c>
      <c r="W1885" s="61" t="s">
        <v>4</v>
      </c>
      <c r="X1885" s="61" t="s">
        <v>50</v>
      </c>
      <c r="Y1885" s="61"/>
      <c r="Z1885" s="61"/>
      <c r="AA1885" s="61" t="s">
        <v>330</v>
      </c>
      <c r="AB1885" s="61"/>
    </row>
    <row r="1886" spans="1:28" s="2" customFormat="1" ht="28.5">
      <c r="A1886" s="61" t="s">
        <v>778</v>
      </c>
      <c r="B1886" s="61" t="s">
        <v>1353</v>
      </c>
      <c r="C1886" s="61" t="s">
        <v>5197</v>
      </c>
      <c r="D1886" s="61" t="s">
        <v>7838</v>
      </c>
      <c r="E1886" s="61">
        <v>544</v>
      </c>
      <c r="F1886" s="61">
        <v>724</v>
      </c>
      <c r="G1886" s="61">
        <v>2025</v>
      </c>
      <c r="H1886" s="61" t="s">
        <v>3458</v>
      </c>
      <c r="I1886" s="61" t="s">
        <v>35</v>
      </c>
      <c r="J1886" s="61"/>
      <c r="K1886" s="61" t="s">
        <v>148</v>
      </c>
      <c r="L1886" s="61" t="s">
        <v>8816</v>
      </c>
      <c r="M1886" s="475">
        <v>45701</v>
      </c>
      <c r="N1886" s="475">
        <v>45705</v>
      </c>
      <c r="O1886" s="61"/>
      <c r="P1886" s="475">
        <v>45706</v>
      </c>
      <c r="Q1886" s="475">
        <v>45707</v>
      </c>
      <c r="R1886" s="61">
        <f t="shared" si="132"/>
        <v>2</v>
      </c>
      <c r="S1886" s="61" t="str">
        <f t="shared" si="133"/>
        <v/>
      </c>
      <c r="T1886" s="61">
        <f t="shared" si="131"/>
        <v>1</v>
      </c>
      <c r="U1886" s="61">
        <f t="shared" si="134"/>
        <v>1</v>
      </c>
      <c r="V1886" s="61" t="s">
        <v>150</v>
      </c>
      <c r="W1886" s="61" t="s">
        <v>4</v>
      </c>
      <c r="X1886" s="61" t="s">
        <v>50</v>
      </c>
      <c r="Y1886" s="61"/>
      <c r="Z1886" s="61"/>
      <c r="AA1886" s="61" t="s">
        <v>330</v>
      </c>
      <c r="AB1886" s="61"/>
    </row>
    <row r="1887" spans="1:28" s="2" customFormat="1" ht="28.5">
      <c r="A1887" s="61" t="s">
        <v>778</v>
      </c>
      <c r="B1887" s="61" t="s">
        <v>1353</v>
      </c>
      <c r="C1887" s="61" t="s">
        <v>5430</v>
      </c>
      <c r="D1887" s="61" t="s">
        <v>7838</v>
      </c>
      <c r="E1887" s="61">
        <v>210</v>
      </c>
      <c r="F1887" s="61">
        <v>358</v>
      </c>
      <c r="G1887" s="61">
        <v>2025</v>
      </c>
      <c r="H1887" s="61" t="s">
        <v>3458</v>
      </c>
      <c r="I1887" s="61" t="s">
        <v>35</v>
      </c>
      <c r="J1887" s="61"/>
      <c r="K1887" s="61" t="s">
        <v>148</v>
      </c>
      <c r="L1887" s="61" t="s">
        <v>8817</v>
      </c>
      <c r="M1887" s="475">
        <v>45701</v>
      </c>
      <c r="N1887" s="475">
        <v>45705</v>
      </c>
      <c r="O1887" s="61"/>
      <c r="P1887" s="475">
        <v>45706</v>
      </c>
      <c r="Q1887" s="475">
        <v>45707</v>
      </c>
      <c r="R1887" s="61">
        <f t="shared" si="132"/>
        <v>2</v>
      </c>
      <c r="S1887" s="61" t="str">
        <f t="shared" si="133"/>
        <v/>
      </c>
      <c r="T1887" s="61">
        <f t="shared" si="131"/>
        <v>1</v>
      </c>
      <c r="U1887" s="61">
        <f t="shared" si="134"/>
        <v>1</v>
      </c>
      <c r="V1887" s="61" t="s">
        <v>150</v>
      </c>
      <c r="W1887" s="61" t="s">
        <v>4</v>
      </c>
      <c r="X1887" s="61" t="s">
        <v>50</v>
      </c>
      <c r="Y1887" s="61">
        <v>15.0841046</v>
      </c>
      <c r="Z1887" s="61">
        <v>120.6082897</v>
      </c>
      <c r="AA1887" s="61" t="s">
        <v>330</v>
      </c>
      <c r="AB1887" s="61"/>
    </row>
    <row r="1888" spans="1:28" s="2" customFormat="1" ht="28.5">
      <c r="A1888" s="61" t="s">
        <v>778</v>
      </c>
      <c r="B1888" s="61" t="s">
        <v>1353</v>
      </c>
      <c r="C1888" s="61" t="s">
        <v>5438</v>
      </c>
      <c r="D1888" s="61" t="s">
        <v>7838</v>
      </c>
      <c r="E1888" s="61">
        <v>1203</v>
      </c>
      <c r="F1888" s="61">
        <v>1438</v>
      </c>
      <c r="G1888" s="61">
        <v>2025</v>
      </c>
      <c r="H1888" s="61" t="s">
        <v>3416</v>
      </c>
      <c r="I1888" s="61" t="s">
        <v>35</v>
      </c>
      <c r="J1888" s="61"/>
      <c r="K1888" s="61" t="s">
        <v>148</v>
      </c>
      <c r="L1888" s="61" t="s">
        <v>8818</v>
      </c>
      <c r="M1888" s="475">
        <v>45720</v>
      </c>
      <c r="N1888" s="475">
        <v>45734</v>
      </c>
      <c r="O1888" s="61"/>
      <c r="P1888" s="475">
        <v>45734</v>
      </c>
      <c r="Q1888" s="475">
        <v>45734</v>
      </c>
      <c r="R1888" s="61">
        <f t="shared" si="132"/>
        <v>10</v>
      </c>
      <c r="S1888" s="61" t="str">
        <f t="shared" si="133"/>
        <v/>
      </c>
      <c r="T1888" s="61">
        <f t="shared" si="131"/>
        <v>1</v>
      </c>
      <c r="U1888" s="61">
        <f t="shared" si="134"/>
        <v>1</v>
      </c>
      <c r="V1888" s="61" t="s">
        <v>150</v>
      </c>
      <c r="W1888" s="61" t="s">
        <v>4</v>
      </c>
      <c r="X1888" s="61" t="s">
        <v>50</v>
      </c>
      <c r="Y1888" s="61">
        <v>15.0841046</v>
      </c>
      <c r="Z1888" s="61">
        <v>120.6082897</v>
      </c>
      <c r="AA1888" s="61"/>
      <c r="AB1888" s="61"/>
    </row>
    <row r="1889" spans="1:28" s="2" customFormat="1" ht="28.5">
      <c r="A1889" s="61" t="s">
        <v>778</v>
      </c>
      <c r="B1889" s="61" t="s">
        <v>1353</v>
      </c>
      <c r="C1889" s="61" t="s">
        <v>914</v>
      </c>
      <c r="D1889" s="61" t="s">
        <v>7838</v>
      </c>
      <c r="E1889" s="61">
        <v>747</v>
      </c>
      <c r="F1889" s="61">
        <v>1231</v>
      </c>
      <c r="G1889" s="61">
        <v>2025</v>
      </c>
      <c r="H1889" s="61" t="s">
        <v>3125</v>
      </c>
      <c r="I1889" s="61" t="s">
        <v>35</v>
      </c>
      <c r="J1889" s="61" t="s">
        <v>28</v>
      </c>
      <c r="K1889" s="61" t="s">
        <v>148</v>
      </c>
      <c r="L1889" s="61" t="s">
        <v>8819</v>
      </c>
      <c r="M1889" s="475">
        <v>45846</v>
      </c>
      <c r="N1889" s="475">
        <v>45850</v>
      </c>
      <c r="O1889" s="475">
        <v>45856</v>
      </c>
      <c r="P1889" s="475">
        <v>45856</v>
      </c>
      <c r="Q1889" s="475">
        <v>45856</v>
      </c>
      <c r="R1889" s="61">
        <f t="shared" si="132"/>
        <v>3</v>
      </c>
      <c r="S1889" s="61">
        <f t="shared" si="133"/>
        <v>4</v>
      </c>
      <c r="T1889" s="61">
        <f t="shared" si="131"/>
        <v>4</v>
      </c>
      <c r="U1889" s="61">
        <f t="shared" si="134"/>
        <v>1</v>
      </c>
      <c r="V1889" s="61" t="s">
        <v>150</v>
      </c>
      <c r="W1889" s="61" t="s">
        <v>4</v>
      </c>
      <c r="X1889" s="61" t="s">
        <v>50</v>
      </c>
      <c r="Y1889" s="61">
        <v>15.027900000000001</v>
      </c>
      <c r="Z1889" s="61">
        <v>120.63379999999999</v>
      </c>
      <c r="AA1889" s="61" t="s">
        <v>330</v>
      </c>
      <c r="AB1889" s="61"/>
    </row>
    <row r="1890" spans="1:28" s="2" customFormat="1" ht="28.5">
      <c r="A1890" s="61" t="s">
        <v>778</v>
      </c>
      <c r="B1890" s="61" t="s">
        <v>1353</v>
      </c>
      <c r="C1890" s="61" t="s">
        <v>1166</v>
      </c>
      <c r="D1890" s="61" t="s">
        <v>7838</v>
      </c>
      <c r="E1890" s="61">
        <v>2643</v>
      </c>
      <c r="F1890" s="61">
        <v>2905</v>
      </c>
      <c r="G1890" s="61">
        <v>2025</v>
      </c>
      <c r="H1890" s="61" t="s">
        <v>3458</v>
      </c>
      <c r="I1890" s="61" t="s">
        <v>35</v>
      </c>
      <c r="J1890" s="61"/>
      <c r="K1890" s="61" t="s">
        <v>148</v>
      </c>
      <c r="L1890" s="61" t="s">
        <v>8820</v>
      </c>
      <c r="M1890" s="475">
        <v>45701</v>
      </c>
      <c r="N1890" s="475">
        <v>45705</v>
      </c>
      <c r="O1890" s="61"/>
      <c r="P1890" s="475">
        <v>45706</v>
      </c>
      <c r="Q1890" s="475">
        <v>45706</v>
      </c>
      <c r="R1890" s="61">
        <f t="shared" si="132"/>
        <v>2</v>
      </c>
      <c r="S1890" s="61" t="str">
        <f t="shared" si="133"/>
        <v/>
      </c>
      <c r="T1890" s="61">
        <f t="shared" si="131"/>
        <v>1</v>
      </c>
      <c r="U1890" s="61">
        <f t="shared" si="134"/>
        <v>1</v>
      </c>
      <c r="V1890" s="61" t="s">
        <v>150</v>
      </c>
      <c r="W1890" s="61" t="s">
        <v>4</v>
      </c>
      <c r="X1890" s="61" t="s">
        <v>50</v>
      </c>
      <c r="Y1890" s="61"/>
      <c r="Z1890" s="61"/>
      <c r="AA1890" s="61" t="s">
        <v>330</v>
      </c>
      <c r="AB1890" s="61"/>
    </row>
    <row r="1891" spans="1:28" s="2" customFormat="1" ht="28.5">
      <c r="A1891" s="61" t="s">
        <v>778</v>
      </c>
      <c r="B1891" s="61" t="s">
        <v>1353</v>
      </c>
      <c r="C1891" s="61" t="s">
        <v>5448</v>
      </c>
      <c r="D1891" s="61" t="s">
        <v>7838</v>
      </c>
      <c r="E1891" s="61">
        <v>955</v>
      </c>
      <c r="F1891" s="61">
        <v>2532</v>
      </c>
      <c r="G1891" s="61">
        <v>2025</v>
      </c>
      <c r="H1891" s="61" t="s">
        <v>3458</v>
      </c>
      <c r="I1891" s="61" t="s">
        <v>35</v>
      </c>
      <c r="J1891" s="61"/>
      <c r="K1891" s="61" t="s">
        <v>148</v>
      </c>
      <c r="L1891" s="61" t="s">
        <v>8821</v>
      </c>
      <c r="M1891" s="475">
        <v>45701</v>
      </c>
      <c r="N1891" s="475">
        <v>45705</v>
      </c>
      <c r="O1891" s="61"/>
      <c r="P1891" s="475">
        <v>45706</v>
      </c>
      <c r="Q1891" s="475">
        <v>45707</v>
      </c>
      <c r="R1891" s="61">
        <f t="shared" si="132"/>
        <v>2</v>
      </c>
      <c r="S1891" s="61" t="str">
        <f t="shared" si="133"/>
        <v/>
      </c>
      <c r="T1891" s="61">
        <f t="shared" si="131"/>
        <v>1</v>
      </c>
      <c r="U1891" s="61">
        <f t="shared" si="134"/>
        <v>1</v>
      </c>
      <c r="V1891" s="61" t="s">
        <v>150</v>
      </c>
      <c r="W1891" s="61" t="s">
        <v>4</v>
      </c>
      <c r="X1891" s="61" t="s">
        <v>50</v>
      </c>
      <c r="Y1891" s="61"/>
      <c r="Z1891" s="61"/>
      <c r="AA1891" s="61" t="s">
        <v>330</v>
      </c>
      <c r="AB1891" s="61"/>
    </row>
    <row r="1892" spans="1:28" s="2" customFormat="1" ht="28.5">
      <c r="A1892" s="61" t="s">
        <v>778</v>
      </c>
      <c r="B1892" s="61" t="s">
        <v>1353</v>
      </c>
      <c r="C1892" s="61" t="s">
        <v>5418</v>
      </c>
      <c r="D1892" s="61" t="s">
        <v>7838</v>
      </c>
      <c r="E1892" s="61">
        <v>239</v>
      </c>
      <c r="F1892" s="61">
        <v>554</v>
      </c>
      <c r="G1892" s="61">
        <v>2025</v>
      </c>
      <c r="H1892" s="61" t="s">
        <v>3126</v>
      </c>
      <c r="I1892" s="61" t="s">
        <v>35</v>
      </c>
      <c r="J1892" s="61" t="s">
        <v>28</v>
      </c>
      <c r="K1892" s="61" t="s">
        <v>148</v>
      </c>
      <c r="L1892" s="61" t="s">
        <v>8822</v>
      </c>
      <c r="M1892" s="475">
        <v>45884</v>
      </c>
      <c r="N1892" s="475">
        <v>45885</v>
      </c>
      <c r="O1892" s="475">
        <v>45887</v>
      </c>
      <c r="P1892" s="475">
        <v>45887</v>
      </c>
      <c r="Q1892" s="475">
        <v>45888</v>
      </c>
      <c r="R1892" s="61">
        <f t="shared" si="132"/>
        <v>1</v>
      </c>
      <c r="S1892" s="61">
        <f t="shared" si="133"/>
        <v>1</v>
      </c>
      <c r="T1892" s="61">
        <f t="shared" si="131"/>
        <v>1</v>
      </c>
      <c r="U1892" s="61">
        <f t="shared" si="134"/>
        <v>1</v>
      </c>
      <c r="V1892" s="61" t="s">
        <v>150</v>
      </c>
      <c r="W1892" s="61" t="s">
        <v>1078</v>
      </c>
      <c r="X1892" s="61" t="s">
        <v>50</v>
      </c>
      <c r="Y1892" s="474">
        <v>14.9931</v>
      </c>
      <c r="Z1892" s="474">
        <v>120.67149999999999</v>
      </c>
      <c r="AA1892" s="61" t="s">
        <v>330</v>
      </c>
      <c r="AB1892" s="61" t="s">
        <v>8823</v>
      </c>
    </row>
    <row r="1893" spans="1:28" s="2" customFormat="1" ht="28.5">
      <c r="A1893" s="61" t="s">
        <v>778</v>
      </c>
      <c r="B1893" s="61" t="s">
        <v>1353</v>
      </c>
      <c r="C1893" s="61" t="s">
        <v>5419</v>
      </c>
      <c r="D1893" s="61" t="s">
        <v>7838</v>
      </c>
      <c r="E1893" s="61">
        <v>4466</v>
      </c>
      <c r="F1893" s="61">
        <v>6126</v>
      </c>
      <c r="G1893" s="61">
        <v>2025</v>
      </c>
      <c r="H1893" s="61" t="s">
        <v>3126</v>
      </c>
      <c r="I1893" s="61" t="s">
        <v>35</v>
      </c>
      <c r="J1893" s="61" t="s">
        <v>28</v>
      </c>
      <c r="K1893" s="61" t="s">
        <v>148</v>
      </c>
      <c r="L1893" s="61" t="s">
        <v>8822</v>
      </c>
      <c r="M1893" s="475">
        <v>45884</v>
      </c>
      <c r="N1893" s="475">
        <v>45885</v>
      </c>
      <c r="O1893" s="475">
        <v>45887</v>
      </c>
      <c r="P1893" s="475">
        <v>45887</v>
      </c>
      <c r="Q1893" s="475">
        <v>45888</v>
      </c>
      <c r="R1893" s="61">
        <f t="shared" si="132"/>
        <v>1</v>
      </c>
      <c r="S1893" s="61">
        <f t="shared" si="133"/>
        <v>1</v>
      </c>
      <c r="T1893" s="61">
        <f t="shared" si="131"/>
        <v>1</v>
      </c>
      <c r="U1893" s="61">
        <f t="shared" si="134"/>
        <v>1</v>
      </c>
      <c r="V1893" s="61" t="s">
        <v>150</v>
      </c>
      <c r="W1893" s="61" t="s">
        <v>1078</v>
      </c>
      <c r="X1893" s="61" t="s">
        <v>50</v>
      </c>
      <c r="Y1893" s="474">
        <v>14.9931</v>
      </c>
      <c r="Z1893" s="474">
        <v>120.67149999999999</v>
      </c>
      <c r="AA1893" s="61" t="s">
        <v>330</v>
      </c>
      <c r="AB1893" s="61" t="s">
        <v>8823</v>
      </c>
    </row>
    <row r="1894" spans="1:28" s="2" customFormat="1" ht="28.5">
      <c r="A1894" s="61" t="s">
        <v>778</v>
      </c>
      <c r="B1894" s="61" t="s">
        <v>1353</v>
      </c>
      <c r="C1894" s="61" t="s">
        <v>5420</v>
      </c>
      <c r="D1894" s="61" t="s">
        <v>7838</v>
      </c>
      <c r="E1894" s="61">
        <v>615</v>
      </c>
      <c r="F1894" s="61">
        <v>509</v>
      </c>
      <c r="G1894" s="61">
        <v>2025</v>
      </c>
      <c r="H1894" s="61" t="s">
        <v>3126</v>
      </c>
      <c r="I1894" s="61" t="s">
        <v>35</v>
      </c>
      <c r="J1894" s="61" t="s">
        <v>28</v>
      </c>
      <c r="K1894" s="61" t="s">
        <v>148</v>
      </c>
      <c r="L1894" s="61" t="s">
        <v>8822</v>
      </c>
      <c r="M1894" s="475">
        <v>45884</v>
      </c>
      <c r="N1894" s="475">
        <v>45885</v>
      </c>
      <c r="O1894" s="475">
        <v>45887</v>
      </c>
      <c r="P1894" s="475">
        <v>45887</v>
      </c>
      <c r="Q1894" s="475">
        <v>45888</v>
      </c>
      <c r="R1894" s="61">
        <f t="shared" si="132"/>
        <v>1</v>
      </c>
      <c r="S1894" s="61">
        <f t="shared" si="133"/>
        <v>1</v>
      </c>
      <c r="T1894" s="61">
        <f t="shared" si="131"/>
        <v>1</v>
      </c>
      <c r="U1894" s="61">
        <f t="shared" si="134"/>
        <v>1</v>
      </c>
      <c r="V1894" s="61" t="s">
        <v>150</v>
      </c>
      <c r="W1894" s="61" t="s">
        <v>1078</v>
      </c>
      <c r="X1894" s="61" t="s">
        <v>50</v>
      </c>
      <c r="Y1894" s="474">
        <v>14.9931</v>
      </c>
      <c r="Z1894" s="474">
        <v>120.67149999999999</v>
      </c>
      <c r="AA1894" s="61" t="s">
        <v>330</v>
      </c>
      <c r="AB1894" s="61" t="s">
        <v>8823</v>
      </c>
    </row>
    <row r="1895" spans="1:28" s="2" customFormat="1" ht="28.5">
      <c r="A1895" s="61" t="s">
        <v>778</v>
      </c>
      <c r="B1895" s="61" t="s">
        <v>1353</v>
      </c>
      <c r="C1895" s="61" t="s">
        <v>5422</v>
      </c>
      <c r="D1895" s="61" t="s">
        <v>7838</v>
      </c>
      <c r="E1895" s="61">
        <v>3486</v>
      </c>
      <c r="F1895" s="61">
        <v>3510</v>
      </c>
      <c r="G1895" s="61">
        <v>2025</v>
      </c>
      <c r="H1895" s="61" t="s">
        <v>3126</v>
      </c>
      <c r="I1895" s="61" t="s">
        <v>35</v>
      </c>
      <c r="J1895" s="61" t="s">
        <v>28</v>
      </c>
      <c r="K1895" s="61" t="s">
        <v>148</v>
      </c>
      <c r="L1895" s="61" t="s">
        <v>8822</v>
      </c>
      <c r="M1895" s="475">
        <v>45884</v>
      </c>
      <c r="N1895" s="475">
        <v>45885</v>
      </c>
      <c r="O1895" s="475">
        <v>45887</v>
      </c>
      <c r="P1895" s="475">
        <v>45887</v>
      </c>
      <c r="Q1895" s="475">
        <v>45888</v>
      </c>
      <c r="R1895" s="61">
        <f t="shared" si="132"/>
        <v>1</v>
      </c>
      <c r="S1895" s="61">
        <f t="shared" si="133"/>
        <v>1</v>
      </c>
      <c r="T1895" s="61">
        <f t="shared" si="131"/>
        <v>1</v>
      </c>
      <c r="U1895" s="61">
        <f t="shared" si="134"/>
        <v>1</v>
      </c>
      <c r="V1895" s="61" t="s">
        <v>150</v>
      </c>
      <c r="W1895" s="61" t="s">
        <v>1078</v>
      </c>
      <c r="X1895" s="61" t="s">
        <v>50</v>
      </c>
      <c r="Y1895" s="474">
        <v>14.9931</v>
      </c>
      <c r="Z1895" s="474">
        <v>120.67149999999999</v>
      </c>
      <c r="AA1895" s="61" t="s">
        <v>330</v>
      </c>
      <c r="AB1895" s="61" t="s">
        <v>8823</v>
      </c>
    </row>
    <row r="1896" spans="1:28" s="2" customFormat="1" ht="28.5">
      <c r="A1896" s="61" t="s">
        <v>778</v>
      </c>
      <c r="B1896" s="61" t="s">
        <v>1353</v>
      </c>
      <c r="C1896" s="61" t="s">
        <v>5436</v>
      </c>
      <c r="D1896" s="61" t="s">
        <v>7838</v>
      </c>
      <c r="E1896" s="61">
        <v>780</v>
      </c>
      <c r="F1896" s="61">
        <v>1001</v>
      </c>
      <c r="G1896" s="61">
        <v>2025</v>
      </c>
      <c r="H1896" s="61" t="s">
        <v>3126</v>
      </c>
      <c r="I1896" s="61" t="s">
        <v>35</v>
      </c>
      <c r="J1896" s="61" t="s">
        <v>28</v>
      </c>
      <c r="K1896" s="61" t="s">
        <v>148</v>
      </c>
      <c r="L1896" s="61" t="s">
        <v>8822</v>
      </c>
      <c r="M1896" s="475">
        <v>45884</v>
      </c>
      <c r="N1896" s="475">
        <v>45885</v>
      </c>
      <c r="O1896" s="475">
        <v>45887</v>
      </c>
      <c r="P1896" s="475">
        <v>45887</v>
      </c>
      <c r="Q1896" s="475">
        <v>45888</v>
      </c>
      <c r="R1896" s="61">
        <f t="shared" si="132"/>
        <v>1</v>
      </c>
      <c r="S1896" s="61">
        <f t="shared" si="133"/>
        <v>1</v>
      </c>
      <c r="T1896" s="61">
        <f t="shared" si="131"/>
        <v>1</v>
      </c>
      <c r="U1896" s="61">
        <f t="shared" si="134"/>
        <v>1</v>
      </c>
      <c r="V1896" s="61" t="s">
        <v>150</v>
      </c>
      <c r="W1896" s="61" t="s">
        <v>1078</v>
      </c>
      <c r="X1896" s="61" t="s">
        <v>50</v>
      </c>
      <c r="Y1896" s="474">
        <v>14.9931</v>
      </c>
      <c r="Z1896" s="474">
        <v>120.67149999999999</v>
      </c>
      <c r="AA1896" s="61" t="s">
        <v>330</v>
      </c>
      <c r="AB1896" s="61" t="s">
        <v>8823</v>
      </c>
    </row>
    <row r="1897" spans="1:28" s="2" customFormat="1" ht="28.5">
      <c r="A1897" s="61" t="s">
        <v>778</v>
      </c>
      <c r="B1897" s="61" t="s">
        <v>1353</v>
      </c>
      <c r="C1897" s="61" t="s">
        <v>5437</v>
      </c>
      <c r="D1897" s="61" t="s">
        <v>7838</v>
      </c>
      <c r="E1897" s="61">
        <v>2156</v>
      </c>
      <c r="F1897" s="61">
        <v>2461</v>
      </c>
      <c r="G1897" s="61">
        <v>2025</v>
      </c>
      <c r="H1897" s="61" t="s">
        <v>3126</v>
      </c>
      <c r="I1897" s="61" t="s">
        <v>35</v>
      </c>
      <c r="J1897" s="61" t="s">
        <v>28</v>
      </c>
      <c r="K1897" s="61" t="s">
        <v>148</v>
      </c>
      <c r="L1897" s="61" t="s">
        <v>8822</v>
      </c>
      <c r="M1897" s="475">
        <v>45884</v>
      </c>
      <c r="N1897" s="475">
        <v>45885</v>
      </c>
      <c r="O1897" s="475">
        <v>45887</v>
      </c>
      <c r="P1897" s="475">
        <v>45887</v>
      </c>
      <c r="Q1897" s="475">
        <v>45888</v>
      </c>
      <c r="R1897" s="61">
        <f t="shared" si="132"/>
        <v>1</v>
      </c>
      <c r="S1897" s="61">
        <f t="shared" si="133"/>
        <v>1</v>
      </c>
      <c r="T1897" s="61">
        <f t="shared" si="131"/>
        <v>1</v>
      </c>
      <c r="U1897" s="61">
        <f t="shared" si="134"/>
        <v>1</v>
      </c>
      <c r="V1897" s="61" t="s">
        <v>150</v>
      </c>
      <c r="W1897" s="61" t="s">
        <v>1078</v>
      </c>
      <c r="X1897" s="61" t="s">
        <v>50</v>
      </c>
      <c r="Y1897" s="474">
        <v>14.9931</v>
      </c>
      <c r="Z1897" s="474">
        <v>120.67149999999999</v>
      </c>
      <c r="AA1897" s="61" t="s">
        <v>330</v>
      </c>
      <c r="AB1897" s="61" t="s">
        <v>8823</v>
      </c>
    </row>
    <row r="1898" spans="1:28" s="2" customFormat="1" ht="28.5">
      <c r="A1898" s="61" t="s">
        <v>778</v>
      </c>
      <c r="B1898" s="61" t="s">
        <v>1353</v>
      </c>
      <c r="C1898" s="61" t="s">
        <v>5439</v>
      </c>
      <c r="D1898" s="61" t="s">
        <v>7838</v>
      </c>
      <c r="E1898" s="61">
        <v>191</v>
      </c>
      <c r="F1898" s="61">
        <v>75</v>
      </c>
      <c r="G1898" s="61">
        <v>2025</v>
      </c>
      <c r="H1898" s="61" t="s">
        <v>3126</v>
      </c>
      <c r="I1898" s="61" t="s">
        <v>35</v>
      </c>
      <c r="J1898" s="61" t="s">
        <v>28</v>
      </c>
      <c r="K1898" s="61" t="s">
        <v>148</v>
      </c>
      <c r="L1898" s="61" t="s">
        <v>8822</v>
      </c>
      <c r="M1898" s="475">
        <v>45884</v>
      </c>
      <c r="N1898" s="475">
        <v>45885</v>
      </c>
      <c r="O1898" s="475">
        <v>45887</v>
      </c>
      <c r="P1898" s="475">
        <v>45887</v>
      </c>
      <c r="Q1898" s="475">
        <v>45888</v>
      </c>
      <c r="R1898" s="61">
        <f t="shared" si="132"/>
        <v>1</v>
      </c>
      <c r="S1898" s="61">
        <f t="shared" si="133"/>
        <v>1</v>
      </c>
      <c r="T1898" s="61">
        <f t="shared" si="131"/>
        <v>1</v>
      </c>
      <c r="U1898" s="61">
        <f t="shared" si="134"/>
        <v>1</v>
      </c>
      <c r="V1898" s="61" t="s">
        <v>150</v>
      </c>
      <c r="W1898" s="61" t="s">
        <v>1078</v>
      </c>
      <c r="X1898" s="61" t="s">
        <v>50</v>
      </c>
      <c r="Y1898" s="474">
        <v>14.9931</v>
      </c>
      <c r="Z1898" s="474">
        <v>120.67149999999999</v>
      </c>
      <c r="AA1898" s="61" t="s">
        <v>330</v>
      </c>
      <c r="AB1898" s="61" t="s">
        <v>8823</v>
      </c>
    </row>
    <row r="1899" spans="1:28" s="2" customFormat="1" ht="28.5">
      <c r="A1899" s="61" t="s">
        <v>778</v>
      </c>
      <c r="B1899" s="61" t="s">
        <v>1353</v>
      </c>
      <c r="C1899" s="61" t="s">
        <v>5443</v>
      </c>
      <c r="D1899" s="61" t="s">
        <v>7838</v>
      </c>
      <c r="E1899" s="61">
        <v>350</v>
      </c>
      <c r="F1899" s="61">
        <v>804</v>
      </c>
      <c r="G1899" s="61">
        <v>2025</v>
      </c>
      <c r="H1899" s="61" t="s">
        <v>3126</v>
      </c>
      <c r="I1899" s="61" t="s">
        <v>35</v>
      </c>
      <c r="J1899" s="61" t="s">
        <v>28</v>
      </c>
      <c r="K1899" s="61" t="s">
        <v>148</v>
      </c>
      <c r="L1899" s="61" t="s">
        <v>8822</v>
      </c>
      <c r="M1899" s="475">
        <v>45884</v>
      </c>
      <c r="N1899" s="475">
        <v>45885</v>
      </c>
      <c r="O1899" s="475">
        <v>45887</v>
      </c>
      <c r="P1899" s="475">
        <v>45887</v>
      </c>
      <c r="Q1899" s="475">
        <v>45888</v>
      </c>
      <c r="R1899" s="61">
        <f t="shared" si="132"/>
        <v>1</v>
      </c>
      <c r="S1899" s="61">
        <f t="shared" si="133"/>
        <v>1</v>
      </c>
      <c r="T1899" s="61">
        <f t="shared" si="131"/>
        <v>1</v>
      </c>
      <c r="U1899" s="61">
        <f t="shared" si="134"/>
        <v>1</v>
      </c>
      <c r="V1899" s="61" t="s">
        <v>150</v>
      </c>
      <c r="W1899" s="61" t="s">
        <v>1078</v>
      </c>
      <c r="X1899" s="61" t="s">
        <v>50</v>
      </c>
      <c r="Y1899" s="474">
        <v>14.9931</v>
      </c>
      <c r="Z1899" s="474">
        <v>120.67149999999999</v>
      </c>
      <c r="AA1899" s="61" t="s">
        <v>330</v>
      </c>
      <c r="AB1899" s="61" t="s">
        <v>8823</v>
      </c>
    </row>
    <row r="1900" spans="1:28" s="2" customFormat="1" ht="28.5">
      <c r="A1900" s="61" t="s">
        <v>778</v>
      </c>
      <c r="B1900" s="61" t="s">
        <v>1353</v>
      </c>
      <c r="C1900" s="61" t="s">
        <v>1180</v>
      </c>
      <c r="D1900" s="61" t="s">
        <v>7838</v>
      </c>
      <c r="E1900" s="61">
        <v>5703</v>
      </c>
      <c r="F1900" s="61">
        <v>6865</v>
      </c>
      <c r="G1900" s="61">
        <v>2025</v>
      </c>
      <c r="H1900" s="61" t="s">
        <v>3126</v>
      </c>
      <c r="I1900" s="61" t="s">
        <v>35</v>
      </c>
      <c r="J1900" s="61" t="s">
        <v>28</v>
      </c>
      <c r="K1900" s="61" t="s">
        <v>148</v>
      </c>
      <c r="L1900" s="61" t="s">
        <v>8822</v>
      </c>
      <c r="M1900" s="475">
        <v>45884</v>
      </c>
      <c r="N1900" s="475">
        <v>45885</v>
      </c>
      <c r="O1900" s="475">
        <v>45887</v>
      </c>
      <c r="P1900" s="475">
        <v>45887</v>
      </c>
      <c r="Q1900" s="475">
        <v>45888</v>
      </c>
      <c r="R1900" s="61">
        <f t="shared" si="132"/>
        <v>1</v>
      </c>
      <c r="S1900" s="61">
        <f t="shared" si="133"/>
        <v>1</v>
      </c>
      <c r="T1900" s="61">
        <f t="shared" si="131"/>
        <v>1</v>
      </c>
      <c r="U1900" s="61">
        <f t="shared" si="134"/>
        <v>1</v>
      </c>
      <c r="V1900" s="61" t="s">
        <v>150</v>
      </c>
      <c r="W1900" s="61" t="s">
        <v>1078</v>
      </c>
      <c r="X1900" s="61" t="s">
        <v>57</v>
      </c>
      <c r="Y1900" s="474">
        <v>14.9931</v>
      </c>
      <c r="Z1900" s="474">
        <v>120.67149999999999</v>
      </c>
      <c r="AA1900" s="61" t="s">
        <v>330</v>
      </c>
      <c r="AB1900" s="61" t="s">
        <v>8823</v>
      </c>
    </row>
    <row r="1901" spans="1:28" s="2" customFormat="1" ht="28.5">
      <c r="A1901" s="61" t="s">
        <v>778</v>
      </c>
      <c r="B1901" s="61" t="s">
        <v>1353</v>
      </c>
      <c r="C1901" s="61" t="s">
        <v>3975</v>
      </c>
      <c r="D1901" s="61" t="s">
        <v>7838</v>
      </c>
      <c r="E1901" s="61">
        <v>1061</v>
      </c>
      <c r="F1901" s="61">
        <v>1514</v>
      </c>
      <c r="G1901" s="61">
        <v>2025</v>
      </c>
      <c r="H1901" s="61" t="s">
        <v>3126</v>
      </c>
      <c r="I1901" s="61" t="s">
        <v>35</v>
      </c>
      <c r="J1901" s="61" t="s">
        <v>28</v>
      </c>
      <c r="K1901" s="61" t="s">
        <v>148</v>
      </c>
      <c r="L1901" s="61" t="s">
        <v>8822</v>
      </c>
      <c r="M1901" s="475">
        <v>45884</v>
      </c>
      <c r="N1901" s="475">
        <v>45885</v>
      </c>
      <c r="O1901" s="475">
        <v>45887</v>
      </c>
      <c r="P1901" s="475">
        <v>45887</v>
      </c>
      <c r="Q1901" s="475">
        <v>45888</v>
      </c>
      <c r="R1901" s="61">
        <f t="shared" si="132"/>
        <v>1</v>
      </c>
      <c r="S1901" s="61">
        <f t="shared" si="133"/>
        <v>1</v>
      </c>
      <c r="T1901" s="61">
        <f t="shared" si="131"/>
        <v>1</v>
      </c>
      <c r="U1901" s="61">
        <f t="shared" si="134"/>
        <v>1</v>
      </c>
      <c r="V1901" s="61" t="s">
        <v>150</v>
      </c>
      <c r="W1901" s="61" t="s">
        <v>1078</v>
      </c>
      <c r="X1901" s="61" t="s">
        <v>50</v>
      </c>
      <c r="Y1901" s="474">
        <v>14.9931</v>
      </c>
      <c r="Z1901" s="474">
        <v>120.67149999999999</v>
      </c>
      <c r="AA1901" s="61" t="s">
        <v>330</v>
      </c>
      <c r="AB1901" s="61" t="s">
        <v>8823</v>
      </c>
    </row>
    <row r="1902" spans="1:28" s="2" customFormat="1" ht="28.5">
      <c r="A1902" s="61" t="s">
        <v>778</v>
      </c>
      <c r="B1902" s="61" t="s">
        <v>1353</v>
      </c>
      <c r="C1902" s="61" t="s">
        <v>4027</v>
      </c>
      <c r="D1902" s="61" t="s">
        <v>7838</v>
      </c>
      <c r="E1902" s="61">
        <v>1112</v>
      </c>
      <c r="F1902" s="61">
        <v>1400</v>
      </c>
      <c r="G1902" s="61">
        <v>2025</v>
      </c>
      <c r="H1902" s="61" t="s">
        <v>3126</v>
      </c>
      <c r="I1902" s="61" t="s">
        <v>35</v>
      </c>
      <c r="J1902" s="61" t="s">
        <v>28</v>
      </c>
      <c r="K1902" s="61" t="s">
        <v>148</v>
      </c>
      <c r="L1902" s="61" t="s">
        <v>8822</v>
      </c>
      <c r="M1902" s="475">
        <v>45884</v>
      </c>
      <c r="N1902" s="475">
        <v>45885</v>
      </c>
      <c r="O1902" s="475">
        <v>45887</v>
      </c>
      <c r="P1902" s="475">
        <v>45887</v>
      </c>
      <c r="Q1902" s="475">
        <v>45888</v>
      </c>
      <c r="R1902" s="61">
        <f t="shared" si="132"/>
        <v>1</v>
      </c>
      <c r="S1902" s="61">
        <f t="shared" si="133"/>
        <v>1</v>
      </c>
      <c r="T1902" s="61">
        <f t="shared" si="131"/>
        <v>1</v>
      </c>
      <c r="U1902" s="61">
        <f t="shared" si="134"/>
        <v>1</v>
      </c>
      <c r="V1902" s="61" t="s">
        <v>150</v>
      </c>
      <c r="W1902" s="61" t="s">
        <v>1078</v>
      </c>
      <c r="X1902" s="61" t="s">
        <v>50</v>
      </c>
      <c r="Y1902" s="474">
        <v>14.9931</v>
      </c>
      <c r="Z1902" s="474">
        <v>120.67149999999999</v>
      </c>
      <c r="AA1902" s="61" t="s">
        <v>330</v>
      </c>
      <c r="AB1902" s="61" t="s">
        <v>8823</v>
      </c>
    </row>
    <row r="1903" spans="1:28" s="2" customFormat="1" ht="28.5">
      <c r="A1903" s="61" t="s">
        <v>778</v>
      </c>
      <c r="B1903" s="61" t="s">
        <v>1353</v>
      </c>
      <c r="C1903" s="61" t="s">
        <v>1354</v>
      </c>
      <c r="D1903" s="61" t="s">
        <v>7838</v>
      </c>
      <c r="E1903" s="61">
        <v>135</v>
      </c>
      <c r="F1903" s="61">
        <v>168</v>
      </c>
      <c r="G1903" s="61">
        <v>2025</v>
      </c>
      <c r="H1903" s="61" t="s">
        <v>3126</v>
      </c>
      <c r="I1903" s="61" t="s">
        <v>35</v>
      </c>
      <c r="J1903" s="61" t="s">
        <v>28</v>
      </c>
      <c r="K1903" s="61" t="s">
        <v>148</v>
      </c>
      <c r="L1903" s="61" t="s">
        <v>8822</v>
      </c>
      <c r="M1903" s="475">
        <v>45884</v>
      </c>
      <c r="N1903" s="475">
        <v>45885</v>
      </c>
      <c r="O1903" s="475">
        <v>45887</v>
      </c>
      <c r="P1903" s="475">
        <v>45887</v>
      </c>
      <c r="Q1903" s="475">
        <v>45888</v>
      </c>
      <c r="R1903" s="61">
        <f t="shared" si="132"/>
        <v>1</v>
      </c>
      <c r="S1903" s="61">
        <f t="shared" si="133"/>
        <v>1</v>
      </c>
      <c r="T1903" s="61">
        <f t="shared" si="131"/>
        <v>1</v>
      </c>
      <c r="U1903" s="61">
        <f t="shared" si="134"/>
        <v>1</v>
      </c>
      <c r="V1903" s="61" t="s">
        <v>150</v>
      </c>
      <c r="W1903" s="61" t="s">
        <v>1078</v>
      </c>
      <c r="X1903" s="61" t="s">
        <v>50</v>
      </c>
      <c r="Y1903" s="474">
        <v>14.9931</v>
      </c>
      <c r="Z1903" s="474">
        <v>120.67149999999999</v>
      </c>
      <c r="AA1903" s="61" t="s">
        <v>330</v>
      </c>
      <c r="AB1903" s="61" t="s">
        <v>8823</v>
      </c>
    </row>
    <row r="1904" spans="1:28" s="2" customFormat="1" ht="28.5">
      <c r="A1904" s="61" t="s">
        <v>778</v>
      </c>
      <c r="B1904" s="61" t="s">
        <v>1353</v>
      </c>
      <c r="C1904" s="61" t="s">
        <v>5441</v>
      </c>
      <c r="D1904" s="61" t="s">
        <v>7838</v>
      </c>
      <c r="E1904" s="61">
        <v>656</v>
      </c>
      <c r="F1904" s="61">
        <v>967</v>
      </c>
      <c r="G1904" s="61"/>
      <c r="H1904" s="61"/>
      <c r="I1904" s="61" t="s">
        <v>35</v>
      </c>
      <c r="J1904" s="61"/>
      <c r="K1904" s="61" t="s">
        <v>148</v>
      </c>
      <c r="L1904" s="61"/>
      <c r="M1904" s="61"/>
      <c r="N1904" s="61"/>
      <c r="O1904" s="61"/>
      <c r="P1904" s="61"/>
      <c r="Q1904" s="61"/>
      <c r="R1904" s="61" t="str">
        <f t="shared" si="132"/>
        <v/>
      </c>
      <c r="S1904" s="61" t="str">
        <f t="shared" si="133"/>
        <v/>
      </c>
      <c r="T1904" s="61" t="str">
        <f t="shared" si="131"/>
        <v/>
      </c>
      <c r="U1904" s="61" t="str">
        <f t="shared" si="134"/>
        <v/>
      </c>
      <c r="V1904" s="61"/>
      <c r="W1904" s="61"/>
      <c r="X1904" s="61"/>
      <c r="Y1904" s="61"/>
      <c r="Z1904" s="61"/>
      <c r="AA1904" s="61"/>
      <c r="AB1904" s="61"/>
    </row>
    <row r="1905" spans="1:28" s="2" customFormat="1" ht="28.5">
      <c r="A1905" s="61" t="s">
        <v>778</v>
      </c>
      <c r="B1905" s="61" t="s">
        <v>1357</v>
      </c>
      <c r="C1905" s="61" t="s">
        <v>1928</v>
      </c>
      <c r="D1905" s="61" t="s">
        <v>7838</v>
      </c>
      <c r="E1905" s="61">
        <v>4891</v>
      </c>
      <c r="F1905" s="61">
        <v>4837</v>
      </c>
      <c r="G1905" s="61">
        <v>2025</v>
      </c>
      <c r="H1905" s="61" t="s">
        <v>3416</v>
      </c>
      <c r="I1905" s="61" t="s">
        <v>32</v>
      </c>
      <c r="J1905" s="61"/>
      <c r="K1905" s="61" t="s">
        <v>148</v>
      </c>
      <c r="L1905" s="61" t="s">
        <v>8824</v>
      </c>
      <c r="M1905" s="475">
        <v>45729</v>
      </c>
      <c r="N1905" s="475">
        <v>45730</v>
      </c>
      <c r="O1905" s="61"/>
      <c r="P1905" s="475">
        <v>45733</v>
      </c>
      <c r="Q1905" s="475">
        <v>45734</v>
      </c>
      <c r="R1905" s="61">
        <f t="shared" si="132"/>
        <v>1</v>
      </c>
      <c r="S1905" s="61" t="str">
        <f t="shared" si="133"/>
        <v/>
      </c>
      <c r="T1905" s="61">
        <f t="shared" si="131"/>
        <v>1</v>
      </c>
      <c r="U1905" s="61">
        <f t="shared" si="134"/>
        <v>1</v>
      </c>
      <c r="V1905" s="61" t="s">
        <v>150</v>
      </c>
      <c r="W1905" s="61" t="s">
        <v>4</v>
      </c>
      <c r="X1905" s="61" t="s">
        <v>50</v>
      </c>
      <c r="Y1905" s="61">
        <v>15.08131</v>
      </c>
      <c r="Z1905" s="61">
        <v>120.81297000000001</v>
      </c>
      <c r="AA1905" s="61" t="s">
        <v>182</v>
      </c>
      <c r="AB1905" s="61"/>
    </row>
    <row r="1906" spans="1:28" s="2" customFormat="1" ht="28.5">
      <c r="A1906" s="61" t="s">
        <v>778</v>
      </c>
      <c r="B1906" s="61" t="s">
        <v>1357</v>
      </c>
      <c r="C1906" s="61" t="s">
        <v>5469</v>
      </c>
      <c r="D1906" s="61" t="s">
        <v>7838</v>
      </c>
      <c r="E1906" s="61">
        <v>5068</v>
      </c>
      <c r="F1906" s="61">
        <v>5293</v>
      </c>
      <c r="G1906" s="61">
        <v>2025</v>
      </c>
      <c r="H1906" s="61" t="s">
        <v>3416</v>
      </c>
      <c r="I1906" s="61" t="s">
        <v>32</v>
      </c>
      <c r="J1906" s="61"/>
      <c r="K1906" s="61" t="s">
        <v>148</v>
      </c>
      <c r="L1906" s="61" t="s">
        <v>8825</v>
      </c>
      <c r="M1906" s="475">
        <v>45729</v>
      </c>
      <c r="N1906" s="475">
        <v>45730</v>
      </c>
      <c r="O1906" s="61"/>
      <c r="P1906" s="475">
        <v>45733</v>
      </c>
      <c r="Q1906" s="475">
        <v>45734</v>
      </c>
      <c r="R1906" s="61">
        <f t="shared" si="132"/>
        <v>1</v>
      </c>
      <c r="S1906" s="61" t="str">
        <f t="shared" si="133"/>
        <v/>
      </c>
      <c r="T1906" s="61">
        <f t="shared" si="131"/>
        <v>1</v>
      </c>
      <c r="U1906" s="61">
        <f t="shared" si="134"/>
        <v>1</v>
      </c>
      <c r="V1906" s="61" t="s">
        <v>150</v>
      </c>
      <c r="W1906" s="61" t="s">
        <v>4</v>
      </c>
      <c r="X1906" s="61" t="s">
        <v>50</v>
      </c>
      <c r="Y1906" s="61">
        <v>15.0908</v>
      </c>
      <c r="Z1906" s="61">
        <v>120.83183</v>
      </c>
      <c r="AA1906" s="61" t="s">
        <v>182</v>
      </c>
      <c r="AB1906" s="61"/>
    </row>
    <row r="1907" spans="1:28" s="2" customFormat="1" ht="28.5">
      <c r="A1907" s="61" t="s">
        <v>778</v>
      </c>
      <c r="B1907" s="61" t="s">
        <v>1357</v>
      </c>
      <c r="C1907" s="61" t="s">
        <v>5103</v>
      </c>
      <c r="D1907" s="61" t="s">
        <v>7838</v>
      </c>
      <c r="E1907" s="61">
        <v>3322</v>
      </c>
      <c r="F1907" s="61">
        <v>4037</v>
      </c>
      <c r="G1907" s="61">
        <v>2025</v>
      </c>
      <c r="H1907" s="61" t="s">
        <v>3532</v>
      </c>
      <c r="I1907" s="61" t="s">
        <v>32</v>
      </c>
      <c r="J1907" s="61"/>
      <c r="K1907" s="61" t="s">
        <v>148</v>
      </c>
      <c r="L1907" s="61" t="s">
        <v>8826</v>
      </c>
      <c r="M1907" s="475">
        <v>45791</v>
      </c>
      <c r="N1907" s="475">
        <v>45792</v>
      </c>
      <c r="O1907" s="61"/>
      <c r="P1907" s="475">
        <v>45793</v>
      </c>
      <c r="Q1907" s="475">
        <v>45793</v>
      </c>
      <c r="R1907" s="61">
        <f t="shared" si="132"/>
        <v>1</v>
      </c>
      <c r="S1907" s="61" t="str">
        <f t="shared" si="133"/>
        <v/>
      </c>
      <c r="T1907" s="61">
        <f t="shared" si="131"/>
        <v>1</v>
      </c>
      <c r="U1907" s="61">
        <f t="shared" si="134"/>
        <v>1</v>
      </c>
      <c r="V1907" s="61" t="s">
        <v>150</v>
      </c>
      <c r="W1907" s="61" t="s">
        <v>3527</v>
      </c>
      <c r="X1907" s="61" t="s">
        <v>3528</v>
      </c>
      <c r="Y1907" s="61">
        <v>15.01684</v>
      </c>
      <c r="Z1907" s="61">
        <v>120.87118</v>
      </c>
      <c r="AA1907" s="61" t="s">
        <v>182</v>
      </c>
      <c r="AB1907" s="61"/>
    </row>
    <row r="1908" spans="1:28" s="2" customFormat="1" ht="28.5">
      <c r="A1908" s="61" t="s">
        <v>778</v>
      </c>
      <c r="B1908" s="61" t="s">
        <v>1357</v>
      </c>
      <c r="C1908" s="61" t="s">
        <v>4142</v>
      </c>
      <c r="D1908" s="61" t="s">
        <v>7838</v>
      </c>
      <c r="E1908" s="61">
        <v>11179</v>
      </c>
      <c r="F1908" s="61">
        <v>12159</v>
      </c>
      <c r="G1908" s="61"/>
      <c r="H1908" s="61"/>
      <c r="I1908" s="61" t="s">
        <v>32</v>
      </c>
      <c r="J1908" s="61"/>
      <c r="K1908" s="61" t="s">
        <v>148</v>
      </c>
      <c r="L1908" s="61"/>
      <c r="M1908" s="61"/>
      <c r="N1908" s="61"/>
      <c r="O1908" s="61"/>
      <c r="P1908" s="61"/>
      <c r="Q1908" s="61"/>
      <c r="R1908" s="61" t="str">
        <f t="shared" si="132"/>
        <v/>
      </c>
      <c r="S1908" s="61" t="str">
        <f t="shared" si="133"/>
        <v/>
      </c>
      <c r="T1908" s="61" t="str">
        <f t="shared" si="131"/>
        <v/>
      </c>
      <c r="U1908" s="61" t="str">
        <f t="shared" si="134"/>
        <v/>
      </c>
      <c r="V1908" s="61"/>
      <c r="W1908" s="61"/>
      <c r="X1908" s="61"/>
      <c r="Y1908" s="61"/>
      <c r="Z1908" s="61"/>
      <c r="AA1908" s="61"/>
      <c r="AB1908" s="61"/>
    </row>
    <row r="1909" spans="1:28" s="2" customFormat="1" ht="28.5">
      <c r="A1909" s="61" t="s">
        <v>778</v>
      </c>
      <c r="B1909" s="61" t="s">
        <v>1357</v>
      </c>
      <c r="C1909" s="61" t="s">
        <v>3991</v>
      </c>
      <c r="D1909" s="61" t="s">
        <v>7838</v>
      </c>
      <c r="E1909" s="61">
        <v>3084</v>
      </c>
      <c r="F1909" s="61">
        <v>3151</v>
      </c>
      <c r="G1909" s="61"/>
      <c r="H1909" s="61"/>
      <c r="I1909" s="61" t="s">
        <v>32</v>
      </c>
      <c r="J1909" s="61"/>
      <c r="K1909" s="61" t="s">
        <v>148</v>
      </c>
      <c r="L1909" s="61"/>
      <c r="M1909" s="61"/>
      <c r="N1909" s="61"/>
      <c r="O1909" s="61"/>
      <c r="P1909" s="61"/>
      <c r="Q1909" s="61"/>
      <c r="R1909" s="61" t="str">
        <f t="shared" si="132"/>
        <v/>
      </c>
      <c r="S1909" s="61" t="str">
        <f t="shared" si="133"/>
        <v/>
      </c>
      <c r="T1909" s="61" t="str">
        <f t="shared" si="131"/>
        <v/>
      </c>
      <c r="U1909" s="61" t="str">
        <f t="shared" si="134"/>
        <v/>
      </c>
      <c r="V1909" s="61"/>
      <c r="W1909" s="61"/>
      <c r="X1909" s="61"/>
      <c r="Y1909" s="61"/>
      <c r="Z1909" s="61"/>
      <c r="AA1909" s="61"/>
      <c r="AB1909" s="61"/>
    </row>
    <row r="1910" spans="1:28" s="2" customFormat="1" ht="28.5">
      <c r="A1910" s="61" t="s">
        <v>778</v>
      </c>
      <c r="B1910" s="61" t="s">
        <v>1357</v>
      </c>
      <c r="C1910" s="61" t="s">
        <v>3956</v>
      </c>
      <c r="D1910" s="61" t="s">
        <v>7838</v>
      </c>
      <c r="E1910" s="61">
        <v>1895</v>
      </c>
      <c r="F1910" s="61">
        <v>2148</v>
      </c>
      <c r="G1910" s="61"/>
      <c r="H1910" s="61"/>
      <c r="I1910" s="61" t="s">
        <v>32</v>
      </c>
      <c r="J1910" s="61"/>
      <c r="K1910" s="61" t="s">
        <v>148</v>
      </c>
      <c r="L1910" s="61"/>
      <c r="M1910" s="61"/>
      <c r="N1910" s="61"/>
      <c r="O1910" s="61"/>
      <c r="P1910" s="61"/>
      <c r="Q1910" s="61"/>
      <c r="R1910" s="61" t="str">
        <f t="shared" si="132"/>
        <v/>
      </c>
      <c r="S1910" s="61" t="str">
        <f t="shared" si="133"/>
        <v/>
      </c>
      <c r="T1910" s="61" t="str">
        <f t="shared" si="131"/>
        <v/>
      </c>
      <c r="U1910" s="61" t="str">
        <f t="shared" si="134"/>
        <v/>
      </c>
      <c r="V1910" s="61"/>
      <c r="W1910" s="61"/>
      <c r="X1910" s="61"/>
      <c r="Y1910" s="61"/>
      <c r="Z1910" s="61"/>
      <c r="AA1910" s="61"/>
      <c r="AB1910" s="61"/>
    </row>
    <row r="1911" spans="1:28" s="2" customFormat="1" ht="28.5">
      <c r="A1911" s="61" t="s">
        <v>778</v>
      </c>
      <c r="B1911" s="61" t="s">
        <v>1357</v>
      </c>
      <c r="C1911" s="61" t="s">
        <v>5452</v>
      </c>
      <c r="D1911" s="61" t="s">
        <v>7838</v>
      </c>
      <c r="E1911" s="61">
        <v>2163</v>
      </c>
      <c r="F1911" s="61">
        <v>2743</v>
      </c>
      <c r="G1911" s="61"/>
      <c r="H1911" s="61"/>
      <c r="I1911" s="61" t="s">
        <v>32</v>
      </c>
      <c r="J1911" s="61"/>
      <c r="K1911" s="61" t="s">
        <v>148</v>
      </c>
      <c r="L1911" s="61"/>
      <c r="M1911" s="61"/>
      <c r="N1911" s="61"/>
      <c r="O1911" s="61"/>
      <c r="P1911" s="61"/>
      <c r="Q1911" s="61"/>
      <c r="R1911" s="61" t="str">
        <f t="shared" si="132"/>
        <v/>
      </c>
      <c r="S1911" s="61" t="str">
        <f t="shared" si="133"/>
        <v/>
      </c>
      <c r="T1911" s="61" t="str">
        <f t="shared" si="131"/>
        <v/>
      </c>
      <c r="U1911" s="61" t="str">
        <f t="shared" si="134"/>
        <v/>
      </c>
      <c r="V1911" s="61"/>
      <c r="W1911" s="61"/>
      <c r="X1911" s="61"/>
      <c r="Y1911" s="61"/>
      <c r="Z1911" s="61"/>
      <c r="AA1911" s="61"/>
      <c r="AB1911" s="61"/>
    </row>
    <row r="1912" spans="1:28" s="2" customFormat="1" ht="28.5">
      <c r="A1912" s="61" t="s">
        <v>778</v>
      </c>
      <c r="B1912" s="61" t="s">
        <v>1357</v>
      </c>
      <c r="C1912" s="61" t="s">
        <v>5454</v>
      </c>
      <c r="D1912" s="61" t="s">
        <v>7838</v>
      </c>
      <c r="E1912" s="61">
        <v>1797</v>
      </c>
      <c r="F1912" s="61">
        <v>1609</v>
      </c>
      <c r="G1912" s="61"/>
      <c r="H1912" s="61"/>
      <c r="I1912" s="61" t="s">
        <v>32</v>
      </c>
      <c r="J1912" s="61"/>
      <c r="K1912" s="61" t="s">
        <v>148</v>
      </c>
      <c r="L1912" s="61"/>
      <c r="M1912" s="61"/>
      <c r="N1912" s="61"/>
      <c r="O1912" s="61"/>
      <c r="P1912" s="61"/>
      <c r="Q1912" s="61"/>
      <c r="R1912" s="61" t="str">
        <f t="shared" si="132"/>
        <v/>
      </c>
      <c r="S1912" s="61" t="str">
        <f t="shared" si="133"/>
        <v/>
      </c>
      <c r="T1912" s="61" t="str">
        <f t="shared" si="131"/>
        <v/>
      </c>
      <c r="U1912" s="61" t="str">
        <f t="shared" si="134"/>
        <v/>
      </c>
      <c r="V1912" s="61"/>
      <c r="W1912" s="61"/>
      <c r="X1912" s="61"/>
      <c r="Y1912" s="61"/>
      <c r="Z1912" s="61"/>
      <c r="AA1912" s="61"/>
      <c r="AB1912" s="61"/>
    </row>
    <row r="1913" spans="1:28" s="2" customFormat="1" ht="28.5">
      <c r="A1913" s="61" t="s">
        <v>778</v>
      </c>
      <c r="B1913" s="61" t="s">
        <v>1357</v>
      </c>
      <c r="C1913" s="61" t="s">
        <v>5455</v>
      </c>
      <c r="D1913" s="61" t="s">
        <v>7838</v>
      </c>
      <c r="E1913" s="61">
        <v>1975</v>
      </c>
      <c r="F1913" s="61">
        <v>2113</v>
      </c>
      <c r="G1913" s="61"/>
      <c r="H1913" s="61"/>
      <c r="I1913" s="61" t="s">
        <v>32</v>
      </c>
      <c r="J1913" s="61"/>
      <c r="K1913" s="61" t="s">
        <v>148</v>
      </c>
      <c r="L1913" s="61"/>
      <c r="M1913" s="61"/>
      <c r="N1913" s="61"/>
      <c r="O1913" s="61"/>
      <c r="P1913" s="61"/>
      <c r="Q1913" s="61"/>
      <c r="R1913" s="61" t="str">
        <f t="shared" si="132"/>
        <v/>
      </c>
      <c r="S1913" s="61" t="str">
        <f t="shared" si="133"/>
        <v/>
      </c>
      <c r="T1913" s="61" t="str">
        <f t="shared" si="131"/>
        <v/>
      </c>
      <c r="U1913" s="61" t="str">
        <f t="shared" si="134"/>
        <v/>
      </c>
      <c r="V1913" s="61"/>
      <c r="W1913" s="61"/>
      <c r="X1913" s="61"/>
      <c r="Y1913" s="61"/>
      <c r="Z1913" s="61"/>
      <c r="AA1913" s="61"/>
      <c r="AB1913" s="61"/>
    </row>
    <row r="1914" spans="1:28" s="2" customFormat="1" ht="28.5">
      <c r="A1914" s="61" t="s">
        <v>778</v>
      </c>
      <c r="B1914" s="61" t="s">
        <v>1357</v>
      </c>
      <c r="C1914" s="61" t="s">
        <v>5456</v>
      </c>
      <c r="D1914" s="61" t="s">
        <v>7838</v>
      </c>
      <c r="E1914" s="61">
        <v>2086</v>
      </c>
      <c r="F1914" s="61">
        <v>2480</v>
      </c>
      <c r="G1914" s="61"/>
      <c r="H1914" s="61"/>
      <c r="I1914" s="61" t="s">
        <v>32</v>
      </c>
      <c r="J1914" s="61"/>
      <c r="K1914" s="61" t="s">
        <v>148</v>
      </c>
      <c r="L1914" s="61"/>
      <c r="M1914" s="61"/>
      <c r="N1914" s="61"/>
      <c r="O1914" s="61"/>
      <c r="P1914" s="61"/>
      <c r="Q1914" s="61"/>
      <c r="R1914" s="61" t="str">
        <f t="shared" si="132"/>
        <v/>
      </c>
      <c r="S1914" s="61" t="str">
        <f t="shared" si="133"/>
        <v/>
      </c>
      <c r="T1914" s="61" t="str">
        <f t="shared" si="131"/>
        <v/>
      </c>
      <c r="U1914" s="61" t="str">
        <f t="shared" si="134"/>
        <v/>
      </c>
      <c r="V1914" s="61"/>
      <c r="W1914" s="61"/>
      <c r="X1914" s="61"/>
      <c r="Y1914" s="61"/>
      <c r="Z1914" s="61"/>
      <c r="AA1914" s="61"/>
      <c r="AB1914" s="61"/>
    </row>
    <row r="1915" spans="1:28" s="2" customFormat="1" ht="28.5">
      <c r="A1915" s="61" t="s">
        <v>778</v>
      </c>
      <c r="B1915" s="61" t="s">
        <v>1357</v>
      </c>
      <c r="C1915" s="61" t="s">
        <v>5457</v>
      </c>
      <c r="D1915" s="61" t="s">
        <v>7838</v>
      </c>
      <c r="E1915" s="61">
        <v>4532</v>
      </c>
      <c r="F1915" s="61">
        <v>4790</v>
      </c>
      <c r="G1915" s="61"/>
      <c r="H1915" s="61"/>
      <c r="I1915" s="61" t="s">
        <v>32</v>
      </c>
      <c r="J1915" s="61"/>
      <c r="K1915" s="61" t="s">
        <v>148</v>
      </c>
      <c r="L1915" s="61"/>
      <c r="M1915" s="61"/>
      <c r="N1915" s="61"/>
      <c r="O1915" s="61"/>
      <c r="P1915" s="61"/>
      <c r="Q1915" s="61"/>
      <c r="R1915" s="61" t="str">
        <f t="shared" si="132"/>
        <v/>
      </c>
      <c r="S1915" s="61" t="str">
        <f t="shared" si="133"/>
        <v/>
      </c>
      <c r="T1915" s="61" t="str">
        <f t="shared" si="131"/>
        <v/>
      </c>
      <c r="U1915" s="61" t="str">
        <f t="shared" si="134"/>
        <v/>
      </c>
      <c r="V1915" s="61"/>
      <c r="W1915" s="61"/>
      <c r="X1915" s="61"/>
      <c r="Y1915" s="61"/>
      <c r="Z1915" s="61"/>
      <c r="AA1915" s="61"/>
      <c r="AB1915" s="61"/>
    </row>
    <row r="1916" spans="1:28" s="2" customFormat="1" ht="28.5">
      <c r="A1916" s="61" t="s">
        <v>778</v>
      </c>
      <c r="B1916" s="61" t="s">
        <v>1357</v>
      </c>
      <c r="C1916" s="61" t="s">
        <v>5458</v>
      </c>
      <c r="D1916" s="61" t="s">
        <v>7838</v>
      </c>
      <c r="E1916" s="61">
        <v>4408</v>
      </c>
      <c r="F1916" s="61">
        <v>4910</v>
      </c>
      <c r="G1916" s="61"/>
      <c r="H1916" s="61"/>
      <c r="I1916" s="61" t="s">
        <v>32</v>
      </c>
      <c r="J1916" s="61"/>
      <c r="K1916" s="61" t="s">
        <v>148</v>
      </c>
      <c r="L1916" s="61"/>
      <c r="M1916" s="61"/>
      <c r="N1916" s="61"/>
      <c r="O1916" s="61"/>
      <c r="P1916" s="61"/>
      <c r="Q1916" s="61"/>
      <c r="R1916" s="61" t="str">
        <f t="shared" si="132"/>
        <v/>
      </c>
      <c r="S1916" s="61" t="str">
        <f t="shared" si="133"/>
        <v/>
      </c>
      <c r="T1916" s="61" t="str">
        <f t="shared" si="131"/>
        <v/>
      </c>
      <c r="U1916" s="61" t="str">
        <f t="shared" si="134"/>
        <v/>
      </c>
      <c r="V1916" s="61"/>
      <c r="W1916" s="61"/>
      <c r="X1916" s="61"/>
      <c r="Y1916" s="61"/>
      <c r="Z1916" s="61"/>
      <c r="AA1916" s="61"/>
      <c r="AB1916" s="61"/>
    </row>
    <row r="1917" spans="1:28" s="2" customFormat="1" ht="28.5">
      <c r="A1917" s="61" t="s">
        <v>778</v>
      </c>
      <c r="B1917" s="61" t="s">
        <v>1357</v>
      </c>
      <c r="C1917" s="61" t="s">
        <v>5459</v>
      </c>
      <c r="D1917" s="61" t="s">
        <v>7838</v>
      </c>
      <c r="E1917" s="61">
        <v>3326</v>
      </c>
      <c r="F1917" s="61">
        <v>3352</v>
      </c>
      <c r="G1917" s="61"/>
      <c r="H1917" s="61"/>
      <c r="I1917" s="61" t="s">
        <v>32</v>
      </c>
      <c r="J1917" s="61"/>
      <c r="K1917" s="61" t="s">
        <v>148</v>
      </c>
      <c r="L1917" s="61"/>
      <c r="M1917" s="61"/>
      <c r="N1917" s="61"/>
      <c r="O1917" s="61"/>
      <c r="P1917" s="61"/>
      <c r="Q1917" s="61"/>
      <c r="R1917" s="61" t="str">
        <f t="shared" si="132"/>
        <v/>
      </c>
      <c r="S1917" s="61" t="str">
        <f t="shared" si="133"/>
        <v/>
      </c>
      <c r="T1917" s="61" t="str">
        <f t="shared" si="131"/>
        <v/>
      </c>
      <c r="U1917" s="61" t="str">
        <f t="shared" si="134"/>
        <v/>
      </c>
      <c r="V1917" s="61"/>
      <c r="W1917" s="61"/>
      <c r="X1917" s="61"/>
      <c r="Y1917" s="61"/>
      <c r="Z1917" s="61"/>
      <c r="AA1917" s="61"/>
      <c r="AB1917" s="61"/>
    </row>
    <row r="1918" spans="1:28" s="2" customFormat="1" ht="28.5">
      <c r="A1918" s="61" t="s">
        <v>778</v>
      </c>
      <c r="B1918" s="61" t="s">
        <v>1357</v>
      </c>
      <c r="C1918" s="61" t="s">
        <v>4613</v>
      </c>
      <c r="D1918" s="61" t="s">
        <v>7838</v>
      </c>
      <c r="E1918" s="61">
        <v>2474</v>
      </c>
      <c r="F1918" s="61">
        <v>2809</v>
      </c>
      <c r="G1918" s="61"/>
      <c r="H1918" s="61"/>
      <c r="I1918" s="61" t="s">
        <v>32</v>
      </c>
      <c r="J1918" s="61"/>
      <c r="K1918" s="61" t="s">
        <v>148</v>
      </c>
      <c r="L1918" s="61"/>
      <c r="M1918" s="61"/>
      <c r="N1918" s="61"/>
      <c r="O1918" s="61"/>
      <c r="P1918" s="61"/>
      <c r="Q1918" s="61"/>
      <c r="R1918" s="61" t="str">
        <f t="shared" si="132"/>
        <v/>
      </c>
      <c r="S1918" s="61" t="str">
        <f t="shared" si="133"/>
        <v/>
      </c>
      <c r="T1918" s="61" t="str">
        <f t="shared" si="131"/>
        <v/>
      </c>
      <c r="U1918" s="61" t="str">
        <f t="shared" si="134"/>
        <v/>
      </c>
      <c r="V1918" s="61"/>
      <c r="W1918" s="61"/>
      <c r="X1918" s="61"/>
      <c r="Y1918" s="61"/>
      <c r="Z1918" s="61"/>
      <c r="AA1918" s="61"/>
      <c r="AB1918" s="61"/>
    </row>
    <row r="1919" spans="1:28" s="2" customFormat="1" ht="28.5">
      <c r="A1919" s="61" t="s">
        <v>778</v>
      </c>
      <c r="B1919" s="61" t="s">
        <v>1357</v>
      </c>
      <c r="C1919" s="61" t="s">
        <v>5461</v>
      </c>
      <c r="D1919" s="61" t="s">
        <v>7838</v>
      </c>
      <c r="E1919" s="61">
        <v>2166</v>
      </c>
      <c r="F1919" s="61">
        <v>2414</v>
      </c>
      <c r="G1919" s="61"/>
      <c r="H1919" s="61"/>
      <c r="I1919" s="61" t="s">
        <v>32</v>
      </c>
      <c r="J1919" s="61"/>
      <c r="K1919" s="61" t="s">
        <v>148</v>
      </c>
      <c r="L1919" s="61"/>
      <c r="M1919" s="61"/>
      <c r="N1919" s="61"/>
      <c r="O1919" s="61"/>
      <c r="P1919" s="61"/>
      <c r="Q1919" s="61"/>
      <c r="R1919" s="61" t="str">
        <f t="shared" si="132"/>
        <v/>
      </c>
      <c r="S1919" s="61" t="str">
        <f t="shared" si="133"/>
        <v/>
      </c>
      <c r="T1919" s="61" t="str">
        <f t="shared" si="131"/>
        <v/>
      </c>
      <c r="U1919" s="61" t="str">
        <f t="shared" si="134"/>
        <v/>
      </c>
      <c r="V1919" s="61"/>
      <c r="W1919" s="61"/>
      <c r="X1919" s="61"/>
      <c r="Y1919" s="61"/>
      <c r="Z1919" s="61"/>
      <c r="AA1919" s="61"/>
      <c r="AB1919" s="61"/>
    </row>
    <row r="1920" spans="1:28" s="2" customFormat="1" ht="28.5">
      <c r="A1920" s="61" t="s">
        <v>778</v>
      </c>
      <c r="B1920" s="61" t="s">
        <v>1357</v>
      </c>
      <c r="C1920" s="61" t="s">
        <v>5462</v>
      </c>
      <c r="D1920" s="61" t="s">
        <v>7838</v>
      </c>
      <c r="E1920" s="61">
        <v>5136</v>
      </c>
      <c r="F1920" s="61">
        <v>5462</v>
      </c>
      <c r="G1920" s="61"/>
      <c r="H1920" s="61"/>
      <c r="I1920" s="61" t="s">
        <v>32</v>
      </c>
      <c r="J1920" s="61"/>
      <c r="K1920" s="61" t="s">
        <v>148</v>
      </c>
      <c r="L1920" s="61"/>
      <c r="M1920" s="61"/>
      <c r="N1920" s="61"/>
      <c r="O1920" s="61"/>
      <c r="P1920" s="61"/>
      <c r="Q1920" s="61"/>
      <c r="R1920" s="61" t="str">
        <f t="shared" si="132"/>
        <v/>
      </c>
      <c r="S1920" s="61" t="str">
        <f t="shared" si="133"/>
        <v/>
      </c>
      <c r="T1920" s="61" t="str">
        <f t="shared" si="131"/>
        <v/>
      </c>
      <c r="U1920" s="61" t="str">
        <f t="shared" si="134"/>
        <v/>
      </c>
      <c r="V1920" s="61"/>
      <c r="W1920" s="61"/>
      <c r="X1920" s="61"/>
      <c r="Y1920" s="61"/>
      <c r="Z1920" s="61"/>
      <c r="AA1920" s="61"/>
      <c r="AB1920" s="61"/>
    </row>
    <row r="1921" spans="1:28" s="2" customFormat="1" ht="28.5">
      <c r="A1921" s="61" t="s">
        <v>778</v>
      </c>
      <c r="B1921" s="61" t="s">
        <v>1357</v>
      </c>
      <c r="C1921" s="61" t="s">
        <v>5463</v>
      </c>
      <c r="D1921" s="61" t="s">
        <v>7838</v>
      </c>
      <c r="E1921" s="61">
        <v>4836</v>
      </c>
      <c r="F1921" s="61">
        <v>5395</v>
      </c>
      <c r="G1921" s="61"/>
      <c r="H1921" s="61"/>
      <c r="I1921" s="61" t="s">
        <v>32</v>
      </c>
      <c r="J1921" s="61"/>
      <c r="K1921" s="61" t="s">
        <v>148</v>
      </c>
      <c r="L1921" s="61"/>
      <c r="M1921" s="61"/>
      <c r="N1921" s="61"/>
      <c r="O1921" s="61"/>
      <c r="P1921" s="61"/>
      <c r="Q1921" s="61"/>
      <c r="R1921" s="61" t="str">
        <f t="shared" si="132"/>
        <v/>
      </c>
      <c r="S1921" s="61" t="str">
        <f t="shared" si="133"/>
        <v/>
      </c>
      <c r="T1921" s="61" t="str">
        <f t="shared" si="131"/>
        <v/>
      </c>
      <c r="U1921" s="61" t="str">
        <f t="shared" si="134"/>
        <v/>
      </c>
      <c r="V1921" s="61"/>
      <c r="W1921" s="61"/>
      <c r="X1921" s="61"/>
      <c r="Y1921" s="61"/>
      <c r="Z1921" s="61"/>
      <c r="AA1921" s="61"/>
      <c r="AB1921" s="61"/>
    </row>
    <row r="1922" spans="1:28" s="2" customFormat="1" ht="28.5">
      <c r="A1922" s="61" t="s">
        <v>778</v>
      </c>
      <c r="B1922" s="61" t="s">
        <v>1357</v>
      </c>
      <c r="C1922" s="61" t="s">
        <v>5379</v>
      </c>
      <c r="D1922" s="61" t="s">
        <v>7838</v>
      </c>
      <c r="E1922" s="61">
        <v>1553</v>
      </c>
      <c r="F1922" s="61">
        <v>1631</v>
      </c>
      <c r="G1922" s="61"/>
      <c r="H1922" s="61"/>
      <c r="I1922" s="61" t="s">
        <v>32</v>
      </c>
      <c r="J1922" s="61"/>
      <c r="K1922" s="61" t="s">
        <v>148</v>
      </c>
      <c r="L1922" s="61"/>
      <c r="M1922" s="61"/>
      <c r="N1922" s="61"/>
      <c r="O1922" s="61"/>
      <c r="P1922" s="61"/>
      <c r="Q1922" s="61"/>
      <c r="R1922" s="61" t="str">
        <f t="shared" si="132"/>
        <v/>
      </c>
      <c r="S1922" s="61" t="str">
        <f t="shared" si="133"/>
        <v/>
      </c>
      <c r="T1922" s="61" t="str">
        <f t="shared" si="131"/>
        <v/>
      </c>
      <c r="U1922" s="61" t="str">
        <f t="shared" si="134"/>
        <v/>
      </c>
      <c r="V1922" s="61"/>
      <c r="W1922" s="61"/>
      <c r="X1922" s="61"/>
      <c r="Y1922" s="61"/>
      <c r="Z1922" s="61"/>
      <c r="AA1922" s="61"/>
      <c r="AB1922" s="61"/>
    </row>
    <row r="1923" spans="1:28" s="2" customFormat="1" ht="28.5">
      <c r="A1923" s="61" t="s">
        <v>778</v>
      </c>
      <c r="B1923" s="61" t="s">
        <v>1357</v>
      </c>
      <c r="C1923" s="61" t="s">
        <v>5465</v>
      </c>
      <c r="D1923" s="61" t="s">
        <v>7838</v>
      </c>
      <c r="E1923" s="61">
        <v>1587</v>
      </c>
      <c r="F1923" s="61">
        <v>1679</v>
      </c>
      <c r="G1923" s="61"/>
      <c r="H1923" s="61"/>
      <c r="I1923" s="61" t="s">
        <v>32</v>
      </c>
      <c r="J1923" s="61"/>
      <c r="K1923" s="61" t="s">
        <v>148</v>
      </c>
      <c r="L1923" s="61"/>
      <c r="M1923" s="61"/>
      <c r="N1923" s="61"/>
      <c r="O1923" s="61"/>
      <c r="P1923" s="61"/>
      <c r="Q1923" s="61"/>
      <c r="R1923" s="61" t="str">
        <f t="shared" si="132"/>
        <v/>
      </c>
      <c r="S1923" s="61" t="str">
        <f t="shared" si="133"/>
        <v/>
      </c>
      <c r="T1923" s="61" t="str">
        <f t="shared" si="131"/>
        <v/>
      </c>
      <c r="U1923" s="61" t="str">
        <f t="shared" si="134"/>
        <v/>
      </c>
      <c r="V1923" s="61"/>
      <c r="W1923" s="61"/>
      <c r="X1923" s="61"/>
      <c r="Y1923" s="61"/>
      <c r="Z1923" s="61"/>
      <c r="AA1923" s="61"/>
      <c r="AB1923" s="61"/>
    </row>
    <row r="1924" spans="1:28" s="2" customFormat="1" ht="28.5">
      <c r="A1924" s="61" t="s">
        <v>778</v>
      </c>
      <c r="B1924" s="61" t="s">
        <v>1357</v>
      </c>
      <c r="C1924" s="61" t="s">
        <v>2105</v>
      </c>
      <c r="D1924" s="61" t="s">
        <v>7838</v>
      </c>
      <c r="E1924" s="61">
        <v>3295</v>
      </c>
      <c r="F1924" s="61">
        <v>3815</v>
      </c>
      <c r="G1924" s="61"/>
      <c r="H1924" s="61"/>
      <c r="I1924" s="61" t="s">
        <v>32</v>
      </c>
      <c r="J1924" s="61"/>
      <c r="K1924" s="61" t="s">
        <v>148</v>
      </c>
      <c r="L1924" s="61"/>
      <c r="M1924" s="61"/>
      <c r="N1924" s="61"/>
      <c r="O1924" s="61"/>
      <c r="P1924" s="61"/>
      <c r="Q1924" s="61"/>
      <c r="R1924" s="61" t="str">
        <f t="shared" si="132"/>
        <v/>
      </c>
      <c r="S1924" s="61" t="str">
        <f t="shared" si="133"/>
        <v/>
      </c>
      <c r="T1924" s="61" t="str">
        <f t="shared" si="131"/>
        <v/>
      </c>
      <c r="U1924" s="61" t="str">
        <f t="shared" si="134"/>
        <v/>
      </c>
      <c r="V1924" s="61"/>
      <c r="W1924" s="61"/>
      <c r="X1924" s="61"/>
      <c r="Y1924" s="61"/>
      <c r="Z1924" s="61"/>
      <c r="AA1924" s="61"/>
      <c r="AB1924" s="61"/>
    </row>
    <row r="1925" spans="1:28" s="2" customFormat="1" ht="28.5">
      <c r="A1925" s="61" t="s">
        <v>778</v>
      </c>
      <c r="B1925" s="61" t="s">
        <v>1357</v>
      </c>
      <c r="C1925" s="61" t="s">
        <v>5450</v>
      </c>
      <c r="D1925" s="61" t="s">
        <v>7838</v>
      </c>
      <c r="E1925" s="61">
        <v>5374</v>
      </c>
      <c r="F1925" s="61">
        <v>5318</v>
      </c>
      <c r="G1925" s="61"/>
      <c r="H1925" s="61"/>
      <c r="I1925" s="61" t="s">
        <v>32</v>
      </c>
      <c r="J1925" s="61"/>
      <c r="K1925" s="61" t="s">
        <v>148</v>
      </c>
      <c r="L1925" s="61"/>
      <c r="M1925" s="61"/>
      <c r="N1925" s="61"/>
      <c r="O1925" s="61"/>
      <c r="P1925" s="61"/>
      <c r="Q1925" s="61"/>
      <c r="R1925" s="61" t="str">
        <f t="shared" si="132"/>
        <v/>
      </c>
      <c r="S1925" s="61" t="str">
        <f t="shared" si="133"/>
        <v/>
      </c>
      <c r="T1925" s="61" t="str">
        <f t="shared" si="131"/>
        <v/>
      </c>
      <c r="U1925" s="61" t="str">
        <f t="shared" si="134"/>
        <v/>
      </c>
      <c r="V1925" s="61"/>
      <c r="W1925" s="61"/>
      <c r="X1925" s="61"/>
      <c r="Y1925" s="61"/>
      <c r="Z1925" s="61"/>
      <c r="AA1925" s="61"/>
      <c r="AB1925" s="61"/>
    </row>
    <row r="1926" spans="1:28" s="2" customFormat="1" ht="28.5">
      <c r="A1926" s="61" t="s">
        <v>778</v>
      </c>
      <c r="B1926" s="61" t="s">
        <v>1357</v>
      </c>
      <c r="C1926" s="61" t="s">
        <v>5466</v>
      </c>
      <c r="D1926" s="61" t="s">
        <v>7838</v>
      </c>
      <c r="E1926" s="61">
        <v>5383</v>
      </c>
      <c r="F1926" s="61">
        <v>5591</v>
      </c>
      <c r="G1926" s="61"/>
      <c r="H1926" s="61"/>
      <c r="I1926" s="61" t="s">
        <v>32</v>
      </c>
      <c r="J1926" s="61"/>
      <c r="K1926" s="61" t="s">
        <v>148</v>
      </c>
      <c r="L1926" s="61"/>
      <c r="M1926" s="61"/>
      <c r="N1926" s="61"/>
      <c r="O1926" s="61"/>
      <c r="P1926" s="61"/>
      <c r="Q1926" s="61"/>
      <c r="R1926" s="61" t="str">
        <f t="shared" si="132"/>
        <v/>
      </c>
      <c r="S1926" s="61" t="str">
        <f t="shared" si="133"/>
        <v/>
      </c>
      <c r="T1926" s="61" t="str">
        <f t="shared" si="131"/>
        <v/>
      </c>
      <c r="U1926" s="61" t="str">
        <f t="shared" si="134"/>
        <v/>
      </c>
      <c r="V1926" s="61"/>
      <c r="W1926" s="61"/>
      <c r="X1926" s="61"/>
      <c r="Y1926" s="61"/>
      <c r="Z1926" s="61"/>
      <c r="AA1926" s="61"/>
      <c r="AB1926" s="61"/>
    </row>
    <row r="1927" spans="1:28" s="2" customFormat="1" ht="28.5">
      <c r="A1927" s="61" t="s">
        <v>778</v>
      </c>
      <c r="B1927" s="61" t="s">
        <v>1357</v>
      </c>
      <c r="C1927" s="61" t="s">
        <v>5467</v>
      </c>
      <c r="D1927" s="61" t="s">
        <v>7838</v>
      </c>
      <c r="E1927" s="61">
        <v>1753</v>
      </c>
      <c r="F1927" s="61">
        <v>1872</v>
      </c>
      <c r="G1927" s="61"/>
      <c r="H1927" s="61"/>
      <c r="I1927" s="61" t="s">
        <v>32</v>
      </c>
      <c r="J1927" s="61"/>
      <c r="K1927" s="61" t="s">
        <v>148</v>
      </c>
      <c r="L1927" s="61"/>
      <c r="M1927" s="61"/>
      <c r="N1927" s="61"/>
      <c r="O1927" s="61"/>
      <c r="P1927" s="61"/>
      <c r="Q1927" s="61"/>
      <c r="R1927" s="61" t="str">
        <f t="shared" si="132"/>
        <v/>
      </c>
      <c r="S1927" s="61" t="str">
        <f t="shared" si="133"/>
        <v/>
      </c>
      <c r="T1927" s="61" t="str">
        <f t="shared" si="131"/>
        <v/>
      </c>
      <c r="U1927" s="61" t="str">
        <f t="shared" si="134"/>
        <v/>
      </c>
      <c r="V1927" s="61"/>
      <c r="W1927" s="61"/>
      <c r="X1927" s="61"/>
      <c r="Y1927" s="61"/>
      <c r="Z1927" s="61"/>
      <c r="AA1927" s="61"/>
      <c r="AB1927" s="61"/>
    </row>
    <row r="1928" spans="1:28" s="2" customFormat="1" ht="28.5">
      <c r="A1928" s="61" t="s">
        <v>778</v>
      </c>
      <c r="B1928" s="61" t="s">
        <v>1357</v>
      </c>
      <c r="C1928" s="61" t="s">
        <v>3952</v>
      </c>
      <c r="D1928" s="61" t="s">
        <v>7838</v>
      </c>
      <c r="E1928" s="61">
        <v>2009</v>
      </c>
      <c r="F1928" s="61">
        <v>2134</v>
      </c>
      <c r="G1928" s="61"/>
      <c r="H1928" s="61"/>
      <c r="I1928" s="61" t="s">
        <v>32</v>
      </c>
      <c r="J1928" s="61"/>
      <c r="K1928" s="61" t="s">
        <v>148</v>
      </c>
      <c r="L1928" s="61"/>
      <c r="M1928" s="61"/>
      <c r="N1928" s="61"/>
      <c r="O1928" s="61"/>
      <c r="P1928" s="61"/>
      <c r="Q1928" s="61"/>
      <c r="R1928" s="61" t="str">
        <f t="shared" si="132"/>
        <v/>
      </c>
      <c r="S1928" s="61" t="str">
        <f t="shared" si="133"/>
        <v/>
      </c>
      <c r="T1928" s="61" t="str">
        <f t="shared" si="131"/>
        <v/>
      </c>
      <c r="U1928" s="61" t="str">
        <f t="shared" si="134"/>
        <v/>
      </c>
      <c r="V1928" s="61"/>
      <c r="W1928" s="61"/>
      <c r="X1928" s="61"/>
      <c r="Y1928" s="61"/>
      <c r="Z1928" s="61"/>
      <c r="AA1928" s="61"/>
      <c r="AB1928" s="61"/>
    </row>
    <row r="1929" spans="1:28" s="2" customFormat="1" ht="28.5">
      <c r="A1929" s="61" t="s">
        <v>778</v>
      </c>
      <c r="B1929" s="61" t="s">
        <v>1357</v>
      </c>
      <c r="C1929" s="61" t="s">
        <v>5468</v>
      </c>
      <c r="D1929" s="61" t="s">
        <v>7838</v>
      </c>
      <c r="E1929" s="61">
        <v>3471</v>
      </c>
      <c r="F1929" s="61">
        <v>3864</v>
      </c>
      <c r="G1929" s="61"/>
      <c r="H1929" s="61"/>
      <c r="I1929" s="61" t="s">
        <v>32</v>
      </c>
      <c r="J1929" s="61"/>
      <c r="K1929" s="61" t="s">
        <v>148</v>
      </c>
      <c r="L1929" s="61"/>
      <c r="M1929" s="61"/>
      <c r="N1929" s="61"/>
      <c r="O1929" s="61"/>
      <c r="P1929" s="61"/>
      <c r="Q1929" s="61"/>
      <c r="R1929" s="61" t="str">
        <f t="shared" si="132"/>
        <v/>
      </c>
      <c r="S1929" s="61" t="str">
        <f t="shared" si="133"/>
        <v/>
      </c>
      <c r="T1929" s="61" t="str">
        <f t="shared" si="131"/>
        <v/>
      </c>
      <c r="U1929" s="61" t="str">
        <f t="shared" si="134"/>
        <v/>
      </c>
      <c r="V1929" s="61"/>
      <c r="W1929" s="61"/>
      <c r="X1929" s="61"/>
      <c r="Y1929" s="61"/>
      <c r="Z1929" s="61"/>
      <c r="AA1929" s="61"/>
      <c r="AB1929" s="61"/>
    </row>
    <row r="1930" spans="1:28" s="2" customFormat="1" ht="28.5">
      <c r="A1930" s="61" t="s">
        <v>778</v>
      </c>
      <c r="B1930" s="61" t="s">
        <v>1357</v>
      </c>
      <c r="C1930" s="61" t="s">
        <v>4475</v>
      </c>
      <c r="D1930" s="61" t="s">
        <v>7838</v>
      </c>
      <c r="E1930" s="61">
        <v>5579</v>
      </c>
      <c r="F1930" s="61">
        <v>5019</v>
      </c>
      <c r="G1930" s="61"/>
      <c r="H1930" s="61"/>
      <c r="I1930" s="61" t="s">
        <v>32</v>
      </c>
      <c r="J1930" s="61"/>
      <c r="K1930" s="61" t="s">
        <v>148</v>
      </c>
      <c r="L1930" s="61"/>
      <c r="M1930" s="61"/>
      <c r="N1930" s="61"/>
      <c r="O1930" s="61"/>
      <c r="P1930" s="61"/>
      <c r="Q1930" s="61"/>
      <c r="R1930" s="61" t="str">
        <f t="shared" si="132"/>
        <v/>
      </c>
      <c r="S1930" s="61" t="str">
        <f t="shared" si="133"/>
        <v/>
      </c>
      <c r="T1930" s="61" t="str">
        <f t="shared" si="131"/>
        <v/>
      </c>
      <c r="U1930" s="61" t="str">
        <f t="shared" si="134"/>
        <v/>
      </c>
      <c r="V1930" s="61"/>
      <c r="W1930" s="61"/>
      <c r="X1930" s="61"/>
      <c r="Y1930" s="61"/>
      <c r="Z1930" s="61"/>
      <c r="AA1930" s="61"/>
      <c r="AB1930" s="61"/>
    </row>
    <row r="1931" spans="1:28" s="2" customFormat="1" ht="28.5">
      <c r="A1931" s="61" t="s">
        <v>778</v>
      </c>
      <c r="B1931" s="61" t="s">
        <v>1357</v>
      </c>
      <c r="C1931" s="61" t="s">
        <v>4261</v>
      </c>
      <c r="D1931" s="61" t="s">
        <v>7838</v>
      </c>
      <c r="E1931" s="61">
        <v>1157</v>
      </c>
      <c r="F1931" s="61">
        <v>1338</v>
      </c>
      <c r="G1931" s="61"/>
      <c r="H1931" s="61"/>
      <c r="I1931" s="61" t="s">
        <v>32</v>
      </c>
      <c r="J1931" s="61"/>
      <c r="K1931" s="61" t="s">
        <v>148</v>
      </c>
      <c r="L1931" s="61"/>
      <c r="M1931" s="61"/>
      <c r="N1931" s="61"/>
      <c r="O1931" s="61"/>
      <c r="P1931" s="61"/>
      <c r="Q1931" s="61"/>
      <c r="R1931" s="61" t="str">
        <f t="shared" si="132"/>
        <v/>
      </c>
      <c r="S1931" s="61" t="str">
        <f t="shared" si="133"/>
        <v/>
      </c>
      <c r="T1931" s="61" t="str">
        <f t="shared" si="131"/>
        <v/>
      </c>
      <c r="U1931" s="61" t="str">
        <f t="shared" si="134"/>
        <v/>
      </c>
      <c r="V1931" s="61"/>
      <c r="W1931" s="61"/>
      <c r="X1931" s="61"/>
      <c r="Y1931" s="61"/>
      <c r="Z1931" s="61"/>
      <c r="AA1931" s="61"/>
      <c r="AB1931" s="61"/>
    </row>
    <row r="1932" spans="1:28" s="2" customFormat="1" ht="28.5">
      <c r="A1932" s="61" t="s">
        <v>778</v>
      </c>
      <c r="B1932" s="61" t="s">
        <v>1357</v>
      </c>
      <c r="C1932" s="61" t="s">
        <v>5470</v>
      </c>
      <c r="D1932" s="61" t="s">
        <v>7838</v>
      </c>
      <c r="E1932" s="61">
        <v>2510</v>
      </c>
      <c r="F1932" s="61">
        <v>2570</v>
      </c>
      <c r="G1932" s="61"/>
      <c r="H1932" s="61"/>
      <c r="I1932" s="61" t="s">
        <v>32</v>
      </c>
      <c r="J1932" s="61"/>
      <c r="K1932" s="61" t="s">
        <v>148</v>
      </c>
      <c r="L1932" s="61"/>
      <c r="M1932" s="61"/>
      <c r="N1932" s="61"/>
      <c r="O1932" s="61"/>
      <c r="P1932" s="61"/>
      <c r="Q1932" s="61"/>
      <c r="R1932" s="61" t="str">
        <f t="shared" si="132"/>
        <v/>
      </c>
      <c r="S1932" s="61" t="str">
        <f t="shared" si="133"/>
        <v/>
      </c>
      <c r="T1932" s="61" t="str">
        <f t="shared" si="131"/>
        <v/>
      </c>
      <c r="U1932" s="61" t="str">
        <f t="shared" si="134"/>
        <v/>
      </c>
      <c r="V1932" s="61"/>
      <c r="W1932" s="61"/>
      <c r="X1932" s="61"/>
      <c r="Y1932" s="61"/>
      <c r="Z1932" s="61"/>
      <c r="AA1932" s="61"/>
      <c r="AB1932" s="61"/>
    </row>
    <row r="1933" spans="1:28" s="2" customFormat="1" ht="28.5">
      <c r="A1933" s="61" t="s">
        <v>778</v>
      </c>
      <c r="B1933" s="61" t="s">
        <v>1357</v>
      </c>
      <c r="C1933" s="61" t="s">
        <v>5471</v>
      </c>
      <c r="D1933" s="61" t="s">
        <v>7838</v>
      </c>
      <c r="E1933" s="61">
        <v>3107</v>
      </c>
      <c r="F1933" s="61">
        <v>3713</v>
      </c>
      <c r="G1933" s="61"/>
      <c r="H1933" s="61"/>
      <c r="I1933" s="61" t="s">
        <v>32</v>
      </c>
      <c r="J1933" s="61"/>
      <c r="K1933" s="61" t="s">
        <v>148</v>
      </c>
      <c r="L1933" s="61"/>
      <c r="M1933" s="61"/>
      <c r="N1933" s="61"/>
      <c r="O1933" s="61"/>
      <c r="P1933" s="61"/>
      <c r="Q1933" s="61"/>
      <c r="R1933" s="61" t="str">
        <f t="shared" si="132"/>
        <v/>
      </c>
      <c r="S1933" s="61" t="str">
        <f t="shared" si="133"/>
        <v/>
      </c>
      <c r="T1933" s="61" t="str">
        <f t="shared" si="131"/>
        <v/>
      </c>
      <c r="U1933" s="61" t="str">
        <f t="shared" si="134"/>
        <v/>
      </c>
      <c r="V1933" s="61"/>
      <c r="W1933" s="61"/>
      <c r="X1933" s="61"/>
      <c r="Y1933" s="61"/>
      <c r="Z1933" s="61"/>
      <c r="AA1933" s="61"/>
      <c r="AB1933" s="61"/>
    </row>
    <row r="1934" spans="1:28" s="2" customFormat="1" ht="28.5">
      <c r="A1934" s="61" t="s">
        <v>778</v>
      </c>
      <c r="B1934" s="61" t="s">
        <v>1357</v>
      </c>
      <c r="C1934" s="61" t="s">
        <v>3659</v>
      </c>
      <c r="D1934" s="61" t="s">
        <v>7838</v>
      </c>
      <c r="E1934" s="61">
        <v>2848</v>
      </c>
      <c r="F1934" s="61">
        <v>3266</v>
      </c>
      <c r="G1934" s="61"/>
      <c r="H1934" s="61"/>
      <c r="I1934" s="61" t="s">
        <v>32</v>
      </c>
      <c r="J1934" s="61"/>
      <c r="K1934" s="61" t="s">
        <v>148</v>
      </c>
      <c r="L1934" s="61"/>
      <c r="M1934" s="61"/>
      <c r="N1934" s="61"/>
      <c r="O1934" s="61"/>
      <c r="P1934" s="61"/>
      <c r="Q1934" s="61"/>
      <c r="R1934" s="61" t="str">
        <f t="shared" si="132"/>
        <v/>
      </c>
      <c r="S1934" s="61" t="str">
        <f t="shared" si="133"/>
        <v/>
      </c>
      <c r="T1934" s="61" t="str">
        <f t="shared" si="131"/>
        <v/>
      </c>
      <c r="U1934" s="61" t="str">
        <f t="shared" si="134"/>
        <v/>
      </c>
      <c r="V1934" s="61"/>
      <c r="W1934" s="61"/>
      <c r="X1934" s="61"/>
      <c r="Y1934" s="61"/>
      <c r="Z1934" s="61"/>
      <c r="AA1934" s="61"/>
      <c r="AB1934" s="61"/>
    </row>
    <row r="1935" spans="1:28" s="2" customFormat="1" ht="28.5">
      <c r="A1935" s="61" t="s">
        <v>778</v>
      </c>
      <c r="B1935" s="61" t="s">
        <v>1357</v>
      </c>
      <c r="C1935" s="61" t="s">
        <v>5473</v>
      </c>
      <c r="D1935" s="61" t="s">
        <v>7838</v>
      </c>
      <c r="E1935" s="61">
        <v>2565</v>
      </c>
      <c r="F1935" s="61">
        <v>2824</v>
      </c>
      <c r="G1935" s="61"/>
      <c r="H1935" s="61"/>
      <c r="I1935" s="61" t="s">
        <v>32</v>
      </c>
      <c r="J1935" s="61"/>
      <c r="K1935" s="61" t="s">
        <v>148</v>
      </c>
      <c r="L1935" s="61"/>
      <c r="M1935" s="61"/>
      <c r="N1935" s="61"/>
      <c r="O1935" s="61"/>
      <c r="P1935" s="61"/>
      <c r="Q1935" s="61"/>
      <c r="R1935" s="61" t="str">
        <f t="shared" si="132"/>
        <v/>
      </c>
      <c r="S1935" s="61" t="str">
        <f t="shared" si="133"/>
        <v/>
      </c>
      <c r="T1935" s="61" t="str">
        <f t="shared" si="131"/>
        <v/>
      </c>
      <c r="U1935" s="61" t="str">
        <f t="shared" si="134"/>
        <v/>
      </c>
      <c r="V1935" s="61"/>
      <c r="W1935" s="61"/>
      <c r="X1935" s="61"/>
      <c r="Y1935" s="61"/>
      <c r="Z1935" s="61"/>
      <c r="AA1935" s="61"/>
      <c r="AB1935" s="61"/>
    </row>
    <row r="1936" spans="1:28" s="2" customFormat="1" ht="28.5">
      <c r="A1936" s="61" t="s">
        <v>778</v>
      </c>
      <c r="B1936" s="61" t="s">
        <v>1357</v>
      </c>
      <c r="C1936" s="61" t="s">
        <v>5475</v>
      </c>
      <c r="D1936" s="61" t="s">
        <v>7838</v>
      </c>
      <c r="E1936" s="61">
        <v>2309</v>
      </c>
      <c r="F1936" s="61">
        <v>2461</v>
      </c>
      <c r="G1936" s="61"/>
      <c r="H1936" s="61"/>
      <c r="I1936" s="61" t="s">
        <v>32</v>
      </c>
      <c r="J1936" s="61"/>
      <c r="K1936" s="61" t="s">
        <v>148</v>
      </c>
      <c r="L1936" s="61"/>
      <c r="M1936" s="61"/>
      <c r="N1936" s="61"/>
      <c r="O1936" s="61"/>
      <c r="P1936" s="61"/>
      <c r="Q1936" s="61"/>
      <c r="R1936" s="61" t="str">
        <f t="shared" si="132"/>
        <v/>
      </c>
      <c r="S1936" s="61" t="str">
        <f t="shared" si="133"/>
        <v/>
      </c>
      <c r="T1936" s="61" t="str">
        <f t="shared" si="131"/>
        <v/>
      </c>
      <c r="U1936" s="61" t="str">
        <f t="shared" si="134"/>
        <v/>
      </c>
      <c r="V1936" s="61"/>
      <c r="W1936" s="61"/>
      <c r="X1936" s="61"/>
      <c r="Y1936" s="61"/>
      <c r="Z1936" s="61"/>
      <c r="AA1936" s="61"/>
      <c r="AB1936" s="61"/>
    </row>
    <row r="1937" spans="1:28" s="2" customFormat="1" ht="28.5">
      <c r="A1937" s="61" t="s">
        <v>778</v>
      </c>
      <c r="B1937" s="61" t="s">
        <v>1357</v>
      </c>
      <c r="C1937" s="61" t="s">
        <v>5476</v>
      </c>
      <c r="D1937" s="61" t="s">
        <v>7838</v>
      </c>
      <c r="E1937" s="61">
        <v>2748</v>
      </c>
      <c r="F1937" s="61">
        <v>2700</v>
      </c>
      <c r="G1937" s="61"/>
      <c r="H1937" s="61"/>
      <c r="I1937" s="61" t="s">
        <v>32</v>
      </c>
      <c r="J1937" s="61"/>
      <c r="K1937" s="61" t="s">
        <v>148</v>
      </c>
      <c r="L1937" s="61"/>
      <c r="M1937" s="61"/>
      <c r="N1937" s="61"/>
      <c r="O1937" s="61"/>
      <c r="P1937" s="61"/>
      <c r="Q1937" s="61"/>
      <c r="R1937" s="61" t="str">
        <f t="shared" si="132"/>
        <v/>
      </c>
      <c r="S1937" s="61" t="str">
        <f t="shared" si="133"/>
        <v/>
      </c>
      <c r="T1937" s="61" t="str">
        <f t="shared" si="131"/>
        <v/>
      </c>
      <c r="U1937" s="61" t="str">
        <f t="shared" si="134"/>
        <v/>
      </c>
      <c r="V1937" s="61"/>
      <c r="W1937" s="61"/>
      <c r="X1937" s="61"/>
      <c r="Y1937" s="61"/>
      <c r="Z1937" s="61"/>
      <c r="AA1937" s="61"/>
      <c r="AB1937" s="61"/>
    </row>
    <row r="1938" spans="1:28" s="2" customFormat="1" ht="28.5">
      <c r="A1938" s="61" t="s">
        <v>778</v>
      </c>
      <c r="B1938" s="61" t="s">
        <v>2091</v>
      </c>
      <c r="C1938" s="61" t="s">
        <v>5481</v>
      </c>
      <c r="D1938" s="61" t="s">
        <v>7838</v>
      </c>
      <c r="E1938" s="61">
        <v>5879</v>
      </c>
      <c r="F1938" s="61">
        <v>6846</v>
      </c>
      <c r="G1938" s="61">
        <v>2025</v>
      </c>
      <c r="H1938" s="61" t="s">
        <v>3470</v>
      </c>
      <c r="I1938" s="61" t="s">
        <v>33</v>
      </c>
      <c r="J1938" s="61"/>
      <c r="K1938" s="61" t="s">
        <v>148</v>
      </c>
      <c r="L1938" s="61" t="s">
        <v>8827</v>
      </c>
      <c r="M1938" s="475">
        <v>45755</v>
      </c>
      <c r="N1938" s="475">
        <v>45758</v>
      </c>
      <c r="O1938" s="61"/>
      <c r="P1938" s="475">
        <v>45768</v>
      </c>
      <c r="Q1938" s="475">
        <v>45769</v>
      </c>
      <c r="R1938" s="61">
        <f t="shared" si="132"/>
        <v>3</v>
      </c>
      <c r="S1938" s="61" t="str">
        <f t="shared" si="133"/>
        <v/>
      </c>
      <c r="T1938" s="61">
        <f t="shared" si="131"/>
        <v>6</v>
      </c>
      <c r="U1938" s="61">
        <f t="shared" si="134"/>
        <v>1</v>
      </c>
      <c r="V1938" s="61" t="s">
        <v>150</v>
      </c>
      <c r="W1938" s="61" t="s">
        <v>4</v>
      </c>
      <c r="X1938" s="61" t="s">
        <v>50</v>
      </c>
      <c r="Y1938" s="61" t="s">
        <v>8828</v>
      </c>
      <c r="Z1938" s="61" t="s">
        <v>8829</v>
      </c>
      <c r="AA1938" s="61" t="s">
        <v>330</v>
      </c>
      <c r="AB1938" s="61"/>
    </row>
    <row r="1939" spans="1:28" s="2" customFormat="1" ht="28.5">
      <c r="A1939" s="61" t="s">
        <v>778</v>
      </c>
      <c r="B1939" s="61" t="s">
        <v>2091</v>
      </c>
      <c r="C1939" s="61" t="s">
        <v>1364</v>
      </c>
      <c r="D1939" s="61" t="s">
        <v>7838</v>
      </c>
      <c r="E1939" s="61">
        <v>6885</v>
      </c>
      <c r="F1939" s="61">
        <v>8105</v>
      </c>
      <c r="G1939" s="61">
        <v>2025</v>
      </c>
      <c r="H1939" s="61" t="s">
        <v>3458</v>
      </c>
      <c r="I1939" s="61" t="s">
        <v>33</v>
      </c>
      <c r="J1939" s="61"/>
      <c r="K1939" s="61" t="s">
        <v>148</v>
      </c>
      <c r="L1939" s="61" t="s">
        <v>8830</v>
      </c>
      <c r="M1939" s="475">
        <v>45700</v>
      </c>
      <c r="N1939" s="475">
        <v>45705</v>
      </c>
      <c r="O1939" s="61"/>
      <c r="P1939" s="475">
        <v>45706</v>
      </c>
      <c r="Q1939" s="475">
        <v>45706</v>
      </c>
      <c r="R1939" s="61">
        <f t="shared" si="132"/>
        <v>3</v>
      </c>
      <c r="S1939" s="61" t="str">
        <f t="shared" si="133"/>
        <v/>
      </c>
      <c r="T1939" s="61">
        <f t="shared" ref="T1939:T2002" si="135">IF(
  OR(A1939 = "Nueva_Ecija", A1939 = "Zambales"),
  IF(
    OR(ISBLANK(O1939), ISBLANK(P1939)),
    "",
    MAX(1, IF(
      NETWORKDAYS(O1939, P1939) &lt;= 0,
      1,
      NETWORKDAYS(O1939, P1939) - IF(O1939 = P1939, 0, 1)
    ))
  ),
  IF(
    OR(ISBLANK(N1939), ISBLANK(P1939)),
    "",
    MAX(1, IF(
      NETWORKDAYS(N1939, P1939) &lt;= 0,
      1,
      NETWORKDAYS(N1939, P1939) - IF(N1939 = P1939, 0, 1)
    ))
  )
)</f>
        <v>1</v>
      </c>
      <c r="U1939" s="61">
        <f t="shared" si="134"/>
        <v>1</v>
      </c>
      <c r="V1939" s="61" t="s">
        <v>150</v>
      </c>
      <c r="W1939" s="61" t="s">
        <v>4</v>
      </c>
      <c r="X1939" s="61" t="s">
        <v>50</v>
      </c>
      <c r="Y1939" s="61">
        <v>120.63994</v>
      </c>
      <c r="Z1939" s="61">
        <v>15.608090000000001</v>
      </c>
      <c r="AA1939" s="61" t="s">
        <v>330</v>
      </c>
      <c r="AB1939" s="61"/>
    </row>
    <row r="1940" spans="1:28" s="2" customFormat="1" ht="28.5">
      <c r="A1940" s="61" t="s">
        <v>778</v>
      </c>
      <c r="B1940" s="61" t="s">
        <v>2091</v>
      </c>
      <c r="C1940" s="61" t="s">
        <v>5437</v>
      </c>
      <c r="D1940" s="61" t="s">
        <v>7838</v>
      </c>
      <c r="E1940" s="61">
        <v>4913</v>
      </c>
      <c r="F1940" s="61">
        <v>6666</v>
      </c>
      <c r="G1940" s="61">
        <v>2025</v>
      </c>
      <c r="H1940" s="61" t="s">
        <v>3532</v>
      </c>
      <c r="I1940" s="61" t="s">
        <v>33</v>
      </c>
      <c r="J1940" s="61"/>
      <c r="K1940" s="61" t="s">
        <v>148</v>
      </c>
      <c r="L1940" s="61" t="s">
        <v>8831</v>
      </c>
      <c r="M1940" s="475">
        <v>45791</v>
      </c>
      <c r="N1940" s="475">
        <v>45793</v>
      </c>
      <c r="O1940" s="61"/>
      <c r="P1940" s="475">
        <v>45793</v>
      </c>
      <c r="Q1940" s="475">
        <v>45796</v>
      </c>
      <c r="R1940" s="61">
        <f t="shared" si="132"/>
        <v>2</v>
      </c>
      <c r="S1940" s="61" t="str">
        <f t="shared" si="133"/>
        <v/>
      </c>
      <c r="T1940" s="61">
        <f t="shared" si="135"/>
        <v>1</v>
      </c>
      <c r="U1940" s="61">
        <f t="shared" si="134"/>
        <v>1</v>
      </c>
      <c r="V1940" s="61" t="s">
        <v>150</v>
      </c>
      <c r="W1940" s="61" t="s">
        <v>4</v>
      </c>
      <c r="X1940" s="61" t="s">
        <v>50</v>
      </c>
      <c r="Y1940" s="61" t="s">
        <v>8832</v>
      </c>
      <c r="Z1940" s="61" t="s">
        <v>8833</v>
      </c>
      <c r="AA1940" s="61" t="s">
        <v>330</v>
      </c>
      <c r="AB1940" s="61"/>
    </row>
    <row r="1941" spans="1:28" s="2" customFormat="1" ht="28.5">
      <c r="A1941" s="61" t="s">
        <v>778</v>
      </c>
      <c r="B1941" s="61" t="s">
        <v>2091</v>
      </c>
      <c r="C1941" s="61" t="s">
        <v>5488</v>
      </c>
      <c r="D1941" s="61" t="s">
        <v>7838</v>
      </c>
      <c r="E1941" s="61">
        <v>7048</v>
      </c>
      <c r="F1941" s="61">
        <v>7509</v>
      </c>
      <c r="G1941" s="61">
        <v>2025</v>
      </c>
      <c r="H1941" s="61" t="s">
        <v>3416</v>
      </c>
      <c r="I1941" s="61" t="s">
        <v>33</v>
      </c>
      <c r="J1941" s="61"/>
      <c r="K1941" s="61" t="s">
        <v>148</v>
      </c>
      <c r="L1941" s="61" t="s">
        <v>8834</v>
      </c>
      <c r="M1941" s="475">
        <v>45730</v>
      </c>
      <c r="N1941" s="475">
        <v>45731</v>
      </c>
      <c r="O1941" s="61"/>
      <c r="P1941" s="475">
        <v>45733</v>
      </c>
      <c r="Q1941" s="475">
        <v>45734</v>
      </c>
      <c r="R1941" s="61">
        <f t="shared" si="132"/>
        <v>1</v>
      </c>
      <c r="S1941" s="61" t="str">
        <f t="shared" si="133"/>
        <v/>
      </c>
      <c r="T1941" s="61">
        <f t="shared" si="135"/>
        <v>1</v>
      </c>
      <c r="U1941" s="61">
        <f t="shared" si="134"/>
        <v>1</v>
      </c>
      <c r="V1941" s="61" t="s">
        <v>150</v>
      </c>
      <c r="W1941" s="61" t="s">
        <v>4</v>
      </c>
      <c r="X1941" s="61" t="s">
        <v>50</v>
      </c>
      <c r="Y1941" s="61">
        <v>15.08015</v>
      </c>
      <c r="Z1941" s="61" t="s">
        <v>8835</v>
      </c>
      <c r="AA1941" s="61" t="s">
        <v>330</v>
      </c>
      <c r="AB1941" s="61"/>
    </row>
    <row r="1942" spans="1:28" s="2" customFormat="1" ht="28.5">
      <c r="A1942" s="61" t="s">
        <v>778</v>
      </c>
      <c r="B1942" s="61" t="s">
        <v>2091</v>
      </c>
      <c r="C1942" s="61" t="s">
        <v>1180</v>
      </c>
      <c r="D1942" s="61" t="s">
        <v>7838</v>
      </c>
      <c r="E1942" s="61">
        <v>8910</v>
      </c>
      <c r="F1942" s="61">
        <v>9616</v>
      </c>
      <c r="G1942" s="61">
        <v>2025</v>
      </c>
      <c r="H1942" s="61" t="s">
        <v>3125</v>
      </c>
      <c r="I1942" s="61" t="s">
        <v>33</v>
      </c>
      <c r="J1942" s="61" t="s">
        <v>28</v>
      </c>
      <c r="K1942" s="61" t="s">
        <v>8836</v>
      </c>
      <c r="L1942" s="61" t="s">
        <v>8837</v>
      </c>
      <c r="M1942" s="475">
        <v>45839</v>
      </c>
      <c r="N1942" s="475">
        <v>45844</v>
      </c>
      <c r="O1942" s="475">
        <v>45847</v>
      </c>
      <c r="P1942" s="475">
        <v>45854</v>
      </c>
      <c r="Q1942" s="475">
        <v>45855</v>
      </c>
      <c r="R1942" s="61">
        <f t="shared" si="132"/>
        <v>3</v>
      </c>
      <c r="S1942" s="61">
        <f t="shared" si="133"/>
        <v>2</v>
      </c>
      <c r="T1942" s="61">
        <f t="shared" si="135"/>
        <v>7</v>
      </c>
      <c r="U1942" s="61">
        <f t="shared" si="134"/>
        <v>1</v>
      </c>
      <c r="V1942" s="61" t="s">
        <v>150</v>
      </c>
      <c r="W1942" s="61" t="s">
        <v>4</v>
      </c>
      <c r="X1942" s="61" t="s">
        <v>50</v>
      </c>
      <c r="Y1942" s="61" t="s">
        <v>8838</v>
      </c>
      <c r="Z1942" s="61" t="s">
        <v>8839</v>
      </c>
      <c r="AA1942" s="61" t="s">
        <v>330</v>
      </c>
      <c r="AB1942" s="61"/>
    </row>
    <row r="1943" spans="1:28" s="2" customFormat="1" ht="28.5">
      <c r="A1943" s="61" t="s">
        <v>778</v>
      </c>
      <c r="B1943" s="61" t="s">
        <v>2091</v>
      </c>
      <c r="C1943" s="61" t="s">
        <v>858</v>
      </c>
      <c r="D1943" s="61" t="s">
        <v>7838</v>
      </c>
      <c r="E1943" s="61">
        <v>15313</v>
      </c>
      <c r="F1943" s="61">
        <v>16164</v>
      </c>
      <c r="G1943" s="61">
        <v>2025</v>
      </c>
      <c r="H1943" s="61" t="s">
        <v>3416</v>
      </c>
      <c r="I1943" s="61" t="s">
        <v>33</v>
      </c>
      <c r="J1943" s="61"/>
      <c r="K1943" s="61" t="s">
        <v>148</v>
      </c>
      <c r="L1943" s="61" t="s">
        <v>8840</v>
      </c>
      <c r="M1943" s="475">
        <v>45730</v>
      </c>
      <c r="N1943" s="475">
        <v>45731</v>
      </c>
      <c r="O1943" s="61"/>
      <c r="P1943" s="475">
        <v>45733</v>
      </c>
      <c r="Q1943" s="475">
        <v>45734</v>
      </c>
      <c r="R1943" s="61">
        <f t="shared" si="132"/>
        <v>1</v>
      </c>
      <c r="S1943" s="61" t="str">
        <f t="shared" si="133"/>
        <v/>
      </c>
      <c r="T1943" s="61">
        <f t="shared" si="135"/>
        <v>1</v>
      </c>
      <c r="U1943" s="61">
        <f t="shared" si="134"/>
        <v>1</v>
      </c>
      <c r="V1943" s="61" t="s">
        <v>150</v>
      </c>
      <c r="W1943" s="61" t="s">
        <v>4</v>
      </c>
      <c r="X1943" s="61" t="s">
        <v>50</v>
      </c>
      <c r="Y1943" s="61" t="s">
        <v>8841</v>
      </c>
      <c r="Z1943" s="61" t="s">
        <v>8842</v>
      </c>
      <c r="AA1943" s="61" t="s">
        <v>330</v>
      </c>
      <c r="AB1943" s="61"/>
    </row>
    <row r="1944" spans="1:28" s="2" customFormat="1" ht="28.5">
      <c r="A1944" s="61" t="s">
        <v>778</v>
      </c>
      <c r="B1944" s="61" t="s">
        <v>2091</v>
      </c>
      <c r="C1944" s="61" t="s">
        <v>5499</v>
      </c>
      <c r="D1944" s="61" t="s">
        <v>7838</v>
      </c>
      <c r="E1944" s="61">
        <v>14188</v>
      </c>
      <c r="F1944" s="61">
        <v>14997</v>
      </c>
      <c r="G1944" s="61">
        <v>2025</v>
      </c>
      <c r="H1944" s="61" t="s">
        <v>3458</v>
      </c>
      <c r="I1944" s="61" t="s">
        <v>33</v>
      </c>
      <c r="J1944" s="61"/>
      <c r="K1944" s="61" t="s">
        <v>148</v>
      </c>
      <c r="L1944" s="61" t="s">
        <v>8843</v>
      </c>
      <c r="M1944" s="475">
        <v>45700</v>
      </c>
      <c r="N1944" s="475">
        <v>45705</v>
      </c>
      <c r="O1944" s="61"/>
      <c r="P1944" s="475">
        <v>45706</v>
      </c>
      <c r="Q1944" s="475">
        <v>45706</v>
      </c>
      <c r="R1944" s="61">
        <f t="shared" ref="R1944:R2007" si="136">IF(
    OR(ISBLANK(M1944), ISBLANK(N1944)),
    "",
    MAX(1, IF(
        NETWORKDAYS(M1944, N1944) &lt;= 0,
        1,
        NETWORKDAYS(M1944, N1944) - IF(M1944 = N1944, 0, 1)
    ))
)</f>
        <v>3</v>
      </c>
      <c r="S1944" s="61" t="str">
        <f t="shared" ref="S1944:S2007" si="137">IF(
    OR(ISBLANK(N1944), ISBLANK(O1944)),
    "",
    MAX(1, IF(
        NETWORKDAYS(N1944, O1944) &lt;= 0,
        1,
        NETWORKDAYS(N1944, O1944) - IF(N1944 = O1944, 0, 1)
    ))
)</f>
        <v/>
      </c>
      <c r="T1944" s="61">
        <f t="shared" si="135"/>
        <v>1</v>
      </c>
      <c r="U1944" s="61">
        <f t="shared" ref="U1944:U2007" si="138">IF(
    OR(ISBLANK(P1944), ISBLANK(Q1944)),
    "",
    MAX(1, IF(
        NETWORKDAYS(P1944, Q1944) &lt;= 0,
        1,
        NETWORKDAYS(P1944, Q1944) - IF(P1944 = Q1944, 0, 1)
    ))
)</f>
        <v>1</v>
      </c>
      <c r="V1944" s="61" t="s">
        <v>150</v>
      </c>
      <c r="W1944" s="61" t="s">
        <v>4</v>
      </c>
      <c r="X1944" s="61" t="s">
        <v>50</v>
      </c>
      <c r="Y1944" s="61">
        <v>120.64591</v>
      </c>
      <c r="Z1944" s="61">
        <v>15.081060000000001</v>
      </c>
      <c r="AA1944" s="61" t="s">
        <v>330</v>
      </c>
      <c r="AB1944" s="61"/>
    </row>
    <row r="1945" spans="1:28" s="2" customFormat="1" ht="28.5">
      <c r="A1945" s="61" t="s">
        <v>778</v>
      </c>
      <c r="B1945" s="61" t="s">
        <v>2091</v>
      </c>
      <c r="C1945" s="61" t="s">
        <v>5484</v>
      </c>
      <c r="D1945" s="61" t="s">
        <v>7838</v>
      </c>
      <c r="E1945" s="61">
        <v>3036</v>
      </c>
      <c r="F1945" s="61">
        <v>3029</v>
      </c>
      <c r="G1945" s="61">
        <v>2025</v>
      </c>
      <c r="H1945" s="61" t="s">
        <v>3689</v>
      </c>
      <c r="I1945" s="61" t="s">
        <v>33</v>
      </c>
      <c r="J1945" s="61" t="s">
        <v>28</v>
      </c>
      <c r="K1945" s="61" t="s">
        <v>148</v>
      </c>
      <c r="L1945" s="61" t="s">
        <v>8844</v>
      </c>
      <c r="M1945" s="475">
        <v>45811</v>
      </c>
      <c r="N1945" s="475">
        <v>45813</v>
      </c>
      <c r="O1945" s="475">
        <v>45819</v>
      </c>
      <c r="P1945" s="475">
        <v>45826</v>
      </c>
      <c r="Q1945" s="475">
        <v>45826</v>
      </c>
      <c r="R1945" s="61">
        <f t="shared" si="136"/>
        <v>2</v>
      </c>
      <c r="S1945" s="61">
        <f t="shared" si="137"/>
        <v>4</v>
      </c>
      <c r="T1945" s="61">
        <f t="shared" si="135"/>
        <v>9</v>
      </c>
      <c r="U1945" s="61">
        <f t="shared" si="138"/>
        <v>1</v>
      </c>
      <c r="V1945" s="61" t="s">
        <v>150</v>
      </c>
      <c r="W1945" s="61" t="s">
        <v>1078</v>
      </c>
      <c r="X1945" s="61" t="s">
        <v>50</v>
      </c>
      <c r="Y1945" s="61" t="s">
        <v>8845</v>
      </c>
      <c r="Z1945" s="61" t="s">
        <v>8846</v>
      </c>
      <c r="AA1945" s="61" t="s">
        <v>330</v>
      </c>
      <c r="AB1945" s="61"/>
    </row>
    <row r="1946" spans="1:28" s="2" customFormat="1" ht="28.5">
      <c r="A1946" s="61" t="s">
        <v>778</v>
      </c>
      <c r="B1946" s="61" t="s">
        <v>2091</v>
      </c>
      <c r="C1946" s="61" t="s">
        <v>5490</v>
      </c>
      <c r="D1946" s="61" t="s">
        <v>7838</v>
      </c>
      <c r="E1946" s="61">
        <v>7259</v>
      </c>
      <c r="F1946" s="61">
        <v>8254</v>
      </c>
      <c r="G1946" s="61">
        <v>2025</v>
      </c>
      <c r="H1946" s="61" t="s">
        <v>3416</v>
      </c>
      <c r="I1946" s="61" t="s">
        <v>33</v>
      </c>
      <c r="J1946" s="61"/>
      <c r="K1946" s="61" t="s">
        <v>148</v>
      </c>
      <c r="L1946" s="61" t="s">
        <v>8847</v>
      </c>
      <c r="M1946" s="475">
        <v>45730</v>
      </c>
      <c r="N1946" s="475">
        <v>45731</v>
      </c>
      <c r="O1946" s="634"/>
      <c r="P1946" s="635">
        <v>45733</v>
      </c>
      <c r="Q1946" s="635">
        <v>45734</v>
      </c>
      <c r="R1946" s="61">
        <f t="shared" si="136"/>
        <v>1</v>
      </c>
      <c r="S1946" s="61" t="str">
        <f t="shared" si="137"/>
        <v/>
      </c>
      <c r="T1946" s="61">
        <f t="shared" si="135"/>
        <v>1</v>
      </c>
      <c r="U1946" s="61">
        <f t="shared" si="138"/>
        <v>1</v>
      </c>
      <c r="V1946" s="61" t="s">
        <v>150</v>
      </c>
      <c r="W1946" s="61" t="s">
        <v>1078</v>
      </c>
      <c r="X1946" s="61" t="s">
        <v>50</v>
      </c>
      <c r="Y1946" s="61" t="s">
        <v>8848</v>
      </c>
      <c r="Z1946" s="61" t="s">
        <v>8849</v>
      </c>
      <c r="AA1946" s="61" t="s">
        <v>330</v>
      </c>
      <c r="AB1946" s="61"/>
    </row>
    <row r="1947" spans="1:28" s="2" customFormat="1" ht="28.5">
      <c r="A1947" s="61" t="s">
        <v>778</v>
      </c>
      <c r="B1947" s="61" t="s">
        <v>2091</v>
      </c>
      <c r="C1947" s="61" t="s">
        <v>5494</v>
      </c>
      <c r="D1947" s="61" t="s">
        <v>7838</v>
      </c>
      <c r="E1947" s="61">
        <v>6987</v>
      </c>
      <c r="F1947" s="61">
        <v>8256</v>
      </c>
      <c r="G1947" s="61">
        <v>2025</v>
      </c>
      <c r="H1947" s="61" t="s">
        <v>3532</v>
      </c>
      <c r="I1947" s="61" t="s">
        <v>33</v>
      </c>
      <c r="J1947" s="61"/>
      <c r="K1947" s="61" t="s">
        <v>148</v>
      </c>
      <c r="L1947" s="61" t="s">
        <v>8850</v>
      </c>
      <c r="M1947" s="475">
        <v>45779</v>
      </c>
      <c r="N1947" s="475">
        <v>45792</v>
      </c>
      <c r="O1947" s="61"/>
      <c r="P1947" s="475">
        <v>45793</v>
      </c>
      <c r="Q1947" s="475">
        <v>45793</v>
      </c>
      <c r="R1947" s="61">
        <f t="shared" si="136"/>
        <v>9</v>
      </c>
      <c r="S1947" s="61" t="str">
        <f t="shared" si="137"/>
        <v/>
      </c>
      <c r="T1947" s="61">
        <f t="shared" si="135"/>
        <v>1</v>
      </c>
      <c r="U1947" s="61">
        <f t="shared" si="138"/>
        <v>1</v>
      </c>
      <c r="V1947" s="61" t="s">
        <v>150</v>
      </c>
      <c r="W1947" s="61" t="s">
        <v>1078</v>
      </c>
      <c r="X1947" s="61" t="s">
        <v>50</v>
      </c>
      <c r="Y1947" s="61" t="s">
        <v>8851</v>
      </c>
      <c r="Z1947" s="61" t="s">
        <v>8852</v>
      </c>
      <c r="AA1947" s="61" t="s">
        <v>330</v>
      </c>
      <c r="AB1947" s="61"/>
    </row>
    <row r="1948" spans="1:28" s="2" customFormat="1" ht="28.5">
      <c r="A1948" s="61" t="s">
        <v>778</v>
      </c>
      <c r="B1948" s="61" t="s">
        <v>2091</v>
      </c>
      <c r="C1948" s="61" t="s">
        <v>1991</v>
      </c>
      <c r="D1948" s="61" t="s">
        <v>7838</v>
      </c>
      <c r="E1948" s="61">
        <v>4089</v>
      </c>
      <c r="F1948" s="61">
        <v>7026</v>
      </c>
      <c r="G1948" s="61"/>
      <c r="H1948" s="61"/>
      <c r="I1948" s="61" t="s">
        <v>33</v>
      </c>
      <c r="J1948" s="61"/>
      <c r="K1948" s="61" t="s">
        <v>8836</v>
      </c>
      <c r="L1948" s="61"/>
      <c r="M1948" s="61"/>
      <c r="N1948" s="61"/>
      <c r="O1948" s="634"/>
      <c r="P1948" s="634"/>
      <c r="Q1948" s="634"/>
      <c r="R1948" s="61" t="str">
        <f t="shared" si="136"/>
        <v/>
      </c>
      <c r="S1948" s="61" t="str">
        <f t="shared" si="137"/>
        <v/>
      </c>
      <c r="T1948" s="61" t="str">
        <f t="shared" si="135"/>
        <v/>
      </c>
      <c r="U1948" s="61" t="str">
        <f t="shared" si="138"/>
        <v/>
      </c>
      <c r="V1948" s="61"/>
      <c r="W1948" s="61"/>
      <c r="X1948" s="61"/>
      <c r="Y1948" s="61"/>
      <c r="Z1948" s="61"/>
      <c r="AA1948" s="61"/>
      <c r="AB1948" s="61"/>
    </row>
    <row r="1949" spans="1:28" s="2" customFormat="1" ht="28.5">
      <c r="A1949" s="61" t="s">
        <v>778</v>
      </c>
      <c r="B1949" s="61" t="s">
        <v>2091</v>
      </c>
      <c r="C1949" s="61" t="s">
        <v>5385</v>
      </c>
      <c r="D1949" s="61" t="s">
        <v>7838</v>
      </c>
      <c r="E1949" s="61">
        <v>5454</v>
      </c>
      <c r="F1949" s="61">
        <v>6894</v>
      </c>
      <c r="G1949" s="61"/>
      <c r="H1949" s="61"/>
      <c r="I1949" s="61" t="s">
        <v>33</v>
      </c>
      <c r="J1949" s="61"/>
      <c r="K1949" s="61" t="s">
        <v>8836</v>
      </c>
      <c r="L1949" s="61"/>
      <c r="M1949" s="61"/>
      <c r="N1949" s="61"/>
      <c r="O1949" s="61"/>
      <c r="P1949" s="61"/>
      <c r="Q1949" s="61"/>
      <c r="R1949" s="61" t="str">
        <f t="shared" si="136"/>
        <v/>
      </c>
      <c r="S1949" s="61" t="str">
        <f t="shared" si="137"/>
        <v/>
      </c>
      <c r="T1949" s="61" t="str">
        <f t="shared" si="135"/>
        <v/>
      </c>
      <c r="U1949" s="61" t="str">
        <f t="shared" si="138"/>
        <v/>
      </c>
      <c r="V1949" s="61"/>
      <c r="W1949" s="61"/>
      <c r="X1949" s="61"/>
      <c r="Y1949" s="61"/>
      <c r="Z1949" s="61"/>
      <c r="AA1949" s="61"/>
      <c r="AB1949" s="61"/>
    </row>
    <row r="1950" spans="1:28" s="2" customFormat="1" ht="28.5">
      <c r="A1950" s="61" t="s">
        <v>778</v>
      </c>
      <c r="B1950" s="61" t="s">
        <v>2091</v>
      </c>
      <c r="C1950" s="61" t="s">
        <v>5479</v>
      </c>
      <c r="D1950" s="61" t="s">
        <v>7838</v>
      </c>
      <c r="E1950" s="61">
        <v>24685</v>
      </c>
      <c r="F1950" s="61">
        <v>27506</v>
      </c>
      <c r="G1950" s="61"/>
      <c r="H1950" s="61"/>
      <c r="I1950" s="61" t="s">
        <v>33</v>
      </c>
      <c r="J1950" s="61"/>
      <c r="K1950" s="61" t="s">
        <v>8836</v>
      </c>
      <c r="L1950" s="61"/>
      <c r="M1950" s="61"/>
      <c r="N1950" s="61"/>
      <c r="O1950" s="61"/>
      <c r="P1950" s="61"/>
      <c r="Q1950" s="61"/>
      <c r="R1950" s="61" t="str">
        <f t="shared" si="136"/>
        <v/>
      </c>
      <c r="S1950" s="61" t="str">
        <f t="shared" si="137"/>
        <v/>
      </c>
      <c r="T1950" s="61" t="str">
        <f t="shared" si="135"/>
        <v/>
      </c>
      <c r="U1950" s="61" t="str">
        <f t="shared" si="138"/>
        <v/>
      </c>
      <c r="V1950" s="61"/>
      <c r="W1950" s="61"/>
      <c r="X1950" s="61"/>
      <c r="Y1950" s="61"/>
      <c r="Z1950" s="61"/>
      <c r="AA1950" s="61"/>
      <c r="AB1950" s="61"/>
    </row>
    <row r="1951" spans="1:28" s="2" customFormat="1" ht="28.5">
      <c r="A1951" s="61" t="s">
        <v>778</v>
      </c>
      <c r="B1951" s="61" t="s">
        <v>2091</v>
      </c>
      <c r="C1951" s="61" t="s">
        <v>5480</v>
      </c>
      <c r="D1951" s="61" t="s">
        <v>7838</v>
      </c>
      <c r="E1951" s="61">
        <v>37741</v>
      </c>
      <c r="F1951" s="61">
        <v>42528</v>
      </c>
      <c r="G1951" s="61"/>
      <c r="H1951" s="61"/>
      <c r="I1951" s="61" t="s">
        <v>33</v>
      </c>
      <c r="J1951" s="61"/>
      <c r="K1951" s="61" t="s">
        <v>8836</v>
      </c>
      <c r="L1951" s="61"/>
      <c r="M1951" s="61"/>
      <c r="N1951" s="61"/>
      <c r="O1951" s="61"/>
      <c r="P1951" s="61"/>
      <c r="Q1951" s="61"/>
      <c r="R1951" s="61" t="str">
        <f t="shared" si="136"/>
        <v/>
      </c>
      <c r="S1951" s="61" t="str">
        <f t="shared" si="137"/>
        <v/>
      </c>
      <c r="T1951" s="61" t="str">
        <f t="shared" si="135"/>
        <v/>
      </c>
      <c r="U1951" s="61" t="str">
        <f t="shared" si="138"/>
        <v/>
      </c>
      <c r="V1951" s="61"/>
      <c r="W1951" s="61"/>
      <c r="X1951" s="61"/>
      <c r="Y1951" s="61"/>
      <c r="Z1951" s="61"/>
      <c r="AA1951" s="61"/>
      <c r="AB1951" s="61"/>
    </row>
    <row r="1952" spans="1:28" s="2" customFormat="1" ht="28.5">
      <c r="A1952" s="61" t="s">
        <v>778</v>
      </c>
      <c r="B1952" s="61" t="s">
        <v>2091</v>
      </c>
      <c r="C1952" s="61" t="s">
        <v>5063</v>
      </c>
      <c r="D1952" s="61" t="s">
        <v>7838</v>
      </c>
      <c r="E1952" s="61">
        <v>9260</v>
      </c>
      <c r="F1952" s="61">
        <v>10832</v>
      </c>
      <c r="G1952" s="61"/>
      <c r="H1952" s="61"/>
      <c r="I1952" s="61" t="s">
        <v>33</v>
      </c>
      <c r="J1952" s="61"/>
      <c r="K1952" s="61" t="s">
        <v>8836</v>
      </c>
      <c r="L1952" s="61"/>
      <c r="M1952" s="61"/>
      <c r="N1952" s="61"/>
      <c r="O1952" s="61"/>
      <c r="P1952" s="61"/>
      <c r="Q1952" s="61"/>
      <c r="R1952" s="61" t="str">
        <f t="shared" si="136"/>
        <v/>
      </c>
      <c r="S1952" s="61" t="str">
        <f t="shared" si="137"/>
        <v/>
      </c>
      <c r="T1952" s="61" t="str">
        <f t="shared" si="135"/>
        <v/>
      </c>
      <c r="U1952" s="61" t="str">
        <f t="shared" si="138"/>
        <v/>
      </c>
      <c r="V1952" s="61"/>
      <c r="W1952" s="61"/>
      <c r="X1952" s="61"/>
      <c r="Y1952" s="61"/>
      <c r="Z1952" s="61"/>
      <c r="AA1952" s="61"/>
      <c r="AB1952" s="61"/>
    </row>
    <row r="1953" spans="1:29" s="2" customFormat="1" ht="28.5">
      <c r="A1953" s="61" t="s">
        <v>778</v>
      </c>
      <c r="B1953" s="61" t="s">
        <v>2091</v>
      </c>
      <c r="C1953" s="61" t="s">
        <v>5483</v>
      </c>
      <c r="D1953" s="61" t="s">
        <v>7838</v>
      </c>
      <c r="E1953" s="61">
        <v>4397</v>
      </c>
      <c r="F1953" s="61">
        <v>5768</v>
      </c>
      <c r="G1953" s="61"/>
      <c r="H1953" s="61"/>
      <c r="I1953" s="61" t="s">
        <v>33</v>
      </c>
      <c r="J1953" s="61"/>
      <c r="K1953" s="61" t="s">
        <v>8836</v>
      </c>
      <c r="L1953" s="61"/>
      <c r="M1953" s="61"/>
      <c r="N1953" s="61"/>
      <c r="O1953" s="61"/>
      <c r="P1953" s="61"/>
      <c r="Q1953" s="61"/>
      <c r="R1953" s="61" t="str">
        <f t="shared" si="136"/>
        <v/>
      </c>
      <c r="S1953" s="61" t="str">
        <f t="shared" si="137"/>
        <v/>
      </c>
      <c r="T1953" s="61" t="str">
        <f t="shared" si="135"/>
        <v/>
      </c>
      <c r="U1953" s="61" t="str">
        <f t="shared" si="138"/>
        <v/>
      </c>
      <c r="V1953" s="61"/>
      <c r="W1953" s="61"/>
      <c r="X1953" s="61"/>
      <c r="Y1953" s="61"/>
      <c r="Z1953" s="61"/>
      <c r="AA1953" s="61"/>
      <c r="AB1953" s="61"/>
    </row>
    <row r="1954" spans="1:29" s="2" customFormat="1" ht="28.5">
      <c r="A1954" s="61" t="s">
        <v>778</v>
      </c>
      <c r="B1954" s="61" t="s">
        <v>2091</v>
      </c>
      <c r="C1954" s="61" t="s">
        <v>5197</v>
      </c>
      <c r="D1954" s="61" t="s">
        <v>7838</v>
      </c>
      <c r="E1954" s="61">
        <v>19582</v>
      </c>
      <c r="F1954" s="61">
        <v>20542</v>
      </c>
      <c r="G1954" s="61"/>
      <c r="H1954" s="61"/>
      <c r="I1954" s="61" t="s">
        <v>33</v>
      </c>
      <c r="J1954" s="61"/>
      <c r="K1954" s="61" t="s">
        <v>8836</v>
      </c>
      <c r="L1954" s="61"/>
      <c r="M1954" s="61"/>
      <c r="N1954" s="61"/>
      <c r="O1954" s="61"/>
      <c r="P1954" s="61"/>
      <c r="Q1954" s="61"/>
      <c r="R1954" s="61" t="str">
        <f t="shared" si="136"/>
        <v/>
      </c>
      <c r="S1954" s="61" t="str">
        <f t="shared" si="137"/>
        <v/>
      </c>
      <c r="T1954" s="61" t="str">
        <f t="shared" si="135"/>
        <v/>
      </c>
      <c r="U1954" s="61" t="str">
        <f t="shared" si="138"/>
        <v/>
      </c>
      <c r="V1954" s="61"/>
      <c r="W1954" s="61"/>
      <c r="X1954" s="61"/>
      <c r="Y1954" s="61"/>
      <c r="Z1954" s="61"/>
      <c r="AA1954" s="61"/>
      <c r="AB1954" s="61"/>
    </row>
    <row r="1955" spans="1:29" s="2" customFormat="1" ht="28.5">
      <c r="A1955" s="61" t="s">
        <v>778</v>
      </c>
      <c r="B1955" s="61" t="s">
        <v>2091</v>
      </c>
      <c r="C1955" s="61" t="s">
        <v>5485</v>
      </c>
      <c r="D1955" s="61" t="s">
        <v>7838</v>
      </c>
      <c r="E1955" s="61">
        <v>2899</v>
      </c>
      <c r="F1955" s="61">
        <v>4048</v>
      </c>
      <c r="G1955" s="61"/>
      <c r="H1955" s="61"/>
      <c r="I1955" s="61" t="s">
        <v>33</v>
      </c>
      <c r="J1955" s="61"/>
      <c r="K1955" s="61" t="s">
        <v>8836</v>
      </c>
      <c r="L1955" s="61"/>
      <c r="M1955" s="61"/>
      <c r="N1955" s="61"/>
      <c r="O1955" s="61"/>
      <c r="P1955" s="61"/>
      <c r="Q1955" s="61"/>
      <c r="R1955" s="61" t="str">
        <f t="shared" si="136"/>
        <v/>
      </c>
      <c r="S1955" s="61" t="str">
        <f t="shared" si="137"/>
        <v/>
      </c>
      <c r="T1955" s="61" t="str">
        <f t="shared" si="135"/>
        <v/>
      </c>
      <c r="U1955" s="61" t="str">
        <f t="shared" si="138"/>
        <v/>
      </c>
      <c r="V1955" s="61"/>
      <c r="W1955" s="61"/>
      <c r="X1955" s="61"/>
      <c r="Y1955" s="61"/>
      <c r="Z1955" s="61"/>
      <c r="AA1955" s="61"/>
      <c r="AB1955" s="61"/>
    </row>
    <row r="1956" spans="1:29" s="2" customFormat="1" ht="28.5">
      <c r="A1956" s="61" t="s">
        <v>778</v>
      </c>
      <c r="B1956" s="61" t="s">
        <v>2091</v>
      </c>
      <c r="C1956" s="61" t="s">
        <v>1369</v>
      </c>
      <c r="D1956" s="61" t="s">
        <v>7838</v>
      </c>
      <c r="E1956" s="61">
        <v>3128</v>
      </c>
      <c r="F1956" s="61">
        <v>3793</v>
      </c>
      <c r="G1956" s="61"/>
      <c r="H1956" s="61"/>
      <c r="I1956" s="61" t="s">
        <v>33</v>
      </c>
      <c r="J1956" s="61"/>
      <c r="K1956" s="61" t="s">
        <v>8836</v>
      </c>
      <c r="L1956" s="61"/>
      <c r="M1956" s="61"/>
      <c r="N1956" s="61"/>
      <c r="O1956" s="61"/>
      <c r="P1956" s="61"/>
      <c r="Q1956" s="61"/>
      <c r="R1956" s="61" t="str">
        <f t="shared" si="136"/>
        <v/>
      </c>
      <c r="S1956" s="61" t="str">
        <f t="shared" si="137"/>
        <v/>
      </c>
      <c r="T1956" s="61" t="str">
        <f t="shared" si="135"/>
        <v/>
      </c>
      <c r="U1956" s="61" t="str">
        <f t="shared" si="138"/>
        <v/>
      </c>
      <c r="V1956" s="61"/>
      <c r="W1956" s="61"/>
      <c r="X1956" s="61"/>
      <c r="Y1956" s="61"/>
      <c r="Z1956" s="61"/>
      <c r="AA1956" s="61"/>
      <c r="AB1956" s="61"/>
    </row>
    <row r="1957" spans="1:29" s="2" customFormat="1" ht="28.5">
      <c r="A1957" s="61" t="s">
        <v>778</v>
      </c>
      <c r="B1957" s="61" t="s">
        <v>2091</v>
      </c>
      <c r="C1957" s="61" t="s">
        <v>4613</v>
      </c>
      <c r="D1957" s="61" t="s">
        <v>7838</v>
      </c>
      <c r="E1957" s="61">
        <v>4256</v>
      </c>
      <c r="F1957" s="61">
        <v>4045</v>
      </c>
      <c r="G1957" s="61"/>
      <c r="H1957" s="61"/>
      <c r="I1957" s="61" t="s">
        <v>33</v>
      </c>
      <c r="J1957" s="61"/>
      <c r="K1957" s="61" t="s">
        <v>8836</v>
      </c>
      <c r="L1957" s="61"/>
      <c r="M1957" s="61"/>
      <c r="N1957" s="61"/>
      <c r="O1957" s="61"/>
      <c r="P1957" s="61"/>
      <c r="Q1957" s="61"/>
      <c r="R1957" s="61" t="str">
        <f t="shared" si="136"/>
        <v/>
      </c>
      <c r="S1957" s="61" t="str">
        <f t="shared" si="137"/>
        <v/>
      </c>
      <c r="T1957" s="61" t="str">
        <f t="shared" si="135"/>
        <v/>
      </c>
      <c r="U1957" s="61" t="str">
        <f t="shared" si="138"/>
        <v/>
      </c>
      <c r="V1957" s="61"/>
      <c r="W1957" s="61"/>
      <c r="X1957" s="61"/>
      <c r="Y1957" s="61"/>
      <c r="Z1957" s="61"/>
      <c r="AA1957" s="61"/>
      <c r="AB1957" s="61"/>
    </row>
    <row r="1958" spans="1:29" s="2" customFormat="1" ht="28.5">
      <c r="A1958" s="61" t="s">
        <v>778</v>
      </c>
      <c r="B1958" s="61" t="s">
        <v>2091</v>
      </c>
      <c r="C1958" s="61" t="s">
        <v>5486</v>
      </c>
      <c r="D1958" s="61" t="s">
        <v>7838</v>
      </c>
      <c r="E1958" s="61">
        <v>9441</v>
      </c>
      <c r="F1958" s="61">
        <v>12847</v>
      </c>
      <c r="G1958" s="61"/>
      <c r="H1958" s="61"/>
      <c r="I1958" s="61" t="s">
        <v>33</v>
      </c>
      <c r="J1958" s="61"/>
      <c r="K1958" s="61" t="s">
        <v>8836</v>
      </c>
      <c r="L1958" s="61"/>
      <c r="M1958" s="61"/>
      <c r="N1958" s="61"/>
      <c r="O1958" s="61"/>
      <c r="P1958" s="61"/>
      <c r="Q1958" s="61"/>
      <c r="R1958" s="61" t="str">
        <f t="shared" si="136"/>
        <v/>
      </c>
      <c r="S1958" s="61" t="str">
        <f t="shared" si="137"/>
        <v/>
      </c>
      <c r="T1958" s="61" t="str">
        <f t="shared" si="135"/>
        <v/>
      </c>
      <c r="U1958" s="61" t="str">
        <f t="shared" si="138"/>
        <v/>
      </c>
      <c r="V1958" s="61"/>
      <c r="W1958" s="61"/>
      <c r="X1958" s="61"/>
      <c r="Y1958" s="61"/>
      <c r="Z1958" s="61"/>
      <c r="AA1958" s="61"/>
      <c r="AB1958" s="61"/>
    </row>
    <row r="1959" spans="1:29" s="2" customFormat="1" ht="28.5">
      <c r="A1959" s="61" t="s">
        <v>778</v>
      </c>
      <c r="B1959" s="61" t="s">
        <v>2091</v>
      </c>
      <c r="C1959" s="61" t="s">
        <v>5487</v>
      </c>
      <c r="D1959" s="61" t="s">
        <v>7838</v>
      </c>
      <c r="E1959" s="61">
        <v>4487</v>
      </c>
      <c r="F1959" s="61">
        <v>5082</v>
      </c>
      <c r="G1959" s="61"/>
      <c r="H1959" s="61"/>
      <c r="I1959" s="61" t="s">
        <v>33</v>
      </c>
      <c r="J1959" s="61"/>
      <c r="K1959" s="61" t="s">
        <v>8836</v>
      </c>
      <c r="L1959" s="61"/>
      <c r="M1959" s="61"/>
      <c r="N1959" s="61"/>
      <c r="O1959" s="61"/>
      <c r="P1959" s="61"/>
      <c r="Q1959" s="61"/>
      <c r="R1959" s="61" t="str">
        <f t="shared" si="136"/>
        <v/>
      </c>
      <c r="S1959" s="61" t="str">
        <f t="shared" si="137"/>
        <v/>
      </c>
      <c r="T1959" s="61" t="str">
        <f t="shared" si="135"/>
        <v/>
      </c>
      <c r="U1959" s="61" t="str">
        <f t="shared" si="138"/>
        <v/>
      </c>
      <c r="V1959" s="61"/>
      <c r="W1959" s="61"/>
      <c r="X1959" s="61"/>
      <c r="Y1959" s="61"/>
      <c r="Z1959" s="61"/>
      <c r="AA1959" s="61"/>
      <c r="AB1959" s="61"/>
    </row>
    <row r="1960" spans="1:29" s="2" customFormat="1" ht="28.5">
      <c r="A1960" s="61" t="s">
        <v>778</v>
      </c>
      <c r="B1960" s="61" t="s">
        <v>2091</v>
      </c>
      <c r="C1960" s="61" t="s">
        <v>5489</v>
      </c>
      <c r="D1960" s="61" t="s">
        <v>7838</v>
      </c>
      <c r="E1960" s="61">
        <v>1404</v>
      </c>
      <c r="F1960" s="61">
        <v>1601</v>
      </c>
      <c r="G1960" s="61"/>
      <c r="H1960" s="61"/>
      <c r="I1960" s="61" t="s">
        <v>33</v>
      </c>
      <c r="J1960" s="61"/>
      <c r="K1960" s="61" t="s">
        <v>8836</v>
      </c>
      <c r="L1960" s="61"/>
      <c r="M1960" s="61"/>
      <c r="N1960" s="61"/>
      <c r="O1960" s="61"/>
      <c r="P1960" s="61"/>
      <c r="Q1960" s="61"/>
      <c r="R1960" s="61" t="str">
        <f t="shared" si="136"/>
        <v/>
      </c>
      <c r="S1960" s="61" t="str">
        <f t="shared" si="137"/>
        <v/>
      </c>
      <c r="T1960" s="61" t="str">
        <f t="shared" si="135"/>
        <v/>
      </c>
      <c r="U1960" s="61" t="str">
        <f t="shared" si="138"/>
        <v/>
      </c>
      <c r="V1960" s="61"/>
      <c r="W1960" s="61"/>
      <c r="X1960" s="61"/>
      <c r="Y1960" s="61"/>
      <c r="Z1960" s="61"/>
      <c r="AA1960" s="61"/>
      <c r="AB1960" s="61"/>
    </row>
    <row r="1961" spans="1:29" s="2" customFormat="1" ht="28.5">
      <c r="A1961" s="61" t="s">
        <v>778</v>
      </c>
      <c r="B1961" s="61" t="s">
        <v>2091</v>
      </c>
      <c r="C1961" s="61" t="s">
        <v>5492</v>
      </c>
      <c r="D1961" s="61" t="s">
        <v>7838</v>
      </c>
      <c r="E1961" s="61">
        <v>3115</v>
      </c>
      <c r="F1961" s="61">
        <v>6448</v>
      </c>
      <c r="G1961" s="61"/>
      <c r="H1961" s="61"/>
      <c r="I1961" s="61" t="s">
        <v>33</v>
      </c>
      <c r="J1961" s="61"/>
      <c r="K1961" s="61" t="s">
        <v>148</v>
      </c>
      <c r="L1961" s="61"/>
      <c r="M1961" s="61"/>
      <c r="N1961" s="61"/>
      <c r="O1961" s="61"/>
      <c r="P1961" s="61"/>
      <c r="Q1961" s="61"/>
      <c r="R1961" s="61" t="str">
        <f t="shared" si="136"/>
        <v/>
      </c>
      <c r="S1961" s="61" t="str">
        <f t="shared" si="137"/>
        <v/>
      </c>
      <c r="T1961" s="61" t="str">
        <f t="shared" si="135"/>
        <v/>
      </c>
      <c r="U1961" s="61" t="str">
        <f t="shared" si="138"/>
        <v/>
      </c>
      <c r="V1961" s="61"/>
      <c r="W1961" s="61"/>
      <c r="X1961" s="61"/>
      <c r="Y1961" s="61"/>
      <c r="Z1961" s="61"/>
      <c r="AA1961" s="61"/>
      <c r="AB1961" s="61"/>
    </row>
    <row r="1962" spans="1:29" s="2" customFormat="1" ht="28.5">
      <c r="A1962" s="61" t="s">
        <v>778</v>
      </c>
      <c r="B1962" s="61" t="s">
        <v>2091</v>
      </c>
      <c r="C1962" s="61" t="s">
        <v>5493</v>
      </c>
      <c r="D1962" s="61" t="s">
        <v>7838</v>
      </c>
      <c r="E1962" s="61">
        <v>9893</v>
      </c>
      <c r="F1962" s="61">
        <v>11002</v>
      </c>
      <c r="G1962" s="61"/>
      <c r="H1962" s="61"/>
      <c r="I1962" s="61" t="s">
        <v>33</v>
      </c>
      <c r="J1962" s="61"/>
      <c r="K1962" s="61" t="s">
        <v>8836</v>
      </c>
      <c r="L1962" s="61"/>
      <c r="M1962" s="61"/>
      <c r="N1962" s="61"/>
      <c r="O1962" s="61"/>
      <c r="P1962" s="61"/>
      <c r="Q1962" s="61"/>
      <c r="R1962" s="61" t="str">
        <f t="shared" si="136"/>
        <v/>
      </c>
      <c r="S1962" s="61" t="str">
        <f t="shared" si="137"/>
        <v/>
      </c>
      <c r="T1962" s="61" t="str">
        <f t="shared" si="135"/>
        <v/>
      </c>
      <c r="U1962" s="61" t="str">
        <f t="shared" si="138"/>
        <v/>
      </c>
      <c r="V1962" s="61"/>
      <c r="W1962" s="61"/>
      <c r="X1962" s="61"/>
      <c r="Y1962" s="61"/>
      <c r="Z1962" s="61"/>
      <c r="AA1962" s="61"/>
      <c r="AB1962" s="61"/>
      <c r="AC1962" s="474"/>
    </row>
    <row r="1963" spans="1:29" s="2" customFormat="1" ht="28.5">
      <c r="A1963" s="61" t="s">
        <v>778</v>
      </c>
      <c r="B1963" s="61" t="s">
        <v>2091</v>
      </c>
      <c r="C1963" s="61" t="s">
        <v>4126</v>
      </c>
      <c r="D1963" s="61" t="s">
        <v>7838</v>
      </c>
      <c r="E1963" s="61">
        <v>20166</v>
      </c>
      <c r="F1963" s="61">
        <v>22539</v>
      </c>
      <c r="G1963" s="61"/>
      <c r="H1963" s="61"/>
      <c r="I1963" s="61" t="s">
        <v>33</v>
      </c>
      <c r="J1963" s="61"/>
      <c r="K1963" s="61" t="s">
        <v>8836</v>
      </c>
      <c r="L1963" s="61"/>
      <c r="M1963" s="61"/>
      <c r="N1963" s="61"/>
      <c r="O1963" s="61"/>
      <c r="P1963" s="61"/>
      <c r="Q1963" s="61"/>
      <c r="R1963" s="61" t="str">
        <f t="shared" si="136"/>
        <v/>
      </c>
      <c r="S1963" s="61" t="str">
        <f t="shared" si="137"/>
        <v/>
      </c>
      <c r="T1963" s="61" t="str">
        <f t="shared" si="135"/>
        <v/>
      </c>
      <c r="U1963" s="61" t="str">
        <f t="shared" si="138"/>
        <v/>
      </c>
      <c r="V1963" s="61"/>
      <c r="W1963" s="61"/>
      <c r="X1963" s="61"/>
      <c r="Y1963" s="61"/>
      <c r="Z1963" s="61"/>
      <c r="AA1963" s="61"/>
      <c r="AB1963" s="61"/>
    </row>
    <row r="1964" spans="1:29" s="2" customFormat="1" ht="28.5">
      <c r="A1964" s="61" t="s">
        <v>778</v>
      </c>
      <c r="B1964" s="61" t="s">
        <v>2091</v>
      </c>
      <c r="C1964" s="61" t="s">
        <v>1225</v>
      </c>
      <c r="D1964" s="61" t="s">
        <v>7838</v>
      </c>
      <c r="E1964" s="61">
        <v>4280</v>
      </c>
      <c r="F1964" s="61">
        <v>6035</v>
      </c>
      <c r="G1964" s="61"/>
      <c r="H1964" s="61"/>
      <c r="I1964" s="61" t="s">
        <v>33</v>
      </c>
      <c r="J1964" s="61"/>
      <c r="K1964" s="61" t="s">
        <v>8836</v>
      </c>
      <c r="L1964" s="61"/>
      <c r="M1964" s="61"/>
      <c r="N1964" s="61"/>
      <c r="O1964" s="61"/>
      <c r="P1964" s="61"/>
      <c r="Q1964" s="61"/>
      <c r="R1964" s="61" t="str">
        <f t="shared" si="136"/>
        <v/>
      </c>
      <c r="S1964" s="61" t="str">
        <f t="shared" si="137"/>
        <v/>
      </c>
      <c r="T1964" s="61" t="str">
        <f t="shared" si="135"/>
        <v/>
      </c>
      <c r="U1964" s="61" t="str">
        <f t="shared" si="138"/>
        <v/>
      </c>
      <c r="V1964" s="61"/>
      <c r="W1964" s="61"/>
      <c r="X1964" s="61"/>
      <c r="Y1964" s="61"/>
      <c r="Z1964" s="61"/>
      <c r="AA1964" s="61"/>
      <c r="AB1964" s="61"/>
    </row>
    <row r="1965" spans="1:29" s="2" customFormat="1" ht="28.5">
      <c r="A1965" s="61" t="s">
        <v>778</v>
      </c>
      <c r="B1965" s="61" t="s">
        <v>2091</v>
      </c>
      <c r="C1965" s="61" t="s">
        <v>918</v>
      </c>
      <c r="D1965" s="61" t="s">
        <v>7838</v>
      </c>
      <c r="E1965" s="61">
        <v>4587</v>
      </c>
      <c r="F1965" s="61">
        <v>5712</v>
      </c>
      <c r="G1965" s="61"/>
      <c r="H1965" s="61"/>
      <c r="I1965" s="61" t="s">
        <v>33</v>
      </c>
      <c r="J1965" s="61"/>
      <c r="K1965" s="61" t="s">
        <v>8836</v>
      </c>
      <c r="L1965" s="61"/>
      <c r="M1965" s="61"/>
      <c r="N1965" s="61"/>
      <c r="O1965" s="61"/>
      <c r="P1965" s="61"/>
      <c r="Q1965" s="61"/>
      <c r="R1965" s="61" t="str">
        <f t="shared" si="136"/>
        <v/>
      </c>
      <c r="S1965" s="61" t="str">
        <f t="shared" si="137"/>
        <v/>
      </c>
      <c r="T1965" s="61" t="str">
        <f t="shared" si="135"/>
        <v/>
      </c>
      <c r="U1965" s="61" t="str">
        <f t="shared" si="138"/>
        <v/>
      </c>
      <c r="V1965" s="61"/>
      <c r="W1965" s="61"/>
      <c r="X1965" s="61"/>
      <c r="Y1965" s="61"/>
      <c r="Z1965" s="61"/>
      <c r="AA1965" s="61"/>
      <c r="AB1965" s="61"/>
    </row>
    <row r="1966" spans="1:29" s="2" customFormat="1" ht="28.5">
      <c r="A1966" s="61" t="s">
        <v>778</v>
      </c>
      <c r="B1966" s="61" t="s">
        <v>2091</v>
      </c>
      <c r="C1966" s="61" t="s">
        <v>1439</v>
      </c>
      <c r="D1966" s="61" t="s">
        <v>7838</v>
      </c>
      <c r="E1966" s="61">
        <v>9927</v>
      </c>
      <c r="F1966" s="61">
        <v>9899</v>
      </c>
      <c r="G1966" s="61"/>
      <c r="H1966" s="61"/>
      <c r="I1966" s="61" t="s">
        <v>33</v>
      </c>
      <c r="J1966" s="61"/>
      <c r="K1966" s="61" t="s">
        <v>8836</v>
      </c>
      <c r="L1966" s="61"/>
      <c r="M1966" s="61"/>
      <c r="N1966" s="61"/>
      <c r="O1966" s="61"/>
      <c r="P1966" s="61"/>
      <c r="Q1966" s="61"/>
      <c r="R1966" s="61" t="str">
        <f t="shared" si="136"/>
        <v/>
      </c>
      <c r="S1966" s="61" t="str">
        <f t="shared" si="137"/>
        <v/>
      </c>
      <c r="T1966" s="61" t="str">
        <f t="shared" si="135"/>
        <v/>
      </c>
      <c r="U1966" s="61" t="str">
        <f t="shared" si="138"/>
        <v/>
      </c>
      <c r="V1966" s="61"/>
      <c r="W1966" s="61"/>
      <c r="X1966" s="61"/>
      <c r="Y1966" s="61"/>
      <c r="Z1966" s="61"/>
      <c r="AA1966" s="61"/>
      <c r="AB1966" s="61"/>
    </row>
    <row r="1967" spans="1:29" s="2" customFormat="1" ht="28.5">
      <c r="A1967" s="61" t="s">
        <v>778</v>
      </c>
      <c r="B1967" s="61" t="s">
        <v>2091</v>
      </c>
      <c r="C1967" s="61" t="s">
        <v>1253</v>
      </c>
      <c r="D1967" s="61" t="s">
        <v>7838</v>
      </c>
      <c r="E1967" s="61">
        <v>12219</v>
      </c>
      <c r="F1967" s="61">
        <v>12049</v>
      </c>
      <c r="G1967" s="61"/>
      <c r="H1967" s="61"/>
      <c r="I1967" s="61" t="s">
        <v>33</v>
      </c>
      <c r="J1967" s="61"/>
      <c r="K1967" s="61" t="s">
        <v>8836</v>
      </c>
      <c r="L1967" s="61"/>
      <c r="M1967" s="61"/>
      <c r="N1967" s="61"/>
      <c r="O1967" s="61"/>
      <c r="P1967" s="61"/>
      <c r="Q1967" s="61"/>
      <c r="R1967" s="61" t="str">
        <f t="shared" si="136"/>
        <v/>
      </c>
      <c r="S1967" s="61" t="str">
        <f t="shared" si="137"/>
        <v/>
      </c>
      <c r="T1967" s="61" t="str">
        <f t="shared" si="135"/>
        <v/>
      </c>
      <c r="U1967" s="61" t="str">
        <f t="shared" si="138"/>
        <v/>
      </c>
      <c r="V1967" s="61"/>
      <c r="W1967" s="61"/>
      <c r="X1967" s="61"/>
      <c r="Y1967" s="61"/>
      <c r="Z1967" s="61"/>
      <c r="AA1967" s="61"/>
      <c r="AB1967" s="61"/>
    </row>
    <row r="1968" spans="1:29" s="2" customFormat="1" ht="28.5">
      <c r="A1968" s="61" t="s">
        <v>778</v>
      </c>
      <c r="B1968" s="61" t="s">
        <v>2091</v>
      </c>
      <c r="C1968" s="61" t="s">
        <v>3565</v>
      </c>
      <c r="D1968" s="61" t="s">
        <v>7838</v>
      </c>
      <c r="E1968" s="61">
        <v>7474</v>
      </c>
      <c r="F1968" s="61">
        <v>10090</v>
      </c>
      <c r="G1968" s="61"/>
      <c r="H1968" s="61"/>
      <c r="I1968" s="61" t="s">
        <v>33</v>
      </c>
      <c r="J1968" s="61"/>
      <c r="K1968" s="61" t="s">
        <v>8836</v>
      </c>
      <c r="L1968" s="61"/>
      <c r="M1968" s="61"/>
      <c r="N1968" s="61"/>
      <c r="O1968" s="61"/>
      <c r="P1968" s="61"/>
      <c r="Q1968" s="61"/>
      <c r="R1968" s="61" t="str">
        <f t="shared" si="136"/>
        <v/>
      </c>
      <c r="S1968" s="61" t="str">
        <f t="shared" si="137"/>
        <v/>
      </c>
      <c r="T1968" s="61" t="str">
        <f t="shared" si="135"/>
        <v/>
      </c>
      <c r="U1968" s="61" t="str">
        <f t="shared" si="138"/>
        <v/>
      </c>
      <c r="V1968" s="61"/>
      <c r="W1968" s="61"/>
      <c r="X1968" s="61"/>
      <c r="Y1968" s="61"/>
      <c r="Z1968" s="61"/>
      <c r="AA1968" s="61"/>
      <c r="AB1968" s="61"/>
    </row>
    <row r="1969" spans="1:28" s="2" customFormat="1" ht="28.5">
      <c r="A1969" s="61" t="s">
        <v>778</v>
      </c>
      <c r="B1969" s="61" t="s">
        <v>2091</v>
      </c>
      <c r="C1969" s="61" t="s">
        <v>5180</v>
      </c>
      <c r="D1969" s="61" t="s">
        <v>7838</v>
      </c>
      <c r="E1969" s="61">
        <v>1270</v>
      </c>
      <c r="F1969" s="61">
        <v>1385</v>
      </c>
      <c r="G1969" s="61"/>
      <c r="H1969" s="61"/>
      <c r="I1969" s="61" t="s">
        <v>33</v>
      </c>
      <c r="J1969" s="61"/>
      <c r="K1969" s="61" t="s">
        <v>8836</v>
      </c>
      <c r="L1969" s="61"/>
      <c r="M1969" s="61"/>
      <c r="N1969" s="61"/>
      <c r="O1969" s="61"/>
      <c r="P1969" s="61"/>
      <c r="Q1969" s="61"/>
      <c r="R1969" s="61" t="str">
        <f t="shared" si="136"/>
        <v/>
      </c>
      <c r="S1969" s="61" t="str">
        <f t="shared" si="137"/>
        <v/>
      </c>
      <c r="T1969" s="61" t="str">
        <f t="shared" si="135"/>
        <v/>
      </c>
      <c r="U1969" s="61" t="str">
        <f t="shared" si="138"/>
        <v/>
      </c>
      <c r="V1969" s="61"/>
      <c r="W1969" s="61"/>
      <c r="X1969" s="61"/>
      <c r="Y1969" s="61"/>
      <c r="Z1969" s="61"/>
      <c r="AA1969" s="61"/>
      <c r="AB1969" s="61"/>
    </row>
    <row r="1970" spans="1:28" s="2" customFormat="1" ht="28.5">
      <c r="A1970" s="61" t="s">
        <v>778</v>
      </c>
      <c r="B1970" s="61" t="s">
        <v>2091</v>
      </c>
      <c r="C1970" s="61" t="s">
        <v>3727</v>
      </c>
      <c r="D1970" s="61" t="s">
        <v>7838</v>
      </c>
      <c r="E1970" s="61">
        <v>8804</v>
      </c>
      <c r="F1970" s="61">
        <v>11208</v>
      </c>
      <c r="G1970" s="61"/>
      <c r="H1970" s="61"/>
      <c r="I1970" s="61" t="s">
        <v>33</v>
      </c>
      <c r="J1970" s="61"/>
      <c r="K1970" s="61" t="s">
        <v>148</v>
      </c>
      <c r="L1970" s="61"/>
      <c r="M1970" s="61"/>
      <c r="N1970" s="475"/>
      <c r="O1970" s="61"/>
      <c r="P1970" s="475"/>
      <c r="Q1970" s="475"/>
      <c r="R1970" s="61" t="str">
        <f t="shared" si="136"/>
        <v/>
      </c>
      <c r="S1970" s="61" t="str">
        <f t="shared" si="137"/>
        <v/>
      </c>
      <c r="T1970" s="61" t="str">
        <f t="shared" si="135"/>
        <v/>
      </c>
      <c r="U1970" s="61" t="str">
        <f t="shared" si="138"/>
        <v/>
      </c>
      <c r="V1970" s="61"/>
      <c r="W1970" s="61"/>
      <c r="X1970" s="61"/>
      <c r="Y1970" s="61"/>
      <c r="Z1970" s="61"/>
      <c r="AA1970" s="61"/>
      <c r="AB1970" s="61"/>
    </row>
    <row r="1971" spans="1:28" s="2" customFormat="1" ht="28.5">
      <c r="A1971" s="61" t="s">
        <v>778</v>
      </c>
      <c r="B1971" s="61" t="s">
        <v>2091</v>
      </c>
      <c r="C1971" s="61" t="s">
        <v>4132</v>
      </c>
      <c r="D1971" s="61" t="s">
        <v>7838</v>
      </c>
      <c r="E1971" s="61">
        <v>674</v>
      </c>
      <c r="F1971" s="61">
        <v>727</v>
      </c>
      <c r="G1971" s="61"/>
      <c r="H1971" s="61"/>
      <c r="I1971" s="61" t="s">
        <v>33</v>
      </c>
      <c r="J1971" s="61"/>
      <c r="K1971" s="61" t="s">
        <v>8836</v>
      </c>
      <c r="L1971" s="61"/>
      <c r="M1971" s="61"/>
      <c r="N1971" s="61"/>
      <c r="O1971" s="61"/>
      <c r="P1971" s="61"/>
      <c r="Q1971" s="61"/>
      <c r="R1971" s="61" t="str">
        <f t="shared" si="136"/>
        <v/>
      </c>
      <c r="S1971" s="61" t="str">
        <f t="shared" si="137"/>
        <v/>
      </c>
      <c r="T1971" s="61" t="str">
        <f t="shared" si="135"/>
        <v/>
      </c>
      <c r="U1971" s="61" t="str">
        <f t="shared" si="138"/>
        <v/>
      </c>
      <c r="V1971" s="61"/>
      <c r="W1971" s="61"/>
      <c r="X1971" s="61"/>
      <c r="Y1971" s="61"/>
      <c r="Z1971" s="61"/>
      <c r="AA1971" s="61"/>
      <c r="AB1971" s="61"/>
    </row>
    <row r="1972" spans="1:28" s="2" customFormat="1" ht="28.5">
      <c r="A1972" s="61" t="s">
        <v>778</v>
      </c>
      <c r="B1972" s="61" t="s">
        <v>2091</v>
      </c>
      <c r="C1972" s="61" t="s">
        <v>5501</v>
      </c>
      <c r="D1972" s="61" t="s">
        <v>7838</v>
      </c>
      <c r="E1972" s="61">
        <v>13009</v>
      </c>
      <c r="F1972" s="61">
        <v>15618</v>
      </c>
      <c r="G1972" s="61"/>
      <c r="H1972" s="61"/>
      <c r="I1972" s="61" t="s">
        <v>33</v>
      </c>
      <c r="J1972" s="61"/>
      <c r="K1972" s="61" t="s">
        <v>148</v>
      </c>
      <c r="L1972" s="61"/>
      <c r="M1972" s="61"/>
      <c r="N1972" s="61"/>
      <c r="O1972" s="61"/>
      <c r="P1972" s="61"/>
      <c r="Q1972" s="61"/>
      <c r="R1972" s="61" t="str">
        <f t="shared" si="136"/>
        <v/>
      </c>
      <c r="S1972" s="61" t="str">
        <f t="shared" si="137"/>
        <v/>
      </c>
      <c r="T1972" s="61" t="str">
        <f t="shared" si="135"/>
        <v/>
      </c>
      <c r="U1972" s="61" t="str">
        <f t="shared" si="138"/>
        <v/>
      </c>
      <c r="V1972" s="61"/>
      <c r="W1972" s="61"/>
      <c r="X1972" s="61"/>
      <c r="Y1972" s="61"/>
      <c r="Z1972" s="61"/>
      <c r="AA1972" s="61"/>
      <c r="AB1972" s="61"/>
    </row>
    <row r="1973" spans="1:28" s="2" customFormat="1" ht="28.5">
      <c r="A1973" s="61" t="s">
        <v>778</v>
      </c>
      <c r="B1973" s="61" t="s">
        <v>1373</v>
      </c>
      <c r="C1973" s="61" t="s">
        <v>5502</v>
      </c>
      <c r="D1973" s="61" t="s">
        <v>7838</v>
      </c>
      <c r="E1973" s="61">
        <v>2954</v>
      </c>
      <c r="F1973" s="61">
        <v>3252</v>
      </c>
      <c r="G1973" s="61">
        <v>2025</v>
      </c>
      <c r="H1973" s="61" t="s">
        <v>3128</v>
      </c>
      <c r="I1973" s="61" t="s">
        <v>33</v>
      </c>
      <c r="J1973" s="61"/>
      <c r="K1973" s="61" t="s">
        <v>148</v>
      </c>
      <c r="L1973" s="61" t="s">
        <v>8853</v>
      </c>
      <c r="M1973" s="475">
        <v>45945</v>
      </c>
      <c r="N1973" s="475">
        <v>45946</v>
      </c>
      <c r="O1973" s="61"/>
      <c r="P1973" s="475">
        <v>45946</v>
      </c>
      <c r="Q1973" s="475">
        <v>45950</v>
      </c>
      <c r="R1973" s="61">
        <f t="shared" si="136"/>
        <v>1</v>
      </c>
      <c r="S1973" s="61" t="str">
        <f t="shared" si="137"/>
        <v/>
      </c>
      <c r="T1973" s="61">
        <f t="shared" si="135"/>
        <v>1</v>
      </c>
      <c r="U1973" s="61">
        <f t="shared" si="138"/>
        <v>2</v>
      </c>
      <c r="V1973" s="61" t="s">
        <v>150</v>
      </c>
      <c r="W1973" s="61" t="s">
        <v>4</v>
      </c>
      <c r="X1973" s="61" t="s">
        <v>50</v>
      </c>
      <c r="Y1973" s="61" t="s">
        <v>69</v>
      </c>
      <c r="Z1973" s="61" t="s">
        <v>69</v>
      </c>
      <c r="AA1973" s="61"/>
      <c r="AB1973" s="61" t="s">
        <v>8854</v>
      </c>
    </row>
    <row r="1974" spans="1:28" s="2" customFormat="1" ht="28.5">
      <c r="A1974" s="61" t="s">
        <v>778</v>
      </c>
      <c r="B1974" s="61" t="s">
        <v>1373</v>
      </c>
      <c r="C1974" s="61" t="s">
        <v>1343</v>
      </c>
      <c r="D1974" s="61" t="s">
        <v>7838</v>
      </c>
      <c r="E1974" s="61">
        <v>9068</v>
      </c>
      <c r="F1974" s="61">
        <v>9298</v>
      </c>
      <c r="G1974" s="61">
        <v>2025</v>
      </c>
      <c r="H1974" s="61" t="s">
        <v>3128</v>
      </c>
      <c r="I1974" s="61" t="s">
        <v>33</v>
      </c>
      <c r="J1974" s="61"/>
      <c r="K1974" s="61" t="s">
        <v>148</v>
      </c>
      <c r="L1974" s="61" t="s">
        <v>8853</v>
      </c>
      <c r="M1974" s="475">
        <v>45945</v>
      </c>
      <c r="N1974" s="475">
        <v>45946</v>
      </c>
      <c r="O1974" s="61"/>
      <c r="P1974" s="475">
        <v>45946</v>
      </c>
      <c r="Q1974" s="475">
        <v>45950</v>
      </c>
      <c r="R1974" s="61">
        <f t="shared" si="136"/>
        <v>1</v>
      </c>
      <c r="S1974" s="61" t="str">
        <f t="shared" si="137"/>
        <v/>
      </c>
      <c r="T1974" s="61">
        <f t="shared" si="135"/>
        <v>1</v>
      </c>
      <c r="U1974" s="61">
        <f t="shared" si="138"/>
        <v>2</v>
      </c>
      <c r="V1974" s="61" t="s">
        <v>150</v>
      </c>
      <c r="W1974" s="61" t="s">
        <v>4</v>
      </c>
      <c r="X1974" s="61" t="s">
        <v>50</v>
      </c>
      <c r="Y1974" s="61" t="s">
        <v>69</v>
      </c>
      <c r="Z1974" s="61" t="s">
        <v>69</v>
      </c>
      <c r="AA1974" s="61"/>
      <c r="AB1974" s="61" t="s">
        <v>8854</v>
      </c>
    </row>
    <row r="1975" spans="1:28" s="2" customFormat="1" ht="28.5">
      <c r="A1975" s="61" t="s">
        <v>778</v>
      </c>
      <c r="B1975" s="61" t="s">
        <v>1373</v>
      </c>
      <c r="C1975" s="61" t="s">
        <v>5504</v>
      </c>
      <c r="D1975" s="61" t="s">
        <v>7838</v>
      </c>
      <c r="E1975" s="61">
        <v>2840</v>
      </c>
      <c r="F1975" s="61">
        <v>2504</v>
      </c>
      <c r="G1975" s="61">
        <v>2025</v>
      </c>
      <c r="H1975" s="61" t="s">
        <v>3128</v>
      </c>
      <c r="I1975" s="61" t="s">
        <v>33</v>
      </c>
      <c r="J1975" s="61"/>
      <c r="K1975" s="61" t="s">
        <v>148</v>
      </c>
      <c r="L1975" s="61" t="s">
        <v>8853</v>
      </c>
      <c r="M1975" s="475">
        <v>45945</v>
      </c>
      <c r="N1975" s="475">
        <v>45946</v>
      </c>
      <c r="O1975" s="61"/>
      <c r="P1975" s="475">
        <v>45946</v>
      </c>
      <c r="Q1975" s="475">
        <v>45950</v>
      </c>
      <c r="R1975" s="61">
        <f t="shared" si="136"/>
        <v>1</v>
      </c>
      <c r="S1975" s="61" t="str">
        <f t="shared" si="137"/>
        <v/>
      </c>
      <c r="T1975" s="61">
        <f t="shared" si="135"/>
        <v>1</v>
      </c>
      <c r="U1975" s="61">
        <f t="shared" si="138"/>
        <v>2</v>
      </c>
      <c r="V1975" s="61" t="s">
        <v>150</v>
      </c>
      <c r="W1975" s="61" t="s">
        <v>4</v>
      </c>
      <c r="X1975" s="61" t="s">
        <v>50</v>
      </c>
      <c r="Y1975" s="61" t="s">
        <v>69</v>
      </c>
      <c r="Z1975" s="61" t="s">
        <v>69</v>
      </c>
      <c r="AA1975" s="61"/>
      <c r="AB1975" s="61" t="s">
        <v>8854</v>
      </c>
    </row>
    <row r="1976" spans="1:28" s="2" customFormat="1" ht="28.5">
      <c r="A1976" s="61" t="s">
        <v>778</v>
      </c>
      <c r="B1976" s="61" t="s">
        <v>1373</v>
      </c>
      <c r="C1976" s="61" t="s">
        <v>5506</v>
      </c>
      <c r="D1976" s="61" t="s">
        <v>7838</v>
      </c>
      <c r="E1976" s="61">
        <v>1655</v>
      </c>
      <c r="F1976" s="61">
        <v>1877</v>
      </c>
      <c r="G1976" s="61">
        <v>2025</v>
      </c>
      <c r="H1976" s="61" t="s">
        <v>3128</v>
      </c>
      <c r="I1976" s="61" t="s">
        <v>33</v>
      </c>
      <c r="J1976" s="61"/>
      <c r="K1976" s="61" t="s">
        <v>148</v>
      </c>
      <c r="L1976" s="61" t="s">
        <v>8853</v>
      </c>
      <c r="M1976" s="475">
        <v>45945</v>
      </c>
      <c r="N1976" s="475">
        <v>45946</v>
      </c>
      <c r="O1976" s="61"/>
      <c r="P1976" s="475">
        <v>45946</v>
      </c>
      <c r="Q1976" s="475">
        <v>45950</v>
      </c>
      <c r="R1976" s="61">
        <f t="shared" si="136"/>
        <v>1</v>
      </c>
      <c r="S1976" s="61" t="str">
        <f t="shared" si="137"/>
        <v/>
      </c>
      <c r="T1976" s="61">
        <f t="shared" si="135"/>
        <v>1</v>
      </c>
      <c r="U1976" s="61">
        <f t="shared" si="138"/>
        <v>2</v>
      </c>
      <c r="V1976" s="61" t="s">
        <v>150</v>
      </c>
      <c r="W1976" s="61" t="s">
        <v>4</v>
      </c>
      <c r="X1976" s="61" t="s">
        <v>50</v>
      </c>
      <c r="Y1976" s="61" t="s">
        <v>69</v>
      </c>
      <c r="Z1976" s="61" t="s">
        <v>69</v>
      </c>
      <c r="AA1976" s="61"/>
      <c r="AB1976" s="61" t="s">
        <v>8854</v>
      </c>
    </row>
    <row r="1977" spans="1:28" s="2" customFormat="1" ht="28.5">
      <c r="A1977" s="61" t="s">
        <v>778</v>
      </c>
      <c r="B1977" s="61" t="s">
        <v>1373</v>
      </c>
      <c r="C1977" s="61" t="s">
        <v>5507</v>
      </c>
      <c r="D1977" s="61" t="s">
        <v>7838</v>
      </c>
      <c r="E1977" s="61">
        <v>3812</v>
      </c>
      <c r="F1977" s="61">
        <v>3663</v>
      </c>
      <c r="G1977" s="61">
        <v>2025</v>
      </c>
      <c r="H1977" s="61" t="s">
        <v>3128</v>
      </c>
      <c r="I1977" s="61" t="s">
        <v>33</v>
      </c>
      <c r="J1977" s="61"/>
      <c r="K1977" s="61" t="s">
        <v>148</v>
      </c>
      <c r="L1977" s="61" t="s">
        <v>8853</v>
      </c>
      <c r="M1977" s="475">
        <v>45945</v>
      </c>
      <c r="N1977" s="475">
        <v>45946</v>
      </c>
      <c r="O1977" s="61"/>
      <c r="P1977" s="475">
        <v>45946</v>
      </c>
      <c r="Q1977" s="475">
        <v>45950</v>
      </c>
      <c r="R1977" s="61">
        <f t="shared" si="136"/>
        <v>1</v>
      </c>
      <c r="S1977" s="61" t="str">
        <f t="shared" si="137"/>
        <v/>
      </c>
      <c r="T1977" s="61">
        <f t="shared" si="135"/>
        <v>1</v>
      </c>
      <c r="U1977" s="61">
        <f t="shared" si="138"/>
        <v>2</v>
      </c>
      <c r="V1977" s="61" t="s">
        <v>150</v>
      </c>
      <c r="W1977" s="61" t="s">
        <v>1078</v>
      </c>
      <c r="X1977" s="61" t="s">
        <v>50</v>
      </c>
      <c r="Y1977" s="61" t="s">
        <v>69</v>
      </c>
      <c r="Z1977" s="61" t="s">
        <v>69</v>
      </c>
      <c r="AA1977" s="61"/>
      <c r="AB1977" s="61" t="s">
        <v>8854</v>
      </c>
    </row>
    <row r="1978" spans="1:28" s="2" customFormat="1" ht="28.5">
      <c r="A1978" s="61" t="s">
        <v>778</v>
      </c>
      <c r="B1978" s="61" t="s">
        <v>1373</v>
      </c>
      <c r="C1978" s="61" t="s">
        <v>5508</v>
      </c>
      <c r="D1978" s="61" t="s">
        <v>7838</v>
      </c>
      <c r="E1978" s="61">
        <v>1904</v>
      </c>
      <c r="F1978" s="61">
        <v>2196</v>
      </c>
      <c r="I1978" s="61" t="s">
        <v>33</v>
      </c>
      <c r="J1978" s="61"/>
      <c r="K1978" s="61" t="s">
        <v>148</v>
      </c>
      <c r="L1978" s="61"/>
      <c r="M1978" s="61"/>
      <c r="N1978" s="61"/>
      <c r="O1978" s="61"/>
      <c r="P1978" s="61"/>
      <c r="Q1978" s="61"/>
      <c r="R1978" s="61" t="str">
        <f t="shared" si="136"/>
        <v/>
      </c>
      <c r="S1978" s="61" t="str">
        <f t="shared" si="137"/>
        <v/>
      </c>
      <c r="T1978" s="61" t="str">
        <f t="shared" si="135"/>
        <v/>
      </c>
      <c r="U1978" s="61" t="str">
        <f t="shared" si="138"/>
        <v/>
      </c>
      <c r="V1978" s="61"/>
      <c r="W1978" s="61"/>
      <c r="X1978" s="61"/>
      <c r="Y1978" s="61"/>
      <c r="Z1978" s="61"/>
      <c r="AA1978" s="61"/>
      <c r="AB1978" s="61"/>
    </row>
    <row r="1979" spans="1:28" s="2" customFormat="1" ht="28.5">
      <c r="A1979" s="61" t="s">
        <v>778</v>
      </c>
      <c r="B1979" s="61" t="s">
        <v>1373</v>
      </c>
      <c r="C1979" s="61" t="s">
        <v>970</v>
      </c>
      <c r="D1979" s="61" t="s">
        <v>7838</v>
      </c>
      <c r="E1979" s="61">
        <v>6719</v>
      </c>
      <c r="F1979" s="61">
        <v>6828</v>
      </c>
      <c r="G1979" s="61">
        <v>2025</v>
      </c>
      <c r="H1979" s="61" t="s">
        <v>3458</v>
      </c>
      <c r="I1979" s="61" t="s">
        <v>33</v>
      </c>
      <c r="J1979" s="61"/>
      <c r="K1979" s="61" t="s">
        <v>148</v>
      </c>
      <c r="L1979" s="61" t="s">
        <v>8855</v>
      </c>
      <c r="M1979" s="475">
        <v>45702</v>
      </c>
      <c r="N1979" s="475">
        <v>45705</v>
      </c>
      <c r="O1979" s="61"/>
      <c r="P1979" s="475">
        <v>45706</v>
      </c>
      <c r="Q1979" s="475">
        <v>45706</v>
      </c>
      <c r="R1979" s="61">
        <f t="shared" si="136"/>
        <v>1</v>
      </c>
      <c r="S1979" s="61" t="str">
        <f t="shared" si="137"/>
        <v/>
      </c>
      <c r="T1979" s="61">
        <f t="shared" si="135"/>
        <v>1</v>
      </c>
      <c r="U1979" s="61">
        <f t="shared" si="138"/>
        <v>1</v>
      </c>
      <c r="V1979" s="61" t="s">
        <v>150</v>
      </c>
      <c r="W1979" s="61" t="s">
        <v>4</v>
      </c>
      <c r="X1979" s="61" t="s">
        <v>50</v>
      </c>
      <c r="Y1979" s="61">
        <v>120.51561</v>
      </c>
      <c r="Z1979" s="61">
        <v>15.01765</v>
      </c>
      <c r="AA1979" s="61" t="s">
        <v>8856</v>
      </c>
      <c r="AB1979" s="61"/>
    </row>
    <row r="1980" spans="1:28" s="2" customFormat="1" ht="28.5">
      <c r="A1980" s="61" t="s">
        <v>778</v>
      </c>
      <c r="B1980" s="61" t="s">
        <v>1373</v>
      </c>
      <c r="C1980" s="61" t="s">
        <v>1374</v>
      </c>
      <c r="D1980" s="61" t="s">
        <v>7838</v>
      </c>
      <c r="E1980" s="61">
        <v>2307</v>
      </c>
      <c r="F1980" s="61">
        <v>2654</v>
      </c>
      <c r="G1980" s="61">
        <v>2025</v>
      </c>
      <c r="H1980" s="61" t="s">
        <v>3416</v>
      </c>
      <c r="I1980" s="61" t="s">
        <v>33</v>
      </c>
      <c r="J1980" s="61"/>
      <c r="K1980" s="61" t="s">
        <v>148</v>
      </c>
      <c r="L1980" s="61" t="s">
        <v>8857</v>
      </c>
      <c r="M1980" s="475">
        <v>45728</v>
      </c>
      <c r="N1980" s="475">
        <v>45731</v>
      </c>
      <c r="O1980" s="61"/>
      <c r="P1980" s="475">
        <v>45733</v>
      </c>
      <c r="Q1980" s="475">
        <v>45734</v>
      </c>
      <c r="R1980" s="61">
        <f t="shared" si="136"/>
        <v>2</v>
      </c>
      <c r="S1980" s="61" t="str">
        <f t="shared" si="137"/>
        <v/>
      </c>
      <c r="T1980" s="61">
        <f t="shared" si="135"/>
        <v>1</v>
      </c>
      <c r="U1980" s="61">
        <f t="shared" si="138"/>
        <v>1</v>
      </c>
      <c r="V1980" s="61" t="s">
        <v>150</v>
      </c>
      <c r="W1980" s="61" t="s">
        <v>4</v>
      </c>
      <c r="X1980" s="61" t="s">
        <v>50</v>
      </c>
      <c r="Y1980" s="61">
        <v>14.95177</v>
      </c>
      <c r="Z1980" s="61">
        <v>120.47154999999999</v>
      </c>
      <c r="AA1980" s="61" t="s">
        <v>8856</v>
      </c>
      <c r="AB1980" s="61"/>
    </row>
    <row r="1981" spans="1:28" s="2" customFormat="1" ht="28.5">
      <c r="A1981" s="61" t="s">
        <v>778</v>
      </c>
      <c r="B1981" s="61" t="s">
        <v>1373</v>
      </c>
      <c r="C1981" s="61" t="s">
        <v>4859</v>
      </c>
      <c r="D1981" s="61" t="s">
        <v>7838</v>
      </c>
      <c r="E1981" s="61">
        <v>2997</v>
      </c>
      <c r="F1981" s="61">
        <v>3609</v>
      </c>
      <c r="G1981" s="61">
        <v>2025</v>
      </c>
      <c r="H1981" s="61" t="s">
        <v>3128</v>
      </c>
      <c r="I1981" s="61" t="s">
        <v>33</v>
      </c>
      <c r="J1981" s="61"/>
      <c r="K1981" s="61" t="s">
        <v>148</v>
      </c>
      <c r="L1981" s="61" t="s">
        <v>8853</v>
      </c>
      <c r="M1981" s="475">
        <v>45945</v>
      </c>
      <c r="N1981" s="475">
        <v>45946</v>
      </c>
      <c r="O1981" s="61"/>
      <c r="P1981" s="475">
        <v>45946</v>
      </c>
      <c r="Q1981" s="475">
        <v>45950</v>
      </c>
      <c r="R1981" s="61">
        <f t="shared" si="136"/>
        <v>1</v>
      </c>
      <c r="S1981" s="61" t="str">
        <f t="shared" si="137"/>
        <v/>
      </c>
      <c r="T1981" s="61">
        <f t="shared" si="135"/>
        <v>1</v>
      </c>
      <c r="U1981" s="61">
        <f t="shared" si="138"/>
        <v>2</v>
      </c>
      <c r="V1981" s="61" t="s">
        <v>150</v>
      </c>
      <c r="W1981" s="61" t="s">
        <v>4</v>
      </c>
      <c r="X1981" s="61" t="s">
        <v>50</v>
      </c>
      <c r="Y1981" s="61" t="s">
        <v>69</v>
      </c>
      <c r="Z1981" s="61" t="s">
        <v>69</v>
      </c>
      <c r="AA1981" s="61"/>
      <c r="AB1981" s="61" t="s">
        <v>8854</v>
      </c>
    </row>
    <row r="1982" spans="1:28" s="2" customFormat="1" ht="28.5">
      <c r="A1982" s="61" t="s">
        <v>778</v>
      </c>
      <c r="B1982" s="61" t="s">
        <v>1373</v>
      </c>
      <c r="C1982" s="61" t="s">
        <v>5511</v>
      </c>
      <c r="D1982" s="61" t="s">
        <v>7838</v>
      </c>
      <c r="E1982" s="61">
        <v>3052</v>
      </c>
      <c r="F1982" s="61">
        <v>3268</v>
      </c>
      <c r="G1982" s="61">
        <v>2025</v>
      </c>
      <c r="H1982" s="61" t="s">
        <v>3128</v>
      </c>
      <c r="I1982" s="61" t="s">
        <v>33</v>
      </c>
      <c r="J1982" s="61"/>
      <c r="K1982" s="61" t="s">
        <v>148</v>
      </c>
      <c r="L1982" s="61" t="s">
        <v>8853</v>
      </c>
      <c r="M1982" s="475">
        <v>45945</v>
      </c>
      <c r="N1982" s="475">
        <v>45946</v>
      </c>
      <c r="O1982" s="61"/>
      <c r="P1982" s="475">
        <v>45946</v>
      </c>
      <c r="Q1982" s="475">
        <v>45950</v>
      </c>
      <c r="R1982" s="61">
        <f t="shared" si="136"/>
        <v>1</v>
      </c>
      <c r="S1982" s="61" t="str">
        <f t="shared" si="137"/>
        <v/>
      </c>
      <c r="T1982" s="61">
        <f t="shared" si="135"/>
        <v>1</v>
      </c>
      <c r="U1982" s="61">
        <f t="shared" si="138"/>
        <v>2</v>
      </c>
      <c r="V1982" s="61" t="s">
        <v>150</v>
      </c>
      <c r="W1982" s="61" t="s">
        <v>1078</v>
      </c>
      <c r="X1982" s="61" t="s">
        <v>50</v>
      </c>
      <c r="Y1982" s="61" t="s">
        <v>69</v>
      </c>
      <c r="Z1982" s="61" t="s">
        <v>69</v>
      </c>
      <c r="AA1982" s="61"/>
      <c r="AB1982" s="61" t="s">
        <v>8854</v>
      </c>
    </row>
    <row r="1983" spans="1:28" s="2" customFormat="1" ht="28.5">
      <c r="A1983" s="61" t="s">
        <v>778</v>
      </c>
      <c r="B1983" s="61" t="s">
        <v>1373</v>
      </c>
      <c r="C1983" s="61" t="s">
        <v>5481</v>
      </c>
      <c r="D1983" s="61" t="s">
        <v>7838</v>
      </c>
      <c r="E1983" s="61">
        <v>3089</v>
      </c>
      <c r="F1983" s="61">
        <v>3152</v>
      </c>
      <c r="G1983" s="61">
        <v>2025</v>
      </c>
      <c r="H1983" s="61" t="s">
        <v>3128</v>
      </c>
      <c r="I1983" s="61" t="s">
        <v>33</v>
      </c>
      <c r="J1983" s="61"/>
      <c r="K1983" s="61" t="s">
        <v>148</v>
      </c>
      <c r="L1983" s="61" t="s">
        <v>8853</v>
      </c>
      <c r="M1983" s="475">
        <v>45945</v>
      </c>
      <c r="N1983" s="475">
        <v>45946</v>
      </c>
      <c r="O1983" s="61"/>
      <c r="P1983" s="475">
        <v>45946</v>
      </c>
      <c r="Q1983" s="475">
        <v>45950</v>
      </c>
      <c r="R1983" s="61">
        <f t="shared" si="136"/>
        <v>1</v>
      </c>
      <c r="S1983" s="61" t="str">
        <f t="shared" si="137"/>
        <v/>
      </c>
      <c r="T1983" s="61">
        <f t="shared" si="135"/>
        <v>1</v>
      </c>
      <c r="U1983" s="61">
        <f t="shared" si="138"/>
        <v>2</v>
      </c>
      <c r="V1983" s="61" t="s">
        <v>150</v>
      </c>
      <c r="W1983" s="61" t="s">
        <v>4</v>
      </c>
      <c r="X1983" s="61" t="s">
        <v>50</v>
      </c>
      <c r="Y1983" s="61" t="s">
        <v>69</v>
      </c>
      <c r="Z1983" s="61" t="s">
        <v>69</v>
      </c>
      <c r="AA1983" s="61"/>
      <c r="AB1983" s="61" t="s">
        <v>8854</v>
      </c>
    </row>
    <row r="1984" spans="1:28" s="2" customFormat="1" ht="28.5">
      <c r="A1984" s="61" t="s">
        <v>778</v>
      </c>
      <c r="B1984" s="61" t="s">
        <v>1373</v>
      </c>
      <c r="C1984" s="61" t="s">
        <v>5512</v>
      </c>
      <c r="D1984" s="61" t="s">
        <v>7838</v>
      </c>
      <c r="E1984" s="61">
        <v>4377</v>
      </c>
      <c r="F1984" s="61">
        <v>5414</v>
      </c>
      <c r="G1984" s="61">
        <v>2025</v>
      </c>
      <c r="H1984" s="61" t="s">
        <v>3416</v>
      </c>
      <c r="I1984" s="61" t="s">
        <v>33</v>
      </c>
      <c r="J1984" s="61"/>
      <c r="K1984" s="61" t="s">
        <v>148</v>
      </c>
      <c r="L1984" s="61" t="s">
        <v>8858</v>
      </c>
      <c r="M1984" s="475">
        <v>45728</v>
      </c>
      <c r="N1984" s="475">
        <v>45731</v>
      </c>
      <c r="O1984" s="61"/>
      <c r="P1984" s="475">
        <v>45733</v>
      </c>
      <c r="Q1984" s="475">
        <v>45734</v>
      </c>
      <c r="R1984" s="61">
        <f t="shared" si="136"/>
        <v>2</v>
      </c>
      <c r="S1984" s="61" t="str">
        <f t="shared" si="137"/>
        <v/>
      </c>
      <c r="T1984" s="61">
        <f t="shared" si="135"/>
        <v>1</v>
      </c>
      <c r="U1984" s="61">
        <f t="shared" si="138"/>
        <v>1</v>
      </c>
      <c r="V1984" s="61" t="s">
        <v>150</v>
      </c>
      <c r="W1984" s="61" t="s">
        <v>3527</v>
      </c>
      <c r="X1984" s="61" t="s">
        <v>3528</v>
      </c>
      <c r="Y1984" s="61">
        <v>14.9796</v>
      </c>
      <c r="Z1984" s="61">
        <v>120.51779999999999</v>
      </c>
      <c r="AA1984" s="61" t="s">
        <v>8856</v>
      </c>
      <c r="AB1984" s="61"/>
    </row>
    <row r="1985" spans="1:28" s="2" customFormat="1" ht="28.5">
      <c r="A1985" s="61" t="s">
        <v>778</v>
      </c>
      <c r="B1985" s="61" t="s">
        <v>1373</v>
      </c>
      <c r="C1985" s="61" t="s">
        <v>5514</v>
      </c>
      <c r="D1985" s="61" t="s">
        <v>7838</v>
      </c>
      <c r="E1985" s="61">
        <v>3656</v>
      </c>
      <c r="F1985" s="61">
        <v>4559</v>
      </c>
      <c r="G1985" s="61">
        <v>2025</v>
      </c>
      <c r="H1985" s="61" t="s">
        <v>3128</v>
      </c>
      <c r="I1985" s="61" t="s">
        <v>33</v>
      </c>
      <c r="J1985" s="61"/>
      <c r="K1985" s="61" t="s">
        <v>148</v>
      </c>
      <c r="L1985" s="61" t="s">
        <v>8853</v>
      </c>
      <c r="M1985" s="475">
        <v>45945</v>
      </c>
      <c r="N1985" s="475">
        <v>45946</v>
      </c>
      <c r="O1985" s="61"/>
      <c r="P1985" s="475">
        <v>45946</v>
      </c>
      <c r="Q1985" s="475">
        <v>45950</v>
      </c>
      <c r="R1985" s="61">
        <f t="shared" si="136"/>
        <v>1</v>
      </c>
      <c r="S1985" s="61" t="str">
        <f t="shared" si="137"/>
        <v/>
      </c>
      <c r="T1985" s="61">
        <f t="shared" si="135"/>
        <v>1</v>
      </c>
      <c r="U1985" s="61">
        <f t="shared" si="138"/>
        <v>2</v>
      </c>
      <c r="V1985" s="61" t="s">
        <v>150</v>
      </c>
      <c r="W1985" s="61" t="s">
        <v>4</v>
      </c>
      <c r="X1985" s="61" t="s">
        <v>50</v>
      </c>
      <c r="Y1985" s="61" t="s">
        <v>69</v>
      </c>
      <c r="Z1985" s="61" t="s">
        <v>69</v>
      </c>
      <c r="AA1985" s="61"/>
      <c r="AB1985" s="61" t="s">
        <v>8854</v>
      </c>
    </row>
    <row r="1986" spans="1:28" s="2" customFormat="1" ht="28.5">
      <c r="A1986" s="61" t="s">
        <v>778</v>
      </c>
      <c r="B1986" s="61" t="s">
        <v>1373</v>
      </c>
      <c r="C1986" s="61" t="s">
        <v>1931</v>
      </c>
      <c r="D1986" s="61" t="s">
        <v>7838</v>
      </c>
      <c r="E1986" s="61">
        <v>3171</v>
      </c>
      <c r="F1986" s="61">
        <v>3195</v>
      </c>
      <c r="G1986" s="61">
        <v>2025</v>
      </c>
      <c r="H1986" s="61" t="s">
        <v>3128</v>
      </c>
      <c r="I1986" s="61" t="s">
        <v>33</v>
      </c>
      <c r="J1986" s="61"/>
      <c r="K1986" s="61" t="s">
        <v>148</v>
      </c>
      <c r="L1986" s="61" t="s">
        <v>8853</v>
      </c>
      <c r="M1986" s="475">
        <v>45945</v>
      </c>
      <c r="N1986" s="475">
        <v>45946</v>
      </c>
      <c r="O1986" s="61"/>
      <c r="P1986" s="475">
        <v>45946</v>
      </c>
      <c r="Q1986" s="475">
        <v>45950</v>
      </c>
      <c r="R1986" s="61">
        <f t="shared" si="136"/>
        <v>1</v>
      </c>
      <c r="S1986" s="61" t="str">
        <f t="shared" si="137"/>
        <v/>
      </c>
      <c r="T1986" s="61">
        <f t="shared" si="135"/>
        <v>1</v>
      </c>
      <c r="U1986" s="61">
        <f t="shared" si="138"/>
        <v>2</v>
      </c>
      <c r="V1986" s="61" t="s">
        <v>150</v>
      </c>
      <c r="W1986" s="61" t="s">
        <v>4</v>
      </c>
      <c r="X1986" s="61" t="s">
        <v>50</v>
      </c>
      <c r="Y1986" s="61" t="s">
        <v>69</v>
      </c>
      <c r="Z1986" s="61" t="s">
        <v>69</v>
      </c>
      <c r="AA1986" s="61"/>
      <c r="AB1986" s="61" t="s">
        <v>8854</v>
      </c>
    </row>
    <row r="1987" spans="1:28" s="2" customFormat="1" ht="28.5">
      <c r="A1987" s="61" t="s">
        <v>778</v>
      </c>
      <c r="B1987" s="61" t="s">
        <v>1373</v>
      </c>
      <c r="C1987" s="61" t="s">
        <v>1245</v>
      </c>
      <c r="D1987" s="61" t="s">
        <v>7838</v>
      </c>
      <c r="E1987" s="61">
        <v>969</v>
      </c>
      <c r="F1987" s="61">
        <v>996</v>
      </c>
      <c r="G1987" s="61">
        <v>2025</v>
      </c>
      <c r="H1987" s="61" t="s">
        <v>3128</v>
      </c>
      <c r="I1987" s="61" t="s">
        <v>33</v>
      </c>
      <c r="J1987" s="61"/>
      <c r="K1987" s="61" t="s">
        <v>148</v>
      </c>
      <c r="L1987" s="61" t="s">
        <v>8853</v>
      </c>
      <c r="M1987" s="475">
        <v>45945</v>
      </c>
      <c r="N1987" s="475">
        <v>45946</v>
      </c>
      <c r="O1987" s="61"/>
      <c r="P1987" s="475">
        <v>45946</v>
      </c>
      <c r="Q1987" s="475">
        <v>45950</v>
      </c>
      <c r="R1987" s="61">
        <f t="shared" si="136"/>
        <v>1</v>
      </c>
      <c r="S1987" s="61" t="str">
        <f t="shared" si="137"/>
        <v/>
      </c>
      <c r="T1987" s="61">
        <f t="shared" si="135"/>
        <v>1</v>
      </c>
      <c r="U1987" s="61">
        <f t="shared" si="138"/>
        <v>2</v>
      </c>
      <c r="V1987" s="61" t="s">
        <v>150</v>
      </c>
      <c r="W1987" s="61" t="s">
        <v>1078</v>
      </c>
      <c r="X1987" s="61" t="s">
        <v>50</v>
      </c>
      <c r="Y1987" s="61" t="s">
        <v>69</v>
      </c>
      <c r="Z1987" s="61" t="s">
        <v>69</v>
      </c>
      <c r="AA1987" s="61"/>
      <c r="AB1987" s="61" t="s">
        <v>8854</v>
      </c>
    </row>
    <row r="1988" spans="1:28" s="2" customFormat="1" ht="28.5">
      <c r="A1988" s="61" t="s">
        <v>778</v>
      </c>
      <c r="B1988" s="61" t="s">
        <v>1373</v>
      </c>
      <c r="C1988" s="61" t="s">
        <v>5517</v>
      </c>
      <c r="D1988" s="61" t="s">
        <v>7838</v>
      </c>
      <c r="E1988" s="61">
        <v>1556</v>
      </c>
      <c r="F1988" s="61">
        <v>1727</v>
      </c>
      <c r="G1988" s="61">
        <v>2025</v>
      </c>
      <c r="H1988" s="61" t="s">
        <v>3128</v>
      </c>
      <c r="I1988" s="61" t="s">
        <v>33</v>
      </c>
      <c r="J1988" s="61"/>
      <c r="K1988" s="61" t="s">
        <v>148</v>
      </c>
      <c r="L1988" s="61" t="s">
        <v>8853</v>
      </c>
      <c r="M1988" s="475">
        <v>45945</v>
      </c>
      <c r="N1988" s="475">
        <v>45946</v>
      </c>
      <c r="O1988" s="61"/>
      <c r="P1988" s="475">
        <v>45946</v>
      </c>
      <c r="Q1988" s="475">
        <v>45950</v>
      </c>
      <c r="R1988" s="61">
        <f t="shared" si="136"/>
        <v>1</v>
      </c>
      <c r="S1988" s="61" t="str">
        <f t="shared" si="137"/>
        <v/>
      </c>
      <c r="T1988" s="61">
        <f t="shared" si="135"/>
        <v>1</v>
      </c>
      <c r="U1988" s="61">
        <f t="shared" si="138"/>
        <v>2</v>
      </c>
      <c r="V1988" s="61" t="s">
        <v>150</v>
      </c>
      <c r="W1988" s="61" t="s">
        <v>1078</v>
      </c>
      <c r="X1988" s="61" t="s">
        <v>50</v>
      </c>
      <c r="Y1988" s="61" t="s">
        <v>69</v>
      </c>
      <c r="Z1988" s="61" t="s">
        <v>69</v>
      </c>
      <c r="AA1988" s="61"/>
      <c r="AB1988" s="61" t="s">
        <v>8854</v>
      </c>
    </row>
    <row r="1989" spans="1:28" s="2" customFormat="1" ht="28.5">
      <c r="A1989" s="61" t="s">
        <v>778</v>
      </c>
      <c r="B1989" s="61" t="s">
        <v>1373</v>
      </c>
      <c r="C1989" s="61" t="s">
        <v>5519</v>
      </c>
      <c r="D1989" s="61" t="s">
        <v>7838</v>
      </c>
      <c r="E1989" s="61">
        <v>4020</v>
      </c>
      <c r="F1989" s="61">
        <v>4413</v>
      </c>
      <c r="G1989" s="61">
        <v>2025</v>
      </c>
      <c r="H1989" s="61" t="s">
        <v>3129</v>
      </c>
      <c r="I1989" s="61" t="s">
        <v>33</v>
      </c>
      <c r="J1989" s="61"/>
      <c r="K1989" s="61" t="s">
        <v>148</v>
      </c>
      <c r="L1989" s="61" t="s">
        <v>8859</v>
      </c>
      <c r="M1989" s="475">
        <v>45959</v>
      </c>
      <c r="N1989" s="475">
        <v>45969</v>
      </c>
      <c r="O1989" s="61"/>
      <c r="P1989" s="475">
        <v>45978</v>
      </c>
      <c r="Q1989" s="475">
        <v>45979</v>
      </c>
      <c r="R1989" s="61">
        <f t="shared" si="136"/>
        <v>7</v>
      </c>
      <c r="S1989" s="61" t="str">
        <f t="shared" si="137"/>
        <v/>
      </c>
      <c r="T1989" s="61">
        <f t="shared" si="135"/>
        <v>5</v>
      </c>
      <c r="U1989" s="61">
        <f t="shared" si="138"/>
        <v>1</v>
      </c>
      <c r="V1989" s="61" t="s">
        <v>150</v>
      </c>
      <c r="W1989" s="61" t="s">
        <v>1078</v>
      </c>
      <c r="X1989" s="61" t="s">
        <v>57</v>
      </c>
      <c r="Y1989" s="61" t="s">
        <v>69</v>
      </c>
      <c r="Z1989" s="61" t="s">
        <v>69</v>
      </c>
      <c r="AA1989" s="61" t="s">
        <v>361</v>
      </c>
      <c r="AB1989" s="61" t="s">
        <v>8860</v>
      </c>
    </row>
    <row r="1990" spans="1:28" s="2" customFormat="1" ht="28.5">
      <c r="A1990" s="61" t="s">
        <v>778</v>
      </c>
      <c r="B1990" s="61" t="s">
        <v>1373</v>
      </c>
      <c r="C1990" s="61" t="s">
        <v>1377</v>
      </c>
      <c r="D1990" s="61" t="s">
        <v>7838</v>
      </c>
      <c r="E1990" s="61">
        <v>1828</v>
      </c>
      <c r="F1990" s="61">
        <v>3347</v>
      </c>
      <c r="G1990" s="61">
        <v>2025</v>
      </c>
      <c r="H1990" s="61" t="s">
        <v>3129</v>
      </c>
      <c r="I1990" s="61" t="s">
        <v>33</v>
      </c>
      <c r="J1990" s="61"/>
      <c r="K1990" s="61" t="s">
        <v>148</v>
      </c>
      <c r="L1990" s="61" t="s">
        <v>8859</v>
      </c>
      <c r="M1990" s="475">
        <v>45959</v>
      </c>
      <c r="N1990" s="475">
        <v>45969</v>
      </c>
      <c r="O1990" s="61"/>
      <c r="P1990" s="475">
        <v>45978</v>
      </c>
      <c r="Q1990" s="475">
        <v>45979</v>
      </c>
      <c r="R1990" s="61">
        <f t="shared" si="136"/>
        <v>7</v>
      </c>
      <c r="S1990" s="61" t="str">
        <f t="shared" si="137"/>
        <v/>
      </c>
      <c r="T1990" s="61">
        <f t="shared" si="135"/>
        <v>5</v>
      </c>
      <c r="U1990" s="61">
        <f t="shared" si="138"/>
        <v>1</v>
      </c>
      <c r="V1990" s="61" t="s">
        <v>150</v>
      </c>
      <c r="W1990" s="61" t="s">
        <v>1078</v>
      </c>
      <c r="X1990" s="61" t="s">
        <v>50</v>
      </c>
      <c r="Y1990" s="61" t="s">
        <v>69</v>
      </c>
      <c r="Z1990" s="61" t="s">
        <v>69</v>
      </c>
      <c r="AA1990" s="61" t="s">
        <v>361</v>
      </c>
      <c r="AB1990" s="61" t="s">
        <v>8860</v>
      </c>
    </row>
    <row r="1991" spans="1:28" s="2" customFormat="1" ht="28.5">
      <c r="A1991" s="61" t="s">
        <v>778</v>
      </c>
      <c r="B1991" s="61" t="s">
        <v>1373</v>
      </c>
      <c r="C1991" s="61" t="s">
        <v>5522</v>
      </c>
      <c r="D1991" s="61" t="s">
        <v>7838</v>
      </c>
      <c r="E1991" s="61">
        <v>6833</v>
      </c>
      <c r="F1991" s="61">
        <v>6907</v>
      </c>
      <c r="G1991" s="61">
        <v>2025</v>
      </c>
      <c r="H1991" s="61" t="s">
        <v>3129</v>
      </c>
      <c r="I1991" s="61" t="s">
        <v>33</v>
      </c>
      <c r="J1991" s="61"/>
      <c r="K1991" s="61" t="s">
        <v>148</v>
      </c>
      <c r="L1991" s="61" t="s">
        <v>8859</v>
      </c>
      <c r="M1991" s="475">
        <v>45959</v>
      </c>
      <c r="N1991" s="475">
        <v>45969</v>
      </c>
      <c r="O1991" s="61"/>
      <c r="P1991" s="475">
        <v>45978</v>
      </c>
      <c r="Q1991" s="475">
        <v>45979</v>
      </c>
      <c r="R1991" s="61">
        <f t="shared" si="136"/>
        <v>7</v>
      </c>
      <c r="S1991" s="61" t="str">
        <f t="shared" si="137"/>
        <v/>
      </c>
      <c r="T1991" s="61">
        <f t="shared" si="135"/>
        <v>5</v>
      </c>
      <c r="U1991" s="61">
        <f t="shared" si="138"/>
        <v>1</v>
      </c>
      <c r="V1991" s="61" t="s">
        <v>150</v>
      </c>
      <c r="W1991" s="61" t="s">
        <v>1078</v>
      </c>
      <c r="X1991" s="61" t="s">
        <v>57</v>
      </c>
      <c r="Y1991" s="61" t="s">
        <v>69</v>
      </c>
      <c r="Z1991" s="61" t="s">
        <v>69</v>
      </c>
      <c r="AA1991" s="61" t="s">
        <v>361</v>
      </c>
      <c r="AB1991" s="61" t="s">
        <v>8860</v>
      </c>
    </row>
    <row r="1992" spans="1:28" s="2" customFormat="1" ht="28.5">
      <c r="A1992" s="61" t="s">
        <v>778</v>
      </c>
      <c r="B1992" s="61" t="s">
        <v>1373</v>
      </c>
      <c r="C1992" s="61" t="s">
        <v>5523</v>
      </c>
      <c r="D1992" s="61" t="s">
        <v>7838</v>
      </c>
      <c r="E1992" s="61">
        <v>6025</v>
      </c>
      <c r="F1992" s="61">
        <v>6655</v>
      </c>
      <c r="G1992" s="61">
        <v>2025</v>
      </c>
      <c r="H1992" s="61" t="s">
        <v>3129</v>
      </c>
      <c r="I1992" s="61" t="s">
        <v>33</v>
      </c>
      <c r="J1992" s="61"/>
      <c r="K1992" s="61" t="s">
        <v>148</v>
      </c>
      <c r="L1992" s="61" t="s">
        <v>8859</v>
      </c>
      <c r="M1992" s="475">
        <v>45959</v>
      </c>
      <c r="N1992" s="475">
        <v>45969</v>
      </c>
      <c r="O1992" s="61"/>
      <c r="P1992" s="475">
        <v>45978</v>
      </c>
      <c r="Q1992" s="475">
        <v>45979</v>
      </c>
      <c r="R1992" s="61">
        <f t="shared" si="136"/>
        <v>7</v>
      </c>
      <c r="S1992" s="61" t="str">
        <f t="shared" si="137"/>
        <v/>
      </c>
      <c r="T1992" s="61">
        <f t="shared" si="135"/>
        <v>5</v>
      </c>
      <c r="U1992" s="61">
        <f t="shared" si="138"/>
        <v>1</v>
      </c>
      <c r="V1992" s="61" t="s">
        <v>150</v>
      </c>
      <c r="W1992" s="61" t="s">
        <v>1078</v>
      </c>
      <c r="X1992" s="61" t="s">
        <v>50</v>
      </c>
      <c r="Y1992" s="61" t="s">
        <v>69</v>
      </c>
      <c r="Z1992" s="61" t="s">
        <v>69</v>
      </c>
      <c r="AA1992" s="61" t="s">
        <v>361</v>
      </c>
      <c r="AB1992" s="61" t="s">
        <v>8860</v>
      </c>
    </row>
    <row r="1993" spans="1:28" s="2" customFormat="1" ht="28.5">
      <c r="A1993" s="61" t="s">
        <v>778</v>
      </c>
      <c r="B1993" s="61" t="s">
        <v>1373</v>
      </c>
      <c r="C1993" s="61" t="s">
        <v>5524</v>
      </c>
      <c r="D1993" s="61" t="s">
        <v>7838</v>
      </c>
      <c r="E1993" s="61">
        <v>3293</v>
      </c>
      <c r="F1993" s="61">
        <v>3578</v>
      </c>
      <c r="G1993" s="61">
        <v>2025</v>
      </c>
      <c r="H1993" s="61" t="s">
        <v>3129</v>
      </c>
      <c r="I1993" s="61" t="s">
        <v>33</v>
      </c>
      <c r="J1993" s="61"/>
      <c r="K1993" s="61" t="s">
        <v>148</v>
      </c>
      <c r="L1993" s="61" t="s">
        <v>8859</v>
      </c>
      <c r="M1993" s="475">
        <v>45959</v>
      </c>
      <c r="N1993" s="475">
        <v>45969</v>
      </c>
      <c r="O1993" s="61"/>
      <c r="P1993" s="475">
        <v>45978</v>
      </c>
      <c r="Q1993" s="475">
        <v>45979</v>
      </c>
      <c r="R1993" s="61">
        <f t="shared" si="136"/>
        <v>7</v>
      </c>
      <c r="S1993" s="61" t="str">
        <f t="shared" si="137"/>
        <v/>
      </c>
      <c r="T1993" s="61">
        <f t="shared" si="135"/>
        <v>5</v>
      </c>
      <c r="U1993" s="61">
        <f t="shared" si="138"/>
        <v>1</v>
      </c>
      <c r="V1993" s="61" t="s">
        <v>150</v>
      </c>
      <c r="W1993" s="61" t="s">
        <v>1078</v>
      </c>
      <c r="X1993" s="61" t="s">
        <v>50</v>
      </c>
      <c r="Y1993" s="61" t="s">
        <v>69</v>
      </c>
      <c r="Z1993" s="61" t="s">
        <v>69</v>
      </c>
      <c r="AA1993" s="61" t="s">
        <v>361</v>
      </c>
      <c r="AB1993" s="61" t="s">
        <v>8860</v>
      </c>
    </row>
    <row r="1994" spans="1:28" s="2" customFormat="1" ht="28.5">
      <c r="A1994" s="61" t="s">
        <v>778</v>
      </c>
      <c r="B1994" s="61" t="s">
        <v>1373</v>
      </c>
      <c r="C1994" s="61" t="s">
        <v>1056</v>
      </c>
      <c r="D1994" s="61" t="s">
        <v>7838</v>
      </c>
      <c r="E1994" s="61">
        <v>3337</v>
      </c>
      <c r="F1994" s="61">
        <v>3535</v>
      </c>
      <c r="G1994" s="61">
        <v>2025</v>
      </c>
      <c r="H1994" s="61" t="s">
        <v>3125</v>
      </c>
      <c r="I1994" s="61" t="s">
        <v>33</v>
      </c>
      <c r="J1994" s="61" t="s">
        <v>28</v>
      </c>
      <c r="K1994" s="61" t="s">
        <v>148</v>
      </c>
      <c r="L1994" s="61" t="s">
        <v>8861</v>
      </c>
      <c r="M1994" s="475">
        <v>45840</v>
      </c>
      <c r="N1994" s="475">
        <v>45844</v>
      </c>
      <c r="O1994" s="475">
        <v>45847</v>
      </c>
      <c r="P1994" s="475">
        <v>45854</v>
      </c>
      <c r="Q1994" s="475">
        <v>45855</v>
      </c>
      <c r="R1994" s="61">
        <f t="shared" si="136"/>
        <v>2</v>
      </c>
      <c r="S1994" s="61">
        <f t="shared" si="137"/>
        <v>2</v>
      </c>
      <c r="T1994" s="61">
        <f t="shared" si="135"/>
        <v>7</v>
      </c>
      <c r="U1994" s="61">
        <f t="shared" si="138"/>
        <v>1</v>
      </c>
      <c r="V1994" s="61" t="s">
        <v>150</v>
      </c>
      <c r="W1994" s="61" t="s">
        <v>3527</v>
      </c>
      <c r="X1994" s="61" t="s">
        <v>3528</v>
      </c>
      <c r="Y1994" s="61" t="s">
        <v>69</v>
      </c>
      <c r="Z1994" s="61" t="s">
        <v>69</v>
      </c>
      <c r="AA1994" s="61" t="s">
        <v>182</v>
      </c>
      <c r="AB1994" s="61"/>
    </row>
    <row r="1995" spans="1:28" s="2" customFormat="1" ht="28.5">
      <c r="A1995" s="61" t="s">
        <v>778</v>
      </c>
      <c r="B1995" s="61" t="s">
        <v>1373</v>
      </c>
      <c r="C1995" s="61" t="s">
        <v>914</v>
      </c>
      <c r="D1995" s="61" t="s">
        <v>7838</v>
      </c>
      <c r="E1995" s="61">
        <v>3126</v>
      </c>
      <c r="F1995" s="61">
        <v>3575</v>
      </c>
      <c r="G1995" s="61">
        <v>2025</v>
      </c>
      <c r="H1995" s="61" t="s">
        <v>3129</v>
      </c>
      <c r="I1995" s="61" t="s">
        <v>33</v>
      </c>
      <c r="J1995" s="61"/>
      <c r="K1995" s="61" t="s">
        <v>148</v>
      </c>
      <c r="L1995" s="61" t="s">
        <v>8859</v>
      </c>
      <c r="M1995" s="475">
        <v>45959</v>
      </c>
      <c r="N1995" s="475">
        <v>45969</v>
      </c>
      <c r="O1995" s="61"/>
      <c r="P1995" s="475">
        <v>45978</v>
      </c>
      <c r="Q1995" s="475">
        <v>45979</v>
      </c>
      <c r="R1995" s="61">
        <f t="shared" si="136"/>
        <v>7</v>
      </c>
      <c r="S1995" s="61" t="str">
        <f t="shared" si="137"/>
        <v/>
      </c>
      <c r="T1995" s="61">
        <f t="shared" si="135"/>
        <v>5</v>
      </c>
      <c r="U1995" s="61">
        <f t="shared" si="138"/>
        <v>1</v>
      </c>
      <c r="V1995" s="61" t="s">
        <v>150</v>
      </c>
      <c r="W1995" s="61" t="s">
        <v>1078</v>
      </c>
      <c r="X1995" s="61" t="s">
        <v>50</v>
      </c>
      <c r="Y1995" s="61" t="s">
        <v>69</v>
      </c>
      <c r="Z1995" s="61" t="s">
        <v>69</v>
      </c>
      <c r="AA1995" s="61" t="s">
        <v>361</v>
      </c>
      <c r="AB1995" s="61" t="s">
        <v>8860</v>
      </c>
    </row>
    <row r="1996" spans="1:28" s="2" customFormat="1" ht="28.5">
      <c r="A1996" s="61" t="s">
        <v>778</v>
      </c>
      <c r="B1996" s="61" t="s">
        <v>1373</v>
      </c>
      <c r="C1996" s="61" t="s">
        <v>1180</v>
      </c>
      <c r="D1996" s="61" t="s">
        <v>7838</v>
      </c>
      <c r="E1996" s="61">
        <v>2424</v>
      </c>
      <c r="F1996" s="61">
        <v>2504</v>
      </c>
      <c r="G1996" s="61">
        <v>2025</v>
      </c>
      <c r="H1996" s="61" t="s">
        <v>3129</v>
      </c>
      <c r="I1996" s="61" t="s">
        <v>33</v>
      </c>
      <c r="J1996" s="61"/>
      <c r="K1996" s="61" t="s">
        <v>148</v>
      </c>
      <c r="L1996" s="61" t="s">
        <v>8859</v>
      </c>
      <c r="M1996" s="475">
        <v>45959</v>
      </c>
      <c r="N1996" s="475">
        <v>45969</v>
      </c>
      <c r="O1996" s="61"/>
      <c r="P1996" s="475">
        <v>45978</v>
      </c>
      <c r="Q1996" s="475">
        <v>45979</v>
      </c>
      <c r="R1996" s="61">
        <f t="shared" si="136"/>
        <v>7</v>
      </c>
      <c r="S1996" s="61" t="str">
        <f t="shared" si="137"/>
        <v/>
      </c>
      <c r="T1996" s="61">
        <f t="shared" si="135"/>
        <v>5</v>
      </c>
      <c r="U1996" s="61">
        <f t="shared" si="138"/>
        <v>1</v>
      </c>
      <c r="V1996" s="61" t="s">
        <v>150</v>
      </c>
      <c r="W1996" s="61" t="s">
        <v>1078</v>
      </c>
      <c r="X1996" s="61" t="s">
        <v>50</v>
      </c>
      <c r="Y1996" s="61" t="s">
        <v>69</v>
      </c>
      <c r="Z1996" s="61" t="s">
        <v>69</v>
      </c>
      <c r="AA1996" s="61" t="s">
        <v>361</v>
      </c>
      <c r="AB1996" s="61" t="s">
        <v>8860</v>
      </c>
    </row>
    <row r="1997" spans="1:28" s="2" customFormat="1" ht="28.5">
      <c r="A1997" s="61" t="s">
        <v>778</v>
      </c>
      <c r="B1997" s="61" t="s">
        <v>1373</v>
      </c>
      <c r="C1997" s="61" t="s">
        <v>858</v>
      </c>
      <c r="D1997" s="61" t="s">
        <v>7838</v>
      </c>
      <c r="E1997" s="61">
        <v>7656</v>
      </c>
      <c r="F1997" s="61">
        <v>8812</v>
      </c>
      <c r="G1997" s="61">
        <v>2025</v>
      </c>
      <c r="H1997" s="61" t="s">
        <v>3470</v>
      </c>
      <c r="I1997" s="61" t="s">
        <v>33</v>
      </c>
      <c r="J1997" s="61"/>
      <c r="K1997" s="61" t="s">
        <v>148</v>
      </c>
      <c r="L1997" s="61" t="s">
        <v>8862</v>
      </c>
      <c r="M1997" s="475">
        <v>45751</v>
      </c>
      <c r="N1997" s="475">
        <v>45755</v>
      </c>
      <c r="O1997" s="61"/>
      <c r="P1997" s="475">
        <v>45768</v>
      </c>
      <c r="Q1997" s="475">
        <v>45769</v>
      </c>
      <c r="R1997" s="61">
        <f t="shared" si="136"/>
        <v>2</v>
      </c>
      <c r="S1997" s="61" t="str">
        <f t="shared" si="137"/>
        <v/>
      </c>
      <c r="T1997" s="61">
        <f t="shared" si="135"/>
        <v>9</v>
      </c>
      <c r="U1997" s="61">
        <f t="shared" si="138"/>
        <v>1</v>
      </c>
      <c r="V1997" s="61" t="s">
        <v>150</v>
      </c>
      <c r="W1997" s="61" t="s">
        <v>1078</v>
      </c>
      <c r="X1997" s="61" t="s">
        <v>50</v>
      </c>
      <c r="Y1997" s="61">
        <v>14.98949</v>
      </c>
      <c r="Z1997" s="61">
        <v>120.50885</v>
      </c>
      <c r="AA1997" s="61" t="s">
        <v>182</v>
      </c>
      <c r="AB1997" s="61"/>
    </row>
    <row r="1998" spans="1:28" s="2" customFormat="1" ht="28.5">
      <c r="A1998" s="61" t="s">
        <v>778</v>
      </c>
      <c r="B1998" s="61" t="s">
        <v>1373</v>
      </c>
      <c r="C1998" s="61" t="s">
        <v>1439</v>
      </c>
      <c r="D1998" s="61" t="s">
        <v>7838</v>
      </c>
      <c r="E1998" s="61">
        <v>6053</v>
      </c>
      <c r="F1998" s="61">
        <v>5885</v>
      </c>
      <c r="G1998" s="61">
        <v>2025</v>
      </c>
      <c r="H1998" s="61" t="s">
        <v>3129</v>
      </c>
      <c r="I1998" s="61" t="s">
        <v>33</v>
      </c>
      <c r="J1998" s="61"/>
      <c r="K1998" s="61" t="s">
        <v>148</v>
      </c>
      <c r="L1998" s="61" t="s">
        <v>8859</v>
      </c>
      <c r="M1998" s="475">
        <v>45959</v>
      </c>
      <c r="N1998" s="475">
        <v>45969</v>
      </c>
      <c r="O1998" s="61"/>
      <c r="P1998" s="475">
        <v>45978</v>
      </c>
      <c r="Q1998" s="475">
        <v>45979</v>
      </c>
      <c r="R1998" s="61">
        <f t="shared" si="136"/>
        <v>7</v>
      </c>
      <c r="S1998" s="61" t="str">
        <f t="shared" si="137"/>
        <v/>
      </c>
      <c r="T1998" s="61">
        <f t="shared" si="135"/>
        <v>5</v>
      </c>
      <c r="U1998" s="61">
        <f t="shared" si="138"/>
        <v>1</v>
      </c>
      <c r="V1998" s="61" t="s">
        <v>150</v>
      </c>
      <c r="W1998" s="61" t="s">
        <v>1078</v>
      </c>
      <c r="X1998" s="61" t="s">
        <v>50</v>
      </c>
      <c r="Y1998" s="61" t="s">
        <v>69</v>
      </c>
      <c r="Z1998" s="61" t="s">
        <v>69</v>
      </c>
      <c r="AA1998" s="61" t="s">
        <v>361</v>
      </c>
      <c r="AB1998" s="61" t="s">
        <v>8860</v>
      </c>
    </row>
    <row r="1999" spans="1:28" s="2" customFormat="1" ht="28.5">
      <c r="A1999" s="61" t="s">
        <v>778</v>
      </c>
      <c r="B1999" s="61" t="s">
        <v>1373</v>
      </c>
      <c r="C1999" s="61" t="s">
        <v>1253</v>
      </c>
      <c r="D1999" s="61" t="s">
        <v>7838</v>
      </c>
      <c r="E1999" s="61">
        <v>4186</v>
      </c>
      <c r="F1999" s="61">
        <v>4118</v>
      </c>
      <c r="G1999" s="61">
        <v>2025</v>
      </c>
      <c r="H1999" s="61" t="s">
        <v>3129</v>
      </c>
      <c r="I1999" s="61" t="s">
        <v>33</v>
      </c>
      <c r="J1999" s="61"/>
      <c r="K1999" s="61" t="s">
        <v>148</v>
      </c>
      <c r="L1999" s="61" t="s">
        <v>8859</v>
      </c>
      <c r="M1999" s="475">
        <v>45959</v>
      </c>
      <c r="N1999" s="475">
        <v>45969</v>
      </c>
      <c r="O1999" s="61"/>
      <c r="P1999" s="475">
        <v>45978</v>
      </c>
      <c r="Q1999" s="475">
        <v>45979</v>
      </c>
      <c r="R1999" s="61">
        <f t="shared" si="136"/>
        <v>7</v>
      </c>
      <c r="S1999" s="61" t="str">
        <f t="shared" si="137"/>
        <v/>
      </c>
      <c r="T1999" s="61">
        <f t="shared" si="135"/>
        <v>5</v>
      </c>
      <c r="U1999" s="61">
        <f t="shared" si="138"/>
        <v>1</v>
      </c>
      <c r="V1999" s="61" t="s">
        <v>150</v>
      </c>
      <c r="W1999" s="61" t="s">
        <v>1078</v>
      </c>
      <c r="X1999" s="61" t="s">
        <v>57</v>
      </c>
      <c r="Y1999" s="61" t="s">
        <v>69</v>
      </c>
      <c r="Z1999" s="61" t="s">
        <v>69</v>
      </c>
      <c r="AA1999" s="61" t="s">
        <v>361</v>
      </c>
      <c r="AB1999" s="61" t="s">
        <v>8860</v>
      </c>
    </row>
    <row r="2000" spans="1:28" s="2" customFormat="1" ht="28.5">
      <c r="A2000" s="61" t="s">
        <v>778</v>
      </c>
      <c r="B2000" s="61" t="s">
        <v>1373</v>
      </c>
      <c r="C2000" s="61" t="s">
        <v>3724</v>
      </c>
      <c r="D2000" s="61" t="s">
        <v>7838</v>
      </c>
      <c r="E2000" s="61">
        <v>2089</v>
      </c>
      <c r="F2000" s="61">
        <v>2241</v>
      </c>
      <c r="G2000" s="61">
        <v>2025</v>
      </c>
      <c r="H2000" s="61" t="s">
        <v>3129</v>
      </c>
      <c r="I2000" s="61" t="s">
        <v>33</v>
      </c>
      <c r="J2000" s="61"/>
      <c r="K2000" s="61" t="s">
        <v>148</v>
      </c>
      <c r="L2000" s="61" t="s">
        <v>8859</v>
      </c>
      <c r="M2000" s="475">
        <v>45959</v>
      </c>
      <c r="N2000" s="475">
        <v>45969</v>
      </c>
      <c r="O2000" s="61"/>
      <c r="P2000" s="475">
        <v>45978</v>
      </c>
      <c r="Q2000" s="475">
        <v>45979</v>
      </c>
      <c r="R2000" s="61">
        <f t="shared" si="136"/>
        <v>7</v>
      </c>
      <c r="S2000" s="61" t="str">
        <f t="shared" si="137"/>
        <v/>
      </c>
      <c r="T2000" s="61">
        <f t="shared" si="135"/>
        <v>5</v>
      </c>
      <c r="U2000" s="61">
        <f t="shared" si="138"/>
        <v>1</v>
      </c>
      <c r="V2000" s="61" t="s">
        <v>150</v>
      </c>
      <c r="W2000" s="61" t="s">
        <v>1078</v>
      </c>
      <c r="X2000" s="61" t="s">
        <v>50</v>
      </c>
      <c r="Y2000" s="61" t="s">
        <v>69</v>
      </c>
      <c r="Z2000" s="61" t="s">
        <v>69</v>
      </c>
      <c r="AA2000" s="61" t="s">
        <v>361</v>
      </c>
      <c r="AB2000" s="61" t="s">
        <v>8860</v>
      </c>
    </row>
    <row r="2001" spans="1:28" s="2" customFormat="1" ht="28.5">
      <c r="A2001" s="61" t="s">
        <v>778</v>
      </c>
      <c r="B2001" s="61" t="s">
        <v>1373</v>
      </c>
      <c r="C2001" s="61" t="s">
        <v>3974</v>
      </c>
      <c r="D2001" s="61" t="s">
        <v>7838</v>
      </c>
      <c r="E2001" s="61">
        <v>2127</v>
      </c>
      <c r="F2001" s="61">
        <v>2257</v>
      </c>
      <c r="G2001" s="61">
        <v>2025</v>
      </c>
      <c r="H2001" s="61" t="s">
        <v>3129</v>
      </c>
      <c r="I2001" s="61" t="s">
        <v>33</v>
      </c>
      <c r="J2001" s="61"/>
      <c r="K2001" s="61" t="s">
        <v>148</v>
      </c>
      <c r="L2001" s="61" t="s">
        <v>8859</v>
      </c>
      <c r="M2001" s="475">
        <v>45959</v>
      </c>
      <c r="N2001" s="475">
        <v>45969</v>
      </c>
      <c r="O2001" s="61"/>
      <c r="P2001" s="475">
        <v>45978</v>
      </c>
      <c r="Q2001" s="475">
        <v>45979</v>
      </c>
      <c r="R2001" s="61">
        <f t="shared" si="136"/>
        <v>7</v>
      </c>
      <c r="S2001" s="61" t="str">
        <f t="shared" si="137"/>
        <v/>
      </c>
      <c r="T2001" s="61">
        <f t="shared" si="135"/>
        <v>5</v>
      </c>
      <c r="U2001" s="61">
        <f t="shared" si="138"/>
        <v>1</v>
      </c>
      <c r="V2001" s="61" t="s">
        <v>150</v>
      </c>
      <c r="W2001" s="61" t="s">
        <v>4</v>
      </c>
      <c r="X2001" s="61" t="s">
        <v>50</v>
      </c>
      <c r="Y2001" s="61" t="s">
        <v>69</v>
      </c>
      <c r="Z2001" s="61" t="s">
        <v>69</v>
      </c>
      <c r="AA2001" s="61" t="s">
        <v>361</v>
      </c>
      <c r="AB2001" s="61" t="s">
        <v>8860</v>
      </c>
    </row>
    <row r="2002" spans="1:28" s="2" customFormat="1" ht="28.5">
      <c r="A2002" s="61" t="s">
        <v>778</v>
      </c>
      <c r="B2002" s="61" t="s">
        <v>1373</v>
      </c>
      <c r="C2002" s="61" t="s">
        <v>1424</v>
      </c>
      <c r="D2002" s="61" t="s">
        <v>7838</v>
      </c>
      <c r="E2002" s="61">
        <v>3403</v>
      </c>
      <c r="F2002" s="61">
        <v>3920</v>
      </c>
      <c r="G2002" s="61">
        <v>2025</v>
      </c>
      <c r="H2002" s="61" t="s">
        <v>3129</v>
      </c>
      <c r="I2002" s="61" t="s">
        <v>33</v>
      </c>
      <c r="J2002" s="61"/>
      <c r="K2002" s="61" t="s">
        <v>148</v>
      </c>
      <c r="L2002" s="61" t="s">
        <v>8859</v>
      </c>
      <c r="M2002" s="475">
        <v>45959</v>
      </c>
      <c r="N2002" s="475">
        <v>45969</v>
      </c>
      <c r="O2002" s="61"/>
      <c r="P2002" s="475">
        <v>45978</v>
      </c>
      <c r="Q2002" s="475">
        <v>45979</v>
      </c>
      <c r="R2002" s="61">
        <f t="shared" si="136"/>
        <v>7</v>
      </c>
      <c r="S2002" s="61" t="str">
        <f t="shared" si="137"/>
        <v/>
      </c>
      <c r="T2002" s="61">
        <f t="shared" si="135"/>
        <v>5</v>
      </c>
      <c r="U2002" s="61">
        <f t="shared" si="138"/>
        <v>1</v>
      </c>
      <c r="V2002" s="61" t="s">
        <v>150</v>
      </c>
      <c r="W2002" s="61" t="s">
        <v>4</v>
      </c>
      <c r="X2002" s="61" t="s">
        <v>57</v>
      </c>
      <c r="Y2002" s="61" t="s">
        <v>69</v>
      </c>
      <c r="Z2002" s="61" t="s">
        <v>69</v>
      </c>
      <c r="AA2002" s="61" t="s">
        <v>361</v>
      </c>
      <c r="AB2002" s="61" t="s">
        <v>8860</v>
      </c>
    </row>
    <row r="2003" spans="1:28" s="2" customFormat="1" ht="28.5">
      <c r="A2003" s="61" t="s">
        <v>778</v>
      </c>
      <c r="B2003" s="61" t="s">
        <v>1373</v>
      </c>
      <c r="C2003" s="61" t="s">
        <v>4261</v>
      </c>
      <c r="D2003" s="61" t="s">
        <v>7838</v>
      </c>
      <c r="E2003" s="61">
        <v>2090</v>
      </c>
      <c r="F2003" s="61">
        <v>2097</v>
      </c>
      <c r="G2003" s="61"/>
      <c r="H2003" s="61"/>
      <c r="I2003" s="61" t="s">
        <v>33</v>
      </c>
      <c r="J2003" s="61"/>
      <c r="K2003" s="61" t="s">
        <v>148</v>
      </c>
      <c r="L2003" s="61"/>
      <c r="M2003" s="61"/>
      <c r="N2003" s="61"/>
      <c r="O2003" s="61"/>
      <c r="P2003" s="61"/>
      <c r="Q2003" s="61"/>
      <c r="R2003" s="61" t="str">
        <f t="shared" si="136"/>
        <v/>
      </c>
      <c r="S2003" s="61" t="str">
        <f t="shared" si="137"/>
        <v/>
      </c>
      <c r="T2003" s="61" t="str">
        <f t="shared" ref="T2003:T2066" si="139">IF(
  OR(A2003 = "Nueva_Ecija", A2003 = "Zambales"),
  IF(
    OR(ISBLANK(O2003), ISBLANK(P2003)),
    "",
    MAX(1, IF(
      NETWORKDAYS(O2003, P2003) &lt;= 0,
      1,
      NETWORKDAYS(O2003, P2003) - IF(O2003 = P2003, 0, 1)
    ))
  ),
  IF(
    OR(ISBLANK(N2003), ISBLANK(P2003)),
    "",
    MAX(1, IF(
      NETWORKDAYS(N2003, P2003) &lt;= 0,
      1,
      NETWORKDAYS(N2003, P2003) - IF(N2003 = P2003, 0, 1)
    ))
  )
)</f>
        <v/>
      </c>
      <c r="U2003" s="61" t="str">
        <f t="shared" si="138"/>
        <v/>
      </c>
      <c r="V2003" s="61"/>
      <c r="W2003" s="61"/>
      <c r="X2003" s="61"/>
      <c r="Y2003" s="61"/>
      <c r="Z2003" s="61"/>
      <c r="AA2003" s="61"/>
      <c r="AB2003" s="61"/>
    </row>
    <row r="2004" spans="1:28" s="2" customFormat="1" ht="28.5">
      <c r="A2004" s="61" t="s">
        <v>778</v>
      </c>
      <c r="B2004" s="61" t="s">
        <v>1373</v>
      </c>
      <c r="C2004" s="61" t="s">
        <v>5528</v>
      </c>
      <c r="D2004" s="61" t="s">
        <v>7838</v>
      </c>
      <c r="E2004" s="61">
        <v>4825</v>
      </c>
      <c r="F2004" s="61">
        <v>5615</v>
      </c>
      <c r="G2004" s="61">
        <v>2025</v>
      </c>
      <c r="H2004" s="61" t="s">
        <v>3129</v>
      </c>
      <c r="I2004" s="61" t="s">
        <v>33</v>
      </c>
      <c r="J2004" s="61"/>
      <c r="K2004" s="61" t="s">
        <v>148</v>
      </c>
      <c r="L2004" s="61" t="s">
        <v>8859</v>
      </c>
      <c r="M2004" s="475">
        <v>45959</v>
      </c>
      <c r="N2004" s="475">
        <v>45969</v>
      </c>
      <c r="O2004" s="61"/>
      <c r="P2004" s="475">
        <v>45978</v>
      </c>
      <c r="Q2004" s="475">
        <v>45979</v>
      </c>
      <c r="R2004" s="61">
        <f t="shared" si="136"/>
        <v>7</v>
      </c>
      <c r="S2004" s="61" t="str">
        <f t="shared" si="137"/>
        <v/>
      </c>
      <c r="T2004" s="61">
        <f t="shared" si="139"/>
        <v>5</v>
      </c>
      <c r="U2004" s="61">
        <f t="shared" si="138"/>
        <v>1</v>
      </c>
      <c r="V2004" s="61" t="s">
        <v>150</v>
      </c>
      <c r="W2004" s="61" t="s">
        <v>4</v>
      </c>
      <c r="X2004" s="61" t="s">
        <v>50</v>
      </c>
      <c r="Y2004" s="61" t="s">
        <v>69</v>
      </c>
      <c r="Z2004" s="61" t="s">
        <v>69</v>
      </c>
      <c r="AA2004" s="61" t="s">
        <v>361</v>
      </c>
      <c r="AB2004" s="61" t="s">
        <v>8860</v>
      </c>
    </row>
    <row r="2005" spans="1:28" s="2" customFormat="1" ht="28.5">
      <c r="A2005" s="61" t="s">
        <v>778</v>
      </c>
      <c r="B2005" s="61" t="s">
        <v>1373</v>
      </c>
      <c r="C2005" s="61" t="s">
        <v>5529</v>
      </c>
      <c r="D2005" s="61" t="s">
        <v>7838</v>
      </c>
      <c r="E2005" s="61">
        <v>7722</v>
      </c>
      <c r="F2005" s="61">
        <v>7891</v>
      </c>
      <c r="G2005" s="61"/>
      <c r="H2005" s="61"/>
      <c r="I2005" s="61" t="s">
        <v>33</v>
      </c>
      <c r="J2005" s="61"/>
      <c r="K2005" s="61" t="s">
        <v>148</v>
      </c>
      <c r="L2005" s="61"/>
      <c r="M2005" s="61"/>
      <c r="N2005" s="61"/>
      <c r="O2005" s="61"/>
      <c r="P2005" s="61"/>
      <c r="Q2005" s="61"/>
      <c r="R2005" s="61" t="str">
        <f t="shared" si="136"/>
        <v/>
      </c>
      <c r="S2005" s="61" t="str">
        <f t="shared" si="137"/>
        <v/>
      </c>
      <c r="T2005" s="61" t="str">
        <f t="shared" si="139"/>
        <v/>
      </c>
      <c r="U2005" s="61" t="str">
        <f t="shared" si="138"/>
        <v/>
      </c>
      <c r="V2005" s="61"/>
      <c r="W2005" s="61"/>
      <c r="X2005" s="61"/>
      <c r="Y2005" s="61"/>
      <c r="Z2005" s="61"/>
      <c r="AA2005" s="61"/>
      <c r="AB2005" s="61"/>
    </row>
    <row r="2006" spans="1:28" s="2" customFormat="1" ht="28.5">
      <c r="A2006" s="61" t="s">
        <v>778</v>
      </c>
      <c r="B2006" s="61" t="s">
        <v>1381</v>
      </c>
      <c r="C2006" s="61" t="s">
        <v>5533</v>
      </c>
      <c r="D2006" s="61" t="s">
        <v>7838</v>
      </c>
      <c r="E2006" s="61">
        <v>2103</v>
      </c>
      <c r="F2006" s="61">
        <v>2297</v>
      </c>
      <c r="G2006" s="61">
        <v>2025</v>
      </c>
      <c r="H2006" s="61" t="s">
        <v>3416</v>
      </c>
      <c r="I2006" s="61" t="s">
        <v>35</v>
      </c>
      <c r="J2006" s="61"/>
      <c r="K2006" s="61" t="s">
        <v>148</v>
      </c>
      <c r="L2006" s="61" t="s">
        <v>8863</v>
      </c>
      <c r="M2006" s="475">
        <v>45721</v>
      </c>
      <c r="N2006" s="475">
        <v>45734</v>
      </c>
      <c r="O2006" s="61"/>
      <c r="P2006" s="475">
        <v>45734</v>
      </c>
      <c r="Q2006" s="475">
        <v>45734</v>
      </c>
      <c r="R2006" s="61">
        <f t="shared" si="136"/>
        <v>9</v>
      </c>
      <c r="S2006" s="61" t="str">
        <f t="shared" si="137"/>
        <v/>
      </c>
      <c r="T2006" s="61">
        <f t="shared" si="139"/>
        <v>1</v>
      </c>
      <c r="U2006" s="61">
        <f t="shared" si="138"/>
        <v>1</v>
      </c>
      <c r="V2006" s="61" t="s">
        <v>150</v>
      </c>
      <c r="W2006" s="61" t="s">
        <v>3527</v>
      </c>
      <c r="X2006" s="61" t="s">
        <v>3528</v>
      </c>
      <c r="Y2006" s="61">
        <v>14.972</v>
      </c>
      <c r="Z2006" s="61">
        <v>120.59829999999999</v>
      </c>
      <c r="AA2006" s="61" t="s">
        <v>182</v>
      </c>
      <c r="AB2006" s="61"/>
    </row>
    <row r="2007" spans="1:28" s="2" customFormat="1" ht="28.5">
      <c r="A2007" s="61" t="s">
        <v>778</v>
      </c>
      <c r="B2007" s="61" t="s">
        <v>1381</v>
      </c>
      <c r="C2007" s="61" t="s">
        <v>1299</v>
      </c>
      <c r="D2007" s="61" t="s">
        <v>7838</v>
      </c>
      <c r="E2007" s="61">
        <v>3943</v>
      </c>
      <c r="F2007" s="61">
        <v>4241</v>
      </c>
      <c r="G2007" s="61">
        <v>2025</v>
      </c>
      <c r="H2007" s="61" t="s">
        <v>3416</v>
      </c>
      <c r="I2007" s="61" t="s">
        <v>35</v>
      </c>
      <c r="J2007" s="61"/>
      <c r="K2007" s="61" t="s">
        <v>148</v>
      </c>
      <c r="L2007" s="61" t="s">
        <v>8864</v>
      </c>
      <c r="M2007" s="475">
        <v>45729</v>
      </c>
      <c r="N2007" s="475">
        <v>45734</v>
      </c>
      <c r="O2007" s="61"/>
      <c r="P2007" s="475">
        <v>45734</v>
      </c>
      <c r="Q2007" s="475">
        <v>45734</v>
      </c>
      <c r="R2007" s="61">
        <f t="shared" si="136"/>
        <v>3</v>
      </c>
      <c r="S2007" s="61" t="str">
        <f t="shared" si="137"/>
        <v/>
      </c>
      <c r="T2007" s="61">
        <f t="shared" si="139"/>
        <v>1</v>
      </c>
      <c r="U2007" s="61">
        <f t="shared" si="138"/>
        <v>1</v>
      </c>
      <c r="V2007" s="61" t="s">
        <v>150</v>
      </c>
      <c r="W2007" s="61" t="s">
        <v>3527</v>
      </c>
      <c r="X2007" s="61" t="s">
        <v>3528</v>
      </c>
      <c r="Y2007" s="61">
        <v>14.9765</v>
      </c>
      <c r="Z2007" s="61">
        <v>120.59010000000001</v>
      </c>
      <c r="AA2007" s="61" t="s">
        <v>182</v>
      </c>
      <c r="AB2007" s="61"/>
    </row>
    <row r="2008" spans="1:28" s="2" customFormat="1" ht="28.5">
      <c r="A2008" s="61" t="s">
        <v>778</v>
      </c>
      <c r="B2008" s="61" t="s">
        <v>1381</v>
      </c>
      <c r="C2008" s="61" t="s">
        <v>858</v>
      </c>
      <c r="D2008" s="61" t="s">
        <v>7838</v>
      </c>
      <c r="E2008" s="61">
        <v>2076</v>
      </c>
      <c r="F2008" s="61">
        <v>2256</v>
      </c>
      <c r="G2008" s="61">
        <v>2025</v>
      </c>
      <c r="H2008" s="61" t="s">
        <v>3470</v>
      </c>
      <c r="I2008" s="61" t="s">
        <v>35</v>
      </c>
      <c r="J2008" s="61"/>
      <c r="K2008" s="61" t="s">
        <v>148</v>
      </c>
      <c r="L2008" s="61" t="s">
        <v>8865</v>
      </c>
      <c r="M2008" s="475">
        <v>45757</v>
      </c>
      <c r="N2008" s="475">
        <v>45760</v>
      </c>
      <c r="O2008" s="61"/>
      <c r="P2008" s="475">
        <v>45762</v>
      </c>
      <c r="Q2008" s="475">
        <v>45768</v>
      </c>
      <c r="R2008" s="61">
        <f t="shared" ref="R2008:R2071" si="140">IF(
    OR(ISBLANK(M2008), ISBLANK(N2008)),
    "",
    MAX(1, IF(
        NETWORKDAYS(M2008, N2008) &lt;= 0,
        1,
        NETWORKDAYS(M2008, N2008) - IF(M2008 = N2008, 0, 1)
    ))
)</f>
        <v>1</v>
      </c>
      <c r="S2008" s="61" t="str">
        <f t="shared" ref="S2008:S2071" si="141">IF(
    OR(ISBLANK(N2008), ISBLANK(O2008)),
    "",
    MAX(1, IF(
        NETWORKDAYS(N2008, O2008) &lt;= 0,
        1,
        NETWORKDAYS(N2008, O2008) - IF(N2008 = O2008, 0, 1)
    ))
)</f>
        <v/>
      </c>
      <c r="T2008" s="61">
        <f t="shared" si="139"/>
        <v>1</v>
      </c>
      <c r="U2008" s="61">
        <f t="shared" ref="U2008:U2071" si="142">IF(
    OR(ISBLANK(P2008), ISBLANK(Q2008)),
    "",
    MAX(1, IF(
        NETWORKDAYS(P2008, Q2008) &lt;= 0,
        1,
        NETWORKDAYS(P2008, Q2008) - IF(P2008 = Q2008, 0, 1)
    ))
)</f>
        <v>4</v>
      </c>
      <c r="V2008" s="61" t="s">
        <v>150</v>
      </c>
      <c r="W2008" s="61" t="s">
        <v>3527</v>
      </c>
      <c r="X2008" s="61" t="s">
        <v>3528</v>
      </c>
      <c r="Y2008" s="61">
        <v>14.977499999999999</v>
      </c>
      <c r="Z2008" s="61">
        <v>120.6134</v>
      </c>
      <c r="AA2008" s="61" t="s">
        <v>182</v>
      </c>
      <c r="AB2008" s="61"/>
    </row>
    <row r="2009" spans="1:28" s="2" customFormat="1" ht="28.5">
      <c r="A2009" s="61" t="s">
        <v>778</v>
      </c>
      <c r="B2009" s="61" t="s">
        <v>1381</v>
      </c>
      <c r="C2009" s="61" t="s">
        <v>5548</v>
      </c>
      <c r="D2009" s="61" t="s">
        <v>7838</v>
      </c>
      <c r="E2009" s="61">
        <v>3500</v>
      </c>
      <c r="F2009" s="61">
        <v>4240</v>
      </c>
      <c r="G2009" s="61">
        <v>2025</v>
      </c>
      <c r="H2009" s="61" t="s">
        <v>3125</v>
      </c>
      <c r="I2009" s="61" t="s">
        <v>35</v>
      </c>
      <c r="J2009" s="61" t="s">
        <v>28</v>
      </c>
      <c r="K2009" s="61" t="s">
        <v>148</v>
      </c>
      <c r="L2009" s="61" t="s">
        <v>8866</v>
      </c>
      <c r="M2009" s="475">
        <v>45854</v>
      </c>
      <c r="N2009" s="475">
        <v>45844</v>
      </c>
      <c r="O2009" s="475">
        <v>45856</v>
      </c>
      <c r="P2009" s="475">
        <v>45856</v>
      </c>
      <c r="Q2009" s="475">
        <v>45856</v>
      </c>
      <c r="R2009" s="61">
        <f t="shared" si="140"/>
        <v>1</v>
      </c>
      <c r="S2009" s="61">
        <f t="shared" si="141"/>
        <v>9</v>
      </c>
      <c r="T2009" s="61">
        <f t="shared" si="139"/>
        <v>9</v>
      </c>
      <c r="U2009" s="61">
        <f t="shared" si="142"/>
        <v>1</v>
      </c>
      <c r="V2009" s="61" t="s">
        <v>150</v>
      </c>
      <c r="W2009" s="61" t="s">
        <v>3527</v>
      </c>
      <c r="X2009" s="61" t="s">
        <v>3528</v>
      </c>
      <c r="Y2009" s="61">
        <v>14.978199999999999</v>
      </c>
      <c r="Z2009" s="61">
        <v>120.62139999999999</v>
      </c>
      <c r="AA2009" s="61" t="s">
        <v>182</v>
      </c>
      <c r="AB2009" s="61"/>
    </row>
    <row r="2010" spans="1:28" s="2" customFormat="1" ht="28.5">
      <c r="A2010" s="61" t="s">
        <v>778</v>
      </c>
      <c r="B2010" s="61" t="s">
        <v>1381</v>
      </c>
      <c r="C2010" s="61" t="s">
        <v>3974</v>
      </c>
      <c r="D2010" s="61" t="s">
        <v>7838</v>
      </c>
      <c r="E2010" s="61">
        <v>3251</v>
      </c>
      <c r="F2010" s="61">
        <v>3474</v>
      </c>
      <c r="G2010" s="61">
        <v>2025</v>
      </c>
      <c r="H2010" s="61" t="s">
        <v>3416</v>
      </c>
      <c r="I2010" s="61" t="s">
        <v>35</v>
      </c>
      <c r="J2010" s="61"/>
      <c r="K2010" s="61" t="s">
        <v>148</v>
      </c>
      <c r="L2010" s="61" t="s">
        <v>8867</v>
      </c>
      <c r="M2010" s="475">
        <v>45729</v>
      </c>
      <c r="N2010" s="475">
        <v>45734</v>
      </c>
      <c r="O2010" s="61"/>
      <c r="P2010" s="475">
        <v>45734</v>
      </c>
      <c r="Q2010" s="475">
        <v>45734</v>
      </c>
      <c r="R2010" s="61">
        <f t="shared" si="140"/>
        <v>3</v>
      </c>
      <c r="S2010" s="61" t="str">
        <f t="shared" si="141"/>
        <v/>
      </c>
      <c r="T2010" s="61">
        <f t="shared" si="139"/>
        <v>1</v>
      </c>
      <c r="U2010" s="61">
        <f t="shared" si="142"/>
        <v>1</v>
      </c>
      <c r="V2010" s="61" t="s">
        <v>150</v>
      </c>
      <c r="W2010" s="61" t="s">
        <v>3527</v>
      </c>
      <c r="X2010" s="61" t="s">
        <v>3528</v>
      </c>
      <c r="Y2010" s="61">
        <v>14.968500000000001</v>
      </c>
      <c r="Z2010" s="61">
        <v>120.6318</v>
      </c>
      <c r="AA2010" s="61" t="s">
        <v>182</v>
      </c>
      <c r="AB2010" s="61"/>
    </row>
    <row r="2011" spans="1:28" s="2" customFormat="1" ht="28.5">
      <c r="A2011" s="61" t="s">
        <v>778</v>
      </c>
      <c r="B2011" s="61" t="s">
        <v>1381</v>
      </c>
      <c r="C2011" s="61" t="s">
        <v>5532</v>
      </c>
      <c r="D2011" s="61" t="s">
        <v>7838</v>
      </c>
      <c r="E2011" s="61">
        <v>3210</v>
      </c>
      <c r="F2011" s="61">
        <v>3998</v>
      </c>
      <c r="G2011" s="61">
        <v>2025</v>
      </c>
      <c r="H2011" s="61" t="s">
        <v>3128</v>
      </c>
      <c r="I2011" s="61" t="s">
        <v>35</v>
      </c>
      <c r="J2011" s="61"/>
      <c r="K2011" s="61" t="s">
        <v>148</v>
      </c>
      <c r="L2011" s="61" t="s">
        <v>8868</v>
      </c>
      <c r="M2011" s="475">
        <v>45944</v>
      </c>
      <c r="N2011" s="475">
        <v>45945</v>
      </c>
      <c r="O2011" s="61"/>
      <c r="P2011" s="475">
        <v>45946</v>
      </c>
      <c r="Q2011" s="475">
        <v>45950</v>
      </c>
      <c r="R2011" s="61">
        <f t="shared" si="140"/>
        <v>1</v>
      </c>
      <c r="S2011" s="61" t="str">
        <f t="shared" si="141"/>
        <v/>
      </c>
      <c r="T2011" s="61">
        <f t="shared" si="139"/>
        <v>1</v>
      </c>
      <c r="U2011" s="61">
        <f t="shared" si="142"/>
        <v>2</v>
      </c>
      <c r="V2011" s="61" t="s">
        <v>150</v>
      </c>
      <c r="W2011" s="61" t="s">
        <v>3527</v>
      </c>
      <c r="X2011" s="61" t="s">
        <v>3528</v>
      </c>
      <c r="Y2011" s="61" t="s">
        <v>69</v>
      </c>
      <c r="Z2011" s="61" t="s">
        <v>69</v>
      </c>
      <c r="AA2011" s="61" t="s">
        <v>292</v>
      </c>
      <c r="AB2011" s="61" t="s">
        <v>8869</v>
      </c>
    </row>
    <row r="2012" spans="1:28" s="2" customFormat="1" ht="28.5">
      <c r="A2012" s="61" t="s">
        <v>778</v>
      </c>
      <c r="B2012" s="61" t="s">
        <v>1381</v>
      </c>
      <c r="C2012" s="61" t="s">
        <v>4143</v>
      </c>
      <c r="D2012" s="61" t="s">
        <v>7838</v>
      </c>
      <c r="E2012" s="61">
        <v>6675</v>
      </c>
      <c r="F2012" s="61">
        <v>6777</v>
      </c>
      <c r="G2012" s="61">
        <v>2025</v>
      </c>
      <c r="H2012" s="61" t="s">
        <v>3128</v>
      </c>
      <c r="I2012" s="61" t="s">
        <v>35</v>
      </c>
      <c r="J2012" s="61"/>
      <c r="K2012" s="61" t="s">
        <v>148</v>
      </c>
      <c r="L2012" s="61" t="s">
        <v>8868</v>
      </c>
      <c r="M2012" s="475">
        <v>45944</v>
      </c>
      <c r="N2012" s="475">
        <v>45945</v>
      </c>
      <c r="O2012" s="61"/>
      <c r="P2012" s="475">
        <v>45946</v>
      </c>
      <c r="Q2012" s="475">
        <v>45950</v>
      </c>
      <c r="R2012" s="61">
        <f t="shared" si="140"/>
        <v>1</v>
      </c>
      <c r="S2012" s="61" t="str">
        <f t="shared" si="141"/>
        <v/>
      </c>
      <c r="T2012" s="61">
        <f t="shared" si="139"/>
        <v>1</v>
      </c>
      <c r="U2012" s="61">
        <f t="shared" si="142"/>
        <v>2</v>
      </c>
      <c r="V2012" s="61" t="s">
        <v>150</v>
      </c>
      <c r="W2012" s="61" t="s">
        <v>3527</v>
      </c>
      <c r="X2012" s="61" t="s">
        <v>3528</v>
      </c>
      <c r="Y2012" s="61" t="s">
        <v>69</v>
      </c>
      <c r="Z2012" s="61" t="s">
        <v>69</v>
      </c>
      <c r="AA2012" s="61" t="s">
        <v>292</v>
      </c>
      <c r="AB2012" s="61" t="s">
        <v>8869</v>
      </c>
    </row>
    <row r="2013" spans="1:28" s="2" customFormat="1" ht="28.5">
      <c r="A2013" s="61" t="s">
        <v>778</v>
      </c>
      <c r="B2013" s="61" t="s">
        <v>1381</v>
      </c>
      <c r="C2013" s="61" t="s">
        <v>5535</v>
      </c>
      <c r="D2013" s="61" t="s">
        <v>7838</v>
      </c>
      <c r="E2013" s="61">
        <v>3377</v>
      </c>
      <c r="F2013" s="61">
        <v>3588</v>
      </c>
      <c r="G2013" s="61">
        <v>2025</v>
      </c>
      <c r="H2013" s="61" t="s">
        <v>3128</v>
      </c>
      <c r="I2013" s="61" t="s">
        <v>35</v>
      </c>
      <c r="J2013" s="61"/>
      <c r="K2013" s="61" t="s">
        <v>148</v>
      </c>
      <c r="L2013" s="61" t="s">
        <v>8868</v>
      </c>
      <c r="M2013" s="475">
        <v>45944</v>
      </c>
      <c r="N2013" s="475">
        <v>45945</v>
      </c>
      <c r="O2013" s="61"/>
      <c r="P2013" s="475">
        <v>45946</v>
      </c>
      <c r="Q2013" s="475">
        <v>45950</v>
      </c>
      <c r="R2013" s="61">
        <f t="shared" si="140"/>
        <v>1</v>
      </c>
      <c r="S2013" s="61" t="str">
        <f t="shared" si="141"/>
        <v/>
      </c>
      <c r="T2013" s="61">
        <f t="shared" si="139"/>
        <v>1</v>
      </c>
      <c r="U2013" s="61">
        <f t="shared" si="142"/>
        <v>2</v>
      </c>
      <c r="V2013" s="61" t="s">
        <v>150</v>
      </c>
      <c r="W2013" s="61" t="s">
        <v>3527</v>
      </c>
      <c r="X2013" s="61" t="s">
        <v>3528</v>
      </c>
      <c r="Y2013" s="61" t="s">
        <v>69</v>
      </c>
      <c r="Z2013" s="61" t="s">
        <v>69</v>
      </c>
      <c r="AA2013" s="61" t="s">
        <v>292</v>
      </c>
      <c r="AB2013" s="61" t="s">
        <v>8869</v>
      </c>
    </row>
    <row r="2014" spans="1:28" s="2" customFormat="1" ht="28.5">
      <c r="A2014" s="61" t="s">
        <v>778</v>
      </c>
      <c r="B2014" s="61" t="s">
        <v>1381</v>
      </c>
      <c r="C2014" s="61" t="s">
        <v>3699</v>
      </c>
      <c r="D2014" s="61" t="s">
        <v>7838</v>
      </c>
      <c r="E2014" s="61">
        <v>3319</v>
      </c>
      <c r="F2014" s="61">
        <v>3568</v>
      </c>
      <c r="G2014" s="61">
        <v>2025</v>
      </c>
      <c r="H2014" s="61" t="s">
        <v>3128</v>
      </c>
      <c r="I2014" s="61" t="s">
        <v>35</v>
      </c>
      <c r="J2014" s="61"/>
      <c r="K2014" s="61" t="s">
        <v>148</v>
      </c>
      <c r="L2014" s="61" t="s">
        <v>8868</v>
      </c>
      <c r="M2014" s="475">
        <v>45944</v>
      </c>
      <c r="N2014" s="475">
        <v>45945</v>
      </c>
      <c r="O2014" s="61"/>
      <c r="P2014" s="475">
        <v>45946</v>
      </c>
      <c r="Q2014" s="475">
        <v>45950</v>
      </c>
      <c r="R2014" s="61">
        <f t="shared" si="140"/>
        <v>1</v>
      </c>
      <c r="S2014" s="61" t="str">
        <f t="shared" si="141"/>
        <v/>
      </c>
      <c r="T2014" s="61">
        <f t="shared" si="139"/>
        <v>1</v>
      </c>
      <c r="U2014" s="61">
        <f t="shared" si="142"/>
        <v>2</v>
      </c>
      <c r="V2014" s="61" t="s">
        <v>150</v>
      </c>
      <c r="W2014" s="61" t="s">
        <v>3527</v>
      </c>
      <c r="X2014" s="61" t="s">
        <v>3528</v>
      </c>
      <c r="Y2014" s="61" t="s">
        <v>69</v>
      </c>
      <c r="Z2014" s="61" t="s">
        <v>69</v>
      </c>
      <c r="AA2014" s="61" t="s">
        <v>292</v>
      </c>
      <c r="AB2014" s="61" t="s">
        <v>8869</v>
      </c>
    </row>
    <row r="2015" spans="1:28" s="2" customFormat="1" ht="28.5">
      <c r="A2015" s="61" t="s">
        <v>778</v>
      </c>
      <c r="B2015" s="61" t="s">
        <v>1381</v>
      </c>
      <c r="C2015" s="61" t="s">
        <v>5536</v>
      </c>
      <c r="D2015" s="61" t="s">
        <v>7838</v>
      </c>
      <c r="E2015" s="61">
        <v>3378</v>
      </c>
      <c r="F2015" s="61">
        <v>3974</v>
      </c>
      <c r="G2015" s="61">
        <v>2025</v>
      </c>
      <c r="H2015" s="61" t="s">
        <v>3128</v>
      </c>
      <c r="I2015" s="61" t="s">
        <v>35</v>
      </c>
      <c r="J2015" s="61"/>
      <c r="K2015" s="61" t="s">
        <v>148</v>
      </c>
      <c r="L2015" s="61" t="s">
        <v>8868</v>
      </c>
      <c r="M2015" s="475">
        <v>45944</v>
      </c>
      <c r="N2015" s="475">
        <v>45945</v>
      </c>
      <c r="O2015" s="61"/>
      <c r="P2015" s="475">
        <v>45946</v>
      </c>
      <c r="Q2015" s="475">
        <v>45950</v>
      </c>
      <c r="R2015" s="61">
        <f t="shared" si="140"/>
        <v>1</v>
      </c>
      <c r="S2015" s="61" t="str">
        <f t="shared" si="141"/>
        <v/>
      </c>
      <c r="T2015" s="61">
        <f t="shared" si="139"/>
        <v>1</v>
      </c>
      <c r="U2015" s="61">
        <f t="shared" si="142"/>
        <v>2</v>
      </c>
      <c r="V2015" s="61" t="s">
        <v>150</v>
      </c>
      <c r="W2015" s="61" t="s">
        <v>3527</v>
      </c>
      <c r="X2015" s="61" t="s">
        <v>3528</v>
      </c>
      <c r="Y2015" s="61" t="s">
        <v>69</v>
      </c>
      <c r="Z2015" s="61" t="s">
        <v>69</v>
      </c>
      <c r="AA2015" s="61" t="s">
        <v>292</v>
      </c>
      <c r="AB2015" s="61" t="s">
        <v>8869</v>
      </c>
    </row>
    <row r="2016" spans="1:28" s="2" customFormat="1" ht="28.5">
      <c r="A2016" s="61" t="s">
        <v>778</v>
      </c>
      <c r="B2016" s="61" t="s">
        <v>1381</v>
      </c>
      <c r="C2016" s="61" t="s">
        <v>5537</v>
      </c>
      <c r="D2016" s="61" t="s">
        <v>7838</v>
      </c>
      <c r="E2016" s="61">
        <v>6151</v>
      </c>
      <c r="F2016" s="61">
        <v>8005</v>
      </c>
      <c r="G2016" s="61">
        <v>2025</v>
      </c>
      <c r="H2016" s="61" t="s">
        <v>3128</v>
      </c>
      <c r="I2016" s="61" t="s">
        <v>35</v>
      </c>
      <c r="J2016" s="61"/>
      <c r="K2016" s="61" t="s">
        <v>148</v>
      </c>
      <c r="L2016" s="61" t="s">
        <v>8868</v>
      </c>
      <c r="M2016" s="475">
        <v>45944</v>
      </c>
      <c r="N2016" s="475">
        <v>45945</v>
      </c>
      <c r="O2016" s="61"/>
      <c r="P2016" s="475">
        <v>45946</v>
      </c>
      <c r="Q2016" s="475">
        <v>45950</v>
      </c>
      <c r="R2016" s="61">
        <f t="shared" si="140"/>
        <v>1</v>
      </c>
      <c r="S2016" s="61" t="str">
        <f t="shared" si="141"/>
        <v/>
      </c>
      <c r="T2016" s="61">
        <f t="shared" si="139"/>
        <v>1</v>
      </c>
      <c r="U2016" s="61">
        <f t="shared" si="142"/>
        <v>2</v>
      </c>
      <c r="V2016" s="61" t="s">
        <v>150</v>
      </c>
      <c r="W2016" s="61" t="s">
        <v>3527</v>
      </c>
      <c r="X2016" s="61" t="s">
        <v>3528</v>
      </c>
      <c r="Y2016" s="61" t="s">
        <v>69</v>
      </c>
      <c r="Z2016" s="61" t="s">
        <v>69</v>
      </c>
      <c r="AA2016" s="61" t="s">
        <v>292</v>
      </c>
      <c r="AB2016" s="61" t="s">
        <v>8869</v>
      </c>
    </row>
    <row r="2017" spans="1:28" s="2" customFormat="1" ht="28.5">
      <c r="A2017" s="61" t="s">
        <v>778</v>
      </c>
      <c r="B2017" s="61" t="s">
        <v>1381</v>
      </c>
      <c r="C2017" s="61" t="s">
        <v>5539</v>
      </c>
      <c r="D2017" s="61" t="s">
        <v>7838</v>
      </c>
      <c r="E2017" s="61">
        <v>9359</v>
      </c>
      <c r="F2017" s="61">
        <v>10105</v>
      </c>
      <c r="G2017" s="61">
        <v>2025</v>
      </c>
      <c r="H2017" s="61" t="s">
        <v>3128</v>
      </c>
      <c r="I2017" s="61" t="s">
        <v>35</v>
      </c>
      <c r="J2017" s="61"/>
      <c r="K2017" s="61" t="s">
        <v>148</v>
      </c>
      <c r="L2017" s="61" t="s">
        <v>8868</v>
      </c>
      <c r="M2017" s="475">
        <v>45944</v>
      </c>
      <c r="N2017" s="475">
        <v>45945</v>
      </c>
      <c r="O2017" s="61"/>
      <c r="P2017" s="475">
        <v>45946</v>
      </c>
      <c r="Q2017" s="475">
        <v>45950</v>
      </c>
      <c r="R2017" s="61">
        <f t="shared" si="140"/>
        <v>1</v>
      </c>
      <c r="S2017" s="61" t="str">
        <f t="shared" si="141"/>
        <v/>
      </c>
      <c r="T2017" s="61">
        <f t="shared" si="139"/>
        <v>1</v>
      </c>
      <c r="U2017" s="61">
        <f t="shared" si="142"/>
        <v>2</v>
      </c>
      <c r="V2017" s="61" t="s">
        <v>150</v>
      </c>
      <c r="W2017" s="61" t="s">
        <v>3527</v>
      </c>
      <c r="X2017" s="61" t="s">
        <v>3528</v>
      </c>
      <c r="Y2017" s="61" t="s">
        <v>69</v>
      </c>
      <c r="Z2017" s="61" t="s">
        <v>69</v>
      </c>
      <c r="AA2017" s="61" t="s">
        <v>292</v>
      </c>
      <c r="AB2017" s="61" t="s">
        <v>8869</v>
      </c>
    </row>
    <row r="2018" spans="1:28" s="2" customFormat="1" ht="28.5">
      <c r="A2018" s="61" t="s">
        <v>778</v>
      </c>
      <c r="B2018" s="61" t="s">
        <v>1381</v>
      </c>
      <c r="C2018" s="61" t="s">
        <v>4126</v>
      </c>
      <c r="D2018" s="61" t="s">
        <v>7838</v>
      </c>
      <c r="E2018" s="61">
        <v>5792</v>
      </c>
      <c r="F2018" s="61">
        <v>6863</v>
      </c>
      <c r="G2018" s="61">
        <v>2025</v>
      </c>
      <c r="H2018" s="61" t="s">
        <v>3128</v>
      </c>
      <c r="I2018" s="61" t="s">
        <v>35</v>
      </c>
      <c r="J2018" s="61"/>
      <c r="K2018" s="61" t="s">
        <v>148</v>
      </c>
      <c r="L2018" s="61" t="s">
        <v>8868</v>
      </c>
      <c r="M2018" s="475">
        <v>45944</v>
      </c>
      <c r="N2018" s="475">
        <v>45945</v>
      </c>
      <c r="O2018" s="61"/>
      <c r="P2018" s="475">
        <v>45946</v>
      </c>
      <c r="Q2018" s="475">
        <v>45950</v>
      </c>
      <c r="R2018" s="61">
        <f t="shared" si="140"/>
        <v>1</v>
      </c>
      <c r="S2018" s="61" t="str">
        <f t="shared" si="141"/>
        <v/>
      </c>
      <c r="T2018" s="61">
        <f t="shared" si="139"/>
        <v>1</v>
      </c>
      <c r="U2018" s="61">
        <f t="shared" si="142"/>
        <v>2</v>
      </c>
      <c r="V2018" s="61" t="s">
        <v>150</v>
      </c>
      <c r="W2018" s="61" t="s">
        <v>3527</v>
      </c>
      <c r="X2018" s="61" t="s">
        <v>3528</v>
      </c>
      <c r="Y2018" s="61" t="s">
        <v>69</v>
      </c>
      <c r="Z2018" s="61" t="s">
        <v>69</v>
      </c>
      <c r="AA2018" s="61" t="s">
        <v>292</v>
      </c>
      <c r="AB2018" s="61" t="s">
        <v>8869</v>
      </c>
    </row>
    <row r="2019" spans="1:28" s="2" customFormat="1" ht="28.5">
      <c r="A2019" s="61" t="s">
        <v>778</v>
      </c>
      <c r="B2019" s="61" t="s">
        <v>1381</v>
      </c>
      <c r="C2019" s="61" t="s">
        <v>914</v>
      </c>
      <c r="D2019" s="61" t="s">
        <v>7838</v>
      </c>
      <c r="E2019" s="61">
        <v>4436</v>
      </c>
      <c r="F2019" s="61">
        <v>4886</v>
      </c>
      <c r="G2019" s="61">
        <v>2025</v>
      </c>
      <c r="H2019" s="61" t="s">
        <v>3128</v>
      </c>
      <c r="I2019" s="61" t="s">
        <v>35</v>
      </c>
      <c r="J2019" s="61"/>
      <c r="K2019" s="61" t="s">
        <v>148</v>
      </c>
      <c r="L2019" s="61" t="s">
        <v>8868</v>
      </c>
      <c r="M2019" s="475">
        <v>45944</v>
      </c>
      <c r="N2019" s="475">
        <v>45945</v>
      </c>
      <c r="O2019" s="61"/>
      <c r="P2019" s="475">
        <v>45946</v>
      </c>
      <c r="Q2019" s="475">
        <v>45950</v>
      </c>
      <c r="R2019" s="61">
        <f t="shared" si="140"/>
        <v>1</v>
      </c>
      <c r="S2019" s="61" t="str">
        <f t="shared" si="141"/>
        <v/>
      </c>
      <c r="T2019" s="61">
        <f t="shared" si="139"/>
        <v>1</v>
      </c>
      <c r="U2019" s="61">
        <f t="shared" si="142"/>
        <v>2</v>
      </c>
      <c r="V2019" s="61" t="s">
        <v>150</v>
      </c>
      <c r="W2019" s="61" t="s">
        <v>3527</v>
      </c>
      <c r="X2019" s="61" t="s">
        <v>3528</v>
      </c>
      <c r="Y2019" s="61" t="s">
        <v>69</v>
      </c>
      <c r="Z2019" s="61" t="s">
        <v>69</v>
      </c>
      <c r="AA2019" s="61" t="s">
        <v>292</v>
      </c>
      <c r="AB2019" s="61" t="s">
        <v>8869</v>
      </c>
    </row>
    <row r="2020" spans="1:28" s="2" customFormat="1" ht="28.5">
      <c r="A2020" s="61" t="s">
        <v>778</v>
      </c>
      <c r="B2020" s="61" t="s">
        <v>1381</v>
      </c>
      <c r="C2020" s="61" t="s">
        <v>5545</v>
      </c>
      <c r="D2020" s="61" t="s">
        <v>7838</v>
      </c>
      <c r="E2020" s="61">
        <v>2537</v>
      </c>
      <c r="F2020" s="61">
        <v>2657</v>
      </c>
      <c r="G2020" s="61">
        <v>2025</v>
      </c>
      <c r="H2020" s="61" t="s">
        <v>3128</v>
      </c>
      <c r="I2020" s="61" t="s">
        <v>35</v>
      </c>
      <c r="J2020" s="61"/>
      <c r="K2020" s="61" t="s">
        <v>148</v>
      </c>
      <c r="L2020" s="61" t="s">
        <v>8868</v>
      </c>
      <c r="M2020" s="475">
        <v>45944</v>
      </c>
      <c r="N2020" s="475">
        <v>45945</v>
      </c>
      <c r="O2020" s="61"/>
      <c r="P2020" s="475">
        <v>45946</v>
      </c>
      <c r="Q2020" s="475">
        <v>45950</v>
      </c>
      <c r="R2020" s="61">
        <f t="shared" si="140"/>
        <v>1</v>
      </c>
      <c r="S2020" s="61" t="str">
        <f t="shared" si="141"/>
        <v/>
      </c>
      <c r="T2020" s="61">
        <f t="shared" si="139"/>
        <v>1</v>
      </c>
      <c r="U2020" s="61">
        <f t="shared" si="142"/>
        <v>2</v>
      </c>
      <c r="V2020" s="61" t="s">
        <v>150</v>
      </c>
      <c r="W2020" s="61" t="s">
        <v>3527</v>
      </c>
      <c r="X2020" s="61" t="s">
        <v>3528</v>
      </c>
      <c r="Y2020" s="61" t="s">
        <v>69</v>
      </c>
      <c r="Z2020" s="61" t="s">
        <v>69</v>
      </c>
      <c r="AA2020" s="61" t="s">
        <v>292</v>
      </c>
      <c r="AB2020" s="61" t="s">
        <v>8869</v>
      </c>
    </row>
    <row r="2021" spans="1:28" s="2" customFormat="1" ht="28.5">
      <c r="A2021" s="61" t="s">
        <v>778</v>
      </c>
      <c r="B2021" s="61" t="s">
        <v>1381</v>
      </c>
      <c r="C2021" s="61" t="s">
        <v>5547</v>
      </c>
      <c r="D2021" s="61" t="s">
        <v>7838</v>
      </c>
      <c r="E2021" s="61">
        <v>6060</v>
      </c>
      <c r="F2021" s="61">
        <v>6640</v>
      </c>
      <c r="G2021" s="61">
        <v>2025</v>
      </c>
      <c r="H2021" s="61" t="s">
        <v>3128</v>
      </c>
      <c r="I2021" s="61" t="s">
        <v>35</v>
      </c>
      <c r="J2021" s="61"/>
      <c r="K2021" s="61" t="s">
        <v>148</v>
      </c>
      <c r="L2021" s="61" t="s">
        <v>8868</v>
      </c>
      <c r="M2021" s="475">
        <v>45944</v>
      </c>
      <c r="N2021" s="475">
        <v>45945</v>
      </c>
      <c r="O2021" s="61"/>
      <c r="P2021" s="475">
        <v>45946</v>
      </c>
      <c r="Q2021" s="475">
        <v>45950</v>
      </c>
      <c r="R2021" s="61">
        <f t="shared" si="140"/>
        <v>1</v>
      </c>
      <c r="S2021" s="61" t="str">
        <f t="shared" si="141"/>
        <v/>
      </c>
      <c r="T2021" s="61">
        <f t="shared" si="139"/>
        <v>1</v>
      </c>
      <c r="U2021" s="61">
        <f t="shared" si="142"/>
        <v>2</v>
      </c>
      <c r="V2021" s="61" t="s">
        <v>150</v>
      </c>
      <c r="W2021" s="61" t="s">
        <v>3527</v>
      </c>
      <c r="X2021" s="61" t="s">
        <v>3528</v>
      </c>
      <c r="Y2021" s="61" t="s">
        <v>69</v>
      </c>
      <c r="Z2021" s="61" t="s">
        <v>69</v>
      </c>
      <c r="AA2021" s="61" t="s">
        <v>292</v>
      </c>
      <c r="AB2021" s="61" t="s">
        <v>8869</v>
      </c>
    </row>
    <row r="2022" spans="1:28" s="2" customFormat="1" ht="28.5">
      <c r="A2022" s="61" t="s">
        <v>778</v>
      </c>
      <c r="B2022" s="61" t="s">
        <v>1381</v>
      </c>
      <c r="C2022" s="61" t="s">
        <v>1151</v>
      </c>
      <c r="D2022" s="61" t="s">
        <v>7838</v>
      </c>
      <c r="E2022" s="61">
        <v>4710</v>
      </c>
      <c r="F2022" s="61">
        <v>5108</v>
      </c>
      <c r="G2022" s="61">
        <v>2025</v>
      </c>
      <c r="H2022" s="61" t="s">
        <v>3128</v>
      </c>
      <c r="I2022" s="61" t="s">
        <v>35</v>
      </c>
      <c r="J2022" s="61"/>
      <c r="K2022" s="61" t="s">
        <v>148</v>
      </c>
      <c r="L2022" s="61" t="s">
        <v>8868</v>
      </c>
      <c r="M2022" s="475">
        <v>45944</v>
      </c>
      <c r="N2022" s="475">
        <v>45945</v>
      </c>
      <c r="O2022" s="61"/>
      <c r="P2022" s="475">
        <v>45946</v>
      </c>
      <c r="Q2022" s="475">
        <v>45950</v>
      </c>
      <c r="R2022" s="61">
        <f t="shared" si="140"/>
        <v>1</v>
      </c>
      <c r="S2022" s="61" t="str">
        <f t="shared" si="141"/>
        <v/>
      </c>
      <c r="T2022" s="61">
        <f t="shared" si="139"/>
        <v>1</v>
      </c>
      <c r="U2022" s="61">
        <f t="shared" si="142"/>
        <v>2</v>
      </c>
      <c r="V2022" s="61" t="s">
        <v>150</v>
      </c>
      <c r="W2022" s="61" t="s">
        <v>3527</v>
      </c>
      <c r="X2022" s="61" t="s">
        <v>3528</v>
      </c>
      <c r="Y2022" s="61" t="s">
        <v>69</v>
      </c>
      <c r="Z2022" s="61" t="s">
        <v>69</v>
      </c>
      <c r="AA2022" s="61" t="s">
        <v>292</v>
      </c>
      <c r="AB2022" s="61" t="s">
        <v>8869</v>
      </c>
    </row>
    <row r="2023" spans="1:28" s="2" customFormat="1" ht="28.5">
      <c r="A2023" s="61" t="s">
        <v>778</v>
      </c>
      <c r="B2023" s="61" t="s">
        <v>1381</v>
      </c>
      <c r="C2023" s="61" t="s">
        <v>5551</v>
      </c>
      <c r="D2023" s="61" t="s">
        <v>7838</v>
      </c>
      <c r="E2023" s="61">
        <v>1632</v>
      </c>
      <c r="F2023" s="61">
        <v>1822</v>
      </c>
      <c r="G2023" s="61">
        <v>2025</v>
      </c>
      <c r="H2023" s="61" t="s">
        <v>3128</v>
      </c>
      <c r="I2023" s="61" t="s">
        <v>35</v>
      </c>
      <c r="J2023" s="61"/>
      <c r="K2023" s="61" t="s">
        <v>148</v>
      </c>
      <c r="L2023" s="61" t="s">
        <v>8868</v>
      </c>
      <c r="M2023" s="475">
        <v>45944</v>
      </c>
      <c r="N2023" s="475">
        <v>45945</v>
      </c>
      <c r="O2023" s="61"/>
      <c r="P2023" s="475">
        <v>45946</v>
      </c>
      <c r="Q2023" s="475">
        <v>45950</v>
      </c>
      <c r="R2023" s="61">
        <f t="shared" si="140"/>
        <v>1</v>
      </c>
      <c r="S2023" s="61" t="str">
        <f t="shared" si="141"/>
        <v/>
      </c>
      <c r="T2023" s="61">
        <f t="shared" si="139"/>
        <v>1</v>
      </c>
      <c r="U2023" s="61">
        <f t="shared" si="142"/>
        <v>2</v>
      </c>
      <c r="V2023" s="61" t="s">
        <v>150</v>
      </c>
      <c r="W2023" s="61" t="s">
        <v>3527</v>
      </c>
      <c r="X2023" s="61" t="s">
        <v>3528</v>
      </c>
      <c r="Y2023" s="61" t="s">
        <v>69</v>
      </c>
      <c r="Z2023" s="61" t="s">
        <v>69</v>
      </c>
      <c r="AA2023" s="61" t="s">
        <v>292</v>
      </c>
      <c r="AB2023" s="61" t="s">
        <v>8869</v>
      </c>
    </row>
    <row r="2024" spans="1:28" s="2" customFormat="1" ht="28.5">
      <c r="A2024" s="61" t="s">
        <v>778</v>
      </c>
      <c r="B2024" s="61" t="s">
        <v>1381</v>
      </c>
      <c r="C2024" s="61" t="s">
        <v>5552</v>
      </c>
      <c r="D2024" s="61" t="s">
        <v>7838</v>
      </c>
      <c r="E2024" s="61">
        <v>2611</v>
      </c>
      <c r="F2024" s="61">
        <v>3275</v>
      </c>
      <c r="G2024" s="61">
        <v>2025</v>
      </c>
      <c r="H2024" s="61" t="s">
        <v>3128</v>
      </c>
      <c r="I2024" s="61" t="s">
        <v>35</v>
      </c>
      <c r="J2024" s="61"/>
      <c r="K2024" s="61" t="s">
        <v>148</v>
      </c>
      <c r="L2024" s="61" t="s">
        <v>8868</v>
      </c>
      <c r="M2024" s="475">
        <v>45944</v>
      </c>
      <c r="N2024" s="475">
        <v>45945</v>
      </c>
      <c r="O2024" s="61"/>
      <c r="P2024" s="475">
        <v>45946</v>
      </c>
      <c r="Q2024" s="475">
        <v>45950</v>
      </c>
      <c r="R2024" s="61">
        <f t="shared" si="140"/>
        <v>1</v>
      </c>
      <c r="S2024" s="61" t="str">
        <f t="shared" si="141"/>
        <v/>
      </c>
      <c r="T2024" s="61">
        <f t="shared" si="139"/>
        <v>1</v>
      </c>
      <c r="U2024" s="61">
        <f t="shared" si="142"/>
        <v>2</v>
      </c>
      <c r="V2024" s="61" t="s">
        <v>150</v>
      </c>
      <c r="W2024" s="61" t="s">
        <v>3527</v>
      </c>
      <c r="X2024" s="61" t="s">
        <v>3528</v>
      </c>
      <c r="Y2024" s="61" t="s">
        <v>69</v>
      </c>
      <c r="Z2024" s="61" t="s">
        <v>69</v>
      </c>
      <c r="AA2024" s="61" t="s">
        <v>292</v>
      </c>
      <c r="AB2024" s="61" t="s">
        <v>8869</v>
      </c>
    </row>
    <row r="2025" spans="1:28" s="2" customFormat="1" ht="28.5">
      <c r="A2025" s="61" t="s">
        <v>778</v>
      </c>
      <c r="B2025" s="61" t="s">
        <v>1381</v>
      </c>
      <c r="C2025" s="61" t="s">
        <v>1166</v>
      </c>
      <c r="D2025" s="61" t="s">
        <v>7838</v>
      </c>
      <c r="E2025" s="61">
        <v>5972</v>
      </c>
      <c r="F2025" s="61">
        <v>6098</v>
      </c>
      <c r="G2025" s="61">
        <v>2025</v>
      </c>
      <c r="H2025" s="61" t="s">
        <v>3128</v>
      </c>
      <c r="I2025" s="61" t="s">
        <v>35</v>
      </c>
      <c r="J2025" s="61"/>
      <c r="K2025" s="61" t="s">
        <v>148</v>
      </c>
      <c r="L2025" s="61" t="s">
        <v>8868</v>
      </c>
      <c r="M2025" s="475">
        <v>45944</v>
      </c>
      <c r="N2025" s="475">
        <v>45945</v>
      </c>
      <c r="O2025" s="61"/>
      <c r="P2025" s="475">
        <v>45946</v>
      </c>
      <c r="Q2025" s="475">
        <v>45950</v>
      </c>
      <c r="R2025" s="61">
        <f t="shared" si="140"/>
        <v>1</v>
      </c>
      <c r="S2025" s="61" t="str">
        <f t="shared" si="141"/>
        <v/>
      </c>
      <c r="T2025" s="61">
        <f t="shared" si="139"/>
        <v>1</v>
      </c>
      <c r="U2025" s="61">
        <f t="shared" si="142"/>
        <v>2</v>
      </c>
      <c r="V2025" s="61" t="s">
        <v>150</v>
      </c>
      <c r="W2025" s="61" t="s">
        <v>3527</v>
      </c>
      <c r="X2025" s="61" t="s">
        <v>3528</v>
      </c>
      <c r="Y2025" s="61" t="s">
        <v>69</v>
      </c>
      <c r="Z2025" s="61" t="s">
        <v>69</v>
      </c>
      <c r="AA2025" s="61" t="s">
        <v>292</v>
      </c>
      <c r="AB2025" s="61" t="s">
        <v>8869</v>
      </c>
    </row>
    <row r="2026" spans="1:28" s="2" customFormat="1" ht="28.5">
      <c r="A2026" s="61" t="s">
        <v>778</v>
      </c>
      <c r="B2026" s="61" t="s">
        <v>1381</v>
      </c>
      <c r="C2026" s="61" t="s">
        <v>4027</v>
      </c>
      <c r="D2026" s="61" t="s">
        <v>7838</v>
      </c>
      <c r="E2026" s="61">
        <v>3438</v>
      </c>
      <c r="F2026" s="61">
        <v>3920</v>
      </c>
      <c r="G2026" s="61">
        <v>2025</v>
      </c>
      <c r="H2026" s="61" t="s">
        <v>3128</v>
      </c>
      <c r="I2026" s="61" t="s">
        <v>35</v>
      </c>
      <c r="J2026" s="61"/>
      <c r="K2026" s="61" t="s">
        <v>148</v>
      </c>
      <c r="L2026" s="61" t="s">
        <v>8868</v>
      </c>
      <c r="M2026" s="475">
        <v>45944</v>
      </c>
      <c r="N2026" s="475">
        <v>45945</v>
      </c>
      <c r="O2026" s="61"/>
      <c r="P2026" s="475">
        <v>45946</v>
      </c>
      <c r="Q2026" s="475">
        <v>45950</v>
      </c>
      <c r="R2026" s="61">
        <f t="shared" si="140"/>
        <v>1</v>
      </c>
      <c r="S2026" s="61" t="str">
        <f t="shared" si="141"/>
        <v/>
      </c>
      <c r="T2026" s="61">
        <f t="shared" si="139"/>
        <v>1</v>
      </c>
      <c r="U2026" s="61">
        <f t="shared" si="142"/>
        <v>2</v>
      </c>
      <c r="V2026" s="61" t="s">
        <v>150</v>
      </c>
      <c r="W2026" s="61" t="s">
        <v>3527</v>
      </c>
      <c r="X2026" s="61" t="s">
        <v>3528</v>
      </c>
      <c r="Y2026" s="61" t="s">
        <v>69</v>
      </c>
      <c r="Z2026" s="61" t="s">
        <v>69</v>
      </c>
      <c r="AA2026" s="61" t="s">
        <v>292</v>
      </c>
      <c r="AB2026" s="61" t="s">
        <v>8869</v>
      </c>
    </row>
    <row r="2027" spans="1:28" s="2" customFormat="1" ht="28.5">
      <c r="A2027" s="61" t="s">
        <v>778</v>
      </c>
      <c r="B2027" s="61" t="s">
        <v>1381</v>
      </c>
      <c r="C2027" s="61" t="s">
        <v>5558</v>
      </c>
      <c r="D2027" s="61" t="s">
        <v>7838</v>
      </c>
      <c r="E2027" s="61">
        <v>5961</v>
      </c>
      <c r="F2027" s="61">
        <v>6014</v>
      </c>
      <c r="G2027" s="61">
        <v>2025</v>
      </c>
      <c r="H2027" s="61" t="s">
        <v>3128</v>
      </c>
      <c r="I2027" s="61" t="s">
        <v>35</v>
      </c>
      <c r="J2027" s="61"/>
      <c r="K2027" s="61" t="s">
        <v>148</v>
      </c>
      <c r="L2027" s="61" t="s">
        <v>8868</v>
      </c>
      <c r="M2027" s="475">
        <v>45944</v>
      </c>
      <c r="N2027" s="475">
        <v>45945</v>
      </c>
      <c r="O2027" s="61"/>
      <c r="P2027" s="475">
        <v>45946</v>
      </c>
      <c r="Q2027" s="475">
        <v>45950</v>
      </c>
      <c r="R2027" s="61">
        <f t="shared" si="140"/>
        <v>1</v>
      </c>
      <c r="S2027" s="61" t="str">
        <f t="shared" si="141"/>
        <v/>
      </c>
      <c r="T2027" s="61">
        <f t="shared" si="139"/>
        <v>1</v>
      </c>
      <c r="U2027" s="61">
        <f t="shared" si="142"/>
        <v>2</v>
      </c>
      <c r="V2027" s="61" t="s">
        <v>150</v>
      </c>
      <c r="W2027" s="61" t="s">
        <v>3527</v>
      </c>
      <c r="X2027" s="61" t="s">
        <v>3528</v>
      </c>
      <c r="Y2027" s="61" t="s">
        <v>69</v>
      </c>
      <c r="Z2027" s="61" t="s">
        <v>69</v>
      </c>
      <c r="AA2027" s="61" t="s">
        <v>292</v>
      </c>
      <c r="AB2027" s="61" t="s">
        <v>8869</v>
      </c>
    </row>
    <row r="2028" spans="1:28" s="2" customFormat="1" ht="28.5">
      <c r="A2028" s="61" t="s">
        <v>778</v>
      </c>
      <c r="B2028" s="61" t="s">
        <v>1381</v>
      </c>
      <c r="C2028" s="61" t="s">
        <v>3977</v>
      </c>
      <c r="D2028" s="61" t="s">
        <v>7838</v>
      </c>
      <c r="E2028" s="61">
        <v>3605</v>
      </c>
      <c r="F2028" s="61">
        <v>3767</v>
      </c>
      <c r="G2028" s="61">
        <v>2025</v>
      </c>
      <c r="H2028" s="61" t="s">
        <v>3128</v>
      </c>
      <c r="I2028" s="61" t="s">
        <v>35</v>
      </c>
      <c r="J2028" s="61"/>
      <c r="K2028" s="61" t="s">
        <v>148</v>
      </c>
      <c r="L2028" s="61" t="s">
        <v>8868</v>
      </c>
      <c r="M2028" s="475">
        <v>45944</v>
      </c>
      <c r="N2028" s="475">
        <v>45945</v>
      </c>
      <c r="O2028" s="61"/>
      <c r="P2028" s="475">
        <v>45946</v>
      </c>
      <c r="Q2028" s="475">
        <v>45950</v>
      </c>
      <c r="R2028" s="61">
        <f t="shared" si="140"/>
        <v>1</v>
      </c>
      <c r="S2028" s="61" t="str">
        <f t="shared" si="141"/>
        <v/>
      </c>
      <c r="T2028" s="61">
        <f t="shared" si="139"/>
        <v>1</v>
      </c>
      <c r="U2028" s="61">
        <f t="shared" si="142"/>
        <v>2</v>
      </c>
      <c r="V2028" s="61" t="s">
        <v>150</v>
      </c>
      <c r="W2028" s="61" t="s">
        <v>3527</v>
      </c>
      <c r="X2028" s="61" t="s">
        <v>3528</v>
      </c>
      <c r="Y2028" s="61" t="s">
        <v>69</v>
      </c>
      <c r="Z2028" s="61" t="s">
        <v>69</v>
      </c>
      <c r="AA2028" s="61" t="s">
        <v>292</v>
      </c>
      <c r="AB2028" s="61" t="s">
        <v>8869</v>
      </c>
    </row>
    <row r="2029" spans="1:28" s="2" customFormat="1" ht="28.5">
      <c r="A2029" s="61" t="s">
        <v>778</v>
      </c>
      <c r="B2029" s="61" t="s">
        <v>1381</v>
      </c>
      <c r="C2029" s="61" t="s">
        <v>4130</v>
      </c>
      <c r="D2029" s="61" t="s">
        <v>7838</v>
      </c>
      <c r="E2029" s="61">
        <v>2099</v>
      </c>
      <c r="F2029" s="61">
        <v>2175</v>
      </c>
      <c r="G2029" s="61">
        <v>2025</v>
      </c>
      <c r="H2029" s="61" t="s">
        <v>3128</v>
      </c>
      <c r="I2029" s="61" t="s">
        <v>35</v>
      </c>
      <c r="J2029" s="61"/>
      <c r="K2029" s="61" t="s">
        <v>148</v>
      </c>
      <c r="L2029" s="61" t="s">
        <v>8868</v>
      </c>
      <c r="M2029" s="475">
        <v>45944</v>
      </c>
      <c r="N2029" s="475">
        <v>45945</v>
      </c>
      <c r="O2029" s="61"/>
      <c r="P2029" s="475">
        <v>45946</v>
      </c>
      <c r="Q2029" s="475">
        <v>45950</v>
      </c>
      <c r="R2029" s="61">
        <f t="shared" si="140"/>
        <v>1</v>
      </c>
      <c r="S2029" s="61" t="str">
        <f t="shared" si="141"/>
        <v/>
      </c>
      <c r="T2029" s="61">
        <f t="shared" si="139"/>
        <v>1</v>
      </c>
      <c r="U2029" s="61">
        <f t="shared" si="142"/>
        <v>2</v>
      </c>
      <c r="V2029" s="61" t="s">
        <v>150</v>
      </c>
      <c r="W2029" s="61" t="s">
        <v>3527</v>
      </c>
      <c r="X2029" s="61" t="s">
        <v>3528</v>
      </c>
      <c r="Y2029" s="61" t="s">
        <v>69</v>
      </c>
      <c r="Z2029" s="61" t="s">
        <v>69</v>
      </c>
      <c r="AA2029" s="61" t="s">
        <v>292</v>
      </c>
      <c r="AB2029" s="61" t="s">
        <v>8869</v>
      </c>
    </row>
    <row r="2030" spans="1:28" s="2" customFormat="1" ht="28.5">
      <c r="A2030" s="61" t="s">
        <v>778</v>
      </c>
      <c r="B2030" s="61" t="s">
        <v>1381</v>
      </c>
      <c r="C2030" s="61" t="s">
        <v>5530</v>
      </c>
      <c r="D2030" s="61" t="s">
        <v>7838</v>
      </c>
      <c r="E2030" s="61">
        <v>269</v>
      </c>
      <c r="F2030" s="61">
        <v>296</v>
      </c>
      <c r="G2030" s="61">
        <v>2025</v>
      </c>
      <c r="H2030" s="61" t="s">
        <v>3127</v>
      </c>
      <c r="I2030" s="61" t="s">
        <v>35</v>
      </c>
      <c r="J2030" s="61"/>
      <c r="K2030" s="61" t="s">
        <v>148</v>
      </c>
      <c r="L2030" s="61" t="s">
        <v>8870</v>
      </c>
      <c r="M2030" s="475">
        <v>45916</v>
      </c>
      <c r="N2030" s="475">
        <v>45916</v>
      </c>
      <c r="O2030" s="61"/>
      <c r="P2030" s="475">
        <v>45917</v>
      </c>
      <c r="Q2030" s="475">
        <v>45918</v>
      </c>
      <c r="R2030" s="61">
        <f t="shared" si="140"/>
        <v>1</v>
      </c>
      <c r="S2030" s="61" t="str">
        <f t="shared" si="141"/>
        <v/>
      </c>
      <c r="T2030" s="61">
        <f t="shared" si="139"/>
        <v>1</v>
      </c>
      <c r="U2030" s="61">
        <f t="shared" si="142"/>
        <v>1</v>
      </c>
      <c r="V2030" s="61" t="s">
        <v>150</v>
      </c>
      <c r="W2030" s="61" t="s">
        <v>3527</v>
      </c>
      <c r="X2030" s="61" t="s">
        <v>3528</v>
      </c>
      <c r="Y2030" s="61" t="s">
        <v>69</v>
      </c>
      <c r="Z2030" s="61" t="s">
        <v>69</v>
      </c>
      <c r="AA2030" s="61" t="s">
        <v>404</v>
      </c>
      <c r="AB2030" s="61" t="s">
        <v>8871</v>
      </c>
    </row>
    <row r="2031" spans="1:28" s="2" customFormat="1" ht="28.5">
      <c r="A2031" s="61" t="s">
        <v>778</v>
      </c>
      <c r="B2031" s="61" t="s">
        <v>1381</v>
      </c>
      <c r="C2031" s="61" t="s">
        <v>1180</v>
      </c>
      <c r="D2031" s="61" t="s">
        <v>7838</v>
      </c>
      <c r="E2031" s="61">
        <v>1346</v>
      </c>
      <c r="F2031" s="61">
        <v>1463</v>
      </c>
      <c r="G2031" s="61">
        <v>2025</v>
      </c>
      <c r="H2031" s="61" t="s">
        <v>3127</v>
      </c>
      <c r="I2031" s="61" t="s">
        <v>35</v>
      </c>
      <c r="J2031" s="61"/>
      <c r="K2031" s="61" t="s">
        <v>148</v>
      </c>
      <c r="L2031" s="61" t="s">
        <v>8870</v>
      </c>
      <c r="M2031" s="475">
        <v>45916</v>
      </c>
      <c r="N2031" s="475">
        <v>45916</v>
      </c>
      <c r="O2031" s="61"/>
      <c r="P2031" s="475">
        <v>45917</v>
      </c>
      <c r="Q2031" s="475">
        <v>45918</v>
      </c>
      <c r="R2031" s="61">
        <f t="shared" si="140"/>
        <v>1</v>
      </c>
      <c r="S2031" s="61" t="str">
        <f t="shared" si="141"/>
        <v/>
      </c>
      <c r="T2031" s="61">
        <f t="shared" si="139"/>
        <v>1</v>
      </c>
      <c r="U2031" s="61">
        <f t="shared" si="142"/>
        <v>1</v>
      </c>
      <c r="V2031" s="61" t="s">
        <v>150</v>
      </c>
      <c r="W2031" s="61" t="s">
        <v>3527</v>
      </c>
      <c r="X2031" s="61" t="s">
        <v>3528</v>
      </c>
      <c r="Y2031" s="61" t="s">
        <v>69</v>
      </c>
      <c r="Z2031" s="61" t="s">
        <v>69</v>
      </c>
      <c r="AA2031" s="61" t="s">
        <v>404</v>
      </c>
      <c r="AB2031" s="61" t="s">
        <v>8871</v>
      </c>
    </row>
    <row r="2032" spans="1:28" s="2" customFormat="1" ht="28.5">
      <c r="A2032" s="61" t="s">
        <v>778</v>
      </c>
      <c r="B2032" s="61" t="s">
        <v>1381</v>
      </c>
      <c r="C2032" s="61" t="s">
        <v>918</v>
      </c>
      <c r="D2032" s="61" t="s">
        <v>7838</v>
      </c>
      <c r="E2032" s="61">
        <v>2509</v>
      </c>
      <c r="F2032" s="61">
        <v>2738</v>
      </c>
      <c r="G2032" s="61">
        <v>2025</v>
      </c>
      <c r="H2032" s="61" t="s">
        <v>3127</v>
      </c>
      <c r="I2032" s="61" t="s">
        <v>35</v>
      </c>
      <c r="J2032" s="61"/>
      <c r="K2032" s="61" t="s">
        <v>148</v>
      </c>
      <c r="L2032" s="61" t="s">
        <v>8870</v>
      </c>
      <c r="M2032" s="475">
        <v>45916</v>
      </c>
      <c r="N2032" s="475">
        <v>45916</v>
      </c>
      <c r="O2032" s="61"/>
      <c r="P2032" s="475">
        <v>45917</v>
      </c>
      <c r="Q2032" s="475">
        <v>45918</v>
      </c>
      <c r="R2032" s="61">
        <f t="shared" si="140"/>
        <v>1</v>
      </c>
      <c r="S2032" s="61" t="str">
        <f t="shared" si="141"/>
        <v/>
      </c>
      <c r="T2032" s="61">
        <f t="shared" si="139"/>
        <v>1</v>
      </c>
      <c r="U2032" s="61">
        <f t="shared" si="142"/>
        <v>1</v>
      </c>
      <c r="V2032" s="61" t="s">
        <v>150</v>
      </c>
      <c r="W2032" s="61" t="s">
        <v>3527</v>
      </c>
      <c r="X2032" s="61" t="s">
        <v>3528</v>
      </c>
      <c r="Y2032" s="61" t="s">
        <v>69</v>
      </c>
      <c r="Z2032" s="61" t="s">
        <v>69</v>
      </c>
      <c r="AA2032" s="61" t="s">
        <v>404</v>
      </c>
      <c r="AB2032" s="61" t="s">
        <v>8871</v>
      </c>
    </row>
    <row r="2033" spans="1:29" s="2" customFormat="1" ht="28.5">
      <c r="A2033" s="61" t="s">
        <v>778</v>
      </c>
      <c r="B2033" s="61" t="s">
        <v>1381</v>
      </c>
      <c r="C2033" s="61" t="s">
        <v>3723</v>
      </c>
      <c r="D2033" s="61" t="s">
        <v>7838</v>
      </c>
      <c r="E2033" s="61">
        <v>2966</v>
      </c>
      <c r="F2033" s="61">
        <v>3209</v>
      </c>
      <c r="G2033" s="61">
        <v>2025</v>
      </c>
      <c r="H2033" s="61" t="s">
        <v>3127</v>
      </c>
      <c r="I2033" s="61" t="s">
        <v>35</v>
      </c>
      <c r="J2033" s="61"/>
      <c r="K2033" s="61" t="s">
        <v>148</v>
      </c>
      <c r="L2033" s="61" t="s">
        <v>8870</v>
      </c>
      <c r="M2033" s="475">
        <v>45916</v>
      </c>
      <c r="N2033" s="475">
        <v>45916</v>
      </c>
      <c r="O2033" s="61"/>
      <c r="P2033" s="475">
        <v>45917</v>
      </c>
      <c r="Q2033" s="475">
        <v>45918</v>
      </c>
      <c r="R2033" s="61">
        <f t="shared" si="140"/>
        <v>1</v>
      </c>
      <c r="S2033" s="61" t="str">
        <f t="shared" si="141"/>
        <v/>
      </c>
      <c r="T2033" s="61">
        <f t="shared" si="139"/>
        <v>1</v>
      </c>
      <c r="U2033" s="61">
        <f t="shared" si="142"/>
        <v>1</v>
      </c>
      <c r="V2033" s="61" t="s">
        <v>150</v>
      </c>
      <c r="W2033" s="61" t="s">
        <v>3527</v>
      </c>
      <c r="X2033" s="61" t="s">
        <v>3528</v>
      </c>
      <c r="Y2033" s="61" t="s">
        <v>69</v>
      </c>
      <c r="Z2033" s="61" t="s">
        <v>69</v>
      </c>
      <c r="AA2033" s="61" t="s">
        <v>404</v>
      </c>
      <c r="AB2033" s="61" t="s">
        <v>8871</v>
      </c>
    </row>
    <row r="2034" spans="1:29" s="2" customFormat="1" ht="28.5">
      <c r="A2034" s="61" t="s">
        <v>778</v>
      </c>
      <c r="B2034" s="61" t="s">
        <v>1381</v>
      </c>
      <c r="C2034" s="61" t="s">
        <v>1253</v>
      </c>
      <c r="D2034" s="61" t="s">
        <v>7838</v>
      </c>
      <c r="E2034" s="61">
        <v>5314</v>
      </c>
      <c r="F2034" s="61">
        <v>5447</v>
      </c>
      <c r="G2034" s="61">
        <v>2025</v>
      </c>
      <c r="H2034" s="61" t="s">
        <v>3127</v>
      </c>
      <c r="I2034" s="61" t="s">
        <v>35</v>
      </c>
      <c r="J2034" s="61"/>
      <c r="K2034" s="61" t="s">
        <v>148</v>
      </c>
      <c r="L2034" s="61" t="s">
        <v>8870</v>
      </c>
      <c r="M2034" s="475">
        <v>45916</v>
      </c>
      <c r="N2034" s="475">
        <v>45916</v>
      </c>
      <c r="O2034" s="61"/>
      <c r="P2034" s="475">
        <v>45917</v>
      </c>
      <c r="Q2034" s="475">
        <v>45918</v>
      </c>
      <c r="R2034" s="61">
        <f t="shared" si="140"/>
        <v>1</v>
      </c>
      <c r="S2034" s="61" t="str">
        <f t="shared" si="141"/>
        <v/>
      </c>
      <c r="T2034" s="61">
        <f t="shared" si="139"/>
        <v>1</v>
      </c>
      <c r="U2034" s="61">
        <f t="shared" si="142"/>
        <v>1</v>
      </c>
      <c r="V2034" s="61" t="s">
        <v>150</v>
      </c>
      <c r="W2034" s="61" t="s">
        <v>3527</v>
      </c>
      <c r="X2034" s="61" t="s">
        <v>3528</v>
      </c>
      <c r="Y2034" s="61" t="s">
        <v>69</v>
      </c>
      <c r="Z2034" s="61" t="s">
        <v>69</v>
      </c>
      <c r="AA2034" s="61" t="s">
        <v>404</v>
      </c>
      <c r="AB2034" s="61" t="s">
        <v>8871</v>
      </c>
    </row>
    <row r="2035" spans="1:29" s="2" customFormat="1" ht="28.5">
      <c r="A2035" s="61" t="s">
        <v>778</v>
      </c>
      <c r="B2035" s="61" t="s">
        <v>1381</v>
      </c>
      <c r="C2035" s="61" t="s">
        <v>1155</v>
      </c>
      <c r="D2035" s="61" t="s">
        <v>7838</v>
      </c>
      <c r="E2035" s="61">
        <v>3943</v>
      </c>
      <c r="F2035" s="61">
        <v>4251</v>
      </c>
      <c r="G2035" s="61">
        <v>2025</v>
      </c>
      <c r="H2035" s="61" t="s">
        <v>3127</v>
      </c>
      <c r="I2035" s="61" t="s">
        <v>35</v>
      </c>
      <c r="J2035" s="61"/>
      <c r="K2035" s="61" t="s">
        <v>148</v>
      </c>
      <c r="L2035" s="61" t="s">
        <v>8870</v>
      </c>
      <c r="M2035" s="475">
        <v>45916</v>
      </c>
      <c r="N2035" s="475">
        <v>45916</v>
      </c>
      <c r="O2035" s="61"/>
      <c r="P2035" s="475">
        <v>45917</v>
      </c>
      <c r="Q2035" s="475">
        <v>45918</v>
      </c>
      <c r="R2035" s="61">
        <f t="shared" si="140"/>
        <v>1</v>
      </c>
      <c r="S2035" s="61" t="str">
        <f t="shared" si="141"/>
        <v/>
      </c>
      <c r="T2035" s="61">
        <f t="shared" si="139"/>
        <v>1</v>
      </c>
      <c r="U2035" s="61">
        <f t="shared" si="142"/>
        <v>1</v>
      </c>
      <c r="V2035" s="61" t="s">
        <v>150</v>
      </c>
      <c r="W2035" s="61" t="s">
        <v>3527</v>
      </c>
      <c r="X2035" s="61" t="s">
        <v>3528</v>
      </c>
      <c r="Y2035" s="61" t="s">
        <v>69</v>
      </c>
      <c r="Z2035" s="61" t="s">
        <v>69</v>
      </c>
      <c r="AA2035" s="61" t="s">
        <v>404</v>
      </c>
      <c r="AB2035" s="61" t="s">
        <v>8871</v>
      </c>
    </row>
    <row r="2036" spans="1:29" s="2" customFormat="1" ht="28.5">
      <c r="A2036" s="61" t="s">
        <v>778</v>
      </c>
      <c r="B2036" s="61" t="s">
        <v>1381</v>
      </c>
      <c r="C2036" s="61" t="s">
        <v>5555</v>
      </c>
      <c r="D2036" s="61" t="s">
        <v>7838</v>
      </c>
      <c r="E2036" s="61">
        <v>1888</v>
      </c>
      <c r="F2036" s="61">
        <v>1741</v>
      </c>
      <c r="G2036" s="61">
        <v>2025</v>
      </c>
      <c r="H2036" s="61" t="s">
        <v>3127</v>
      </c>
      <c r="I2036" s="61" t="s">
        <v>35</v>
      </c>
      <c r="J2036" s="61"/>
      <c r="K2036" s="61" t="s">
        <v>148</v>
      </c>
      <c r="L2036" s="61" t="s">
        <v>8870</v>
      </c>
      <c r="M2036" s="475">
        <v>45916</v>
      </c>
      <c r="N2036" s="475">
        <v>45916</v>
      </c>
      <c r="O2036" s="61"/>
      <c r="P2036" s="475">
        <v>45917</v>
      </c>
      <c r="Q2036" s="475">
        <v>45918</v>
      </c>
      <c r="R2036" s="61">
        <f t="shared" si="140"/>
        <v>1</v>
      </c>
      <c r="S2036" s="61" t="str">
        <f t="shared" si="141"/>
        <v/>
      </c>
      <c r="T2036" s="61">
        <f t="shared" si="139"/>
        <v>1</v>
      </c>
      <c r="U2036" s="61">
        <f t="shared" si="142"/>
        <v>1</v>
      </c>
      <c r="V2036" s="61" t="s">
        <v>150</v>
      </c>
      <c r="W2036" s="61" t="s">
        <v>3527</v>
      </c>
      <c r="X2036" s="61" t="s">
        <v>3528</v>
      </c>
      <c r="Y2036" s="61" t="s">
        <v>69</v>
      </c>
      <c r="Z2036" s="61" t="s">
        <v>69</v>
      </c>
      <c r="AA2036" s="61" t="s">
        <v>404</v>
      </c>
      <c r="AB2036" s="61" t="s">
        <v>8871</v>
      </c>
    </row>
    <row r="2037" spans="1:29" s="2" customFormat="1" ht="28.5">
      <c r="A2037" s="61" t="s">
        <v>778</v>
      </c>
      <c r="B2037" s="61" t="s">
        <v>1383</v>
      </c>
      <c r="C2037" s="61" t="s">
        <v>5566</v>
      </c>
      <c r="D2037" s="61" t="s">
        <v>7838</v>
      </c>
      <c r="E2037" s="61">
        <v>2784</v>
      </c>
      <c r="F2037" s="61">
        <v>2975</v>
      </c>
      <c r="G2037" s="61">
        <v>2025</v>
      </c>
      <c r="H2037" s="61" t="s">
        <v>3689</v>
      </c>
      <c r="I2037" s="61" t="s">
        <v>35</v>
      </c>
      <c r="J2037" s="61" t="s">
        <v>28</v>
      </c>
      <c r="K2037" s="61" t="s">
        <v>148</v>
      </c>
      <c r="L2037" s="61" t="s">
        <v>8872</v>
      </c>
      <c r="M2037" s="475">
        <v>45818</v>
      </c>
      <c r="N2037" s="475">
        <v>45822</v>
      </c>
      <c r="O2037" s="475">
        <v>45826</v>
      </c>
      <c r="P2037" s="475">
        <v>45826</v>
      </c>
      <c r="Q2037" s="475">
        <v>45826</v>
      </c>
      <c r="R2037" s="61">
        <f t="shared" si="140"/>
        <v>3</v>
      </c>
      <c r="S2037" s="61">
        <f t="shared" si="141"/>
        <v>2</v>
      </c>
      <c r="T2037" s="61">
        <f t="shared" si="139"/>
        <v>2</v>
      </c>
      <c r="U2037" s="61">
        <f t="shared" si="142"/>
        <v>1</v>
      </c>
      <c r="V2037" s="61" t="s">
        <v>150</v>
      </c>
      <c r="W2037" s="61" t="s">
        <v>4</v>
      </c>
      <c r="X2037" s="61" t="s">
        <v>50</v>
      </c>
      <c r="Y2037" s="61">
        <v>14.89165</v>
      </c>
      <c r="Z2037" s="61">
        <v>120.55419999999999</v>
      </c>
      <c r="AA2037" s="61" t="s">
        <v>404</v>
      </c>
      <c r="AB2037" s="61"/>
      <c r="AC2037" s="474"/>
    </row>
    <row r="2038" spans="1:29" s="2" customFormat="1" ht="28.5">
      <c r="A2038" s="61" t="s">
        <v>778</v>
      </c>
      <c r="B2038" s="61" t="s">
        <v>1383</v>
      </c>
      <c r="C2038" s="61" t="s">
        <v>5568</v>
      </c>
      <c r="D2038" s="61" t="s">
        <v>7838</v>
      </c>
      <c r="E2038" s="61">
        <v>4629</v>
      </c>
      <c r="F2038" s="61">
        <v>5703</v>
      </c>
      <c r="G2038" s="61">
        <v>2025</v>
      </c>
      <c r="H2038" s="61" t="s">
        <v>3125</v>
      </c>
      <c r="I2038" s="61" t="s">
        <v>35</v>
      </c>
      <c r="J2038" s="61" t="s">
        <v>28</v>
      </c>
      <c r="K2038" s="61" t="s">
        <v>148</v>
      </c>
      <c r="L2038" s="61" t="s">
        <v>8873</v>
      </c>
      <c r="M2038" s="475">
        <v>45854</v>
      </c>
      <c r="N2038" s="475">
        <v>45854</v>
      </c>
      <c r="O2038" s="475">
        <v>45856</v>
      </c>
      <c r="P2038" s="475">
        <v>45856</v>
      </c>
      <c r="Q2038" s="475">
        <v>45856</v>
      </c>
      <c r="R2038" s="61">
        <f t="shared" si="140"/>
        <v>1</v>
      </c>
      <c r="S2038" s="61">
        <f t="shared" si="141"/>
        <v>2</v>
      </c>
      <c r="T2038" s="61">
        <f t="shared" si="139"/>
        <v>2</v>
      </c>
      <c r="U2038" s="61">
        <f t="shared" si="142"/>
        <v>1</v>
      </c>
      <c r="V2038" s="61" t="s">
        <v>150</v>
      </c>
      <c r="W2038" s="61" t="s">
        <v>4</v>
      </c>
      <c r="X2038" s="61" t="s">
        <v>50</v>
      </c>
      <c r="Y2038" s="61">
        <v>14.9686</v>
      </c>
      <c r="Z2038" s="61">
        <v>120.5809</v>
      </c>
      <c r="AA2038" s="61" t="s">
        <v>404</v>
      </c>
      <c r="AB2038" s="61"/>
    </row>
    <row r="2039" spans="1:29" s="2" customFormat="1" ht="28.5">
      <c r="A2039" s="61" t="s">
        <v>778</v>
      </c>
      <c r="B2039" s="61" t="s">
        <v>1383</v>
      </c>
      <c r="C2039" s="61" t="s">
        <v>1180</v>
      </c>
      <c r="D2039" s="61" t="s">
        <v>7838</v>
      </c>
      <c r="E2039" s="61">
        <v>3289</v>
      </c>
      <c r="F2039" s="61">
        <v>4197</v>
      </c>
      <c r="G2039" s="61">
        <v>2025</v>
      </c>
      <c r="H2039" s="61" t="s">
        <v>3532</v>
      </c>
      <c r="I2039" s="61" t="s">
        <v>35</v>
      </c>
      <c r="J2039" s="61"/>
      <c r="K2039" s="61" t="s">
        <v>148</v>
      </c>
      <c r="L2039" s="61" t="s">
        <v>8874</v>
      </c>
      <c r="M2039" s="475">
        <v>45792</v>
      </c>
      <c r="N2039" s="475">
        <v>45793</v>
      </c>
      <c r="O2039" s="61"/>
      <c r="P2039" s="475">
        <v>45796</v>
      </c>
      <c r="Q2039" s="475">
        <v>45797</v>
      </c>
      <c r="R2039" s="61">
        <f t="shared" si="140"/>
        <v>1</v>
      </c>
      <c r="S2039" s="61" t="str">
        <f t="shared" si="141"/>
        <v/>
      </c>
      <c r="T2039" s="61">
        <f t="shared" si="139"/>
        <v>1</v>
      </c>
      <c r="U2039" s="61">
        <f t="shared" si="142"/>
        <v>1</v>
      </c>
      <c r="V2039" s="61" t="s">
        <v>150</v>
      </c>
      <c r="W2039" s="61" t="s">
        <v>4</v>
      </c>
      <c r="X2039" s="61" t="s">
        <v>50</v>
      </c>
      <c r="Y2039" s="61">
        <v>14.8848</v>
      </c>
      <c r="Z2039" s="61">
        <v>120.52330000000001</v>
      </c>
      <c r="AA2039" s="61"/>
      <c r="AB2039" s="61"/>
    </row>
    <row r="2040" spans="1:29" s="2" customFormat="1" ht="28.5">
      <c r="A2040" s="61" t="s">
        <v>778</v>
      </c>
      <c r="B2040" s="61" t="s">
        <v>1383</v>
      </c>
      <c r="C2040" s="61" t="s">
        <v>1151</v>
      </c>
      <c r="D2040" s="61" t="s">
        <v>7838</v>
      </c>
      <c r="E2040" s="61">
        <v>3540</v>
      </c>
      <c r="F2040" s="61">
        <v>2940</v>
      </c>
      <c r="G2040" s="61">
        <v>2025</v>
      </c>
      <c r="H2040" s="61" t="s">
        <v>3689</v>
      </c>
      <c r="I2040" s="61" t="s">
        <v>35</v>
      </c>
      <c r="J2040" s="61" t="s">
        <v>28</v>
      </c>
      <c r="K2040" s="61" t="s">
        <v>148</v>
      </c>
      <c r="L2040" s="61" t="s">
        <v>8875</v>
      </c>
      <c r="M2040" s="475">
        <v>45818</v>
      </c>
      <c r="N2040" s="475">
        <v>45822</v>
      </c>
      <c r="O2040" s="475">
        <v>45826</v>
      </c>
      <c r="P2040" s="475">
        <v>45826</v>
      </c>
      <c r="Q2040" s="475">
        <v>45826</v>
      </c>
      <c r="R2040" s="61">
        <f t="shared" si="140"/>
        <v>3</v>
      </c>
      <c r="S2040" s="61">
        <f t="shared" si="141"/>
        <v>2</v>
      </c>
      <c r="T2040" s="61">
        <f t="shared" si="139"/>
        <v>2</v>
      </c>
      <c r="U2040" s="61">
        <f t="shared" si="142"/>
        <v>1</v>
      </c>
      <c r="V2040" s="61" t="s">
        <v>150</v>
      </c>
      <c r="W2040" s="61" t="s">
        <v>4</v>
      </c>
      <c r="X2040" s="61" t="s">
        <v>50</v>
      </c>
      <c r="Y2040" s="61">
        <v>14.950092</v>
      </c>
      <c r="Z2040" s="61">
        <v>120.549802</v>
      </c>
      <c r="AA2040" s="61" t="s">
        <v>404</v>
      </c>
      <c r="AB2040" s="61"/>
    </row>
    <row r="2041" spans="1:29" s="2" customFormat="1" ht="28.5">
      <c r="A2041" s="61" t="s">
        <v>778</v>
      </c>
      <c r="B2041" s="61" t="s">
        <v>1383</v>
      </c>
      <c r="C2041" s="61" t="s">
        <v>5552</v>
      </c>
      <c r="D2041" s="61" t="s">
        <v>7838</v>
      </c>
      <c r="E2041" s="61">
        <v>2000</v>
      </c>
      <c r="F2041" s="61">
        <v>1860</v>
      </c>
      <c r="G2041" s="61">
        <v>2025</v>
      </c>
      <c r="H2041" s="61" t="s">
        <v>3125</v>
      </c>
      <c r="I2041" s="61" t="s">
        <v>35</v>
      </c>
      <c r="J2041" s="61" t="s">
        <v>28</v>
      </c>
      <c r="K2041" s="61" t="s">
        <v>148</v>
      </c>
      <c r="L2041" s="61" t="s">
        <v>8876</v>
      </c>
      <c r="M2041" s="475">
        <v>45854</v>
      </c>
      <c r="N2041" s="475">
        <v>45854</v>
      </c>
      <c r="O2041" s="475">
        <v>45856</v>
      </c>
      <c r="P2041" s="475">
        <v>45856</v>
      </c>
      <c r="Q2041" s="475">
        <v>45856</v>
      </c>
      <c r="R2041" s="61">
        <f t="shared" si="140"/>
        <v>1</v>
      </c>
      <c r="S2041" s="61">
        <f t="shared" si="141"/>
        <v>2</v>
      </c>
      <c r="T2041" s="61">
        <f t="shared" si="139"/>
        <v>2</v>
      </c>
      <c r="U2041" s="61">
        <f t="shared" si="142"/>
        <v>1</v>
      </c>
      <c r="V2041" s="61" t="s">
        <v>150</v>
      </c>
      <c r="W2041" s="61" t="s">
        <v>4</v>
      </c>
      <c r="X2041" s="61" t="s">
        <v>50</v>
      </c>
      <c r="Y2041" s="61">
        <v>14.93355</v>
      </c>
      <c r="Z2041" s="61">
        <v>120.588883</v>
      </c>
      <c r="AA2041" s="61" t="s">
        <v>404</v>
      </c>
      <c r="AB2041" s="61"/>
    </row>
    <row r="2042" spans="1:29" s="2" customFormat="1" ht="28.5">
      <c r="A2042" s="61" t="s">
        <v>778</v>
      </c>
      <c r="B2042" s="61" t="s">
        <v>1383</v>
      </c>
      <c r="C2042" s="61" t="s">
        <v>5581</v>
      </c>
      <c r="D2042" s="61" t="s">
        <v>7838</v>
      </c>
      <c r="E2042" s="61">
        <v>3154</v>
      </c>
      <c r="F2042" s="61">
        <v>3405</v>
      </c>
      <c r="G2042" s="61">
        <v>2025</v>
      </c>
      <c r="H2042" s="61" t="s">
        <v>3532</v>
      </c>
      <c r="I2042" s="61" t="s">
        <v>35</v>
      </c>
      <c r="J2042" s="61"/>
      <c r="K2042" s="61" t="s">
        <v>148</v>
      </c>
      <c r="L2042" s="61" t="s">
        <v>8877</v>
      </c>
      <c r="M2042" s="475">
        <v>45792</v>
      </c>
      <c r="N2042" s="475">
        <v>45793</v>
      </c>
      <c r="O2042" s="61"/>
      <c r="P2042" s="475">
        <v>45793</v>
      </c>
      <c r="Q2042" s="475">
        <v>45793</v>
      </c>
      <c r="R2042" s="61">
        <f t="shared" si="140"/>
        <v>1</v>
      </c>
      <c r="S2042" s="61" t="str">
        <f t="shared" si="141"/>
        <v/>
      </c>
      <c r="T2042" s="61">
        <f t="shared" si="139"/>
        <v>1</v>
      </c>
      <c r="U2042" s="61">
        <f t="shared" si="142"/>
        <v>1</v>
      </c>
      <c r="V2042" s="61" t="s">
        <v>150</v>
      </c>
      <c r="W2042" s="61" t="s">
        <v>4</v>
      </c>
      <c r="X2042" s="61" t="s">
        <v>50</v>
      </c>
      <c r="Y2042" s="61">
        <v>14.899100000000001</v>
      </c>
      <c r="Z2042" s="61">
        <v>120.58920000000001</v>
      </c>
      <c r="AA2042" s="61"/>
      <c r="AB2042" s="61"/>
    </row>
    <row r="2043" spans="1:29" s="2" customFormat="1" ht="28.5">
      <c r="A2043" s="61" t="s">
        <v>778</v>
      </c>
      <c r="B2043" s="61" t="s">
        <v>1383</v>
      </c>
      <c r="C2043" s="61" t="s">
        <v>1166</v>
      </c>
      <c r="D2043" s="61" t="s">
        <v>7838</v>
      </c>
      <c r="E2043" s="61">
        <v>1751</v>
      </c>
      <c r="F2043" s="61">
        <v>1391</v>
      </c>
      <c r="G2043" s="61">
        <v>2025</v>
      </c>
      <c r="H2043" s="61" t="s">
        <v>3416</v>
      </c>
      <c r="I2043" s="61" t="s">
        <v>35</v>
      </c>
      <c r="J2043" s="61"/>
      <c r="K2043" s="61" t="s">
        <v>148</v>
      </c>
      <c r="L2043" s="61" t="s">
        <v>8878</v>
      </c>
      <c r="M2043" s="475">
        <v>45727</v>
      </c>
      <c r="N2043" s="475">
        <v>45734</v>
      </c>
      <c r="O2043" s="61"/>
      <c r="P2043" s="475">
        <v>45734</v>
      </c>
      <c r="Q2043" s="475">
        <v>45734</v>
      </c>
      <c r="R2043" s="61">
        <f t="shared" si="140"/>
        <v>5</v>
      </c>
      <c r="S2043" s="61" t="str">
        <f t="shared" si="141"/>
        <v/>
      </c>
      <c r="T2043" s="61">
        <f t="shared" si="139"/>
        <v>1</v>
      </c>
      <c r="U2043" s="61">
        <f t="shared" si="142"/>
        <v>1</v>
      </c>
      <c r="V2043" s="61" t="s">
        <v>150</v>
      </c>
      <c r="W2043" s="61" t="s">
        <v>4</v>
      </c>
      <c r="X2043" s="61" t="s">
        <v>50</v>
      </c>
      <c r="Y2043" s="61">
        <v>14.949066999999999</v>
      </c>
      <c r="Z2043" s="61">
        <v>120.5667667</v>
      </c>
      <c r="AA2043" s="61" t="s">
        <v>404</v>
      </c>
      <c r="AB2043" s="61"/>
    </row>
    <row r="2044" spans="1:29" s="2" customFormat="1" ht="28.5">
      <c r="A2044" s="61" t="s">
        <v>778</v>
      </c>
      <c r="B2044" s="61" t="s">
        <v>1383</v>
      </c>
      <c r="C2044" s="61" t="s">
        <v>3133</v>
      </c>
      <c r="D2044" s="61" t="s">
        <v>7838</v>
      </c>
      <c r="E2044" s="61">
        <v>3688</v>
      </c>
      <c r="F2044" s="61">
        <v>4525</v>
      </c>
      <c r="G2044" s="61">
        <v>2025</v>
      </c>
      <c r="H2044" s="61" t="s">
        <v>3416</v>
      </c>
      <c r="I2044" s="61" t="s">
        <v>35</v>
      </c>
      <c r="J2044" s="61"/>
      <c r="K2044" s="61" t="s">
        <v>148</v>
      </c>
      <c r="L2044" s="61" t="s">
        <v>8879</v>
      </c>
      <c r="M2044" s="475">
        <v>45727</v>
      </c>
      <c r="N2044" s="475">
        <v>45734</v>
      </c>
      <c r="O2044" s="61"/>
      <c r="P2044" s="475">
        <v>45734</v>
      </c>
      <c r="Q2044" s="475">
        <v>45734</v>
      </c>
      <c r="R2044" s="61">
        <f t="shared" si="140"/>
        <v>5</v>
      </c>
      <c r="S2044" s="61" t="str">
        <f t="shared" si="141"/>
        <v/>
      </c>
      <c r="T2044" s="61">
        <f t="shared" si="139"/>
        <v>1</v>
      </c>
      <c r="U2044" s="61">
        <f t="shared" si="142"/>
        <v>1</v>
      </c>
      <c r="V2044" s="61" t="s">
        <v>150</v>
      </c>
      <c r="W2044" s="61" t="s">
        <v>4</v>
      </c>
      <c r="X2044" s="61" t="s">
        <v>50</v>
      </c>
      <c r="Y2044" s="61">
        <v>14.96035</v>
      </c>
      <c r="Z2044" s="61">
        <v>120.566633</v>
      </c>
      <c r="AA2044" s="61" t="s">
        <v>404</v>
      </c>
      <c r="AB2044" s="61"/>
    </row>
    <row r="2045" spans="1:29" s="2" customFormat="1" ht="28.5">
      <c r="A2045" s="61" t="s">
        <v>778</v>
      </c>
      <c r="B2045" s="61" t="s">
        <v>1383</v>
      </c>
      <c r="C2045" s="61" t="s">
        <v>5587</v>
      </c>
      <c r="D2045" s="61" t="s">
        <v>7838</v>
      </c>
      <c r="E2045" s="61">
        <v>6365</v>
      </c>
      <c r="F2045" s="61">
        <v>5983</v>
      </c>
      <c r="G2045" s="61">
        <v>2025</v>
      </c>
      <c r="H2045" s="61" t="s">
        <v>3416</v>
      </c>
      <c r="I2045" s="61" t="s">
        <v>35</v>
      </c>
      <c r="J2045" s="61"/>
      <c r="K2045" s="61" t="s">
        <v>148</v>
      </c>
      <c r="L2045" s="61" t="s">
        <v>8880</v>
      </c>
      <c r="M2045" s="475">
        <v>45728</v>
      </c>
      <c r="N2045" s="475">
        <v>45734</v>
      </c>
      <c r="O2045" s="61"/>
      <c r="P2045" s="475">
        <v>45734</v>
      </c>
      <c r="Q2045" s="475">
        <v>45734</v>
      </c>
      <c r="R2045" s="61">
        <f t="shared" si="140"/>
        <v>4</v>
      </c>
      <c r="S2045" s="61" t="str">
        <f t="shared" si="141"/>
        <v/>
      </c>
      <c r="T2045" s="61">
        <f t="shared" si="139"/>
        <v>1</v>
      </c>
      <c r="U2045" s="61">
        <f t="shared" si="142"/>
        <v>1</v>
      </c>
      <c r="V2045" s="61" t="s">
        <v>150</v>
      </c>
      <c r="W2045" s="61" t="s">
        <v>4</v>
      </c>
      <c r="X2045" s="61" t="s">
        <v>50</v>
      </c>
      <c r="Y2045" s="61">
        <v>14.9488</v>
      </c>
      <c r="Z2045" s="61">
        <v>120.5968</v>
      </c>
      <c r="AA2045" s="61" t="s">
        <v>404</v>
      </c>
      <c r="AB2045" s="61"/>
    </row>
    <row r="2046" spans="1:29" s="2" customFormat="1" ht="28.5">
      <c r="A2046" s="61" t="s">
        <v>778</v>
      </c>
      <c r="B2046" s="61" t="s">
        <v>1383</v>
      </c>
      <c r="C2046" s="61" t="s">
        <v>5580</v>
      </c>
      <c r="D2046" s="61" t="s">
        <v>7838</v>
      </c>
      <c r="E2046" s="61">
        <v>1565</v>
      </c>
      <c r="F2046" s="61">
        <v>1811</v>
      </c>
      <c r="G2046" s="61"/>
      <c r="H2046" s="61"/>
      <c r="I2046" s="61" t="s">
        <v>35</v>
      </c>
      <c r="J2046" s="61"/>
      <c r="K2046" s="61" t="s">
        <v>148</v>
      </c>
      <c r="L2046" s="61"/>
      <c r="M2046" s="474"/>
      <c r="N2046" s="474"/>
      <c r="O2046" s="61"/>
      <c r="P2046" s="474"/>
      <c r="Q2046" s="61"/>
      <c r="R2046" s="61" t="str">
        <f t="shared" si="140"/>
        <v/>
      </c>
      <c r="S2046" s="61" t="str">
        <f t="shared" si="141"/>
        <v/>
      </c>
      <c r="T2046" s="61" t="str">
        <f t="shared" si="139"/>
        <v/>
      </c>
      <c r="U2046" s="61" t="str">
        <f t="shared" si="142"/>
        <v/>
      </c>
      <c r="V2046" s="61"/>
      <c r="W2046" s="61" t="s">
        <v>1078</v>
      </c>
      <c r="X2046" s="61" t="s">
        <v>50</v>
      </c>
      <c r="Y2046" s="61">
        <v>14.899100000000001</v>
      </c>
      <c r="Z2046" s="61">
        <v>120.53919999999999</v>
      </c>
      <c r="AA2046" s="61" t="s">
        <v>404</v>
      </c>
      <c r="AB2046" s="61"/>
    </row>
    <row r="2047" spans="1:29" s="2" customFormat="1" ht="28.5">
      <c r="A2047" s="61" t="s">
        <v>778</v>
      </c>
      <c r="B2047" s="61" t="s">
        <v>1383</v>
      </c>
      <c r="C2047" s="61" t="s">
        <v>4613</v>
      </c>
      <c r="D2047" s="61" t="s">
        <v>7838</v>
      </c>
      <c r="E2047" s="61">
        <v>6344</v>
      </c>
      <c r="F2047" s="61">
        <v>7084</v>
      </c>
      <c r="G2047" s="61">
        <v>2025</v>
      </c>
      <c r="H2047" s="61" t="s">
        <v>3532</v>
      </c>
      <c r="I2047" s="61" t="s">
        <v>35</v>
      </c>
      <c r="J2047" s="61"/>
      <c r="K2047" s="61" t="s">
        <v>148</v>
      </c>
      <c r="L2047" s="61" t="s">
        <v>8881</v>
      </c>
      <c r="M2047" s="475">
        <v>45791</v>
      </c>
      <c r="N2047" s="475">
        <v>45792</v>
      </c>
      <c r="O2047" s="61"/>
      <c r="P2047" s="475">
        <v>45793</v>
      </c>
      <c r="Q2047" s="475">
        <v>45793</v>
      </c>
      <c r="R2047" s="61">
        <f t="shared" si="140"/>
        <v>1</v>
      </c>
      <c r="S2047" s="61" t="str">
        <f t="shared" si="141"/>
        <v/>
      </c>
      <c r="T2047" s="61">
        <f t="shared" si="139"/>
        <v>1</v>
      </c>
      <c r="U2047" s="61">
        <f t="shared" si="142"/>
        <v>1</v>
      </c>
      <c r="V2047" s="61" t="s">
        <v>150</v>
      </c>
      <c r="W2047" s="61" t="s">
        <v>3527</v>
      </c>
      <c r="X2047" s="61" t="s">
        <v>3528</v>
      </c>
      <c r="Y2047" s="61">
        <v>14.8927</v>
      </c>
      <c r="Z2047" s="61">
        <v>120.5356</v>
      </c>
      <c r="AA2047" s="61"/>
      <c r="AB2047" s="61"/>
    </row>
    <row r="2048" spans="1:29" s="2" customFormat="1" ht="28.5">
      <c r="A2048" s="61" t="s">
        <v>778</v>
      </c>
      <c r="B2048" s="61" t="s">
        <v>1383</v>
      </c>
      <c r="C2048" s="61" t="s">
        <v>5570</v>
      </c>
      <c r="D2048" s="61" t="s">
        <v>7838</v>
      </c>
      <c r="E2048" s="61">
        <v>4333</v>
      </c>
      <c r="F2048" s="61">
        <v>4440</v>
      </c>
      <c r="G2048" s="61">
        <v>2025</v>
      </c>
      <c r="H2048" s="61" t="s">
        <v>3532</v>
      </c>
      <c r="I2048" s="61" t="s">
        <v>35</v>
      </c>
      <c r="J2048" s="61"/>
      <c r="K2048" s="61" t="s">
        <v>148</v>
      </c>
      <c r="L2048" s="61" t="s">
        <v>8882</v>
      </c>
      <c r="M2048" s="475">
        <v>45792</v>
      </c>
      <c r="N2048" s="475">
        <v>45792</v>
      </c>
      <c r="O2048" s="61"/>
      <c r="P2048" s="475">
        <v>45796</v>
      </c>
      <c r="Q2048" s="475">
        <v>45797</v>
      </c>
      <c r="R2048" s="61">
        <f t="shared" si="140"/>
        <v>1</v>
      </c>
      <c r="S2048" s="61" t="str">
        <f t="shared" si="141"/>
        <v/>
      </c>
      <c r="T2048" s="61">
        <f t="shared" si="139"/>
        <v>2</v>
      </c>
      <c r="U2048" s="61">
        <f t="shared" si="142"/>
        <v>1</v>
      </c>
      <c r="V2048" s="61" t="s">
        <v>150</v>
      </c>
      <c r="W2048" s="61" t="s">
        <v>3527</v>
      </c>
      <c r="X2048" s="61" t="s">
        <v>3528</v>
      </c>
      <c r="Y2048" s="61">
        <v>14.8797</v>
      </c>
      <c r="Z2048" s="61">
        <v>120.5183</v>
      </c>
      <c r="AA2048" s="61"/>
      <c r="AB2048" s="61"/>
    </row>
    <row r="2049" spans="1:28" s="2" customFormat="1" ht="28.5">
      <c r="A2049" s="61" t="s">
        <v>778</v>
      </c>
      <c r="B2049" s="61" t="s">
        <v>1383</v>
      </c>
      <c r="C2049" s="61" t="s">
        <v>3727</v>
      </c>
      <c r="D2049" s="61" t="s">
        <v>7838</v>
      </c>
      <c r="E2049" s="61">
        <v>3110</v>
      </c>
      <c r="F2049" s="61">
        <v>3852</v>
      </c>
      <c r="G2049" s="61">
        <v>2025</v>
      </c>
      <c r="H2049" s="61" t="s">
        <v>3532</v>
      </c>
      <c r="I2049" s="61" t="s">
        <v>35</v>
      </c>
      <c r="J2049" s="61"/>
      <c r="K2049" s="61" t="s">
        <v>148</v>
      </c>
      <c r="L2049" s="61" t="s">
        <v>8883</v>
      </c>
      <c r="M2049" s="475">
        <v>45792</v>
      </c>
      <c r="N2049" s="475">
        <v>45793</v>
      </c>
      <c r="O2049" s="61"/>
      <c r="P2049" s="475">
        <v>45793</v>
      </c>
      <c r="Q2049" s="475">
        <v>45797</v>
      </c>
      <c r="R2049" s="61">
        <f t="shared" si="140"/>
        <v>1</v>
      </c>
      <c r="S2049" s="61" t="str">
        <f t="shared" si="141"/>
        <v/>
      </c>
      <c r="T2049" s="61">
        <f t="shared" si="139"/>
        <v>1</v>
      </c>
      <c r="U2049" s="61">
        <f t="shared" si="142"/>
        <v>2</v>
      </c>
      <c r="V2049" s="61" t="s">
        <v>150</v>
      </c>
      <c r="W2049" s="61" t="s">
        <v>3527</v>
      </c>
      <c r="X2049" s="61" t="s">
        <v>3528</v>
      </c>
      <c r="Y2049" s="61">
        <v>14.871700000000001</v>
      </c>
      <c r="Z2049" s="61">
        <v>120.5025</v>
      </c>
      <c r="AA2049" s="61" t="s">
        <v>404</v>
      </c>
      <c r="AB2049" s="61"/>
    </row>
    <row r="2050" spans="1:28" s="2" customFormat="1" ht="28.5">
      <c r="A2050" s="61" t="s">
        <v>778</v>
      </c>
      <c r="B2050" s="61" t="s">
        <v>1383</v>
      </c>
      <c r="C2050" s="61" t="s">
        <v>5562</v>
      </c>
      <c r="D2050" s="61" t="s">
        <v>7838</v>
      </c>
      <c r="E2050" s="61">
        <v>2165</v>
      </c>
      <c r="F2050" s="61">
        <v>2492</v>
      </c>
      <c r="G2050" s="61"/>
      <c r="H2050" s="61"/>
      <c r="I2050" s="61" t="s">
        <v>35</v>
      </c>
      <c r="J2050" s="61"/>
      <c r="K2050" s="61" t="s">
        <v>148</v>
      </c>
      <c r="L2050" s="61"/>
      <c r="M2050" s="61"/>
      <c r="N2050" s="61"/>
      <c r="O2050" s="61"/>
      <c r="P2050" s="61"/>
      <c r="Q2050" s="61"/>
      <c r="R2050" s="61" t="str">
        <f t="shared" si="140"/>
        <v/>
      </c>
      <c r="S2050" s="61" t="str">
        <f t="shared" si="141"/>
        <v/>
      </c>
      <c r="T2050" s="61" t="str">
        <f t="shared" si="139"/>
        <v/>
      </c>
      <c r="U2050" s="61" t="str">
        <f t="shared" si="142"/>
        <v/>
      </c>
      <c r="V2050" s="61"/>
      <c r="W2050" s="61"/>
      <c r="X2050" s="61"/>
      <c r="Y2050" s="61"/>
      <c r="Z2050" s="61"/>
      <c r="AA2050" s="61"/>
      <c r="AB2050" s="61"/>
    </row>
    <row r="2051" spans="1:28" s="2" customFormat="1" ht="28.5">
      <c r="A2051" s="61" t="s">
        <v>778</v>
      </c>
      <c r="B2051" s="61" t="s">
        <v>1383</v>
      </c>
      <c r="C2051" s="61" t="s">
        <v>5563</v>
      </c>
      <c r="D2051" s="61" t="s">
        <v>7838</v>
      </c>
      <c r="E2051" s="61">
        <v>839</v>
      </c>
      <c r="F2051" s="61">
        <v>1374</v>
      </c>
      <c r="G2051" s="61"/>
      <c r="H2051" s="61"/>
      <c r="I2051" s="61" t="s">
        <v>35</v>
      </c>
      <c r="J2051" s="61"/>
      <c r="K2051" s="61" t="s">
        <v>148</v>
      </c>
      <c r="L2051" s="61"/>
      <c r="M2051" s="61"/>
      <c r="N2051" s="61"/>
      <c r="O2051" s="61"/>
      <c r="P2051" s="61"/>
      <c r="Q2051" s="61"/>
      <c r="R2051" s="61" t="str">
        <f t="shared" si="140"/>
        <v/>
      </c>
      <c r="S2051" s="61" t="str">
        <f t="shared" si="141"/>
        <v/>
      </c>
      <c r="T2051" s="61" t="str">
        <f t="shared" si="139"/>
        <v/>
      </c>
      <c r="U2051" s="61" t="str">
        <f t="shared" si="142"/>
        <v/>
      </c>
      <c r="V2051" s="61"/>
      <c r="W2051" s="61"/>
      <c r="X2051" s="61"/>
      <c r="Y2051" s="61"/>
      <c r="Z2051" s="61"/>
      <c r="AA2051" s="61"/>
      <c r="AB2051" s="61"/>
    </row>
    <row r="2052" spans="1:28" s="2" customFormat="1" ht="28.5">
      <c r="A2052" s="61" t="s">
        <v>778</v>
      </c>
      <c r="B2052" s="61" t="s">
        <v>1383</v>
      </c>
      <c r="C2052" s="61" t="s">
        <v>5564</v>
      </c>
      <c r="D2052" s="61" t="s">
        <v>7838</v>
      </c>
      <c r="E2052" s="61">
        <v>758</v>
      </c>
      <c r="F2052" s="61">
        <v>800</v>
      </c>
      <c r="G2052" s="61"/>
      <c r="H2052" s="61"/>
      <c r="I2052" s="61" t="s">
        <v>35</v>
      </c>
      <c r="J2052" s="61"/>
      <c r="K2052" s="61" t="s">
        <v>148</v>
      </c>
      <c r="L2052" s="61"/>
      <c r="M2052" s="61"/>
      <c r="N2052" s="61"/>
      <c r="O2052" s="61"/>
      <c r="P2052" s="61"/>
      <c r="Q2052" s="61"/>
      <c r="R2052" s="61" t="str">
        <f t="shared" si="140"/>
        <v/>
      </c>
      <c r="S2052" s="61" t="str">
        <f t="shared" si="141"/>
        <v/>
      </c>
      <c r="T2052" s="61" t="str">
        <f t="shared" si="139"/>
        <v/>
      </c>
      <c r="U2052" s="61" t="str">
        <f t="shared" si="142"/>
        <v/>
      </c>
      <c r="V2052" s="61"/>
      <c r="W2052" s="61"/>
      <c r="X2052" s="61"/>
      <c r="Y2052" s="61"/>
      <c r="Z2052" s="61"/>
      <c r="AA2052" s="61"/>
      <c r="AB2052" s="61"/>
    </row>
    <row r="2053" spans="1:28" s="2" customFormat="1" ht="28.5">
      <c r="A2053" s="61" t="s">
        <v>778</v>
      </c>
      <c r="B2053" s="61" t="s">
        <v>1383</v>
      </c>
      <c r="C2053" s="61" t="s">
        <v>5565</v>
      </c>
      <c r="D2053" s="61" t="s">
        <v>7838</v>
      </c>
      <c r="E2053" s="61">
        <v>4548</v>
      </c>
      <c r="F2053" s="61">
        <v>4425</v>
      </c>
      <c r="G2053" s="61"/>
      <c r="H2053" s="61"/>
      <c r="I2053" s="61" t="s">
        <v>35</v>
      </c>
      <c r="J2053" s="61"/>
      <c r="K2053" s="61" t="s">
        <v>148</v>
      </c>
      <c r="L2053" s="61"/>
      <c r="M2053" s="61"/>
      <c r="N2053" s="61"/>
      <c r="O2053" s="61"/>
      <c r="P2053" s="61"/>
      <c r="Q2053" s="61"/>
      <c r="R2053" s="61" t="str">
        <f t="shared" si="140"/>
        <v/>
      </c>
      <c r="S2053" s="61" t="str">
        <f t="shared" si="141"/>
        <v/>
      </c>
      <c r="T2053" s="61" t="str">
        <f t="shared" si="139"/>
        <v/>
      </c>
      <c r="U2053" s="61" t="str">
        <f t="shared" si="142"/>
        <v/>
      </c>
      <c r="V2053" s="61"/>
      <c r="W2053" s="61"/>
      <c r="X2053" s="61"/>
      <c r="Y2053" s="61"/>
      <c r="Z2053" s="61"/>
      <c r="AA2053" s="61"/>
      <c r="AB2053" s="61"/>
    </row>
    <row r="2054" spans="1:28" s="2" customFormat="1" ht="28.5">
      <c r="A2054" s="61" t="s">
        <v>778</v>
      </c>
      <c r="B2054" s="61" t="s">
        <v>1383</v>
      </c>
      <c r="C2054" s="61" t="s">
        <v>1185</v>
      </c>
      <c r="D2054" s="61" t="s">
        <v>7838</v>
      </c>
      <c r="E2054" s="61">
        <v>7493</v>
      </c>
      <c r="F2054" s="61">
        <v>8473</v>
      </c>
      <c r="G2054" s="61"/>
      <c r="H2054" s="61"/>
      <c r="I2054" s="61" t="s">
        <v>35</v>
      </c>
      <c r="J2054" s="61"/>
      <c r="K2054" s="61" t="s">
        <v>148</v>
      </c>
      <c r="L2054" s="61"/>
      <c r="M2054" s="61"/>
      <c r="N2054" s="61"/>
      <c r="O2054" s="61"/>
      <c r="P2054" s="61"/>
      <c r="Q2054" s="61"/>
      <c r="R2054" s="61" t="str">
        <f t="shared" si="140"/>
        <v/>
      </c>
      <c r="S2054" s="61" t="str">
        <f t="shared" si="141"/>
        <v/>
      </c>
      <c r="T2054" s="61" t="str">
        <f t="shared" si="139"/>
        <v/>
      </c>
      <c r="U2054" s="61" t="str">
        <f t="shared" si="142"/>
        <v/>
      </c>
      <c r="V2054" s="61"/>
      <c r="W2054" s="61"/>
      <c r="X2054" s="61"/>
      <c r="Y2054" s="61"/>
      <c r="Z2054" s="61"/>
      <c r="AA2054" s="61"/>
      <c r="AB2054" s="61"/>
    </row>
    <row r="2055" spans="1:28" s="2" customFormat="1" ht="28.5">
      <c r="A2055" s="61" t="s">
        <v>778</v>
      </c>
      <c r="B2055" s="61" t="s">
        <v>1383</v>
      </c>
      <c r="C2055" s="61" t="s">
        <v>5567</v>
      </c>
      <c r="D2055" s="61" t="s">
        <v>7838</v>
      </c>
      <c r="E2055" s="61">
        <v>1564</v>
      </c>
      <c r="F2055" s="61">
        <v>1636</v>
      </c>
      <c r="G2055" s="61"/>
      <c r="H2055" s="61"/>
      <c r="I2055" s="61" t="s">
        <v>35</v>
      </c>
      <c r="J2055" s="61"/>
      <c r="K2055" s="61" t="s">
        <v>148</v>
      </c>
      <c r="L2055" s="61"/>
      <c r="M2055" s="61"/>
      <c r="N2055" s="61"/>
      <c r="O2055" s="61"/>
      <c r="P2055" s="61"/>
      <c r="Q2055" s="61"/>
      <c r="R2055" s="61" t="str">
        <f t="shared" si="140"/>
        <v/>
      </c>
      <c r="S2055" s="61" t="str">
        <f t="shared" si="141"/>
        <v/>
      </c>
      <c r="T2055" s="61" t="str">
        <f t="shared" si="139"/>
        <v/>
      </c>
      <c r="U2055" s="61" t="str">
        <f t="shared" si="142"/>
        <v/>
      </c>
      <c r="V2055" s="61"/>
      <c r="W2055" s="61"/>
      <c r="X2055" s="61"/>
      <c r="Y2055" s="61"/>
      <c r="Z2055" s="61"/>
      <c r="AA2055" s="61"/>
      <c r="AB2055" s="61"/>
    </row>
    <row r="2056" spans="1:28" s="2" customFormat="1" ht="28.5">
      <c r="A2056" s="61" t="s">
        <v>778</v>
      </c>
      <c r="B2056" s="61" t="s">
        <v>1383</v>
      </c>
      <c r="C2056" s="61" t="s">
        <v>5481</v>
      </c>
      <c r="D2056" s="61" t="s">
        <v>7838</v>
      </c>
      <c r="E2056" s="61">
        <v>1936</v>
      </c>
      <c r="F2056" s="61">
        <v>2312</v>
      </c>
      <c r="G2056" s="61"/>
      <c r="H2056" s="61"/>
      <c r="I2056" s="61" t="s">
        <v>35</v>
      </c>
      <c r="J2056" s="61"/>
      <c r="K2056" s="61" t="s">
        <v>148</v>
      </c>
      <c r="L2056" s="61"/>
      <c r="M2056" s="61"/>
      <c r="N2056" s="61"/>
      <c r="O2056" s="61"/>
      <c r="P2056" s="61"/>
      <c r="Q2056" s="61"/>
      <c r="R2056" s="61" t="str">
        <f t="shared" si="140"/>
        <v/>
      </c>
      <c r="S2056" s="61" t="str">
        <f t="shared" si="141"/>
        <v/>
      </c>
      <c r="T2056" s="61" t="str">
        <f t="shared" si="139"/>
        <v/>
      </c>
      <c r="U2056" s="61" t="str">
        <f t="shared" si="142"/>
        <v/>
      </c>
      <c r="V2056" s="61"/>
      <c r="W2056" s="61"/>
      <c r="X2056" s="61"/>
      <c r="Y2056" s="61"/>
      <c r="Z2056" s="61"/>
      <c r="AA2056" s="61"/>
      <c r="AB2056" s="61"/>
    </row>
    <row r="2057" spans="1:28" s="2" customFormat="1" ht="28.5">
      <c r="A2057" s="61" t="s">
        <v>778</v>
      </c>
      <c r="B2057" s="61" t="s">
        <v>1383</v>
      </c>
      <c r="C2057" s="61" t="s">
        <v>5572</v>
      </c>
      <c r="D2057" s="61" t="s">
        <v>7838</v>
      </c>
      <c r="E2057" s="61">
        <v>4222</v>
      </c>
      <c r="F2057" s="61">
        <v>4481</v>
      </c>
      <c r="G2057" s="61"/>
      <c r="H2057" s="61"/>
      <c r="I2057" s="61" t="s">
        <v>35</v>
      </c>
      <c r="J2057" s="61"/>
      <c r="K2057" s="61" t="s">
        <v>148</v>
      </c>
      <c r="L2057" s="61"/>
      <c r="M2057" s="61"/>
      <c r="N2057" s="61"/>
      <c r="O2057" s="61"/>
      <c r="P2057" s="61"/>
      <c r="Q2057" s="61"/>
      <c r="R2057" s="61" t="str">
        <f t="shared" si="140"/>
        <v/>
      </c>
      <c r="S2057" s="61" t="str">
        <f t="shared" si="141"/>
        <v/>
      </c>
      <c r="T2057" s="61" t="str">
        <f t="shared" si="139"/>
        <v/>
      </c>
      <c r="U2057" s="61" t="str">
        <f t="shared" si="142"/>
        <v/>
      </c>
      <c r="V2057" s="61"/>
      <c r="W2057" s="61"/>
      <c r="X2057" s="61"/>
      <c r="Y2057" s="61"/>
      <c r="Z2057" s="61"/>
      <c r="AA2057" s="61"/>
      <c r="AB2057" s="61"/>
    </row>
    <row r="2058" spans="1:28" s="2" customFormat="1" ht="28.5">
      <c r="A2058" s="61" t="s">
        <v>778</v>
      </c>
      <c r="B2058" s="61" t="s">
        <v>1383</v>
      </c>
      <c r="C2058" s="61" t="s">
        <v>4126</v>
      </c>
      <c r="D2058" s="61" t="s">
        <v>7838</v>
      </c>
      <c r="E2058" s="61">
        <v>2798</v>
      </c>
      <c r="F2058" s="61">
        <v>2796</v>
      </c>
      <c r="G2058" s="61"/>
      <c r="H2058" s="61"/>
      <c r="I2058" s="61" t="s">
        <v>35</v>
      </c>
      <c r="J2058" s="61"/>
      <c r="K2058" s="61" t="s">
        <v>148</v>
      </c>
      <c r="L2058" s="61"/>
      <c r="M2058" s="61"/>
      <c r="N2058" s="61"/>
      <c r="O2058" s="61"/>
      <c r="P2058" s="61"/>
      <c r="Q2058" s="61"/>
      <c r="R2058" s="61" t="str">
        <f t="shared" si="140"/>
        <v/>
      </c>
      <c r="S2058" s="61" t="str">
        <f t="shared" si="141"/>
        <v/>
      </c>
      <c r="T2058" s="61" t="str">
        <f t="shared" si="139"/>
        <v/>
      </c>
      <c r="U2058" s="61" t="str">
        <f t="shared" si="142"/>
        <v/>
      </c>
      <c r="V2058" s="61"/>
      <c r="W2058" s="61"/>
      <c r="X2058" s="61"/>
      <c r="Y2058" s="61"/>
      <c r="Z2058" s="61"/>
      <c r="AA2058" s="61"/>
      <c r="AB2058" s="61"/>
    </row>
    <row r="2059" spans="1:28" s="2" customFormat="1" ht="28.5">
      <c r="A2059" s="61" t="s">
        <v>778</v>
      </c>
      <c r="B2059" s="61" t="s">
        <v>1383</v>
      </c>
      <c r="C2059" s="61" t="s">
        <v>914</v>
      </c>
      <c r="D2059" s="61" t="s">
        <v>7838</v>
      </c>
      <c r="E2059" s="61">
        <v>3230</v>
      </c>
      <c r="F2059" s="61">
        <v>3127</v>
      </c>
      <c r="G2059" s="61"/>
      <c r="H2059" s="61"/>
      <c r="I2059" s="61" t="s">
        <v>35</v>
      </c>
      <c r="J2059" s="61"/>
      <c r="K2059" s="61" t="s">
        <v>148</v>
      </c>
      <c r="L2059" s="61"/>
      <c r="M2059" s="61"/>
      <c r="N2059" s="61"/>
      <c r="O2059" s="61"/>
      <c r="P2059" s="61"/>
      <c r="Q2059" s="61"/>
      <c r="R2059" s="61" t="str">
        <f t="shared" si="140"/>
        <v/>
      </c>
      <c r="S2059" s="61" t="str">
        <f t="shared" si="141"/>
        <v/>
      </c>
      <c r="T2059" s="61" t="str">
        <f t="shared" si="139"/>
        <v/>
      </c>
      <c r="U2059" s="61" t="str">
        <f t="shared" si="142"/>
        <v/>
      </c>
      <c r="V2059" s="61"/>
      <c r="W2059" s="61"/>
      <c r="X2059" s="61"/>
      <c r="Y2059" s="61"/>
      <c r="Z2059" s="61"/>
      <c r="AA2059" s="61"/>
      <c r="AB2059" s="61"/>
    </row>
    <row r="2060" spans="1:28" s="2" customFormat="1" ht="28.5">
      <c r="A2060" s="61" t="s">
        <v>778</v>
      </c>
      <c r="B2060" s="61" t="s">
        <v>1383</v>
      </c>
      <c r="C2060" s="61" t="s">
        <v>4024</v>
      </c>
      <c r="D2060" s="61" t="s">
        <v>7838</v>
      </c>
      <c r="E2060" s="61">
        <v>4929</v>
      </c>
      <c r="F2060" s="61">
        <v>5643</v>
      </c>
      <c r="G2060" s="61"/>
      <c r="H2060" s="61"/>
      <c r="I2060" s="61" t="s">
        <v>35</v>
      </c>
      <c r="J2060" s="61"/>
      <c r="K2060" s="61" t="s">
        <v>148</v>
      </c>
      <c r="L2060" s="61"/>
      <c r="M2060" s="61"/>
      <c r="N2060" s="61"/>
      <c r="O2060" s="61"/>
      <c r="P2060" s="61"/>
      <c r="Q2060" s="61"/>
      <c r="R2060" s="61" t="str">
        <f t="shared" si="140"/>
        <v/>
      </c>
      <c r="S2060" s="61" t="str">
        <f t="shared" si="141"/>
        <v/>
      </c>
      <c r="T2060" s="61" t="str">
        <f t="shared" si="139"/>
        <v/>
      </c>
      <c r="U2060" s="61" t="str">
        <f t="shared" si="142"/>
        <v/>
      </c>
      <c r="V2060" s="61"/>
      <c r="W2060" s="61"/>
      <c r="X2060" s="61"/>
      <c r="Y2060" s="61"/>
      <c r="Z2060" s="61"/>
      <c r="AA2060" s="61"/>
      <c r="AB2060" s="61"/>
    </row>
    <row r="2061" spans="1:28" s="2" customFormat="1" ht="28.5">
      <c r="A2061" s="61" t="s">
        <v>778</v>
      </c>
      <c r="B2061" s="61" t="s">
        <v>1383</v>
      </c>
      <c r="C2061" s="61" t="s">
        <v>5574</v>
      </c>
      <c r="D2061" s="61" t="s">
        <v>7838</v>
      </c>
      <c r="E2061" s="61">
        <v>1342</v>
      </c>
      <c r="F2061" s="61">
        <v>1138</v>
      </c>
      <c r="G2061" s="61"/>
      <c r="H2061" s="61"/>
      <c r="I2061" s="61" t="s">
        <v>35</v>
      </c>
      <c r="J2061" s="61"/>
      <c r="K2061" s="61" t="s">
        <v>148</v>
      </c>
      <c r="L2061" s="61"/>
      <c r="M2061" s="61"/>
      <c r="N2061" s="61"/>
      <c r="O2061" s="61"/>
      <c r="P2061" s="61"/>
      <c r="Q2061" s="61"/>
      <c r="R2061" s="61" t="str">
        <f t="shared" si="140"/>
        <v/>
      </c>
      <c r="S2061" s="61" t="str">
        <f t="shared" si="141"/>
        <v/>
      </c>
      <c r="T2061" s="61" t="str">
        <f t="shared" si="139"/>
        <v/>
      </c>
      <c r="U2061" s="61" t="str">
        <f t="shared" si="142"/>
        <v/>
      </c>
      <c r="V2061" s="61"/>
      <c r="W2061" s="61"/>
      <c r="X2061" s="61"/>
      <c r="Y2061" s="61"/>
      <c r="Z2061" s="61"/>
      <c r="AA2061" s="61"/>
      <c r="AB2061" s="61"/>
    </row>
    <row r="2062" spans="1:28" s="2" customFormat="1" ht="28.5">
      <c r="A2062" s="61" t="s">
        <v>778</v>
      </c>
      <c r="B2062" s="61" t="s">
        <v>1383</v>
      </c>
      <c r="C2062" s="61" t="s">
        <v>5575</v>
      </c>
      <c r="D2062" s="61" t="s">
        <v>7838</v>
      </c>
      <c r="E2062" s="61">
        <v>2176</v>
      </c>
      <c r="F2062" s="61">
        <v>2334</v>
      </c>
      <c r="G2062" s="61"/>
      <c r="H2062" s="61"/>
      <c r="I2062" s="61" t="s">
        <v>35</v>
      </c>
      <c r="J2062" s="61"/>
      <c r="K2062" s="61" t="s">
        <v>148</v>
      </c>
      <c r="L2062" s="61"/>
      <c r="M2062" s="61"/>
      <c r="N2062" s="61"/>
      <c r="O2062" s="61"/>
      <c r="P2062" s="61"/>
      <c r="Q2062" s="61"/>
      <c r="R2062" s="61" t="str">
        <f t="shared" si="140"/>
        <v/>
      </c>
      <c r="S2062" s="61" t="str">
        <f t="shared" si="141"/>
        <v/>
      </c>
      <c r="T2062" s="61" t="str">
        <f t="shared" si="139"/>
        <v/>
      </c>
      <c r="U2062" s="61" t="str">
        <f t="shared" si="142"/>
        <v/>
      </c>
      <c r="V2062" s="61"/>
      <c r="W2062" s="61"/>
      <c r="X2062" s="61"/>
      <c r="Y2062" s="61"/>
      <c r="Z2062" s="61"/>
      <c r="AA2062" s="61"/>
      <c r="AB2062" s="61"/>
    </row>
    <row r="2063" spans="1:28" s="2" customFormat="1" ht="28.5">
      <c r="A2063" s="61" t="s">
        <v>778</v>
      </c>
      <c r="B2063" s="61" t="s">
        <v>1383</v>
      </c>
      <c r="C2063" s="61" t="s">
        <v>3913</v>
      </c>
      <c r="D2063" s="61" t="s">
        <v>7838</v>
      </c>
      <c r="E2063" s="61">
        <v>2423</v>
      </c>
      <c r="F2063" s="61">
        <v>2586</v>
      </c>
      <c r="G2063" s="61"/>
      <c r="H2063" s="61"/>
      <c r="I2063" s="61" t="s">
        <v>35</v>
      </c>
      <c r="J2063" s="61"/>
      <c r="K2063" s="61" t="s">
        <v>148</v>
      </c>
      <c r="L2063" s="61"/>
      <c r="M2063" s="61"/>
      <c r="N2063" s="61"/>
      <c r="O2063" s="61"/>
      <c r="P2063" s="61"/>
      <c r="Q2063" s="61"/>
      <c r="R2063" s="61" t="str">
        <f t="shared" si="140"/>
        <v/>
      </c>
      <c r="S2063" s="61" t="str">
        <f t="shared" si="141"/>
        <v/>
      </c>
      <c r="T2063" s="61" t="str">
        <f t="shared" si="139"/>
        <v/>
      </c>
      <c r="U2063" s="61" t="str">
        <f t="shared" si="142"/>
        <v/>
      </c>
      <c r="V2063" s="61"/>
      <c r="W2063" s="61"/>
      <c r="X2063" s="61"/>
      <c r="Y2063" s="61"/>
      <c r="Z2063" s="61"/>
      <c r="AA2063" s="61"/>
      <c r="AB2063" s="61"/>
    </row>
    <row r="2064" spans="1:28" s="2" customFormat="1" ht="28.5">
      <c r="A2064" s="61" t="s">
        <v>778</v>
      </c>
      <c r="B2064" s="61" t="s">
        <v>1383</v>
      </c>
      <c r="C2064" s="61" t="s">
        <v>5548</v>
      </c>
      <c r="D2064" s="61" t="s">
        <v>7838</v>
      </c>
      <c r="E2064" s="61">
        <v>1259</v>
      </c>
      <c r="F2064" s="61">
        <v>1369</v>
      </c>
      <c r="G2064" s="61"/>
      <c r="H2064" s="61"/>
      <c r="I2064" s="61" t="s">
        <v>35</v>
      </c>
      <c r="J2064" s="61"/>
      <c r="K2064" s="61" t="s">
        <v>148</v>
      </c>
      <c r="L2064" s="61"/>
      <c r="M2064" s="61"/>
      <c r="N2064" s="61"/>
      <c r="O2064" s="61"/>
      <c r="P2064" s="61"/>
      <c r="Q2064" s="61"/>
      <c r="R2064" s="61" t="str">
        <f t="shared" si="140"/>
        <v/>
      </c>
      <c r="S2064" s="61" t="str">
        <f t="shared" si="141"/>
        <v/>
      </c>
      <c r="T2064" s="61" t="str">
        <f t="shared" si="139"/>
        <v/>
      </c>
      <c r="U2064" s="61" t="str">
        <f t="shared" si="142"/>
        <v/>
      </c>
      <c r="V2064" s="61"/>
      <c r="W2064" s="61"/>
      <c r="X2064" s="61"/>
      <c r="Y2064" s="61"/>
      <c r="Z2064" s="61"/>
      <c r="AA2064" s="61"/>
      <c r="AB2064" s="61"/>
    </row>
    <row r="2065" spans="1:28" s="2" customFormat="1" ht="28.5">
      <c r="A2065" s="61" t="s">
        <v>778</v>
      </c>
      <c r="B2065" s="61" t="s">
        <v>1383</v>
      </c>
      <c r="C2065" s="61" t="s">
        <v>5576</v>
      </c>
      <c r="D2065" s="61" t="s">
        <v>7838</v>
      </c>
      <c r="E2065" s="61">
        <v>2958</v>
      </c>
      <c r="F2065" s="61">
        <v>3242</v>
      </c>
      <c r="G2065" s="61"/>
      <c r="H2065" s="61"/>
      <c r="I2065" s="61" t="s">
        <v>35</v>
      </c>
      <c r="J2065" s="61"/>
      <c r="K2065" s="61" t="s">
        <v>148</v>
      </c>
      <c r="L2065" s="61"/>
      <c r="M2065" s="61"/>
      <c r="N2065" s="61"/>
      <c r="O2065" s="61"/>
      <c r="P2065" s="61"/>
      <c r="Q2065" s="61"/>
      <c r="R2065" s="61" t="str">
        <f t="shared" si="140"/>
        <v/>
      </c>
      <c r="S2065" s="61" t="str">
        <f t="shared" si="141"/>
        <v/>
      </c>
      <c r="T2065" s="61" t="str">
        <f t="shared" si="139"/>
        <v/>
      </c>
      <c r="U2065" s="61" t="str">
        <f t="shared" si="142"/>
        <v/>
      </c>
      <c r="V2065" s="61"/>
      <c r="W2065" s="61"/>
      <c r="X2065" s="61"/>
      <c r="Y2065" s="61"/>
      <c r="Z2065" s="61"/>
      <c r="AA2065" s="61"/>
      <c r="AB2065" s="61"/>
    </row>
    <row r="2066" spans="1:28" s="2" customFormat="1" ht="28.5">
      <c r="A2066" s="61" t="s">
        <v>778</v>
      </c>
      <c r="B2066" s="61" t="s">
        <v>1383</v>
      </c>
      <c r="C2066" s="61" t="s">
        <v>5577</v>
      </c>
      <c r="D2066" s="61" t="s">
        <v>7838</v>
      </c>
      <c r="E2066" s="61">
        <v>1631</v>
      </c>
      <c r="F2066" s="61">
        <v>1575</v>
      </c>
      <c r="G2066" s="61"/>
      <c r="H2066" s="61"/>
      <c r="I2066" s="61" t="s">
        <v>35</v>
      </c>
      <c r="J2066" s="61"/>
      <c r="K2066" s="61" t="s">
        <v>148</v>
      </c>
      <c r="L2066" s="61"/>
      <c r="M2066" s="61"/>
      <c r="N2066" s="61"/>
      <c r="O2066" s="61"/>
      <c r="P2066" s="61"/>
      <c r="Q2066" s="61"/>
      <c r="R2066" s="61" t="str">
        <f t="shared" si="140"/>
        <v/>
      </c>
      <c r="S2066" s="61" t="str">
        <f t="shared" si="141"/>
        <v/>
      </c>
      <c r="T2066" s="61" t="str">
        <f t="shared" si="139"/>
        <v/>
      </c>
      <c r="U2066" s="61" t="str">
        <f t="shared" si="142"/>
        <v/>
      </c>
      <c r="V2066" s="61"/>
      <c r="W2066" s="61"/>
      <c r="X2066" s="61"/>
      <c r="Y2066" s="61"/>
      <c r="Z2066" s="61"/>
      <c r="AA2066" s="61"/>
      <c r="AB2066" s="61"/>
    </row>
    <row r="2067" spans="1:28" s="2" customFormat="1" ht="28.5">
      <c r="A2067" s="61" t="s">
        <v>778</v>
      </c>
      <c r="B2067" s="61" t="s">
        <v>1383</v>
      </c>
      <c r="C2067" s="61" t="s">
        <v>5578</v>
      </c>
      <c r="D2067" s="61" t="s">
        <v>7838</v>
      </c>
      <c r="E2067" s="61">
        <v>5130</v>
      </c>
      <c r="F2067" s="61">
        <v>4340</v>
      </c>
      <c r="G2067" s="61"/>
      <c r="H2067" s="61"/>
      <c r="I2067" s="61" t="s">
        <v>35</v>
      </c>
      <c r="J2067" s="61"/>
      <c r="K2067" s="61" t="s">
        <v>148</v>
      </c>
      <c r="L2067" s="61"/>
      <c r="M2067" s="61"/>
      <c r="N2067" s="61"/>
      <c r="O2067" s="61"/>
      <c r="P2067" s="61"/>
      <c r="Q2067" s="61"/>
      <c r="R2067" s="61" t="str">
        <f t="shared" si="140"/>
        <v/>
      </c>
      <c r="S2067" s="61" t="str">
        <f t="shared" si="141"/>
        <v/>
      </c>
      <c r="T2067" s="61" t="str">
        <f t="shared" ref="T2067:T2130" si="143">IF(
  OR(A2067 = "Nueva_Ecija", A2067 = "Zambales"),
  IF(
    OR(ISBLANK(O2067), ISBLANK(P2067)),
    "",
    MAX(1, IF(
      NETWORKDAYS(O2067, P2067) &lt;= 0,
      1,
      NETWORKDAYS(O2067, P2067) - IF(O2067 = P2067, 0, 1)
    ))
  ),
  IF(
    OR(ISBLANK(N2067), ISBLANK(P2067)),
    "",
    MAX(1, IF(
      NETWORKDAYS(N2067, P2067) &lt;= 0,
      1,
      NETWORKDAYS(N2067, P2067) - IF(N2067 = P2067, 0, 1)
    ))
  )
)</f>
        <v/>
      </c>
      <c r="U2067" s="61" t="str">
        <f t="shared" si="142"/>
        <v/>
      </c>
      <c r="V2067" s="61"/>
      <c r="W2067" s="61"/>
      <c r="X2067" s="61"/>
      <c r="Y2067" s="61"/>
      <c r="Z2067" s="61"/>
      <c r="AA2067" s="61"/>
      <c r="AB2067" s="61"/>
    </row>
    <row r="2068" spans="1:28" s="2" customFormat="1" ht="28.5">
      <c r="A2068" s="61" t="s">
        <v>778</v>
      </c>
      <c r="B2068" s="61" t="s">
        <v>1383</v>
      </c>
      <c r="C2068" s="61" t="s">
        <v>5579</v>
      </c>
      <c r="D2068" s="61" t="s">
        <v>7838</v>
      </c>
      <c r="E2068" s="61">
        <v>3335</v>
      </c>
      <c r="F2068" s="61">
        <v>4002</v>
      </c>
      <c r="G2068" s="61"/>
      <c r="H2068" s="61"/>
      <c r="I2068" s="61" t="s">
        <v>35</v>
      </c>
      <c r="J2068" s="61"/>
      <c r="K2068" s="61" t="s">
        <v>148</v>
      </c>
      <c r="L2068" s="61"/>
      <c r="M2068" s="61"/>
      <c r="N2068" s="61"/>
      <c r="O2068" s="61"/>
      <c r="P2068" s="61"/>
      <c r="Q2068" s="61"/>
      <c r="R2068" s="61" t="str">
        <f t="shared" si="140"/>
        <v/>
      </c>
      <c r="S2068" s="61" t="str">
        <f t="shared" si="141"/>
        <v/>
      </c>
      <c r="T2068" s="61" t="str">
        <f t="shared" si="143"/>
        <v/>
      </c>
      <c r="U2068" s="61" t="str">
        <f t="shared" si="142"/>
        <v/>
      </c>
      <c r="V2068" s="61"/>
      <c r="W2068" s="61"/>
      <c r="X2068" s="61"/>
      <c r="Y2068" s="61"/>
      <c r="Z2068" s="61"/>
      <c r="AA2068" s="61"/>
      <c r="AB2068" s="61"/>
    </row>
    <row r="2069" spans="1:28" s="2" customFormat="1" ht="28.5">
      <c r="A2069" s="61" t="s">
        <v>778</v>
      </c>
      <c r="B2069" s="61" t="s">
        <v>1383</v>
      </c>
      <c r="C2069" s="61" t="s">
        <v>5561</v>
      </c>
      <c r="D2069" s="61" t="s">
        <v>7838</v>
      </c>
      <c r="E2069" s="61">
        <v>12061</v>
      </c>
      <c r="F2069" s="61">
        <v>12955</v>
      </c>
      <c r="G2069" s="61"/>
      <c r="H2069" s="61"/>
      <c r="I2069" s="61" t="s">
        <v>35</v>
      </c>
      <c r="J2069" s="61"/>
      <c r="K2069" s="61" t="s">
        <v>148</v>
      </c>
      <c r="L2069" s="61"/>
      <c r="M2069" s="61"/>
      <c r="N2069" s="61"/>
      <c r="O2069" s="61"/>
      <c r="P2069" s="61"/>
      <c r="Q2069" s="61"/>
      <c r="R2069" s="61" t="str">
        <f t="shared" si="140"/>
        <v/>
      </c>
      <c r="S2069" s="61" t="str">
        <f t="shared" si="141"/>
        <v/>
      </c>
      <c r="T2069" s="61" t="str">
        <f t="shared" si="143"/>
        <v/>
      </c>
      <c r="U2069" s="61" t="str">
        <f t="shared" si="142"/>
        <v/>
      </c>
      <c r="V2069" s="61"/>
      <c r="W2069" s="61"/>
      <c r="X2069" s="61"/>
      <c r="Y2069" s="61"/>
      <c r="Z2069" s="61"/>
      <c r="AA2069" s="61"/>
      <c r="AB2069" s="61"/>
    </row>
    <row r="2070" spans="1:28" s="2" customFormat="1" ht="28.5">
      <c r="A2070" s="61" t="s">
        <v>778</v>
      </c>
      <c r="B2070" s="61" t="s">
        <v>1383</v>
      </c>
      <c r="C2070" s="61" t="s">
        <v>3975</v>
      </c>
      <c r="D2070" s="61" t="s">
        <v>7838</v>
      </c>
      <c r="E2070" s="61">
        <v>1902</v>
      </c>
      <c r="F2070" s="61">
        <v>2120</v>
      </c>
      <c r="G2070" s="61"/>
      <c r="H2070" s="61"/>
      <c r="I2070" s="61" t="s">
        <v>35</v>
      </c>
      <c r="J2070" s="61"/>
      <c r="K2070" s="61" t="s">
        <v>148</v>
      </c>
      <c r="L2070" s="61"/>
      <c r="M2070" s="61"/>
      <c r="N2070" s="61"/>
      <c r="O2070" s="61"/>
      <c r="P2070" s="61"/>
      <c r="Q2070" s="61"/>
      <c r="R2070" s="61" t="str">
        <f t="shared" si="140"/>
        <v/>
      </c>
      <c r="S2070" s="61" t="str">
        <f t="shared" si="141"/>
        <v/>
      </c>
      <c r="T2070" s="61" t="str">
        <f t="shared" si="143"/>
        <v/>
      </c>
      <c r="U2070" s="61" t="str">
        <f t="shared" si="142"/>
        <v/>
      </c>
      <c r="V2070" s="61"/>
      <c r="W2070" s="61"/>
      <c r="X2070" s="61"/>
      <c r="Y2070" s="61"/>
      <c r="Z2070" s="61"/>
      <c r="AA2070" s="61"/>
      <c r="AB2070" s="61"/>
    </row>
    <row r="2071" spans="1:28" s="2" customFormat="1" ht="28.5">
      <c r="A2071" s="61" t="s">
        <v>778</v>
      </c>
      <c r="B2071" s="61" t="s">
        <v>1383</v>
      </c>
      <c r="C2071" s="61" t="s">
        <v>5319</v>
      </c>
      <c r="D2071" s="61" t="s">
        <v>7838</v>
      </c>
      <c r="E2071" s="61">
        <v>4928</v>
      </c>
      <c r="F2071" s="61">
        <v>5648</v>
      </c>
      <c r="G2071" s="61"/>
      <c r="H2071" s="61"/>
      <c r="I2071" s="61" t="s">
        <v>35</v>
      </c>
      <c r="J2071" s="61"/>
      <c r="K2071" s="61" t="s">
        <v>148</v>
      </c>
      <c r="L2071" s="61"/>
      <c r="M2071" s="61"/>
      <c r="N2071" s="61"/>
      <c r="O2071" s="61"/>
      <c r="P2071" s="61"/>
      <c r="Q2071" s="61"/>
      <c r="R2071" s="61" t="str">
        <f t="shared" si="140"/>
        <v/>
      </c>
      <c r="S2071" s="61" t="str">
        <f t="shared" si="141"/>
        <v/>
      </c>
      <c r="T2071" s="61" t="str">
        <f t="shared" si="143"/>
        <v/>
      </c>
      <c r="U2071" s="61" t="str">
        <f t="shared" si="142"/>
        <v/>
      </c>
      <c r="V2071" s="61"/>
      <c r="W2071" s="61"/>
      <c r="X2071" s="61"/>
      <c r="Y2071" s="61"/>
      <c r="Z2071" s="61"/>
      <c r="AA2071" s="61"/>
      <c r="AB2071" s="61"/>
    </row>
    <row r="2072" spans="1:28" s="2" customFormat="1" ht="28.5">
      <c r="A2072" s="61" t="s">
        <v>778</v>
      </c>
      <c r="B2072" s="61" t="s">
        <v>1383</v>
      </c>
      <c r="C2072" s="61" t="s">
        <v>1899</v>
      </c>
      <c r="D2072" s="61" t="s">
        <v>7838</v>
      </c>
      <c r="E2072" s="61">
        <v>16416</v>
      </c>
      <c r="F2072" s="61">
        <v>17700</v>
      </c>
      <c r="G2072" s="61"/>
      <c r="H2072" s="61"/>
      <c r="I2072" s="61" t="s">
        <v>35</v>
      </c>
      <c r="J2072" s="61"/>
      <c r="K2072" s="61" t="s">
        <v>148</v>
      </c>
      <c r="L2072" s="61"/>
      <c r="M2072" s="61"/>
      <c r="N2072" s="61"/>
      <c r="O2072" s="61"/>
      <c r="P2072" s="61"/>
      <c r="Q2072" s="61"/>
      <c r="R2072" s="61" t="str">
        <f t="shared" ref="R2072:R2135" si="144">IF(
    OR(ISBLANK(M2072), ISBLANK(N2072)),
    "",
    MAX(1, IF(
        NETWORKDAYS(M2072, N2072) &lt;= 0,
        1,
        NETWORKDAYS(M2072, N2072) - IF(M2072 = N2072, 0, 1)
    ))
)</f>
        <v/>
      </c>
      <c r="S2072" s="61" t="str">
        <f t="shared" ref="S2072:S2135" si="145">IF(
    OR(ISBLANK(N2072), ISBLANK(O2072)),
    "",
    MAX(1, IF(
        NETWORKDAYS(N2072, O2072) &lt;= 0,
        1,
        NETWORKDAYS(N2072, O2072) - IF(N2072 = O2072, 0, 1)
    ))
)</f>
        <v/>
      </c>
      <c r="T2072" s="61" t="str">
        <f t="shared" si="143"/>
        <v/>
      </c>
      <c r="U2072" s="61" t="str">
        <f t="shared" ref="U2072:U2135" si="146">IF(
    OR(ISBLANK(P2072), ISBLANK(Q2072)),
    "",
    MAX(1, IF(
        NETWORKDAYS(P2072, Q2072) &lt;= 0,
        1,
        NETWORKDAYS(P2072, Q2072) - IF(P2072 = Q2072, 0, 1)
    ))
)</f>
        <v/>
      </c>
      <c r="V2072" s="61"/>
      <c r="W2072" s="61"/>
      <c r="X2072" s="61"/>
      <c r="Y2072" s="61"/>
      <c r="Z2072" s="61"/>
      <c r="AA2072" s="61"/>
      <c r="AB2072" s="61"/>
    </row>
    <row r="2073" spans="1:28" s="2" customFormat="1" ht="28.5">
      <c r="A2073" s="61" t="s">
        <v>778</v>
      </c>
      <c r="B2073" s="61" t="s">
        <v>1383</v>
      </c>
      <c r="C2073" s="61" t="s">
        <v>5583</v>
      </c>
      <c r="D2073" s="61" t="s">
        <v>7838</v>
      </c>
      <c r="E2073" s="61">
        <v>2168</v>
      </c>
      <c r="F2073" s="61">
        <v>2535</v>
      </c>
      <c r="G2073" s="61"/>
      <c r="H2073" s="61"/>
      <c r="I2073" s="61" t="s">
        <v>35</v>
      </c>
      <c r="J2073" s="61"/>
      <c r="K2073" s="61" t="s">
        <v>148</v>
      </c>
      <c r="L2073" s="61"/>
      <c r="M2073" s="61"/>
      <c r="N2073" s="61"/>
      <c r="O2073" s="61"/>
      <c r="P2073" s="61"/>
      <c r="Q2073" s="61"/>
      <c r="R2073" s="61" t="str">
        <f t="shared" si="144"/>
        <v/>
      </c>
      <c r="S2073" s="61" t="str">
        <f t="shared" si="145"/>
        <v/>
      </c>
      <c r="T2073" s="61" t="str">
        <f t="shared" si="143"/>
        <v/>
      </c>
      <c r="U2073" s="61" t="str">
        <f t="shared" si="146"/>
        <v/>
      </c>
      <c r="V2073" s="61"/>
      <c r="W2073" s="61"/>
      <c r="X2073" s="61"/>
      <c r="Y2073" s="61"/>
      <c r="Z2073" s="61"/>
      <c r="AA2073" s="61"/>
      <c r="AB2073" s="61"/>
    </row>
    <row r="2074" spans="1:28" s="2" customFormat="1" ht="28.5">
      <c r="A2074" s="61" t="s">
        <v>778</v>
      </c>
      <c r="B2074" s="61" t="s">
        <v>1383</v>
      </c>
      <c r="C2074" s="61" t="s">
        <v>4950</v>
      </c>
      <c r="D2074" s="61" t="s">
        <v>7838</v>
      </c>
      <c r="E2074" s="61">
        <v>1564</v>
      </c>
      <c r="F2074" s="61">
        <v>1698</v>
      </c>
      <c r="G2074" s="61"/>
      <c r="H2074" s="61"/>
      <c r="I2074" s="61" t="s">
        <v>35</v>
      </c>
      <c r="J2074" s="61"/>
      <c r="K2074" s="61" t="s">
        <v>148</v>
      </c>
      <c r="L2074" s="61"/>
      <c r="M2074" s="61"/>
      <c r="N2074" s="61"/>
      <c r="O2074" s="61"/>
      <c r="P2074" s="61"/>
      <c r="Q2074" s="61"/>
      <c r="R2074" s="61" t="str">
        <f t="shared" si="144"/>
        <v/>
      </c>
      <c r="S2074" s="61" t="str">
        <f t="shared" si="145"/>
        <v/>
      </c>
      <c r="T2074" s="61" t="str">
        <f t="shared" si="143"/>
        <v/>
      </c>
      <c r="U2074" s="61" t="str">
        <f t="shared" si="146"/>
        <v/>
      </c>
      <c r="V2074" s="61"/>
      <c r="W2074" s="61"/>
      <c r="X2074" s="61"/>
      <c r="Y2074" s="61"/>
      <c r="Z2074" s="61"/>
      <c r="AA2074" s="61"/>
      <c r="AB2074" s="61"/>
    </row>
    <row r="2075" spans="1:28" s="2" customFormat="1" ht="28.5">
      <c r="A2075" s="61" t="s">
        <v>778</v>
      </c>
      <c r="B2075" s="61" t="s">
        <v>1383</v>
      </c>
      <c r="C2075" s="61" t="s">
        <v>1424</v>
      </c>
      <c r="D2075" s="61" t="s">
        <v>7838</v>
      </c>
      <c r="E2075" s="61">
        <v>5724</v>
      </c>
      <c r="F2075" s="61">
        <v>6006</v>
      </c>
      <c r="G2075" s="61"/>
      <c r="H2075" s="61"/>
      <c r="I2075" s="61" t="s">
        <v>35</v>
      </c>
      <c r="J2075" s="61"/>
      <c r="K2075" s="61" t="s">
        <v>148</v>
      </c>
      <c r="L2075" s="61"/>
      <c r="M2075" s="61"/>
      <c r="N2075" s="61"/>
      <c r="O2075" s="61"/>
      <c r="P2075" s="61"/>
      <c r="Q2075" s="61"/>
      <c r="R2075" s="61" t="str">
        <f t="shared" si="144"/>
        <v/>
      </c>
      <c r="S2075" s="61" t="str">
        <f t="shared" si="145"/>
        <v/>
      </c>
      <c r="T2075" s="61" t="str">
        <f t="shared" si="143"/>
        <v/>
      </c>
      <c r="U2075" s="61" t="str">
        <f t="shared" si="146"/>
        <v/>
      </c>
      <c r="V2075" s="61"/>
      <c r="W2075" s="61"/>
      <c r="X2075" s="61"/>
      <c r="Y2075" s="61"/>
      <c r="Z2075" s="61"/>
      <c r="AA2075" s="61"/>
      <c r="AB2075" s="61"/>
    </row>
    <row r="2076" spans="1:28" s="2" customFormat="1" ht="28.5">
      <c r="A2076" s="61" t="s">
        <v>778</v>
      </c>
      <c r="B2076" s="61" t="s">
        <v>1383</v>
      </c>
      <c r="C2076" s="61" t="s">
        <v>4242</v>
      </c>
      <c r="D2076" s="61" t="s">
        <v>7838</v>
      </c>
      <c r="E2076" s="61">
        <v>3516</v>
      </c>
      <c r="F2076" s="61">
        <v>2956</v>
      </c>
      <c r="G2076" s="61"/>
      <c r="H2076" s="61"/>
      <c r="I2076" s="61" t="s">
        <v>35</v>
      </c>
      <c r="J2076" s="61"/>
      <c r="K2076" s="61" t="s">
        <v>148</v>
      </c>
      <c r="L2076" s="61"/>
      <c r="M2076" s="61"/>
      <c r="N2076" s="61"/>
      <c r="O2076" s="61"/>
      <c r="P2076" s="61"/>
      <c r="Q2076" s="61"/>
      <c r="R2076" s="61" t="str">
        <f t="shared" si="144"/>
        <v/>
      </c>
      <c r="S2076" s="61" t="str">
        <f t="shared" si="145"/>
        <v/>
      </c>
      <c r="T2076" s="61" t="str">
        <f t="shared" si="143"/>
        <v/>
      </c>
      <c r="U2076" s="61" t="str">
        <f t="shared" si="146"/>
        <v/>
      </c>
      <c r="V2076" s="61"/>
      <c r="W2076" s="61"/>
      <c r="X2076" s="61"/>
      <c r="Y2076" s="61"/>
      <c r="Z2076" s="61"/>
      <c r="AA2076" s="61"/>
      <c r="AB2076" s="61"/>
    </row>
    <row r="2077" spans="1:28" s="2" customFormat="1" ht="28.5">
      <c r="A2077" s="61" t="s">
        <v>778</v>
      </c>
      <c r="B2077" s="61" t="s">
        <v>1383</v>
      </c>
      <c r="C2077" s="61" t="s">
        <v>5584</v>
      </c>
      <c r="D2077" s="61" t="s">
        <v>7838</v>
      </c>
      <c r="E2077" s="61">
        <v>2856</v>
      </c>
      <c r="F2077" s="61">
        <v>3606</v>
      </c>
      <c r="G2077" s="61"/>
      <c r="H2077" s="61"/>
      <c r="I2077" s="61" t="s">
        <v>35</v>
      </c>
      <c r="J2077" s="61"/>
      <c r="K2077" s="61" t="s">
        <v>148</v>
      </c>
      <c r="L2077" s="61"/>
      <c r="M2077" s="61"/>
      <c r="N2077" s="61"/>
      <c r="O2077" s="61"/>
      <c r="P2077" s="61"/>
      <c r="Q2077" s="61"/>
      <c r="R2077" s="61" t="str">
        <f t="shared" si="144"/>
        <v/>
      </c>
      <c r="S2077" s="61" t="str">
        <f t="shared" si="145"/>
        <v/>
      </c>
      <c r="T2077" s="61" t="str">
        <f t="shared" si="143"/>
        <v/>
      </c>
      <c r="U2077" s="61" t="str">
        <f t="shared" si="146"/>
        <v/>
      </c>
      <c r="V2077" s="61"/>
      <c r="W2077" s="61"/>
      <c r="X2077" s="61"/>
      <c r="Y2077" s="61"/>
      <c r="Z2077" s="61"/>
      <c r="AA2077" s="61"/>
      <c r="AB2077" s="61"/>
    </row>
    <row r="2078" spans="1:28" s="2" customFormat="1" ht="28.5">
      <c r="A2078" s="61" t="s">
        <v>778</v>
      </c>
      <c r="B2078" s="61" t="s">
        <v>1383</v>
      </c>
      <c r="C2078" s="61" t="s">
        <v>5585</v>
      </c>
      <c r="D2078" s="61" t="s">
        <v>7838</v>
      </c>
      <c r="E2078" s="61">
        <v>3373</v>
      </c>
      <c r="F2078" s="61">
        <v>4255</v>
      </c>
      <c r="G2078" s="61"/>
      <c r="H2078" s="61"/>
      <c r="I2078" s="61" t="s">
        <v>35</v>
      </c>
      <c r="J2078" s="61"/>
      <c r="K2078" s="61" t="s">
        <v>148</v>
      </c>
      <c r="L2078" s="61"/>
      <c r="M2078" s="61"/>
      <c r="N2078" s="61"/>
      <c r="O2078" s="61"/>
      <c r="P2078" s="61"/>
      <c r="Q2078" s="61"/>
      <c r="R2078" s="61" t="str">
        <f t="shared" si="144"/>
        <v/>
      </c>
      <c r="S2078" s="61" t="str">
        <f t="shared" si="145"/>
        <v/>
      </c>
      <c r="T2078" s="61" t="str">
        <f t="shared" si="143"/>
        <v/>
      </c>
      <c r="U2078" s="61" t="str">
        <f t="shared" si="146"/>
        <v/>
      </c>
      <c r="V2078" s="61"/>
      <c r="W2078" s="61"/>
      <c r="X2078" s="61"/>
      <c r="Y2078" s="61"/>
      <c r="Z2078" s="61"/>
      <c r="AA2078" s="61"/>
      <c r="AB2078" s="61"/>
    </row>
    <row r="2079" spans="1:28" s="2" customFormat="1" ht="28.5">
      <c r="A2079" s="61" t="s">
        <v>778</v>
      </c>
      <c r="B2079" s="61" t="s">
        <v>1383</v>
      </c>
      <c r="C2079" s="61" t="s">
        <v>1170</v>
      </c>
      <c r="D2079" s="61" t="s">
        <v>7838</v>
      </c>
      <c r="E2079" s="61">
        <v>3940</v>
      </c>
      <c r="F2079" s="61">
        <v>4575</v>
      </c>
      <c r="G2079" s="61"/>
      <c r="H2079" s="61"/>
      <c r="I2079" s="61" t="s">
        <v>35</v>
      </c>
      <c r="J2079" s="61"/>
      <c r="K2079" s="61" t="s">
        <v>148</v>
      </c>
      <c r="L2079" s="61"/>
      <c r="M2079" s="61"/>
      <c r="N2079" s="61"/>
      <c r="O2079" s="61"/>
      <c r="P2079" s="61"/>
      <c r="Q2079" s="61"/>
      <c r="R2079" s="61" t="str">
        <f t="shared" si="144"/>
        <v/>
      </c>
      <c r="S2079" s="61" t="str">
        <f t="shared" si="145"/>
        <v/>
      </c>
      <c r="T2079" s="61" t="str">
        <f t="shared" si="143"/>
        <v/>
      </c>
      <c r="U2079" s="61" t="str">
        <f t="shared" si="146"/>
        <v/>
      </c>
      <c r="V2079" s="61"/>
      <c r="W2079" s="61"/>
      <c r="X2079" s="61"/>
      <c r="Y2079" s="61"/>
      <c r="Z2079" s="61"/>
      <c r="AA2079" s="61"/>
      <c r="AB2079" s="61"/>
    </row>
    <row r="2080" spans="1:28" s="2" customFormat="1" ht="28.5">
      <c r="A2080" s="61" t="s">
        <v>778</v>
      </c>
      <c r="B2080" s="61" t="s">
        <v>1383</v>
      </c>
      <c r="C2080" s="61" t="s">
        <v>3977</v>
      </c>
      <c r="D2080" s="61" t="s">
        <v>7838</v>
      </c>
      <c r="E2080" s="61">
        <v>1102</v>
      </c>
      <c r="F2080" s="61">
        <v>1137</v>
      </c>
      <c r="G2080" s="61"/>
      <c r="H2080" s="61"/>
      <c r="I2080" s="61" t="s">
        <v>35</v>
      </c>
      <c r="J2080" s="61"/>
      <c r="K2080" s="61" t="s">
        <v>148</v>
      </c>
      <c r="L2080" s="61"/>
      <c r="M2080" s="61"/>
      <c r="N2080" s="61"/>
      <c r="O2080" s="61"/>
      <c r="P2080" s="61"/>
      <c r="Q2080" s="61"/>
      <c r="R2080" s="61" t="str">
        <f t="shared" si="144"/>
        <v/>
      </c>
      <c r="S2080" s="61" t="str">
        <f t="shared" si="145"/>
        <v/>
      </c>
      <c r="T2080" s="61" t="str">
        <f t="shared" si="143"/>
        <v/>
      </c>
      <c r="U2080" s="61" t="str">
        <f t="shared" si="146"/>
        <v/>
      </c>
      <c r="V2080" s="61"/>
      <c r="W2080" s="61"/>
      <c r="X2080" s="61"/>
      <c r="Y2080" s="61"/>
      <c r="Z2080" s="61"/>
      <c r="AA2080" s="61"/>
      <c r="AB2080" s="61"/>
    </row>
    <row r="2081" spans="1:28" s="2" customFormat="1" ht="28.5">
      <c r="A2081" s="61" t="s">
        <v>778</v>
      </c>
      <c r="B2081" s="61" t="s">
        <v>1387</v>
      </c>
      <c r="C2081" s="61" t="s">
        <v>4027</v>
      </c>
      <c r="D2081" s="61" t="s">
        <v>7838</v>
      </c>
      <c r="E2081" s="61">
        <v>3476</v>
      </c>
      <c r="F2081" s="61">
        <v>4535</v>
      </c>
      <c r="G2081" s="61">
        <v>2025</v>
      </c>
      <c r="H2081" s="61" t="s">
        <v>3125</v>
      </c>
      <c r="I2081" s="61" t="s">
        <v>32</v>
      </c>
      <c r="J2081" s="61" t="s">
        <v>28</v>
      </c>
      <c r="K2081" s="61" t="s">
        <v>148</v>
      </c>
      <c r="L2081" s="61" t="s">
        <v>8884</v>
      </c>
      <c r="M2081" s="475">
        <v>45846</v>
      </c>
      <c r="N2081" s="475">
        <v>45849</v>
      </c>
      <c r="O2081" s="475">
        <v>45856</v>
      </c>
      <c r="P2081" s="475">
        <v>45856</v>
      </c>
      <c r="Q2081" s="475">
        <v>45856</v>
      </c>
      <c r="R2081" s="61">
        <f t="shared" si="144"/>
        <v>3</v>
      </c>
      <c r="S2081" s="61">
        <f t="shared" si="145"/>
        <v>5</v>
      </c>
      <c r="T2081" s="61">
        <f t="shared" si="143"/>
        <v>5</v>
      </c>
      <c r="U2081" s="61">
        <f t="shared" si="146"/>
        <v>1</v>
      </c>
      <c r="V2081" s="61" t="s">
        <v>150</v>
      </c>
      <c r="W2081" s="61" t="s">
        <v>1078</v>
      </c>
      <c r="X2081" s="61" t="s">
        <v>50</v>
      </c>
      <c r="Y2081" s="61">
        <v>15.22273</v>
      </c>
      <c r="Z2081" s="61">
        <v>120.57778999999999</v>
      </c>
      <c r="AA2081" s="61" t="s">
        <v>330</v>
      </c>
      <c r="AB2081" s="61" t="s">
        <v>8885</v>
      </c>
    </row>
    <row r="2082" spans="1:28" s="2" customFormat="1" ht="28.5">
      <c r="A2082" s="61" t="s">
        <v>778</v>
      </c>
      <c r="B2082" s="61" t="s">
        <v>1387</v>
      </c>
      <c r="C2082" s="61" t="s">
        <v>5210</v>
      </c>
      <c r="D2082" s="61" t="s">
        <v>7838</v>
      </c>
      <c r="E2082" s="61">
        <v>3901</v>
      </c>
      <c r="F2082" s="61">
        <v>4786</v>
      </c>
      <c r="G2082" s="61">
        <v>2025</v>
      </c>
      <c r="H2082" s="61" t="s">
        <v>3416</v>
      </c>
      <c r="I2082" s="61" t="s">
        <v>32</v>
      </c>
      <c r="J2082" s="61"/>
      <c r="K2082" s="61" t="s">
        <v>148</v>
      </c>
      <c r="L2082" s="61" t="s">
        <v>8886</v>
      </c>
      <c r="M2082" s="475">
        <v>45734</v>
      </c>
      <c r="N2082" s="475">
        <v>45734</v>
      </c>
      <c r="O2082" s="61"/>
      <c r="P2082" s="475">
        <v>45734</v>
      </c>
      <c r="Q2082" s="475">
        <v>45735</v>
      </c>
      <c r="R2082" s="61">
        <f t="shared" si="144"/>
        <v>1</v>
      </c>
      <c r="S2082" s="61" t="str">
        <f t="shared" si="145"/>
        <v/>
      </c>
      <c r="T2082" s="61">
        <f t="shared" si="143"/>
        <v>1</v>
      </c>
      <c r="U2082" s="61">
        <f t="shared" si="146"/>
        <v>1</v>
      </c>
      <c r="V2082" s="61" t="s">
        <v>150</v>
      </c>
      <c r="W2082" s="61" t="s">
        <v>3527</v>
      </c>
      <c r="X2082" s="61" t="s">
        <v>3528</v>
      </c>
      <c r="Y2082" s="61">
        <v>15.194839999999999</v>
      </c>
      <c r="Z2082" s="61">
        <v>120.61981</v>
      </c>
      <c r="AA2082" s="61" t="s">
        <v>330</v>
      </c>
      <c r="AB2082" s="61" t="s">
        <v>8885</v>
      </c>
    </row>
    <row r="2083" spans="1:28" s="2" customFormat="1" ht="28.5">
      <c r="A2083" s="61" t="s">
        <v>778</v>
      </c>
      <c r="B2083" s="61" t="s">
        <v>1387</v>
      </c>
      <c r="C2083" s="61" t="s">
        <v>5592</v>
      </c>
      <c r="D2083" s="61" t="s">
        <v>7838</v>
      </c>
      <c r="E2083" s="61">
        <v>3151</v>
      </c>
      <c r="F2083" s="61">
        <v>3885</v>
      </c>
      <c r="G2083" s="61">
        <v>2025</v>
      </c>
      <c r="H2083" s="61" t="s">
        <v>3416</v>
      </c>
      <c r="I2083" s="61" t="s">
        <v>32</v>
      </c>
      <c r="J2083" s="61"/>
      <c r="K2083" s="61" t="s">
        <v>148</v>
      </c>
      <c r="L2083" s="61" t="s">
        <v>8887</v>
      </c>
      <c r="M2083" s="475">
        <v>45727</v>
      </c>
      <c r="N2083" s="475">
        <v>45730</v>
      </c>
      <c r="O2083" s="61"/>
      <c r="P2083" s="475">
        <v>45733</v>
      </c>
      <c r="Q2083" s="475">
        <v>45734</v>
      </c>
      <c r="R2083" s="61">
        <f t="shared" si="144"/>
        <v>3</v>
      </c>
      <c r="S2083" s="61" t="str">
        <f t="shared" si="145"/>
        <v/>
      </c>
      <c r="T2083" s="61">
        <f t="shared" si="143"/>
        <v>1</v>
      </c>
      <c r="U2083" s="61">
        <f t="shared" si="146"/>
        <v>1</v>
      </c>
      <c r="V2083" s="61" t="s">
        <v>150</v>
      </c>
      <c r="W2083" s="61" t="s">
        <v>3527</v>
      </c>
      <c r="X2083" s="61" t="s">
        <v>3528</v>
      </c>
      <c r="Y2083" s="61">
        <v>15.22845</v>
      </c>
      <c r="Z2083" s="61">
        <v>120.60718</v>
      </c>
      <c r="AA2083" s="61" t="s">
        <v>330</v>
      </c>
      <c r="AB2083" s="61" t="s">
        <v>8885</v>
      </c>
    </row>
    <row r="2084" spans="1:28" s="2" customFormat="1" ht="28.5">
      <c r="A2084" s="61" t="s">
        <v>778</v>
      </c>
      <c r="B2084" s="61" t="s">
        <v>1387</v>
      </c>
      <c r="C2084" s="61" t="s">
        <v>5590</v>
      </c>
      <c r="D2084" s="61" t="s">
        <v>7838</v>
      </c>
      <c r="E2084" s="61">
        <v>9704</v>
      </c>
      <c r="F2084" s="61">
        <v>11411</v>
      </c>
      <c r="G2084" s="61">
        <v>2025</v>
      </c>
      <c r="H2084" s="61" t="s">
        <v>3127</v>
      </c>
      <c r="I2084" s="61" t="s">
        <v>32</v>
      </c>
      <c r="J2084" s="61"/>
      <c r="K2084" s="61" t="s">
        <v>148</v>
      </c>
      <c r="L2084" s="61" t="s">
        <v>8888</v>
      </c>
      <c r="M2084" s="475">
        <v>45909</v>
      </c>
      <c r="N2084" s="475">
        <v>45917</v>
      </c>
      <c r="O2084" s="61"/>
      <c r="P2084" s="475">
        <v>45917</v>
      </c>
      <c r="Q2084" s="475">
        <v>45918</v>
      </c>
      <c r="R2084" s="61">
        <f t="shared" si="144"/>
        <v>6</v>
      </c>
      <c r="S2084" s="61" t="str">
        <f t="shared" si="145"/>
        <v/>
      </c>
      <c r="T2084" s="61">
        <f t="shared" si="143"/>
        <v>1</v>
      </c>
      <c r="U2084" s="61">
        <f t="shared" si="146"/>
        <v>1</v>
      </c>
      <c r="V2084" s="61" t="s">
        <v>150</v>
      </c>
      <c r="W2084" s="61" t="s">
        <v>1078</v>
      </c>
      <c r="X2084" s="61" t="s">
        <v>3528</v>
      </c>
      <c r="Y2084" s="61" t="s">
        <v>69</v>
      </c>
      <c r="Z2084" s="61" t="s">
        <v>69</v>
      </c>
      <c r="AA2084" s="61" t="s">
        <v>330</v>
      </c>
      <c r="AB2084" s="61" t="s">
        <v>8885</v>
      </c>
    </row>
    <row r="2085" spans="1:28" s="2" customFormat="1" ht="28.5">
      <c r="A2085" s="61" t="s">
        <v>778</v>
      </c>
      <c r="B2085" s="61" t="s">
        <v>1387</v>
      </c>
      <c r="C2085" s="61" t="s">
        <v>5594</v>
      </c>
      <c r="D2085" s="61" t="s">
        <v>7838</v>
      </c>
      <c r="E2085" s="61">
        <v>1927</v>
      </c>
      <c r="F2085" s="61">
        <v>2997</v>
      </c>
      <c r="G2085" s="61">
        <v>2025</v>
      </c>
      <c r="H2085" s="61" t="s">
        <v>3127</v>
      </c>
      <c r="I2085" s="61" t="s">
        <v>32</v>
      </c>
      <c r="J2085" s="61"/>
      <c r="K2085" s="61" t="s">
        <v>148</v>
      </c>
      <c r="L2085" s="61" t="s">
        <v>8888</v>
      </c>
      <c r="M2085" s="475">
        <v>45909</v>
      </c>
      <c r="N2085" s="475">
        <v>45917</v>
      </c>
      <c r="O2085" s="61"/>
      <c r="P2085" s="475">
        <v>45917</v>
      </c>
      <c r="Q2085" s="475">
        <v>45918</v>
      </c>
      <c r="R2085" s="61">
        <f t="shared" si="144"/>
        <v>6</v>
      </c>
      <c r="S2085" s="61" t="str">
        <f t="shared" si="145"/>
        <v/>
      </c>
      <c r="T2085" s="61">
        <f t="shared" si="143"/>
        <v>1</v>
      </c>
      <c r="U2085" s="61">
        <f t="shared" si="146"/>
        <v>1</v>
      </c>
      <c r="V2085" s="61" t="s">
        <v>150</v>
      </c>
      <c r="W2085" s="61" t="s">
        <v>1078</v>
      </c>
      <c r="X2085" s="61" t="s">
        <v>3528</v>
      </c>
      <c r="Y2085" s="61" t="s">
        <v>69</v>
      </c>
      <c r="Z2085" s="61" t="s">
        <v>69</v>
      </c>
      <c r="AA2085" s="61" t="s">
        <v>330</v>
      </c>
      <c r="AB2085" s="61" t="s">
        <v>8885</v>
      </c>
    </row>
    <row r="2086" spans="1:28" s="2" customFormat="1" ht="28.5">
      <c r="A2086" s="61" t="s">
        <v>778</v>
      </c>
      <c r="B2086" s="61" t="s">
        <v>1387</v>
      </c>
      <c r="C2086" s="61" t="s">
        <v>4051</v>
      </c>
      <c r="D2086" s="61" t="s">
        <v>7838</v>
      </c>
      <c r="E2086" s="61">
        <v>1812</v>
      </c>
      <c r="F2086" s="61">
        <v>2017</v>
      </c>
      <c r="G2086" s="61">
        <v>2025</v>
      </c>
      <c r="H2086" s="61" t="s">
        <v>3127</v>
      </c>
      <c r="I2086" s="61" t="s">
        <v>32</v>
      </c>
      <c r="J2086" s="61"/>
      <c r="K2086" s="61" t="s">
        <v>148</v>
      </c>
      <c r="L2086" s="61" t="s">
        <v>8888</v>
      </c>
      <c r="M2086" s="475">
        <v>45909</v>
      </c>
      <c r="N2086" s="475">
        <v>45917</v>
      </c>
      <c r="O2086" s="61"/>
      <c r="P2086" s="475">
        <v>45917</v>
      </c>
      <c r="Q2086" s="475">
        <v>45918</v>
      </c>
      <c r="R2086" s="61">
        <f t="shared" si="144"/>
        <v>6</v>
      </c>
      <c r="S2086" s="61" t="str">
        <f t="shared" si="145"/>
        <v/>
      </c>
      <c r="T2086" s="61">
        <f t="shared" si="143"/>
        <v>1</v>
      </c>
      <c r="U2086" s="61">
        <f t="shared" si="146"/>
        <v>1</v>
      </c>
      <c r="V2086" s="61" t="s">
        <v>150</v>
      </c>
      <c r="W2086" s="61" t="s">
        <v>1078</v>
      </c>
      <c r="X2086" s="61" t="s">
        <v>3528</v>
      </c>
      <c r="Y2086" s="61" t="s">
        <v>69</v>
      </c>
      <c r="Z2086" s="61" t="s">
        <v>69</v>
      </c>
      <c r="AA2086" s="61" t="s">
        <v>330</v>
      </c>
      <c r="AB2086" s="61" t="s">
        <v>8885</v>
      </c>
    </row>
    <row r="2087" spans="1:28" s="2" customFormat="1" ht="28.5">
      <c r="A2087" s="61" t="s">
        <v>778</v>
      </c>
      <c r="B2087" s="61" t="s">
        <v>1387</v>
      </c>
      <c r="C2087" s="61" t="s">
        <v>5595</v>
      </c>
      <c r="D2087" s="61" t="s">
        <v>7838</v>
      </c>
      <c r="E2087" s="61">
        <v>11387</v>
      </c>
      <c r="F2087" s="61">
        <v>13063</v>
      </c>
      <c r="G2087" s="61">
        <v>2025</v>
      </c>
      <c r="H2087" s="61" t="s">
        <v>3127</v>
      </c>
      <c r="I2087" s="61" t="s">
        <v>32</v>
      </c>
      <c r="J2087" s="61"/>
      <c r="K2087" s="61" t="s">
        <v>148</v>
      </c>
      <c r="L2087" s="61" t="s">
        <v>8888</v>
      </c>
      <c r="M2087" s="475">
        <v>45909</v>
      </c>
      <c r="N2087" s="475">
        <v>45917</v>
      </c>
      <c r="O2087" s="61"/>
      <c r="P2087" s="475">
        <v>45917</v>
      </c>
      <c r="Q2087" s="475">
        <v>45918</v>
      </c>
      <c r="R2087" s="61">
        <f t="shared" si="144"/>
        <v>6</v>
      </c>
      <c r="S2087" s="61" t="str">
        <f t="shared" si="145"/>
        <v/>
      </c>
      <c r="T2087" s="61">
        <f t="shared" si="143"/>
        <v>1</v>
      </c>
      <c r="U2087" s="61">
        <f t="shared" si="146"/>
        <v>1</v>
      </c>
      <c r="V2087" s="61" t="s">
        <v>150</v>
      </c>
      <c r="W2087" s="61" t="s">
        <v>1078</v>
      </c>
      <c r="X2087" s="61" t="s">
        <v>3528</v>
      </c>
      <c r="Y2087" s="61" t="s">
        <v>69</v>
      </c>
      <c r="Z2087" s="61" t="s">
        <v>69</v>
      </c>
      <c r="AA2087" s="61" t="s">
        <v>330</v>
      </c>
      <c r="AB2087" s="61" t="s">
        <v>8885</v>
      </c>
    </row>
    <row r="2088" spans="1:28" s="2" customFormat="1" ht="28.5">
      <c r="A2088" s="61" t="s">
        <v>778</v>
      </c>
      <c r="B2088" s="61" t="s">
        <v>1387</v>
      </c>
      <c r="C2088" s="61" t="s">
        <v>1494</v>
      </c>
      <c r="D2088" s="61" t="s">
        <v>7838</v>
      </c>
      <c r="E2088" s="61">
        <v>37789</v>
      </c>
      <c r="F2088" s="61">
        <v>41695</v>
      </c>
      <c r="G2088" s="61">
        <v>2025</v>
      </c>
      <c r="H2088" s="61" t="s">
        <v>3127</v>
      </c>
      <c r="I2088" s="61" t="s">
        <v>32</v>
      </c>
      <c r="J2088" s="61"/>
      <c r="K2088" s="61" t="s">
        <v>148</v>
      </c>
      <c r="L2088" s="61" t="s">
        <v>8888</v>
      </c>
      <c r="M2088" s="475">
        <v>45909</v>
      </c>
      <c r="N2088" s="475">
        <v>45917</v>
      </c>
      <c r="O2088" s="61"/>
      <c r="P2088" s="475">
        <v>45917</v>
      </c>
      <c r="Q2088" s="475">
        <v>45918</v>
      </c>
      <c r="R2088" s="61">
        <f t="shared" si="144"/>
        <v>6</v>
      </c>
      <c r="S2088" s="61" t="str">
        <f t="shared" si="145"/>
        <v/>
      </c>
      <c r="T2088" s="61">
        <f t="shared" si="143"/>
        <v>1</v>
      </c>
      <c r="U2088" s="61">
        <f t="shared" si="146"/>
        <v>1</v>
      </c>
      <c r="V2088" s="61" t="s">
        <v>150</v>
      </c>
      <c r="W2088" s="61" t="s">
        <v>1078</v>
      </c>
      <c r="X2088" s="61" t="s">
        <v>3528</v>
      </c>
      <c r="Y2088" s="61" t="s">
        <v>69</v>
      </c>
      <c r="Z2088" s="61" t="s">
        <v>69</v>
      </c>
      <c r="AA2088" s="61" t="s">
        <v>330</v>
      </c>
      <c r="AB2088" s="61" t="s">
        <v>8885</v>
      </c>
    </row>
    <row r="2089" spans="1:28" s="2" customFormat="1" ht="28.5">
      <c r="A2089" s="61" t="s">
        <v>778</v>
      </c>
      <c r="B2089" s="61" t="s">
        <v>1387</v>
      </c>
      <c r="C2089" s="61" t="s">
        <v>5596</v>
      </c>
      <c r="D2089" s="61" t="s">
        <v>7838</v>
      </c>
      <c r="E2089" s="61">
        <v>54541</v>
      </c>
      <c r="F2089" s="61">
        <v>62378</v>
      </c>
      <c r="G2089" s="61">
        <v>2025</v>
      </c>
      <c r="H2089" s="61" t="s">
        <v>3127</v>
      </c>
      <c r="I2089" s="61" t="s">
        <v>32</v>
      </c>
      <c r="J2089" s="61"/>
      <c r="K2089" s="61" t="s">
        <v>148</v>
      </c>
      <c r="L2089" s="61" t="s">
        <v>8888</v>
      </c>
      <c r="M2089" s="475">
        <v>45909</v>
      </c>
      <c r="N2089" s="475">
        <v>45917</v>
      </c>
      <c r="O2089" s="61"/>
      <c r="P2089" s="475">
        <v>45917</v>
      </c>
      <c r="Q2089" s="475">
        <v>45918</v>
      </c>
      <c r="R2089" s="61">
        <f t="shared" si="144"/>
        <v>6</v>
      </c>
      <c r="S2089" s="61" t="str">
        <f t="shared" si="145"/>
        <v/>
      </c>
      <c r="T2089" s="61">
        <f t="shared" si="143"/>
        <v>1</v>
      </c>
      <c r="U2089" s="61">
        <f t="shared" si="146"/>
        <v>1</v>
      </c>
      <c r="V2089" s="61" t="s">
        <v>150</v>
      </c>
      <c r="W2089" s="61" t="s">
        <v>1078</v>
      </c>
      <c r="X2089" s="61" t="s">
        <v>3528</v>
      </c>
      <c r="Y2089" s="61" t="s">
        <v>69</v>
      </c>
      <c r="Z2089" s="61" t="s">
        <v>69</v>
      </c>
      <c r="AA2089" s="61" t="s">
        <v>330</v>
      </c>
      <c r="AB2089" s="61" t="s">
        <v>8885</v>
      </c>
    </row>
    <row r="2090" spans="1:28" s="2" customFormat="1" ht="28.5">
      <c r="A2090" s="61" t="s">
        <v>778</v>
      </c>
      <c r="B2090" s="61" t="s">
        <v>1387</v>
      </c>
      <c r="C2090" s="61" t="s">
        <v>5197</v>
      </c>
      <c r="D2090" s="61" t="s">
        <v>7838</v>
      </c>
      <c r="E2090" s="61">
        <v>2841</v>
      </c>
      <c r="F2090" s="61">
        <v>4305</v>
      </c>
      <c r="G2090" s="61">
        <v>2025</v>
      </c>
      <c r="H2090" s="61" t="s">
        <v>3127</v>
      </c>
      <c r="I2090" s="61" t="s">
        <v>32</v>
      </c>
      <c r="J2090" s="61"/>
      <c r="K2090" s="61" t="s">
        <v>148</v>
      </c>
      <c r="L2090" s="61" t="s">
        <v>8888</v>
      </c>
      <c r="M2090" s="475">
        <v>45909</v>
      </c>
      <c r="N2090" s="475">
        <v>45917</v>
      </c>
      <c r="O2090" s="61"/>
      <c r="P2090" s="475">
        <v>45917</v>
      </c>
      <c r="Q2090" s="475">
        <v>45918</v>
      </c>
      <c r="R2090" s="61">
        <f t="shared" si="144"/>
        <v>6</v>
      </c>
      <c r="S2090" s="61" t="str">
        <f t="shared" si="145"/>
        <v/>
      </c>
      <c r="T2090" s="61">
        <f t="shared" si="143"/>
        <v>1</v>
      </c>
      <c r="U2090" s="61">
        <f t="shared" si="146"/>
        <v>1</v>
      </c>
      <c r="V2090" s="61" t="s">
        <v>150</v>
      </c>
      <c r="W2090" s="61" t="s">
        <v>1078</v>
      </c>
      <c r="X2090" s="61" t="s">
        <v>3528</v>
      </c>
      <c r="Y2090" s="61" t="s">
        <v>69</v>
      </c>
      <c r="Z2090" s="61" t="s">
        <v>69</v>
      </c>
      <c r="AA2090" s="61" t="s">
        <v>330</v>
      </c>
      <c r="AB2090" s="61" t="s">
        <v>8885</v>
      </c>
    </row>
    <row r="2091" spans="1:28" s="2" customFormat="1" ht="28.5">
      <c r="A2091" s="61" t="s">
        <v>778</v>
      </c>
      <c r="B2091" s="61" t="s">
        <v>1387</v>
      </c>
      <c r="C2091" s="61" t="s">
        <v>5588</v>
      </c>
      <c r="D2091" s="61" t="s">
        <v>7838</v>
      </c>
      <c r="E2091" s="61">
        <v>12268</v>
      </c>
      <c r="F2091" s="61">
        <v>13899</v>
      </c>
      <c r="G2091" s="61">
        <v>2025</v>
      </c>
      <c r="H2091" s="61" t="s">
        <v>3127</v>
      </c>
      <c r="I2091" s="61" t="s">
        <v>32</v>
      </c>
      <c r="J2091" s="61"/>
      <c r="K2091" s="61" t="s">
        <v>148</v>
      </c>
      <c r="L2091" s="61" t="s">
        <v>8888</v>
      </c>
      <c r="M2091" s="475">
        <v>45909</v>
      </c>
      <c r="N2091" s="475">
        <v>45917</v>
      </c>
      <c r="O2091" s="61"/>
      <c r="P2091" s="475">
        <v>45917</v>
      </c>
      <c r="Q2091" s="475">
        <v>45918</v>
      </c>
      <c r="R2091" s="61">
        <f t="shared" si="144"/>
        <v>6</v>
      </c>
      <c r="S2091" s="61" t="str">
        <f t="shared" si="145"/>
        <v/>
      </c>
      <c r="T2091" s="61">
        <f t="shared" si="143"/>
        <v>1</v>
      </c>
      <c r="U2091" s="61">
        <f t="shared" si="146"/>
        <v>1</v>
      </c>
      <c r="V2091" s="61" t="s">
        <v>150</v>
      </c>
      <c r="W2091" s="61" t="s">
        <v>3527</v>
      </c>
      <c r="X2091" s="61" t="s">
        <v>3528</v>
      </c>
      <c r="Y2091" s="61" t="s">
        <v>69</v>
      </c>
      <c r="Z2091" s="61" t="s">
        <v>69</v>
      </c>
      <c r="AA2091" s="61" t="s">
        <v>330</v>
      </c>
      <c r="AB2091" s="61" t="s">
        <v>8885</v>
      </c>
    </row>
    <row r="2092" spans="1:28" s="2" customFormat="1" ht="28.5">
      <c r="A2092" s="61" t="s">
        <v>778</v>
      </c>
      <c r="B2092" s="61" t="s">
        <v>1387</v>
      </c>
      <c r="C2092" s="61" t="s">
        <v>5597</v>
      </c>
      <c r="D2092" s="61" t="s">
        <v>7838</v>
      </c>
      <c r="E2092" s="61">
        <v>6786</v>
      </c>
      <c r="F2092" s="61">
        <v>8387</v>
      </c>
      <c r="G2092" s="61">
        <v>2025</v>
      </c>
      <c r="H2092" s="61" t="s">
        <v>3127</v>
      </c>
      <c r="I2092" s="61" t="s">
        <v>32</v>
      </c>
      <c r="J2092" s="61"/>
      <c r="K2092" s="61" t="s">
        <v>148</v>
      </c>
      <c r="L2092" s="61" t="s">
        <v>8888</v>
      </c>
      <c r="M2092" s="475">
        <v>45909</v>
      </c>
      <c r="N2092" s="475">
        <v>45917</v>
      </c>
      <c r="O2092" s="61"/>
      <c r="P2092" s="475">
        <v>45917</v>
      </c>
      <c r="Q2092" s="475">
        <v>45918</v>
      </c>
      <c r="R2092" s="61">
        <f t="shared" si="144"/>
        <v>6</v>
      </c>
      <c r="S2092" s="61" t="str">
        <f t="shared" si="145"/>
        <v/>
      </c>
      <c r="T2092" s="61">
        <f t="shared" si="143"/>
        <v>1</v>
      </c>
      <c r="U2092" s="61">
        <f t="shared" si="146"/>
        <v>1</v>
      </c>
      <c r="V2092" s="61" t="s">
        <v>150</v>
      </c>
      <c r="W2092" s="61" t="s">
        <v>1078</v>
      </c>
      <c r="X2092" s="61" t="s">
        <v>3528</v>
      </c>
      <c r="Y2092" s="61" t="s">
        <v>69</v>
      </c>
      <c r="Z2092" s="61" t="s">
        <v>69</v>
      </c>
      <c r="AA2092" s="61" t="s">
        <v>330</v>
      </c>
      <c r="AB2092" s="61" t="s">
        <v>8885</v>
      </c>
    </row>
    <row r="2093" spans="1:28" s="2" customFormat="1" ht="28.5">
      <c r="A2093" s="61" t="s">
        <v>778</v>
      </c>
      <c r="B2093" s="61" t="s">
        <v>1387</v>
      </c>
      <c r="C2093" s="61" t="s">
        <v>3753</v>
      </c>
      <c r="D2093" s="61" t="s">
        <v>7838</v>
      </c>
      <c r="E2093" s="61">
        <v>19056</v>
      </c>
      <c r="F2093" s="61">
        <v>24042</v>
      </c>
      <c r="G2093" s="61">
        <v>2025</v>
      </c>
      <c r="H2093" s="61" t="s">
        <v>3127</v>
      </c>
      <c r="I2093" s="61" t="s">
        <v>32</v>
      </c>
      <c r="J2093" s="61"/>
      <c r="K2093" s="61" t="s">
        <v>148</v>
      </c>
      <c r="L2093" s="61" t="s">
        <v>8888</v>
      </c>
      <c r="M2093" s="475">
        <v>45909</v>
      </c>
      <c r="N2093" s="475">
        <v>45917</v>
      </c>
      <c r="O2093" s="61"/>
      <c r="P2093" s="475">
        <v>45917</v>
      </c>
      <c r="Q2093" s="475">
        <v>45918</v>
      </c>
      <c r="R2093" s="61">
        <f t="shared" si="144"/>
        <v>6</v>
      </c>
      <c r="S2093" s="61" t="str">
        <f t="shared" si="145"/>
        <v/>
      </c>
      <c r="T2093" s="61">
        <f t="shared" si="143"/>
        <v>1</v>
      </c>
      <c r="U2093" s="61">
        <f t="shared" si="146"/>
        <v>1</v>
      </c>
      <c r="V2093" s="61" t="s">
        <v>150</v>
      </c>
      <c r="W2093" s="61" t="s">
        <v>1078</v>
      </c>
      <c r="X2093" s="61" t="s">
        <v>3528</v>
      </c>
      <c r="Y2093" s="61" t="s">
        <v>69</v>
      </c>
      <c r="Z2093" s="61" t="s">
        <v>69</v>
      </c>
      <c r="AA2093" s="61" t="s">
        <v>330</v>
      </c>
      <c r="AB2093" s="61" t="s">
        <v>8885</v>
      </c>
    </row>
    <row r="2094" spans="1:28" s="2" customFormat="1" ht="28.5">
      <c r="A2094" s="61" t="s">
        <v>778</v>
      </c>
      <c r="B2094" s="61" t="s">
        <v>1387</v>
      </c>
      <c r="C2094" s="61" t="s">
        <v>5598</v>
      </c>
      <c r="D2094" s="61" t="s">
        <v>7838</v>
      </c>
      <c r="E2094" s="61">
        <v>3768</v>
      </c>
      <c r="F2094" s="61">
        <v>4202</v>
      </c>
      <c r="G2094" s="61">
        <v>2025</v>
      </c>
      <c r="H2094" s="61" t="s">
        <v>3127</v>
      </c>
      <c r="I2094" s="61" t="s">
        <v>32</v>
      </c>
      <c r="J2094" s="61"/>
      <c r="K2094" s="61" t="s">
        <v>148</v>
      </c>
      <c r="L2094" s="61" t="s">
        <v>8888</v>
      </c>
      <c r="M2094" s="475">
        <v>45909</v>
      </c>
      <c r="N2094" s="475">
        <v>45917</v>
      </c>
      <c r="O2094" s="61"/>
      <c r="P2094" s="475">
        <v>45917</v>
      </c>
      <c r="Q2094" s="475">
        <v>45918</v>
      </c>
      <c r="R2094" s="61">
        <f t="shared" si="144"/>
        <v>6</v>
      </c>
      <c r="S2094" s="61" t="str">
        <f t="shared" si="145"/>
        <v/>
      </c>
      <c r="T2094" s="61">
        <f t="shared" si="143"/>
        <v>1</v>
      </c>
      <c r="U2094" s="61">
        <f t="shared" si="146"/>
        <v>1</v>
      </c>
      <c r="V2094" s="61" t="s">
        <v>150</v>
      </c>
      <c r="W2094" s="61" t="s">
        <v>1078</v>
      </c>
      <c r="X2094" s="61" t="s">
        <v>3528</v>
      </c>
      <c r="Y2094" s="61" t="s">
        <v>69</v>
      </c>
      <c r="Z2094" s="61" t="s">
        <v>69</v>
      </c>
      <c r="AA2094" s="61" t="s">
        <v>330</v>
      </c>
      <c r="AB2094" s="61" t="s">
        <v>8885</v>
      </c>
    </row>
    <row r="2095" spans="1:28" s="2" customFormat="1" ht="28.5">
      <c r="A2095" s="61" t="s">
        <v>778</v>
      </c>
      <c r="B2095" s="61" t="s">
        <v>1387</v>
      </c>
      <c r="C2095" s="61" t="s">
        <v>5599</v>
      </c>
      <c r="D2095" s="61" t="s">
        <v>7838</v>
      </c>
      <c r="E2095" s="61">
        <v>2250</v>
      </c>
      <c r="F2095" s="61">
        <v>2284</v>
      </c>
      <c r="G2095" s="61">
        <v>2025</v>
      </c>
      <c r="H2095" s="61" t="s">
        <v>3127</v>
      </c>
      <c r="I2095" s="61" t="s">
        <v>32</v>
      </c>
      <c r="J2095" s="61"/>
      <c r="K2095" s="61" t="s">
        <v>148</v>
      </c>
      <c r="L2095" s="61" t="s">
        <v>8888</v>
      </c>
      <c r="M2095" s="475">
        <v>45909</v>
      </c>
      <c r="N2095" s="475">
        <v>45917</v>
      </c>
      <c r="O2095" s="61"/>
      <c r="P2095" s="475">
        <v>45917</v>
      </c>
      <c r="Q2095" s="475">
        <v>45918</v>
      </c>
      <c r="R2095" s="61">
        <f t="shared" si="144"/>
        <v>6</v>
      </c>
      <c r="S2095" s="61" t="str">
        <f t="shared" si="145"/>
        <v/>
      </c>
      <c r="T2095" s="61">
        <f t="shared" si="143"/>
        <v>1</v>
      </c>
      <c r="U2095" s="61">
        <f t="shared" si="146"/>
        <v>1</v>
      </c>
      <c r="V2095" s="61" t="s">
        <v>150</v>
      </c>
      <c r="W2095" s="61" t="s">
        <v>1078</v>
      </c>
      <c r="X2095" s="61" t="s">
        <v>3528</v>
      </c>
      <c r="Y2095" s="61" t="s">
        <v>69</v>
      </c>
      <c r="Z2095" s="61" t="s">
        <v>69</v>
      </c>
      <c r="AA2095" s="61" t="s">
        <v>330</v>
      </c>
      <c r="AB2095" s="61" t="s">
        <v>8885</v>
      </c>
    </row>
    <row r="2096" spans="1:28" s="2" customFormat="1" ht="28.5">
      <c r="A2096" s="61" t="s">
        <v>778</v>
      </c>
      <c r="B2096" s="61" t="s">
        <v>1387</v>
      </c>
      <c r="C2096" s="61" t="s">
        <v>5600</v>
      </c>
      <c r="D2096" s="61" t="s">
        <v>7838</v>
      </c>
      <c r="E2096" s="61">
        <v>940</v>
      </c>
      <c r="F2096" s="61">
        <v>954</v>
      </c>
      <c r="G2096" s="61">
        <v>2025</v>
      </c>
      <c r="H2096" s="61" t="s">
        <v>3127</v>
      </c>
      <c r="I2096" s="61" t="s">
        <v>32</v>
      </c>
      <c r="J2096" s="61"/>
      <c r="K2096" s="61" t="s">
        <v>148</v>
      </c>
      <c r="L2096" s="61" t="s">
        <v>8888</v>
      </c>
      <c r="M2096" s="475">
        <v>45909</v>
      </c>
      <c r="N2096" s="475">
        <v>45917</v>
      </c>
      <c r="O2096" s="61"/>
      <c r="P2096" s="475">
        <v>45917</v>
      </c>
      <c r="Q2096" s="475">
        <v>45918</v>
      </c>
      <c r="R2096" s="61">
        <f t="shared" si="144"/>
        <v>6</v>
      </c>
      <c r="S2096" s="61" t="str">
        <f t="shared" si="145"/>
        <v/>
      </c>
      <c r="T2096" s="61">
        <f t="shared" si="143"/>
        <v>1</v>
      </c>
      <c r="U2096" s="61">
        <f t="shared" si="146"/>
        <v>1</v>
      </c>
      <c r="V2096" s="61" t="s">
        <v>150</v>
      </c>
      <c r="W2096" s="61" t="s">
        <v>1078</v>
      </c>
      <c r="X2096" s="61" t="s">
        <v>3528</v>
      </c>
      <c r="Y2096" s="61" t="s">
        <v>69</v>
      </c>
      <c r="Z2096" s="61" t="s">
        <v>69</v>
      </c>
      <c r="AA2096" s="61" t="s">
        <v>330</v>
      </c>
      <c r="AB2096" s="61" t="s">
        <v>8885</v>
      </c>
    </row>
    <row r="2097" spans="1:28" s="2" customFormat="1" ht="28.5">
      <c r="A2097" s="61" t="s">
        <v>778</v>
      </c>
      <c r="B2097" s="61" t="s">
        <v>1387</v>
      </c>
      <c r="C2097" s="61" t="s">
        <v>4738</v>
      </c>
      <c r="D2097" s="61" t="s">
        <v>7838</v>
      </c>
      <c r="E2097" s="61">
        <v>2924</v>
      </c>
      <c r="F2097" s="61">
        <v>4957</v>
      </c>
      <c r="G2097" s="61">
        <v>2025</v>
      </c>
      <c r="H2097" s="61" t="s">
        <v>3127</v>
      </c>
      <c r="I2097" s="61" t="s">
        <v>32</v>
      </c>
      <c r="J2097" s="61"/>
      <c r="K2097" s="61" t="s">
        <v>148</v>
      </c>
      <c r="L2097" s="61" t="s">
        <v>8888</v>
      </c>
      <c r="M2097" s="475">
        <v>45909</v>
      </c>
      <c r="N2097" s="475">
        <v>45917</v>
      </c>
      <c r="O2097" s="61"/>
      <c r="P2097" s="475">
        <v>45917</v>
      </c>
      <c r="Q2097" s="475">
        <v>45918</v>
      </c>
      <c r="R2097" s="61">
        <f t="shared" si="144"/>
        <v>6</v>
      </c>
      <c r="S2097" s="61" t="str">
        <f t="shared" si="145"/>
        <v/>
      </c>
      <c r="T2097" s="61">
        <f t="shared" si="143"/>
        <v>1</v>
      </c>
      <c r="U2097" s="61">
        <f t="shared" si="146"/>
        <v>1</v>
      </c>
      <c r="V2097" s="61" t="s">
        <v>150</v>
      </c>
      <c r="W2097" s="61" t="s">
        <v>1078</v>
      </c>
      <c r="X2097" s="61" t="s">
        <v>3528</v>
      </c>
      <c r="Y2097" s="61" t="s">
        <v>69</v>
      </c>
      <c r="Z2097" s="61" t="s">
        <v>69</v>
      </c>
      <c r="AA2097" s="61" t="s">
        <v>330</v>
      </c>
      <c r="AB2097" s="61" t="s">
        <v>8885</v>
      </c>
    </row>
    <row r="2098" spans="1:28" s="2" customFormat="1" ht="28.5">
      <c r="A2098" s="61" t="s">
        <v>778</v>
      </c>
      <c r="B2098" s="61" t="s">
        <v>1387</v>
      </c>
      <c r="C2098" s="61" t="s">
        <v>5601</v>
      </c>
      <c r="D2098" s="61" t="s">
        <v>7838</v>
      </c>
      <c r="E2098" s="61">
        <v>3056</v>
      </c>
      <c r="F2098" s="61">
        <v>3692</v>
      </c>
      <c r="G2098" s="61">
        <v>2025</v>
      </c>
      <c r="H2098" s="61" t="s">
        <v>3127</v>
      </c>
      <c r="I2098" s="61" t="s">
        <v>32</v>
      </c>
      <c r="J2098" s="61"/>
      <c r="K2098" s="61" t="s">
        <v>148</v>
      </c>
      <c r="L2098" s="61" t="s">
        <v>8888</v>
      </c>
      <c r="M2098" s="475">
        <v>45909</v>
      </c>
      <c r="N2098" s="475">
        <v>45917</v>
      </c>
      <c r="O2098" s="61"/>
      <c r="P2098" s="475">
        <v>45917</v>
      </c>
      <c r="Q2098" s="475">
        <v>45918</v>
      </c>
      <c r="R2098" s="61">
        <f t="shared" si="144"/>
        <v>6</v>
      </c>
      <c r="S2098" s="61" t="str">
        <f t="shared" si="145"/>
        <v/>
      </c>
      <c r="T2098" s="61">
        <f t="shared" si="143"/>
        <v>1</v>
      </c>
      <c r="U2098" s="61">
        <f t="shared" si="146"/>
        <v>1</v>
      </c>
      <c r="V2098" s="61" t="s">
        <v>150</v>
      </c>
      <c r="W2098" s="61" t="s">
        <v>1078</v>
      </c>
      <c r="X2098" s="61" t="s">
        <v>3528</v>
      </c>
      <c r="Y2098" s="61" t="s">
        <v>69</v>
      </c>
      <c r="Z2098" s="61" t="s">
        <v>69</v>
      </c>
      <c r="AA2098" s="61" t="s">
        <v>330</v>
      </c>
      <c r="AB2098" s="61" t="s">
        <v>8885</v>
      </c>
    </row>
    <row r="2099" spans="1:28" s="2" customFormat="1" ht="28.5">
      <c r="A2099" s="61" t="s">
        <v>778</v>
      </c>
      <c r="B2099" s="61" t="s">
        <v>1387</v>
      </c>
      <c r="C2099" s="61" t="s">
        <v>5602</v>
      </c>
      <c r="D2099" s="61" t="s">
        <v>7838</v>
      </c>
      <c r="E2099" s="61">
        <v>1588</v>
      </c>
      <c r="F2099" s="61">
        <v>1830</v>
      </c>
      <c r="G2099" s="61">
        <v>2025</v>
      </c>
      <c r="H2099" s="61" t="s">
        <v>3127</v>
      </c>
      <c r="I2099" s="61" t="s">
        <v>32</v>
      </c>
      <c r="J2099" s="61"/>
      <c r="K2099" s="61" t="s">
        <v>148</v>
      </c>
      <c r="L2099" s="61" t="s">
        <v>8888</v>
      </c>
      <c r="M2099" s="475">
        <v>45909</v>
      </c>
      <c r="N2099" s="475">
        <v>45917</v>
      </c>
      <c r="O2099" s="61"/>
      <c r="P2099" s="475">
        <v>45917</v>
      </c>
      <c r="Q2099" s="475">
        <v>45918</v>
      </c>
      <c r="R2099" s="61">
        <f t="shared" si="144"/>
        <v>6</v>
      </c>
      <c r="S2099" s="61" t="str">
        <f t="shared" si="145"/>
        <v/>
      </c>
      <c r="T2099" s="61">
        <f t="shared" si="143"/>
        <v>1</v>
      </c>
      <c r="U2099" s="61">
        <f t="shared" si="146"/>
        <v>1</v>
      </c>
      <c r="V2099" s="61" t="s">
        <v>150</v>
      </c>
      <c r="W2099" s="61" t="s">
        <v>1078</v>
      </c>
      <c r="X2099" s="61" t="s">
        <v>3528</v>
      </c>
      <c r="Y2099" s="61" t="s">
        <v>69</v>
      </c>
      <c r="Z2099" s="61" t="s">
        <v>69</v>
      </c>
      <c r="AA2099" s="61" t="s">
        <v>330</v>
      </c>
      <c r="AB2099" s="61" t="s">
        <v>8885</v>
      </c>
    </row>
    <row r="2100" spans="1:28" s="2" customFormat="1" ht="28.5">
      <c r="A2100" s="61" t="s">
        <v>778</v>
      </c>
      <c r="B2100" s="61" t="s">
        <v>1387</v>
      </c>
      <c r="C2100" s="61" t="s">
        <v>1056</v>
      </c>
      <c r="D2100" s="61" t="s">
        <v>7838</v>
      </c>
      <c r="E2100" s="61">
        <v>2782</v>
      </c>
      <c r="F2100" s="61">
        <v>2759</v>
      </c>
      <c r="G2100" s="61">
        <v>2025</v>
      </c>
      <c r="H2100" s="61" t="s">
        <v>3127</v>
      </c>
      <c r="I2100" s="61" t="s">
        <v>32</v>
      </c>
      <c r="J2100" s="61"/>
      <c r="K2100" s="61" t="s">
        <v>148</v>
      </c>
      <c r="L2100" s="61" t="s">
        <v>8888</v>
      </c>
      <c r="M2100" s="475">
        <v>45909</v>
      </c>
      <c r="N2100" s="475">
        <v>45917</v>
      </c>
      <c r="O2100" s="61"/>
      <c r="P2100" s="475">
        <v>45917</v>
      </c>
      <c r="Q2100" s="475">
        <v>45918</v>
      </c>
      <c r="R2100" s="61">
        <f t="shared" si="144"/>
        <v>6</v>
      </c>
      <c r="S2100" s="61" t="str">
        <f t="shared" si="145"/>
        <v/>
      </c>
      <c r="T2100" s="61">
        <f t="shared" si="143"/>
        <v>1</v>
      </c>
      <c r="U2100" s="61">
        <f t="shared" si="146"/>
        <v>1</v>
      </c>
      <c r="V2100" s="61" t="s">
        <v>150</v>
      </c>
      <c r="W2100" s="61" t="s">
        <v>1078</v>
      </c>
      <c r="X2100" s="61" t="s">
        <v>3528</v>
      </c>
      <c r="Y2100" s="61" t="s">
        <v>69</v>
      </c>
      <c r="Z2100" s="61" t="s">
        <v>69</v>
      </c>
      <c r="AA2100" s="61" t="s">
        <v>330</v>
      </c>
      <c r="AB2100" s="61" t="s">
        <v>8885</v>
      </c>
    </row>
    <row r="2101" spans="1:28" s="2" customFormat="1" ht="28.5">
      <c r="A2101" s="61" t="s">
        <v>778</v>
      </c>
      <c r="B2101" s="61" t="s">
        <v>1387</v>
      </c>
      <c r="C2101" s="61" t="s">
        <v>4024</v>
      </c>
      <c r="D2101" s="61" t="s">
        <v>7838</v>
      </c>
      <c r="E2101" s="61">
        <v>12354</v>
      </c>
      <c r="F2101" s="61">
        <v>14661</v>
      </c>
      <c r="G2101" s="61">
        <v>2025</v>
      </c>
      <c r="H2101" s="61" t="s">
        <v>3127</v>
      </c>
      <c r="I2101" s="61" t="s">
        <v>32</v>
      </c>
      <c r="J2101" s="61"/>
      <c r="K2101" s="61" t="s">
        <v>148</v>
      </c>
      <c r="L2101" s="61" t="s">
        <v>8888</v>
      </c>
      <c r="M2101" s="475">
        <v>45909</v>
      </c>
      <c r="N2101" s="475">
        <v>45917</v>
      </c>
      <c r="O2101" s="61"/>
      <c r="P2101" s="475">
        <v>45917</v>
      </c>
      <c r="Q2101" s="475">
        <v>45918</v>
      </c>
      <c r="R2101" s="61">
        <f t="shared" si="144"/>
        <v>6</v>
      </c>
      <c r="S2101" s="61" t="str">
        <f t="shared" si="145"/>
        <v/>
      </c>
      <c r="T2101" s="61">
        <f t="shared" si="143"/>
        <v>1</v>
      </c>
      <c r="U2101" s="61">
        <f t="shared" si="146"/>
        <v>1</v>
      </c>
      <c r="V2101" s="61" t="s">
        <v>150</v>
      </c>
      <c r="W2101" s="61" t="s">
        <v>1078</v>
      </c>
      <c r="X2101" s="61" t="s">
        <v>3528</v>
      </c>
      <c r="Y2101" s="61" t="s">
        <v>69</v>
      </c>
      <c r="Z2101" s="61" t="s">
        <v>69</v>
      </c>
      <c r="AA2101" s="61" t="s">
        <v>330</v>
      </c>
      <c r="AB2101" s="61" t="s">
        <v>8885</v>
      </c>
    </row>
    <row r="2102" spans="1:28" s="2" customFormat="1" ht="28.5">
      <c r="A2102" s="61" t="s">
        <v>778</v>
      </c>
      <c r="B2102" s="61" t="s">
        <v>1387</v>
      </c>
      <c r="C2102" s="61" t="s">
        <v>987</v>
      </c>
      <c r="D2102" s="61" t="s">
        <v>7838</v>
      </c>
      <c r="E2102" s="61">
        <v>4977</v>
      </c>
      <c r="F2102" s="61">
        <v>5325</v>
      </c>
      <c r="G2102" s="61">
        <v>2025</v>
      </c>
      <c r="H2102" s="61" t="s">
        <v>3127</v>
      </c>
      <c r="I2102" s="61" t="s">
        <v>32</v>
      </c>
      <c r="J2102" s="61"/>
      <c r="K2102" s="61" t="s">
        <v>148</v>
      </c>
      <c r="L2102" s="61" t="s">
        <v>8888</v>
      </c>
      <c r="M2102" s="475">
        <v>45909</v>
      </c>
      <c r="N2102" s="475">
        <v>45917</v>
      </c>
      <c r="O2102" s="61"/>
      <c r="P2102" s="475">
        <v>45917</v>
      </c>
      <c r="Q2102" s="475">
        <v>45918</v>
      </c>
      <c r="R2102" s="61">
        <f t="shared" si="144"/>
        <v>6</v>
      </c>
      <c r="S2102" s="61" t="str">
        <f t="shared" si="145"/>
        <v/>
      </c>
      <c r="T2102" s="61">
        <f t="shared" si="143"/>
        <v>1</v>
      </c>
      <c r="U2102" s="61">
        <f t="shared" si="146"/>
        <v>1</v>
      </c>
      <c r="V2102" s="61" t="s">
        <v>150</v>
      </c>
      <c r="W2102" s="61" t="s">
        <v>1078</v>
      </c>
      <c r="X2102" s="61" t="s">
        <v>3528</v>
      </c>
      <c r="Y2102" s="61" t="s">
        <v>69</v>
      </c>
      <c r="Z2102" s="61" t="s">
        <v>69</v>
      </c>
      <c r="AA2102" s="61" t="s">
        <v>330</v>
      </c>
      <c r="AB2102" s="61" t="s">
        <v>8885</v>
      </c>
    </row>
    <row r="2103" spans="1:28" s="2" customFormat="1" ht="28.5">
      <c r="A2103" s="61" t="s">
        <v>778</v>
      </c>
      <c r="B2103" s="61" t="s">
        <v>1387</v>
      </c>
      <c r="C2103" s="61" t="s">
        <v>4950</v>
      </c>
      <c r="D2103" s="61" t="s">
        <v>7838</v>
      </c>
      <c r="E2103" s="61">
        <v>2091</v>
      </c>
      <c r="F2103" s="61">
        <v>3167</v>
      </c>
      <c r="G2103" s="61">
        <v>2025</v>
      </c>
      <c r="H2103" s="61" t="s">
        <v>3127</v>
      </c>
      <c r="I2103" s="61" t="s">
        <v>32</v>
      </c>
      <c r="J2103" s="61"/>
      <c r="K2103" s="61" t="s">
        <v>148</v>
      </c>
      <c r="L2103" s="61" t="s">
        <v>8888</v>
      </c>
      <c r="M2103" s="475">
        <v>45909</v>
      </c>
      <c r="N2103" s="475">
        <v>45917</v>
      </c>
      <c r="O2103" s="61"/>
      <c r="P2103" s="475">
        <v>45917</v>
      </c>
      <c r="Q2103" s="475">
        <v>45918</v>
      </c>
      <c r="R2103" s="61">
        <f t="shared" si="144"/>
        <v>6</v>
      </c>
      <c r="S2103" s="61" t="str">
        <f t="shared" si="145"/>
        <v/>
      </c>
      <c r="T2103" s="61">
        <f t="shared" si="143"/>
        <v>1</v>
      </c>
      <c r="U2103" s="61">
        <f t="shared" si="146"/>
        <v>1</v>
      </c>
      <c r="V2103" s="61" t="s">
        <v>150</v>
      </c>
      <c r="W2103" s="61" t="s">
        <v>1078</v>
      </c>
      <c r="X2103" s="61" t="s">
        <v>3528</v>
      </c>
      <c r="Y2103" s="61" t="s">
        <v>69</v>
      </c>
      <c r="Z2103" s="61" t="s">
        <v>69</v>
      </c>
      <c r="AA2103" s="61" t="s">
        <v>330</v>
      </c>
      <c r="AB2103" s="61" t="s">
        <v>8885</v>
      </c>
    </row>
    <row r="2104" spans="1:28" s="2" customFormat="1" ht="28.5">
      <c r="A2104" s="61" t="s">
        <v>778</v>
      </c>
      <c r="B2104" s="61" t="s">
        <v>1387</v>
      </c>
      <c r="C2104" s="61" t="s">
        <v>4261</v>
      </c>
      <c r="D2104" s="61" t="s">
        <v>7838</v>
      </c>
      <c r="E2104" s="61">
        <v>2039</v>
      </c>
      <c r="F2104" s="61">
        <v>1675</v>
      </c>
      <c r="G2104" s="61">
        <v>2025</v>
      </c>
      <c r="H2104" s="61" t="s">
        <v>3127</v>
      </c>
      <c r="I2104" s="61" t="s">
        <v>32</v>
      </c>
      <c r="J2104" s="61"/>
      <c r="K2104" s="61" t="s">
        <v>148</v>
      </c>
      <c r="L2104" s="61" t="s">
        <v>8888</v>
      </c>
      <c r="M2104" s="475">
        <v>45909</v>
      </c>
      <c r="N2104" s="475">
        <v>45917</v>
      </c>
      <c r="O2104" s="61"/>
      <c r="P2104" s="475">
        <v>45917</v>
      </c>
      <c r="Q2104" s="475">
        <v>45918</v>
      </c>
      <c r="R2104" s="61">
        <f t="shared" si="144"/>
        <v>6</v>
      </c>
      <c r="S2104" s="61" t="str">
        <f t="shared" si="145"/>
        <v/>
      </c>
      <c r="T2104" s="61">
        <f t="shared" si="143"/>
        <v>1</v>
      </c>
      <c r="U2104" s="61">
        <f t="shared" si="146"/>
        <v>1</v>
      </c>
      <c r="V2104" s="61" t="s">
        <v>150</v>
      </c>
      <c r="W2104" s="61" t="s">
        <v>1078</v>
      </c>
      <c r="X2104" s="61" t="s">
        <v>3528</v>
      </c>
      <c r="Y2104" s="61" t="s">
        <v>69</v>
      </c>
      <c r="Z2104" s="61" t="s">
        <v>69</v>
      </c>
      <c r="AA2104" s="61" t="s">
        <v>330</v>
      </c>
      <c r="AB2104" s="61" t="s">
        <v>8885</v>
      </c>
    </row>
    <row r="2105" spans="1:28" s="2" customFormat="1" ht="28.5">
      <c r="A2105" s="61" t="s">
        <v>778</v>
      </c>
      <c r="B2105" s="61" t="s">
        <v>1387</v>
      </c>
      <c r="C2105" s="61" t="s">
        <v>1388</v>
      </c>
      <c r="D2105" s="61" t="s">
        <v>7838</v>
      </c>
      <c r="E2105" s="61">
        <v>168</v>
      </c>
      <c r="F2105" s="61">
        <v>275</v>
      </c>
      <c r="G2105" s="61">
        <v>2025</v>
      </c>
      <c r="H2105" s="61" t="s">
        <v>3127</v>
      </c>
      <c r="I2105" s="61" t="s">
        <v>32</v>
      </c>
      <c r="J2105" s="61"/>
      <c r="K2105" s="61" t="s">
        <v>148</v>
      </c>
      <c r="L2105" s="61" t="s">
        <v>8888</v>
      </c>
      <c r="M2105" s="475">
        <v>45909</v>
      </c>
      <c r="N2105" s="475">
        <v>45917</v>
      </c>
      <c r="O2105" s="61"/>
      <c r="P2105" s="475">
        <v>45917</v>
      </c>
      <c r="Q2105" s="475">
        <v>45918</v>
      </c>
      <c r="R2105" s="61">
        <f t="shared" si="144"/>
        <v>6</v>
      </c>
      <c r="S2105" s="61" t="str">
        <f t="shared" si="145"/>
        <v/>
      </c>
      <c r="T2105" s="61">
        <f t="shared" si="143"/>
        <v>1</v>
      </c>
      <c r="U2105" s="61">
        <f t="shared" si="146"/>
        <v>1</v>
      </c>
      <c r="V2105" s="61" t="s">
        <v>150</v>
      </c>
      <c r="W2105" s="61" t="s">
        <v>1078</v>
      </c>
      <c r="X2105" s="61" t="s">
        <v>3528</v>
      </c>
      <c r="Y2105" s="61" t="s">
        <v>69</v>
      </c>
      <c r="Z2105" s="61" t="s">
        <v>69</v>
      </c>
      <c r="AA2105" s="61" t="s">
        <v>330</v>
      </c>
      <c r="AB2105" s="61" t="s">
        <v>8885</v>
      </c>
    </row>
    <row r="2106" spans="1:28" s="2" customFormat="1" ht="28.5">
      <c r="A2106" s="61" t="s">
        <v>778</v>
      </c>
      <c r="B2106" s="61" t="s">
        <v>1387</v>
      </c>
      <c r="C2106" s="61" t="s">
        <v>5604</v>
      </c>
      <c r="D2106" s="61" t="s">
        <v>7838</v>
      </c>
      <c r="E2106" s="61">
        <v>28464</v>
      </c>
      <c r="F2106" s="61">
        <v>29096</v>
      </c>
      <c r="G2106" s="61">
        <v>2025</v>
      </c>
      <c r="H2106" s="61" t="s">
        <v>3127</v>
      </c>
      <c r="I2106" s="61" t="s">
        <v>32</v>
      </c>
      <c r="J2106" s="61"/>
      <c r="K2106" s="61" t="s">
        <v>148</v>
      </c>
      <c r="L2106" s="61" t="s">
        <v>8888</v>
      </c>
      <c r="M2106" s="475">
        <v>45909</v>
      </c>
      <c r="N2106" s="475">
        <v>45917</v>
      </c>
      <c r="O2106" s="61"/>
      <c r="P2106" s="475">
        <v>45917</v>
      </c>
      <c r="Q2106" s="475">
        <v>45918</v>
      </c>
      <c r="R2106" s="61">
        <f t="shared" si="144"/>
        <v>6</v>
      </c>
      <c r="S2106" s="61" t="str">
        <f t="shared" si="145"/>
        <v/>
      </c>
      <c r="T2106" s="61">
        <f t="shared" si="143"/>
        <v>1</v>
      </c>
      <c r="U2106" s="61">
        <f t="shared" si="146"/>
        <v>1</v>
      </c>
      <c r="V2106" s="61" t="s">
        <v>150</v>
      </c>
      <c r="W2106" s="61" t="s">
        <v>1078</v>
      </c>
      <c r="X2106" s="61" t="s">
        <v>3528</v>
      </c>
      <c r="Y2106" s="61" t="s">
        <v>69</v>
      </c>
      <c r="Z2106" s="61" t="s">
        <v>69</v>
      </c>
      <c r="AA2106" s="61" t="s">
        <v>330</v>
      </c>
      <c r="AB2106" s="61" t="s">
        <v>8885</v>
      </c>
    </row>
    <row r="2107" spans="1:28" s="2" customFormat="1" ht="28.5">
      <c r="A2107" s="61" t="s">
        <v>778</v>
      </c>
      <c r="B2107" s="61" t="s">
        <v>1387</v>
      </c>
      <c r="C2107" s="61" t="s">
        <v>5368</v>
      </c>
      <c r="D2107" s="61" t="s">
        <v>7838</v>
      </c>
      <c r="E2107" s="61">
        <v>14759</v>
      </c>
      <c r="F2107" s="61">
        <v>20967</v>
      </c>
      <c r="G2107" s="61">
        <v>2025</v>
      </c>
      <c r="H2107" s="61" t="s">
        <v>3127</v>
      </c>
      <c r="I2107" s="61" t="s">
        <v>32</v>
      </c>
      <c r="J2107" s="61"/>
      <c r="K2107" s="61" t="s">
        <v>148</v>
      </c>
      <c r="L2107" s="61" t="s">
        <v>8888</v>
      </c>
      <c r="M2107" s="475">
        <v>45909</v>
      </c>
      <c r="N2107" s="475">
        <v>45917</v>
      </c>
      <c r="O2107" s="61"/>
      <c r="P2107" s="475">
        <v>45917</v>
      </c>
      <c r="Q2107" s="475">
        <v>45918</v>
      </c>
      <c r="R2107" s="61">
        <f t="shared" si="144"/>
        <v>6</v>
      </c>
      <c r="S2107" s="61" t="str">
        <f t="shared" si="145"/>
        <v/>
      </c>
      <c r="T2107" s="61">
        <f t="shared" si="143"/>
        <v>1</v>
      </c>
      <c r="U2107" s="61">
        <f t="shared" si="146"/>
        <v>1</v>
      </c>
      <c r="V2107" s="61" t="s">
        <v>150</v>
      </c>
      <c r="W2107" s="61" t="s">
        <v>1078</v>
      </c>
      <c r="X2107" s="61" t="s">
        <v>3528</v>
      </c>
      <c r="Y2107" s="61" t="s">
        <v>69</v>
      </c>
      <c r="Z2107" s="61" t="s">
        <v>69</v>
      </c>
      <c r="AA2107" s="61" t="s">
        <v>330</v>
      </c>
      <c r="AB2107" s="61" t="s">
        <v>8885</v>
      </c>
    </row>
    <row r="2108" spans="1:28" s="2" customFormat="1" ht="42.75">
      <c r="A2108" s="61" t="s">
        <v>778</v>
      </c>
      <c r="B2108" s="61" t="s">
        <v>1392</v>
      </c>
      <c r="C2108" s="61" t="s">
        <v>5622</v>
      </c>
      <c r="D2108" s="61" t="s">
        <v>7838</v>
      </c>
      <c r="E2108" s="61">
        <v>2416</v>
      </c>
      <c r="F2108" s="61">
        <v>2453</v>
      </c>
      <c r="G2108" s="61">
        <v>2025</v>
      </c>
      <c r="H2108" s="61" t="s">
        <v>3458</v>
      </c>
      <c r="I2108" s="61" t="s">
        <v>1345</v>
      </c>
      <c r="J2108" s="61"/>
      <c r="K2108" s="61" t="s">
        <v>148</v>
      </c>
      <c r="L2108" s="61" t="s">
        <v>8889</v>
      </c>
      <c r="M2108" s="475">
        <v>45701</v>
      </c>
      <c r="N2108" s="475">
        <v>45706</v>
      </c>
      <c r="O2108" s="475"/>
      <c r="P2108" s="475">
        <v>45706</v>
      </c>
      <c r="Q2108" s="475">
        <v>45706</v>
      </c>
      <c r="R2108" s="61">
        <f t="shared" si="144"/>
        <v>3</v>
      </c>
      <c r="S2108" s="61" t="str">
        <f t="shared" si="145"/>
        <v/>
      </c>
      <c r="T2108" s="61">
        <f t="shared" si="143"/>
        <v>1</v>
      </c>
      <c r="U2108" s="61">
        <f t="shared" si="146"/>
        <v>1</v>
      </c>
      <c r="V2108" s="61" t="s">
        <v>150</v>
      </c>
      <c r="W2108" s="61" t="s">
        <v>1078</v>
      </c>
      <c r="X2108" s="61" t="s">
        <v>50</v>
      </c>
      <c r="Y2108" s="61"/>
      <c r="Z2108" s="61"/>
      <c r="AA2108" s="61" t="s">
        <v>8890</v>
      </c>
      <c r="AB2108" s="61"/>
    </row>
    <row r="2109" spans="1:28" s="2" customFormat="1" ht="28.5">
      <c r="A2109" s="61" t="s">
        <v>778</v>
      </c>
      <c r="B2109" s="61" t="s">
        <v>1392</v>
      </c>
      <c r="C2109" s="61" t="s">
        <v>1180</v>
      </c>
      <c r="D2109" s="61" t="s">
        <v>7838</v>
      </c>
      <c r="E2109" s="61">
        <v>2001</v>
      </c>
      <c r="F2109" s="61">
        <v>2412</v>
      </c>
      <c r="G2109" s="61">
        <v>2025</v>
      </c>
      <c r="H2109" s="61" t="s">
        <v>3126</v>
      </c>
      <c r="I2109" s="61" t="s">
        <v>1345</v>
      </c>
      <c r="J2109" s="61" t="s">
        <v>28</v>
      </c>
      <c r="K2109" s="61" t="s">
        <v>148</v>
      </c>
      <c r="L2109" s="61" t="s">
        <v>8891</v>
      </c>
      <c r="M2109" s="475">
        <v>45884</v>
      </c>
      <c r="N2109" s="475">
        <v>45885</v>
      </c>
      <c r="O2109" s="475">
        <v>45887</v>
      </c>
      <c r="P2109" s="475">
        <v>45888</v>
      </c>
      <c r="Q2109" s="475">
        <v>45888</v>
      </c>
      <c r="R2109" s="61">
        <f t="shared" si="144"/>
        <v>1</v>
      </c>
      <c r="S2109" s="61">
        <f t="shared" si="145"/>
        <v>1</v>
      </c>
      <c r="T2109" s="61">
        <f t="shared" si="143"/>
        <v>1</v>
      </c>
      <c r="U2109" s="61">
        <f t="shared" si="146"/>
        <v>1</v>
      </c>
      <c r="V2109" s="61" t="s">
        <v>150</v>
      </c>
      <c r="W2109" s="61" t="s">
        <v>3527</v>
      </c>
      <c r="X2109" s="61" t="s">
        <v>3528</v>
      </c>
      <c r="Y2109" s="61" t="s">
        <v>8892</v>
      </c>
      <c r="Z2109" s="61" t="s">
        <v>8893</v>
      </c>
      <c r="AA2109" s="61" t="s">
        <v>330</v>
      </c>
      <c r="AB2109" s="61" t="s">
        <v>8894</v>
      </c>
    </row>
    <row r="2110" spans="1:28" s="2" customFormat="1" ht="28.5">
      <c r="A2110" s="61" t="s">
        <v>778</v>
      </c>
      <c r="B2110" s="61" t="s">
        <v>1392</v>
      </c>
      <c r="C2110" s="61" t="s">
        <v>3937</v>
      </c>
      <c r="D2110" s="61" t="s">
        <v>7838</v>
      </c>
      <c r="E2110" s="61">
        <v>1208</v>
      </c>
      <c r="F2110" s="61">
        <v>442</v>
      </c>
      <c r="G2110" s="61">
        <v>2025</v>
      </c>
      <c r="H2110" s="61" t="s">
        <v>3126</v>
      </c>
      <c r="I2110" s="61" t="s">
        <v>1345</v>
      </c>
      <c r="J2110" s="61" t="s">
        <v>28</v>
      </c>
      <c r="K2110" s="61" t="s">
        <v>148</v>
      </c>
      <c r="L2110" s="61" t="s">
        <v>8891</v>
      </c>
      <c r="M2110" s="475">
        <v>45884</v>
      </c>
      <c r="N2110" s="475">
        <v>45885</v>
      </c>
      <c r="O2110" s="475">
        <v>45887</v>
      </c>
      <c r="P2110" s="475">
        <v>45888</v>
      </c>
      <c r="Q2110" s="475">
        <v>45888</v>
      </c>
      <c r="R2110" s="61">
        <f t="shared" si="144"/>
        <v>1</v>
      </c>
      <c r="S2110" s="61">
        <f t="shared" si="145"/>
        <v>1</v>
      </c>
      <c r="T2110" s="61">
        <f t="shared" si="143"/>
        <v>1</v>
      </c>
      <c r="U2110" s="61">
        <f t="shared" si="146"/>
        <v>1</v>
      </c>
      <c r="V2110" s="61" t="s">
        <v>150</v>
      </c>
      <c r="W2110" s="61" t="s">
        <v>3527</v>
      </c>
      <c r="X2110" s="61" t="s">
        <v>3528</v>
      </c>
      <c r="Y2110" s="61" t="s">
        <v>8892</v>
      </c>
      <c r="Z2110" s="61" t="s">
        <v>8893</v>
      </c>
      <c r="AA2110" s="61" t="s">
        <v>330</v>
      </c>
      <c r="AB2110" s="61" t="s">
        <v>8894</v>
      </c>
    </row>
    <row r="2111" spans="1:28" s="2" customFormat="1" ht="28.5">
      <c r="A2111" s="61" t="s">
        <v>778</v>
      </c>
      <c r="B2111" s="61" t="s">
        <v>1392</v>
      </c>
      <c r="C2111" s="61" t="s">
        <v>5617</v>
      </c>
      <c r="D2111" s="61" t="s">
        <v>7838</v>
      </c>
      <c r="E2111" s="61">
        <v>3470</v>
      </c>
      <c r="F2111" s="61">
        <v>3603</v>
      </c>
      <c r="G2111" s="61">
        <v>2025</v>
      </c>
      <c r="H2111" s="61" t="s">
        <v>3126</v>
      </c>
      <c r="I2111" s="61" t="s">
        <v>1345</v>
      </c>
      <c r="J2111" s="61" t="s">
        <v>28</v>
      </c>
      <c r="K2111" s="61" t="s">
        <v>148</v>
      </c>
      <c r="L2111" s="61" t="s">
        <v>8891</v>
      </c>
      <c r="M2111" s="475">
        <v>45884</v>
      </c>
      <c r="N2111" s="475">
        <v>45885</v>
      </c>
      <c r="O2111" s="475">
        <v>45887</v>
      </c>
      <c r="P2111" s="475">
        <v>45888</v>
      </c>
      <c r="Q2111" s="475">
        <v>45888</v>
      </c>
      <c r="R2111" s="61">
        <f t="shared" si="144"/>
        <v>1</v>
      </c>
      <c r="S2111" s="61">
        <f t="shared" si="145"/>
        <v>1</v>
      </c>
      <c r="T2111" s="61">
        <f t="shared" si="143"/>
        <v>1</v>
      </c>
      <c r="U2111" s="61">
        <f t="shared" si="146"/>
        <v>1</v>
      </c>
      <c r="V2111" s="61" t="s">
        <v>150</v>
      </c>
      <c r="W2111" s="61" t="s">
        <v>3527</v>
      </c>
      <c r="X2111" s="61" t="s">
        <v>3528</v>
      </c>
      <c r="Y2111" s="61" t="s">
        <v>8892</v>
      </c>
      <c r="Z2111" s="61" t="s">
        <v>8893</v>
      </c>
      <c r="AA2111" s="61" t="s">
        <v>330</v>
      </c>
      <c r="AB2111" s="61" t="s">
        <v>8894</v>
      </c>
    </row>
    <row r="2112" spans="1:28" s="2" customFormat="1" ht="28.5">
      <c r="A2112" s="61" t="s">
        <v>778</v>
      </c>
      <c r="B2112" s="61" t="s">
        <v>1392</v>
      </c>
      <c r="C2112" s="61" t="s">
        <v>4132</v>
      </c>
      <c r="D2112" s="61" t="s">
        <v>7838</v>
      </c>
      <c r="E2112" s="61">
        <v>3114</v>
      </c>
      <c r="F2112" s="61">
        <v>2561</v>
      </c>
      <c r="G2112" s="61">
        <v>2025</v>
      </c>
      <c r="H2112" s="61" t="s">
        <v>3126</v>
      </c>
      <c r="I2112" s="61" t="s">
        <v>1345</v>
      </c>
      <c r="J2112" s="61" t="s">
        <v>28</v>
      </c>
      <c r="K2112" s="61" t="s">
        <v>148</v>
      </c>
      <c r="L2112" s="61" t="s">
        <v>8891</v>
      </c>
      <c r="M2112" s="475">
        <v>45884</v>
      </c>
      <c r="N2112" s="475">
        <v>45885</v>
      </c>
      <c r="O2112" s="475">
        <v>45887</v>
      </c>
      <c r="P2112" s="475">
        <v>45888</v>
      </c>
      <c r="Q2112" s="475">
        <v>45888</v>
      </c>
      <c r="R2112" s="61">
        <f t="shared" si="144"/>
        <v>1</v>
      </c>
      <c r="S2112" s="61">
        <f t="shared" si="145"/>
        <v>1</v>
      </c>
      <c r="T2112" s="61">
        <f t="shared" si="143"/>
        <v>1</v>
      </c>
      <c r="U2112" s="61">
        <f t="shared" si="146"/>
        <v>1</v>
      </c>
      <c r="V2112" s="61" t="s">
        <v>150</v>
      </c>
      <c r="W2112" s="61" t="s">
        <v>3527</v>
      </c>
      <c r="X2112" s="61" t="s">
        <v>3528</v>
      </c>
      <c r="Y2112" s="61" t="s">
        <v>8892</v>
      </c>
      <c r="Z2112" s="61" t="s">
        <v>8893</v>
      </c>
      <c r="AA2112" s="61" t="s">
        <v>330</v>
      </c>
      <c r="AB2112" s="61" t="s">
        <v>8894</v>
      </c>
    </row>
    <row r="2113" spans="1:28" s="2" customFormat="1" ht="28.5">
      <c r="A2113" s="61" t="s">
        <v>778</v>
      </c>
      <c r="B2113" s="61" t="s">
        <v>1392</v>
      </c>
      <c r="C2113" s="61" t="s">
        <v>5387</v>
      </c>
      <c r="D2113" s="61" t="s">
        <v>7838</v>
      </c>
      <c r="E2113" s="61">
        <v>4494</v>
      </c>
      <c r="F2113" s="61">
        <v>4450</v>
      </c>
      <c r="G2113" s="61"/>
      <c r="H2113" s="61"/>
      <c r="I2113" s="61" t="s">
        <v>1345</v>
      </c>
      <c r="J2113" s="61"/>
      <c r="K2113" s="61" t="s">
        <v>148</v>
      </c>
      <c r="L2113" s="61"/>
      <c r="M2113" s="61"/>
      <c r="N2113" s="475">
        <v>45917</v>
      </c>
      <c r="O2113" s="61"/>
      <c r="P2113" s="61"/>
      <c r="Q2113" s="61"/>
      <c r="R2113" s="61" t="str">
        <f t="shared" si="144"/>
        <v/>
      </c>
      <c r="S2113" s="61" t="str">
        <f t="shared" si="145"/>
        <v/>
      </c>
      <c r="T2113" s="61" t="str">
        <f t="shared" si="143"/>
        <v/>
      </c>
      <c r="U2113" s="61" t="str">
        <f t="shared" si="146"/>
        <v/>
      </c>
      <c r="V2113" s="61"/>
      <c r="W2113" s="61"/>
      <c r="X2113" s="61"/>
      <c r="Y2113" s="61"/>
      <c r="Z2113" s="61"/>
      <c r="AA2113" s="61"/>
      <c r="AB2113" s="61"/>
    </row>
    <row r="2114" spans="1:28" s="2" customFormat="1" ht="28.5">
      <c r="A2114" s="61" t="s">
        <v>778</v>
      </c>
      <c r="B2114" s="61" t="s">
        <v>1392</v>
      </c>
      <c r="C2114" s="61" t="s">
        <v>5605</v>
      </c>
      <c r="D2114" s="61" t="s">
        <v>7838</v>
      </c>
      <c r="E2114" s="61">
        <v>6561</v>
      </c>
      <c r="F2114" s="61">
        <v>7104</v>
      </c>
      <c r="G2114" s="61"/>
      <c r="H2114" s="61"/>
      <c r="I2114" s="61" t="s">
        <v>1345</v>
      </c>
      <c r="J2114" s="61"/>
      <c r="K2114" s="61" t="s">
        <v>148</v>
      </c>
      <c r="L2114" s="61"/>
      <c r="M2114" s="61"/>
      <c r="N2114" s="475">
        <v>45917</v>
      </c>
      <c r="O2114" s="61"/>
      <c r="P2114" s="61"/>
      <c r="Q2114" s="61"/>
      <c r="R2114" s="61" t="str">
        <f t="shared" si="144"/>
        <v/>
      </c>
      <c r="S2114" s="61" t="str">
        <f t="shared" si="145"/>
        <v/>
      </c>
      <c r="T2114" s="61" t="str">
        <f t="shared" si="143"/>
        <v/>
      </c>
      <c r="U2114" s="61" t="str">
        <f t="shared" si="146"/>
        <v/>
      </c>
      <c r="V2114" s="61"/>
      <c r="W2114" s="61"/>
      <c r="X2114" s="61"/>
      <c r="Y2114" s="61"/>
      <c r="Z2114" s="61"/>
      <c r="AA2114" s="61"/>
      <c r="AB2114" s="61"/>
    </row>
    <row r="2115" spans="1:28" s="2" customFormat="1" ht="28.5">
      <c r="A2115" s="61" t="s">
        <v>778</v>
      </c>
      <c r="B2115" s="61" t="s">
        <v>1392</v>
      </c>
      <c r="C2115" s="61" t="s">
        <v>1531</v>
      </c>
      <c r="D2115" s="61" t="s">
        <v>7838</v>
      </c>
      <c r="E2115" s="61">
        <v>2905</v>
      </c>
      <c r="F2115" s="61">
        <v>3030</v>
      </c>
      <c r="G2115" s="61"/>
      <c r="H2115" s="61"/>
      <c r="I2115" s="61" t="s">
        <v>1345</v>
      </c>
      <c r="J2115" s="61"/>
      <c r="K2115" s="61" t="s">
        <v>148</v>
      </c>
      <c r="L2115" s="61"/>
      <c r="M2115" s="61"/>
      <c r="N2115" s="475">
        <v>45917</v>
      </c>
      <c r="O2115" s="61"/>
      <c r="P2115" s="61"/>
      <c r="Q2115" s="61"/>
      <c r="R2115" s="61" t="str">
        <f t="shared" si="144"/>
        <v/>
      </c>
      <c r="S2115" s="61" t="str">
        <f t="shared" si="145"/>
        <v/>
      </c>
      <c r="T2115" s="61" t="str">
        <f t="shared" si="143"/>
        <v/>
      </c>
      <c r="U2115" s="61" t="str">
        <f t="shared" si="146"/>
        <v/>
      </c>
      <c r="V2115" s="61"/>
      <c r="W2115" s="61"/>
      <c r="X2115" s="61"/>
      <c r="Y2115" s="61"/>
      <c r="Z2115" s="61"/>
      <c r="AA2115" s="61"/>
      <c r="AB2115" s="61"/>
    </row>
    <row r="2116" spans="1:28" s="2" customFormat="1" ht="28.5">
      <c r="A2116" s="61" t="s">
        <v>778</v>
      </c>
      <c r="B2116" s="61" t="s">
        <v>1392</v>
      </c>
      <c r="C2116" s="61" t="s">
        <v>5606</v>
      </c>
      <c r="D2116" s="61" t="s">
        <v>7838</v>
      </c>
      <c r="E2116" s="61">
        <v>1219</v>
      </c>
      <c r="F2116" s="61">
        <v>1081</v>
      </c>
      <c r="G2116" s="61"/>
      <c r="H2116" s="61"/>
      <c r="I2116" s="61" t="s">
        <v>1345</v>
      </c>
      <c r="J2116" s="61"/>
      <c r="K2116" s="61" t="s">
        <v>148</v>
      </c>
      <c r="L2116" s="61"/>
      <c r="M2116" s="61"/>
      <c r="N2116" s="61"/>
      <c r="O2116" s="61"/>
      <c r="P2116" s="61"/>
      <c r="Q2116" s="61"/>
      <c r="R2116" s="61" t="str">
        <f t="shared" si="144"/>
        <v/>
      </c>
      <c r="S2116" s="61" t="str">
        <f t="shared" si="145"/>
        <v/>
      </c>
      <c r="T2116" s="61" t="str">
        <f t="shared" si="143"/>
        <v/>
      </c>
      <c r="U2116" s="61" t="str">
        <f t="shared" si="146"/>
        <v/>
      </c>
      <c r="V2116" s="61"/>
      <c r="W2116" s="61"/>
      <c r="X2116" s="61"/>
      <c r="Y2116" s="61"/>
      <c r="Z2116" s="61"/>
      <c r="AA2116" s="61"/>
      <c r="AB2116" s="61"/>
    </row>
    <row r="2117" spans="1:28" s="2" customFormat="1" ht="28.5">
      <c r="A2117" s="61" t="s">
        <v>778</v>
      </c>
      <c r="B2117" s="61" t="s">
        <v>1392</v>
      </c>
      <c r="C2117" s="61" t="s">
        <v>4859</v>
      </c>
      <c r="D2117" s="61" t="s">
        <v>7838</v>
      </c>
      <c r="E2117" s="61">
        <v>2720</v>
      </c>
      <c r="F2117" s="61">
        <v>2669</v>
      </c>
      <c r="G2117" s="61"/>
      <c r="H2117" s="61"/>
      <c r="I2117" s="61" t="s">
        <v>1345</v>
      </c>
      <c r="J2117" s="61"/>
      <c r="K2117" s="61" t="s">
        <v>148</v>
      </c>
      <c r="L2117" s="61"/>
      <c r="M2117" s="61"/>
      <c r="N2117" s="61"/>
      <c r="O2117" s="61"/>
      <c r="P2117" s="61"/>
      <c r="Q2117" s="61"/>
      <c r="R2117" s="61" t="str">
        <f t="shared" si="144"/>
        <v/>
      </c>
      <c r="S2117" s="61" t="str">
        <f t="shared" si="145"/>
        <v/>
      </c>
      <c r="T2117" s="61" t="str">
        <f t="shared" si="143"/>
        <v/>
      </c>
      <c r="U2117" s="61" t="str">
        <f t="shared" si="146"/>
        <v/>
      </c>
      <c r="V2117" s="61"/>
      <c r="W2117" s="61"/>
      <c r="X2117" s="61"/>
      <c r="Y2117" s="61"/>
      <c r="Z2117" s="61"/>
      <c r="AA2117" s="61"/>
      <c r="AB2117" s="61"/>
    </row>
    <row r="2118" spans="1:28" s="2" customFormat="1" ht="28.5">
      <c r="A2118" s="61" t="s">
        <v>778</v>
      </c>
      <c r="B2118" s="61" t="s">
        <v>1392</v>
      </c>
      <c r="C2118" s="61" t="s">
        <v>5456</v>
      </c>
      <c r="D2118" s="61" t="s">
        <v>7838</v>
      </c>
      <c r="E2118" s="61">
        <v>2574</v>
      </c>
      <c r="F2118" s="61">
        <v>2668</v>
      </c>
      <c r="G2118" s="61"/>
      <c r="H2118" s="61"/>
      <c r="I2118" s="61" t="s">
        <v>1345</v>
      </c>
      <c r="J2118" s="61"/>
      <c r="K2118" s="61" t="s">
        <v>148</v>
      </c>
      <c r="L2118" s="61"/>
      <c r="M2118" s="61"/>
      <c r="N2118" s="61"/>
      <c r="O2118" s="61"/>
      <c r="P2118" s="61"/>
      <c r="Q2118" s="61"/>
      <c r="R2118" s="61" t="str">
        <f t="shared" si="144"/>
        <v/>
      </c>
      <c r="S2118" s="61" t="str">
        <f t="shared" si="145"/>
        <v/>
      </c>
      <c r="T2118" s="61" t="str">
        <f t="shared" si="143"/>
        <v/>
      </c>
      <c r="U2118" s="61" t="str">
        <f t="shared" si="146"/>
        <v/>
      </c>
      <c r="V2118" s="61"/>
      <c r="W2118" s="61"/>
      <c r="X2118" s="61"/>
      <c r="Y2118" s="61"/>
      <c r="Z2118" s="61"/>
      <c r="AA2118" s="61"/>
      <c r="AB2118" s="61"/>
    </row>
    <row r="2119" spans="1:28" s="2" customFormat="1" ht="28.5">
      <c r="A2119" s="61" t="s">
        <v>778</v>
      </c>
      <c r="B2119" s="61" t="s">
        <v>1392</v>
      </c>
      <c r="C2119" s="61" t="s">
        <v>5607</v>
      </c>
      <c r="D2119" s="61" t="s">
        <v>7838</v>
      </c>
      <c r="E2119" s="61">
        <v>819</v>
      </c>
      <c r="F2119" s="61">
        <v>1118</v>
      </c>
      <c r="G2119" s="61"/>
      <c r="H2119" s="61"/>
      <c r="I2119" s="61" t="s">
        <v>1345</v>
      </c>
      <c r="J2119" s="61"/>
      <c r="K2119" s="61" t="s">
        <v>148</v>
      </c>
      <c r="L2119" s="61"/>
      <c r="M2119" s="61"/>
      <c r="N2119" s="61"/>
      <c r="O2119" s="61"/>
      <c r="P2119" s="61"/>
      <c r="Q2119" s="61"/>
      <c r="R2119" s="61" t="str">
        <f t="shared" si="144"/>
        <v/>
      </c>
      <c r="S2119" s="61" t="str">
        <f t="shared" si="145"/>
        <v/>
      </c>
      <c r="T2119" s="61" t="str">
        <f t="shared" si="143"/>
        <v/>
      </c>
      <c r="U2119" s="61" t="str">
        <f t="shared" si="146"/>
        <v/>
      </c>
      <c r="V2119" s="61"/>
      <c r="W2119" s="61"/>
      <c r="X2119" s="61"/>
      <c r="Y2119" s="61"/>
      <c r="Z2119" s="61"/>
      <c r="AA2119" s="61"/>
      <c r="AB2119" s="61"/>
    </row>
    <row r="2120" spans="1:28" s="2" customFormat="1" ht="28.5">
      <c r="A2120" s="61" t="s">
        <v>778</v>
      </c>
      <c r="B2120" s="61" t="s">
        <v>1392</v>
      </c>
      <c r="C2120" s="61" t="s">
        <v>5065</v>
      </c>
      <c r="D2120" s="61" t="s">
        <v>7838</v>
      </c>
      <c r="E2120" s="61">
        <v>5002</v>
      </c>
      <c r="F2120" s="61">
        <v>6553</v>
      </c>
      <c r="G2120" s="61"/>
      <c r="H2120" s="61"/>
      <c r="I2120" s="61" t="s">
        <v>1345</v>
      </c>
      <c r="J2120" s="61"/>
      <c r="K2120" s="61" t="s">
        <v>148</v>
      </c>
      <c r="L2120" s="61"/>
      <c r="M2120" s="61"/>
      <c r="N2120" s="61"/>
      <c r="O2120" s="61"/>
      <c r="P2120" s="61"/>
      <c r="Q2120" s="61"/>
      <c r="R2120" s="61" t="str">
        <f t="shared" si="144"/>
        <v/>
      </c>
      <c r="S2120" s="61" t="str">
        <f t="shared" si="145"/>
        <v/>
      </c>
      <c r="T2120" s="61" t="str">
        <f t="shared" si="143"/>
        <v/>
      </c>
      <c r="U2120" s="61" t="str">
        <f t="shared" si="146"/>
        <v/>
      </c>
      <c r="V2120" s="61"/>
      <c r="W2120" s="61"/>
      <c r="X2120" s="61"/>
      <c r="Y2120" s="61"/>
      <c r="Z2120" s="61"/>
      <c r="AA2120" s="61"/>
      <c r="AB2120" s="61"/>
    </row>
    <row r="2121" spans="1:28" s="2" customFormat="1" ht="28.5">
      <c r="A2121" s="61" t="s">
        <v>778</v>
      </c>
      <c r="B2121" s="61" t="s">
        <v>1392</v>
      </c>
      <c r="C2121" s="61" t="s">
        <v>4024</v>
      </c>
      <c r="D2121" s="61" t="s">
        <v>7838</v>
      </c>
      <c r="E2121" s="61">
        <v>1820</v>
      </c>
      <c r="F2121" s="61">
        <v>2024</v>
      </c>
      <c r="G2121" s="61"/>
      <c r="H2121" s="61"/>
      <c r="I2121" s="61" t="s">
        <v>1345</v>
      </c>
      <c r="J2121" s="61"/>
      <c r="K2121" s="61" t="s">
        <v>148</v>
      </c>
      <c r="L2121" s="61"/>
      <c r="M2121" s="61"/>
      <c r="N2121" s="61"/>
      <c r="O2121" s="61"/>
      <c r="P2121" s="61"/>
      <c r="Q2121" s="61"/>
      <c r="R2121" s="61" t="str">
        <f t="shared" si="144"/>
        <v/>
      </c>
      <c r="S2121" s="61" t="str">
        <f t="shared" si="145"/>
        <v/>
      </c>
      <c r="T2121" s="61" t="str">
        <f t="shared" si="143"/>
        <v/>
      </c>
      <c r="U2121" s="61" t="str">
        <f t="shared" si="146"/>
        <v/>
      </c>
      <c r="V2121" s="61"/>
      <c r="W2121" s="61"/>
      <c r="X2121" s="61"/>
      <c r="Y2121" s="61"/>
      <c r="Z2121" s="61"/>
      <c r="AA2121" s="61"/>
      <c r="AB2121" s="61"/>
    </row>
    <row r="2122" spans="1:28" s="2" customFormat="1" ht="28.5">
      <c r="A2122" s="61" t="s">
        <v>778</v>
      </c>
      <c r="B2122" s="61" t="s">
        <v>1392</v>
      </c>
      <c r="C2122" s="61" t="s">
        <v>5609</v>
      </c>
      <c r="D2122" s="61" t="s">
        <v>7838</v>
      </c>
      <c r="E2122" s="61">
        <v>3948</v>
      </c>
      <c r="F2122" s="61">
        <v>4025</v>
      </c>
      <c r="G2122" s="61"/>
      <c r="H2122" s="61"/>
      <c r="I2122" s="61" t="s">
        <v>1345</v>
      </c>
      <c r="J2122" s="61"/>
      <c r="K2122" s="61" t="s">
        <v>148</v>
      </c>
      <c r="L2122" s="61"/>
      <c r="M2122" s="61"/>
      <c r="N2122" s="61"/>
      <c r="O2122" s="61"/>
      <c r="P2122" s="61"/>
      <c r="Q2122" s="61"/>
      <c r="R2122" s="61" t="str">
        <f t="shared" si="144"/>
        <v/>
      </c>
      <c r="S2122" s="61" t="str">
        <f t="shared" si="145"/>
        <v/>
      </c>
      <c r="T2122" s="61" t="str">
        <f t="shared" si="143"/>
        <v/>
      </c>
      <c r="U2122" s="61" t="str">
        <f t="shared" si="146"/>
        <v/>
      </c>
      <c r="V2122" s="61"/>
      <c r="W2122" s="61"/>
      <c r="X2122" s="61"/>
      <c r="Y2122" s="61"/>
      <c r="Z2122" s="61"/>
      <c r="AA2122" s="61"/>
      <c r="AB2122" s="61"/>
    </row>
    <row r="2123" spans="1:28" s="2" customFormat="1" ht="28.5">
      <c r="A2123" s="61" t="s">
        <v>778</v>
      </c>
      <c r="B2123" s="61" t="s">
        <v>1392</v>
      </c>
      <c r="C2123" s="61" t="s">
        <v>858</v>
      </c>
      <c r="D2123" s="61" t="s">
        <v>7838</v>
      </c>
      <c r="E2123" s="61">
        <v>3751</v>
      </c>
      <c r="F2123" s="61">
        <v>3984</v>
      </c>
      <c r="G2123" s="61">
        <v>2025</v>
      </c>
      <c r="H2123" s="61" t="s">
        <v>3128</v>
      </c>
      <c r="I2123" s="61" t="s">
        <v>1345</v>
      </c>
      <c r="J2123" s="61"/>
      <c r="K2123" s="61" t="s">
        <v>148</v>
      </c>
      <c r="L2123" s="61" t="s">
        <v>8895</v>
      </c>
      <c r="M2123" s="475">
        <v>45940</v>
      </c>
      <c r="N2123" s="475">
        <v>45945</v>
      </c>
      <c r="O2123" s="61"/>
      <c r="P2123" s="475">
        <v>45945</v>
      </c>
      <c r="Q2123" s="475">
        <v>45950</v>
      </c>
      <c r="R2123" s="61">
        <f t="shared" si="144"/>
        <v>3</v>
      </c>
      <c r="S2123" s="61" t="str">
        <f t="shared" si="145"/>
        <v/>
      </c>
      <c r="T2123" s="61">
        <f t="shared" si="143"/>
        <v>1</v>
      </c>
      <c r="U2123" s="61">
        <f t="shared" si="146"/>
        <v>3</v>
      </c>
      <c r="V2123" s="61" t="s">
        <v>150</v>
      </c>
      <c r="W2123" s="61" t="s">
        <v>3527</v>
      </c>
      <c r="X2123" s="61" t="s">
        <v>3528</v>
      </c>
      <c r="Y2123" s="61" t="s">
        <v>69</v>
      </c>
      <c r="Z2123" s="61" t="s">
        <v>69</v>
      </c>
      <c r="AA2123" s="61" t="s">
        <v>292</v>
      </c>
      <c r="AB2123" s="61" t="s">
        <v>8896</v>
      </c>
    </row>
    <row r="2124" spans="1:28" s="2" customFormat="1" ht="28.5">
      <c r="A2124" s="61" t="s">
        <v>778</v>
      </c>
      <c r="B2124" s="61" t="s">
        <v>1392</v>
      </c>
      <c r="C2124" s="61" t="s">
        <v>918</v>
      </c>
      <c r="D2124" s="61" t="s">
        <v>7838</v>
      </c>
      <c r="E2124" s="61">
        <v>2504</v>
      </c>
      <c r="F2124" s="61">
        <v>2827</v>
      </c>
      <c r="G2124" s="61"/>
      <c r="H2124" s="61"/>
      <c r="I2124" s="61" t="s">
        <v>1345</v>
      </c>
      <c r="J2124" s="61"/>
      <c r="K2124" s="61" t="s">
        <v>148</v>
      </c>
      <c r="L2124" s="61"/>
      <c r="M2124" s="61"/>
      <c r="N2124" s="61"/>
      <c r="O2124" s="61"/>
      <c r="P2124" s="61"/>
      <c r="Q2124" s="61"/>
      <c r="R2124" s="61" t="str">
        <f t="shared" si="144"/>
        <v/>
      </c>
      <c r="S2124" s="61" t="str">
        <f t="shared" si="145"/>
        <v/>
      </c>
      <c r="T2124" s="61" t="str">
        <f t="shared" si="143"/>
        <v/>
      </c>
      <c r="U2124" s="61" t="str">
        <f t="shared" si="146"/>
        <v/>
      </c>
      <c r="V2124" s="61"/>
      <c r="W2124" s="61"/>
      <c r="X2124" s="61" t="s">
        <v>3527</v>
      </c>
      <c r="Y2124" s="61"/>
      <c r="Z2124" s="61"/>
      <c r="AA2124" s="61"/>
      <c r="AB2124" s="61"/>
    </row>
    <row r="2125" spans="1:28" s="2" customFormat="1" ht="28.5">
      <c r="A2125" s="61" t="s">
        <v>778</v>
      </c>
      <c r="B2125" s="61" t="s">
        <v>1392</v>
      </c>
      <c r="C2125" s="61" t="s">
        <v>1155</v>
      </c>
      <c r="D2125" s="61" t="s">
        <v>7838</v>
      </c>
      <c r="E2125" s="61">
        <v>3411</v>
      </c>
      <c r="F2125" s="61">
        <v>3592</v>
      </c>
      <c r="G2125" s="61">
        <v>2025</v>
      </c>
      <c r="H2125" s="61" t="s">
        <v>3128</v>
      </c>
      <c r="I2125" s="61" t="s">
        <v>1345</v>
      </c>
      <c r="J2125" s="61"/>
      <c r="K2125" s="61" t="s">
        <v>148</v>
      </c>
      <c r="L2125" s="61" t="s">
        <v>8895</v>
      </c>
      <c r="M2125" s="475">
        <v>45940</v>
      </c>
      <c r="N2125" s="475">
        <v>45945</v>
      </c>
      <c r="O2125" s="61"/>
      <c r="P2125" s="475">
        <v>45945</v>
      </c>
      <c r="Q2125" s="475">
        <v>45950</v>
      </c>
      <c r="R2125" s="61">
        <f t="shared" si="144"/>
        <v>3</v>
      </c>
      <c r="S2125" s="61" t="str">
        <f t="shared" si="145"/>
        <v/>
      </c>
      <c r="T2125" s="61">
        <f t="shared" si="143"/>
        <v>1</v>
      </c>
      <c r="U2125" s="61">
        <f t="shared" si="146"/>
        <v>3</v>
      </c>
      <c r="V2125" s="61" t="s">
        <v>150</v>
      </c>
      <c r="W2125" s="61" t="s">
        <v>3527</v>
      </c>
      <c r="X2125" s="61" t="s">
        <v>3528</v>
      </c>
      <c r="Y2125" s="61" t="s">
        <v>69</v>
      </c>
      <c r="Z2125" s="61" t="s">
        <v>69</v>
      </c>
      <c r="AA2125" s="61" t="s">
        <v>292</v>
      </c>
      <c r="AB2125" s="61" t="s">
        <v>8896</v>
      </c>
    </row>
    <row r="2126" spans="1:28" s="2" customFormat="1" ht="28.5">
      <c r="A2126" s="61" t="s">
        <v>778</v>
      </c>
      <c r="B2126" s="61" t="s">
        <v>1392</v>
      </c>
      <c r="C2126" s="61" t="s">
        <v>3974</v>
      </c>
      <c r="D2126" s="61" t="s">
        <v>7838</v>
      </c>
      <c r="E2126" s="61">
        <v>4304</v>
      </c>
      <c r="F2126" s="61">
        <v>4127</v>
      </c>
      <c r="G2126" s="61"/>
      <c r="H2126" s="61"/>
      <c r="I2126" s="61" t="s">
        <v>1345</v>
      </c>
      <c r="J2126" s="61"/>
      <c r="K2126" s="61" t="s">
        <v>148</v>
      </c>
      <c r="L2126" s="61"/>
      <c r="M2126" s="61"/>
      <c r="N2126" s="61"/>
      <c r="O2126" s="61"/>
      <c r="P2126" s="61"/>
      <c r="Q2126" s="61"/>
      <c r="R2126" s="61" t="str">
        <f t="shared" si="144"/>
        <v/>
      </c>
      <c r="S2126" s="61" t="str">
        <f t="shared" si="145"/>
        <v/>
      </c>
      <c r="T2126" s="61" t="str">
        <f t="shared" si="143"/>
        <v/>
      </c>
      <c r="U2126" s="61" t="str">
        <f t="shared" si="146"/>
        <v/>
      </c>
      <c r="V2126" s="61"/>
      <c r="W2126" s="61"/>
      <c r="X2126" s="61" t="s">
        <v>3527</v>
      </c>
      <c r="Y2126" s="61"/>
      <c r="Z2126" s="61"/>
      <c r="AA2126" s="61"/>
      <c r="AB2126" s="61"/>
    </row>
    <row r="2127" spans="1:28" s="2" customFormat="1" ht="28.5">
      <c r="A2127" s="61" t="s">
        <v>778</v>
      </c>
      <c r="B2127" s="61" t="s">
        <v>1392</v>
      </c>
      <c r="C2127" s="61" t="s">
        <v>1166</v>
      </c>
      <c r="D2127" s="61" t="s">
        <v>7838</v>
      </c>
      <c r="E2127" s="61">
        <v>2808</v>
      </c>
      <c r="F2127" s="61">
        <v>3281</v>
      </c>
      <c r="G2127" s="61"/>
      <c r="H2127" s="61" t="s">
        <v>3458</v>
      </c>
      <c r="I2127" s="61" t="s">
        <v>1345</v>
      </c>
      <c r="J2127" s="61"/>
      <c r="K2127" s="61" t="s">
        <v>148</v>
      </c>
      <c r="L2127" s="61"/>
      <c r="M2127" s="475"/>
      <c r="N2127" s="475"/>
      <c r="O2127" s="61"/>
      <c r="P2127" s="475"/>
      <c r="Q2127" s="475"/>
      <c r="R2127" s="61" t="str">
        <f t="shared" si="144"/>
        <v/>
      </c>
      <c r="S2127" s="61" t="str">
        <f t="shared" si="145"/>
        <v/>
      </c>
      <c r="T2127" s="61" t="str">
        <f t="shared" si="143"/>
        <v/>
      </c>
      <c r="U2127" s="61" t="str">
        <f t="shared" si="146"/>
        <v/>
      </c>
      <c r="V2127" s="61"/>
      <c r="W2127" s="61"/>
      <c r="X2127" s="61" t="s">
        <v>3527</v>
      </c>
      <c r="Y2127" s="61"/>
      <c r="Z2127" s="61"/>
      <c r="AA2127" s="61"/>
      <c r="AB2127" s="61"/>
    </row>
    <row r="2128" spans="1:28" s="2" customFormat="1" ht="28.5">
      <c r="A2128" s="61" t="s">
        <v>778</v>
      </c>
      <c r="B2128" s="61" t="s">
        <v>1392</v>
      </c>
      <c r="C2128" s="61" t="s">
        <v>5614</v>
      </c>
      <c r="D2128" s="61" t="s">
        <v>7838</v>
      </c>
      <c r="E2128" s="61">
        <v>991</v>
      </c>
      <c r="F2128" s="61">
        <v>1098</v>
      </c>
      <c r="G2128" s="61">
        <v>2025</v>
      </c>
      <c r="H2128" s="61" t="s">
        <v>3128</v>
      </c>
      <c r="I2128" s="61" t="s">
        <v>1345</v>
      </c>
      <c r="J2128" s="61"/>
      <c r="K2128" s="61" t="s">
        <v>148</v>
      </c>
      <c r="L2128" s="61" t="s">
        <v>8895</v>
      </c>
      <c r="M2128" s="475">
        <v>45940</v>
      </c>
      <c r="N2128" s="475">
        <v>45945</v>
      </c>
      <c r="O2128" s="61"/>
      <c r="P2128" s="475">
        <v>45945</v>
      </c>
      <c r="Q2128" s="475">
        <v>45950</v>
      </c>
      <c r="R2128" s="61">
        <f t="shared" si="144"/>
        <v>3</v>
      </c>
      <c r="S2128" s="61" t="str">
        <f t="shared" si="145"/>
        <v/>
      </c>
      <c r="T2128" s="61">
        <f t="shared" si="143"/>
        <v>1</v>
      </c>
      <c r="U2128" s="61">
        <f t="shared" si="146"/>
        <v>3</v>
      </c>
      <c r="V2128" s="61" t="s">
        <v>150</v>
      </c>
      <c r="W2128" s="61" t="s">
        <v>3527</v>
      </c>
      <c r="X2128" s="61" t="s">
        <v>3528</v>
      </c>
      <c r="Y2128" s="61" t="s">
        <v>69</v>
      </c>
      <c r="Z2128" s="61" t="s">
        <v>69</v>
      </c>
      <c r="AA2128" s="61" t="s">
        <v>292</v>
      </c>
      <c r="AB2128" s="61" t="s">
        <v>8896</v>
      </c>
    </row>
    <row r="2129" spans="1:28" s="2" customFormat="1" ht="28.5">
      <c r="A2129" s="61" t="s">
        <v>778</v>
      </c>
      <c r="B2129" s="61" t="s">
        <v>1392</v>
      </c>
      <c r="C2129" s="61" t="s">
        <v>4950</v>
      </c>
      <c r="D2129" s="61" t="s">
        <v>7838</v>
      </c>
      <c r="E2129" s="61">
        <v>5756</v>
      </c>
      <c r="F2129" s="61">
        <v>5128</v>
      </c>
      <c r="G2129" s="61">
        <v>2025</v>
      </c>
      <c r="H2129" s="61" t="s">
        <v>3128</v>
      </c>
      <c r="I2129" s="61" t="s">
        <v>1345</v>
      </c>
      <c r="J2129" s="61"/>
      <c r="K2129" s="61" t="s">
        <v>148</v>
      </c>
      <c r="L2129" s="61" t="s">
        <v>8895</v>
      </c>
      <c r="M2129" s="475">
        <v>45940</v>
      </c>
      <c r="N2129" s="475">
        <v>45945</v>
      </c>
      <c r="O2129" s="61"/>
      <c r="P2129" s="475">
        <v>45945</v>
      </c>
      <c r="Q2129" s="475">
        <v>45950</v>
      </c>
      <c r="R2129" s="61">
        <f t="shared" si="144"/>
        <v>3</v>
      </c>
      <c r="S2129" s="61" t="str">
        <f t="shared" si="145"/>
        <v/>
      </c>
      <c r="T2129" s="61">
        <f t="shared" si="143"/>
        <v>1</v>
      </c>
      <c r="U2129" s="61">
        <f t="shared" si="146"/>
        <v>3</v>
      </c>
      <c r="V2129" s="61" t="s">
        <v>150</v>
      </c>
      <c r="W2129" s="61" t="s">
        <v>3527</v>
      </c>
      <c r="X2129" s="61" t="s">
        <v>3528</v>
      </c>
      <c r="Y2129" s="61" t="s">
        <v>69</v>
      </c>
      <c r="Z2129" s="61" t="s">
        <v>69</v>
      </c>
      <c r="AA2129" s="61" t="s">
        <v>292</v>
      </c>
      <c r="AB2129" s="61" t="s">
        <v>8896</v>
      </c>
    </row>
    <row r="2130" spans="1:28" s="2" customFormat="1" ht="28.5">
      <c r="A2130" s="61" t="s">
        <v>778</v>
      </c>
      <c r="B2130" s="61" t="s">
        <v>1392</v>
      </c>
      <c r="C2130" s="61" t="s">
        <v>3727</v>
      </c>
      <c r="D2130" s="61" t="s">
        <v>7838</v>
      </c>
      <c r="E2130" s="61">
        <v>2720</v>
      </c>
      <c r="F2130" s="61">
        <v>2625</v>
      </c>
      <c r="G2130" s="61">
        <v>2025</v>
      </c>
      <c r="H2130" s="61" t="s">
        <v>3128</v>
      </c>
      <c r="I2130" s="61" t="s">
        <v>1345</v>
      </c>
      <c r="J2130" s="61"/>
      <c r="K2130" s="61" t="s">
        <v>148</v>
      </c>
      <c r="L2130" s="61" t="s">
        <v>8895</v>
      </c>
      <c r="M2130" s="475">
        <v>45940</v>
      </c>
      <c r="N2130" s="475">
        <v>45945</v>
      </c>
      <c r="O2130" s="61"/>
      <c r="P2130" s="475">
        <v>45945</v>
      </c>
      <c r="Q2130" s="475">
        <v>45950</v>
      </c>
      <c r="R2130" s="61">
        <f t="shared" si="144"/>
        <v>3</v>
      </c>
      <c r="S2130" s="61" t="str">
        <f t="shared" si="145"/>
        <v/>
      </c>
      <c r="T2130" s="61">
        <f t="shared" si="143"/>
        <v>1</v>
      </c>
      <c r="U2130" s="61">
        <f t="shared" si="146"/>
        <v>3</v>
      </c>
      <c r="V2130" s="61" t="s">
        <v>150</v>
      </c>
      <c r="W2130" s="61" t="s">
        <v>3527</v>
      </c>
      <c r="X2130" s="61" t="s">
        <v>3528</v>
      </c>
      <c r="Y2130" s="61" t="s">
        <v>69</v>
      </c>
      <c r="Z2130" s="61" t="s">
        <v>69</v>
      </c>
      <c r="AA2130" s="61" t="s">
        <v>292</v>
      </c>
      <c r="AB2130" s="61" t="s">
        <v>8896</v>
      </c>
    </row>
    <row r="2131" spans="1:28" s="2" customFormat="1" ht="28.5">
      <c r="A2131" s="61" t="s">
        <v>778</v>
      </c>
      <c r="B2131" s="61" t="s">
        <v>1392</v>
      </c>
      <c r="C2131" s="61" t="s">
        <v>5621</v>
      </c>
      <c r="D2131" s="61" t="s">
        <v>7838</v>
      </c>
      <c r="E2131" s="61">
        <v>1516</v>
      </c>
      <c r="F2131" s="61">
        <v>1239</v>
      </c>
      <c r="G2131" s="61">
        <v>2025</v>
      </c>
      <c r="H2131" s="61" t="s">
        <v>3128</v>
      </c>
      <c r="I2131" s="61" t="s">
        <v>1345</v>
      </c>
      <c r="J2131" s="61"/>
      <c r="K2131" s="61" t="s">
        <v>148</v>
      </c>
      <c r="L2131" s="61" t="s">
        <v>8895</v>
      </c>
      <c r="M2131" s="475">
        <v>45940</v>
      </c>
      <c r="N2131" s="475">
        <v>45945</v>
      </c>
      <c r="O2131" s="61"/>
      <c r="P2131" s="475">
        <v>45945</v>
      </c>
      <c r="Q2131" s="475">
        <v>45950</v>
      </c>
      <c r="R2131" s="61">
        <f t="shared" si="144"/>
        <v>3</v>
      </c>
      <c r="S2131" s="61" t="str">
        <f t="shared" si="145"/>
        <v/>
      </c>
      <c r="T2131" s="61">
        <f t="shared" ref="T2131:T2194" si="147">IF(
  OR(A2131 = "Nueva_Ecija", A2131 = "Zambales"),
  IF(
    OR(ISBLANK(O2131), ISBLANK(P2131)),
    "",
    MAX(1, IF(
      NETWORKDAYS(O2131, P2131) &lt;= 0,
      1,
      NETWORKDAYS(O2131, P2131) - IF(O2131 = P2131, 0, 1)
    ))
  ),
  IF(
    OR(ISBLANK(N2131), ISBLANK(P2131)),
    "",
    MAX(1, IF(
      NETWORKDAYS(N2131, P2131) &lt;= 0,
      1,
      NETWORKDAYS(N2131, P2131) - IF(N2131 = P2131, 0, 1)
    ))
  )
)</f>
        <v>1</v>
      </c>
      <c r="U2131" s="61">
        <f t="shared" si="146"/>
        <v>3</v>
      </c>
      <c r="V2131" s="61" t="s">
        <v>150</v>
      </c>
      <c r="W2131" s="61" t="s">
        <v>3527</v>
      </c>
      <c r="X2131" s="61" t="s">
        <v>3528</v>
      </c>
      <c r="Y2131" s="61" t="s">
        <v>69</v>
      </c>
      <c r="Z2131" s="61" t="s">
        <v>69</v>
      </c>
      <c r="AA2131" s="61" t="s">
        <v>292</v>
      </c>
      <c r="AB2131" s="61" t="s">
        <v>8896</v>
      </c>
    </row>
    <row r="2132" spans="1:28" s="2" customFormat="1" ht="28.5">
      <c r="A2132" s="61" t="s">
        <v>778</v>
      </c>
      <c r="B2132" s="61" t="s">
        <v>1392</v>
      </c>
      <c r="C2132" s="61" t="s">
        <v>5624</v>
      </c>
      <c r="D2132" s="61" t="s">
        <v>7838</v>
      </c>
      <c r="E2132" s="61">
        <v>3818</v>
      </c>
      <c r="F2132" s="61">
        <v>4057</v>
      </c>
      <c r="G2132" s="61"/>
      <c r="H2132" s="61"/>
      <c r="I2132" s="61" t="s">
        <v>1345</v>
      </c>
      <c r="J2132" s="61"/>
      <c r="K2132" s="61" t="s">
        <v>148</v>
      </c>
      <c r="L2132" s="61"/>
      <c r="M2132" s="61"/>
      <c r="N2132" s="61"/>
      <c r="O2132" s="61"/>
      <c r="P2132" s="61"/>
      <c r="Q2132" s="61"/>
      <c r="R2132" s="61" t="str">
        <f t="shared" si="144"/>
        <v/>
      </c>
      <c r="S2132" s="61" t="str">
        <f t="shared" si="145"/>
        <v/>
      </c>
      <c r="T2132" s="61" t="str">
        <f t="shared" si="147"/>
        <v/>
      </c>
      <c r="U2132" s="61" t="str">
        <f t="shared" si="146"/>
        <v/>
      </c>
      <c r="V2132" s="61"/>
      <c r="W2132" s="61"/>
      <c r="X2132" s="61"/>
      <c r="Y2132" s="61"/>
      <c r="Z2132" s="61"/>
      <c r="AA2132" s="61"/>
      <c r="AB2132" s="61"/>
    </row>
    <row r="2133" spans="1:28" s="2" customFormat="1" ht="42.75">
      <c r="A2133" s="61" t="s">
        <v>778</v>
      </c>
      <c r="B2133" s="61" t="s">
        <v>1395</v>
      </c>
      <c r="C2133" s="61" t="s">
        <v>5625</v>
      </c>
      <c r="D2133" s="61" t="s">
        <v>7838</v>
      </c>
      <c r="E2133" s="61">
        <v>3270</v>
      </c>
      <c r="F2133" s="61">
        <v>3493</v>
      </c>
      <c r="G2133" s="61">
        <v>2025</v>
      </c>
      <c r="H2133" s="61" t="s">
        <v>3458</v>
      </c>
      <c r="I2133" s="61" t="s">
        <v>32</v>
      </c>
      <c r="J2133" s="61"/>
      <c r="K2133" s="61" t="s">
        <v>148</v>
      </c>
      <c r="L2133" s="61" t="s">
        <v>8897</v>
      </c>
      <c r="M2133" s="475">
        <v>45702</v>
      </c>
      <c r="N2133" s="475">
        <v>45702</v>
      </c>
      <c r="O2133" s="61"/>
      <c r="P2133" s="475">
        <v>45705</v>
      </c>
      <c r="Q2133" s="475">
        <v>45706</v>
      </c>
      <c r="R2133" s="61">
        <f t="shared" si="144"/>
        <v>1</v>
      </c>
      <c r="S2133" s="61" t="str">
        <f t="shared" si="145"/>
        <v/>
      </c>
      <c r="T2133" s="61">
        <f t="shared" si="147"/>
        <v>1</v>
      </c>
      <c r="U2133" s="61">
        <f t="shared" si="146"/>
        <v>1</v>
      </c>
      <c r="V2133" s="61" t="s">
        <v>150</v>
      </c>
      <c r="W2133" s="61" t="s">
        <v>4</v>
      </c>
      <c r="X2133" s="61" t="s">
        <v>50</v>
      </c>
      <c r="Y2133" s="61">
        <v>120.70258</v>
      </c>
      <c r="Z2133" s="61">
        <v>15.228210000000001</v>
      </c>
      <c r="AA2133" s="61" t="s">
        <v>8890</v>
      </c>
      <c r="AB2133" s="61"/>
    </row>
    <row r="2134" spans="1:28" s="2" customFormat="1" ht="28.5">
      <c r="A2134" s="61" t="s">
        <v>778</v>
      </c>
      <c r="B2134" s="61" t="s">
        <v>1395</v>
      </c>
      <c r="C2134" s="61" t="s">
        <v>5197</v>
      </c>
      <c r="D2134" s="61" t="s">
        <v>7838</v>
      </c>
      <c r="E2134" s="61">
        <v>1717</v>
      </c>
      <c r="F2134" s="61">
        <v>1640</v>
      </c>
      <c r="G2134" s="61">
        <v>2025</v>
      </c>
      <c r="H2134" s="61" t="s">
        <v>3416</v>
      </c>
      <c r="I2134" s="61" t="s">
        <v>32</v>
      </c>
      <c r="J2134" s="61"/>
      <c r="K2134" s="61" t="s">
        <v>148</v>
      </c>
      <c r="L2134" s="61" t="s">
        <v>8898</v>
      </c>
      <c r="M2134" s="475">
        <v>45715</v>
      </c>
      <c r="N2134" s="475">
        <v>45718</v>
      </c>
      <c r="O2134" s="61"/>
      <c r="P2134" s="475">
        <v>45734</v>
      </c>
      <c r="Q2134" s="475">
        <v>45734</v>
      </c>
      <c r="R2134" s="61">
        <f t="shared" si="144"/>
        <v>1</v>
      </c>
      <c r="S2134" s="61" t="str">
        <f t="shared" si="145"/>
        <v/>
      </c>
      <c r="T2134" s="61">
        <f t="shared" si="147"/>
        <v>11</v>
      </c>
      <c r="U2134" s="61">
        <f t="shared" si="146"/>
        <v>1</v>
      </c>
      <c r="V2134" s="61" t="s">
        <v>150</v>
      </c>
      <c r="W2134" s="61" t="s">
        <v>4</v>
      </c>
      <c r="X2134" s="61" t="s">
        <v>57</v>
      </c>
      <c r="Y2134" s="61">
        <v>15.252140000000001</v>
      </c>
      <c r="Z2134" s="61">
        <v>120.65376000000001</v>
      </c>
      <c r="AA2134" s="61" t="s">
        <v>8108</v>
      </c>
      <c r="AB2134" s="61"/>
    </row>
    <row r="2135" spans="1:28" s="2" customFormat="1" ht="28.5">
      <c r="A2135" s="61" t="s">
        <v>778</v>
      </c>
      <c r="B2135" s="61" t="s">
        <v>1395</v>
      </c>
      <c r="C2135" s="61" t="s">
        <v>4126</v>
      </c>
      <c r="D2135" s="61" t="s">
        <v>7838</v>
      </c>
      <c r="E2135" s="61">
        <v>3324</v>
      </c>
      <c r="F2135" s="61">
        <v>3820</v>
      </c>
      <c r="G2135" s="61">
        <v>2025</v>
      </c>
      <c r="H2135" s="61" t="s">
        <v>3458</v>
      </c>
      <c r="I2135" s="61" t="s">
        <v>32</v>
      </c>
      <c r="J2135" s="61"/>
      <c r="K2135" s="61" t="s">
        <v>148</v>
      </c>
      <c r="L2135" s="61" t="s">
        <v>8899</v>
      </c>
      <c r="M2135" s="475">
        <v>45702</v>
      </c>
      <c r="N2135" s="475">
        <v>45702</v>
      </c>
      <c r="O2135" s="61"/>
      <c r="P2135" s="475">
        <v>45705</v>
      </c>
      <c r="Q2135" s="475">
        <v>45706</v>
      </c>
      <c r="R2135" s="61">
        <f t="shared" si="144"/>
        <v>1</v>
      </c>
      <c r="S2135" s="61" t="str">
        <f t="shared" si="145"/>
        <v/>
      </c>
      <c r="T2135" s="61">
        <f t="shared" si="147"/>
        <v>1</v>
      </c>
      <c r="U2135" s="61">
        <f t="shared" si="146"/>
        <v>1</v>
      </c>
      <c r="V2135" s="61" t="s">
        <v>150</v>
      </c>
      <c r="W2135" s="61" t="s">
        <v>4</v>
      </c>
      <c r="X2135" s="61" t="s">
        <v>57</v>
      </c>
      <c r="Y2135" s="61">
        <v>120.68944999999999</v>
      </c>
      <c r="Z2135" s="61">
        <v>15.219519999999999</v>
      </c>
      <c r="AA2135" s="61" t="s">
        <v>8108</v>
      </c>
      <c r="AB2135" s="61"/>
    </row>
    <row r="2136" spans="1:28" s="2" customFormat="1" ht="28.5">
      <c r="A2136" s="61" t="s">
        <v>778</v>
      </c>
      <c r="B2136" s="61" t="s">
        <v>1395</v>
      </c>
      <c r="C2136" s="61" t="s">
        <v>5638</v>
      </c>
      <c r="D2136" s="61" t="s">
        <v>7838</v>
      </c>
      <c r="E2136" s="61">
        <v>3420</v>
      </c>
      <c r="F2136" s="61">
        <v>4389</v>
      </c>
      <c r="G2136" s="61">
        <v>2025</v>
      </c>
      <c r="H2136" s="61" t="s">
        <v>3458</v>
      </c>
      <c r="I2136" s="61" t="s">
        <v>32</v>
      </c>
      <c r="J2136" s="61"/>
      <c r="K2136" s="61" t="s">
        <v>148</v>
      </c>
      <c r="L2136" s="61" t="s">
        <v>8900</v>
      </c>
      <c r="M2136" s="475">
        <v>45702</v>
      </c>
      <c r="N2136" s="475">
        <v>45702</v>
      </c>
      <c r="O2136" s="61"/>
      <c r="P2136" s="475">
        <v>45705</v>
      </c>
      <c r="Q2136" s="475">
        <v>45706</v>
      </c>
      <c r="R2136" s="61">
        <f t="shared" ref="R2136:R2199" si="148">IF(
    OR(ISBLANK(M2136), ISBLANK(N2136)),
    "",
    MAX(1, IF(
        NETWORKDAYS(M2136, N2136) &lt;= 0,
        1,
        NETWORKDAYS(M2136, N2136) - IF(M2136 = N2136, 0, 1)
    ))
)</f>
        <v>1</v>
      </c>
      <c r="S2136" s="61" t="str">
        <f t="shared" ref="S2136:S2199" si="149">IF(
    OR(ISBLANK(N2136), ISBLANK(O2136)),
    "",
    MAX(1, IF(
        NETWORKDAYS(N2136, O2136) &lt;= 0,
        1,
        NETWORKDAYS(N2136, O2136) - IF(N2136 = O2136, 0, 1)
    ))
)</f>
        <v/>
      </c>
      <c r="T2136" s="61">
        <f t="shared" si="147"/>
        <v>1</v>
      </c>
      <c r="U2136" s="61">
        <f t="shared" ref="U2136:U2199" si="150">IF(
    OR(ISBLANK(P2136), ISBLANK(Q2136)),
    "",
    MAX(1, IF(
        NETWORKDAYS(P2136, Q2136) &lt;= 0,
        1,
        NETWORKDAYS(P2136, Q2136) - IF(P2136 = Q2136, 0, 1)
    ))
)</f>
        <v>1</v>
      </c>
      <c r="V2136" s="61" t="s">
        <v>150</v>
      </c>
      <c r="W2136" s="61" t="s">
        <v>4</v>
      </c>
      <c r="X2136" s="61" t="s">
        <v>57</v>
      </c>
      <c r="Y2136" s="61">
        <v>120.67717</v>
      </c>
      <c r="Z2136" s="61">
        <v>15.217980000000001</v>
      </c>
      <c r="AA2136" s="61" t="s">
        <v>8108</v>
      </c>
      <c r="AB2136" s="61"/>
    </row>
    <row r="2137" spans="1:28" s="2" customFormat="1" ht="28.5">
      <c r="A2137" s="61" t="s">
        <v>778</v>
      </c>
      <c r="B2137" s="61" t="s">
        <v>1395</v>
      </c>
      <c r="C2137" s="61" t="s">
        <v>3974</v>
      </c>
      <c r="D2137" s="61" t="s">
        <v>7838</v>
      </c>
      <c r="E2137" s="61">
        <v>2525</v>
      </c>
      <c r="F2137" s="61">
        <v>2833</v>
      </c>
      <c r="G2137" s="61">
        <v>2025</v>
      </c>
      <c r="H2137" s="61" t="s">
        <v>3416</v>
      </c>
      <c r="I2137" s="61" t="s">
        <v>32</v>
      </c>
      <c r="J2137" s="61"/>
      <c r="K2137" s="61" t="s">
        <v>148</v>
      </c>
      <c r="L2137" s="61" t="s">
        <v>8901</v>
      </c>
      <c r="M2137" s="475">
        <v>45728</v>
      </c>
      <c r="N2137" s="475">
        <v>45730</v>
      </c>
      <c r="O2137" s="61"/>
      <c r="P2137" s="475">
        <v>45733</v>
      </c>
      <c r="Q2137" s="475">
        <v>45734</v>
      </c>
      <c r="R2137" s="61">
        <f t="shared" si="148"/>
        <v>2</v>
      </c>
      <c r="S2137" s="61" t="str">
        <f t="shared" si="149"/>
        <v/>
      </c>
      <c r="T2137" s="61">
        <f t="shared" si="147"/>
        <v>1</v>
      </c>
      <c r="U2137" s="61">
        <f t="shared" si="150"/>
        <v>1</v>
      </c>
      <c r="V2137" s="61" t="s">
        <v>150</v>
      </c>
      <c r="W2137" s="61" t="s">
        <v>4</v>
      </c>
      <c r="X2137" s="61" t="s">
        <v>57</v>
      </c>
      <c r="Y2137" s="61">
        <v>15.26146</v>
      </c>
      <c r="Z2137" s="61">
        <v>120.65071</v>
      </c>
      <c r="AA2137" s="61" t="s">
        <v>8108</v>
      </c>
      <c r="AB2137" s="61"/>
    </row>
    <row r="2138" spans="1:28" s="2" customFormat="1" ht="28.5">
      <c r="A2138" s="61" t="s">
        <v>778</v>
      </c>
      <c r="B2138" s="61" t="s">
        <v>1395</v>
      </c>
      <c r="C2138" s="61" t="s">
        <v>1166</v>
      </c>
      <c r="D2138" s="61" t="s">
        <v>7838</v>
      </c>
      <c r="E2138" s="61">
        <v>3726</v>
      </c>
      <c r="F2138" s="61">
        <v>4305</v>
      </c>
      <c r="G2138" s="61">
        <v>2025</v>
      </c>
      <c r="H2138" s="61" t="s">
        <v>3458</v>
      </c>
      <c r="I2138" s="61" t="s">
        <v>32</v>
      </c>
      <c r="J2138" s="61"/>
      <c r="K2138" s="61" t="s">
        <v>148</v>
      </c>
      <c r="L2138" s="61" t="s">
        <v>8902</v>
      </c>
      <c r="M2138" s="475">
        <v>45699</v>
      </c>
      <c r="N2138" s="475">
        <v>45702</v>
      </c>
      <c r="O2138" s="61"/>
      <c r="P2138" s="475">
        <v>45705</v>
      </c>
      <c r="Q2138" s="475">
        <v>45706</v>
      </c>
      <c r="R2138" s="61">
        <f t="shared" si="148"/>
        <v>3</v>
      </c>
      <c r="S2138" s="61" t="str">
        <f t="shared" si="149"/>
        <v/>
      </c>
      <c r="T2138" s="61">
        <f t="shared" si="147"/>
        <v>1</v>
      </c>
      <c r="U2138" s="61">
        <f t="shared" si="150"/>
        <v>1</v>
      </c>
      <c r="V2138" s="61" t="s">
        <v>150</v>
      </c>
      <c r="W2138" s="61" t="s">
        <v>4</v>
      </c>
      <c r="X2138" s="61" t="s">
        <v>57</v>
      </c>
      <c r="Y2138" s="61">
        <v>120.68383</v>
      </c>
      <c r="Z2138" s="61">
        <v>15.20079</v>
      </c>
      <c r="AA2138" s="61" t="s">
        <v>8108</v>
      </c>
      <c r="AB2138" s="61"/>
    </row>
    <row r="2139" spans="1:28" s="2" customFormat="1" ht="28.5">
      <c r="A2139" s="61" t="s">
        <v>778</v>
      </c>
      <c r="B2139" s="61" t="s">
        <v>1395</v>
      </c>
      <c r="C2139" s="61" t="s">
        <v>3727</v>
      </c>
      <c r="D2139" s="61" t="s">
        <v>7838</v>
      </c>
      <c r="E2139" s="61">
        <v>3185</v>
      </c>
      <c r="F2139" s="61">
        <v>3494</v>
      </c>
      <c r="G2139" s="61">
        <v>2025</v>
      </c>
      <c r="H2139" s="61" t="s">
        <v>3458</v>
      </c>
      <c r="I2139" s="61" t="s">
        <v>32</v>
      </c>
      <c r="J2139" s="61"/>
      <c r="K2139" s="61" t="s">
        <v>148</v>
      </c>
      <c r="L2139" s="61" t="s">
        <v>8903</v>
      </c>
      <c r="M2139" s="475">
        <v>45702</v>
      </c>
      <c r="N2139" s="475">
        <v>45702</v>
      </c>
      <c r="O2139" s="61"/>
      <c r="P2139" s="475">
        <v>45705</v>
      </c>
      <c r="Q2139" s="475">
        <v>45706</v>
      </c>
      <c r="R2139" s="61">
        <f t="shared" si="148"/>
        <v>1</v>
      </c>
      <c r="S2139" s="61" t="str">
        <f t="shared" si="149"/>
        <v/>
      </c>
      <c r="T2139" s="61">
        <f t="shared" si="147"/>
        <v>1</v>
      </c>
      <c r="U2139" s="61">
        <f t="shared" si="150"/>
        <v>1</v>
      </c>
      <c r="V2139" s="61" t="s">
        <v>150</v>
      </c>
      <c r="W2139" s="61" t="s">
        <v>4</v>
      </c>
      <c r="X2139" s="61" t="s">
        <v>50</v>
      </c>
      <c r="Y2139" s="61">
        <v>120.71803</v>
      </c>
      <c r="Z2139" s="61">
        <v>15.235799999999999</v>
      </c>
      <c r="AA2139" s="61" t="s">
        <v>8108</v>
      </c>
      <c r="AB2139" s="61"/>
    </row>
    <row r="2140" spans="1:28" s="2" customFormat="1" ht="28.5">
      <c r="A2140" s="61" t="s">
        <v>778</v>
      </c>
      <c r="B2140" s="61" t="s">
        <v>1395</v>
      </c>
      <c r="C2140" s="61" t="s">
        <v>914</v>
      </c>
      <c r="D2140" s="61" t="s">
        <v>7838</v>
      </c>
      <c r="E2140" s="61">
        <v>1754</v>
      </c>
      <c r="F2140" s="61">
        <v>2083</v>
      </c>
      <c r="G2140" s="61">
        <v>2025</v>
      </c>
      <c r="H2140" s="61" t="s">
        <v>3532</v>
      </c>
      <c r="I2140" s="61" t="s">
        <v>32</v>
      </c>
      <c r="J2140" s="61"/>
      <c r="K2140" s="61" t="s">
        <v>148</v>
      </c>
      <c r="L2140" s="61" t="s">
        <v>8904</v>
      </c>
      <c r="M2140" s="475">
        <v>45792</v>
      </c>
      <c r="N2140" s="475">
        <v>45792</v>
      </c>
      <c r="O2140" s="61"/>
      <c r="P2140" s="475">
        <v>45793</v>
      </c>
      <c r="Q2140" s="475">
        <v>45793</v>
      </c>
      <c r="R2140" s="61">
        <f t="shared" si="148"/>
        <v>1</v>
      </c>
      <c r="S2140" s="61" t="str">
        <f t="shared" si="149"/>
        <v/>
      </c>
      <c r="T2140" s="61">
        <f t="shared" si="147"/>
        <v>1</v>
      </c>
      <c r="U2140" s="61">
        <f t="shared" si="150"/>
        <v>1</v>
      </c>
      <c r="V2140" s="61" t="s">
        <v>150</v>
      </c>
      <c r="W2140" s="61" t="s">
        <v>3527</v>
      </c>
      <c r="X2140" s="61" t="s">
        <v>3528</v>
      </c>
      <c r="Y2140" s="61">
        <v>15.241239999999999</v>
      </c>
      <c r="Z2140" s="61">
        <v>15.662699999999999</v>
      </c>
      <c r="AA2140" s="61" t="s">
        <v>8108</v>
      </c>
      <c r="AB2140" s="61"/>
    </row>
    <row r="2141" spans="1:28" s="2" customFormat="1" ht="28.5">
      <c r="A2141" s="61" t="s">
        <v>778</v>
      </c>
      <c r="B2141" s="61" t="s">
        <v>1395</v>
      </c>
      <c r="C2141" s="61" t="s">
        <v>1180</v>
      </c>
      <c r="D2141" s="61" t="s">
        <v>7838</v>
      </c>
      <c r="E2141" s="61">
        <v>24786</v>
      </c>
      <c r="F2141" s="61">
        <v>26787</v>
      </c>
      <c r="G2141" s="61">
        <v>2025</v>
      </c>
      <c r="H2141" s="61" t="s">
        <v>3532</v>
      </c>
      <c r="I2141" s="61" t="s">
        <v>32</v>
      </c>
      <c r="J2141" s="61"/>
      <c r="K2141" s="61" t="s">
        <v>148</v>
      </c>
      <c r="L2141" s="61" t="s">
        <v>8905</v>
      </c>
      <c r="M2141" s="475">
        <v>45792</v>
      </c>
      <c r="N2141" s="475">
        <v>45792</v>
      </c>
      <c r="O2141" s="61"/>
      <c r="P2141" s="475">
        <v>45793</v>
      </c>
      <c r="Q2141" s="475">
        <v>45793</v>
      </c>
      <c r="R2141" s="61">
        <f t="shared" si="148"/>
        <v>1</v>
      </c>
      <c r="S2141" s="61" t="str">
        <f t="shared" si="149"/>
        <v/>
      </c>
      <c r="T2141" s="61">
        <f t="shared" si="147"/>
        <v>1</v>
      </c>
      <c r="U2141" s="61">
        <f t="shared" si="150"/>
        <v>1</v>
      </c>
      <c r="V2141" s="61" t="s">
        <v>150</v>
      </c>
      <c r="W2141" s="61" t="s">
        <v>3527</v>
      </c>
      <c r="X2141" s="61" t="s">
        <v>3528</v>
      </c>
      <c r="Y2141" s="61">
        <v>15.22644</v>
      </c>
      <c r="Z2141" s="61">
        <v>120.63209999999999</v>
      </c>
      <c r="AA2141" s="61"/>
      <c r="AB2141" s="61"/>
    </row>
    <row r="2142" spans="1:28" s="2" customFormat="1" ht="28.5">
      <c r="A2142" s="61" t="s">
        <v>778</v>
      </c>
      <c r="B2142" s="61" t="s">
        <v>1395</v>
      </c>
      <c r="C2142" s="61" t="s">
        <v>5576</v>
      </c>
      <c r="D2142" s="61" t="s">
        <v>7838</v>
      </c>
      <c r="E2142" s="61">
        <v>3458</v>
      </c>
      <c r="F2142" s="61">
        <v>3576</v>
      </c>
      <c r="G2142" s="61">
        <v>2025</v>
      </c>
      <c r="H2142" s="61" t="s">
        <v>3416</v>
      </c>
      <c r="I2142" s="61" t="s">
        <v>32</v>
      </c>
      <c r="J2142" s="61"/>
      <c r="K2142" s="61" t="s">
        <v>148</v>
      </c>
      <c r="L2142" s="61" t="s">
        <v>8906</v>
      </c>
      <c r="M2142" s="475">
        <v>45734</v>
      </c>
      <c r="N2142" s="475">
        <v>45734</v>
      </c>
      <c r="O2142" s="61"/>
      <c r="P2142" s="475">
        <v>45734</v>
      </c>
      <c r="Q2142" s="475">
        <v>45735</v>
      </c>
      <c r="R2142" s="61">
        <f t="shared" si="148"/>
        <v>1</v>
      </c>
      <c r="S2142" s="61" t="str">
        <f t="shared" si="149"/>
        <v/>
      </c>
      <c r="T2142" s="61">
        <f t="shared" si="147"/>
        <v>1</v>
      </c>
      <c r="U2142" s="61">
        <f t="shared" si="150"/>
        <v>1</v>
      </c>
      <c r="V2142" s="61" t="s">
        <v>150</v>
      </c>
      <c r="W2142" s="61" t="s">
        <v>3527</v>
      </c>
      <c r="X2142" s="61" t="s">
        <v>3528</v>
      </c>
      <c r="Y2142" s="61">
        <v>15.217969999999999</v>
      </c>
      <c r="Z2142" s="61">
        <v>120.66151000000001</v>
      </c>
      <c r="AA2142" s="61" t="s">
        <v>8108</v>
      </c>
      <c r="AB2142" s="61"/>
    </row>
    <row r="2143" spans="1:28" s="2" customFormat="1" ht="28.5">
      <c r="A2143" s="61" t="s">
        <v>778</v>
      </c>
      <c r="B2143" s="61" t="s">
        <v>1395</v>
      </c>
      <c r="C2143" s="61" t="s">
        <v>5552</v>
      </c>
      <c r="D2143" s="61" t="s">
        <v>7838</v>
      </c>
      <c r="E2143" s="61">
        <v>2856</v>
      </c>
      <c r="F2143" s="61">
        <v>4288</v>
      </c>
      <c r="G2143" s="61"/>
      <c r="H2143" s="61" t="s">
        <v>3689</v>
      </c>
      <c r="I2143" s="61" t="s">
        <v>32</v>
      </c>
      <c r="J2143" s="61" t="s">
        <v>28</v>
      </c>
      <c r="K2143" s="61" t="s">
        <v>148</v>
      </c>
      <c r="L2143" s="61" t="s">
        <v>8907</v>
      </c>
      <c r="M2143" s="475">
        <v>45797</v>
      </c>
      <c r="N2143" s="475">
        <v>45826</v>
      </c>
      <c r="O2143" s="475">
        <v>45827</v>
      </c>
      <c r="P2143" s="475">
        <v>45827</v>
      </c>
      <c r="Q2143" s="475">
        <v>45827</v>
      </c>
      <c r="R2143" s="61">
        <f t="shared" si="148"/>
        <v>21</v>
      </c>
      <c r="S2143" s="61">
        <f t="shared" si="149"/>
        <v>1</v>
      </c>
      <c r="T2143" s="61">
        <f t="shared" si="147"/>
        <v>1</v>
      </c>
      <c r="U2143" s="61">
        <f t="shared" si="150"/>
        <v>1</v>
      </c>
      <c r="V2143" s="61" t="s">
        <v>150</v>
      </c>
      <c r="W2143" s="61" t="s">
        <v>3527</v>
      </c>
      <c r="X2143" s="61" t="s">
        <v>3528</v>
      </c>
      <c r="Y2143" s="61">
        <v>15.2188</v>
      </c>
      <c r="Z2143" s="61">
        <v>15.66493</v>
      </c>
      <c r="AA2143" s="61" t="s">
        <v>8108</v>
      </c>
      <c r="AB2143" s="61"/>
    </row>
    <row r="2144" spans="1:28" s="2" customFormat="1" ht="28.5">
      <c r="A2144" s="61" t="s">
        <v>778</v>
      </c>
      <c r="B2144" s="61" t="s">
        <v>1395</v>
      </c>
      <c r="C2144" s="61" t="s">
        <v>4261</v>
      </c>
      <c r="D2144" s="61" t="s">
        <v>7838</v>
      </c>
      <c r="E2144" s="61">
        <v>4624</v>
      </c>
      <c r="F2144" s="61">
        <v>5235</v>
      </c>
      <c r="G2144" s="61">
        <v>2025</v>
      </c>
      <c r="H2144" s="61" t="s">
        <v>3532</v>
      </c>
      <c r="I2144" s="61" t="s">
        <v>32</v>
      </c>
      <c r="J2144" s="61"/>
      <c r="K2144" s="61" t="s">
        <v>148</v>
      </c>
      <c r="L2144" s="61" t="s">
        <v>8908</v>
      </c>
      <c r="M2144" s="475">
        <v>45792</v>
      </c>
      <c r="N2144" s="475">
        <v>45792</v>
      </c>
      <c r="O2144" s="61"/>
      <c r="P2144" s="475">
        <v>45793</v>
      </c>
      <c r="Q2144" s="475">
        <v>45793</v>
      </c>
      <c r="R2144" s="61">
        <f t="shared" si="148"/>
        <v>1</v>
      </c>
      <c r="S2144" s="61" t="str">
        <f t="shared" si="149"/>
        <v/>
      </c>
      <c r="T2144" s="61">
        <f t="shared" si="147"/>
        <v>1</v>
      </c>
      <c r="U2144" s="61">
        <f t="shared" si="150"/>
        <v>1</v>
      </c>
      <c r="V2144" s="61" t="s">
        <v>150</v>
      </c>
      <c r="W2144" s="61" t="s">
        <v>3527</v>
      </c>
      <c r="X2144" s="61" t="s">
        <v>3528</v>
      </c>
      <c r="Y2144" s="61">
        <v>15.24483</v>
      </c>
      <c r="Z2144" s="61">
        <v>120.63741</v>
      </c>
      <c r="AA2144" s="61" t="s">
        <v>8108</v>
      </c>
      <c r="AB2144" s="61"/>
    </row>
    <row r="2145" spans="1:30" s="2" customFormat="1" ht="28.5">
      <c r="A2145" s="61" t="s">
        <v>778</v>
      </c>
      <c r="B2145" s="61" t="s">
        <v>1395</v>
      </c>
      <c r="C2145" s="61" t="s">
        <v>5628</v>
      </c>
      <c r="D2145" s="61" t="s">
        <v>7838</v>
      </c>
      <c r="E2145" s="61">
        <v>1703</v>
      </c>
      <c r="F2145" s="61">
        <v>2184</v>
      </c>
      <c r="G2145" s="61"/>
      <c r="H2145" s="61"/>
      <c r="I2145" s="61" t="s">
        <v>32</v>
      </c>
      <c r="J2145" s="61"/>
      <c r="K2145" s="61" t="s">
        <v>8836</v>
      </c>
      <c r="L2145" s="61"/>
      <c r="M2145" s="61"/>
      <c r="N2145" s="61"/>
      <c r="O2145" s="61"/>
      <c r="P2145" s="61"/>
      <c r="Q2145" s="61"/>
      <c r="R2145" s="61" t="str">
        <f t="shared" si="148"/>
        <v/>
      </c>
      <c r="S2145" s="61" t="str">
        <f t="shared" si="149"/>
        <v/>
      </c>
      <c r="T2145" s="61" t="str">
        <f t="shared" si="147"/>
        <v/>
      </c>
      <c r="U2145" s="61" t="str">
        <f t="shared" si="150"/>
        <v/>
      </c>
      <c r="V2145" s="61"/>
      <c r="W2145" s="61"/>
      <c r="X2145" s="61"/>
      <c r="Y2145" s="61"/>
      <c r="Z2145" s="61"/>
      <c r="AA2145" s="61"/>
      <c r="AB2145" s="61"/>
    </row>
    <row r="2146" spans="1:30" s="2" customFormat="1" ht="28.5">
      <c r="A2146" s="61" t="s">
        <v>778</v>
      </c>
      <c r="B2146" s="61" t="s">
        <v>1395</v>
      </c>
      <c r="C2146" s="61" t="s">
        <v>4428</v>
      </c>
      <c r="D2146" s="61" t="s">
        <v>7838</v>
      </c>
      <c r="E2146" s="61">
        <v>1963</v>
      </c>
      <c r="F2146" s="61">
        <v>2194</v>
      </c>
      <c r="G2146" s="61"/>
      <c r="H2146" s="61"/>
      <c r="I2146" s="61" t="s">
        <v>32</v>
      </c>
      <c r="J2146" s="61"/>
      <c r="K2146" s="61" t="s">
        <v>148</v>
      </c>
      <c r="L2146" s="61"/>
      <c r="M2146" s="61"/>
      <c r="N2146" s="61"/>
      <c r="O2146" s="61"/>
      <c r="P2146" s="61"/>
      <c r="Q2146" s="61"/>
      <c r="R2146" s="61" t="str">
        <f t="shared" si="148"/>
        <v/>
      </c>
      <c r="S2146" s="61" t="str">
        <f t="shared" si="149"/>
        <v/>
      </c>
      <c r="T2146" s="61" t="str">
        <f t="shared" si="147"/>
        <v/>
      </c>
      <c r="U2146" s="61" t="str">
        <f t="shared" si="150"/>
        <v/>
      </c>
      <c r="V2146" s="61"/>
      <c r="W2146" s="61"/>
      <c r="X2146" s="61"/>
      <c r="Y2146" s="61"/>
      <c r="Z2146" s="61"/>
      <c r="AA2146" s="61"/>
      <c r="AB2146" s="61"/>
    </row>
    <row r="2147" spans="1:30" s="2" customFormat="1" ht="28.5">
      <c r="A2147" s="61" t="s">
        <v>778</v>
      </c>
      <c r="B2147" s="61" t="s">
        <v>1395</v>
      </c>
      <c r="C2147" s="61" t="s">
        <v>5629</v>
      </c>
      <c r="D2147" s="61" t="s">
        <v>7838</v>
      </c>
      <c r="E2147" s="61">
        <v>1826</v>
      </c>
      <c r="F2147" s="61">
        <v>1952</v>
      </c>
      <c r="G2147" s="61"/>
      <c r="H2147" s="61"/>
      <c r="I2147" s="61" t="s">
        <v>32</v>
      </c>
      <c r="J2147" s="61"/>
      <c r="K2147" s="61" t="s">
        <v>148</v>
      </c>
      <c r="L2147" s="61"/>
      <c r="M2147" s="61"/>
      <c r="N2147" s="61"/>
      <c r="O2147" s="61"/>
      <c r="P2147" s="61"/>
      <c r="Q2147" s="61"/>
      <c r="R2147" s="61" t="str">
        <f t="shared" si="148"/>
        <v/>
      </c>
      <c r="S2147" s="61" t="str">
        <f t="shared" si="149"/>
        <v/>
      </c>
      <c r="T2147" s="61" t="str">
        <f t="shared" si="147"/>
        <v/>
      </c>
      <c r="U2147" s="61" t="str">
        <f t="shared" si="150"/>
        <v/>
      </c>
      <c r="V2147" s="61"/>
      <c r="W2147" s="61"/>
      <c r="X2147" s="61"/>
      <c r="Y2147" s="61"/>
      <c r="Z2147" s="61"/>
      <c r="AA2147" s="61"/>
      <c r="AB2147" s="61"/>
    </row>
    <row r="2148" spans="1:30" s="2" customFormat="1" ht="28.5">
      <c r="A2148" s="61" t="s">
        <v>778</v>
      </c>
      <c r="B2148" s="61" t="s">
        <v>1395</v>
      </c>
      <c r="C2148" s="61" t="s">
        <v>5396</v>
      </c>
      <c r="D2148" s="61" t="s">
        <v>7838</v>
      </c>
      <c r="E2148" s="61">
        <v>2100</v>
      </c>
      <c r="F2148" s="61">
        <v>2472</v>
      </c>
      <c r="G2148" s="61"/>
      <c r="H2148" s="61"/>
      <c r="I2148" s="61" t="s">
        <v>32</v>
      </c>
      <c r="J2148" s="61"/>
      <c r="K2148" s="61" t="s">
        <v>148</v>
      </c>
      <c r="L2148" s="61"/>
      <c r="M2148" s="61"/>
      <c r="N2148" s="61"/>
      <c r="O2148" s="61"/>
      <c r="P2148" s="61"/>
      <c r="Q2148" s="61"/>
      <c r="R2148" s="61" t="str">
        <f t="shared" si="148"/>
        <v/>
      </c>
      <c r="S2148" s="61" t="str">
        <f t="shared" si="149"/>
        <v/>
      </c>
      <c r="T2148" s="61" t="str">
        <f t="shared" si="147"/>
        <v/>
      </c>
      <c r="U2148" s="61" t="str">
        <f t="shared" si="150"/>
        <v/>
      </c>
      <c r="V2148" s="61"/>
      <c r="W2148" s="61"/>
      <c r="X2148" s="61"/>
      <c r="Y2148" s="61"/>
      <c r="Z2148" s="61"/>
      <c r="AA2148" s="61"/>
      <c r="AB2148" s="61"/>
    </row>
    <row r="2149" spans="1:30" s="2" customFormat="1" ht="28.5">
      <c r="A2149" s="61" t="s">
        <v>778</v>
      </c>
      <c r="B2149" s="61" t="s">
        <v>1395</v>
      </c>
      <c r="C2149" s="61" t="s">
        <v>5632</v>
      </c>
      <c r="D2149" s="61" t="s">
        <v>7838</v>
      </c>
      <c r="E2149" s="61">
        <v>1522</v>
      </c>
      <c r="F2149" s="61">
        <v>1474</v>
      </c>
      <c r="G2149" s="61"/>
      <c r="H2149" s="61"/>
      <c r="I2149" s="61" t="s">
        <v>32</v>
      </c>
      <c r="J2149" s="61"/>
      <c r="K2149" s="61" t="s">
        <v>148</v>
      </c>
      <c r="L2149" s="61"/>
      <c r="M2149" s="61"/>
      <c r="N2149" s="61"/>
      <c r="O2149" s="61"/>
      <c r="P2149" s="61"/>
      <c r="Q2149" s="61"/>
      <c r="R2149" s="61" t="str">
        <f t="shared" si="148"/>
        <v/>
      </c>
      <c r="S2149" s="61" t="str">
        <f t="shared" si="149"/>
        <v/>
      </c>
      <c r="T2149" s="61" t="str">
        <f t="shared" si="147"/>
        <v/>
      </c>
      <c r="U2149" s="61" t="str">
        <f t="shared" si="150"/>
        <v/>
      </c>
      <c r="V2149" s="61"/>
      <c r="W2149" s="61"/>
      <c r="X2149" s="61"/>
      <c r="Y2149" s="61"/>
      <c r="Z2149" s="61"/>
      <c r="AA2149" s="61"/>
      <c r="AB2149" s="61"/>
    </row>
    <row r="2150" spans="1:30" s="2" customFormat="1" ht="28.5">
      <c r="A2150" s="61" t="s">
        <v>778</v>
      </c>
      <c r="B2150" s="61" t="s">
        <v>1395</v>
      </c>
      <c r="C2150" s="61" t="s">
        <v>5635</v>
      </c>
      <c r="D2150" s="61" t="s">
        <v>7838</v>
      </c>
      <c r="E2150" s="61">
        <v>5077</v>
      </c>
      <c r="F2150" s="61">
        <v>4948</v>
      </c>
      <c r="G2150" s="61"/>
      <c r="H2150" s="61"/>
      <c r="I2150" s="61" t="s">
        <v>32</v>
      </c>
      <c r="J2150" s="61"/>
      <c r="K2150" s="61" t="s">
        <v>148</v>
      </c>
      <c r="L2150" s="61"/>
      <c r="M2150" s="61"/>
      <c r="N2150" s="61"/>
      <c r="O2150" s="61"/>
      <c r="P2150" s="61"/>
      <c r="Q2150" s="61"/>
      <c r="R2150" s="61" t="str">
        <f t="shared" si="148"/>
        <v/>
      </c>
      <c r="S2150" s="61" t="str">
        <f t="shared" si="149"/>
        <v/>
      </c>
      <c r="T2150" s="61" t="str">
        <f t="shared" si="147"/>
        <v/>
      </c>
      <c r="U2150" s="61" t="str">
        <f t="shared" si="150"/>
        <v/>
      </c>
      <c r="V2150" s="61"/>
      <c r="W2150" s="61"/>
      <c r="X2150" s="61"/>
      <c r="Y2150" s="61"/>
      <c r="Z2150" s="61"/>
      <c r="AA2150" s="61"/>
      <c r="AB2150" s="61"/>
    </row>
    <row r="2151" spans="1:30" s="2" customFormat="1" ht="28.5">
      <c r="A2151" s="61" t="s">
        <v>778</v>
      </c>
      <c r="B2151" s="61" t="s">
        <v>1395</v>
      </c>
      <c r="C2151" s="61" t="s">
        <v>1148</v>
      </c>
      <c r="D2151" s="61" t="s">
        <v>7838</v>
      </c>
      <c r="E2151" s="61">
        <v>6752</v>
      </c>
      <c r="F2151" s="61">
        <v>7593</v>
      </c>
      <c r="G2151" s="61"/>
      <c r="H2151" s="61"/>
      <c r="I2151" s="61" t="s">
        <v>32</v>
      </c>
      <c r="J2151" s="61"/>
      <c r="K2151" s="61" t="s">
        <v>148</v>
      </c>
      <c r="L2151" s="61"/>
      <c r="M2151" s="61"/>
      <c r="N2151" s="61"/>
      <c r="O2151" s="61"/>
      <c r="P2151" s="61"/>
      <c r="Q2151" s="61"/>
      <c r="R2151" s="61" t="str">
        <f t="shared" si="148"/>
        <v/>
      </c>
      <c r="S2151" s="61" t="str">
        <f t="shared" si="149"/>
        <v/>
      </c>
      <c r="T2151" s="61" t="str">
        <f t="shared" si="147"/>
        <v/>
      </c>
      <c r="U2151" s="61" t="str">
        <f t="shared" si="150"/>
        <v/>
      </c>
      <c r="V2151" s="61"/>
      <c r="W2151" s="61"/>
      <c r="X2151" s="61"/>
      <c r="Y2151" s="61"/>
      <c r="Z2151" s="61"/>
      <c r="AA2151" s="61"/>
      <c r="AB2151" s="61"/>
    </row>
    <row r="2152" spans="1:30" s="2" customFormat="1" ht="28.5">
      <c r="A2152" s="61" t="s">
        <v>778</v>
      </c>
      <c r="B2152" s="61" t="s">
        <v>1395</v>
      </c>
      <c r="C2152" s="61" t="s">
        <v>858</v>
      </c>
      <c r="D2152" s="61" t="s">
        <v>7838</v>
      </c>
      <c r="E2152" s="61">
        <v>3579</v>
      </c>
      <c r="F2152" s="61">
        <v>3563</v>
      </c>
      <c r="G2152" s="61"/>
      <c r="H2152" s="61"/>
      <c r="I2152" s="61" t="s">
        <v>32</v>
      </c>
      <c r="J2152" s="61"/>
      <c r="K2152" s="61" t="s">
        <v>148</v>
      </c>
      <c r="L2152" s="61"/>
      <c r="M2152" s="61"/>
      <c r="N2152" s="61"/>
      <c r="O2152" s="61"/>
      <c r="P2152" s="61"/>
      <c r="Q2152" s="61"/>
      <c r="R2152" s="61" t="str">
        <f t="shared" si="148"/>
        <v/>
      </c>
      <c r="S2152" s="61" t="str">
        <f t="shared" si="149"/>
        <v/>
      </c>
      <c r="T2152" s="61" t="str">
        <f t="shared" si="147"/>
        <v/>
      </c>
      <c r="U2152" s="61" t="str">
        <f t="shared" si="150"/>
        <v/>
      </c>
      <c r="V2152" s="61"/>
      <c r="W2152" s="61"/>
      <c r="X2152" s="61"/>
      <c r="Y2152" s="61"/>
      <c r="Z2152" s="61"/>
      <c r="AA2152" s="61"/>
      <c r="AB2152" s="61"/>
    </row>
    <row r="2153" spans="1:30" s="2" customFormat="1" ht="28.5">
      <c r="A2153" s="61" t="s">
        <v>778</v>
      </c>
      <c r="B2153" s="61" t="s">
        <v>1395</v>
      </c>
      <c r="C2153" s="61" t="s">
        <v>1151</v>
      </c>
      <c r="D2153" s="61" t="s">
        <v>7838</v>
      </c>
      <c r="E2153" s="61">
        <v>2714</v>
      </c>
      <c r="F2153" s="61">
        <v>2790</v>
      </c>
      <c r="G2153" s="61"/>
      <c r="H2153" s="61"/>
      <c r="I2153" s="61" t="s">
        <v>32</v>
      </c>
      <c r="J2153" s="61"/>
      <c r="K2153" s="61" t="s">
        <v>148</v>
      </c>
      <c r="L2153" s="61"/>
      <c r="M2153" s="61"/>
      <c r="N2153" s="61"/>
      <c r="O2153" s="61"/>
      <c r="P2153" s="61"/>
      <c r="Q2153" s="61"/>
      <c r="R2153" s="61" t="str">
        <f t="shared" si="148"/>
        <v/>
      </c>
      <c r="S2153" s="61" t="str">
        <f t="shared" si="149"/>
        <v/>
      </c>
      <c r="T2153" s="61" t="str">
        <f t="shared" si="147"/>
        <v/>
      </c>
      <c r="U2153" s="61" t="str">
        <f t="shared" si="150"/>
        <v/>
      </c>
      <c r="V2153" s="61"/>
      <c r="W2153" s="61"/>
      <c r="X2153" s="61"/>
      <c r="Y2153" s="61"/>
      <c r="Z2153" s="61"/>
      <c r="AA2153" s="61"/>
      <c r="AB2153" s="61"/>
    </row>
    <row r="2154" spans="1:30" s="2" customFormat="1" ht="28.5">
      <c r="A2154" s="61" t="s">
        <v>778</v>
      </c>
      <c r="B2154" s="61" t="s">
        <v>1395</v>
      </c>
      <c r="C2154" s="61" t="s">
        <v>5639</v>
      </c>
      <c r="D2154" s="61" t="s">
        <v>7838</v>
      </c>
      <c r="E2154" s="61">
        <v>1760</v>
      </c>
      <c r="F2154" s="61">
        <v>1756</v>
      </c>
      <c r="G2154" s="61"/>
      <c r="H2154" s="61"/>
      <c r="I2154" s="61" t="s">
        <v>32</v>
      </c>
      <c r="J2154" s="61"/>
      <c r="K2154" s="61" t="s">
        <v>148</v>
      </c>
      <c r="L2154" s="61"/>
      <c r="M2154" s="61"/>
      <c r="N2154" s="61"/>
      <c r="O2154" s="61"/>
      <c r="P2154" s="61"/>
      <c r="Q2154" s="61"/>
      <c r="R2154" s="61" t="str">
        <f t="shared" si="148"/>
        <v/>
      </c>
      <c r="S2154" s="61" t="str">
        <f t="shared" si="149"/>
        <v/>
      </c>
      <c r="T2154" s="61" t="str">
        <f t="shared" si="147"/>
        <v/>
      </c>
      <c r="U2154" s="61" t="str">
        <f t="shared" si="150"/>
        <v/>
      </c>
      <c r="V2154" s="61"/>
      <c r="W2154" s="61"/>
      <c r="X2154" s="61"/>
      <c r="Y2154" s="61"/>
      <c r="Z2154" s="61"/>
      <c r="AA2154" s="61"/>
      <c r="AB2154" s="61"/>
    </row>
    <row r="2155" spans="1:30" s="2" customFormat="1" ht="28.5">
      <c r="A2155" s="61" t="s">
        <v>778</v>
      </c>
      <c r="B2155" s="61" t="s">
        <v>1395</v>
      </c>
      <c r="C2155" s="61" t="s">
        <v>5630</v>
      </c>
      <c r="D2155" s="61" t="s">
        <v>7838</v>
      </c>
      <c r="E2155" s="61">
        <v>5435</v>
      </c>
      <c r="F2155" s="61">
        <v>5392</v>
      </c>
      <c r="G2155" s="61"/>
      <c r="H2155" s="61"/>
      <c r="I2155" s="61" t="s">
        <v>32</v>
      </c>
      <c r="J2155" s="61"/>
      <c r="K2155" s="61" t="s">
        <v>148</v>
      </c>
      <c r="L2155" s="61"/>
      <c r="M2155" s="61"/>
      <c r="N2155" s="61"/>
      <c r="O2155" s="61"/>
      <c r="P2155" s="61"/>
      <c r="Q2155" s="61"/>
      <c r="R2155" s="61" t="str">
        <f t="shared" si="148"/>
        <v/>
      </c>
      <c r="S2155" s="61" t="str">
        <f t="shared" si="149"/>
        <v/>
      </c>
      <c r="T2155" s="61" t="str">
        <f t="shared" si="147"/>
        <v/>
      </c>
      <c r="U2155" s="61" t="str">
        <f t="shared" si="150"/>
        <v/>
      </c>
      <c r="V2155" s="61"/>
      <c r="W2155" s="61"/>
      <c r="X2155" s="61"/>
      <c r="Y2155" s="61"/>
      <c r="Z2155" s="61"/>
      <c r="AA2155" s="61"/>
      <c r="AB2155" s="61"/>
    </row>
    <row r="2156" spans="1:30" s="2" customFormat="1" ht="28.5">
      <c r="A2156" s="61" t="s">
        <v>778</v>
      </c>
      <c r="B2156" s="61" t="s">
        <v>1395</v>
      </c>
      <c r="C2156" s="61" t="s">
        <v>3937</v>
      </c>
      <c r="D2156" s="61" t="s">
        <v>7838</v>
      </c>
      <c r="E2156" s="61">
        <v>6396</v>
      </c>
      <c r="F2156" s="61">
        <v>7318</v>
      </c>
      <c r="G2156" s="61"/>
      <c r="H2156" s="61"/>
      <c r="I2156" s="61" t="s">
        <v>32</v>
      </c>
      <c r="J2156" s="61"/>
      <c r="K2156" s="61" t="s">
        <v>8836</v>
      </c>
      <c r="L2156" s="61"/>
      <c r="M2156" s="61"/>
      <c r="N2156" s="61"/>
      <c r="O2156" s="61"/>
      <c r="P2156" s="61"/>
      <c r="Q2156" s="61"/>
      <c r="R2156" s="61" t="str">
        <f t="shared" si="148"/>
        <v/>
      </c>
      <c r="S2156" s="61" t="str">
        <f t="shared" si="149"/>
        <v/>
      </c>
      <c r="T2156" s="61" t="str">
        <f t="shared" si="147"/>
        <v/>
      </c>
      <c r="U2156" s="61" t="str">
        <f t="shared" si="150"/>
        <v/>
      </c>
      <c r="V2156" s="61"/>
      <c r="W2156" s="61"/>
      <c r="X2156" s="61"/>
      <c r="Y2156" s="61"/>
      <c r="Z2156" s="61"/>
      <c r="AA2156" s="61"/>
      <c r="AB2156" s="61"/>
    </row>
    <row r="2157" spans="1:30" s="2" customFormat="1" ht="28.5">
      <c r="A2157" s="61" t="s">
        <v>778</v>
      </c>
      <c r="B2157" s="61" t="s">
        <v>1395</v>
      </c>
      <c r="C2157" s="61" t="s">
        <v>3565</v>
      </c>
      <c r="D2157" s="61" t="s">
        <v>7838</v>
      </c>
      <c r="E2157" s="61">
        <v>8883</v>
      </c>
      <c r="F2157" s="61">
        <v>9673</v>
      </c>
      <c r="G2157" s="61"/>
      <c r="H2157" s="61"/>
      <c r="I2157" s="61" t="s">
        <v>32</v>
      </c>
      <c r="J2157" s="61"/>
      <c r="K2157" s="61" t="s">
        <v>8836</v>
      </c>
      <c r="L2157" s="61"/>
      <c r="M2157" s="61"/>
      <c r="N2157" s="61"/>
      <c r="O2157" s="61"/>
      <c r="P2157" s="61"/>
      <c r="Q2157" s="61"/>
      <c r="R2157" s="61" t="str">
        <f t="shared" si="148"/>
        <v/>
      </c>
      <c r="S2157" s="61" t="str">
        <f t="shared" si="149"/>
        <v/>
      </c>
      <c r="T2157" s="61" t="str">
        <f t="shared" si="147"/>
        <v/>
      </c>
      <c r="U2157" s="61" t="str">
        <f t="shared" si="150"/>
        <v/>
      </c>
      <c r="V2157" s="61"/>
      <c r="W2157" s="61"/>
      <c r="X2157" s="61"/>
      <c r="Y2157" s="61"/>
      <c r="Z2157" s="61"/>
      <c r="AA2157" s="61"/>
      <c r="AB2157" s="61"/>
    </row>
    <row r="2158" spans="1:30" s="2" customFormat="1" ht="28.5">
      <c r="A2158" s="61" t="s">
        <v>778</v>
      </c>
      <c r="B2158" s="61" t="s">
        <v>1395</v>
      </c>
      <c r="C2158" s="61" t="s">
        <v>4950</v>
      </c>
      <c r="D2158" s="61" t="s">
        <v>7838</v>
      </c>
      <c r="E2158" s="61">
        <v>2740</v>
      </c>
      <c r="F2158" s="61">
        <v>2974</v>
      </c>
      <c r="G2158" s="61"/>
      <c r="H2158" s="61"/>
      <c r="I2158" s="61" t="s">
        <v>32</v>
      </c>
      <c r="J2158" s="61"/>
      <c r="K2158" s="61" t="s">
        <v>8836</v>
      </c>
      <c r="L2158" s="61"/>
      <c r="M2158" s="61"/>
      <c r="N2158" s="61"/>
      <c r="O2158" s="61"/>
      <c r="P2158" s="61"/>
      <c r="Q2158" s="61"/>
      <c r="R2158" s="61" t="str">
        <f t="shared" si="148"/>
        <v/>
      </c>
      <c r="S2158" s="61" t="str">
        <f t="shared" si="149"/>
        <v/>
      </c>
      <c r="T2158" s="61" t="str">
        <f t="shared" si="147"/>
        <v/>
      </c>
      <c r="U2158" s="61" t="str">
        <f t="shared" si="150"/>
        <v/>
      </c>
      <c r="V2158" s="61"/>
      <c r="W2158" s="61"/>
      <c r="X2158" s="61"/>
      <c r="Y2158" s="61"/>
      <c r="Z2158" s="61"/>
      <c r="AA2158" s="61"/>
      <c r="AB2158" s="61"/>
    </row>
    <row r="2159" spans="1:30" s="2" customFormat="1" ht="28.5">
      <c r="A2159" s="61" t="s">
        <v>778</v>
      </c>
      <c r="B2159" s="61" t="s">
        <v>1395</v>
      </c>
      <c r="C2159" s="61" t="s">
        <v>5640</v>
      </c>
      <c r="D2159" s="61" t="s">
        <v>7838</v>
      </c>
      <c r="E2159" s="61">
        <v>2052</v>
      </c>
      <c r="F2159" s="61">
        <v>1962</v>
      </c>
      <c r="G2159" s="61"/>
      <c r="H2159" s="61"/>
      <c r="I2159" s="61" t="s">
        <v>32</v>
      </c>
      <c r="J2159" s="61"/>
      <c r="K2159" s="61" t="s">
        <v>8836</v>
      </c>
      <c r="L2159" s="61"/>
      <c r="M2159" s="61"/>
      <c r="N2159" s="61"/>
      <c r="O2159" s="61"/>
      <c r="P2159" s="61"/>
      <c r="Q2159" s="61"/>
      <c r="R2159" s="61" t="str">
        <f t="shared" si="148"/>
        <v/>
      </c>
      <c r="S2159" s="61" t="str">
        <f t="shared" si="149"/>
        <v/>
      </c>
      <c r="T2159" s="61" t="str">
        <f t="shared" si="147"/>
        <v/>
      </c>
      <c r="U2159" s="61" t="str">
        <f t="shared" si="150"/>
        <v/>
      </c>
      <c r="V2159" s="61"/>
      <c r="W2159" s="61"/>
      <c r="X2159" s="61"/>
      <c r="Y2159" s="61"/>
      <c r="Z2159" s="61"/>
      <c r="AA2159" s="61"/>
      <c r="AB2159" s="61"/>
    </row>
    <row r="2160" spans="1:30" s="2" customFormat="1" ht="71.25">
      <c r="A2160" s="61" t="s">
        <v>778</v>
      </c>
      <c r="B2160" s="61" t="s">
        <v>1400</v>
      </c>
      <c r="C2160" s="61" t="s">
        <v>4126</v>
      </c>
      <c r="D2160" s="61" t="s">
        <v>7838</v>
      </c>
      <c r="E2160" s="61">
        <v>1534</v>
      </c>
      <c r="F2160" s="61">
        <v>1782</v>
      </c>
      <c r="G2160" s="61">
        <v>2025</v>
      </c>
      <c r="H2160" s="61" t="s">
        <v>3689</v>
      </c>
      <c r="I2160" s="61" t="s">
        <v>1345</v>
      </c>
      <c r="J2160" s="61" t="s">
        <v>28</v>
      </c>
      <c r="K2160" s="61" t="s">
        <v>148</v>
      </c>
      <c r="L2160" s="61" t="s">
        <v>8909</v>
      </c>
      <c r="M2160" s="475">
        <v>45818</v>
      </c>
      <c r="N2160" s="475">
        <v>45824</v>
      </c>
      <c r="O2160" s="475">
        <v>45826</v>
      </c>
      <c r="P2160" s="475">
        <v>45827</v>
      </c>
      <c r="Q2160" s="475">
        <v>45827</v>
      </c>
      <c r="R2160" s="61">
        <f t="shared" si="148"/>
        <v>4</v>
      </c>
      <c r="S2160" s="61">
        <f t="shared" si="149"/>
        <v>2</v>
      </c>
      <c r="T2160" s="61">
        <f t="shared" si="147"/>
        <v>3</v>
      </c>
      <c r="U2160" s="61">
        <f t="shared" si="150"/>
        <v>1</v>
      </c>
      <c r="V2160" s="61" t="s">
        <v>150</v>
      </c>
      <c r="W2160" s="61" t="s">
        <v>4</v>
      </c>
      <c r="X2160" s="61" t="s">
        <v>57</v>
      </c>
      <c r="Y2160" s="118" t="s">
        <v>8910</v>
      </c>
      <c r="Z2160" s="118" t="s">
        <v>8911</v>
      </c>
      <c r="AA2160" s="61" t="s">
        <v>8912</v>
      </c>
      <c r="AB2160" s="61" t="s">
        <v>8913</v>
      </c>
      <c r="AD2160" s="2" t="s">
        <v>1472</v>
      </c>
    </row>
    <row r="2161" spans="1:28" s="2" customFormat="1" ht="71.25">
      <c r="A2161" s="61" t="s">
        <v>778</v>
      </c>
      <c r="B2161" s="61" t="s">
        <v>1400</v>
      </c>
      <c r="C2161" s="61" t="s">
        <v>1253</v>
      </c>
      <c r="D2161" s="61" t="s">
        <v>7838</v>
      </c>
      <c r="E2161" s="61">
        <v>1056</v>
      </c>
      <c r="F2161" s="61">
        <v>1238</v>
      </c>
      <c r="G2161" s="61">
        <v>2025</v>
      </c>
      <c r="H2161" s="61" t="s">
        <v>3689</v>
      </c>
      <c r="I2161" s="61" t="s">
        <v>1345</v>
      </c>
      <c r="J2161" s="61" t="s">
        <v>28</v>
      </c>
      <c r="K2161" s="61" t="s">
        <v>148</v>
      </c>
      <c r="L2161" s="61" t="s">
        <v>8914</v>
      </c>
      <c r="M2161" s="475">
        <v>45818</v>
      </c>
      <c r="N2161" s="475">
        <v>45824</v>
      </c>
      <c r="O2161" s="475">
        <v>45826</v>
      </c>
      <c r="P2161" s="475">
        <v>45827</v>
      </c>
      <c r="Q2161" s="475">
        <v>45827</v>
      </c>
      <c r="R2161" s="61">
        <f t="shared" si="148"/>
        <v>4</v>
      </c>
      <c r="S2161" s="61">
        <f t="shared" si="149"/>
        <v>2</v>
      </c>
      <c r="T2161" s="61">
        <f t="shared" si="147"/>
        <v>3</v>
      </c>
      <c r="U2161" s="61">
        <f t="shared" si="150"/>
        <v>1</v>
      </c>
      <c r="V2161" s="61" t="s">
        <v>150</v>
      </c>
      <c r="W2161" s="61" t="s">
        <v>4</v>
      </c>
      <c r="X2161" s="61" t="s">
        <v>57</v>
      </c>
      <c r="Y2161" s="61" t="s">
        <v>1229</v>
      </c>
      <c r="Z2161" s="61" t="s">
        <v>1229</v>
      </c>
      <c r="AA2161" s="61" t="s">
        <v>8912</v>
      </c>
      <c r="AB2161" s="61" t="s">
        <v>8913</v>
      </c>
    </row>
    <row r="2162" spans="1:28" s="2" customFormat="1" ht="28.5">
      <c r="A2162" s="61" t="s">
        <v>778</v>
      </c>
      <c r="B2162" s="61" t="s">
        <v>1400</v>
      </c>
      <c r="C2162" s="61" t="s">
        <v>5654</v>
      </c>
      <c r="D2162" s="61" t="s">
        <v>7838</v>
      </c>
      <c r="E2162" s="61">
        <v>1123</v>
      </c>
      <c r="F2162" s="61">
        <v>1551</v>
      </c>
      <c r="G2162" s="61">
        <v>2025</v>
      </c>
      <c r="H2162" s="61" t="s">
        <v>3125</v>
      </c>
      <c r="I2162" s="61" t="s">
        <v>1345</v>
      </c>
      <c r="J2162" s="61" t="s">
        <v>28</v>
      </c>
      <c r="K2162" s="61" t="s">
        <v>8836</v>
      </c>
      <c r="L2162" s="61" t="s">
        <v>8915</v>
      </c>
      <c r="M2162" s="475">
        <v>45847</v>
      </c>
      <c r="N2162" s="475">
        <v>45854</v>
      </c>
      <c r="O2162" s="475">
        <v>45856</v>
      </c>
      <c r="P2162" s="475">
        <v>45856</v>
      </c>
      <c r="Q2162" s="475">
        <v>45856</v>
      </c>
      <c r="R2162" s="61">
        <f t="shared" si="148"/>
        <v>5</v>
      </c>
      <c r="S2162" s="61">
        <f t="shared" si="149"/>
        <v>2</v>
      </c>
      <c r="T2162" s="61">
        <f t="shared" si="147"/>
        <v>2</v>
      </c>
      <c r="U2162" s="61">
        <f t="shared" si="150"/>
        <v>1</v>
      </c>
      <c r="V2162" s="61" t="s">
        <v>150</v>
      </c>
      <c r="W2162" s="61" t="s">
        <v>1078</v>
      </c>
      <c r="X2162" s="61" t="s">
        <v>50</v>
      </c>
      <c r="Y2162" s="61" t="s">
        <v>8916</v>
      </c>
      <c r="Z2162" s="61" t="s">
        <v>8917</v>
      </c>
      <c r="AA2162" s="61" t="s">
        <v>8918</v>
      </c>
      <c r="AB2162" s="61"/>
    </row>
    <row r="2163" spans="1:28" s="2" customFormat="1" ht="71.25">
      <c r="A2163" s="61" t="s">
        <v>778</v>
      </c>
      <c r="B2163" s="61" t="s">
        <v>1400</v>
      </c>
      <c r="C2163" s="61" t="s">
        <v>1945</v>
      </c>
      <c r="D2163" s="61" t="s">
        <v>7838</v>
      </c>
      <c r="E2163" s="61">
        <v>6952</v>
      </c>
      <c r="F2163" s="61">
        <v>6786</v>
      </c>
      <c r="G2163" s="61">
        <v>2025</v>
      </c>
      <c r="H2163" s="61" t="s">
        <v>3689</v>
      </c>
      <c r="I2163" s="61" t="s">
        <v>1345</v>
      </c>
      <c r="J2163" s="61" t="s">
        <v>28</v>
      </c>
      <c r="K2163" s="61" t="s">
        <v>148</v>
      </c>
      <c r="L2163" s="61" t="s">
        <v>8919</v>
      </c>
      <c r="M2163" s="475">
        <v>45818</v>
      </c>
      <c r="N2163" s="475">
        <v>45824</v>
      </c>
      <c r="O2163" s="475">
        <v>45826</v>
      </c>
      <c r="P2163" s="475">
        <v>45826</v>
      </c>
      <c r="Q2163" s="475">
        <v>45826</v>
      </c>
      <c r="R2163" s="61">
        <f t="shared" si="148"/>
        <v>4</v>
      </c>
      <c r="S2163" s="61">
        <f t="shared" si="149"/>
        <v>2</v>
      </c>
      <c r="T2163" s="61">
        <f t="shared" si="147"/>
        <v>2</v>
      </c>
      <c r="U2163" s="61">
        <f t="shared" si="150"/>
        <v>1</v>
      </c>
      <c r="V2163" s="61" t="s">
        <v>150</v>
      </c>
      <c r="W2163" s="61" t="s">
        <v>3527</v>
      </c>
      <c r="X2163" s="61" t="s">
        <v>3528</v>
      </c>
      <c r="Y2163" s="61" t="s">
        <v>1229</v>
      </c>
      <c r="Z2163" s="61" t="s">
        <v>1229</v>
      </c>
      <c r="AA2163" s="61" t="s">
        <v>8108</v>
      </c>
      <c r="AB2163" s="61" t="s">
        <v>8913</v>
      </c>
    </row>
    <row r="2164" spans="1:28" s="2" customFormat="1" ht="71.25">
      <c r="A2164" s="61" t="s">
        <v>778</v>
      </c>
      <c r="B2164" s="61" t="s">
        <v>1400</v>
      </c>
      <c r="C2164" s="61" t="s">
        <v>5646</v>
      </c>
      <c r="D2164" s="61" t="s">
        <v>7838</v>
      </c>
      <c r="E2164" s="61">
        <v>1402</v>
      </c>
      <c r="F2164" s="61">
        <v>1628</v>
      </c>
      <c r="G2164" s="61">
        <v>2025</v>
      </c>
      <c r="H2164" s="61" t="s">
        <v>3689</v>
      </c>
      <c r="I2164" s="61" t="s">
        <v>1345</v>
      </c>
      <c r="J2164" s="61" t="s">
        <v>28</v>
      </c>
      <c r="K2164" s="61" t="s">
        <v>148</v>
      </c>
      <c r="L2164" s="61" t="s">
        <v>8920</v>
      </c>
      <c r="M2164" s="475">
        <v>45818</v>
      </c>
      <c r="N2164" s="475">
        <v>45824</v>
      </c>
      <c r="O2164" s="475">
        <v>45826</v>
      </c>
      <c r="P2164" s="475">
        <v>45827</v>
      </c>
      <c r="Q2164" s="475">
        <v>45827</v>
      </c>
      <c r="R2164" s="61">
        <f t="shared" si="148"/>
        <v>4</v>
      </c>
      <c r="S2164" s="61">
        <f t="shared" si="149"/>
        <v>2</v>
      </c>
      <c r="T2164" s="61">
        <f t="shared" si="147"/>
        <v>3</v>
      </c>
      <c r="U2164" s="61">
        <f t="shared" si="150"/>
        <v>1</v>
      </c>
      <c r="V2164" s="61" t="s">
        <v>150</v>
      </c>
      <c r="W2164" s="61" t="s">
        <v>3527</v>
      </c>
      <c r="X2164" s="61" t="s">
        <v>3528</v>
      </c>
      <c r="Y2164" s="61" t="s">
        <v>1229</v>
      </c>
      <c r="Z2164" s="61" t="s">
        <v>1229</v>
      </c>
      <c r="AA2164" s="61" t="s">
        <v>8912</v>
      </c>
      <c r="AB2164" s="61" t="s">
        <v>8913</v>
      </c>
    </row>
    <row r="2165" spans="1:28" s="2" customFormat="1" ht="71.25">
      <c r="A2165" s="61" t="s">
        <v>778</v>
      </c>
      <c r="B2165" s="61" t="s">
        <v>1400</v>
      </c>
      <c r="C2165" s="61" t="s">
        <v>5648</v>
      </c>
      <c r="D2165" s="61" t="s">
        <v>7838</v>
      </c>
      <c r="E2165" s="61">
        <v>1578</v>
      </c>
      <c r="F2165" s="61">
        <v>1618</v>
      </c>
      <c r="G2165" s="61">
        <v>2025</v>
      </c>
      <c r="H2165" s="61" t="s">
        <v>3689</v>
      </c>
      <c r="I2165" s="61" t="s">
        <v>1345</v>
      </c>
      <c r="J2165" s="61" t="s">
        <v>28</v>
      </c>
      <c r="K2165" s="61" t="s">
        <v>148</v>
      </c>
      <c r="L2165" s="61" t="s">
        <v>8921</v>
      </c>
      <c r="M2165" s="475">
        <v>45818</v>
      </c>
      <c r="N2165" s="475">
        <v>45824</v>
      </c>
      <c r="O2165" s="475">
        <v>45826</v>
      </c>
      <c r="P2165" s="475">
        <v>45827</v>
      </c>
      <c r="Q2165" s="475">
        <v>45827</v>
      </c>
      <c r="R2165" s="61">
        <f t="shared" si="148"/>
        <v>4</v>
      </c>
      <c r="S2165" s="61">
        <f t="shared" si="149"/>
        <v>2</v>
      </c>
      <c r="T2165" s="61">
        <f t="shared" si="147"/>
        <v>3</v>
      </c>
      <c r="U2165" s="61">
        <f t="shared" si="150"/>
        <v>1</v>
      </c>
      <c r="V2165" s="61" t="s">
        <v>150</v>
      </c>
      <c r="W2165" s="61" t="s">
        <v>3527</v>
      </c>
      <c r="X2165" s="61" t="s">
        <v>3528</v>
      </c>
      <c r="Y2165" s="61" t="s">
        <v>1229</v>
      </c>
      <c r="Z2165" s="61" t="s">
        <v>1229</v>
      </c>
      <c r="AA2165" s="61" t="s">
        <v>8912</v>
      </c>
      <c r="AB2165" s="61" t="s">
        <v>8913</v>
      </c>
    </row>
    <row r="2166" spans="1:28" s="2" customFormat="1" ht="28.5">
      <c r="A2166" s="61" t="s">
        <v>778</v>
      </c>
      <c r="B2166" s="61" t="s">
        <v>1400</v>
      </c>
      <c r="C2166" s="61" t="s">
        <v>878</v>
      </c>
      <c r="D2166" s="61" t="s">
        <v>7838</v>
      </c>
      <c r="E2166" s="61">
        <v>1397</v>
      </c>
      <c r="F2166" s="61">
        <v>1773</v>
      </c>
      <c r="G2166" s="61">
        <v>2025</v>
      </c>
      <c r="H2166" s="61" t="s">
        <v>3128</v>
      </c>
      <c r="I2166" s="61" t="s">
        <v>1345</v>
      </c>
      <c r="J2166" s="61"/>
      <c r="K2166" s="61" t="s">
        <v>8836</v>
      </c>
      <c r="L2166" s="61" t="s">
        <v>8922</v>
      </c>
      <c r="M2166" s="475">
        <v>45940</v>
      </c>
      <c r="N2166" s="475">
        <v>45945</v>
      </c>
      <c r="O2166" s="61"/>
      <c r="P2166" s="475">
        <v>45945</v>
      </c>
      <c r="Q2166" s="475">
        <v>45950</v>
      </c>
      <c r="R2166" s="61">
        <f t="shared" si="148"/>
        <v>3</v>
      </c>
      <c r="S2166" s="61" t="str">
        <f t="shared" si="149"/>
        <v/>
      </c>
      <c r="T2166" s="61">
        <f t="shared" si="147"/>
        <v>1</v>
      </c>
      <c r="U2166" s="61">
        <f t="shared" si="150"/>
        <v>3</v>
      </c>
      <c r="V2166" s="61" t="s">
        <v>150</v>
      </c>
      <c r="W2166" s="61" t="s">
        <v>4</v>
      </c>
      <c r="X2166" s="61" t="s">
        <v>57</v>
      </c>
      <c r="Y2166" s="61" t="s">
        <v>69</v>
      </c>
      <c r="Z2166" s="61" t="s">
        <v>69</v>
      </c>
      <c r="AA2166" s="61" t="s">
        <v>330</v>
      </c>
      <c r="AB2166" s="61" t="s">
        <v>8923</v>
      </c>
    </row>
    <row r="2167" spans="1:28" s="2" customFormat="1" ht="28.5">
      <c r="A2167" s="61" t="s">
        <v>778</v>
      </c>
      <c r="B2167" s="61" t="s">
        <v>1400</v>
      </c>
      <c r="C2167" s="61" t="s">
        <v>5644</v>
      </c>
      <c r="D2167" s="61" t="s">
        <v>7838</v>
      </c>
      <c r="E2167" s="61">
        <v>1708</v>
      </c>
      <c r="F2167" s="61">
        <v>1676</v>
      </c>
      <c r="G2167" s="61">
        <v>2025</v>
      </c>
      <c r="H2167" s="61" t="s">
        <v>3128</v>
      </c>
      <c r="I2167" s="61" t="s">
        <v>1345</v>
      </c>
      <c r="J2167" s="61"/>
      <c r="K2167" s="61" t="s">
        <v>8836</v>
      </c>
      <c r="L2167" s="61" t="s">
        <v>8922</v>
      </c>
      <c r="M2167" s="475">
        <v>45940</v>
      </c>
      <c r="N2167" s="475">
        <v>45945</v>
      </c>
      <c r="O2167" s="61"/>
      <c r="P2167" s="475">
        <v>45945</v>
      </c>
      <c r="Q2167" s="475">
        <v>45950</v>
      </c>
      <c r="R2167" s="61">
        <f t="shared" si="148"/>
        <v>3</v>
      </c>
      <c r="S2167" s="61" t="str">
        <f t="shared" si="149"/>
        <v/>
      </c>
      <c r="T2167" s="61">
        <f t="shared" si="147"/>
        <v>1</v>
      </c>
      <c r="U2167" s="61">
        <f t="shared" si="150"/>
        <v>3</v>
      </c>
      <c r="V2167" s="61" t="s">
        <v>150</v>
      </c>
      <c r="W2167" s="61" t="s">
        <v>4</v>
      </c>
      <c r="X2167" s="61" t="s">
        <v>57</v>
      </c>
      <c r="Y2167" s="61" t="s">
        <v>69</v>
      </c>
      <c r="Z2167" s="61" t="s">
        <v>69</v>
      </c>
      <c r="AA2167" s="61" t="s">
        <v>330</v>
      </c>
      <c r="AB2167" s="61" t="s">
        <v>8923</v>
      </c>
    </row>
    <row r="2168" spans="1:28" s="2" customFormat="1" ht="28.5">
      <c r="A2168" s="61" t="s">
        <v>778</v>
      </c>
      <c r="B2168" s="61" t="s">
        <v>1400</v>
      </c>
      <c r="C2168" s="61" t="s">
        <v>5345</v>
      </c>
      <c r="D2168" s="61" t="s">
        <v>7838</v>
      </c>
      <c r="E2168" s="61">
        <v>2094</v>
      </c>
      <c r="F2168" s="61">
        <v>1890</v>
      </c>
      <c r="G2168" s="61">
        <v>2025</v>
      </c>
      <c r="H2168" s="61" t="s">
        <v>3128</v>
      </c>
      <c r="I2168" s="61" t="s">
        <v>1345</v>
      </c>
      <c r="J2168" s="61"/>
      <c r="K2168" s="61" t="s">
        <v>8836</v>
      </c>
      <c r="L2168" s="61" t="s">
        <v>8922</v>
      </c>
      <c r="M2168" s="475">
        <v>45940</v>
      </c>
      <c r="N2168" s="475">
        <v>45945</v>
      </c>
      <c r="O2168" s="61"/>
      <c r="P2168" s="475">
        <v>45945</v>
      </c>
      <c r="Q2168" s="475">
        <v>45950</v>
      </c>
      <c r="R2168" s="61">
        <f t="shared" si="148"/>
        <v>3</v>
      </c>
      <c r="S2168" s="61" t="str">
        <f t="shared" si="149"/>
        <v/>
      </c>
      <c r="T2168" s="61">
        <f t="shared" si="147"/>
        <v>1</v>
      </c>
      <c r="U2168" s="61">
        <f t="shared" si="150"/>
        <v>3</v>
      </c>
      <c r="V2168" s="61" t="s">
        <v>150</v>
      </c>
      <c r="W2168" s="61" t="s">
        <v>4</v>
      </c>
      <c r="X2168" s="61" t="s">
        <v>57</v>
      </c>
      <c r="Y2168" s="61" t="s">
        <v>69</v>
      </c>
      <c r="Z2168" s="61" t="s">
        <v>69</v>
      </c>
      <c r="AA2168" s="61" t="s">
        <v>330</v>
      </c>
      <c r="AB2168" s="61" t="s">
        <v>8923</v>
      </c>
    </row>
    <row r="2169" spans="1:28" s="2" customFormat="1" ht="28.5">
      <c r="A2169" s="61" t="s">
        <v>778</v>
      </c>
      <c r="B2169" s="61" t="s">
        <v>1400</v>
      </c>
      <c r="C2169" s="61" t="s">
        <v>5650</v>
      </c>
      <c r="D2169" s="61" t="s">
        <v>7838</v>
      </c>
      <c r="E2169" s="61">
        <v>1412</v>
      </c>
      <c r="F2169" s="61">
        <v>1232</v>
      </c>
      <c r="G2169" s="61">
        <v>2025</v>
      </c>
      <c r="H2169" s="61" t="s">
        <v>3128</v>
      </c>
      <c r="I2169" s="61" t="s">
        <v>1345</v>
      </c>
      <c r="J2169" s="61"/>
      <c r="K2169" s="61" t="s">
        <v>8836</v>
      </c>
      <c r="L2169" s="61" t="s">
        <v>8922</v>
      </c>
      <c r="M2169" s="475">
        <v>45940</v>
      </c>
      <c r="N2169" s="475">
        <v>45945</v>
      </c>
      <c r="O2169" s="61"/>
      <c r="P2169" s="475">
        <v>45945</v>
      </c>
      <c r="Q2169" s="475">
        <v>45950</v>
      </c>
      <c r="R2169" s="61">
        <f t="shared" si="148"/>
        <v>3</v>
      </c>
      <c r="S2169" s="61" t="str">
        <f t="shared" si="149"/>
        <v/>
      </c>
      <c r="T2169" s="61">
        <f t="shared" si="147"/>
        <v>1</v>
      </c>
      <c r="U2169" s="61">
        <f t="shared" si="150"/>
        <v>3</v>
      </c>
      <c r="V2169" s="61" t="s">
        <v>150</v>
      </c>
      <c r="W2169" s="61" t="s">
        <v>4</v>
      </c>
      <c r="X2169" s="61" t="s">
        <v>57</v>
      </c>
      <c r="Y2169" s="61" t="s">
        <v>69</v>
      </c>
      <c r="Z2169" s="61" t="s">
        <v>69</v>
      </c>
      <c r="AA2169" s="61" t="s">
        <v>330</v>
      </c>
      <c r="AB2169" s="61" t="s">
        <v>8923</v>
      </c>
    </row>
    <row r="2170" spans="1:28" s="2" customFormat="1" ht="28.5">
      <c r="A2170" s="61" t="s">
        <v>778</v>
      </c>
      <c r="B2170" s="61" t="s">
        <v>1400</v>
      </c>
      <c r="C2170" s="61" t="s">
        <v>5651</v>
      </c>
      <c r="D2170" s="61" t="s">
        <v>7838</v>
      </c>
      <c r="E2170" s="61">
        <v>1612</v>
      </c>
      <c r="F2170" s="61">
        <v>1939</v>
      </c>
      <c r="G2170" s="61">
        <v>2025</v>
      </c>
      <c r="H2170" s="61" t="s">
        <v>3128</v>
      </c>
      <c r="I2170" s="61" t="s">
        <v>1345</v>
      </c>
      <c r="J2170" s="61"/>
      <c r="K2170" s="61" t="s">
        <v>8836</v>
      </c>
      <c r="L2170" s="61" t="s">
        <v>8922</v>
      </c>
      <c r="M2170" s="475">
        <v>45940</v>
      </c>
      <c r="N2170" s="475">
        <v>45945</v>
      </c>
      <c r="O2170" s="61"/>
      <c r="P2170" s="475">
        <v>45945</v>
      </c>
      <c r="Q2170" s="475">
        <v>45950</v>
      </c>
      <c r="R2170" s="61">
        <f t="shared" si="148"/>
        <v>3</v>
      </c>
      <c r="S2170" s="61" t="str">
        <f t="shared" si="149"/>
        <v/>
      </c>
      <c r="T2170" s="61">
        <f t="shared" si="147"/>
        <v>1</v>
      </c>
      <c r="U2170" s="61">
        <f t="shared" si="150"/>
        <v>3</v>
      </c>
      <c r="V2170" s="61" t="s">
        <v>150</v>
      </c>
      <c r="W2170" s="61" t="s">
        <v>4</v>
      </c>
      <c r="X2170" s="61" t="s">
        <v>57</v>
      </c>
      <c r="Y2170" s="61" t="s">
        <v>69</v>
      </c>
      <c r="Z2170" s="61" t="s">
        <v>69</v>
      </c>
      <c r="AA2170" s="61" t="s">
        <v>330</v>
      </c>
      <c r="AB2170" s="61" t="s">
        <v>8923</v>
      </c>
    </row>
    <row r="2171" spans="1:28" s="2" customFormat="1" ht="28.5">
      <c r="A2171" s="61" t="s">
        <v>778</v>
      </c>
      <c r="B2171" s="61" t="s">
        <v>1400</v>
      </c>
      <c r="C2171" s="61" t="s">
        <v>5652</v>
      </c>
      <c r="D2171" s="61" t="s">
        <v>7838</v>
      </c>
      <c r="E2171" s="61">
        <v>2216</v>
      </c>
      <c r="F2171" s="61">
        <v>2507</v>
      </c>
      <c r="G2171" s="61"/>
      <c r="H2171" s="61"/>
      <c r="I2171" s="61" t="s">
        <v>1345</v>
      </c>
      <c r="J2171" s="61"/>
      <c r="K2171" s="61" t="s">
        <v>8836</v>
      </c>
      <c r="L2171" s="61"/>
      <c r="M2171" s="61"/>
      <c r="N2171" s="61"/>
      <c r="O2171" s="61"/>
      <c r="P2171" s="61"/>
      <c r="Q2171" s="61"/>
      <c r="R2171" s="61" t="str">
        <f t="shared" si="148"/>
        <v/>
      </c>
      <c r="S2171" s="61" t="str">
        <f t="shared" si="149"/>
        <v/>
      </c>
      <c r="T2171" s="61" t="str">
        <f t="shared" si="147"/>
        <v/>
      </c>
      <c r="U2171" s="61" t="str">
        <f t="shared" si="150"/>
        <v/>
      </c>
      <c r="V2171" s="61"/>
      <c r="W2171" s="61"/>
      <c r="X2171" s="61"/>
      <c r="Y2171" s="61"/>
      <c r="Z2171" s="61"/>
      <c r="AA2171" s="61"/>
      <c r="AB2171" s="61"/>
    </row>
    <row r="2172" spans="1:28" s="2" customFormat="1" ht="28.5">
      <c r="A2172" s="61" t="s">
        <v>778</v>
      </c>
      <c r="B2172" s="61" t="s">
        <v>1400</v>
      </c>
      <c r="C2172" s="61" t="s">
        <v>5653</v>
      </c>
      <c r="D2172" s="61" t="s">
        <v>7838</v>
      </c>
      <c r="E2172" s="61">
        <v>1999</v>
      </c>
      <c r="F2172" s="61">
        <v>2515</v>
      </c>
      <c r="G2172" s="61"/>
      <c r="H2172" s="61"/>
      <c r="I2172" s="61" t="s">
        <v>1345</v>
      </c>
      <c r="J2172" s="61"/>
      <c r="K2172" s="61" t="s">
        <v>8836</v>
      </c>
      <c r="L2172" s="61"/>
      <c r="M2172" s="61"/>
      <c r="N2172" s="61"/>
      <c r="O2172" s="61"/>
      <c r="P2172" s="61"/>
      <c r="Q2172" s="61"/>
      <c r="R2172" s="61" t="str">
        <f t="shared" si="148"/>
        <v/>
      </c>
      <c r="S2172" s="61" t="str">
        <f t="shared" si="149"/>
        <v/>
      </c>
      <c r="T2172" s="61" t="str">
        <f t="shared" si="147"/>
        <v/>
      </c>
      <c r="U2172" s="61" t="str">
        <f t="shared" si="150"/>
        <v/>
      </c>
      <c r="V2172" s="61"/>
      <c r="W2172" s="61"/>
      <c r="X2172" s="61"/>
      <c r="Y2172" s="61"/>
      <c r="Z2172" s="61"/>
      <c r="AA2172" s="61"/>
      <c r="AB2172" s="61"/>
    </row>
    <row r="2173" spans="1:28" s="2" customFormat="1" ht="28.5">
      <c r="A2173" s="61" t="s">
        <v>778</v>
      </c>
      <c r="B2173" s="61" t="s">
        <v>1400</v>
      </c>
      <c r="C2173" s="61" t="s">
        <v>5655</v>
      </c>
      <c r="D2173" s="61" t="s">
        <v>7838</v>
      </c>
      <c r="E2173" s="61">
        <v>1288</v>
      </c>
      <c r="F2173" s="61">
        <v>863</v>
      </c>
      <c r="G2173" s="61"/>
      <c r="H2173" s="61"/>
      <c r="I2173" s="61" t="s">
        <v>1345</v>
      </c>
      <c r="J2173" s="61"/>
      <c r="K2173" s="61" t="s">
        <v>8836</v>
      </c>
      <c r="L2173" s="61"/>
      <c r="M2173" s="61"/>
      <c r="N2173" s="61"/>
      <c r="O2173" s="61"/>
      <c r="P2173" s="61"/>
      <c r="Q2173" s="61"/>
      <c r="R2173" s="61" t="str">
        <f t="shared" si="148"/>
        <v/>
      </c>
      <c r="S2173" s="61" t="str">
        <f t="shared" si="149"/>
        <v/>
      </c>
      <c r="T2173" s="61" t="str">
        <f t="shared" si="147"/>
        <v/>
      </c>
      <c r="U2173" s="61" t="str">
        <f t="shared" si="150"/>
        <v/>
      </c>
      <c r="V2173" s="61"/>
      <c r="W2173" s="61"/>
      <c r="X2173" s="61"/>
      <c r="Y2173" s="61"/>
      <c r="Z2173" s="61"/>
      <c r="AA2173" s="61"/>
      <c r="AB2173" s="61"/>
    </row>
    <row r="2174" spans="1:28" s="2" customFormat="1" ht="28.5">
      <c r="A2174" s="61" t="s">
        <v>778</v>
      </c>
      <c r="B2174" s="61" t="s">
        <v>1400</v>
      </c>
      <c r="C2174" s="61" t="s">
        <v>5657</v>
      </c>
      <c r="D2174" s="61" t="s">
        <v>7838</v>
      </c>
      <c r="E2174" s="61">
        <v>1144</v>
      </c>
      <c r="F2174" s="61">
        <v>1100</v>
      </c>
      <c r="G2174" s="61"/>
      <c r="H2174" s="61"/>
      <c r="I2174" s="61" t="s">
        <v>1345</v>
      </c>
      <c r="J2174" s="61"/>
      <c r="K2174" s="61" t="s">
        <v>8836</v>
      </c>
      <c r="L2174" s="61"/>
      <c r="M2174" s="61"/>
      <c r="N2174" s="61"/>
      <c r="O2174" s="61"/>
      <c r="P2174" s="61"/>
      <c r="Q2174" s="61"/>
      <c r="R2174" s="61" t="str">
        <f t="shared" si="148"/>
        <v/>
      </c>
      <c r="S2174" s="61" t="str">
        <f t="shared" si="149"/>
        <v/>
      </c>
      <c r="T2174" s="61" t="str">
        <f t="shared" si="147"/>
        <v/>
      </c>
      <c r="U2174" s="61" t="str">
        <f t="shared" si="150"/>
        <v/>
      </c>
      <c r="V2174" s="61"/>
      <c r="W2174" s="61"/>
      <c r="X2174" s="61"/>
      <c r="Y2174" s="61"/>
      <c r="Z2174" s="61"/>
      <c r="AA2174" s="61"/>
      <c r="AB2174" s="61"/>
    </row>
    <row r="2175" spans="1:28" s="2" customFormat="1" ht="28.5">
      <c r="A2175" s="61" t="s">
        <v>778</v>
      </c>
      <c r="B2175" s="61" t="s">
        <v>1400</v>
      </c>
      <c r="C2175" s="61" t="s">
        <v>5658</v>
      </c>
      <c r="D2175" s="61" t="s">
        <v>7838</v>
      </c>
      <c r="E2175" s="61">
        <v>4552</v>
      </c>
      <c r="F2175" s="61">
        <v>3520</v>
      </c>
      <c r="G2175" s="61"/>
      <c r="H2175" s="61"/>
      <c r="I2175" s="61" t="s">
        <v>1345</v>
      </c>
      <c r="J2175" s="61"/>
      <c r="K2175" s="61" t="s">
        <v>8836</v>
      </c>
      <c r="L2175" s="61"/>
      <c r="M2175" s="61"/>
      <c r="N2175" s="61"/>
      <c r="O2175" s="61"/>
      <c r="P2175" s="61"/>
      <c r="Q2175" s="61"/>
      <c r="R2175" s="61" t="str">
        <f t="shared" si="148"/>
        <v/>
      </c>
      <c r="S2175" s="61" t="str">
        <f t="shared" si="149"/>
        <v/>
      </c>
      <c r="T2175" s="61" t="str">
        <f t="shared" si="147"/>
        <v/>
      </c>
      <c r="U2175" s="61" t="str">
        <f t="shared" si="150"/>
        <v/>
      </c>
      <c r="V2175" s="61"/>
      <c r="W2175" s="61"/>
      <c r="X2175" s="61"/>
      <c r="Y2175" s="61"/>
      <c r="Z2175" s="61"/>
      <c r="AA2175" s="61"/>
      <c r="AB2175" s="61"/>
    </row>
    <row r="2176" spans="1:28" s="2" customFormat="1" ht="28.5">
      <c r="A2176" s="61" t="s">
        <v>778</v>
      </c>
      <c r="B2176" s="61" t="s">
        <v>1400</v>
      </c>
      <c r="C2176" s="61" t="s">
        <v>5659</v>
      </c>
      <c r="D2176" s="61" t="s">
        <v>7838</v>
      </c>
      <c r="E2176" s="61">
        <v>3494</v>
      </c>
      <c r="F2176" s="61">
        <v>3751</v>
      </c>
      <c r="G2176" s="61"/>
      <c r="H2176" s="61"/>
      <c r="I2176" s="61" t="s">
        <v>1345</v>
      </c>
      <c r="J2176" s="61"/>
      <c r="K2176" s="61" t="s">
        <v>8836</v>
      </c>
      <c r="L2176" s="61"/>
      <c r="M2176" s="61"/>
      <c r="N2176" s="61"/>
      <c r="O2176" s="61"/>
      <c r="P2176" s="61"/>
      <c r="Q2176" s="61"/>
      <c r="R2176" s="61" t="str">
        <f t="shared" si="148"/>
        <v/>
      </c>
      <c r="S2176" s="61" t="str">
        <f t="shared" si="149"/>
        <v/>
      </c>
      <c r="T2176" s="61" t="str">
        <f t="shared" si="147"/>
        <v/>
      </c>
      <c r="U2176" s="61" t="str">
        <f t="shared" si="150"/>
        <v/>
      </c>
      <c r="V2176" s="61"/>
      <c r="W2176" s="61"/>
      <c r="X2176" s="61"/>
      <c r="Y2176" s="61"/>
      <c r="Z2176" s="61"/>
      <c r="AA2176" s="61"/>
      <c r="AB2176" s="61"/>
    </row>
    <row r="2177" spans="1:28" s="2" customFormat="1" ht="28.5">
      <c r="A2177" s="61" t="s">
        <v>778</v>
      </c>
      <c r="B2177" s="61" t="s">
        <v>1400</v>
      </c>
      <c r="C2177" s="61" t="s">
        <v>1899</v>
      </c>
      <c r="D2177" s="61" t="s">
        <v>7838</v>
      </c>
      <c r="E2177" s="61">
        <v>2171</v>
      </c>
      <c r="F2177" s="61">
        <v>2452</v>
      </c>
      <c r="G2177" s="61"/>
      <c r="H2177" s="61"/>
      <c r="I2177" s="61" t="s">
        <v>1345</v>
      </c>
      <c r="J2177" s="61"/>
      <c r="K2177" s="61" t="s">
        <v>8836</v>
      </c>
      <c r="L2177" s="61"/>
      <c r="M2177" s="61"/>
      <c r="N2177" s="61"/>
      <c r="O2177" s="61"/>
      <c r="P2177" s="61"/>
      <c r="Q2177" s="61"/>
      <c r="R2177" s="61" t="str">
        <f t="shared" si="148"/>
        <v/>
      </c>
      <c r="S2177" s="61" t="str">
        <f t="shared" si="149"/>
        <v/>
      </c>
      <c r="T2177" s="61" t="str">
        <f t="shared" si="147"/>
        <v/>
      </c>
      <c r="U2177" s="61" t="str">
        <f t="shared" si="150"/>
        <v/>
      </c>
      <c r="V2177" s="61"/>
      <c r="W2177" s="61"/>
      <c r="X2177" s="61"/>
      <c r="Y2177" s="61"/>
      <c r="Z2177" s="61"/>
      <c r="AA2177" s="61"/>
      <c r="AB2177" s="61"/>
    </row>
    <row r="2178" spans="1:28" s="2" customFormat="1" ht="28.5">
      <c r="A2178" s="61" t="s">
        <v>778</v>
      </c>
      <c r="B2178" s="61" t="s">
        <v>1400</v>
      </c>
      <c r="C2178" s="61" t="s">
        <v>5661</v>
      </c>
      <c r="D2178" s="61" t="s">
        <v>7838</v>
      </c>
      <c r="E2178" s="61">
        <v>1373</v>
      </c>
      <c r="F2178" s="61">
        <v>1212</v>
      </c>
      <c r="G2178" s="61"/>
      <c r="H2178" s="61"/>
      <c r="I2178" s="61" t="s">
        <v>1345</v>
      </c>
      <c r="J2178" s="61"/>
      <c r="K2178" s="61" t="s">
        <v>8836</v>
      </c>
      <c r="L2178" s="61"/>
      <c r="M2178" s="61"/>
      <c r="N2178" s="61"/>
      <c r="O2178" s="61"/>
      <c r="P2178" s="61"/>
      <c r="Q2178" s="61"/>
      <c r="R2178" s="61" t="str">
        <f t="shared" si="148"/>
        <v/>
      </c>
      <c r="S2178" s="61" t="str">
        <f t="shared" si="149"/>
        <v/>
      </c>
      <c r="T2178" s="61" t="str">
        <f t="shared" si="147"/>
        <v/>
      </c>
      <c r="U2178" s="61" t="str">
        <f t="shared" si="150"/>
        <v/>
      </c>
      <c r="V2178" s="61"/>
      <c r="W2178" s="61"/>
      <c r="X2178" s="61"/>
      <c r="Y2178" s="61"/>
      <c r="Z2178" s="61"/>
      <c r="AA2178" s="61"/>
      <c r="AB2178" s="61"/>
    </row>
    <row r="2179" spans="1:28" s="2" customFormat="1" ht="28.5">
      <c r="A2179" s="61" t="s">
        <v>778</v>
      </c>
      <c r="B2179" s="61" t="s">
        <v>1400</v>
      </c>
      <c r="C2179" s="61" t="s">
        <v>5662</v>
      </c>
      <c r="D2179" s="61" t="s">
        <v>7838</v>
      </c>
      <c r="E2179" s="61">
        <v>3439</v>
      </c>
      <c r="F2179" s="61">
        <v>3262</v>
      </c>
      <c r="G2179" s="61"/>
      <c r="H2179" s="61"/>
      <c r="I2179" s="61" t="s">
        <v>1345</v>
      </c>
      <c r="J2179" s="61"/>
      <c r="K2179" s="61" t="s">
        <v>8836</v>
      </c>
      <c r="L2179" s="61"/>
      <c r="M2179" s="61"/>
      <c r="N2179" s="61"/>
      <c r="O2179" s="61"/>
      <c r="P2179" s="61"/>
      <c r="Q2179" s="61"/>
      <c r="R2179" s="61" t="str">
        <f t="shared" si="148"/>
        <v/>
      </c>
      <c r="S2179" s="61" t="str">
        <f t="shared" si="149"/>
        <v/>
      </c>
      <c r="T2179" s="61" t="str">
        <f t="shared" si="147"/>
        <v/>
      </c>
      <c r="U2179" s="61" t="str">
        <f t="shared" si="150"/>
        <v/>
      </c>
      <c r="V2179" s="61"/>
      <c r="W2179" s="61"/>
      <c r="X2179" s="61"/>
      <c r="Y2179" s="61"/>
      <c r="Z2179" s="61"/>
      <c r="AA2179" s="61"/>
      <c r="AB2179" s="61"/>
    </row>
    <row r="2180" spans="1:28" s="2" customFormat="1" ht="28.5">
      <c r="A2180" s="61" t="s">
        <v>778</v>
      </c>
      <c r="B2180" s="61" t="s">
        <v>1400</v>
      </c>
      <c r="C2180" s="61" t="s">
        <v>5663</v>
      </c>
      <c r="D2180" s="61" t="s">
        <v>7838</v>
      </c>
      <c r="E2180" s="61">
        <v>2216</v>
      </c>
      <c r="F2180" s="61">
        <v>2217</v>
      </c>
      <c r="G2180" s="61"/>
      <c r="H2180" s="61"/>
      <c r="I2180" s="61" t="s">
        <v>1345</v>
      </c>
      <c r="J2180" s="61"/>
      <c r="K2180" s="61" t="s">
        <v>8836</v>
      </c>
      <c r="L2180" s="61"/>
      <c r="M2180" s="61"/>
      <c r="N2180" s="61"/>
      <c r="O2180" s="61"/>
      <c r="P2180" s="61"/>
      <c r="Q2180" s="61"/>
      <c r="R2180" s="61" t="str">
        <f t="shared" si="148"/>
        <v/>
      </c>
      <c r="S2180" s="61" t="str">
        <f t="shared" si="149"/>
        <v/>
      </c>
      <c r="T2180" s="61" t="str">
        <f t="shared" si="147"/>
        <v/>
      </c>
      <c r="U2180" s="61" t="str">
        <f t="shared" si="150"/>
        <v/>
      </c>
      <c r="V2180" s="61"/>
      <c r="W2180" s="61"/>
      <c r="X2180" s="61"/>
      <c r="Y2180" s="61"/>
      <c r="Z2180" s="61"/>
      <c r="AA2180" s="61"/>
      <c r="AB2180" s="61"/>
    </row>
    <row r="2181" spans="1:28" s="2" customFormat="1" ht="28.5">
      <c r="A2181" s="61" t="s">
        <v>778</v>
      </c>
      <c r="B2181" s="61" t="s">
        <v>1400</v>
      </c>
      <c r="C2181" s="61" t="s">
        <v>5664</v>
      </c>
      <c r="D2181" s="61" t="s">
        <v>7838</v>
      </c>
      <c r="E2181" s="61">
        <v>2001</v>
      </c>
      <c r="F2181" s="61">
        <v>1932</v>
      </c>
      <c r="G2181" s="61"/>
      <c r="H2181" s="61"/>
      <c r="I2181" s="61" t="s">
        <v>1345</v>
      </c>
      <c r="J2181" s="61"/>
      <c r="K2181" s="61" t="s">
        <v>8836</v>
      </c>
      <c r="L2181" s="61"/>
      <c r="M2181" s="61"/>
      <c r="N2181" s="61"/>
      <c r="O2181" s="61"/>
      <c r="P2181" s="61"/>
      <c r="Q2181" s="61"/>
      <c r="R2181" s="61" t="str">
        <f t="shared" si="148"/>
        <v/>
      </c>
      <c r="S2181" s="61" t="str">
        <f t="shared" si="149"/>
        <v/>
      </c>
      <c r="T2181" s="61" t="str">
        <f t="shared" si="147"/>
        <v/>
      </c>
      <c r="U2181" s="61" t="str">
        <f t="shared" si="150"/>
        <v/>
      </c>
      <c r="V2181" s="61"/>
      <c r="W2181" s="61"/>
      <c r="X2181" s="61"/>
      <c r="Y2181" s="61"/>
      <c r="Z2181" s="61"/>
      <c r="AA2181" s="61"/>
      <c r="AB2181" s="61"/>
    </row>
    <row r="2182" spans="1:28" s="2" customFormat="1" ht="28.5">
      <c r="A2182" s="61" t="s">
        <v>778</v>
      </c>
      <c r="B2182" s="61" t="s">
        <v>1400</v>
      </c>
      <c r="C2182" s="61" t="s">
        <v>1424</v>
      </c>
      <c r="D2182" s="61" t="s">
        <v>7838</v>
      </c>
      <c r="E2182" s="61">
        <v>901</v>
      </c>
      <c r="F2182" s="61">
        <v>856</v>
      </c>
      <c r="G2182" s="61">
        <v>2025</v>
      </c>
      <c r="H2182" s="61" t="s">
        <v>3128</v>
      </c>
      <c r="I2182" s="61" t="s">
        <v>1345</v>
      </c>
      <c r="J2182" s="61"/>
      <c r="K2182" s="61" t="s">
        <v>8836</v>
      </c>
      <c r="L2182" s="61" t="s">
        <v>8922</v>
      </c>
      <c r="M2182" s="475">
        <v>45940</v>
      </c>
      <c r="N2182" s="475">
        <v>45945</v>
      </c>
      <c r="O2182" s="61"/>
      <c r="P2182" s="475">
        <v>45945</v>
      </c>
      <c r="Q2182" s="475">
        <v>45950</v>
      </c>
      <c r="R2182" s="61">
        <f t="shared" si="148"/>
        <v>3</v>
      </c>
      <c r="S2182" s="61" t="str">
        <f t="shared" si="149"/>
        <v/>
      </c>
      <c r="T2182" s="61">
        <f t="shared" si="147"/>
        <v>1</v>
      </c>
      <c r="U2182" s="61">
        <f t="shared" si="150"/>
        <v>3</v>
      </c>
      <c r="V2182" s="61" t="s">
        <v>150</v>
      </c>
      <c r="W2182" s="61" t="s">
        <v>4</v>
      </c>
      <c r="X2182" s="61" t="s">
        <v>57</v>
      </c>
      <c r="Y2182" s="61" t="s">
        <v>69</v>
      </c>
      <c r="Z2182" s="61" t="s">
        <v>69</v>
      </c>
      <c r="AA2182" s="61" t="s">
        <v>330</v>
      </c>
      <c r="AB2182" s="61" t="s">
        <v>8923</v>
      </c>
    </row>
    <row r="2183" spans="1:28" s="2" customFormat="1" ht="28.5">
      <c r="A2183" s="61" t="s">
        <v>778</v>
      </c>
      <c r="B2183" s="61" t="s">
        <v>1400</v>
      </c>
      <c r="C2183" s="61" t="s">
        <v>3727</v>
      </c>
      <c r="D2183" s="61" t="s">
        <v>7838</v>
      </c>
      <c r="E2183" s="61">
        <v>3660</v>
      </c>
      <c r="F2183" s="61">
        <v>3604</v>
      </c>
      <c r="G2183" s="61"/>
      <c r="H2183" s="61"/>
      <c r="I2183" s="61" t="s">
        <v>1345</v>
      </c>
      <c r="J2183" s="61"/>
      <c r="K2183" s="61" t="s">
        <v>8836</v>
      </c>
      <c r="L2183" s="61"/>
      <c r="M2183" s="61"/>
      <c r="N2183" s="61"/>
      <c r="O2183" s="61"/>
      <c r="P2183" s="61"/>
      <c r="Q2183" s="61"/>
      <c r="R2183" s="61" t="str">
        <f t="shared" si="148"/>
        <v/>
      </c>
      <c r="S2183" s="61" t="str">
        <f t="shared" si="149"/>
        <v/>
      </c>
      <c r="T2183" s="61" t="str">
        <f t="shared" si="147"/>
        <v/>
      </c>
      <c r="U2183" s="61" t="str">
        <f t="shared" si="150"/>
        <v/>
      </c>
      <c r="V2183" s="61"/>
      <c r="W2183" s="61"/>
      <c r="X2183" s="61"/>
      <c r="Y2183" s="61"/>
      <c r="Z2183" s="61"/>
      <c r="AA2183" s="61"/>
      <c r="AB2183" s="61"/>
    </row>
    <row r="2184" spans="1:28" s="2" customFormat="1" ht="28.5">
      <c r="A2184" s="61" t="s">
        <v>778</v>
      </c>
      <c r="B2184" s="61" t="s">
        <v>1400</v>
      </c>
      <c r="C2184" s="61" t="s">
        <v>5665</v>
      </c>
      <c r="D2184" s="61" t="s">
        <v>7838</v>
      </c>
      <c r="E2184" s="61">
        <v>3022</v>
      </c>
      <c r="F2184" s="61">
        <v>3251</v>
      </c>
      <c r="G2184" s="61"/>
      <c r="H2184" s="61"/>
      <c r="I2184" s="61" t="s">
        <v>1345</v>
      </c>
      <c r="J2184" s="61"/>
      <c r="K2184" s="61" t="s">
        <v>8836</v>
      </c>
      <c r="L2184" s="61"/>
      <c r="M2184" s="61"/>
      <c r="N2184" s="61"/>
      <c r="O2184" s="61"/>
      <c r="P2184" s="61"/>
      <c r="Q2184" s="61"/>
      <c r="R2184" s="61" t="str">
        <f t="shared" si="148"/>
        <v/>
      </c>
      <c r="S2184" s="61" t="str">
        <f t="shared" si="149"/>
        <v/>
      </c>
      <c r="T2184" s="61" t="str">
        <f t="shared" si="147"/>
        <v/>
      </c>
      <c r="U2184" s="61" t="str">
        <f t="shared" si="150"/>
        <v/>
      </c>
      <c r="V2184" s="61"/>
      <c r="W2184" s="61"/>
      <c r="X2184" s="61"/>
      <c r="Y2184" s="61"/>
      <c r="Z2184" s="61"/>
      <c r="AA2184" s="61"/>
      <c r="AB2184" s="61"/>
    </row>
    <row r="2185" spans="1:28" s="2" customFormat="1" ht="28.5">
      <c r="A2185" s="61" t="s">
        <v>778</v>
      </c>
      <c r="B2185" s="61" t="s">
        <v>1400</v>
      </c>
      <c r="C2185" s="61" t="s">
        <v>5666</v>
      </c>
      <c r="D2185" s="61" t="s">
        <v>7838</v>
      </c>
      <c r="E2185" s="61">
        <v>1719</v>
      </c>
      <c r="F2185" s="61">
        <v>1835</v>
      </c>
      <c r="G2185" s="61"/>
      <c r="H2185" s="61"/>
      <c r="I2185" s="61" t="s">
        <v>1345</v>
      </c>
      <c r="J2185" s="61"/>
      <c r="K2185" s="61" t="s">
        <v>8836</v>
      </c>
      <c r="L2185" s="61"/>
      <c r="M2185" s="61"/>
      <c r="N2185" s="61"/>
      <c r="O2185" s="61"/>
      <c r="P2185" s="61"/>
      <c r="Q2185" s="61"/>
      <c r="R2185" s="61" t="str">
        <f t="shared" si="148"/>
        <v/>
      </c>
      <c r="S2185" s="61" t="str">
        <f t="shared" si="149"/>
        <v/>
      </c>
      <c r="T2185" s="61" t="str">
        <f t="shared" si="147"/>
        <v/>
      </c>
      <c r="U2185" s="61" t="str">
        <f t="shared" si="150"/>
        <v/>
      </c>
      <c r="V2185" s="61"/>
      <c r="W2185" s="61"/>
      <c r="X2185" s="61"/>
      <c r="Y2185" s="61"/>
      <c r="Z2185" s="61"/>
      <c r="AA2185" s="61"/>
      <c r="AB2185" s="61"/>
    </row>
    <row r="2186" spans="1:28" s="2" customFormat="1" ht="28.5">
      <c r="A2186" s="61" t="s">
        <v>778</v>
      </c>
      <c r="B2186" s="61" t="s">
        <v>1404</v>
      </c>
      <c r="C2186" s="61" t="s">
        <v>5418</v>
      </c>
      <c r="D2186" s="61" t="s">
        <v>7838</v>
      </c>
      <c r="E2186" s="61">
        <v>2690</v>
      </c>
      <c r="F2186" s="61">
        <v>2638</v>
      </c>
      <c r="G2186" s="61">
        <v>2025</v>
      </c>
      <c r="H2186" s="61" t="s">
        <v>3689</v>
      </c>
      <c r="I2186" s="61" t="s">
        <v>32</v>
      </c>
      <c r="J2186" s="61" t="s">
        <v>28</v>
      </c>
      <c r="K2186" s="61" t="s">
        <v>148</v>
      </c>
      <c r="L2186" s="61" t="s">
        <v>8924</v>
      </c>
      <c r="M2186" s="475">
        <v>45812</v>
      </c>
      <c r="N2186" s="475">
        <v>45812</v>
      </c>
      <c r="O2186" s="475">
        <v>45818</v>
      </c>
      <c r="P2186" s="475">
        <v>45826</v>
      </c>
      <c r="Q2186" s="475">
        <v>45826</v>
      </c>
      <c r="R2186" s="61">
        <f t="shared" si="148"/>
        <v>1</v>
      </c>
      <c r="S2186" s="61">
        <f t="shared" si="149"/>
        <v>4</v>
      </c>
      <c r="T2186" s="61">
        <f t="shared" si="147"/>
        <v>10</v>
      </c>
      <c r="U2186" s="61">
        <f t="shared" si="150"/>
        <v>1</v>
      </c>
      <c r="V2186" s="61" t="s">
        <v>150</v>
      </c>
      <c r="W2186" s="61" t="s">
        <v>4</v>
      </c>
      <c r="X2186" s="61" t="s">
        <v>8925</v>
      </c>
      <c r="Y2186" s="61">
        <v>120.08716</v>
      </c>
      <c r="Z2186" s="61">
        <v>120.71442999999999</v>
      </c>
      <c r="AA2186" s="61" t="s">
        <v>182</v>
      </c>
      <c r="AB2186" s="61"/>
    </row>
    <row r="2187" spans="1:28" s="2" customFormat="1" ht="28.5">
      <c r="A2187" s="61" t="s">
        <v>778</v>
      </c>
      <c r="B2187" s="61" t="s">
        <v>1404</v>
      </c>
      <c r="C2187" s="61" t="s">
        <v>4261</v>
      </c>
      <c r="D2187" s="61" t="s">
        <v>7838</v>
      </c>
      <c r="E2187" s="61">
        <v>3621</v>
      </c>
      <c r="F2187" s="61">
        <v>4163</v>
      </c>
      <c r="G2187" s="61"/>
      <c r="H2187" s="61" t="s">
        <v>3458</v>
      </c>
      <c r="I2187" s="61" t="s">
        <v>32</v>
      </c>
      <c r="J2187" s="61"/>
      <c r="K2187" s="61" t="s">
        <v>8836</v>
      </c>
      <c r="L2187" s="480"/>
      <c r="M2187" s="475"/>
      <c r="N2187" s="475"/>
      <c r="O2187" s="475"/>
      <c r="P2187" s="475"/>
      <c r="Q2187" s="475"/>
      <c r="R2187" s="61" t="str">
        <f t="shared" si="148"/>
        <v/>
      </c>
      <c r="S2187" s="61" t="str">
        <f t="shared" si="149"/>
        <v/>
      </c>
      <c r="T2187" s="61" t="str">
        <f t="shared" si="147"/>
        <v/>
      </c>
      <c r="U2187" s="61" t="str">
        <f t="shared" si="150"/>
        <v/>
      </c>
      <c r="V2187" s="61"/>
      <c r="W2187" s="61" t="s">
        <v>1078</v>
      </c>
      <c r="X2187" s="61" t="s">
        <v>50</v>
      </c>
      <c r="Y2187" s="61"/>
      <c r="Z2187" s="61"/>
      <c r="AA2187" s="61" t="s">
        <v>182</v>
      </c>
      <c r="AB2187" s="61"/>
    </row>
    <row r="2188" spans="1:28" s="2" customFormat="1" ht="28.5">
      <c r="A2188" s="61" t="s">
        <v>778</v>
      </c>
      <c r="B2188" s="61" t="s">
        <v>1404</v>
      </c>
      <c r="C2188" s="61" t="s">
        <v>1465</v>
      </c>
      <c r="D2188" s="61" t="s">
        <v>7838</v>
      </c>
      <c r="E2188" s="61">
        <v>5065</v>
      </c>
      <c r="F2188" s="61">
        <v>5858</v>
      </c>
      <c r="G2188" s="61">
        <v>2025</v>
      </c>
      <c r="H2188" s="61" t="s">
        <v>3470</v>
      </c>
      <c r="I2188" s="61" t="s">
        <v>32</v>
      </c>
      <c r="J2188" s="61"/>
      <c r="K2188" s="61" t="s">
        <v>148</v>
      </c>
      <c r="L2188" s="61" t="s">
        <v>8926</v>
      </c>
      <c r="M2188" s="475">
        <v>45757</v>
      </c>
      <c r="N2188" s="475">
        <v>45760</v>
      </c>
      <c r="O2188" s="61"/>
      <c r="P2188" s="475">
        <v>45762</v>
      </c>
      <c r="Q2188" s="475">
        <v>45768</v>
      </c>
      <c r="R2188" s="61">
        <f t="shared" si="148"/>
        <v>1</v>
      </c>
      <c r="S2188" s="61" t="str">
        <f t="shared" si="149"/>
        <v/>
      </c>
      <c r="T2188" s="61">
        <f t="shared" si="147"/>
        <v>1</v>
      </c>
      <c r="U2188" s="61">
        <f t="shared" si="150"/>
        <v>4</v>
      </c>
      <c r="V2188" s="61" t="s">
        <v>150</v>
      </c>
      <c r="W2188" s="61" t="s">
        <v>3527</v>
      </c>
      <c r="X2188" s="61" t="s">
        <v>3528</v>
      </c>
      <c r="Y2188" s="61">
        <v>15.14143</v>
      </c>
      <c r="Z2188" s="61">
        <v>120.69206</v>
      </c>
      <c r="AA2188" s="61" t="s">
        <v>182</v>
      </c>
      <c r="AB2188" s="61"/>
    </row>
    <row r="2189" spans="1:28" s="2" customFormat="1" ht="28.5">
      <c r="A2189" s="61" t="s">
        <v>778</v>
      </c>
      <c r="B2189" s="61" t="s">
        <v>1404</v>
      </c>
      <c r="C2189" s="61" t="s">
        <v>5672</v>
      </c>
      <c r="D2189" s="61" t="s">
        <v>7838</v>
      </c>
      <c r="E2189" s="61">
        <v>2277</v>
      </c>
      <c r="F2189" s="61">
        <v>2617</v>
      </c>
      <c r="G2189" s="61">
        <v>2025</v>
      </c>
      <c r="H2189" s="61" t="s">
        <v>3532</v>
      </c>
      <c r="I2189" s="61" t="s">
        <v>32</v>
      </c>
      <c r="J2189" s="61"/>
      <c r="K2189" s="61" t="s">
        <v>148</v>
      </c>
      <c r="L2189" s="61" t="s">
        <v>8927</v>
      </c>
      <c r="M2189" s="475">
        <v>45792</v>
      </c>
      <c r="N2189" s="475">
        <v>45792</v>
      </c>
      <c r="O2189" s="61"/>
      <c r="P2189" s="475">
        <v>45793</v>
      </c>
      <c r="Q2189" s="475">
        <v>45793</v>
      </c>
      <c r="R2189" s="61">
        <f t="shared" si="148"/>
        <v>1</v>
      </c>
      <c r="S2189" s="61" t="str">
        <f t="shared" si="149"/>
        <v/>
      </c>
      <c r="T2189" s="61">
        <f t="shared" si="147"/>
        <v>1</v>
      </c>
      <c r="U2189" s="61">
        <f t="shared" si="150"/>
        <v>1</v>
      </c>
      <c r="V2189" s="61" t="s">
        <v>150</v>
      </c>
      <c r="W2189" s="61" t="s">
        <v>3527</v>
      </c>
      <c r="X2189" s="61" t="s">
        <v>3528</v>
      </c>
      <c r="Y2189" s="61">
        <v>15.094150000000001</v>
      </c>
      <c r="Z2189" s="61">
        <v>120.68357</v>
      </c>
      <c r="AA2189" s="61" t="s">
        <v>182</v>
      </c>
      <c r="AB2189" s="61"/>
    </row>
    <row r="2190" spans="1:28" s="2" customFormat="1" ht="28.5">
      <c r="A2190" s="61" t="s">
        <v>778</v>
      </c>
      <c r="B2190" s="61" t="s">
        <v>1404</v>
      </c>
      <c r="C2190" s="61" t="s">
        <v>5673</v>
      </c>
      <c r="D2190" s="61" t="s">
        <v>7838</v>
      </c>
      <c r="E2190" s="61">
        <v>649</v>
      </c>
      <c r="F2190" s="61">
        <v>863</v>
      </c>
      <c r="G2190" s="61">
        <v>2025</v>
      </c>
      <c r="H2190" s="61" t="s">
        <v>3470</v>
      </c>
      <c r="I2190" s="61" t="s">
        <v>32</v>
      </c>
      <c r="J2190" s="61"/>
      <c r="K2190" s="61" t="s">
        <v>148</v>
      </c>
      <c r="L2190" s="61" t="s">
        <v>8928</v>
      </c>
      <c r="M2190" s="475">
        <v>45757</v>
      </c>
      <c r="N2190" s="475">
        <v>45760</v>
      </c>
      <c r="O2190" s="61"/>
      <c r="P2190" s="475">
        <v>45762</v>
      </c>
      <c r="Q2190" s="475">
        <v>45768</v>
      </c>
      <c r="R2190" s="61">
        <f t="shared" si="148"/>
        <v>1</v>
      </c>
      <c r="S2190" s="61" t="str">
        <f t="shared" si="149"/>
        <v/>
      </c>
      <c r="T2190" s="61">
        <f t="shared" si="147"/>
        <v>1</v>
      </c>
      <c r="U2190" s="61">
        <f t="shared" si="150"/>
        <v>4</v>
      </c>
      <c r="V2190" s="61" t="s">
        <v>150</v>
      </c>
      <c r="W2190" s="61" t="s">
        <v>3527</v>
      </c>
      <c r="X2190" s="61" t="s">
        <v>3528</v>
      </c>
      <c r="Y2190" s="61">
        <v>15.126200000000001</v>
      </c>
      <c r="Z2190" s="61">
        <v>120.65801</v>
      </c>
      <c r="AA2190" s="61" t="s">
        <v>182</v>
      </c>
      <c r="AB2190" s="61"/>
    </row>
    <row r="2191" spans="1:28" s="2" customFormat="1" ht="28.5">
      <c r="A2191" s="61" t="s">
        <v>778</v>
      </c>
      <c r="B2191" s="61" t="s">
        <v>1404</v>
      </c>
      <c r="C2191" s="61" t="s">
        <v>5683</v>
      </c>
      <c r="D2191" s="61" t="s">
        <v>7838</v>
      </c>
      <c r="E2191" s="61">
        <v>4231</v>
      </c>
      <c r="F2191" s="61">
        <v>5756</v>
      </c>
      <c r="G2191" s="61">
        <v>2025</v>
      </c>
      <c r="H2191" s="61" t="s">
        <v>3470</v>
      </c>
      <c r="I2191" s="61" t="s">
        <v>32</v>
      </c>
      <c r="J2191" s="61"/>
      <c r="K2191" s="61" t="s">
        <v>148</v>
      </c>
      <c r="L2191" s="61" t="s">
        <v>8929</v>
      </c>
      <c r="M2191" s="475">
        <v>45757</v>
      </c>
      <c r="N2191" s="475">
        <v>45760</v>
      </c>
      <c r="O2191" s="61"/>
      <c r="P2191" s="475">
        <v>45762</v>
      </c>
      <c r="Q2191" s="475">
        <v>45768</v>
      </c>
      <c r="R2191" s="61">
        <f t="shared" si="148"/>
        <v>1</v>
      </c>
      <c r="S2191" s="61" t="str">
        <f t="shared" si="149"/>
        <v/>
      </c>
      <c r="T2191" s="61">
        <f t="shared" si="147"/>
        <v>1</v>
      </c>
      <c r="U2191" s="61">
        <f t="shared" si="150"/>
        <v>4</v>
      </c>
      <c r="V2191" s="61" t="s">
        <v>150</v>
      </c>
      <c r="W2191" s="61" t="s">
        <v>3527</v>
      </c>
      <c r="X2191" s="61" t="s">
        <v>3528</v>
      </c>
      <c r="Y2191" s="61">
        <v>15.06603</v>
      </c>
      <c r="Z2191" s="61">
        <v>120.71853</v>
      </c>
      <c r="AA2191" s="61" t="s">
        <v>182</v>
      </c>
      <c r="AB2191" s="61"/>
    </row>
    <row r="2192" spans="1:28" s="2" customFormat="1" ht="28.5">
      <c r="A2192" s="61" t="s">
        <v>778</v>
      </c>
      <c r="B2192" s="61" t="s">
        <v>1404</v>
      </c>
      <c r="C2192" s="61" t="s">
        <v>3974</v>
      </c>
      <c r="D2192" s="61" t="s">
        <v>7838</v>
      </c>
      <c r="E2192" s="61">
        <v>1155</v>
      </c>
      <c r="F2192" s="61">
        <v>1341</v>
      </c>
      <c r="G2192" s="61">
        <v>2025</v>
      </c>
      <c r="H2192" s="61" t="s">
        <v>3470</v>
      </c>
      <c r="I2192" s="61" t="s">
        <v>32</v>
      </c>
      <c r="J2192" s="61"/>
      <c r="K2192" s="61" t="s">
        <v>148</v>
      </c>
      <c r="L2192" s="61" t="s">
        <v>8930</v>
      </c>
      <c r="M2192" s="475">
        <v>45757</v>
      </c>
      <c r="N2192" s="475">
        <v>45760</v>
      </c>
      <c r="O2192" s="61"/>
      <c r="P2192" s="475">
        <v>45762</v>
      </c>
      <c r="Q2192" s="475">
        <v>45768</v>
      </c>
      <c r="R2192" s="61">
        <f t="shared" si="148"/>
        <v>1</v>
      </c>
      <c r="S2192" s="61" t="str">
        <f t="shared" si="149"/>
        <v/>
      </c>
      <c r="T2192" s="61">
        <f t="shared" si="147"/>
        <v>1</v>
      </c>
      <c r="U2192" s="61">
        <f t="shared" si="150"/>
        <v>4</v>
      </c>
      <c r="V2192" s="61" t="s">
        <v>150</v>
      </c>
      <c r="W2192" s="61" t="s">
        <v>3527</v>
      </c>
      <c r="X2192" s="61" t="s">
        <v>3528</v>
      </c>
      <c r="Y2192" s="61">
        <v>15.07089</v>
      </c>
      <c r="Z2192" s="61">
        <v>120.76577</v>
      </c>
      <c r="AA2192" s="61" t="s">
        <v>182</v>
      </c>
      <c r="AB2192" s="61"/>
    </row>
    <row r="2193" spans="1:28" s="2" customFormat="1" ht="28.5">
      <c r="A2193" s="61" t="s">
        <v>778</v>
      </c>
      <c r="B2193" s="61" t="s">
        <v>1404</v>
      </c>
      <c r="C2193" s="61" t="s">
        <v>5667</v>
      </c>
      <c r="D2193" s="61" t="s">
        <v>7838</v>
      </c>
      <c r="E2193" s="61">
        <v>2932</v>
      </c>
      <c r="F2193" s="61">
        <v>2922</v>
      </c>
      <c r="G2193" s="61"/>
      <c r="H2193" s="61"/>
      <c r="I2193" s="61" t="s">
        <v>32</v>
      </c>
      <c r="J2193" s="61"/>
      <c r="K2193" s="61" t="s">
        <v>8836</v>
      </c>
      <c r="L2193" s="61"/>
      <c r="M2193" s="61"/>
      <c r="N2193" s="61"/>
      <c r="O2193" s="61"/>
      <c r="P2193" s="61"/>
      <c r="Q2193" s="61"/>
      <c r="R2193" s="61" t="str">
        <f t="shared" si="148"/>
        <v/>
      </c>
      <c r="S2193" s="61" t="str">
        <f t="shared" si="149"/>
        <v/>
      </c>
      <c r="T2193" s="61" t="str">
        <f t="shared" si="147"/>
        <v/>
      </c>
      <c r="U2193" s="61" t="str">
        <f t="shared" si="150"/>
        <v/>
      </c>
      <c r="V2193" s="61"/>
      <c r="W2193" s="61"/>
      <c r="X2193" s="61"/>
      <c r="Y2193" s="61"/>
      <c r="Z2193" s="61"/>
      <c r="AA2193" s="61"/>
      <c r="AB2193" s="61"/>
    </row>
    <row r="2194" spans="1:28" s="2" customFormat="1" ht="28.5">
      <c r="A2194" s="61" t="s">
        <v>778</v>
      </c>
      <c r="B2194" s="61" t="s">
        <v>1404</v>
      </c>
      <c r="C2194" s="61" t="s">
        <v>3508</v>
      </c>
      <c r="D2194" s="61" t="s">
        <v>7838</v>
      </c>
      <c r="E2194" s="61">
        <v>1211</v>
      </c>
      <c r="F2194" s="61">
        <v>1320</v>
      </c>
      <c r="G2194" s="61"/>
      <c r="H2194" s="61"/>
      <c r="I2194" s="61" t="s">
        <v>32</v>
      </c>
      <c r="J2194" s="61"/>
      <c r="K2194" s="61" t="s">
        <v>8836</v>
      </c>
      <c r="L2194" s="61"/>
      <c r="M2194" s="61"/>
      <c r="N2194" s="61"/>
      <c r="O2194" s="61"/>
      <c r="P2194" s="61"/>
      <c r="Q2194" s="61"/>
      <c r="R2194" s="61" t="str">
        <f t="shared" si="148"/>
        <v/>
      </c>
      <c r="S2194" s="61" t="str">
        <f t="shared" si="149"/>
        <v/>
      </c>
      <c r="T2194" s="61" t="str">
        <f t="shared" si="147"/>
        <v/>
      </c>
      <c r="U2194" s="61" t="str">
        <f t="shared" si="150"/>
        <v/>
      </c>
      <c r="V2194" s="61"/>
      <c r="W2194" s="61"/>
      <c r="X2194" s="61"/>
      <c r="Y2194" s="61"/>
      <c r="Z2194" s="61"/>
      <c r="AA2194" s="61"/>
      <c r="AB2194" s="61"/>
    </row>
    <row r="2195" spans="1:28" s="2" customFormat="1" ht="28.5">
      <c r="A2195" s="61" t="s">
        <v>778</v>
      </c>
      <c r="B2195" s="61" t="s">
        <v>1404</v>
      </c>
      <c r="C2195" s="61" t="s">
        <v>5668</v>
      </c>
      <c r="D2195" s="61" t="s">
        <v>7838</v>
      </c>
      <c r="E2195" s="61">
        <v>2744</v>
      </c>
      <c r="F2195" s="61">
        <v>2835</v>
      </c>
      <c r="G2195" s="61"/>
      <c r="H2195" s="61"/>
      <c r="I2195" s="61" t="s">
        <v>32</v>
      </c>
      <c r="J2195" s="61"/>
      <c r="K2195" s="61" t="s">
        <v>8836</v>
      </c>
      <c r="L2195" s="61"/>
      <c r="M2195" s="61"/>
      <c r="N2195" s="61"/>
      <c r="O2195" s="61"/>
      <c r="P2195" s="61"/>
      <c r="Q2195" s="61"/>
      <c r="R2195" s="61" t="str">
        <f t="shared" si="148"/>
        <v/>
      </c>
      <c r="S2195" s="61" t="str">
        <f t="shared" si="149"/>
        <v/>
      </c>
      <c r="T2195" s="61" t="str">
        <f t="shared" ref="T2195:T2258" si="151">IF(
  OR(A2195 = "Nueva_Ecija", A2195 = "Zambales"),
  IF(
    OR(ISBLANK(O2195), ISBLANK(P2195)),
    "",
    MAX(1, IF(
      NETWORKDAYS(O2195, P2195) &lt;= 0,
      1,
      NETWORKDAYS(O2195, P2195) - IF(O2195 = P2195, 0, 1)
    ))
  ),
  IF(
    OR(ISBLANK(N2195), ISBLANK(P2195)),
    "",
    MAX(1, IF(
      NETWORKDAYS(N2195, P2195) &lt;= 0,
      1,
      NETWORKDAYS(N2195, P2195) - IF(N2195 = P2195, 0, 1)
    ))
  )
)</f>
        <v/>
      </c>
      <c r="U2195" s="61" t="str">
        <f t="shared" si="150"/>
        <v/>
      </c>
      <c r="V2195" s="61"/>
      <c r="W2195" s="61"/>
      <c r="X2195" s="61"/>
      <c r="Y2195" s="61"/>
      <c r="Z2195" s="61"/>
      <c r="AA2195" s="61"/>
      <c r="AB2195" s="61"/>
    </row>
    <row r="2196" spans="1:28" s="2" customFormat="1" ht="28.5">
      <c r="A2196" s="61" t="s">
        <v>778</v>
      </c>
      <c r="B2196" s="61" t="s">
        <v>1404</v>
      </c>
      <c r="C2196" s="61" t="s">
        <v>5670</v>
      </c>
      <c r="D2196" s="61" t="s">
        <v>7838</v>
      </c>
      <c r="E2196" s="61">
        <v>1158</v>
      </c>
      <c r="F2196" s="61">
        <v>1239</v>
      </c>
      <c r="G2196" s="61"/>
      <c r="H2196" s="61"/>
      <c r="I2196" s="61" t="s">
        <v>32</v>
      </c>
      <c r="J2196" s="61"/>
      <c r="K2196" s="61" t="s">
        <v>8836</v>
      </c>
      <c r="L2196" s="61"/>
      <c r="M2196" s="61"/>
      <c r="N2196" s="61"/>
      <c r="O2196" s="61"/>
      <c r="P2196" s="61"/>
      <c r="Q2196" s="61"/>
      <c r="R2196" s="61" t="str">
        <f t="shared" si="148"/>
        <v/>
      </c>
      <c r="S2196" s="61" t="str">
        <f t="shared" si="149"/>
        <v/>
      </c>
      <c r="T2196" s="61" t="str">
        <f t="shared" si="151"/>
        <v/>
      </c>
      <c r="U2196" s="61" t="str">
        <f t="shared" si="150"/>
        <v/>
      </c>
      <c r="V2196" s="61"/>
      <c r="W2196" s="61"/>
      <c r="X2196" s="61"/>
      <c r="Y2196" s="61"/>
      <c r="Z2196" s="61"/>
      <c r="AA2196" s="61"/>
      <c r="AB2196" s="61"/>
    </row>
    <row r="2197" spans="1:28" s="2" customFormat="1" ht="28.5">
      <c r="A2197" s="61" t="s">
        <v>778</v>
      </c>
      <c r="B2197" s="61" t="s">
        <v>1404</v>
      </c>
      <c r="C2197" s="61" t="s">
        <v>1185</v>
      </c>
      <c r="D2197" s="61" t="s">
        <v>7838</v>
      </c>
      <c r="E2197" s="61">
        <v>1900</v>
      </c>
      <c r="F2197" s="61">
        <v>2252</v>
      </c>
      <c r="G2197" s="61"/>
      <c r="H2197" s="61"/>
      <c r="I2197" s="61" t="s">
        <v>32</v>
      </c>
      <c r="J2197" s="61"/>
      <c r="K2197" s="61" t="s">
        <v>8836</v>
      </c>
      <c r="L2197" s="61"/>
      <c r="M2197" s="61"/>
      <c r="N2197" s="61"/>
      <c r="O2197" s="61"/>
      <c r="P2197" s="61"/>
      <c r="Q2197" s="61"/>
      <c r="R2197" s="61" t="str">
        <f t="shared" si="148"/>
        <v/>
      </c>
      <c r="S2197" s="61" t="str">
        <f t="shared" si="149"/>
        <v/>
      </c>
      <c r="T2197" s="61" t="str">
        <f t="shared" si="151"/>
        <v/>
      </c>
      <c r="U2197" s="61" t="str">
        <f t="shared" si="150"/>
        <v/>
      </c>
      <c r="V2197" s="61"/>
      <c r="W2197" s="61"/>
      <c r="X2197" s="61"/>
      <c r="Y2197" s="61"/>
      <c r="Z2197" s="61"/>
      <c r="AA2197" s="61"/>
      <c r="AB2197" s="61"/>
    </row>
    <row r="2198" spans="1:28" s="2" customFormat="1" ht="28.5">
      <c r="A2198" s="61" t="s">
        <v>778</v>
      </c>
      <c r="B2198" s="61" t="s">
        <v>1404</v>
      </c>
      <c r="C2198" s="61" t="s">
        <v>5671</v>
      </c>
      <c r="D2198" s="61" t="s">
        <v>7838</v>
      </c>
      <c r="E2198" s="61">
        <v>2565</v>
      </c>
      <c r="F2198" s="61">
        <v>3086</v>
      </c>
      <c r="G2198" s="61"/>
      <c r="H2198" s="61"/>
      <c r="I2198" s="61" t="s">
        <v>32</v>
      </c>
      <c r="J2198" s="61"/>
      <c r="K2198" s="61" t="s">
        <v>8836</v>
      </c>
      <c r="L2198" s="61"/>
      <c r="M2198" s="61"/>
      <c r="N2198" s="61"/>
      <c r="O2198" s="61"/>
      <c r="P2198" s="61"/>
      <c r="Q2198" s="61"/>
      <c r="R2198" s="61" t="str">
        <f t="shared" si="148"/>
        <v/>
      </c>
      <c r="S2198" s="61" t="str">
        <f t="shared" si="149"/>
        <v/>
      </c>
      <c r="T2198" s="61" t="str">
        <f t="shared" si="151"/>
        <v/>
      </c>
      <c r="U2198" s="61" t="str">
        <f t="shared" si="150"/>
        <v/>
      </c>
      <c r="V2198" s="61"/>
      <c r="W2198" s="61"/>
      <c r="X2198" s="61"/>
      <c r="Y2198" s="61"/>
      <c r="Z2198" s="61"/>
      <c r="AA2198" s="61"/>
      <c r="AB2198" s="61"/>
    </row>
    <row r="2199" spans="1:28" s="2" customFormat="1" ht="28.5">
      <c r="A2199" s="61" t="s">
        <v>778</v>
      </c>
      <c r="B2199" s="61" t="s">
        <v>1404</v>
      </c>
      <c r="C2199" s="61" t="s">
        <v>5197</v>
      </c>
      <c r="D2199" s="61" t="s">
        <v>7838</v>
      </c>
      <c r="E2199" s="61">
        <v>2373</v>
      </c>
      <c r="F2199" s="61">
        <v>2513</v>
      </c>
      <c r="G2199" s="61"/>
      <c r="H2199" s="61"/>
      <c r="I2199" s="61" t="s">
        <v>32</v>
      </c>
      <c r="J2199" s="61"/>
      <c r="K2199" s="61" t="s">
        <v>8836</v>
      </c>
      <c r="L2199" s="61"/>
      <c r="M2199" s="61"/>
      <c r="N2199" s="61"/>
      <c r="O2199" s="61"/>
      <c r="P2199" s="61"/>
      <c r="Q2199" s="61"/>
      <c r="R2199" s="61" t="str">
        <f t="shared" si="148"/>
        <v/>
      </c>
      <c r="S2199" s="61" t="str">
        <f t="shared" si="149"/>
        <v/>
      </c>
      <c r="T2199" s="61" t="str">
        <f t="shared" si="151"/>
        <v/>
      </c>
      <c r="U2199" s="61" t="str">
        <f t="shared" si="150"/>
        <v/>
      </c>
      <c r="V2199" s="61"/>
      <c r="W2199" s="61"/>
      <c r="X2199" s="61"/>
      <c r="Y2199" s="61"/>
      <c r="Z2199" s="61"/>
      <c r="AA2199" s="61"/>
      <c r="AB2199" s="61"/>
    </row>
    <row r="2200" spans="1:28" s="2" customFormat="1" ht="28.5">
      <c r="A2200" s="61" t="s">
        <v>778</v>
      </c>
      <c r="B2200" s="61" t="s">
        <v>1404</v>
      </c>
      <c r="C2200" s="61" t="s">
        <v>5675</v>
      </c>
      <c r="D2200" s="61" t="s">
        <v>7838</v>
      </c>
      <c r="E2200" s="61">
        <v>706</v>
      </c>
      <c r="F2200" s="61">
        <v>848</v>
      </c>
      <c r="G2200" s="61"/>
      <c r="H2200" s="61"/>
      <c r="I2200" s="61" t="s">
        <v>32</v>
      </c>
      <c r="J2200" s="61"/>
      <c r="K2200" s="61" t="s">
        <v>8836</v>
      </c>
      <c r="L2200" s="634"/>
      <c r="M2200" s="61"/>
      <c r="N2200" s="634"/>
      <c r="O2200" s="634"/>
      <c r="P2200" s="634"/>
      <c r="Q2200" s="634"/>
      <c r="R2200" s="61" t="str">
        <f t="shared" ref="R2200:R2263" si="152">IF(
    OR(ISBLANK(M2200), ISBLANK(N2200)),
    "",
    MAX(1, IF(
        NETWORKDAYS(M2200, N2200) &lt;= 0,
        1,
        NETWORKDAYS(M2200, N2200) - IF(M2200 = N2200, 0, 1)
    ))
)</f>
        <v/>
      </c>
      <c r="S2200" s="61" t="str">
        <f t="shared" ref="S2200:S2263" si="153">IF(
    OR(ISBLANK(N2200), ISBLANK(O2200)),
    "",
    MAX(1, IF(
        NETWORKDAYS(N2200, O2200) &lt;= 0,
        1,
        NETWORKDAYS(N2200, O2200) - IF(N2200 = O2200, 0, 1)
    ))
)</f>
        <v/>
      </c>
      <c r="T2200" s="61" t="str">
        <f t="shared" si="151"/>
        <v/>
      </c>
      <c r="U2200" s="61" t="str">
        <f t="shared" ref="U2200:U2263" si="154">IF(
    OR(ISBLANK(P2200), ISBLANK(Q2200)),
    "",
    MAX(1, IF(
        NETWORKDAYS(P2200, Q2200) &lt;= 0,
        1,
        NETWORKDAYS(P2200, Q2200) - IF(P2200 = Q2200, 0, 1)
    ))
)</f>
        <v/>
      </c>
      <c r="V2200" s="61"/>
      <c r="W2200" s="61"/>
      <c r="X2200" s="61"/>
      <c r="Y2200" s="61"/>
      <c r="Z2200" s="61"/>
      <c r="AA2200" s="61"/>
      <c r="AB2200" s="61"/>
    </row>
    <row r="2201" spans="1:28" s="2" customFormat="1" ht="28.5">
      <c r="A2201" s="61" t="s">
        <v>778</v>
      </c>
      <c r="B2201" s="61" t="s">
        <v>1404</v>
      </c>
      <c r="C2201" s="61" t="s">
        <v>4344</v>
      </c>
      <c r="D2201" s="61" t="s">
        <v>7838</v>
      </c>
      <c r="E2201" s="61">
        <v>5032</v>
      </c>
      <c r="F2201" s="61">
        <v>4799</v>
      </c>
      <c r="G2201" s="61"/>
      <c r="H2201" s="61"/>
      <c r="I2201" s="61" t="s">
        <v>32</v>
      </c>
      <c r="J2201" s="61"/>
      <c r="K2201" s="61" t="s">
        <v>8836</v>
      </c>
      <c r="L2201" s="61"/>
      <c r="M2201" s="61"/>
      <c r="N2201" s="61"/>
      <c r="O2201" s="61"/>
      <c r="P2201" s="61"/>
      <c r="Q2201" s="61"/>
      <c r="R2201" s="61" t="str">
        <f t="shared" si="152"/>
        <v/>
      </c>
      <c r="S2201" s="61" t="str">
        <f t="shared" si="153"/>
        <v/>
      </c>
      <c r="T2201" s="61" t="str">
        <f t="shared" si="151"/>
        <v/>
      </c>
      <c r="U2201" s="61" t="str">
        <f t="shared" si="154"/>
        <v/>
      </c>
      <c r="V2201" s="61"/>
      <c r="W2201" s="61"/>
      <c r="X2201" s="61"/>
      <c r="Y2201" s="61"/>
      <c r="Z2201" s="61"/>
      <c r="AA2201" s="61"/>
      <c r="AB2201" s="61"/>
    </row>
    <row r="2202" spans="1:28" s="2" customFormat="1" ht="28.5">
      <c r="A2202" s="61" t="s">
        <v>778</v>
      </c>
      <c r="B2202" s="61" t="s">
        <v>1404</v>
      </c>
      <c r="C2202" s="61" t="s">
        <v>5676</v>
      </c>
      <c r="D2202" s="61" t="s">
        <v>7838</v>
      </c>
      <c r="E2202" s="61">
        <v>2279</v>
      </c>
      <c r="F2202" s="61">
        <v>2411</v>
      </c>
      <c r="G2202" s="61"/>
      <c r="H2202" s="61"/>
      <c r="I2202" s="61" t="s">
        <v>32</v>
      </c>
      <c r="J2202" s="61"/>
      <c r="K2202" s="61" t="s">
        <v>8836</v>
      </c>
      <c r="L2202" s="61"/>
      <c r="M2202" s="61"/>
      <c r="N2202" s="61"/>
      <c r="O2202" s="61"/>
      <c r="P2202" s="61"/>
      <c r="Q2202" s="61"/>
      <c r="R2202" s="61" t="str">
        <f t="shared" si="152"/>
        <v/>
      </c>
      <c r="S2202" s="61" t="str">
        <f t="shared" si="153"/>
        <v/>
      </c>
      <c r="T2202" s="61" t="str">
        <f t="shared" si="151"/>
        <v/>
      </c>
      <c r="U2202" s="61" t="str">
        <f t="shared" si="154"/>
        <v/>
      </c>
      <c r="V2202" s="61"/>
      <c r="W2202" s="61"/>
      <c r="X2202" s="61"/>
      <c r="Y2202" s="61"/>
      <c r="Z2202" s="61"/>
      <c r="AA2202" s="61"/>
      <c r="AB2202" s="61"/>
    </row>
    <row r="2203" spans="1:28" s="2" customFormat="1" ht="28.5">
      <c r="A2203" s="61" t="s">
        <v>778</v>
      </c>
      <c r="B2203" s="61" t="s">
        <v>1404</v>
      </c>
      <c r="C2203" s="61" t="s">
        <v>5677</v>
      </c>
      <c r="D2203" s="61" t="s">
        <v>7838</v>
      </c>
      <c r="E2203" s="61">
        <v>3784</v>
      </c>
      <c r="F2203" s="61">
        <v>4136</v>
      </c>
      <c r="G2203" s="61"/>
      <c r="H2203" s="61"/>
      <c r="I2203" s="61" t="s">
        <v>32</v>
      </c>
      <c r="J2203" s="61"/>
      <c r="K2203" s="61" t="s">
        <v>8836</v>
      </c>
      <c r="L2203" s="61"/>
      <c r="M2203" s="61"/>
      <c r="N2203" s="61"/>
      <c r="O2203" s="61"/>
      <c r="P2203" s="61"/>
      <c r="Q2203" s="61"/>
      <c r="R2203" s="61" t="str">
        <f t="shared" si="152"/>
        <v/>
      </c>
      <c r="S2203" s="61" t="str">
        <f t="shared" si="153"/>
        <v/>
      </c>
      <c r="T2203" s="61" t="str">
        <f t="shared" si="151"/>
        <v/>
      </c>
      <c r="U2203" s="61" t="str">
        <f t="shared" si="154"/>
        <v/>
      </c>
      <c r="V2203" s="61"/>
      <c r="W2203" s="61"/>
      <c r="X2203" s="61"/>
      <c r="Y2203" s="61"/>
      <c r="Z2203" s="61"/>
      <c r="AA2203" s="61"/>
      <c r="AB2203" s="61"/>
    </row>
    <row r="2204" spans="1:28" s="2" customFormat="1" ht="28.5">
      <c r="A2204" s="61" t="s">
        <v>778</v>
      </c>
      <c r="B2204" s="61" t="s">
        <v>1404</v>
      </c>
      <c r="C2204" s="61" t="s">
        <v>5678</v>
      </c>
      <c r="D2204" s="61" t="s">
        <v>7838</v>
      </c>
      <c r="E2204" s="61">
        <v>1550</v>
      </c>
      <c r="F2204" s="61">
        <v>1950</v>
      </c>
      <c r="G2204" s="61"/>
      <c r="H2204" s="61"/>
      <c r="I2204" s="61" t="s">
        <v>32</v>
      </c>
      <c r="J2204" s="61"/>
      <c r="K2204" s="61" t="s">
        <v>8836</v>
      </c>
      <c r="L2204" s="61"/>
      <c r="M2204" s="61"/>
      <c r="N2204" s="61"/>
      <c r="O2204" s="61"/>
      <c r="P2204" s="61"/>
      <c r="Q2204" s="61"/>
      <c r="R2204" s="61" t="str">
        <f t="shared" si="152"/>
        <v/>
      </c>
      <c r="S2204" s="61" t="str">
        <f t="shared" si="153"/>
        <v/>
      </c>
      <c r="T2204" s="61" t="str">
        <f t="shared" si="151"/>
        <v/>
      </c>
      <c r="U2204" s="61" t="str">
        <f t="shared" si="154"/>
        <v/>
      </c>
      <c r="V2204" s="61"/>
      <c r="W2204" s="61"/>
      <c r="X2204" s="61"/>
      <c r="Y2204" s="61"/>
      <c r="Z2204" s="61"/>
      <c r="AA2204" s="61"/>
      <c r="AB2204" s="61"/>
    </row>
    <row r="2205" spans="1:28" s="2" customFormat="1" ht="28.5">
      <c r="A2205" s="61" t="s">
        <v>778</v>
      </c>
      <c r="B2205" s="61" t="s">
        <v>1404</v>
      </c>
      <c r="C2205" s="61" t="s">
        <v>5679</v>
      </c>
      <c r="D2205" s="61" t="s">
        <v>7838</v>
      </c>
      <c r="E2205" s="61">
        <v>3175</v>
      </c>
      <c r="F2205" s="61">
        <v>3194</v>
      </c>
      <c r="G2205" s="61"/>
      <c r="H2205" s="61"/>
      <c r="I2205" s="61" t="s">
        <v>32</v>
      </c>
      <c r="J2205" s="61"/>
      <c r="K2205" s="61" t="s">
        <v>8836</v>
      </c>
      <c r="L2205" s="61"/>
      <c r="M2205" s="61"/>
      <c r="N2205" s="61"/>
      <c r="O2205" s="61"/>
      <c r="P2205" s="61"/>
      <c r="Q2205" s="61"/>
      <c r="R2205" s="61" t="str">
        <f t="shared" si="152"/>
        <v/>
      </c>
      <c r="S2205" s="61" t="str">
        <f t="shared" si="153"/>
        <v/>
      </c>
      <c r="T2205" s="61" t="str">
        <f t="shared" si="151"/>
        <v/>
      </c>
      <c r="U2205" s="61" t="str">
        <f t="shared" si="154"/>
        <v/>
      </c>
      <c r="V2205" s="61"/>
      <c r="W2205" s="61"/>
      <c r="X2205" s="61"/>
      <c r="Y2205" s="61"/>
      <c r="Z2205" s="61"/>
      <c r="AA2205" s="61"/>
      <c r="AB2205" s="61"/>
    </row>
    <row r="2206" spans="1:28" s="2" customFormat="1" ht="28.5">
      <c r="A2206" s="61" t="s">
        <v>778</v>
      </c>
      <c r="B2206" s="61" t="s">
        <v>1404</v>
      </c>
      <c r="C2206" s="61" t="s">
        <v>5680</v>
      </c>
      <c r="D2206" s="61" t="s">
        <v>7838</v>
      </c>
      <c r="E2206" s="61">
        <v>2028</v>
      </c>
      <c r="F2206" s="61">
        <v>2285</v>
      </c>
      <c r="G2206" s="61"/>
      <c r="H2206" s="61"/>
      <c r="I2206" s="61" t="s">
        <v>32</v>
      </c>
      <c r="J2206" s="61"/>
      <c r="K2206" s="61" t="s">
        <v>8836</v>
      </c>
      <c r="L2206" s="61"/>
      <c r="M2206" s="61"/>
      <c r="N2206" s="61"/>
      <c r="O2206" s="61"/>
      <c r="P2206" s="61"/>
      <c r="Q2206" s="61"/>
      <c r="R2206" s="61" t="str">
        <f t="shared" si="152"/>
        <v/>
      </c>
      <c r="S2206" s="61" t="str">
        <f t="shared" si="153"/>
        <v/>
      </c>
      <c r="T2206" s="61" t="str">
        <f t="shared" si="151"/>
        <v/>
      </c>
      <c r="U2206" s="61" t="str">
        <f t="shared" si="154"/>
        <v/>
      </c>
      <c r="V2206" s="61"/>
      <c r="W2206" s="61"/>
      <c r="X2206" s="61"/>
      <c r="Y2206" s="61"/>
      <c r="Z2206" s="61"/>
      <c r="AA2206" s="61"/>
      <c r="AB2206" s="61"/>
    </row>
    <row r="2207" spans="1:28" s="2" customFormat="1" ht="28.5">
      <c r="A2207" s="61" t="s">
        <v>778</v>
      </c>
      <c r="B2207" s="61" t="s">
        <v>1404</v>
      </c>
      <c r="C2207" s="61" t="s">
        <v>5681</v>
      </c>
      <c r="D2207" s="61" t="s">
        <v>7838</v>
      </c>
      <c r="E2207" s="61">
        <v>28524</v>
      </c>
      <c r="F2207" s="61">
        <v>29027</v>
      </c>
      <c r="G2207" s="61"/>
      <c r="H2207" s="61"/>
      <c r="I2207" s="61" t="s">
        <v>32</v>
      </c>
      <c r="J2207" s="61"/>
      <c r="K2207" s="61" t="s">
        <v>8836</v>
      </c>
      <c r="L2207" s="61"/>
      <c r="M2207" s="61"/>
      <c r="N2207" s="61"/>
      <c r="O2207" s="61"/>
      <c r="P2207" s="61"/>
      <c r="Q2207" s="61"/>
      <c r="R2207" s="61" t="str">
        <f t="shared" si="152"/>
        <v/>
      </c>
      <c r="S2207" s="61" t="str">
        <f t="shared" si="153"/>
        <v/>
      </c>
      <c r="T2207" s="61" t="str">
        <f t="shared" si="151"/>
        <v/>
      </c>
      <c r="U2207" s="61" t="str">
        <f t="shared" si="154"/>
        <v/>
      </c>
      <c r="V2207" s="61"/>
      <c r="W2207" s="61"/>
      <c r="X2207" s="61"/>
      <c r="Y2207" s="61"/>
      <c r="Z2207" s="61"/>
      <c r="AA2207" s="61"/>
      <c r="AB2207" s="61"/>
    </row>
    <row r="2208" spans="1:28" s="2" customFormat="1" ht="28.5">
      <c r="A2208" s="61" t="s">
        <v>778</v>
      </c>
      <c r="B2208" s="61" t="s">
        <v>1404</v>
      </c>
      <c r="C2208" s="61" t="s">
        <v>5682</v>
      </c>
      <c r="D2208" s="61" t="s">
        <v>7838</v>
      </c>
      <c r="E2208" s="61">
        <v>2374</v>
      </c>
      <c r="F2208" s="61">
        <v>2699</v>
      </c>
      <c r="G2208" s="61"/>
      <c r="H2208" s="61"/>
      <c r="I2208" s="61" t="s">
        <v>32</v>
      </c>
      <c r="J2208" s="61"/>
      <c r="K2208" s="61" t="s">
        <v>8836</v>
      </c>
      <c r="L2208" s="61"/>
      <c r="M2208" s="61"/>
      <c r="N2208" s="61"/>
      <c r="O2208" s="634"/>
      <c r="P2208" s="634"/>
      <c r="Q2208" s="634"/>
      <c r="R2208" s="61" t="str">
        <f t="shared" si="152"/>
        <v/>
      </c>
      <c r="S2208" s="61" t="str">
        <f t="shared" si="153"/>
        <v/>
      </c>
      <c r="T2208" s="61" t="str">
        <f t="shared" si="151"/>
        <v/>
      </c>
      <c r="U2208" s="61" t="str">
        <f t="shared" si="154"/>
        <v/>
      </c>
      <c r="V2208" s="61"/>
      <c r="W2208" s="61"/>
      <c r="X2208" s="61"/>
      <c r="Y2208" s="61"/>
      <c r="Z2208" s="61"/>
      <c r="AA2208" s="61"/>
      <c r="AB2208" s="61"/>
    </row>
    <row r="2209" spans="1:28" s="2" customFormat="1" ht="28.5">
      <c r="A2209" s="61" t="s">
        <v>778</v>
      </c>
      <c r="B2209" s="61" t="s">
        <v>1404</v>
      </c>
      <c r="C2209" s="61" t="s">
        <v>5490</v>
      </c>
      <c r="D2209" s="61" t="s">
        <v>7838</v>
      </c>
      <c r="E2209" s="61">
        <v>2371</v>
      </c>
      <c r="F2209" s="61">
        <v>4016</v>
      </c>
      <c r="G2209" s="61"/>
      <c r="H2209" s="61"/>
      <c r="I2209" s="61" t="s">
        <v>32</v>
      </c>
      <c r="J2209" s="61"/>
      <c r="K2209" s="61" t="s">
        <v>8836</v>
      </c>
      <c r="L2209" s="61"/>
      <c r="M2209" s="61"/>
      <c r="N2209" s="61"/>
      <c r="O2209" s="61"/>
      <c r="P2209" s="61"/>
      <c r="Q2209" s="61"/>
      <c r="R2209" s="61" t="str">
        <f t="shared" si="152"/>
        <v/>
      </c>
      <c r="S2209" s="61" t="str">
        <f t="shared" si="153"/>
        <v/>
      </c>
      <c r="T2209" s="61" t="str">
        <f t="shared" si="151"/>
        <v/>
      </c>
      <c r="U2209" s="61" t="str">
        <f t="shared" si="154"/>
        <v/>
      </c>
      <c r="V2209" s="61"/>
      <c r="W2209" s="61"/>
      <c r="X2209" s="61"/>
      <c r="Y2209" s="61"/>
      <c r="Z2209" s="61"/>
      <c r="AA2209" s="61"/>
      <c r="AB2209" s="61"/>
    </row>
    <row r="2210" spans="1:28" s="2" customFormat="1" ht="28.5">
      <c r="A2210" s="61" t="s">
        <v>778</v>
      </c>
      <c r="B2210" s="61" t="s">
        <v>1404</v>
      </c>
      <c r="C2210" s="61" t="s">
        <v>5684</v>
      </c>
      <c r="D2210" s="61" t="s">
        <v>7838</v>
      </c>
      <c r="E2210" s="61">
        <v>2368</v>
      </c>
      <c r="F2210" s="61">
        <v>4919</v>
      </c>
      <c r="G2210" s="61"/>
      <c r="H2210" s="61"/>
      <c r="I2210" s="61" t="s">
        <v>32</v>
      </c>
      <c r="J2210" s="61"/>
      <c r="K2210" s="61" t="s">
        <v>8836</v>
      </c>
      <c r="L2210" s="61"/>
      <c r="M2210" s="61"/>
      <c r="N2210" s="61"/>
      <c r="O2210" s="61"/>
      <c r="P2210" s="61"/>
      <c r="Q2210" s="61"/>
      <c r="R2210" s="61" t="str">
        <f t="shared" si="152"/>
        <v/>
      </c>
      <c r="S2210" s="61" t="str">
        <f t="shared" si="153"/>
        <v/>
      </c>
      <c r="T2210" s="61" t="str">
        <f t="shared" si="151"/>
        <v/>
      </c>
      <c r="U2210" s="61" t="str">
        <f t="shared" si="154"/>
        <v/>
      </c>
      <c r="V2210" s="61"/>
      <c r="W2210" s="61"/>
      <c r="X2210" s="61"/>
      <c r="Y2210" s="61"/>
      <c r="Z2210" s="61"/>
      <c r="AA2210" s="61"/>
      <c r="AB2210" s="61"/>
    </row>
    <row r="2211" spans="1:28" s="2" customFormat="1" ht="28.5">
      <c r="A2211" s="61" t="s">
        <v>778</v>
      </c>
      <c r="B2211" s="61" t="s">
        <v>1404</v>
      </c>
      <c r="C2211" s="61" t="s">
        <v>914</v>
      </c>
      <c r="D2211" s="61" t="s">
        <v>7838</v>
      </c>
      <c r="E2211" s="61">
        <v>5544</v>
      </c>
      <c r="F2211" s="61">
        <v>5759</v>
      </c>
      <c r="G2211" s="61"/>
      <c r="H2211" s="61"/>
      <c r="I2211" s="61" t="s">
        <v>32</v>
      </c>
      <c r="J2211" s="61"/>
      <c r="K2211" s="61" t="s">
        <v>8836</v>
      </c>
      <c r="L2211" s="61"/>
      <c r="M2211" s="61"/>
      <c r="N2211" s="61"/>
      <c r="O2211" s="61"/>
      <c r="P2211" s="61"/>
      <c r="Q2211" s="61"/>
      <c r="R2211" s="61" t="str">
        <f t="shared" si="152"/>
        <v/>
      </c>
      <c r="S2211" s="61" t="str">
        <f t="shared" si="153"/>
        <v/>
      </c>
      <c r="T2211" s="61" t="str">
        <f t="shared" si="151"/>
        <v/>
      </c>
      <c r="U2211" s="61" t="str">
        <f t="shared" si="154"/>
        <v/>
      </c>
      <c r="V2211" s="61"/>
      <c r="W2211" s="61"/>
      <c r="X2211" s="61"/>
      <c r="Y2211" s="61"/>
      <c r="Z2211" s="61"/>
      <c r="AA2211" s="61"/>
      <c r="AB2211" s="61"/>
    </row>
    <row r="2212" spans="1:28" s="2" customFormat="1" ht="28.5">
      <c r="A2212" s="61" t="s">
        <v>778</v>
      </c>
      <c r="B2212" s="61" t="s">
        <v>1404</v>
      </c>
      <c r="C2212" s="61" t="s">
        <v>3809</v>
      </c>
      <c r="D2212" s="61" t="s">
        <v>7838</v>
      </c>
      <c r="E2212" s="61">
        <v>3072</v>
      </c>
      <c r="F2212" s="61">
        <v>3076</v>
      </c>
      <c r="G2212" s="61"/>
      <c r="H2212" s="61"/>
      <c r="I2212" s="61" t="s">
        <v>32</v>
      </c>
      <c r="J2212" s="61"/>
      <c r="K2212" s="61" t="s">
        <v>8836</v>
      </c>
      <c r="L2212" s="61"/>
      <c r="M2212" s="61"/>
      <c r="N2212" s="61"/>
      <c r="O2212" s="61"/>
      <c r="P2212" s="61"/>
      <c r="Q2212" s="61"/>
      <c r="R2212" s="61" t="str">
        <f t="shared" si="152"/>
        <v/>
      </c>
      <c r="S2212" s="61" t="str">
        <f t="shared" si="153"/>
        <v/>
      </c>
      <c r="T2212" s="61" t="str">
        <f t="shared" si="151"/>
        <v/>
      </c>
      <c r="U2212" s="61" t="str">
        <f t="shared" si="154"/>
        <v/>
      </c>
      <c r="V2212" s="61"/>
      <c r="W2212" s="61"/>
      <c r="X2212" s="61"/>
      <c r="Y2212" s="61"/>
      <c r="Z2212" s="61"/>
      <c r="AA2212" s="61"/>
      <c r="AB2212" s="61"/>
    </row>
    <row r="2213" spans="1:28" s="2" customFormat="1" ht="28.5">
      <c r="A2213" s="61" t="s">
        <v>778</v>
      </c>
      <c r="B2213" s="61" t="s">
        <v>1404</v>
      </c>
      <c r="C2213" s="61" t="s">
        <v>5685</v>
      </c>
      <c r="D2213" s="61" t="s">
        <v>7838</v>
      </c>
      <c r="E2213" s="61">
        <v>6294</v>
      </c>
      <c r="F2213" s="61">
        <v>6853</v>
      </c>
      <c r="G2213" s="61"/>
      <c r="H2213" s="61"/>
      <c r="I2213" s="61" t="s">
        <v>32</v>
      </c>
      <c r="J2213" s="61"/>
      <c r="K2213" s="61" t="s">
        <v>8836</v>
      </c>
      <c r="L2213" s="634"/>
      <c r="M2213" s="61"/>
      <c r="N2213" s="61"/>
      <c r="O2213" s="634"/>
      <c r="P2213" s="634"/>
      <c r="Q2213" s="634"/>
      <c r="R2213" s="61" t="str">
        <f t="shared" si="152"/>
        <v/>
      </c>
      <c r="S2213" s="61" t="str">
        <f t="shared" si="153"/>
        <v/>
      </c>
      <c r="T2213" s="61" t="str">
        <f t="shared" si="151"/>
        <v/>
      </c>
      <c r="U2213" s="61" t="str">
        <f t="shared" si="154"/>
        <v/>
      </c>
      <c r="V2213" s="61"/>
      <c r="W2213" s="61"/>
      <c r="X2213" s="61"/>
      <c r="Y2213" s="61"/>
      <c r="Z2213" s="61"/>
      <c r="AA2213" s="61"/>
      <c r="AB2213" s="61"/>
    </row>
    <row r="2214" spans="1:28" s="2" customFormat="1" ht="28.5">
      <c r="A2214" s="61" t="s">
        <v>778</v>
      </c>
      <c r="B2214" s="61" t="s">
        <v>1404</v>
      </c>
      <c r="C2214" s="61" t="s">
        <v>5686</v>
      </c>
      <c r="D2214" s="61" t="s">
        <v>7838</v>
      </c>
      <c r="E2214" s="61">
        <v>5808</v>
      </c>
      <c r="F2214" s="61">
        <v>6826</v>
      </c>
      <c r="G2214" s="61"/>
      <c r="H2214" s="61"/>
      <c r="I2214" s="61" t="s">
        <v>32</v>
      </c>
      <c r="J2214" s="61"/>
      <c r="K2214" s="61" t="s">
        <v>8836</v>
      </c>
      <c r="L2214" s="61"/>
      <c r="M2214" s="61"/>
      <c r="N2214" s="61"/>
      <c r="O2214" s="61"/>
      <c r="P2214" s="61"/>
      <c r="Q2214" s="61"/>
      <c r="R2214" s="61" t="str">
        <f t="shared" si="152"/>
        <v/>
      </c>
      <c r="S2214" s="61" t="str">
        <f t="shared" si="153"/>
        <v/>
      </c>
      <c r="T2214" s="61" t="str">
        <f t="shared" si="151"/>
        <v/>
      </c>
      <c r="U2214" s="61" t="str">
        <f t="shared" si="154"/>
        <v/>
      </c>
      <c r="V2214" s="61"/>
      <c r="W2214" s="61"/>
      <c r="X2214" s="61"/>
      <c r="Y2214" s="61"/>
      <c r="Z2214" s="61"/>
      <c r="AA2214" s="61"/>
      <c r="AB2214" s="61"/>
    </row>
    <row r="2215" spans="1:28" s="2" customFormat="1" ht="28.5">
      <c r="A2215" s="61" t="s">
        <v>778</v>
      </c>
      <c r="B2215" s="61" t="s">
        <v>1404</v>
      </c>
      <c r="C2215" s="61" t="s">
        <v>918</v>
      </c>
      <c r="D2215" s="61" t="s">
        <v>7838</v>
      </c>
      <c r="E2215" s="61">
        <v>3984</v>
      </c>
      <c r="F2215" s="61">
        <v>4492</v>
      </c>
      <c r="G2215" s="61"/>
      <c r="H2215" s="61"/>
      <c r="I2215" s="61" t="s">
        <v>32</v>
      </c>
      <c r="J2215" s="61"/>
      <c r="K2215" s="61" t="s">
        <v>8836</v>
      </c>
      <c r="L2215" s="61"/>
      <c r="M2215" s="475"/>
      <c r="N2215" s="475"/>
      <c r="O2215" s="61"/>
      <c r="P2215" s="475"/>
      <c r="Q2215" s="61"/>
      <c r="R2215" s="61" t="str">
        <f t="shared" si="152"/>
        <v/>
      </c>
      <c r="S2215" s="61" t="str">
        <f t="shared" si="153"/>
        <v/>
      </c>
      <c r="T2215" s="61" t="str">
        <f t="shared" si="151"/>
        <v/>
      </c>
      <c r="U2215" s="61" t="str">
        <f t="shared" si="154"/>
        <v/>
      </c>
      <c r="V2215" s="61"/>
      <c r="W2215" s="61"/>
      <c r="X2215" s="61"/>
      <c r="Y2215" s="61"/>
      <c r="Z2215" s="61"/>
      <c r="AA2215" s="61"/>
      <c r="AB2215" s="61"/>
    </row>
    <row r="2216" spans="1:28" s="2" customFormat="1" ht="28.5">
      <c r="A2216" s="61" t="s">
        <v>778</v>
      </c>
      <c r="B2216" s="61" t="s">
        <v>1404</v>
      </c>
      <c r="C2216" s="61" t="s">
        <v>950</v>
      </c>
      <c r="D2216" s="61" t="s">
        <v>7838</v>
      </c>
      <c r="E2216" s="61">
        <v>2673</v>
      </c>
      <c r="F2216" s="61">
        <v>2817</v>
      </c>
      <c r="G2216" s="61"/>
      <c r="H2216" s="61"/>
      <c r="I2216" s="61" t="s">
        <v>32</v>
      </c>
      <c r="J2216" s="61"/>
      <c r="K2216" s="61" t="s">
        <v>8836</v>
      </c>
      <c r="L2216" s="61"/>
      <c r="M2216" s="61"/>
      <c r="N2216" s="61"/>
      <c r="O2216" s="61"/>
      <c r="P2216" s="61"/>
      <c r="Q2216" s="61"/>
      <c r="R2216" s="61" t="str">
        <f t="shared" si="152"/>
        <v/>
      </c>
      <c r="S2216" s="61" t="str">
        <f t="shared" si="153"/>
        <v/>
      </c>
      <c r="T2216" s="61" t="str">
        <f t="shared" si="151"/>
        <v/>
      </c>
      <c r="U2216" s="61" t="str">
        <f t="shared" si="154"/>
        <v/>
      </c>
      <c r="V2216" s="61"/>
      <c r="W2216" s="61"/>
      <c r="X2216" s="61"/>
      <c r="Y2216" s="61"/>
      <c r="Z2216" s="61"/>
      <c r="AA2216" s="61"/>
      <c r="AB2216" s="61"/>
    </row>
    <row r="2217" spans="1:28" s="2" customFormat="1" ht="28.5">
      <c r="A2217" s="61" t="s">
        <v>778</v>
      </c>
      <c r="B2217" s="61" t="s">
        <v>1404</v>
      </c>
      <c r="C2217" s="61" t="s">
        <v>1151</v>
      </c>
      <c r="D2217" s="61" t="s">
        <v>7838</v>
      </c>
      <c r="E2217" s="61">
        <v>2508</v>
      </c>
      <c r="F2217" s="61">
        <v>3313</v>
      </c>
      <c r="G2217" s="61"/>
      <c r="H2217" s="61"/>
      <c r="I2217" s="61" t="s">
        <v>32</v>
      </c>
      <c r="J2217" s="61"/>
      <c r="K2217" s="61" t="s">
        <v>8836</v>
      </c>
      <c r="L2217" s="61"/>
      <c r="M2217" s="61"/>
      <c r="N2217" s="61"/>
      <c r="O2217" s="61"/>
      <c r="P2217" s="61"/>
      <c r="Q2217" s="61"/>
      <c r="R2217" s="61" t="str">
        <f t="shared" si="152"/>
        <v/>
      </c>
      <c r="S2217" s="61" t="str">
        <f t="shared" si="153"/>
        <v/>
      </c>
      <c r="T2217" s="61" t="str">
        <f t="shared" si="151"/>
        <v/>
      </c>
      <c r="U2217" s="61" t="str">
        <f t="shared" si="154"/>
        <v/>
      </c>
      <c r="V2217" s="61"/>
      <c r="W2217" s="61"/>
      <c r="X2217" s="61"/>
      <c r="Y2217" s="61"/>
      <c r="Z2217" s="61"/>
      <c r="AA2217" s="61"/>
      <c r="AB2217" s="61"/>
    </row>
    <row r="2218" spans="1:28" s="2" customFormat="1" ht="28.5">
      <c r="A2218" s="61" t="s">
        <v>778</v>
      </c>
      <c r="B2218" s="61" t="s">
        <v>1404</v>
      </c>
      <c r="C2218" s="61" t="s">
        <v>1439</v>
      </c>
      <c r="D2218" s="61" t="s">
        <v>7838</v>
      </c>
      <c r="E2218" s="61">
        <v>2776</v>
      </c>
      <c r="F2218" s="61">
        <v>2714</v>
      </c>
      <c r="G2218" s="61"/>
      <c r="H2218" s="61"/>
      <c r="I2218" s="61" t="s">
        <v>32</v>
      </c>
      <c r="J2218" s="61"/>
      <c r="K2218" s="61" t="s">
        <v>8836</v>
      </c>
      <c r="L2218" s="61"/>
      <c r="M2218" s="61"/>
      <c r="N2218" s="61"/>
      <c r="O2218" s="61"/>
      <c r="P2218" s="61"/>
      <c r="Q2218" s="61"/>
      <c r="R2218" s="61" t="str">
        <f t="shared" si="152"/>
        <v/>
      </c>
      <c r="S2218" s="61" t="str">
        <f t="shared" si="153"/>
        <v/>
      </c>
      <c r="T2218" s="61" t="str">
        <f t="shared" si="151"/>
        <v/>
      </c>
      <c r="U2218" s="61" t="str">
        <f t="shared" si="154"/>
        <v/>
      </c>
      <c r="V2218" s="61"/>
      <c r="W2218" s="61"/>
      <c r="X2218" s="61"/>
      <c r="Y2218" s="61"/>
      <c r="Z2218" s="61"/>
      <c r="AA2218" s="61"/>
      <c r="AB2218" s="61"/>
    </row>
    <row r="2219" spans="1:28" s="2" customFormat="1" ht="28.5">
      <c r="A2219" s="61" t="s">
        <v>778</v>
      </c>
      <c r="B2219" s="61" t="s">
        <v>1404</v>
      </c>
      <c r="C2219" s="61" t="s">
        <v>3723</v>
      </c>
      <c r="D2219" s="61" t="s">
        <v>7838</v>
      </c>
      <c r="E2219" s="61">
        <v>2561</v>
      </c>
      <c r="F2219" s="61">
        <v>2894</v>
      </c>
      <c r="G2219" s="61"/>
      <c r="H2219" s="61"/>
      <c r="I2219" s="61" t="s">
        <v>32</v>
      </c>
      <c r="J2219" s="61"/>
      <c r="K2219" s="61" t="s">
        <v>8836</v>
      </c>
      <c r="L2219" s="61"/>
      <c r="M2219" s="61"/>
      <c r="N2219" s="61"/>
      <c r="O2219" s="61"/>
      <c r="P2219" s="61"/>
      <c r="Q2219" s="61"/>
      <c r="R2219" s="61" t="str">
        <f t="shared" si="152"/>
        <v/>
      </c>
      <c r="S2219" s="61" t="str">
        <f t="shared" si="153"/>
        <v/>
      </c>
      <c r="T2219" s="61" t="str">
        <f t="shared" si="151"/>
        <v/>
      </c>
      <c r="U2219" s="61" t="str">
        <f t="shared" si="154"/>
        <v/>
      </c>
      <c r="V2219" s="61"/>
      <c r="W2219" s="61"/>
      <c r="X2219" s="61"/>
      <c r="Y2219" s="61"/>
      <c r="Z2219" s="61"/>
      <c r="AA2219" s="61"/>
      <c r="AB2219" s="61"/>
    </row>
    <row r="2220" spans="1:28" s="2" customFormat="1" ht="28.5">
      <c r="A2220" s="61" t="s">
        <v>778</v>
      </c>
      <c r="B2220" s="61" t="s">
        <v>1404</v>
      </c>
      <c r="C2220" s="61" t="s">
        <v>5687</v>
      </c>
      <c r="D2220" s="61" t="s">
        <v>7838</v>
      </c>
      <c r="E2220" s="61">
        <v>4173</v>
      </c>
      <c r="F2220" s="61">
        <v>4854</v>
      </c>
      <c r="G2220" s="61"/>
      <c r="H2220" s="61"/>
      <c r="I2220" s="61" t="s">
        <v>32</v>
      </c>
      <c r="J2220" s="61"/>
      <c r="K2220" s="61" t="s">
        <v>8836</v>
      </c>
      <c r="L2220" s="61"/>
      <c r="M2220" s="61"/>
      <c r="N2220" s="61"/>
      <c r="O2220" s="61"/>
      <c r="P2220" s="61"/>
      <c r="Q2220" s="61"/>
      <c r="R2220" s="61" t="str">
        <f t="shared" si="152"/>
        <v/>
      </c>
      <c r="S2220" s="61" t="str">
        <f t="shared" si="153"/>
        <v/>
      </c>
      <c r="T2220" s="61" t="str">
        <f t="shared" si="151"/>
        <v/>
      </c>
      <c r="U2220" s="61" t="str">
        <f t="shared" si="154"/>
        <v/>
      </c>
      <c r="V2220" s="61"/>
      <c r="W2220" s="61"/>
      <c r="X2220" s="61"/>
      <c r="Y2220" s="61"/>
      <c r="Z2220" s="61"/>
      <c r="AA2220" s="61"/>
      <c r="AB2220" s="61"/>
    </row>
    <row r="2221" spans="1:28" s="2" customFormat="1" ht="28.5">
      <c r="A2221" s="61" t="s">
        <v>778</v>
      </c>
      <c r="B2221" s="61" t="s">
        <v>1404</v>
      </c>
      <c r="C2221" s="61" t="s">
        <v>1155</v>
      </c>
      <c r="D2221" s="61" t="s">
        <v>7838</v>
      </c>
      <c r="E2221" s="61">
        <v>3158</v>
      </c>
      <c r="F2221" s="61">
        <v>4805</v>
      </c>
      <c r="G2221" s="61"/>
      <c r="H2221" s="61"/>
      <c r="I2221" s="61" t="s">
        <v>32</v>
      </c>
      <c r="J2221" s="61"/>
      <c r="K2221" s="61" t="s">
        <v>8836</v>
      </c>
      <c r="L2221" s="61"/>
      <c r="M2221" s="61"/>
      <c r="N2221" s="61"/>
      <c r="O2221" s="61"/>
      <c r="P2221" s="61"/>
      <c r="Q2221" s="61"/>
      <c r="R2221" s="61" t="str">
        <f t="shared" si="152"/>
        <v/>
      </c>
      <c r="S2221" s="61" t="str">
        <f t="shared" si="153"/>
        <v/>
      </c>
      <c r="T2221" s="61" t="str">
        <f t="shared" si="151"/>
        <v/>
      </c>
      <c r="U2221" s="61" t="str">
        <f t="shared" si="154"/>
        <v/>
      </c>
      <c r="V2221" s="61"/>
      <c r="W2221" s="61"/>
      <c r="X2221" s="61"/>
      <c r="Y2221" s="61"/>
      <c r="Z2221" s="61"/>
      <c r="AA2221" s="61"/>
      <c r="AB2221" s="61"/>
    </row>
    <row r="2222" spans="1:28" s="2" customFormat="1" ht="28.5">
      <c r="A2222" s="61" t="s">
        <v>778</v>
      </c>
      <c r="B2222" s="61" t="s">
        <v>1404</v>
      </c>
      <c r="C2222" s="61" t="s">
        <v>1166</v>
      </c>
      <c r="D2222" s="61" t="s">
        <v>7838</v>
      </c>
      <c r="E2222" s="61">
        <v>3949</v>
      </c>
      <c r="F2222" s="61">
        <v>4449</v>
      </c>
      <c r="G2222" s="61"/>
      <c r="H2222" s="61"/>
      <c r="I2222" s="61" t="s">
        <v>32</v>
      </c>
      <c r="J2222" s="61"/>
      <c r="K2222" s="61" t="s">
        <v>8836</v>
      </c>
      <c r="L2222" s="61"/>
      <c r="M2222" s="61"/>
      <c r="N2222" s="61"/>
      <c r="O2222" s="61"/>
      <c r="P2222" s="61"/>
      <c r="Q2222" s="61"/>
      <c r="R2222" s="61" t="str">
        <f t="shared" si="152"/>
        <v/>
      </c>
      <c r="S2222" s="61" t="str">
        <f t="shared" si="153"/>
        <v/>
      </c>
      <c r="T2222" s="61" t="str">
        <f t="shared" si="151"/>
        <v/>
      </c>
      <c r="U2222" s="61" t="str">
        <f t="shared" si="154"/>
        <v/>
      </c>
      <c r="V2222" s="61"/>
      <c r="W2222" s="61"/>
      <c r="X2222" s="61"/>
      <c r="Y2222" s="61"/>
      <c r="Z2222" s="61"/>
      <c r="AA2222" s="61"/>
      <c r="AB2222" s="61"/>
    </row>
    <row r="2223" spans="1:28" s="2" customFormat="1" ht="28.5">
      <c r="A2223" s="61" t="s">
        <v>778</v>
      </c>
      <c r="B2223" s="61" t="s">
        <v>1404</v>
      </c>
      <c r="C2223" s="61" t="s">
        <v>1899</v>
      </c>
      <c r="D2223" s="61" t="s">
        <v>7838</v>
      </c>
      <c r="E2223" s="61">
        <v>2338</v>
      </c>
      <c r="F2223" s="61">
        <v>2019</v>
      </c>
      <c r="G2223" s="61"/>
      <c r="H2223" s="61"/>
      <c r="I2223" s="61" t="s">
        <v>32</v>
      </c>
      <c r="J2223" s="61"/>
      <c r="K2223" s="61" t="s">
        <v>8836</v>
      </c>
      <c r="L2223" s="61"/>
      <c r="M2223" s="61"/>
      <c r="N2223" s="61"/>
      <c r="O2223" s="61"/>
      <c r="P2223" s="61"/>
      <c r="Q2223" s="61"/>
      <c r="R2223" s="61" t="str">
        <f t="shared" si="152"/>
        <v/>
      </c>
      <c r="S2223" s="61" t="str">
        <f t="shared" si="153"/>
        <v/>
      </c>
      <c r="T2223" s="61" t="str">
        <f t="shared" si="151"/>
        <v/>
      </c>
      <c r="U2223" s="61" t="str">
        <f t="shared" si="154"/>
        <v/>
      </c>
      <c r="V2223" s="61"/>
      <c r="W2223" s="61"/>
      <c r="X2223" s="61"/>
      <c r="Y2223" s="61"/>
      <c r="Z2223" s="61"/>
      <c r="AA2223" s="61"/>
      <c r="AB2223" s="61"/>
    </row>
    <row r="2224" spans="1:28" s="2" customFormat="1" ht="28.5">
      <c r="A2224" s="61" t="s">
        <v>778</v>
      </c>
      <c r="B2224" s="61" t="s">
        <v>1404</v>
      </c>
      <c r="C2224" s="61" t="s">
        <v>4950</v>
      </c>
      <c r="D2224" s="61" t="s">
        <v>7838</v>
      </c>
      <c r="E2224" s="61">
        <v>2842</v>
      </c>
      <c r="F2224" s="61">
        <v>2944</v>
      </c>
      <c r="G2224" s="61"/>
      <c r="H2224" s="61"/>
      <c r="I2224" s="61" t="s">
        <v>32</v>
      </c>
      <c r="J2224" s="61"/>
      <c r="K2224" s="61" t="s">
        <v>8836</v>
      </c>
      <c r="L2224" s="61"/>
      <c r="M2224" s="61"/>
      <c r="N2224" s="61"/>
      <c r="O2224" s="61"/>
      <c r="P2224" s="61"/>
      <c r="Q2224" s="61"/>
      <c r="R2224" s="61" t="str">
        <f t="shared" si="152"/>
        <v/>
      </c>
      <c r="S2224" s="61" t="str">
        <f t="shared" si="153"/>
        <v/>
      </c>
      <c r="T2224" s="61" t="str">
        <f t="shared" si="151"/>
        <v/>
      </c>
      <c r="U2224" s="61" t="str">
        <f t="shared" si="154"/>
        <v/>
      </c>
      <c r="V2224" s="61"/>
      <c r="W2224" s="61"/>
      <c r="X2224" s="61"/>
      <c r="Y2224" s="61"/>
      <c r="Z2224" s="61"/>
      <c r="AA2224" s="61"/>
      <c r="AB2224" s="61"/>
    </row>
    <row r="2225" spans="1:28" s="2" customFormat="1" ht="28.5">
      <c r="A2225" s="61" t="s">
        <v>778</v>
      </c>
      <c r="B2225" s="61" t="s">
        <v>1404</v>
      </c>
      <c r="C2225" s="61" t="s">
        <v>3133</v>
      </c>
      <c r="D2225" s="61" t="s">
        <v>7838</v>
      </c>
      <c r="E2225" s="61">
        <v>2621</v>
      </c>
      <c r="F2225" s="61">
        <v>2461</v>
      </c>
      <c r="G2225" s="61"/>
      <c r="H2225" s="61"/>
      <c r="I2225" s="61" t="s">
        <v>32</v>
      </c>
      <c r="J2225" s="61"/>
      <c r="K2225" s="61" t="s">
        <v>8836</v>
      </c>
      <c r="L2225" s="61"/>
      <c r="M2225" s="61"/>
      <c r="N2225" s="61"/>
      <c r="O2225" s="61"/>
      <c r="P2225" s="61"/>
      <c r="Q2225" s="61"/>
      <c r="R2225" s="61" t="str">
        <f t="shared" si="152"/>
        <v/>
      </c>
      <c r="S2225" s="61" t="str">
        <f t="shared" si="153"/>
        <v/>
      </c>
      <c r="T2225" s="61" t="str">
        <f t="shared" si="151"/>
        <v/>
      </c>
      <c r="U2225" s="61" t="str">
        <f t="shared" si="154"/>
        <v/>
      </c>
      <c r="V2225" s="61"/>
      <c r="W2225" s="61"/>
      <c r="X2225" s="61"/>
      <c r="Y2225" s="61"/>
      <c r="Z2225" s="61"/>
      <c r="AA2225" s="61"/>
      <c r="AB2225" s="61"/>
    </row>
    <row r="2226" spans="1:28" s="2" customFormat="1" ht="28.5">
      <c r="A2226" s="61" t="s">
        <v>778</v>
      </c>
      <c r="B2226" s="61" t="s">
        <v>1404</v>
      </c>
      <c r="C2226" s="61" t="s">
        <v>5688</v>
      </c>
      <c r="D2226" s="61" t="s">
        <v>7838</v>
      </c>
      <c r="E2226" s="61">
        <v>6695</v>
      </c>
      <c r="F2226" s="61">
        <v>8085</v>
      </c>
      <c r="G2226" s="61"/>
      <c r="H2226" s="61"/>
      <c r="I2226" s="61" t="s">
        <v>32</v>
      </c>
      <c r="J2226" s="61"/>
      <c r="K2226" s="61" t="s">
        <v>8836</v>
      </c>
      <c r="L2226" s="61"/>
      <c r="M2226" s="61"/>
      <c r="N2226" s="61"/>
      <c r="O2226" s="61"/>
      <c r="P2226" s="61"/>
      <c r="Q2226" s="61"/>
      <c r="R2226" s="61" t="str">
        <f t="shared" si="152"/>
        <v/>
      </c>
      <c r="S2226" s="61" t="str">
        <f t="shared" si="153"/>
        <v/>
      </c>
      <c r="T2226" s="61" t="str">
        <f t="shared" si="151"/>
        <v/>
      </c>
      <c r="U2226" s="61" t="str">
        <f t="shared" si="154"/>
        <v/>
      </c>
      <c r="V2226" s="61"/>
      <c r="W2226" s="61"/>
      <c r="X2226" s="61"/>
      <c r="Y2226" s="61"/>
      <c r="Z2226" s="61"/>
      <c r="AA2226" s="61"/>
      <c r="AB2226" s="61"/>
    </row>
    <row r="2227" spans="1:28" s="2" customFormat="1" ht="28.5">
      <c r="A2227" s="61" t="s">
        <v>778</v>
      </c>
      <c r="B2227" s="61" t="s">
        <v>1404</v>
      </c>
      <c r="C2227" s="61" t="s">
        <v>1405</v>
      </c>
      <c r="D2227" s="61" t="s">
        <v>7838</v>
      </c>
      <c r="E2227" s="61">
        <v>1056</v>
      </c>
      <c r="F2227" s="61">
        <v>1393</v>
      </c>
      <c r="G2227" s="61"/>
      <c r="H2227" s="61"/>
      <c r="I2227" s="61" t="s">
        <v>32</v>
      </c>
      <c r="J2227" s="61"/>
      <c r="K2227" s="61" t="s">
        <v>8836</v>
      </c>
      <c r="L2227" s="61"/>
      <c r="M2227" s="61"/>
      <c r="N2227" s="61"/>
      <c r="O2227" s="61"/>
      <c r="P2227" s="61"/>
      <c r="Q2227" s="634"/>
      <c r="R2227" s="61" t="str">
        <f t="shared" si="152"/>
        <v/>
      </c>
      <c r="S2227" s="61" t="str">
        <f t="shared" si="153"/>
        <v/>
      </c>
      <c r="T2227" s="61" t="str">
        <f t="shared" si="151"/>
        <v/>
      </c>
      <c r="U2227" s="61" t="str">
        <f t="shared" si="154"/>
        <v/>
      </c>
      <c r="V2227" s="61"/>
      <c r="W2227" s="61"/>
      <c r="X2227" s="61"/>
      <c r="Y2227" s="61"/>
      <c r="Z2227" s="61"/>
      <c r="AA2227" s="61"/>
      <c r="AB2227" s="61"/>
    </row>
    <row r="2228" spans="1:28" s="2" customFormat="1" ht="28.5">
      <c r="A2228" s="61" t="s">
        <v>778</v>
      </c>
      <c r="B2228" s="61" t="s">
        <v>1404</v>
      </c>
      <c r="C2228" s="61" t="s">
        <v>5689</v>
      </c>
      <c r="D2228" s="61" t="s">
        <v>7838</v>
      </c>
      <c r="E2228" s="61">
        <v>3810</v>
      </c>
      <c r="F2228" s="61">
        <v>3962</v>
      </c>
      <c r="G2228" s="61"/>
      <c r="H2228" s="61"/>
      <c r="I2228" s="61" t="s">
        <v>32</v>
      </c>
      <c r="J2228" s="61"/>
      <c r="K2228" s="61" t="s">
        <v>8836</v>
      </c>
      <c r="L2228" s="61"/>
      <c r="M2228" s="61"/>
      <c r="N2228" s="61"/>
      <c r="O2228" s="61"/>
      <c r="P2228" s="61"/>
      <c r="Q2228" s="634"/>
      <c r="R2228" s="61" t="str">
        <f t="shared" si="152"/>
        <v/>
      </c>
      <c r="S2228" s="61" t="str">
        <f t="shared" si="153"/>
        <v/>
      </c>
      <c r="T2228" s="61" t="str">
        <f t="shared" si="151"/>
        <v/>
      </c>
      <c r="U2228" s="61" t="str">
        <f t="shared" si="154"/>
        <v/>
      </c>
      <c r="V2228" s="61"/>
      <c r="W2228" s="61"/>
      <c r="X2228" s="61"/>
      <c r="Y2228" s="61"/>
      <c r="Z2228" s="61"/>
      <c r="AA2228" s="61"/>
      <c r="AB2228" s="61"/>
    </row>
    <row r="2229" spans="1:28" s="2" customFormat="1" ht="28.5">
      <c r="A2229" s="61" t="s">
        <v>778</v>
      </c>
      <c r="B2229" s="61" t="s">
        <v>1411</v>
      </c>
      <c r="C2229" s="61" t="s">
        <v>4484</v>
      </c>
      <c r="D2229" s="61" t="s">
        <v>7838</v>
      </c>
      <c r="E2229" s="61">
        <v>1015</v>
      </c>
      <c r="F2229" s="61">
        <v>1036</v>
      </c>
      <c r="G2229" s="61">
        <v>2025</v>
      </c>
      <c r="H2229" s="61" t="s">
        <v>3416</v>
      </c>
      <c r="I2229" s="61" t="s">
        <v>1345</v>
      </c>
      <c r="J2229" s="61"/>
      <c r="K2229" s="61" t="s">
        <v>148</v>
      </c>
      <c r="L2229" s="61" t="s">
        <v>8931</v>
      </c>
      <c r="M2229" s="475">
        <v>45729</v>
      </c>
      <c r="N2229" s="475">
        <v>45734</v>
      </c>
      <c r="O2229" s="61"/>
      <c r="P2229" s="475">
        <v>45734</v>
      </c>
      <c r="Q2229" s="635">
        <v>45735</v>
      </c>
      <c r="R2229" s="61">
        <f t="shared" si="152"/>
        <v>3</v>
      </c>
      <c r="S2229" s="61" t="str">
        <f t="shared" si="153"/>
        <v/>
      </c>
      <c r="T2229" s="61">
        <f t="shared" si="151"/>
        <v>1</v>
      </c>
      <c r="U2229" s="61">
        <f t="shared" si="154"/>
        <v>1</v>
      </c>
      <c r="V2229" s="61" t="s">
        <v>150</v>
      </c>
      <c r="W2229" s="61" t="s">
        <v>4</v>
      </c>
      <c r="X2229" s="61" t="s">
        <v>50</v>
      </c>
      <c r="Y2229" s="474" t="s">
        <v>8932</v>
      </c>
      <c r="Z2229" s="474" t="s">
        <v>8933</v>
      </c>
      <c r="AA2229" s="61" t="s">
        <v>182</v>
      </c>
      <c r="AB2229" s="61"/>
    </row>
    <row r="2230" spans="1:28" s="2" customFormat="1" ht="28.5">
      <c r="A2230" s="61" t="s">
        <v>778</v>
      </c>
      <c r="B2230" s="61" t="s">
        <v>1411</v>
      </c>
      <c r="C2230" s="61" t="s">
        <v>5690</v>
      </c>
      <c r="D2230" s="61" t="s">
        <v>7838</v>
      </c>
      <c r="E2230" s="61">
        <v>1224</v>
      </c>
      <c r="F2230" s="61">
        <v>1072</v>
      </c>
      <c r="G2230" s="61">
        <v>2025</v>
      </c>
      <c r="H2230" s="61" t="s">
        <v>3126</v>
      </c>
      <c r="I2230" s="61" t="s">
        <v>1345</v>
      </c>
      <c r="J2230" s="61" t="s">
        <v>28</v>
      </c>
      <c r="K2230" s="61" t="s">
        <v>8836</v>
      </c>
      <c r="L2230" s="61" t="s">
        <v>8934</v>
      </c>
      <c r="M2230" s="475">
        <v>45881</v>
      </c>
      <c r="N2230" s="475">
        <v>45883</v>
      </c>
      <c r="O2230" s="475">
        <v>45887</v>
      </c>
      <c r="P2230" s="475">
        <v>45888</v>
      </c>
      <c r="Q2230" s="635">
        <v>45888</v>
      </c>
      <c r="R2230" s="61">
        <f t="shared" si="152"/>
        <v>2</v>
      </c>
      <c r="S2230" s="61">
        <f t="shared" si="153"/>
        <v>2</v>
      </c>
      <c r="T2230" s="61">
        <f t="shared" si="151"/>
        <v>3</v>
      </c>
      <c r="U2230" s="61">
        <f t="shared" si="154"/>
        <v>1</v>
      </c>
      <c r="V2230" s="61" t="s">
        <v>150</v>
      </c>
      <c r="W2230" s="61" t="s">
        <v>1078</v>
      </c>
      <c r="X2230" s="61" t="s">
        <v>57</v>
      </c>
      <c r="Y2230" s="494" t="s">
        <v>8935</v>
      </c>
      <c r="Z2230" s="494" t="s">
        <v>8936</v>
      </c>
      <c r="AA2230" s="61" t="s">
        <v>8937</v>
      </c>
      <c r="AB2230" s="61" t="s">
        <v>8938</v>
      </c>
    </row>
    <row r="2231" spans="1:28" s="2" customFormat="1" ht="28.5">
      <c r="A2231" s="61" t="s">
        <v>778</v>
      </c>
      <c r="B2231" s="61" t="s">
        <v>1411</v>
      </c>
      <c r="C2231" s="61" t="s">
        <v>4613</v>
      </c>
      <c r="D2231" s="61" t="s">
        <v>7838</v>
      </c>
      <c r="E2231" s="61">
        <v>6088</v>
      </c>
      <c r="F2231" s="61">
        <v>6862</v>
      </c>
      <c r="G2231" s="61">
        <v>2025</v>
      </c>
      <c r="H2231" s="61" t="s">
        <v>3458</v>
      </c>
      <c r="I2231" s="61" t="s">
        <v>1345</v>
      </c>
      <c r="J2231" s="61"/>
      <c r="K2231" s="61" t="s">
        <v>148</v>
      </c>
      <c r="L2231" s="61" t="s">
        <v>8939</v>
      </c>
      <c r="M2231" s="475">
        <v>45700</v>
      </c>
      <c r="N2231" s="475">
        <v>45706</v>
      </c>
      <c r="O2231" s="61"/>
      <c r="P2231" s="475">
        <v>45706</v>
      </c>
      <c r="Q2231" s="635">
        <v>45707</v>
      </c>
      <c r="R2231" s="61">
        <f t="shared" si="152"/>
        <v>4</v>
      </c>
      <c r="S2231" s="61" t="str">
        <f t="shared" si="153"/>
        <v/>
      </c>
      <c r="T2231" s="61">
        <f t="shared" si="151"/>
        <v>1</v>
      </c>
      <c r="U2231" s="61">
        <f t="shared" si="154"/>
        <v>1</v>
      </c>
      <c r="V2231" s="61" t="s">
        <v>150</v>
      </c>
      <c r="W2231" s="61" t="s">
        <v>1078</v>
      </c>
      <c r="X2231" s="61" t="s">
        <v>50</v>
      </c>
      <c r="Y2231" s="61"/>
      <c r="Z2231" s="61"/>
      <c r="AA2231" s="61" t="s">
        <v>182</v>
      </c>
      <c r="AB2231" s="61"/>
    </row>
    <row r="2232" spans="1:28" s="2" customFormat="1" ht="28.5">
      <c r="A2232" s="61" t="s">
        <v>778</v>
      </c>
      <c r="B2232" s="61" t="s">
        <v>1411</v>
      </c>
      <c r="C2232" s="61" t="s">
        <v>5691</v>
      </c>
      <c r="D2232" s="61" t="s">
        <v>7838</v>
      </c>
      <c r="E2232" s="61">
        <v>2108</v>
      </c>
      <c r="F2232" s="61">
        <v>2077</v>
      </c>
      <c r="G2232" s="61">
        <v>2025</v>
      </c>
      <c r="H2232" s="61" t="s">
        <v>3126</v>
      </c>
      <c r="I2232" s="61" t="s">
        <v>1345</v>
      </c>
      <c r="J2232" s="61" t="s">
        <v>28</v>
      </c>
      <c r="K2232" s="61" t="s">
        <v>8836</v>
      </c>
      <c r="L2232" s="61" t="s">
        <v>8934</v>
      </c>
      <c r="M2232" s="475">
        <v>45881</v>
      </c>
      <c r="N2232" s="475">
        <v>45883</v>
      </c>
      <c r="O2232" s="475">
        <v>45887</v>
      </c>
      <c r="P2232" s="475">
        <v>45888</v>
      </c>
      <c r="Q2232" s="475">
        <v>45888</v>
      </c>
      <c r="R2232" s="61">
        <f t="shared" si="152"/>
        <v>2</v>
      </c>
      <c r="S2232" s="61">
        <f t="shared" si="153"/>
        <v>2</v>
      </c>
      <c r="T2232" s="61">
        <f t="shared" si="151"/>
        <v>3</v>
      </c>
      <c r="U2232" s="61">
        <f t="shared" si="154"/>
        <v>1</v>
      </c>
      <c r="V2232" s="61" t="s">
        <v>150</v>
      </c>
      <c r="W2232" s="61" t="s">
        <v>1078</v>
      </c>
      <c r="X2232" s="61" t="s">
        <v>57</v>
      </c>
      <c r="Y2232" s="494" t="s">
        <v>8935</v>
      </c>
      <c r="Z2232" s="494" t="s">
        <v>8936</v>
      </c>
      <c r="AA2232" s="61" t="s">
        <v>8937</v>
      </c>
      <c r="AB2232" s="61" t="s">
        <v>8938</v>
      </c>
    </row>
    <row r="2233" spans="1:28" s="2" customFormat="1" ht="28.5">
      <c r="A2233" s="61" t="s">
        <v>778</v>
      </c>
      <c r="B2233" s="61" t="s">
        <v>1411</v>
      </c>
      <c r="C2233" s="61" t="s">
        <v>5692</v>
      </c>
      <c r="D2233" s="61" t="s">
        <v>7838</v>
      </c>
      <c r="E2233" s="61">
        <v>1838</v>
      </c>
      <c r="F2233" s="61">
        <v>1949</v>
      </c>
      <c r="G2233" s="61">
        <v>2025</v>
      </c>
      <c r="H2233" s="61" t="s">
        <v>3458</v>
      </c>
      <c r="I2233" s="61" t="s">
        <v>1345</v>
      </c>
      <c r="J2233" s="61"/>
      <c r="K2233" s="61" t="s">
        <v>148</v>
      </c>
      <c r="L2233" s="61" t="s">
        <v>8940</v>
      </c>
      <c r="M2233" s="475">
        <v>45700</v>
      </c>
      <c r="N2233" s="475">
        <v>45706</v>
      </c>
      <c r="O2233" s="475"/>
      <c r="P2233" s="475">
        <v>45707</v>
      </c>
      <c r="Q2233" s="475">
        <v>45707</v>
      </c>
      <c r="R2233" s="61">
        <f t="shared" si="152"/>
        <v>4</v>
      </c>
      <c r="S2233" s="61" t="str">
        <f t="shared" si="153"/>
        <v/>
      </c>
      <c r="T2233" s="61">
        <f t="shared" si="151"/>
        <v>1</v>
      </c>
      <c r="U2233" s="61">
        <f t="shared" si="154"/>
        <v>1</v>
      </c>
      <c r="V2233" s="61" t="s">
        <v>150</v>
      </c>
      <c r="W2233" s="61" t="s">
        <v>1078</v>
      </c>
      <c r="X2233" s="61" t="s">
        <v>50</v>
      </c>
      <c r="Y2233" s="61"/>
      <c r="Z2233" s="61"/>
      <c r="AA2233" s="61" t="s">
        <v>182</v>
      </c>
      <c r="AB2233" s="61"/>
    </row>
    <row r="2234" spans="1:28" s="2" customFormat="1" ht="28.5">
      <c r="A2234" s="61" t="s">
        <v>778</v>
      </c>
      <c r="B2234" s="61" t="s">
        <v>1411</v>
      </c>
      <c r="C2234" s="61" t="s">
        <v>5693</v>
      </c>
      <c r="D2234" s="61" t="s">
        <v>7838</v>
      </c>
      <c r="E2234" s="61">
        <v>1228</v>
      </c>
      <c r="F2234" s="61">
        <v>1183</v>
      </c>
      <c r="G2234" s="61">
        <v>2025</v>
      </c>
      <c r="H2234" s="61" t="s">
        <v>3126</v>
      </c>
      <c r="I2234" s="61" t="s">
        <v>1345</v>
      </c>
      <c r="J2234" s="61" t="s">
        <v>28</v>
      </c>
      <c r="K2234" s="61" t="s">
        <v>8836</v>
      </c>
      <c r="L2234" s="61" t="s">
        <v>8934</v>
      </c>
      <c r="M2234" s="475">
        <v>45881</v>
      </c>
      <c r="N2234" s="475">
        <v>45883</v>
      </c>
      <c r="O2234" s="475">
        <v>45887</v>
      </c>
      <c r="P2234" s="475">
        <v>45888</v>
      </c>
      <c r="Q2234" s="475">
        <v>45888</v>
      </c>
      <c r="R2234" s="61">
        <f t="shared" si="152"/>
        <v>2</v>
      </c>
      <c r="S2234" s="61">
        <f t="shared" si="153"/>
        <v>2</v>
      </c>
      <c r="T2234" s="61">
        <f t="shared" si="151"/>
        <v>3</v>
      </c>
      <c r="U2234" s="61">
        <f t="shared" si="154"/>
        <v>1</v>
      </c>
      <c r="V2234" s="61" t="s">
        <v>150</v>
      </c>
      <c r="W2234" s="61" t="s">
        <v>1078</v>
      </c>
      <c r="X2234" s="61" t="s">
        <v>57</v>
      </c>
      <c r="Y2234" s="494" t="s">
        <v>8935</v>
      </c>
      <c r="Z2234" s="494" t="s">
        <v>8936</v>
      </c>
      <c r="AA2234" s="61" t="s">
        <v>8937</v>
      </c>
      <c r="AB2234" s="61" t="s">
        <v>8938</v>
      </c>
    </row>
    <row r="2235" spans="1:28" s="2" customFormat="1" ht="28.5">
      <c r="A2235" s="61" t="s">
        <v>778</v>
      </c>
      <c r="B2235" s="61" t="s">
        <v>1411</v>
      </c>
      <c r="C2235" s="61" t="s">
        <v>1180</v>
      </c>
      <c r="D2235" s="61" t="s">
        <v>7838</v>
      </c>
      <c r="E2235" s="61">
        <v>4748</v>
      </c>
      <c r="F2235" s="61">
        <v>6007</v>
      </c>
      <c r="G2235" s="61">
        <v>2025</v>
      </c>
      <c r="H2235" s="61" t="s">
        <v>3458</v>
      </c>
      <c r="I2235" s="61" t="s">
        <v>1345</v>
      </c>
      <c r="J2235" s="61"/>
      <c r="K2235" s="61" t="s">
        <v>148</v>
      </c>
      <c r="L2235" s="61" t="s">
        <v>8941</v>
      </c>
      <c r="M2235" s="475">
        <v>45700</v>
      </c>
      <c r="N2235" s="475">
        <v>45706</v>
      </c>
      <c r="O2235" s="475"/>
      <c r="P2235" s="475">
        <v>45707</v>
      </c>
      <c r="Q2235" s="475">
        <v>45707</v>
      </c>
      <c r="R2235" s="61">
        <f t="shared" si="152"/>
        <v>4</v>
      </c>
      <c r="S2235" s="61" t="str">
        <f t="shared" si="153"/>
        <v/>
      </c>
      <c r="T2235" s="61">
        <f t="shared" si="151"/>
        <v>1</v>
      </c>
      <c r="U2235" s="61">
        <f t="shared" si="154"/>
        <v>1</v>
      </c>
      <c r="V2235" s="61" t="s">
        <v>150</v>
      </c>
      <c r="W2235" s="61" t="s">
        <v>1078</v>
      </c>
      <c r="X2235" s="61" t="s">
        <v>50</v>
      </c>
      <c r="Y2235" s="61"/>
      <c r="Z2235" s="61"/>
      <c r="AA2235" s="61" t="s">
        <v>182</v>
      </c>
      <c r="AB2235" s="61"/>
    </row>
    <row r="2236" spans="1:28" s="2" customFormat="1" ht="28.5">
      <c r="A2236" s="61" t="s">
        <v>778</v>
      </c>
      <c r="B2236" s="61" t="s">
        <v>1411</v>
      </c>
      <c r="C2236" s="61" t="s">
        <v>5659</v>
      </c>
      <c r="D2236" s="61" t="s">
        <v>7838</v>
      </c>
      <c r="E2236" s="61">
        <v>3245</v>
      </c>
      <c r="F2236" s="61">
        <v>2972</v>
      </c>
      <c r="G2236" s="61">
        <v>2025</v>
      </c>
      <c r="H2236" s="61" t="s">
        <v>3126</v>
      </c>
      <c r="I2236" s="61" t="s">
        <v>1345</v>
      </c>
      <c r="J2236" s="61" t="s">
        <v>28</v>
      </c>
      <c r="K2236" s="61" t="s">
        <v>8836</v>
      </c>
      <c r="L2236" s="61" t="s">
        <v>8934</v>
      </c>
      <c r="M2236" s="475">
        <v>45881</v>
      </c>
      <c r="N2236" s="475">
        <v>45883</v>
      </c>
      <c r="O2236" s="475">
        <v>45887</v>
      </c>
      <c r="P2236" s="475">
        <v>45888</v>
      </c>
      <c r="Q2236" s="475">
        <v>45888</v>
      </c>
      <c r="R2236" s="61">
        <f t="shared" si="152"/>
        <v>2</v>
      </c>
      <c r="S2236" s="61">
        <f t="shared" si="153"/>
        <v>2</v>
      </c>
      <c r="T2236" s="61">
        <f t="shared" si="151"/>
        <v>3</v>
      </c>
      <c r="U2236" s="61">
        <f t="shared" si="154"/>
        <v>1</v>
      </c>
      <c r="V2236" s="61" t="s">
        <v>150</v>
      </c>
      <c r="W2236" s="61" t="s">
        <v>1078</v>
      </c>
      <c r="X2236" s="61" t="s">
        <v>57</v>
      </c>
      <c r="Y2236" s="494" t="s">
        <v>8935</v>
      </c>
      <c r="Z2236" s="494" t="s">
        <v>8936</v>
      </c>
      <c r="AA2236" s="61" t="s">
        <v>8937</v>
      </c>
      <c r="AB2236" s="61" t="s">
        <v>8938</v>
      </c>
    </row>
    <row r="2237" spans="1:28" s="2" customFormat="1" ht="28.5">
      <c r="A2237" s="61" t="s">
        <v>778</v>
      </c>
      <c r="B2237" s="61" t="s">
        <v>1411</v>
      </c>
      <c r="C2237" s="61" t="s">
        <v>1253</v>
      </c>
      <c r="D2237" s="61" t="s">
        <v>7838</v>
      </c>
      <c r="E2237" s="61">
        <v>2677</v>
      </c>
      <c r="F2237" s="61">
        <v>2534</v>
      </c>
      <c r="G2237" s="61">
        <v>2025</v>
      </c>
      <c r="H2237" s="61" t="s">
        <v>3126</v>
      </c>
      <c r="I2237" s="61" t="s">
        <v>1345</v>
      </c>
      <c r="J2237" s="61" t="s">
        <v>28</v>
      </c>
      <c r="K2237" s="61" t="s">
        <v>8836</v>
      </c>
      <c r="L2237" s="61" t="s">
        <v>8934</v>
      </c>
      <c r="M2237" s="475">
        <v>45881</v>
      </c>
      <c r="N2237" s="475">
        <v>45883</v>
      </c>
      <c r="O2237" s="475">
        <v>45887</v>
      </c>
      <c r="P2237" s="475">
        <v>45888</v>
      </c>
      <c r="Q2237" s="475">
        <v>45888</v>
      </c>
      <c r="R2237" s="61">
        <f t="shared" si="152"/>
        <v>2</v>
      </c>
      <c r="S2237" s="61">
        <f t="shared" si="153"/>
        <v>2</v>
      </c>
      <c r="T2237" s="61">
        <f t="shared" si="151"/>
        <v>3</v>
      </c>
      <c r="U2237" s="61">
        <f t="shared" si="154"/>
        <v>1</v>
      </c>
      <c r="V2237" s="61" t="s">
        <v>150</v>
      </c>
      <c r="W2237" s="61" t="s">
        <v>1078</v>
      </c>
      <c r="X2237" s="61" t="s">
        <v>57</v>
      </c>
      <c r="Y2237" s="494" t="s">
        <v>8935</v>
      </c>
      <c r="Z2237" s="494" t="s">
        <v>8936</v>
      </c>
      <c r="AA2237" s="61" t="s">
        <v>8937</v>
      </c>
      <c r="AB2237" s="61" t="s">
        <v>8938</v>
      </c>
    </row>
    <row r="2238" spans="1:28" s="2" customFormat="1" ht="28.5">
      <c r="A2238" s="61" t="s">
        <v>778</v>
      </c>
      <c r="B2238" s="61" t="s">
        <v>1411</v>
      </c>
      <c r="C2238" s="61" t="s">
        <v>5319</v>
      </c>
      <c r="D2238" s="61" t="s">
        <v>7838</v>
      </c>
      <c r="E2238" s="61">
        <v>2319</v>
      </c>
      <c r="F2238" s="61">
        <v>2695</v>
      </c>
      <c r="G2238" s="61">
        <v>2025</v>
      </c>
      <c r="H2238" s="61" t="s">
        <v>3126</v>
      </c>
      <c r="I2238" s="61" t="s">
        <v>1345</v>
      </c>
      <c r="J2238" s="61" t="s">
        <v>28</v>
      </c>
      <c r="K2238" s="61" t="s">
        <v>8836</v>
      </c>
      <c r="L2238" s="61" t="s">
        <v>8934</v>
      </c>
      <c r="M2238" s="475">
        <v>45881</v>
      </c>
      <c r="N2238" s="475">
        <v>45883</v>
      </c>
      <c r="O2238" s="475">
        <v>45887</v>
      </c>
      <c r="P2238" s="475">
        <v>45888</v>
      </c>
      <c r="Q2238" s="475">
        <v>45888</v>
      </c>
      <c r="R2238" s="61">
        <f t="shared" si="152"/>
        <v>2</v>
      </c>
      <c r="S2238" s="61">
        <f t="shared" si="153"/>
        <v>2</v>
      </c>
      <c r="T2238" s="61">
        <f t="shared" si="151"/>
        <v>3</v>
      </c>
      <c r="U2238" s="61">
        <f t="shared" si="154"/>
        <v>1</v>
      </c>
      <c r="V2238" s="61" t="s">
        <v>150</v>
      </c>
      <c r="W2238" s="61" t="s">
        <v>1078</v>
      </c>
      <c r="X2238" s="61" t="s">
        <v>50</v>
      </c>
      <c r="Y2238" s="494" t="s">
        <v>8935</v>
      </c>
      <c r="Z2238" s="494" t="s">
        <v>8936</v>
      </c>
      <c r="AA2238" s="61" t="s">
        <v>8937</v>
      </c>
      <c r="AB2238" s="61" t="s">
        <v>8938</v>
      </c>
    </row>
    <row r="2239" spans="1:28" s="2" customFormat="1" ht="28.5">
      <c r="A2239" s="61" t="s">
        <v>778</v>
      </c>
      <c r="B2239" s="61" t="s">
        <v>1411</v>
      </c>
      <c r="C2239" s="61" t="s">
        <v>4950</v>
      </c>
      <c r="D2239" s="61" t="s">
        <v>7838</v>
      </c>
      <c r="E2239" s="61">
        <v>6159</v>
      </c>
      <c r="F2239" s="61">
        <v>5798</v>
      </c>
      <c r="G2239" s="61">
        <v>2025</v>
      </c>
      <c r="H2239" s="61" t="s">
        <v>3126</v>
      </c>
      <c r="I2239" s="61" t="s">
        <v>1345</v>
      </c>
      <c r="J2239" s="61" t="s">
        <v>28</v>
      </c>
      <c r="K2239" s="61" t="s">
        <v>8836</v>
      </c>
      <c r="L2239" s="61" t="s">
        <v>8934</v>
      </c>
      <c r="M2239" s="475">
        <v>45881</v>
      </c>
      <c r="N2239" s="475">
        <v>45883</v>
      </c>
      <c r="O2239" s="475">
        <v>45887</v>
      </c>
      <c r="P2239" s="475">
        <v>45888</v>
      </c>
      <c r="Q2239" s="475">
        <v>45888</v>
      </c>
      <c r="R2239" s="61">
        <f t="shared" si="152"/>
        <v>2</v>
      </c>
      <c r="S2239" s="61">
        <f t="shared" si="153"/>
        <v>2</v>
      </c>
      <c r="T2239" s="61">
        <f t="shared" si="151"/>
        <v>3</v>
      </c>
      <c r="U2239" s="61">
        <f t="shared" si="154"/>
        <v>1</v>
      </c>
      <c r="V2239" s="61" t="s">
        <v>150</v>
      </c>
      <c r="W2239" s="61" t="s">
        <v>1078</v>
      </c>
      <c r="X2239" s="61" t="s">
        <v>50</v>
      </c>
      <c r="Y2239" s="494" t="s">
        <v>8935</v>
      </c>
      <c r="Z2239" s="494" t="s">
        <v>8936</v>
      </c>
      <c r="AA2239" s="61" t="s">
        <v>8937</v>
      </c>
      <c r="AB2239" s="61" t="s">
        <v>8938</v>
      </c>
    </row>
    <row r="2240" spans="1:28" s="2" customFormat="1" ht="28.5">
      <c r="A2240" s="61" t="s">
        <v>778</v>
      </c>
      <c r="B2240" s="61" t="s">
        <v>1411</v>
      </c>
      <c r="C2240" s="61" t="s">
        <v>3133</v>
      </c>
      <c r="D2240" s="61" t="s">
        <v>7838</v>
      </c>
      <c r="E2240" s="61">
        <v>5689</v>
      </c>
      <c r="F2240" s="61">
        <v>5432</v>
      </c>
      <c r="G2240" s="61">
        <v>2025</v>
      </c>
      <c r="H2240" s="61" t="s">
        <v>3532</v>
      </c>
      <c r="I2240" s="61" t="s">
        <v>1345</v>
      </c>
      <c r="J2240" s="61"/>
      <c r="K2240" s="61" t="s">
        <v>148</v>
      </c>
      <c r="L2240" s="61" t="s">
        <v>8942</v>
      </c>
      <c r="M2240" s="475">
        <v>45792</v>
      </c>
      <c r="N2240" s="475">
        <v>45794</v>
      </c>
      <c r="O2240" s="61"/>
      <c r="P2240" s="475">
        <v>45796</v>
      </c>
      <c r="Q2240" s="475">
        <v>45797</v>
      </c>
      <c r="R2240" s="61">
        <f t="shared" si="152"/>
        <v>1</v>
      </c>
      <c r="S2240" s="61" t="str">
        <f t="shared" si="153"/>
        <v/>
      </c>
      <c r="T2240" s="61">
        <f t="shared" si="151"/>
        <v>1</v>
      </c>
      <c r="U2240" s="61">
        <f t="shared" si="154"/>
        <v>1</v>
      </c>
      <c r="V2240" s="61" t="s">
        <v>150</v>
      </c>
      <c r="W2240" s="61" t="s">
        <v>1078</v>
      </c>
      <c r="X2240" s="61" t="s">
        <v>50</v>
      </c>
      <c r="Y2240" s="61" t="s">
        <v>8943</v>
      </c>
      <c r="Z2240" s="61" t="s">
        <v>8944</v>
      </c>
      <c r="AA2240" s="61" t="s">
        <v>182</v>
      </c>
      <c r="AB2240" s="61"/>
    </row>
    <row r="2241" spans="1:28" s="2" customFormat="1" ht="28.5">
      <c r="A2241" s="61" t="s">
        <v>778</v>
      </c>
      <c r="B2241" s="61" t="s">
        <v>1411</v>
      </c>
      <c r="C2241" s="61" t="s">
        <v>4132</v>
      </c>
      <c r="D2241" s="61" t="s">
        <v>7838</v>
      </c>
      <c r="E2241" s="61">
        <v>3166</v>
      </c>
      <c r="F2241" s="61">
        <v>3041</v>
      </c>
      <c r="G2241" s="61">
        <v>2025</v>
      </c>
      <c r="H2241" s="61" t="s">
        <v>3458</v>
      </c>
      <c r="I2241" s="61" t="s">
        <v>1345</v>
      </c>
      <c r="J2241" s="61"/>
      <c r="K2241" s="61" t="s">
        <v>148</v>
      </c>
      <c r="L2241" s="61" t="s">
        <v>8945</v>
      </c>
      <c r="M2241" s="475">
        <v>45700</v>
      </c>
      <c r="N2241" s="475">
        <v>45706</v>
      </c>
      <c r="O2241" s="61"/>
      <c r="P2241" s="475">
        <v>45706</v>
      </c>
      <c r="Q2241" s="475">
        <v>45707</v>
      </c>
      <c r="R2241" s="61">
        <f t="shared" si="152"/>
        <v>4</v>
      </c>
      <c r="S2241" s="61" t="str">
        <f t="shared" si="153"/>
        <v/>
      </c>
      <c r="T2241" s="61">
        <f t="shared" si="151"/>
        <v>1</v>
      </c>
      <c r="U2241" s="61">
        <f t="shared" si="154"/>
        <v>1</v>
      </c>
      <c r="V2241" s="61" t="s">
        <v>150</v>
      </c>
      <c r="W2241" s="61" t="s">
        <v>1078</v>
      </c>
      <c r="X2241" s="61" t="s">
        <v>50</v>
      </c>
      <c r="Y2241" s="61"/>
      <c r="Z2241" s="61"/>
      <c r="AA2241" s="61" t="s">
        <v>182</v>
      </c>
      <c r="AB2241" s="61"/>
    </row>
    <row r="2242" spans="1:28" s="2" customFormat="1" ht="28.5">
      <c r="A2242" s="61" t="s">
        <v>778</v>
      </c>
      <c r="B2242" s="61" t="s">
        <v>1411</v>
      </c>
      <c r="C2242" s="61" t="s">
        <v>4242</v>
      </c>
      <c r="D2242" s="61" t="s">
        <v>7838</v>
      </c>
      <c r="E2242" s="61">
        <v>4530</v>
      </c>
      <c r="F2242" s="61">
        <v>4516</v>
      </c>
      <c r="G2242" s="61"/>
      <c r="H2242" s="61"/>
      <c r="I2242" s="61" t="s">
        <v>1345</v>
      </c>
      <c r="J2242" s="61"/>
      <c r="K2242" s="61" t="s">
        <v>8836</v>
      </c>
      <c r="L2242" s="61"/>
      <c r="M2242" s="61"/>
      <c r="N2242" s="61"/>
      <c r="O2242" s="61"/>
      <c r="P2242" s="61"/>
      <c r="Q2242" s="61"/>
      <c r="R2242" s="61" t="str">
        <f t="shared" si="152"/>
        <v/>
      </c>
      <c r="S2242" s="61" t="str">
        <f t="shared" si="153"/>
        <v/>
      </c>
      <c r="T2242" s="61" t="str">
        <f t="shared" si="151"/>
        <v/>
      </c>
      <c r="U2242" s="61" t="str">
        <f t="shared" si="154"/>
        <v/>
      </c>
      <c r="V2242" s="61"/>
      <c r="W2242" s="61"/>
      <c r="X2242" s="61"/>
      <c r="Y2242" s="61"/>
      <c r="Z2242" s="61"/>
      <c r="AA2242" s="61"/>
      <c r="AB2242" s="61"/>
    </row>
    <row r="2243" spans="1:28" s="2" customFormat="1" ht="28.5">
      <c r="A2243" s="61" t="s">
        <v>778</v>
      </c>
      <c r="B2243" s="61" t="s">
        <v>1411</v>
      </c>
      <c r="C2243" s="61" t="s">
        <v>5694</v>
      </c>
      <c r="D2243" s="61" t="s">
        <v>7838</v>
      </c>
      <c r="E2243" s="61">
        <v>1679</v>
      </c>
      <c r="F2243" s="61">
        <v>1206</v>
      </c>
      <c r="G2243" s="61"/>
      <c r="H2243" s="61"/>
      <c r="I2243" s="61" t="s">
        <v>1345</v>
      </c>
      <c r="J2243" s="61"/>
      <c r="K2243" s="61" t="s">
        <v>8836</v>
      </c>
      <c r="L2243" s="61"/>
      <c r="M2243" s="61"/>
      <c r="N2243" s="61"/>
      <c r="O2243" s="61"/>
      <c r="P2243" s="61"/>
      <c r="Q2243" s="61"/>
      <c r="R2243" s="61" t="str">
        <f t="shared" si="152"/>
        <v/>
      </c>
      <c r="S2243" s="61" t="str">
        <f t="shared" si="153"/>
        <v/>
      </c>
      <c r="T2243" s="61" t="str">
        <f t="shared" si="151"/>
        <v/>
      </c>
      <c r="U2243" s="61" t="str">
        <f t="shared" si="154"/>
        <v/>
      </c>
      <c r="V2243" s="61"/>
      <c r="W2243" s="61"/>
      <c r="X2243" s="61"/>
      <c r="Y2243" s="61"/>
      <c r="Z2243" s="61"/>
      <c r="AA2243" s="61"/>
      <c r="AB2243" s="61"/>
    </row>
    <row r="2244" spans="1:28" s="2" customFormat="1" ht="28.5">
      <c r="A2244" s="61" t="s">
        <v>778</v>
      </c>
      <c r="B2244" s="61" t="s">
        <v>1415</v>
      </c>
      <c r="C2244" s="61" t="s">
        <v>5699</v>
      </c>
      <c r="D2244" s="61" t="s">
        <v>7838</v>
      </c>
      <c r="E2244" s="61">
        <v>5434</v>
      </c>
      <c r="F2244" s="61">
        <v>5916</v>
      </c>
      <c r="G2244" s="61">
        <v>2025</v>
      </c>
      <c r="H2244" s="61" t="s">
        <v>3126</v>
      </c>
      <c r="I2244" s="61" t="s">
        <v>33</v>
      </c>
      <c r="J2244" s="61" t="s">
        <v>28</v>
      </c>
      <c r="K2244" s="61" t="s">
        <v>8836</v>
      </c>
      <c r="L2244" s="61" t="s">
        <v>8946</v>
      </c>
      <c r="M2244" s="475">
        <v>45883</v>
      </c>
      <c r="N2244" s="475">
        <v>45883</v>
      </c>
      <c r="O2244" s="475">
        <v>45887</v>
      </c>
      <c r="P2244" s="475">
        <v>45888</v>
      </c>
      <c r="Q2244" s="475">
        <v>45888</v>
      </c>
      <c r="R2244" s="61">
        <f t="shared" si="152"/>
        <v>1</v>
      </c>
      <c r="S2244" s="61">
        <f t="shared" si="153"/>
        <v>2</v>
      </c>
      <c r="T2244" s="61">
        <f t="shared" si="151"/>
        <v>3</v>
      </c>
      <c r="U2244" s="61">
        <f t="shared" si="154"/>
        <v>1</v>
      </c>
      <c r="V2244" s="61" t="s">
        <v>150</v>
      </c>
      <c r="W2244" s="61" t="s">
        <v>4</v>
      </c>
      <c r="X2244" s="61" t="s">
        <v>50</v>
      </c>
      <c r="Y2244" s="61" t="s">
        <v>8947</v>
      </c>
      <c r="Z2244" s="118" t="s">
        <v>8948</v>
      </c>
      <c r="AA2244" s="61" t="s">
        <v>8918</v>
      </c>
      <c r="AB2244" s="61" t="s">
        <v>8949</v>
      </c>
    </row>
    <row r="2245" spans="1:28" s="2" customFormat="1" ht="28.5">
      <c r="A2245" s="61" t="s">
        <v>778</v>
      </c>
      <c r="B2245" s="61" t="s">
        <v>1415</v>
      </c>
      <c r="C2245" s="61" t="s">
        <v>5703</v>
      </c>
      <c r="D2245" s="61" t="s">
        <v>7838</v>
      </c>
      <c r="E2245" s="61">
        <v>2891</v>
      </c>
      <c r="F2245" s="61">
        <v>2937</v>
      </c>
      <c r="G2245" s="61">
        <v>2025</v>
      </c>
      <c r="H2245" s="61" t="s">
        <v>3125</v>
      </c>
      <c r="I2245" s="61" t="s">
        <v>33</v>
      </c>
      <c r="J2245" s="61" t="s">
        <v>28</v>
      </c>
      <c r="K2245" s="61" t="s">
        <v>8836</v>
      </c>
      <c r="L2245" s="61" t="s">
        <v>8950</v>
      </c>
      <c r="M2245" s="475">
        <v>45853</v>
      </c>
      <c r="N2245" s="475">
        <v>45855</v>
      </c>
      <c r="O2245" s="475">
        <v>45856</v>
      </c>
      <c r="P2245" s="475">
        <v>45856</v>
      </c>
      <c r="Q2245" s="475">
        <v>45856</v>
      </c>
      <c r="R2245" s="61">
        <f t="shared" si="152"/>
        <v>2</v>
      </c>
      <c r="S2245" s="61">
        <f t="shared" si="153"/>
        <v>1</v>
      </c>
      <c r="T2245" s="61">
        <f t="shared" si="151"/>
        <v>1</v>
      </c>
      <c r="U2245" s="61">
        <f t="shared" si="154"/>
        <v>1</v>
      </c>
      <c r="V2245" s="61" t="s">
        <v>150</v>
      </c>
      <c r="W2245" s="61" t="s">
        <v>4</v>
      </c>
      <c r="X2245" s="61" t="s">
        <v>57</v>
      </c>
      <c r="Y2245" s="61">
        <v>15.072240000000001</v>
      </c>
      <c r="Z2245" s="61">
        <v>120.54362</v>
      </c>
      <c r="AA2245" s="61" t="s">
        <v>8918</v>
      </c>
      <c r="AB2245" s="61"/>
    </row>
    <row r="2246" spans="1:28" s="2" customFormat="1" ht="28.5">
      <c r="A2246" s="61" t="s">
        <v>778</v>
      </c>
      <c r="B2246" s="61" t="s">
        <v>1415</v>
      </c>
      <c r="C2246" s="61" t="s">
        <v>5706</v>
      </c>
      <c r="D2246" s="61" t="s">
        <v>7838</v>
      </c>
      <c r="E2246" s="61">
        <v>3695</v>
      </c>
      <c r="F2246" s="61">
        <v>4803</v>
      </c>
      <c r="G2246" s="61">
        <v>2025</v>
      </c>
      <c r="H2246" s="61" t="s">
        <v>3458</v>
      </c>
      <c r="I2246" s="61" t="s">
        <v>33</v>
      </c>
      <c r="J2246" s="61"/>
      <c r="K2246" s="61" t="s">
        <v>148</v>
      </c>
      <c r="L2246" s="61" t="s">
        <v>8951</v>
      </c>
      <c r="M2246" s="475">
        <v>45701</v>
      </c>
      <c r="N2246" s="475">
        <v>45705</v>
      </c>
      <c r="O2246" s="61"/>
      <c r="P2246" s="475">
        <v>45706</v>
      </c>
      <c r="Q2246" s="475">
        <v>45706</v>
      </c>
      <c r="R2246" s="61">
        <f t="shared" si="152"/>
        <v>2</v>
      </c>
      <c r="S2246" s="61" t="str">
        <f t="shared" si="153"/>
        <v/>
      </c>
      <c r="T2246" s="61">
        <f t="shared" si="151"/>
        <v>1</v>
      </c>
      <c r="U2246" s="61">
        <f t="shared" si="154"/>
        <v>1</v>
      </c>
      <c r="V2246" s="61" t="s">
        <v>150</v>
      </c>
      <c r="W2246" s="61" t="s">
        <v>4</v>
      </c>
      <c r="X2246" s="61" t="s">
        <v>50</v>
      </c>
      <c r="Y2246" s="61">
        <v>120.53451</v>
      </c>
      <c r="Z2246" s="61">
        <v>15.06549</v>
      </c>
      <c r="AA2246" s="61" t="s">
        <v>8918</v>
      </c>
      <c r="AB2246" s="61"/>
    </row>
    <row r="2247" spans="1:28" s="2" customFormat="1" ht="28.5">
      <c r="A2247" s="61" t="s">
        <v>778</v>
      </c>
      <c r="B2247" s="61" t="s">
        <v>1415</v>
      </c>
      <c r="C2247" s="61" t="s">
        <v>5708</v>
      </c>
      <c r="D2247" s="61" t="s">
        <v>7838</v>
      </c>
      <c r="E2247" s="61">
        <v>4627</v>
      </c>
      <c r="F2247" s="61">
        <v>5576</v>
      </c>
      <c r="G2247" s="61">
        <v>2025</v>
      </c>
      <c r="H2247" s="61" t="s">
        <v>3126</v>
      </c>
      <c r="I2247" s="61" t="s">
        <v>33</v>
      </c>
      <c r="J2247" s="61" t="s">
        <v>28</v>
      </c>
      <c r="K2247" s="61" t="s">
        <v>8836</v>
      </c>
      <c r="L2247" s="61" t="s">
        <v>8946</v>
      </c>
      <c r="M2247" s="475">
        <v>45883</v>
      </c>
      <c r="N2247" s="475">
        <v>45883</v>
      </c>
      <c r="O2247" s="475">
        <v>45887</v>
      </c>
      <c r="P2247" s="475">
        <v>45888</v>
      </c>
      <c r="Q2247" s="475">
        <v>45888</v>
      </c>
      <c r="R2247" s="61">
        <f t="shared" si="152"/>
        <v>1</v>
      </c>
      <c r="S2247" s="61">
        <f t="shared" si="153"/>
        <v>2</v>
      </c>
      <c r="T2247" s="61">
        <f t="shared" si="151"/>
        <v>3</v>
      </c>
      <c r="U2247" s="61">
        <f t="shared" si="154"/>
        <v>1</v>
      </c>
      <c r="V2247" s="61" t="s">
        <v>150</v>
      </c>
      <c r="W2247" s="61" t="s">
        <v>4</v>
      </c>
      <c r="X2247" s="61" t="s">
        <v>57</v>
      </c>
      <c r="Y2247" s="61" t="s">
        <v>8947</v>
      </c>
      <c r="Z2247" s="118" t="s">
        <v>8948</v>
      </c>
      <c r="AA2247" s="61" t="s">
        <v>8918</v>
      </c>
      <c r="AB2247" s="61" t="s">
        <v>8949</v>
      </c>
    </row>
    <row r="2248" spans="1:28" s="2" customFormat="1" ht="28.5">
      <c r="A2248" s="61" t="s">
        <v>778</v>
      </c>
      <c r="B2248" s="61" t="s">
        <v>1415</v>
      </c>
      <c r="C2248" s="61" t="s">
        <v>4828</v>
      </c>
      <c r="D2248" s="61" t="s">
        <v>7838</v>
      </c>
      <c r="E2248" s="61">
        <v>3577</v>
      </c>
      <c r="F2248" s="61">
        <v>3983</v>
      </c>
      <c r="G2248" s="61">
        <v>2025</v>
      </c>
      <c r="H2248" s="61" t="s">
        <v>3126</v>
      </c>
      <c r="I2248" s="61" t="s">
        <v>33</v>
      </c>
      <c r="J2248" s="61" t="s">
        <v>28</v>
      </c>
      <c r="K2248" s="61" t="s">
        <v>8836</v>
      </c>
      <c r="L2248" s="61" t="s">
        <v>8946</v>
      </c>
      <c r="M2248" s="475">
        <v>45883</v>
      </c>
      <c r="N2248" s="475">
        <v>45883</v>
      </c>
      <c r="O2248" s="475">
        <v>45887</v>
      </c>
      <c r="P2248" s="475">
        <v>45888</v>
      </c>
      <c r="Q2248" s="475">
        <v>45888</v>
      </c>
      <c r="R2248" s="61">
        <f t="shared" si="152"/>
        <v>1</v>
      </c>
      <c r="S2248" s="61">
        <f t="shared" si="153"/>
        <v>2</v>
      </c>
      <c r="T2248" s="61">
        <f t="shared" si="151"/>
        <v>3</v>
      </c>
      <c r="U2248" s="61">
        <f t="shared" si="154"/>
        <v>1</v>
      </c>
      <c r="V2248" s="61" t="s">
        <v>150</v>
      </c>
      <c r="W2248" s="61" t="s">
        <v>4</v>
      </c>
      <c r="X2248" s="61" t="s">
        <v>57</v>
      </c>
      <c r="Y2248" s="61" t="s">
        <v>8947</v>
      </c>
      <c r="Z2248" s="118" t="s">
        <v>8948</v>
      </c>
      <c r="AA2248" s="61" t="s">
        <v>8918</v>
      </c>
      <c r="AB2248" s="61" t="s">
        <v>8949</v>
      </c>
    </row>
    <row r="2249" spans="1:28" s="2" customFormat="1" ht="28.5">
      <c r="A2249" s="61" t="s">
        <v>778</v>
      </c>
      <c r="B2249" s="61" t="s">
        <v>1415</v>
      </c>
      <c r="C2249" s="61" t="s">
        <v>5697</v>
      </c>
      <c r="D2249" s="61" t="s">
        <v>7838</v>
      </c>
      <c r="E2249" s="61">
        <v>3324</v>
      </c>
      <c r="F2249" s="61">
        <v>4040</v>
      </c>
      <c r="G2249" s="61">
        <v>2025</v>
      </c>
      <c r="H2249" s="61" t="s">
        <v>3126</v>
      </c>
      <c r="I2249" s="61" t="s">
        <v>33</v>
      </c>
      <c r="J2249" s="61" t="s">
        <v>28</v>
      </c>
      <c r="K2249" s="61" t="s">
        <v>8836</v>
      </c>
      <c r="L2249" s="61" t="s">
        <v>8946</v>
      </c>
      <c r="M2249" s="475">
        <v>45883</v>
      </c>
      <c r="N2249" s="475">
        <v>45883</v>
      </c>
      <c r="O2249" s="475">
        <v>45887</v>
      </c>
      <c r="P2249" s="475">
        <v>45888</v>
      </c>
      <c r="Q2249" s="475">
        <v>45888</v>
      </c>
      <c r="R2249" s="61">
        <f t="shared" si="152"/>
        <v>1</v>
      </c>
      <c r="S2249" s="61">
        <f t="shared" si="153"/>
        <v>2</v>
      </c>
      <c r="T2249" s="61">
        <f t="shared" si="151"/>
        <v>3</v>
      </c>
      <c r="U2249" s="61">
        <f t="shared" si="154"/>
        <v>1</v>
      </c>
      <c r="V2249" s="61" t="s">
        <v>150</v>
      </c>
      <c r="W2249" s="61" t="s">
        <v>1078</v>
      </c>
      <c r="X2249" s="61" t="s">
        <v>50</v>
      </c>
      <c r="Y2249" s="61" t="s">
        <v>8947</v>
      </c>
      <c r="Z2249" s="118" t="s">
        <v>8948</v>
      </c>
      <c r="AA2249" s="61" t="s">
        <v>8918</v>
      </c>
      <c r="AB2249" s="61" t="s">
        <v>8949</v>
      </c>
    </row>
    <row r="2250" spans="1:28" s="2" customFormat="1" ht="28.5">
      <c r="A2250" s="61" t="s">
        <v>778</v>
      </c>
      <c r="B2250" s="61" t="s">
        <v>1415</v>
      </c>
      <c r="C2250" s="61" t="s">
        <v>1614</v>
      </c>
      <c r="D2250" s="61" t="s">
        <v>7838</v>
      </c>
      <c r="E2250" s="61">
        <v>3823</v>
      </c>
      <c r="F2250" s="61">
        <v>5068</v>
      </c>
      <c r="G2250" s="61">
        <v>2025</v>
      </c>
      <c r="H2250" s="61" t="s">
        <v>3458</v>
      </c>
      <c r="I2250" s="61" t="s">
        <v>33</v>
      </c>
      <c r="J2250" s="61"/>
      <c r="K2250" s="61" t="s">
        <v>148</v>
      </c>
      <c r="L2250" s="61" t="s">
        <v>8952</v>
      </c>
      <c r="M2250" s="475">
        <v>45701</v>
      </c>
      <c r="N2250" s="475">
        <v>45705</v>
      </c>
      <c r="O2250" s="61"/>
      <c r="P2250" s="475">
        <v>45706</v>
      </c>
      <c r="Q2250" s="475">
        <v>45706</v>
      </c>
      <c r="R2250" s="61">
        <f t="shared" si="152"/>
        <v>2</v>
      </c>
      <c r="S2250" s="61" t="str">
        <f t="shared" si="153"/>
        <v/>
      </c>
      <c r="T2250" s="61">
        <f t="shared" si="151"/>
        <v>1</v>
      </c>
      <c r="U2250" s="61">
        <f t="shared" si="154"/>
        <v>1</v>
      </c>
      <c r="V2250" s="61" t="s">
        <v>150</v>
      </c>
      <c r="W2250" s="61" t="s">
        <v>1078</v>
      </c>
      <c r="X2250" s="61" t="s">
        <v>50</v>
      </c>
      <c r="Y2250" s="61">
        <v>120.51289</v>
      </c>
      <c r="Z2250" s="61">
        <v>15.036709999999999</v>
      </c>
      <c r="AA2250" s="61" t="s">
        <v>8918</v>
      </c>
      <c r="AB2250" s="61"/>
    </row>
    <row r="2251" spans="1:28" s="2" customFormat="1" ht="28.5">
      <c r="A2251" s="61" t="s">
        <v>778</v>
      </c>
      <c r="B2251" s="61" t="s">
        <v>1415</v>
      </c>
      <c r="C2251" s="61" t="s">
        <v>1416</v>
      </c>
      <c r="D2251" s="61" t="s">
        <v>7838</v>
      </c>
      <c r="E2251" s="61">
        <v>654</v>
      </c>
      <c r="F2251" s="61">
        <v>1412</v>
      </c>
      <c r="G2251" s="61">
        <v>2025</v>
      </c>
      <c r="H2251" s="61" t="s">
        <v>3689</v>
      </c>
      <c r="I2251" s="61" t="s">
        <v>33</v>
      </c>
      <c r="J2251" s="61" t="s">
        <v>28</v>
      </c>
      <c r="K2251" s="61" t="s">
        <v>148</v>
      </c>
      <c r="L2251" s="61" t="s">
        <v>8953</v>
      </c>
      <c r="M2251" s="475">
        <v>45821</v>
      </c>
      <c r="N2251" s="475">
        <v>45823</v>
      </c>
      <c r="O2251" s="475">
        <v>45826</v>
      </c>
      <c r="P2251" s="475">
        <v>45827</v>
      </c>
      <c r="Q2251" s="475">
        <v>45827</v>
      </c>
      <c r="R2251" s="61">
        <f t="shared" si="152"/>
        <v>1</v>
      </c>
      <c r="S2251" s="61">
        <f t="shared" si="153"/>
        <v>2</v>
      </c>
      <c r="T2251" s="61">
        <f t="shared" si="151"/>
        <v>3</v>
      </c>
      <c r="U2251" s="61">
        <f t="shared" si="154"/>
        <v>1</v>
      </c>
      <c r="V2251" s="61" t="s">
        <v>150</v>
      </c>
      <c r="W2251" s="61" t="s">
        <v>1078</v>
      </c>
      <c r="X2251" s="61" t="s">
        <v>50</v>
      </c>
      <c r="Y2251" s="61" t="s">
        <v>8954</v>
      </c>
      <c r="Z2251" s="61" t="s">
        <v>8955</v>
      </c>
      <c r="AA2251" s="61" t="s">
        <v>8918</v>
      </c>
      <c r="AB2251" s="61"/>
    </row>
    <row r="2252" spans="1:28" s="2" customFormat="1" ht="28.5">
      <c r="A2252" s="61" t="s">
        <v>778</v>
      </c>
      <c r="B2252" s="61" t="s">
        <v>1415</v>
      </c>
      <c r="C2252" s="61" t="s">
        <v>4020</v>
      </c>
      <c r="D2252" s="61" t="s">
        <v>7838</v>
      </c>
      <c r="E2252" s="61">
        <v>2398</v>
      </c>
      <c r="F2252" s="61">
        <v>2543</v>
      </c>
      <c r="G2252" s="61">
        <v>2025</v>
      </c>
      <c r="H2252" s="61" t="s">
        <v>3126</v>
      </c>
      <c r="I2252" s="61" t="s">
        <v>33</v>
      </c>
      <c r="J2252" s="61" t="s">
        <v>28</v>
      </c>
      <c r="K2252" s="61" t="s">
        <v>8836</v>
      </c>
      <c r="L2252" s="61" t="s">
        <v>8946</v>
      </c>
      <c r="M2252" s="475">
        <v>45883</v>
      </c>
      <c r="N2252" s="475">
        <v>45883</v>
      </c>
      <c r="O2252" s="475">
        <v>45887</v>
      </c>
      <c r="P2252" s="475">
        <v>45888</v>
      </c>
      <c r="Q2252" s="475">
        <v>45888</v>
      </c>
      <c r="R2252" s="61">
        <f t="shared" si="152"/>
        <v>1</v>
      </c>
      <c r="S2252" s="61">
        <f t="shared" si="153"/>
        <v>2</v>
      </c>
      <c r="T2252" s="61">
        <f t="shared" si="151"/>
        <v>3</v>
      </c>
      <c r="U2252" s="61">
        <f t="shared" si="154"/>
        <v>1</v>
      </c>
      <c r="V2252" s="61" t="s">
        <v>150</v>
      </c>
      <c r="W2252" s="61" t="s">
        <v>3527</v>
      </c>
      <c r="X2252" s="61" t="s">
        <v>3528</v>
      </c>
      <c r="Y2252" s="61" t="s">
        <v>8947</v>
      </c>
      <c r="Z2252" s="118" t="s">
        <v>8948</v>
      </c>
      <c r="AA2252" s="61" t="s">
        <v>8918</v>
      </c>
      <c r="AB2252" s="61" t="s">
        <v>8949</v>
      </c>
    </row>
    <row r="2253" spans="1:28" s="2" customFormat="1" ht="28.5">
      <c r="A2253" s="61" t="s">
        <v>778</v>
      </c>
      <c r="B2253" s="61" t="s">
        <v>1415</v>
      </c>
      <c r="C2253" s="61" t="s">
        <v>5695</v>
      </c>
      <c r="D2253" s="61" t="s">
        <v>7838</v>
      </c>
      <c r="E2253" s="61">
        <v>6450</v>
      </c>
      <c r="F2253" s="61">
        <v>7779</v>
      </c>
      <c r="G2253" s="61">
        <v>2025</v>
      </c>
      <c r="H2253" s="61" t="s">
        <v>3126</v>
      </c>
      <c r="I2253" s="61" t="s">
        <v>33</v>
      </c>
      <c r="J2253" s="61" t="s">
        <v>28</v>
      </c>
      <c r="K2253" s="61" t="s">
        <v>8836</v>
      </c>
      <c r="L2253" s="61" t="s">
        <v>8946</v>
      </c>
      <c r="M2253" s="475">
        <v>45883</v>
      </c>
      <c r="N2253" s="475">
        <v>45883</v>
      </c>
      <c r="O2253" s="475">
        <v>45887</v>
      </c>
      <c r="P2253" s="475">
        <v>45888</v>
      </c>
      <c r="Q2253" s="475">
        <v>45888</v>
      </c>
      <c r="R2253" s="61">
        <f t="shared" si="152"/>
        <v>1</v>
      </c>
      <c r="S2253" s="61">
        <f t="shared" si="153"/>
        <v>2</v>
      </c>
      <c r="T2253" s="61">
        <f t="shared" si="151"/>
        <v>3</v>
      </c>
      <c r="U2253" s="61">
        <f t="shared" si="154"/>
        <v>1</v>
      </c>
      <c r="V2253" s="61" t="s">
        <v>150</v>
      </c>
      <c r="W2253" s="61" t="s">
        <v>3527</v>
      </c>
      <c r="X2253" s="61" t="s">
        <v>3528</v>
      </c>
      <c r="Y2253" s="61" t="s">
        <v>8947</v>
      </c>
      <c r="Z2253" s="118" t="s">
        <v>8948</v>
      </c>
      <c r="AA2253" s="61" t="s">
        <v>8918</v>
      </c>
      <c r="AB2253" s="61" t="s">
        <v>8949</v>
      </c>
    </row>
    <row r="2254" spans="1:28" s="2" customFormat="1" ht="28.5">
      <c r="A2254" s="61" t="s">
        <v>778</v>
      </c>
      <c r="B2254" s="61" t="s">
        <v>1415</v>
      </c>
      <c r="C2254" s="61" t="s">
        <v>4428</v>
      </c>
      <c r="D2254" s="61" t="s">
        <v>7838</v>
      </c>
      <c r="E2254" s="61">
        <v>1883</v>
      </c>
      <c r="F2254" s="61">
        <v>2431</v>
      </c>
      <c r="G2254" s="61">
        <v>2025</v>
      </c>
      <c r="H2254" s="61" t="s">
        <v>3126</v>
      </c>
      <c r="I2254" s="61" t="s">
        <v>33</v>
      </c>
      <c r="J2254" s="61" t="s">
        <v>28</v>
      </c>
      <c r="K2254" s="61" t="s">
        <v>8836</v>
      </c>
      <c r="L2254" s="61" t="s">
        <v>8946</v>
      </c>
      <c r="M2254" s="475">
        <v>45883</v>
      </c>
      <c r="N2254" s="475">
        <v>45883</v>
      </c>
      <c r="O2254" s="475">
        <v>45887</v>
      </c>
      <c r="P2254" s="475">
        <v>45888</v>
      </c>
      <c r="Q2254" s="475">
        <v>45888</v>
      </c>
      <c r="R2254" s="61">
        <f t="shared" si="152"/>
        <v>1</v>
      </c>
      <c r="S2254" s="61">
        <f t="shared" si="153"/>
        <v>2</v>
      </c>
      <c r="T2254" s="61">
        <f t="shared" si="151"/>
        <v>3</v>
      </c>
      <c r="U2254" s="61">
        <f t="shared" si="154"/>
        <v>1</v>
      </c>
      <c r="V2254" s="61" t="s">
        <v>150</v>
      </c>
      <c r="W2254" s="61" t="s">
        <v>3527</v>
      </c>
      <c r="X2254" s="61" t="s">
        <v>3528</v>
      </c>
      <c r="Y2254" s="61" t="s">
        <v>8947</v>
      </c>
      <c r="Z2254" s="118" t="s">
        <v>8948</v>
      </c>
      <c r="AA2254" s="61" t="s">
        <v>8918</v>
      </c>
      <c r="AB2254" s="61" t="s">
        <v>8949</v>
      </c>
    </row>
    <row r="2255" spans="1:28" s="2" customFormat="1" ht="28.5">
      <c r="A2255" s="61" t="s">
        <v>778</v>
      </c>
      <c r="B2255" s="61" t="s">
        <v>1415</v>
      </c>
      <c r="C2255" s="61" t="s">
        <v>5704</v>
      </c>
      <c r="D2255" s="61" t="s">
        <v>7838</v>
      </c>
      <c r="E2255" s="61">
        <v>270</v>
      </c>
      <c r="F2255" s="61">
        <v>443</v>
      </c>
      <c r="G2255" s="61">
        <v>2025</v>
      </c>
      <c r="H2255" s="61" t="s">
        <v>3126</v>
      </c>
      <c r="I2255" s="61" t="s">
        <v>33</v>
      </c>
      <c r="J2255" s="61" t="s">
        <v>28</v>
      </c>
      <c r="K2255" s="61" t="s">
        <v>8836</v>
      </c>
      <c r="L2255" s="61" t="s">
        <v>8946</v>
      </c>
      <c r="M2255" s="475">
        <v>45883</v>
      </c>
      <c r="N2255" s="475">
        <v>45883</v>
      </c>
      <c r="O2255" s="475">
        <v>45887</v>
      </c>
      <c r="P2255" s="475">
        <v>45888</v>
      </c>
      <c r="Q2255" s="475">
        <v>45888</v>
      </c>
      <c r="R2255" s="61">
        <f t="shared" si="152"/>
        <v>1</v>
      </c>
      <c r="S2255" s="61">
        <f t="shared" si="153"/>
        <v>2</v>
      </c>
      <c r="T2255" s="61">
        <f t="shared" si="151"/>
        <v>3</v>
      </c>
      <c r="U2255" s="61">
        <f t="shared" si="154"/>
        <v>1</v>
      </c>
      <c r="V2255" s="61" t="s">
        <v>150</v>
      </c>
      <c r="W2255" s="61" t="s">
        <v>3527</v>
      </c>
      <c r="X2255" s="61" t="s">
        <v>3528</v>
      </c>
      <c r="Y2255" s="61" t="s">
        <v>8947</v>
      </c>
      <c r="Z2255" s="118" t="s">
        <v>8948</v>
      </c>
      <c r="AA2255" s="61" t="s">
        <v>8918</v>
      </c>
      <c r="AB2255" s="61" t="s">
        <v>8949</v>
      </c>
    </row>
    <row r="2256" spans="1:28" s="2" customFormat="1" ht="28.5">
      <c r="A2256" s="61" t="s">
        <v>778</v>
      </c>
      <c r="B2256" s="61" t="s">
        <v>1415</v>
      </c>
      <c r="C2256" s="61" t="s">
        <v>5197</v>
      </c>
      <c r="D2256" s="61" t="s">
        <v>7838</v>
      </c>
      <c r="E2256" s="61">
        <v>5709</v>
      </c>
      <c r="F2256" s="61">
        <v>6138</v>
      </c>
      <c r="G2256" s="61">
        <v>2025</v>
      </c>
      <c r="H2256" s="61" t="s">
        <v>3126</v>
      </c>
      <c r="I2256" s="61" t="s">
        <v>33</v>
      </c>
      <c r="J2256" s="61" t="s">
        <v>28</v>
      </c>
      <c r="K2256" s="61" t="s">
        <v>8836</v>
      </c>
      <c r="L2256" s="61" t="s">
        <v>8946</v>
      </c>
      <c r="M2256" s="475">
        <v>45883</v>
      </c>
      <c r="N2256" s="475">
        <v>45883</v>
      </c>
      <c r="O2256" s="475">
        <v>45887</v>
      </c>
      <c r="P2256" s="475">
        <v>45888</v>
      </c>
      <c r="Q2256" s="475">
        <v>45888</v>
      </c>
      <c r="R2256" s="61">
        <f t="shared" si="152"/>
        <v>1</v>
      </c>
      <c r="S2256" s="61">
        <f t="shared" si="153"/>
        <v>2</v>
      </c>
      <c r="T2256" s="61">
        <f t="shared" si="151"/>
        <v>3</v>
      </c>
      <c r="U2256" s="61">
        <f t="shared" si="154"/>
        <v>1</v>
      </c>
      <c r="V2256" s="61" t="s">
        <v>150</v>
      </c>
      <c r="W2256" s="61" t="s">
        <v>3527</v>
      </c>
      <c r="X2256" s="61" t="s">
        <v>3528</v>
      </c>
      <c r="Y2256" s="61" t="s">
        <v>8947</v>
      </c>
      <c r="Z2256" s="118" t="s">
        <v>8948</v>
      </c>
      <c r="AA2256" s="61" t="s">
        <v>8918</v>
      </c>
      <c r="AB2256" s="61" t="s">
        <v>8949</v>
      </c>
    </row>
    <row r="2257" spans="1:28" s="2" customFormat="1" ht="28.5">
      <c r="A2257" s="61" t="s">
        <v>778</v>
      </c>
      <c r="B2257" s="61" t="s">
        <v>1415</v>
      </c>
      <c r="C2257" s="61" t="s">
        <v>5705</v>
      </c>
      <c r="D2257" s="61" t="s">
        <v>7838</v>
      </c>
      <c r="E2257" s="61">
        <v>714</v>
      </c>
      <c r="F2257" s="61">
        <v>828</v>
      </c>
      <c r="G2257" s="61">
        <v>2025</v>
      </c>
      <c r="H2257" s="61" t="s">
        <v>3126</v>
      </c>
      <c r="I2257" s="61" t="s">
        <v>33</v>
      </c>
      <c r="J2257" s="61" t="s">
        <v>28</v>
      </c>
      <c r="K2257" s="61" t="s">
        <v>8836</v>
      </c>
      <c r="L2257" s="61" t="s">
        <v>8946</v>
      </c>
      <c r="M2257" s="475">
        <v>45883</v>
      </c>
      <c r="N2257" s="475">
        <v>45883</v>
      </c>
      <c r="O2257" s="475">
        <v>45887</v>
      </c>
      <c r="P2257" s="475">
        <v>45888</v>
      </c>
      <c r="Q2257" s="475">
        <v>45888</v>
      </c>
      <c r="R2257" s="61">
        <f t="shared" si="152"/>
        <v>1</v>
      </c>
      <c r="S2257" s="61">
        <f t="shared" si="153"/>
        <v>2</v>
      </c>
      <c r="T2257" s="61">
        <f t="shared" si="151"/>
        <v>3</v>
      </c>
      <c r="U2257" s="61">
        <f t="shared" si="154"/>
        <v>1</v>
      </c>
      <c r="V2257" s="61" t="s">
        <v>150</v>
      </c>
      <c r="W2257" s="61" t="s">
        <v>3527</v>
      </c>
      <c r="X2257" s="61" t="s">
        <v>3528</v>
      </c>
      <c r="Y2257" s="634" t="s">
        <v>8947</v>
      </c>
      <c r="Z2257" s="118" t="s">
        <v>8948</v>
      </c>
      <c r="AA2257" s="634" t="s">
        <v>8918</v>
      </c>
      <c r="AB2257" s="61" t="s">
        <v>8949</v>
      </c>
    </row>
    <row r="2258" spans="1:28" s="2" customFormat="1" ht="28.5">
      <c r="A2258" s="61" t="s">
        <v>778</v>
      </c>
      <c r="B2258" s="61" t="s">
        <v>1415</v>
      </c>
      <c r="C2258" s="61" t="s">
        <v>5707</v>
      </c>
      <c r="D2258" s="61" t="s">
        <v>7838</v>
      </c>
      <c r="E2258" s="61">
        <v>1743</v>
      </c>
      <c r="F2258" s="61">
        <v>2707</v>
      </c>
      <c r="G2258" s="61">
        <v>2025</v>
      </c>
      <c r="H2258" s="61" t="s">
        <v>3126</v>
      </c>
      <c r="I2258" s="61" t="s">
        <v>33</v>
      </c>
      <c r="J2258" s="61" t="s">
        <v>28</v>
      </c>
      <c r="K2258" s="61" t="s">
        <v>8836</v>
      </c>
      <c r="L2258" s="61" t="s">
        <v>8946</v>
      </c>
      <c r="M2258" s="475">
        <v>45883</v>
      </c>
      <c r="N2258" s="475">
        <v>45883</v>
      </c>
      <c r="O2258" s="475">
        <v>45887</v>
      </c>
      <c r="P2258" s="475">
        <v>45888</v>
      </c>
      <c r="Q2258" s="475">
        <v>45888</v>
      </c>
      <c r="R2258" s="61">
        <f t="shared" si="152"/>
        <v>1</v>
      </c>
      <c r="S2258" s="61">
        <f t="shared" si="153"/>
        <v>2</v>
      </c>
      <c r="T2258" s="61">
        <f t="shared" si="151"/>
        <v>3</v>
      </c>
      <c r="U2258" s="61">
        <f t="shared" si="154"/>
        <v>1</v>
      </c>
      <c r="V2258" s="61" t="s">
        <v>150</v>
      </c>
      <c r="W2258" s="61" t="s">
        <v>3527</v>
      </c>
      <c r="X2258" s="61" t="s">
        <v>3528</v>
      </c>
      <c r="Y2258" s="634" t="s">
        <v>8947</v>
      </c>
      <c r="Z2258" s="118" t="s">
        <v>8948</v>
      </c>
      <c r="AA2258" s="634" t="s">
        <v>8918</v>
      </c>
      <c r="AB2258" s="61" t="s">
        <v>8949</v>
      </c>
    </row>
    <row r="2259" spans="1:28" s="2" customFormat="1" ht="28.5">
      <c r="A2259" s="61" t="s">
        <v>778</v>
      </c>
      <c r="B2259" s="61" t="s">
        <v>1415</v>
      </c>
      <c r="C2259" s="61" t="s">
        <v>5710</v>
      </c>
      <c r="D2259" s="61" t="s">
        <v>7838</v>
      </c>
      <c r="E2259" s="61">
        <v>13606</v>
      </c>
      <c r="F2259" s="61">
        <v>13487</v>
      </c>
      <c r="G2259" s="61">
        <v>2025</v>
      </c>
      <c r="H2259" s="61" t="s">
        <v>3689</v>
      </c>
      <c r="I2259" s="61" t="s">
        <v>33</v>
      </c>
      <c r="J2259" s="61" t="s">
        <v>28</v>
      </c>
      <c r="K2259" s="61" t="s">
        <v>148</v>
      </c>
      <c r="L2259" s="61" t="s">
        <v>8956</v>
      </c>
      <c r="M2259" s="475">
        <v>45821</v>
      </c>
      <c r="N2259" s="475">
        <v>45823</v>
      </c>
      <c r="O2259" s="475">
        <v>45826</v>
      </c>
      <c r="P2259" s="475">
        <v>45827</v>
      </c>
      <c r="Q2259" s="475">
        <v>45827</v>
      </c>
      <c r="R2259" s="61">
        <f t="shared" si="152"/>
        <v>1</v>
      </c>
      <c r="S2259" s="61">
        <f t="shared" si="153"/>
        <v>2</v>
      </c>
      <c r="T2259" s="61">
        <f t="shared" ref="T2259:T2294" si="155">IF(
  OR(A2259 = "Nueva_Ecija", A2259 = "Zambales"),
  IF(
    OR(ISBLANK(O2259), ISBLANK(P2259)),
    "",
    MAX(1, IF(
      NETWORKDAYS(O2259, P2259) &lt;= 0,
      1,
      NETWORKDAYS(O2259, P2259) - IF(O2259 = P2259, 0, 1)
    ))
  ),
  IF(
    OR(ISBLANK(N2259), ISBLANK(P2259)),
    "",
    MAX(1, IF(
      NETWORKDAYS(N2259, P2259) &lt;= 0,
      1,
      NETWORKDAYS(N2259, P2259) - IF(N2259 = P2259, 0, 1)
    ))
  )
)</f>
        <v>3</v>
      </c>
      <c r="U2259" s="61">
        <f t="shared" si="154"/>
        <v>1</v>
      </c>
      <c r="V2259" s="61" t="s">
        <v>150</v>
      </c>
      <c r="W2259" s="61" t="s">
        <v>3527</v>
      </c>
      <c r="X2259" s="61" t="s">
        <v>3528</v>
      </c>
      <c r="Y2259" s="634" t="s">
        <v>69</v>
      </c>
      <c r="Z2259" s="61" t="s">
        <v>69</v>
      </c>
      <c r="AA2259" s="634" t="s">
        <v>8918</v>
      </c>
      <c r="AB2259" s="61"/>
    </row>
    <row r="2260" spans="1:28" s="2" customFormat="1" ht="28.5">
      <c r="A2260" s="61" t="s">
        <v>778</v>
      </c>
      <c r="B2260" s="61" t="s">
        <v>1415</v>
      </c>
      <c r="C2260" s="61" t="s">
        <v>5716</v>
      </c>
      <c r="D2260" s="61" t="s">
        <v>7838</v>
      </c>
      <c r="E2260" s="61">
        <v>3487</v>
      </c>
      <c r="F2260" s="61">
        <v>4426</v>
      </c>
      <c r="G2260" s="61">
        <v>2025</v>
      </c>
      <c r="H2260" s="61" t="s">
        <v>3125</v>
      </c>
      <c r="I2260" s="61" t="s">
        <v>33</v>
      </c>
      <c r="J2260" s="61" t="s">
        <v>28</v>
      </c>
      <c r="K2260" s="61" t="s">
        <v>8836</v>
      </c>
      <c r="L2260" s="61" t="s">
        <v>8957</v>
      </c>
      <c r="M2260" s="475">
        <v>45841</v>
      </c>
      <c r="N2260" s="475">
        <v>45844</v>
      </c>
      <c r="O2260" s="475">
        <v>45847</v>
      </c>
      <c r="P2260" s="475">
        <v>45854</v>
      </c>
      <c r="Q2260" s="475">
        <v>45855</v>
      </c>
      <c r="R2260" s="61">
        <f t="shared" si="152"/>
        <v>1</v>
      </c>
      <c r="S2260" s="61">
        <f t="shared" si="153"/>
        <v>2</v>
      </c>
      <c r="T2260" s="61">
        <f t="shared" si="155"/>
        <v>7</v>
      </c>
      <c r="U2260" s="61">
        <f t="shared" si="154"/>
        <v>1</v>
      </c>
      <c r="V2260" s="61" t="s">
        <v>150</v>
      </c>
      <c r="W2260" s="61" t="s">
        <v>3527</v>
      </c>
      <c r="X2260" s="61" t="s">
        <v>3528</v>
      </c>
      <c r="Y2260" s="61" t="s">
        <v>69</v>
      </c>
      <c r="Z2260" s="61" t="s">
        <v>69</v>
      </c>
      <c r="AA2260" s="61" t="s">
        <v>8918</v>
      </c>
      <c r="AB2260" s="61"/>
    </row>
    <row r="2261" spans="1:28" s="2" customFormat="1" ht="28.5">
      <c r="A2261" s="61" t="s">
        <v>778</v>
      </c>
      <c r="B2261" s="61" t="s">
        <v>1415</v>
      </c>
      <c r="C2261" s="61" t="s">
        <v>5718</v>
      </c>
      <c r="D2261" s="61" t="s">
        <v>7838</v>
      </c>
      <c r="E2261" s="61">
        <v>16838</v>
      </c>
      <c r="F2261" s="61">
        <v>18206</v>
      </c>
      <c r="G2261" s="61">
        <v>2025</v>
      </c>
      <c r="H2261" s="61" t="s">
        <v>3125</v>
      </c>
      <c r="I2261" s="61" t="s">
        <v>33</v>
      </c>
      <c r="J2261" s="61" t="s">
        <v>28</v>
      </c>
      <c r="K2261" s="61" t="s">
        <v>8836</v>
      </c>
      <c r="L2261" s="61" t="s">
        <v>8958</v>
      </c>
      <c r="M2261" s="475">
        <v>45847</v>
      </c>
      <c r="N2261" s="475">
        <v>45850</v>
      </c>
      <c r="O2261" s="475">
        <v>45856</v>
      </c>
      <c r="P2261" s="475">
        <v>45856</v>
      </c>
      <c r="Q2261" s="475">
        <v>45856</v>
      </c>
      <c r="R2261" s="61">
        <f t="shared" si="152"/>
        <v>2</v>
      </c>
      <c r="S2261" s="61">
        <f t="shared" si="153"/>
        <v>4</v>
      </c>
      <c r="T2261" s="61">
        <f t="shared" si="155"/>
        <v>4</v>
      </c>
      <c r="U2261" s="61">
        <f t="shared" si="154"/>
        <v>1</v>
      </c>
      <c r="V2261" s="61" t="s">
        <v>150</v>
      </c>
      <c r="W2261" s="61" t="s">
        <v>3527</v>
      </c>
      <c r="X2261" s="61" t="s">
        <v>3528</v>
      </c>
      <c r="Y2261" s="61" t="s">
        <v>1229</v>
      </c>
      <c r="Z2261" s="61" t="s">
        <v>1229</v>
      </c>
      <c r="AA2261" s="61" t="s">
        <v>8918</v>
      </c>
      <c r="AB2261" s="61"/>
    </row>
    <row r="2262" spans="1:28" s="2" customFormat="1" ht="28.5">
      <c r="A2262" s="61" t="s">
        <v>778</v>
      </c>
      <c r="B2262" s="61" t="s">
        <v>1415</v>
      </c>
      <c r="C2262" s="61" t="s">
        <v>1056</v>
      </c>
      <c r="D2262" s="61" t="s">
        <v>7838</v>
      </c>
      <c r="E2262" s="61">
        <v>2044</v>
      </c>
      <c r="F2262" s="61">
        <v>1555</v>
      </c>
      <c r="G2262" s="61">
        <v>2025</v>
      </c>
      <c r="H2262" s="61" t="s">
        <v>3126</v>
      </c>
      <c r="I2262" s="61" t="s">
        <v>33</v>
      </c>
      <c r="J2262" s="61" t="s">
        <v>28</v>
      </c>
      <c r="K2262" s="61" t="s">
        <v>8836</v>
      </c>
      <c r="L2262" s="61" t="s">
        <v>8946</v>
      </c>
      <c r="M2262" s="475">
        <v>45883</v>
      </c>
      <c r="N2262" s="475">
        <v>45883</v>
      </c>
      <c r="O2262" s="475">
        <v>45887</v>
      </c>
      <c r="P2262" s="475">
        <v>45888</v>
      </c>
      <c r="Q2262" s="475">
        <v>45888</v>
      </c>
      <c r="R2262" s="61">
        <f t="shared" si="152"/>
        <v>1</v>
      </c>
      <c r="S2262" s="61">
        <f t="shared" si="153"/>
        <v>2</v>
      </c>
      <c r="T2262" s="61">
        <f t="shared" si="155"/>
        <v>3</v>
      </c>
      <c r="U2262" s="61">
        <f t="shared" si="154"/>
        <v>1</v>
      </c>
      <c r="V2262" s="61" t="s">
        <v>150</v>
      </c>
      <c r="W2262" s="61" t="s">
        <v>3527</v>
      </c>
      <c r="X2262" s="61" t="s">
        <v>3528</v>
      </c>
      <c r="Y2262" s="61" t="s">
        <v>8947</v>
      </c>
      <c r="Z2262" s="118" t="s">
        <v>8948</v>
      </c>
      <c r="AA2262" s="61" t="s">
        <v>8918</v>
      </c>
      <c r="AB2262" s="61" t="s">
        <v>8949</v>
      </c>
    </row>
    <row r="2263" spans="1:28" s="2" customFormat="1" ht="28.5">
      <c r="A2263" s="61" t="s">
        <v>778</v>
      </c>
      <c r="B2263" s="61" t="s">
        <v>1415</v>
      </c>
      <c r="C2263" s="61" t="s">
        <v>1899</v>
      </c>
      <c r="D2263" s="61" t="s">
        <v>7838</v>
      </c>
      <c r="E2263" s="61">
        <v>17501</v>
      </c>
      <c r="F2263" s="61">
        <v>18624</v>
      </c>
      <c r="G2263" s="61">
        <v>2025</v>
      </c>
      <c r="H2263" s="61" t="s">
        <v>3416</v>
      </c>
      <c r="I2263" s="61" t="s">
        <v>33</v>
      </c>
      <c r="J2263" s="61"/>
      <c r="K2263" s="61" t="s">
        <v>148</v>
      </c>
      <c r="L2263" s="61" t="s">
        <v>8959</v>
      </c>
      <c r="M2263" s="475">
        <v>45727</v>
      </c>
      <c r="N2263" s="475">
        <v>45731</v>
      </c>
      <c r="O2263" s="61"/>
      <c r="P2263" s="475">
        <v>45733</v>
      </c>
      <c r="Q2263" s="475">
        <v>45734</v>
      </c>
      <c r="R2263" s="61">
        <f t="shared" si="152"/>
        <v>3</v>
      </c>
      <c r="S2263" s="61" t="str">
        <f t="shared" si="153"/>
        <v/>
      </c>
      <c r="T2263" s="61">
        <f t="shared" si="155"/>
        <v>1</v>
      </c>
      <c r="U2263" s="61">
        <f t="shared" si="154"/>
        <v>1</v>
      </c>
      <c r="V2263" s="61" t="s">
        <v>150</v>
      </c>
      <c r="W2263" s="61" t="s">
        <v>3527</v>
      </c>
      <c r="X2263" s="61" t="s">
        <v>3528</v>
      </c>
      <c r="Y2263" s="61">
        <v>15.12669</v>
      </c>
      <c r="Z2263" s="61">
        <v>120.57283</v>
      </c>
      <c r="AA2263" s="61" t="s">
        <v>8918</v>
      </c>
      <c r="AB2263" s="61"/>
    </row>
    <row r="2264" spans="1:28" s="2" customFormat="1" ht="28.5">
      <c r="A2264" s="61" t="s">
        <v>778</v>
      </c>
      <c r="B2264" s="61" t="s">
        <v>1415</v>
      </c>
      <c r="C2264" s="61" t="s">
        <v>5727</v>
      </c>
      <c r="D2264" s="61" t="s">
        <v>7838</v>
      </c>
      <c r="E2264" s="61">
        <v>1264</v>
      </c>
      <c r="F2264" s="61">
        <v>1398</v>
      </c>
      <c r="G2264" s="61">
        <v>2025</v>
      </c>
      <c r="H2264" s="61" t="s">
        <v>3128</v>
      </c>
      <c r="I2264" s="61" t="s">
        <v>33</v>
      </c>
      <c r="J2264" s="61"/>
      <c r="K2264" s="61" t="s">
        <v>8836</v>
      </c>
      <c r="L2264" s="61" t="s">
        <v>8960</v>
      </c>
      <c r="M2264" s="475">
        <v>45937</v>
      </c>
      <c r="N2264" s="475">
        <v>45940</v>
      </c>
      <c r="O2264" s="61"/>
      <c r="P2264" s="475">
        <v>45945</v>
      </c>
      <c r="Q2264" s="475">
        <v>45950</v>
      </c>
      <c r="R2264" s="61">
        <f t="shared" ref="R2264:R2294" si="156">IF(
    OR(ISBLANK(M2264), ISBLANK(N2264)),
    "",
    MAX(1, IF(
        NETWORKDAYS(M2264, N2264) &lt;= 0,
        1,
        NETWORKDAYS(M2264, N2264) - IF(M2264 = N2264, 0, 1)
    ))
)</f>
        <v>3</v>
      </c>
      <c r="S2264" s="61" t="str">
        <f t="shared" ref="S2264:S2294" si="157">IF(
    OR(ISBLANK(N2264), ISBLANK(O2264)),
    "",
    MAX(1, IF(
        NETWORKDAYS(N2264, O2264) &lt;= 0,
        1,
        NETWORKDAYS(N2264, O2264) - IF(N2264 = O2264, 0, 1)
    ))
)</f>
        <v/>
      </c>
      <c r="T2264" s="61">
        <f t="shared" si="155"/>
        <v>3</v>
      </c>
      <c r="U2264" s="61">
        <f t="shared" ref="U2264:U2327" si="158">IF(
    OR(ISBLANK(P2264), ISBLANK(Q2264)),
    "",
    MAX(1, IF(
        NETWORKDAYS(P2264, Q2264) &lt;= 0,
        1,
        NETWORKDAYS(P2264, Q2264) - IF(P2264 = Q2264, 0, 1)
    ))
)</f>
        <v>3</v>
      </c>
      <c r="V2264" s="61" t="s">
        <v>150</v>
      </c>
      <c r="W2264" s="61" t="s">
        <v>3527</v>
      </c>
      <c r="X2264" s="61" t="s">
        <v>3528</v>
      </c>
      <c r="Y2264" s="61" t="s">
        <v>69</v>
      </c>
      <c r="Z2264" s="61" t="s">
        <v>69</v>
      </c>
      <c r="AA2264" s="61" t="s">
        <v>292</v>
      </c>
      <c r="AB2264" s="61" t="s">
        <v>8949</v>
      </c>
    </row>
    <row r="2265" spans="1:28" s="2" customFormat="1" ht="28.5">
      <c r="A2265" s="61" t="s">
        <v>778</v>
      </c>
      <c r="B2265" s="61" t="s">
        <v>1415</v>
      </c>
      <c r="C2265" s="61" t="s">
        <v>5722</v>
      </c>
      <c r="D2265" s="61" t="s">
        <v>7838</v>
      </c>
      <c r="E2265" s="61">
        <v>5354</v>
      </c>
      <c r="F2265" s="61">
        <v>5591</v>
      </c>
      <c r="G2265" s="61">
        <v>2025</v>
      </c>
      <c r="H2265" s="61" t="s">
        <v>3128</v>
      </c>
      <c r="I2265" s="61" t="s">
        <v>33</v>
      </c>
      <c r="J2265" s="61"/>
      <c r="K2265" s="61" t="s">
        <v>8836</v>
      </c>
      <c r="L2265" s="61" t="s">
        <v>8960</v>
      </c>
      <c r="M2265" s="475">
        <v>45937</v>
      </c>
      <c r="N2265" s="475">
        <v>45940</v>
      </c>
      <c r="O2265" s="61"/>
      <c r="P2265" s="475">
        <v>45945</v>
      </c>
      <c r="Q2265" s="475">
        <v>45950</v>
      </c>
      <c r="R2265" s="61">
        <f t="shared" si="156"/>
        <v>3</v>
      </c>
      <c r="S2265" s="61" t="str">
        <f t="shared" si="157"/>
        <v/>
      </c>
      <c r="T2265" s="61">
        <f t="shared" si="155"/>
        <v>3</v>
      </c>
      <c r="U2265" s="61">
        <f t="shared" si="158"/>
        <v>3</v>
      </c>
      <c r="V2265" s="61" t="s">
        <v>150</v>
      </c>
      <c r="W2265" s="61" t="s">
        <v>3527</v>
      </c>
      <c r="X2265" s="61" t="s">
        <v>3528</v>
      </c>
      <c r="Y2265" s="61" t="s">
        <v>69</v>
      </c>
      <c r="Z2265" s="61" t="s">
        <v>69</v>
      </c>
      <c r="AA2265" s="61" t="s">
        <v>292</v>
      </c>
      <c r="AB2265" s="61" t="s">
        <v>8949</v>
      </c>
    </row>
    <row r="2266" spans="1:28" s="2" customFormat="1" ht="28.5">
      <c r="A2266" s="61" t="s">
        <v>778</v>
      </c>
      <c r="B2266" s="61" t="s">
        <v>1415</v>
      </c>
      <c r="C2266" s="61" t="s">
        <v>5728</v>
      </c>
      <c r="D2266" s="61" t="s">
        <v>7838</v>
      </c>
      <c r="E2266" s="61">
        <v>3031</v>
      </c>
      <c r="F2266" s="61">
        <v>3637</v>
      </c>
      <c r="G2266" s="61">
        <v>2025</v>
      </c>
      <c r="H2266" s="61" t="s">
        <v>3128</v>
      </c>
      <c r="I2266" s="61" t="s">
        <v>33</v>
      </c>
      <c r="J2266" s="61"/>
      <c r="K2266" s="61" t="s">
        <v>8836</v>
      </c>
      <c r="L2266" s="61" t="s">
        <v>8960</v>
      </c>
      <c r="M2266" s="475">
        <v>45937</v>
      </c>
      <c r="N2266" s="475">
        <v>45940</v>
      </c>
      <c r="O2266" s="61"/>
      <c r="P2266" s="475">
        <v>45945</v>
      </c>
      <c r="Q2266" s="475">
        <v>45950</v>
      </c>
      <c r="R2266" s="61">
        <f t="shared" si="156"/>
        <v>3</v>
      </c>
      <c r="S2266" s="61" t="str">
        <f t="shared" si="157"/>
        <v/>
      </c>
      <c r="T2266" s="61">
        <f t="shared" si="155"/>
        <v>3</v>
      </c>
      <c r="U2266" s="61">
        <f t="shared" si="158"/>
        <v>3</v>
      </c>
      <c r="V2266" s="61" t="s">
        <v>150</v>
      </c>
      <c r="W2266" s="61" t="s">
        <v>4</v>
      </c>
      <c r="X2266" s="61" t="s">
        <v>57</v>
      </c>
      <c r="Y2266" s="61" t="s">
        <v>69</v>
      </c>
      <c r="Z2266" s="61" t="s">
        <v>69</v>
      </c>
      <c r="AA2266" s="61" t="s">
        <v>292</v>
      </c>
      <c r="AB2266" s="61" t="s">
        <v>8949</v>
      </c>
    </row>
    <row r="2267" spans="1:28" s="2" customFormat="1" ht="28.5">
      <c r="A2267" s="61" t="s">
        <v>778</v>
      </c>
      <c r="B2267" s="61" t="s">
        <v>1415</v>
      </c>
      <c r="C2267" s="61" t="s">
        <v>5729</v>
      </c>
      <c r="D2267" s="61" t="s">
        <v>7838</v>
      </c>
      <c r="E2267" s="61">
        <v>839</v>
      </c>
      <c r="F2267" s="61">
        <v>1120</v>
      </c>
      <c r="G2267" s="61">
        <v>2025</v>
      </c>
      <c r="H2267" s="61" t="s">
        <v>3128</v>
      </c>
      <c r="I2267" s="61" t="s">
        <v>33</v>
      </c>
      <c r="J2267" s="61"/>
      <c r="K2267" s="61" t="s">
        <v>8836</v>
      </c>
      <c r="L2267" s="61" t="s">
        <v>8960</v>
      </c>
      <c r="M2267" s="475">
        <v>45937</v>
      </c>
      <c r="N2267" s="475">
        <v>45940</v>
      </c>
      <c r="O2267" s="61"/>
      <c r="P2267" s="475">
        <v>45945</v>
      </c>
      <c r="Q2267" s="475">
        <v>45950</v>
      </c>
      <c r="R2267" s="61">
        <f t="shared" si="156"/>
        <v>3</v>
      </c>
      <c r="S2267" s="61" t="str">
        <f t="shared" si="157"/>
        <v/>
      </c>
      <c r="T2267" s="61">
        <f t="shared" si="155"/>
        <v>3</v>
      </c>
      <c r="U2267" s="61">
        <f t="shared" si="158"/>
        <v>3</v>
      </c>
      <c r="V2267" s="61" t="s">
        <v>150</v>
      </c>
      <c r="W2267" s="61" t="s">
        <v>3527</v>
      </c>
      <c r="X2267" s="61" t="s">
        <v>3528</v>
      </c>
      <c r="Y2267" s="61" t="s">
        <v>69</v>
      </c>
      <c r="Z2267" s="61" t="s">
        <v>69</v>
      </c>
      <c r="AA2267" s="61" t="s">
        <v>292</v>
      </c>
      <c r="AB2267" s="61" t="s">
        <v>8949</v>
      </c>
    </row>
    <row r="2268" spans="1:28" s="2" customFormat="1" ht="28.5">
      <c r="A2268" s="61" t="s">
        <v>778</v>
      </c>
      <c r="B2268" s="61" t="s">
        <v>1415</v>
      </c>
      <c r="C2268" s="61" t="s">
        <v>5701</v>
      </c>
      <c r="D2268" s="61" t="s">
        <v>7838</v>
      </c>
      <c r="E2268" s="61">
        <v>4141</v>
      </c>
      <c r="F2268" s="61">
        <v>5039</v>
      </c>
      <c r="G2268" s="61">
        <v>2025</v>
      </c>
      <c r="H2268" s="61" t="s">
        <v>3127</v>
      </c>
      <c r="I2268" s="61" t="s">
        <v>33</v>
      </c>
      <c r="J2268" s="61" t="s">
        <v>28</v>
      </c>
      <c r="K2268" s="61" t="s">
        <v>8836</v>
      </c>
      <c r="L2268" s="61" t="s">
        <v>8961</v>
      </c>
      <c r="M2268" s="475">
        <v>45917</v>
      </c>
      <c r="N2268" s="475">
        <v>45917</v>
      </c>
      <c r="O2268" s="475">
        <v>45917</v>
      </c>
      <c r="P2268" s="475">
        <v>45918</v>
      </c>
      <c r="Q2268" s="475">
        <v>45918</v>
      </c>
      <c r="R2268" s="61">
        <f t="shared" si="156"/>
        <v>1</v>
      </c>
      <c r="S2268" s="61">
        <f t="shared" si="157"/>
        <v>1</v>
      </c>
      <c r="T2268" s="61">
        <f t="shared" si="155"/>
        <v>1</v>
      </c>
      <c r="U2268" s="61">
        <f t="shared" si="158"/>
        <v>1</v>
      </c>
      <c r="V2268" s="61" t="s">
        <v>150</v>
      </c>
      <c r="W2268" s="61" t="s">
        <v>3527</v>
      </c>
      <c r="X2268" s="61" t="s">
        <v>3528</v>
      </c>
      <c r="Y2268" s="560" t="s">
        <v>8947</v>
      </c>
      <c r="Z2268" s="61" t="s">
        <v>8948</v>
      </c>
      <c r="AA2268" s="437" t="s">
        <v>8962</v>
      </c>
      <c r="AB2268" s="61" t="s">
        <v>8949</v>
      </c>
    </row>
    <row r="2269" spans="1:28" s="2" customFormat="1" ht="28.5">
      <c r="A2269" s="61" t="s">
        <v>778</v>
      </c>
      <c r="B2269" s="61" t="s">
        <v>1415</v>
      </c>
      <c r="C2269" s="61" t="s">
        <v>5714</v>
      </c>
      <c r="D2269" s="61" t="s">
        <v>7838</v>
      </c>
      <c r="E2269" s="61">
        <v>519</v>
      </c>
      <c r="F2269" s="61">
        <v>980</v>
      </c>
      <c r="G2269" s="61">
        <v>2025</v>
      </c>
      <c r="H2269" s="61" t="s">
        <v>3127</v>
      </c>
      <c r="I2269" s="61" t="s">
        <v>33</v>
      </c>
      <c r="J2269" s="61" t="s">
        <v>28</v>
      </c>
      <c r="K2269" s="61" t="s">
        <v>8836</v>
      </c>
      <c r="L2269" s="61" t="s">
        <v>8961</v>
      </c>
      <c r="M2269" s="475">
        <v>45917</v>
      </c>
      <c r="N2269" s="475">
        <v>45917</v>
      </c>
      <c r="O2269" s="475">
        <v>45917</v>
      </c>
      <c r="P2269" s="475">
        <v>45918</v>
      </c>
      <c r="Q2269" s="475">
        <v>45918</v>
      </c>
      <c r="R2269" s="61">
        <f t="shared" si="156"/>
        <v>1</v>
      </c>
      <c r="S2269" s="61">
        <f t="shared" si="157"/>
        <v>1</v>
      </c>
      <c r="T2269" s="61">
        <f t="shared" si="155"/>
        <v>1</v>
      </c>
      <c r="U2269" s="61">
        <f t="shared" si="158"/>
        <v>1</v>
      </c>
      <c r="V2269" s="61" t="s">
        <v>150</v>
      </c>
      <c r="W2269" s="61" t="s">
        <v>3527</v>
      </c>
      <c r="X2269" s="61" t="s">
        <v>3528</v>
      </c>
      <c r="Y2269" s="560" t="s">
        <v>8947</v>
      </c>
      <c r="Z2269" s="61" t="s">
        <v>8948</v>
      </c>
      <c r="AA2269" s="437" t="s">
        <v>8962</v>
      </c>
      <c r="AB2269" s="61" t="s">
        <v>8949</v>
      </c>
    </row>
    <row r="2270" spans="1:28" s="2" customFormat="1" ht="28.5">
      <c r="A2270" s="61" t="s">
        <v>778</v>
      </c>
      <c r="B2270" s="61" t="s">
        <v>1415</v>
      </c>
      <c r="C2270" s="61" t="s">
        <v>5715</v>
      </c>
      <c r="D2270" s="61" t="s">
        <v>7838</v>
      </c>
      <c r="E2270" s="61">
        <v>641</v>
      </c>
      <c r="F2270" s="61">
        <v>1766</v>
      </c>
      <c r="G2270" s="61">
        <v>2025</v>
      </c>
      <c r="H2270" s="61" t="s">
        <v>3127</v>
      </c>
      <c r="I2270" s="61" t="s">
        <v>33</v>
      </c>
      <c r="J2270" s="61" t="s">
        <v>28</v>
      </c>
      <c r="K2270" s="61" t="s">
        <v>8836</v>
      </c>
      <c r="L2270" s="61" t="s">
        <v>8961</v>
      </c>
      <c r="M2270" s="475">
        <v>45917</v>
      </c>
      <c r="N2270" s="475">
        <v>45917</v>
      </c>
      <c r="O2270" s="475">
        <v>45917</v>
      </c>
      <c r="P2270" s="475">
        <v>45918</v>
      </c>
      <c r="Q2270" s="475">
        <v>45918</v>
      </c>
      <c r="R2270" s="61">
        <f t="shared" si="156"/>
        <v>1</v>
      </c>
      <c r="S2270" s="61">
        <f t="shared" si="157"/>
        <v>1</v>
      </c>
      <c r="T2270" s="61">
        <f t="shared" si="155"/>
        <v>1</v>
      </c>
      <c r="U2270" s="61">
        <f t="shared" si="158"/>
        <v>1</v>
      </c>
      <c r="V2270" s="61" t="s">
        <v>150</v>
      </c>
      <c r="W2270" s="61" t="s">
        <v>3527</v>
      </c>
      <c r="X2270" s="61" t="s">
        <v>3528</v>
      </c>
      <c r="Y2270" s="560" t="s">
        <v>8947</v>
      </c>
      <c r="Z2270" s="61" t="s">
        <v>8948</v>
      </c>
      <c r="AA2270" s="437" t="s">
        <v>8962</v>
      </c>
      <c r="AB2270" s="61" t="s">
        <v>8949</v>
      </c>
    </row>
    <row r="2271" spans="1:28" s="2" customFormat="1" ht="28.5">
      <c r="A2271" s="61" t="s">
        <v>778</v>
      </c>
      <c r="B2271" s="61" t="s">
        <v>1415</v>
      </c>
      <c r="C2271" s="61" t="s">
        <v>5712</v>
      </c>
      <c r="D2271" s="61" t="s">
        <v>7838</v>
      </c>
      <c r="E2271" s="61">
        <v>7089</v>
      </c>
      <c r="F2271" s="61">
        <v>7297</v>
      </c>
      <c r="G2271" s="61">
        <v>2025</v>
      </c>
      <c r="H2271" s="61" t="s">
        <v>3127</v>
      </c>
      <c r="I2271" s="61" t="s">
        <v>33</v>
      </c>
      <c r="J2271" s="61" t="s">
        <v>28</v>
      </c>
      <c r="K2271" s="61" t="s">
        <v>8836</v>
      </c>
      <c r="L2271" s="61" t="s">
        <v>8961</v>
      </c>
      <c r="M2271" s="475">
        <v>45917</v>
      </c>
      <c r="N2271" s="475">
        <v>45917</v>
      </c>
      <c r="O2271" s="475">
        <v>45917</v>
      </c>
      <c r="P2271" s="475">
        <v>45918</v>
      </c>
      <c r="Q2271" s="475">
        <v>45918</v>
      </c>
      <c r="R2271" s="61">
        <f t="shared" si="156"/>
        <v>1</v>
      </c>
      <c r="S2271" s="61">
        <f t="shared" si="157"/>
        <v>1</v>
      </c>
      <c r="T2271" s="61">
        <f t="shared" si="155"/>
        <v>1</v>
      </c>
      <c r="U2271" s="61">
        <f t="shared" si="158"/>
        <v>1</v>
      </c>
      <c r="V2271" s="61" t="s">
        <v>150</v>
      </c>
      <c r="W2271" s="61" t="s">
        <v>3527</v>
      </c>
      <c r="X2271" s="61" t="s">
        <v>3528</v>
      </c>
      <c r="Y2271" s="560" t="s">
        <v>8947</v>
      </c>
      <c r="Z2271" s="61" t="s">
        <v>8948</v>
      </c>
      <c r="AA2271" s="437" t="s">
        <v>8962</v>
      </c>
      <c r="AB2271" s="61" t="s">
        <v>8949</v>
      </c>
    </row>
    <row r="2272" spans="1:28" s="2" customFormat="1" ht="28.5">
      <c r="A2272" s="61" t="s">
        <v>778</v>
      </c>
      <c r="B2272" s="61" t="s">
        <v>1415</v>
      </c>
      <c r="C2272" s="61" t="s">
        <v>5724</v>
      </c>
      <c r="D2272" s="61" t="s">
        <v>7838</v>
      </c>
      <c r="E2272" s="61">
        <v>835</v>
      </c>
      <c r="F2272" s="61">
        <v>1021</v>
      </c>
      <c r="G2272" s="61">
        <v>2025</v>
      </c>
      <c r="H2272" s="61" t="s">
        <v>3127</v>
      </c>
      <c r="I2272" s="61" t="s">
        <v>33</v>
      </c>
      <c r="J2272" s="61" t="s">
        <v>28</v>
      </c>
      <c r="K2272" s="61" t="s">
        <v>8836</v>
      </c>
      <c r="L2272" s="61" t="s">
        <v>8961</v>
      </c>
      <c r="M2272" s="475">
        <v>45917</v>
      </c>
      <c r="N2272" s="475">
        <v>45917</v>
      </c>
      <c r="O2272" s="475">
        <v>45917</v>
      </c>
      <c r="P2272" s="475">
        <v>45918</v>
      </c>
      <c r="Q2272" s="475">
        <v>45918</v>
      </c>
      <c r="R2272" s="61">
        <f t="shared" si="156"/>
        <v>1</v>
      </c>
      <c r="S2272" s="61">
        <f t="shared" si="157"/>
        <v>1</v>
      </c>
      <c r="T2272" s="61">
        <f t="shared" si="155"/>
        <v>1</v>
      </c>
      <c r="U2272" s="61">
        <f t="shared" si="158"/>
        <v>1</v>
      </c>
      <c r="V2272" s="61" t="s">
        <v>150</v>
      </c>
      <c r="W2272" s="61" t="s">
        <v>3527</v>
      </c>
      <c r="X2272" s="61" t="s">
        <v>3528</v>
      </c>
      <c r="Y2272" s="560" t="s">
        <v>8947</v>
      </c>
      <c r="Z2272" s="61" t="s">
        <v>8948</v>
      </c>
      <c r="AA2272" s="437" t="s">
        <v>8962</v>
      </c>
      <c r="AB2272" s="61" t="s">
        <v>8949</v>
      </c>
    </row>
    <row r="2273" spans="1:28" s="2" customFormat="1" ht="28.5">
      <c r="A2273" s="61" t="s">
        <v>778</v>
      </c>
      <c r="B2273" s="61" t="s">
        <v>992</v>
      </c>
      <c r="C2273" s="61" t="s">
        <v>4126</v>
      </c>
      <c r="D2273" s="61" t="s">
        <v>7838</v>
      </c>
      <c r="E2273" s="61">
        <v>1475</v>
      </c>
      <c r="F2273" s="61">
        <v>1563</v>
      </c>
      <c r="G2273" s="61">
        <v>2025</v>
      </c>
      <c r="H2273" s="61" t="s">
        <v>3416</v>
      </c>
      <c r="I2273" s="61" t="s">
        <v>1345</v>
      </c>
      <c r="J2273" s="61"/>
      <c r="K2273" s="61" t="s">
        <v>148</v>
      </c>
      <c r="L2273" s="61" t="s">
        <v>8963</v>
      </c>
      <c r="M2273" s="475">
        <v>45728</v>
      </c>
      <c r="N2273" s="475">
        <v>45734</v>
      </c>
      <c r="O2273" s="475"/>
      <c r="P2273" s="475">
        <v>45734</v>
      </c>
      <c r="Q2273" s="475">
        <v>45735</v>
      </c>
      <c r="R2273" s="61">
        <f t="shared" si="156"/>
        <v>4</v>
      </c>
      <c r="S2273" s="61" t="str">
        <f t="shared" si="157"/>
        <v/>
      </c>
      <c r="T2273" s="61">
        <f t="shared" si="155"/>
        <v>1</v>
      </c>
      <c r="U2273" s="61">
        <f t="shared" si="158"/>
        <v>1</v>
      </c>
      <c r="V2273" s="61" t="s">
        <v>150</v>
      </c>
      <c r="W2273" s="61" t="s">
        <v>4</v>
      </c>
      <c r="X2273" s="61" t="s">
        <v>50</v>
      </c>
      <c r="Y2273" s="61" t="s">
        <v>8964</v>
      </c>
      <c r="Z2273" s="61" t="s">
        <v>8965</v>
      </c>
      <c r="AA2273" s="61" t="s">
        <v>8856</v>
      </c>
      <c r="AB2273" s="61"/>
    </row>
    <row r="2274" spans="1:28" s="2" customFormat="1" ht="28.5">
      <c r="A2274" s="61" t="s">
        <v>778</v>
      </c>
      <c r="B2274" s="61" t="s">
        <v>992</v>
      </c>
      <c r="C2274" s="61" t="s">
        <v>3809</v>
      </c>
      <c r="D2274" s="61" t="s">
        <v>7838</v>
      </c>
      <c r="E2274" s="61">
        <v>3859</v>
      </c>
      <c r="F2274" s="61">
        <v>4458</v>
      </c>
      <c r="G2274" s="61">
        <v>2025</v>
      </c>
      <c r="H2274" s="61" t="s">
        <v>3470</v>
      </c>
      <c r="I2274" s="61" t="s">
        <v>1345</v>
      </c>
      <c r="J2274" s="61"/>
      <c r="K2274" s="61" t="s">
        <v>148</v>
      </c>
      <c r="L2274" s="61" t="s">
        <v>5731</v>
      </c>
      <c r="M2274" s="475">
        <v>45758</v>
      </c>
      <c r="N2274" s="475">
        <v>45762</v>
      </c>
      <c r="O2274" s="61"/>
      <c r="P2274" s="475">
        <v>45762</v>
      </c>
      <c r="Q2274" s="475">
        <v>45762</v>
      </c>
      <c r="R2274" s="61">
        <f t="shared" si="156"/>
        <v>2</v>
      </c>
      <c r="S2274" s="61" t="str">
        <f t="shared" si="157"/>
        <v/>
      </c>
      <c r="T2274" s="61">
        <f t="shared" si="155"/>
        <v>1</v>
      </c>
      <c r="U2274" s="61">
        <f t="shared" si="158"/>
        <v>1</v>
      </c>
      <c r="V2274" s="61" t="s">
        <v>150</v>
      </c>
      <c r="W2274" s="61" t="s">
        <v>4</v>
      </c>
      <c r="X2274" s="61" t="s">
        <v>62</v>
      </c>
      <c r="Y2274" s="118" t="s">
        <v>8966</v>
      </c>
      <c r="Z2274" s="61" t="s">
        <v>8967</v>
      </c>
      <c r="AA2274" s="61" t="s">
        <v>8856</v>
      </c>
      <c r="AB2274" s="61"/>
    </row>
    <row r="2275" spans="1:28" s="2" customFormat="1" ht="28.5">
      <c r="A2275" s="61" t="s">
        <v>778</v>
      </c>
      <c r="B2275" s="61" t="s">
        <v>992</v>
      </c>
      <c r="C2275" s="61" t="s">
        <v>918</v>
      </c>
      <c r="D2275" s="61" t="s">
        <v>7838</v>
      </c>
      <c r="E2275" s="61">
        <v>5513</v>
      </c>
      <c r="F2275" s="61">
        <v>6322</v>
      </c>
      <c r="G2275" s="61">
        <v>2025</v>
      </c>
      <c r="H2275" s="61" t="s">
        <v>3416</v>
      </c>
      <c r="I2275" s="61" t="s">
        <v>1345</v>
      </c>
      <c r="J2275" s="61"/>
      <c r="K2275" s="61" t="s">
        <v>148</v>
      </c>
      <c r="L2275" s="61" t="s">
        <v>8968</v>
      </c>
      <c r="M2275" s="475">
        <v>45728</v>
      </c>
      <c r="N2275" s="475">
        <v>45734</v>
      </c>
      <c r="O2275" s="475"/>
      <c r="P2275" s="475">
        <v>45734</v>
      </c>
      <c r="Q2275" s="475">
        <v>45735</v>
      </c>
      <c r="R2275" s="61">
        <f t="shared" si="156"/>
        <v>4</v>
      </c>
      <c r="S2275" s="61" t="str">
        <f t="shared" si="157"/>
        <v/>
      </c>
      <c r="T2275" s="61">
        <f t="shared" si="155"/>
        <v>1</v>
      </c>
      <c r="U2275" s="61">
        <f t="shared" si="158"/>
        <v>1</v>
      </c>
      <c r="V2275" s="61" t="s">
        <v>150</v>
      </c>
      <c r="W2275" s="61" t="s">
        <v>4</v>
      </c>
      <c r="X2275" s="61" t="s">
        <v>62</v>
      </c>
      <c r="Y2275" s="474" t="s">
        <v>8969</v>
      </c>
      <c r="Z2275" s="474" t="s">
        <v>8970</v>
      </c>
      <c r="AA2275" s="61" t="s">
        <v>8856</v>
      </c>
      <c r="AB2275" s="61"/>
    </row>
    <row r="2276" spans="1:28" s="2" customFormat="1" ht="28.5">
      <c r="A2276" s="61" t="s">
        <v>778</v>
      </c>
      <c r="B2276" s="61" t="s">
        <v>992</v>
      </c>
      <c r="C2276" s="61" t="s">
        <v>3974</v>
      </c>
      <c r="D2276" s="61" t="s">
        <v>7838</v>
      </c>
      <c r="E2276" s="61">
        <v>5406</v>
      </c>
      <c r="F2276" s="61">
        <v>5254</v>
      </c>
      <c r="G2276" s="61">
        <v>2025</v>
      </c>
      <c r="H2276" s="61" t="s">
        <v>3416</v>
      </c>
      <c r="I2276" s="61" t="s">
        <v>1345</v>
      </c>
      <c r="J2276" s="61"/>
      <c r="K2276" s="61" t="s">
        <v>148</v>
      </c>
      <c r="L2276" s="61" t="s">
        <v>8971</v>
      </c>
      <c r="M2276" s="475">
        <v>45728</v>
      </c>
      <c r="N2276" s="475">
        <v>45734</v>
      </c>
      <c r="O2276" s="475"/>
      <c r="P2276" s="475">
        <v>45734</v>
      </c>
      <c r="Q2276" s="475">
        <v>45735</v>
      </c>
      <c r="R2276" s="61">
        <f t="shared" si="156"/>
        <v>4</v>
      </c>
      <c r="S2276" s="61" t="str">
        <f t="shared" si="157"/>
        <v/>
      </c>
      <c r="T2276" s="61">
        <f t="shared" si="155"/>
        <v>1</v>
      </c>
      <c r="U2276" s="61">
        <f t="shared" si="158"/>
        <v>1</v>
      </c>
      <c r="V2276" s="61" t="s">
        <v>150</v>
      </c>
      <c r="W2276" s="61" t="s">
        <v>4</v>
      </c>
      <c r="X2276" s="61" t="s">
        <v>62</v>
      </c>
      <c r="Y2276" s="61" t="s">
        <v>8972</v>
      </c>
      <c r="Z2276" s="61" t="s">
        <v>8973</v>
      </c>
      <c r="AA2276" s="61" t="s">
        <v>8856</v>
      </c>
      <c r="AB2276" s="61"/>
    </row>
    <row r="2277" spans="1:28" s="2" customFormat="1" ht="28.5">
      <c r="A2277" s="61" t="s">
        <v>778</v>
      </c>
      <c r="B2277" s="61" t="s">
        <v>992</v>
      </c>
      <c r="C2277" s="61" t="s">
        <v>5319</v>
      </c>
      <c r="D2277" s="61" t="s">
        <v>7838</v>
      </c>
      <c r="E2277" s="61">
        <v>3097</v>
      </c>
      <c r="F2277" s="61">
        <v>3451</v>
      </c>
      <c r="G2277" s="61">
        <v>2025</v>
      </c>
      <c r="H2277" s="61" t="s">
        <v>3470</v>
      </c>
      <c r="I2277" s="61" t="s">
        <v>1345</v>
      </c>
      <c r="J2277" s="61"/>
      <c r="K2277" s="61" t="s">
        <v>148</v>
      </c>
      <c r="L2277" s="61" t="s">
        <v>8974</v>
      </c>
      <c r="M2277" s="475">
        <v>45758</v>
      </c>
      <c r="N2277" s="475">
        <v>45762</v>
      </c>
      <c r="O2277" s="61"/>
      <c r="P2277" s="475">
        <v>45762</v>
      </c>
      <c r="Q2277" s="475">
        <v>45762</v>
      </c>
      <c r="R2277" s="61">
        <f t="shared" si="156"/>
        <v>2</v>
      </c>
      <c r="S2277" s="61" t="str">
        <f t="shared" si="157"/>
        <v/>
      </c>
      <c r="T2277" s="61">
        <f t="shared" si="155"/>
        <v>1</v>
      </c>
      <c r="U2277" s="61">
        <f t="shared" si="158"/>
        <v>1</v>
      </c>
      <c r="V2277" s="61" t="s">
        <v>150</v>
      </c>
      <c r="W2277" s="61" t="s">
        <v>4</v>
      </c>
      <c r="X2277" s="61" t="s">
        <v>50</v>
      </c>
      <c r="Y2277" s="61" t="s">
        <v>8975</v>
      </c>
      <c r="Z2277" s="61" t="s">
        <v>8976</v>
      </c>
      <c r="AA2277" s="61" t="s">
        <v>8856</v>
      </c>
      <c r="AB2277" s="61"/>
    </row>
    <row r="2278" spans="1:28" s="2" customFormat="1" ht="28.5">
      <c r="A2278" s="61" t="s">
        <v>778</v>
      </c>
      <c r="B2278" s="61" t="s">
        <v>992</v>
      </c>
      <c r="C2278" s="61" t="s">
        <v>1180</v>
      </c>
      <c r="D2278" s="61" t="s">
        <v>7838</v>
      </c>
      <c r="E2278" s="61">
        <v>6976</v>
      </c>
      <c r="F2278" s="61">
        <v>7312</v>
      </c>
      <c r="G2278" s="61">
        <v>2025</v>
      </c>
      <c r="H2278" s="61" t="s">
        <v>3532</v>
      </c>
      <c r="I2278" s="61" t="s">
        <v>1345</v>
      </c>
      <c r="J2278" s="61"/>
      <c r="K2278" s="61" t="s">
        <v>148</v>
      </c>
      <c r="L2278" s="61" t="s">
        <v>8977</v>
      </c>
      <c r="M2278" s="475">
        <v>45792</v>
      </c>
      <c r="N2278" s="475">
        <v>45794</v>
      </c>
      <c r="O2278" s="61"/>
      <c r="P2278" s="475">
        <v>45796</v>
      </c>
      <c r="Q2278" s="475">
        <v>45797</v>
      </c>
      <c r="R2278" s="61">
        <f t="shared" si="156"/>
        <v>1</v>
      </c>
      <c r="S2278" s="61" t="str">
        <f t="shared" si="157"/>
        <v/>
      </c>
      <c r="T2278" s="61">
        <f t="shared" si="155"/>
        <v>1</v>
      </c>
      <c r="U2278" s="61">
        <f t="shared" si="158"/>
        <v>1</v>
      </c>
      <c r="V2278" s="61" t="s">
        <v>150</v>
      </c>
      <c r="W2278" s="61" t="s">
        <v>1078</v>
      </c>
      <c r="X2278" s="61" t="s">
        <v>50</v>
      </c>
      <c r="Y2278" s="118" t="s">
        <v>8978</v>
      </c>
      <c r="Z2278" s="118" t="s">
        <v>8979</v>
      </c>
      <c r="AA2278" s="61" t="s">
        <v>8856</v>
      </c>
      <c r="AB2278" s="61"/>
    </row>
    <row r="2279" spans="1:28" s="2" customFormat="1" ht="28.5">
      <c r="A2279" s="61" t="s">
        <v>778</v>
      </c>
      <c r="B2279" s="61" t="s">
        <v>992</v>
      </c>
      <c r="C2279" s="61" t="s">
        <v>3565</v>
      </c>
      <c r="D2279" s="61" t="s">
        <v>7838</v>
      </c>
      <c r="E2279" s="61">
        <v>1594</v>
      </c>
      <c r="F2279" s="61">
        <v>1584</v>
      </c>
      <c r="G2279" s="61">
        <v>2025</v>
      </c>
      <c r="H2279" s="61" t="s">
        <v>3458</v>
      </c>
      <c r="I2279" s="61" t="s">
        <v>1345</v>
      </c>
      <c r="J2279" s="61"/>
      <c r="K2279" s="61" t="s">
        <v>148</v>
      </c>
      <c r="L2279" s="61" t="s">
        <v>8980</v>
      </c>
      <c r="M2279" s="475">
        <v>45702</v>
      </c>
      <c r="N2279" s="475">
        <v>45706</v>
      </c>
      <c r="O2279" s="61"/>
      <c r="P2279" s="475">
        <v>45706</v>
      </c>
      <c r="Q2279" s="475">
        <v>45706</v>
      </c>
      <c r="R2279" s="61">
        <f t="shared" si="156"/>
        <v>2</v>
      </c>
      <c r="S2279" s="61" t="str">
        <f t="shared" si="157"/>
        <v/>
      </c>
      <c r="T2279" s="61">
        <f t="shared" si="155"/>
        <v>1</v>
      </c>
      <c r="U2279" s="61">
        <f t="shared" si="158"/>
        <v>1</v>
      </c>
      <c r="V2279" s="61" t="s">
        <v>150</v>
      </c>
      <c r="W2279" s="61" t="s">
        <v>1078</v>
      </c>
      <c r="X2279" s="61" t="s">
        <v>50</v>
      </c>
      <c r="Y2279" s="61">
        <v>120.7762</v>
      </c>
      <c r="Z2279" s="61">
        <v>15.050599999999999</v>
      </c>
      <c r="AA2279" s="61" t="s">
        <v>8856</v>
      </c>
      <c r="AB2279" s="61"/>
    </row>
    <row r="2280" spans="1:28" s="2" customFormat="1" ht="28.5">
      <c r="A2280" s="61" t="s">
        <v>778</v>
      </c>
      <c r="B2280" s="61" t="s">
        <v>992</v>
      </c>
      <c r="C2280" s="61" t="s">
        <v>1439</v>
      </c>
      <c r="D2280" s="61" t="s">
        <v>7838</v>
      </c>
      <c r="E2280" s="61">
        <v>1700</v>
      </c>
      <c r="F2280" s="61">
        <v>1829</v>
      </c>
      <c r="G2280" s="61"/>
      <c r="H2280" s="61"/>
      <c r="I2280" s="61" t="s">
        <v>1345</v>
      </c>
      <c r="J2280" s="61"/>
      <c r="K2280" s="61" t="s">
        <v>148</v>
      </c>
      <c r="L2280" s="61"/>
      <c r="M2280" s="61"/>
      <c r="N2280" s="61"/>
      <c r="O2280" s="61"/>
      <c r="P2280" s="61"/>
      <c r="Q2280" s="61"/>
      <c r="R2280" s="61" t="str">
        <f t="shared" si="156"/>
        <v/>
      </c>
      <c r="S2280" s="61" t="str">
        <f t="shared" si="157"/>
        <v/>
      </c>
      <c r="T2280" s="61" t="str">
        <f t="shared" si="155"/>
        <v/>
      </c>
      <c r="U2280" s="61" t="str">
        <f t="shared" si="158"/>
        <v/>
      </c>
      <c r="V2280" s="61"/>
      <c r="W2280" s="61"/>
      <c r="X2280" s="61"/>
      <c r="Y2280" s="61"/>
      <c r="Z2280" s="61"/>
      <c r="AA2280" s="61"/>
      <c r="AB2280" s="61"/>
    </row>
    <row r="2281" spans="1:28" s="2" customFormat="1" ht="28.5">
      <c r="A2281" s="61" t="s">
        <v>778</v>
      </c>
      <c r="B2281" s="61" t="s">
        <v>992</v>
      </c>
      <c r="C2281" s="61" t="s">
        <v>5734</v>
      </c>
      <c r="D2281" s="61" t="s">
        <v>7838</v>
      </c>
      <c r="E2281" s="61">
        <v>1535</v>
      </c>
      <c r="F2281" s="61">
        <v>1761</v>
      </c>
      <c r="G2281" s="61"/>
      <c r="H2281" s="61"/>
      <c r="I2281" s="61" t="s">
        <v>1345</v>
      </c>
      <c r="J2281" s="61"/>
      <c r="K2281" s="61" t="s">
        <v>148</v>
      </c>
      <c r="L2281" s="61"/>
      <c r="M2281" s="61"/>
      <c r="N2281" s="61"/>
      <c r="O2281" s="61"/>
      <c r="P2281" s="61"/>
      <c r="Q2281" s="61"/>
      <c r="R2281" s="61" t="str">
        <f t="shared" si="156"/>
        <v/>
      </c>
      <c r="S2281" s="61" t="str">
        <f t="shared" si="157"/>
        <v/>
      </c>
      <c r="T2281" s="61" t="str">
        <f t="shared" si="155"/>
        <v/>
      </c>
      <c r="U2281" s="61" t="str">
        <f t="shared" si="158"/>
        <v/>
      </c>
      <c r="V2281" s="61"/>
      <c r="W2281" s="61"/>
      <c r="X2281" s="61"/>
      <c r="Y2281" s="61"/>
      <c r="Z2281" s="61"/>
      <c r="AA2281" s="61"/>
      <c r="AB2281" s="61"/>
    </row>
    <row r="2282" spans="1:28" s="2" customFormat="1" ht="28.5">
      <c r="A2282" s="61" t="s">
        <v>778</v>
      </c>
      <c r="B2282" s="61" t="s">
        <v>992</v>
      </c>
      <c r="C2282" s="61" t="s">
        <v>1424</v>
      </c>
      <c r="D2282" s="61" t="s">
        <v>7838</v>
      </c>
      <c r="E2282" s="61">
        <v>2887</v>
      </c>
      <c r="F2282" s="61">
        <v>3207</v>
      </c>
      <c r="G2282" s="61"/>
      <c r="H2282" s="61"/>
      <c r="I2282" s="61" t="s">
        <v>1345</v>
      </c>
      <c r="J2282" s="61"/>
      <c r="K2282" s="61" t="s">
        <v>148</v>
      </c>
      <c r="L2282" s="61"/>
      <c r="M2282" s="475"/>
      <c r="N2282" s="475"/>
      <c r="O2282" s="61"/>
      <c r="P2282" s="475"/>
      <c r="Q2282" s="475"/>
      <c r="R2282" s="61" t="str">
        <f t="shared" si="156"/>
        <v/>
      </c>
      <c r="S2282" s="61" t="str">
        <f t="shared" si="157"/>
        <v/>
      </c>
      <c r="T2282" s="61" t="str">
        <f t="shared" si="155"/>
        <v/>
      </c>
      <c r="U2282" s="61" t="str">
        <f t="shared" si="158"/>
        <v/>
      </c>
      <c r="V2282" s="61"/>
      <c r="W2282" s="61"/>
      <c r="X2282" s="61"/>
      <c r="Y2282" s="61"/>
      <c r="Z2282" s="61"/>
      <c r="AA2282" s="61"/>
      <c r="AB2282" s="61"/>
    </row>
    <row r="2283" spans="1:28" s="2" customFormat="1" ht="28.5">
      <c r="A2283" s="61" t="s">
        <v>778</v>
      </c>
      <c r="B2283" s="61" t="s">
        <v>992</v>
      </c>
      <c r="C2283" s="61" t="s">
        <v>3727</v>
      </c>
      <c r="D2283" s="61" t="s">
        <v>7838</v>
      </c>
      <c r="E2283" s="61">
        <v>2496</v>
      </c>
      <c r="F2283" s="61">
        <v>2921</v>
      </c>
      <c r="G2283" s="61"/>
      <c r="H2283" s="61"/>
      <c r="I2283" s="61" t="s">
        <v>1345</v>
      </c>
      <c r="J2283" s="61"/>
      <c r="K2283" s="61" t="s">
        <v>148</v>
      </c>
      <c r="L2283" s="61"/>
      <c r="M2283" s="61"/>
      <c r="N2283" s="61"/>
      <c r="O2283" s="61"/>
      <c r="P2283" s="61"/>
      <c r="Q2283" s="61"/>
      <c r="R2283" s="61" t="str">
        <f t="shared" si="156"/>
        <v/>
      </c>
      <c r="S2283" s="61" t="str">
        <f t="shared" si="157"/>
        <v/>
      </c>
      <c r="T2283" s="61" t="str">
        <f t="shared" si="155"/>
        <v/>
      </c>
      <c r="U2283" s="61" t="str">
        <f t="shared" si="158"/>
        <v/>
      </c>
      <c r="V2283" s="61"/>
      <c r="W2283" s="61"/>
      <c r="X2283" s="61"/>
      <c r="Y2283" s="61"/>
      <c r="Z2283" s="61"/>
      <c r="AA2283" s="61"/>
      <c r="AB2283" s="61"/>
    </row>
    <row r="2284" spans="1:28" s="2" customFormat="1" ht="28.5">
      <c r="A2284" s="61" t="s">
        <v>778</v>
      </c>
      <c r="B2284" s="61" t="s">
        <v>992</v>
      </c>
      <c r="C2284" s="61" t="s">
        <v>4261</v>
      </c>
      <c r="D2284" s="61" t="s">
        <v>7838</v>
      </c>
      <c r="E2284" s="61">
        <v>1972</v>
      </c>
      <c r="F2284" s="61">
        <v>2380</v>
      </c>
      <c r="G2284" s="61"/>
      <c r="H2284" s="61"/>
      <c r="I2284" s="61" t="s">
        <v>1345</v>
      </c>
      <c r="J2284" s="61"/>
      <c r="K2284" s="61" t="s">
        <v>148</v>
      </c>
      <c r="L2284" s="61"/>
      <c r="M2284" s="61"/>
      <c r="N2284" s="61"/>
      <c r="O2284" s="61"/>
      <c r="P2284" s="61"/>
      <c r="Q2284" s="61"/>
      <c r="R2284" s="61" t="str">
        <f t="shared" si="156"/>
        <v/>
      </c>
      <c r="S2284" s="61" t="str">
        <f t="shared" si="157"/>
        <v/>
      </c>
      <c r="T2284" s="61" t="str">
        <f t="shared" si="155"/>
        <v/>
      </c>
      <c r="U2284" s="61" t="str">
        <f t="shared" si="158"/>
        <v/>
      </c>
      <c r="V2284" s="61"/>
      <c r="W2284" s="61"/>
      <c r="X2284" s="61"/>
      <c r="Y2284" s="61"/>
      <c r="Z2284" s="61"/>
      <c r="AA2284" s="61"/>
      <c r="AB2284" s="61"/>
    </row>
    <row r="2285" spans="1:28" s="2" customFormat="1" ht="28.5">
      <c r="A2285" s="61" t="s">
        <v>778</v>
      </c>
      <c r="B2285" s="61" t="s">
        <v>992</v>
      </c>
      <c r="C2285" s="61" t="s">
        <v>858</v>
      </c>
      <c r="D2285" s="61" t="s">
        <v>7838</v>
      </c>
      <c r="E2285" s="61">
        <v>7463</v>
      </c>
      <c r="F2285" s="61">
        <v>7384</v>
      </c>
      <c r="G2285" s="61">
        <v>2025</v>
      </c>
      <c r="H2285" s="61" t="s">
        <v>3127</v>
      </c>
      <c r="I2285" s="61" t="s">
        <v>1345</v>
      </c>
      <c r="J2285" s="61"/>
      <c r="K2285" s="61" t="s">
        <v>148</v>
      </c>
      <c r="L2285" s="61" t="s">
        <v>8981</v>
      </c>
      <c r="M2285" s="475">
        <v>45909</v>
      </c>
      <c r="N2285" s="475">
        <v>45916</v>
      </c>
      <c r="O2285" s="61"/>
      <c r="P2285" s="475">
        <v>45917</v>
      </c>
      <c r="Q2285" s="475">
        <v>45918</v>
      </c>
      <c r="R2285" s="61">
        <f t="shared" si="156"/>
        <v>5</v>
      </c>
      <c r="S2285" s="61" t="str">
        <f t="shared" si="157"/>
        <v/>
      </c>
      <c r="T2285" s="61">
        <f t="shared" si="155"/>
        <v>1</v>
      </c>
      <c r="U2285" s="61">
        <f t="shared" si="158"/>
        <v>1</v>
      </c>
      <c r="V2285" s="61" t="s">
        <v>150</v>
      </c>
      <c r="W2285" s="61" t="s">
        <v>3527</v>
      </c>
      <c r="X2285" s="61" t="s">
        <v>3528</v>
      </c>
      <c r="Y2285" s="61" t="s">
        <v>69</v>
      </c>
      <c r="Z2285" s="61" t="s">
        <v>69</v>
      </c>
      <c r="AA2285" s="61"/>
      <c r="AB2285" s="61" t="s">
        <v>8982</v>
      </c>
    </row>
    <row r="2286" spans="1:28" s="2" customFormat="1" ht="28.5">
      <c r="A2286" s="61" t="s">
        <v>778</v>
      </c>
      <c r="B2286" s="61" t="s">
        <v>992</v>
      </c>
      <c r="C2286" s="61" t="s">
        <v>4258</v>
      </c>
      <c r="D2286" s="61" t="s">
        <v>7838</v>
      </c>
      <c r="E2286" s="61">
        <v>2334</v>
      </c>
      <c r="F2286" s="61">
        <v>2623</v>
      </c>
      <c r="G2286" s="61">
        <v>2025</v>
      </c>
      <c r="H2286" s="61" t="s">
        <v>3127</v>
      </c>
      <c r="I2286" s="61" t="s">
        <v>1345</v>
      </c>
      <c r="J2286" s="61"/>
      <c r="K2286" s="61" t="s">
        <v>148</v>
      </c>
      <c r="L2286" s="61" t="s">
        <v>8981</v>
      </c>
      <c r="M2286" s="475">
        <v>45909</v>
      </c>
      <c r="N2286" s="475">
        <v>45916</v>
      </c>
      <c r="O2286" s="61"/>
      <c r="P2286" s="475">
        <v>45917</v>
      </c>
      <c r="Q2286" s="475">
        <v>45918</v>
      </c>
      <c r="R2286" s="61">
        <f t="shared" si="156"/>
        <v>5</v>
      </c>
      <c r="S2286" s="61" t="str">
        <f t="shared" si="157"/>
        <v/>
      </c>
      <c r="T2286" s="61">
        <f t="shared" si="155"/>
        <v>1</v>
      </c>
      <c r="U2286" s="61">
        <f t="shared" si="158"/>
        <v>1</v>
      </c>
      <c r="V2286" s="61" t="s">
        <v>150</v>
      </c>
      <c r="W2286" s="61" t="s">
        <v>3527</v>
      </c>
      <c r="X2286" s="61" t="s">
        <v>3528</v>
      </c>
      <c r="Y2286" s="61" t="s">
        <v>69</v>
      </c>
      <c r="Z2286" s="61" t="s">
        <v>69</v>
      </c>
      <c r="AA2286" s="61"/>
      <c r="AB2286" s="61" t="s">
        <v>8982</v>
      </c>
    </row>
    <row r="2287" spans="1:28" s="2" customFormat="1" ht="28.5">
      <c r="A2287" s="61" t="s">
        <v>778</v>
      </c>
      <c r="B2287" s="61" t="s">
        <v>992</v>
      </c>
      <c r="C2287" s="61" t="s">
        <v>5736</v>
      </c>
      <c r="D2287" s="61" t="s">
        <v>7838</v>
      </c>
      <c r="E2287" s="61">
        <v>1192</v>
      </c>
      <c r="F2287" s="61">
        <v>1333</v>
      </c>
      <c r="G2287" s="61">
        <v>2025</v>
      </c>
      <c r="H2287" s="61" t="s">
        <v>3127</v>
      </c>
      <c r="I2287" s="61" t="s">
        <v>1345</v>
      </c>
      <c r="J2287" s="61"/>
      <c r="K2287" s="61" t="s">
        <v>148</v>
      </c>
      <c r="L2287" s="61" t="s">
        <v>8981</v>
      </c>
      <c r="M2287" s="475">
        <v>45909</v>
      </c>
      <c r="N2287" s="475">
        <v>45916</v>
      </c>
      <c r="O2287" s="61"/>
      <c r="P2287" s="475">
        <v>45917</v>
      </c>
      <c r="Q2287" s="475">
        <v>45918</v>
      </c>
      <c r="R2287" s="61">
        <f t="shared" si="156"/>
        <v>5</v>
      </c>
      <c r="S2287" s="61" t="str">
        <f t="shared" si="157"/>
        <v/>
      </c>
      <c r="T2287" s="61">
        <f t="shared" si="155"/>
        <v>1</v>
      </c>
      <c r="U2287" s="61">
        <f t="shared" si="158"/>
        <v>1</v>
      </c>
      <c r="V2287" s="61" t="s">
        <v>150</v>
      </c>
      <c r="W2287" s="61" t="s">
        <v>3527</v>
      </c>
      <c r="X2287" s="61" t="s">
        <v>3528</v>
      </c>
      <c r="Y2287" s="61" t="s">
        <v>69</v>
      </c>
      <c r="Z2287" s="61" t="s">
        <v>69</v>
      </c>
      <c r="AA2287" s="61"/>
      <c r="AB2287" s="61" t="s">
        <v>8982</v>
      </c>
    </row>
    <row r="2288" spans="1:28" s="2" customFormat="1" ht="28.5">
      <c r="A2288" s="61" t="s">
        <v>778</v>
      </c>
      <c r="B2288" s="61" t="s">
        <v>992</v>
      </c>
      <c r="C2288" s="61" t="s">
        <v>4242</v>
      </c>
      <c r="D2288" s="61" t="s">
        <v>7838</v>
      </c>
      <c r="E2288" s="61">
        <v>2395</v>
      </c>
      <c r="F2288" s="61">
        <v>2645</v>
      </c>
      <c r="G2288" s="61">
        <v>2025</v>
      </c>
      <c r="H2288" s="61" t="s">
        <v>3127</v>
      </c>
      <c r="I2288" s="61" t="s">
        <v>1345</v>
      </c>
      <c r="J2288" s="61"/>
      <c r="K2288" s="61" t="s">
        <v>148</v>
      </c>
      <c r="L2288" s="61" t="s">
        <v>8981</v>
      </c>
      <c r="M2288" s="475">
        <v>45909</v>
      </c>
      <c r="N2288" s="475">
        <v>45916</v>
      </c>
      <c r="O2288" s="61"/>
      <c r="P2288" s="475">
        <v>45917</v>
      </c>
      <c r="Q2288" s="475">
        <v>45918</v>
      </c>
      <c r="R2288" s="61">
        <f t="shared" si="156"/>
        <v>5</v>
      </c>
      <c r="S2288" s="61" t="str">
        <f t="shared" si="157"/>
        <v/>
      </c>
      <c r="T2288" s="61">
        <f t="shared" si="155"/>
        <v>1</v>
      </c>
      <c r="U2288" s="61">
        <f t="shared" si="158"/>
        <v>1</v>
      </c>
      <c r="V2288" s="61" t="s">
        <v>150</v>
      </c>
      <c r="W2288" s="61" t="s">
        <v>3527</v>
      </c>
      <c r="X2288" s="61" t="s">
        <v>3528</v>
      </c>
      <c r="Y2288" s="61" t="s">
        <v>69</v>
      </c>
      <c r="Z2288" s="61" t="s">
        <v>69</v>
      </c>
      <c r="AA2288" s="61"/>
      <c r="AB2288" s="61" t="s">
        <v>8982</v>
      </c>
    </row>
    <row r="2289" spans="1:28" s="2" customFormat="1" ht="28.5">
      <c r="A2289" s="61" t="s">
        <v>778</v>
      </c>
      <c r="B2289" s="61" t="s">
        <v>992</v>
      </c>
      <c r="C2289" s="61" t="s">
        <v>3566</v>
      </c>
      <c r="D2289" s="61" t="s">
        <v>7838</v>
      </c>
      <c r="E2289" s="61">
        <v>2212</v>
      </c>
      <c r="F2289" s="61">
        <v>2524</v>
      </c>
      <c r="G2289" s="61">
        <v>2025</v>
      </c>
      <c r="H2289" s="61" t="s">
        <v>3127</v>
      </c>
      <c r="I2289" s="61" t="s">
        <v>1345</v>
      </c>
      <c r="J2289" s="61"/>
      <c r="K2289" s="61" t="s">
        <v>148</v>
      </c>
      <c r="L2289" s="61" t="s">
        <v>8981</v>
      </c>
      <c r="M2289" s="475">
        <v>45909</v>
      </c>
      <c r="N2289" s="475">
        <v>45916</v>
      </c>
      <c r="O2289" s="61"/>
      <c r="P2289" s="475">
        <v>45917</v>
      </c>
      <c r="Q2289" s="475">
        <v>45918</v>
      </c>
      <c r="R2289" s="61">
        <f t="shared" si="156"/>
        <v>5</v>
      </c>
      <c r="S2289" s="61" t="str">
        <f t="shared" si="157"/>
        <v/>
      </c>
      <c r="T2289" s="61">
        <f t="shared" si="155"/>
        <v>1</v>
      </c>
      <c r="U2289" s="61">
        <f t="shared" si="158"/>
        <v>1</v>
      </c>
      <c r="V2289" s="61" t="s">
        <v>150</v>
      </c>
      <c r="W2289" s="61" t="s">
        <v>3527</v>
      </c>
      <c r="X2289" s="61" t="s">
        <v>3528</v>
      </c>
      <c r="Y2289" s="61" t="s">
        <v>69</v>
      </c>
      <c r="Z2289" s="61" t="s">
        <v>69</v>
      </c>
      <c r="AA2289" s="61"/>
      <c r="AB2289" s="61" t="s">
        <v>8982</v>
      </c>
    </row>
    <row r="2290" spans="1:28" s="2" customFormat="1" ht="28.5">
      <c r="A2290" s="61" t="s">
        <v>778</v>
      </c>
      <c r="B2290" s="61" t="s">
        <v>1423</v>
      </c>
      <c r="C2290" s="61" t="s">
        <v>1424</v>
      </c>
      <c r="D2290" s="61" t="s">
        <v>7838</v>
      </c>
      <c r="E2290" s="61">
        <v>4828</v>
      </c>
      <c r="F2290" s="61">
        <v>5762</v>
      </c>
      <c r="G2290" s="61">
        <v>2025</v>
      </c>
      <c r="H2290" s="61" t="s">
        <v>3416</v>
      </c>
      <c r="I2290" s="61" t="s">
        <v>1345</v>
      </c>
      <c r="J2290" s="61"/>
      <c r="K2290" s="61" t="s">
        <v>148</v>
      </c>
      <c r="L2290" s="61" t="s">
        <v>8983</v>
      </c>
      <c r="M2290" s="475">
        <v>45728</v>
      </c>
      <c r="N2290" s="475">
        <v>45734</v>
      </c>
      <c r="O2290" s="61"/>
      <c r="P2290" s="475">
        <v>45734</v>
      </c>
      <c r="Q2290" s="475">
        <v>45735</v>
      </c>
      <c r="R2290" s="61">
        <f t="shared" si="156"/>
        <v>4</v>
      </c>
      <c r="S2290" s="61" t="str">
        <f t="shared" si="157"/>
        <v/>
      </c>
      <c r="T2290" s="61">
        <f t="shared" si="155"/>
        <v>1</v>
      </c>
      <c r="U2290" s="61">
        <f t="shared" si="158"/>
        <v>1</v>
      </c>
      <c r="V2290" s="61" t="s">
        <v>150</v>
      </c>
      <c r="W2290" s="61" t="s">
        <v>4</v>
      </c>
      <c r="X2290" s="61" t="s">
        <v>50</v>
      </c>
      <c r="Y2290" s="61" t="s">
        <v>8984</v>
      </c>
      <c r="Z2290" s="61" t="s">
        <v>8985</v>
      </c>
      <c r="AA2290" s="61" t="s">
        <v>8856</v>
      </c>
      <c r="AB2290" s="61"/>
    </row>
    <row r="2291" spans="1:28" s="2" customFormat="1" ht="28.5">
      <c r="A2291" s="61" t="s">
        <v>778</v>
      </c>
      <c r="B2291" s="61" t="s">
        <v>1423</v>
      </c>
      <c r="C2291" s="61" t="s">
        <v>1185</v>
      </c>
      <c r="D2291" s="61" t="s">
        <v>7838</v>
      </c>
      <c r="E2291" s="61">
        <v>6174</v>
      </c>
      <c r="F2291" s="61">
        <v>7256</v>
      </c>
      <c r="G2291" s="61">
        <v>2025</v>
      </c>
      <c r="H2291" s="61" t="s">
        <v>3125</v>
      </c>
      <c r="I2291" s="61" t="s">
        <v>1345</v>
      </c>
      <c r="J2291" s="61" t="s">
        <v>28</v>
      </c>
      <c r="K2291" s="61" t="s">
        <v>148</v>
      </c>
      <c r="L2291" s="61" t="s">
        <v>8986</v>
      </c>
      <c r="M2291" s="475">
        <v>45854</v>
      </c>
      <c r="N2291" s="475">
        <v>45856</v>
      </c>
      <c r="O2291" s="475">
        <v>45856</v>
      </c>
      <c r="P2291" s="475">
        <v>45856</v>
      </c>
      <c r="Q2291" s="475">
        <v>45856</v>
      </c>
      <c r="R2291" s="61">
        <f t="shared" si="156"/>
        <v>2</v>
      </c>
      <c r="S2291" s="61">
        <f t="shared" si="157"/>
        <v>1</v>
      </c>
      <c r="T2291" s="61">
        <f t="shared" si="155"/>
        <v>1</v>
      </c>
      <c r="U2291" s="61">
        <f t="shared" si="158"/>
        <v>1</v>
      </c>
      <c r="V2291" s="61" t="s">
        <v>150</v>
      </c>
      <c r="W2291" s="61" t="s">
        <v>1078</v>
      </c>
      <c r="X2291" s="61" t="s">
        <v>50</v>
      </c>
      <c r="Y2291" s="61" t="s">
        <v>8987</v>
      </c>
      <c r="Z2291" s="61" t="s">
        <v>8988</v>
      </c>
      <c r="AA2291" s="61" t="s">
        <v>8856</v>
      </c>
      <c r="AB2291" s="61"/>
    </row>
    <row r="2292" spans="1:28" s="2" customFormat="1" ht="28.5">
      <c r="A2292" s="61" t="s">
        <v>778</v>
      </c>
      <c r="B2292" s="61" t="s">
        <v>1423</v>
      </c>
      <c r="C2292" s="61" t="s">
        <v>5567</v>
      </c>
      <c r="D2292" s="61" t="s">
        <v>7838</v>
      </c>
      <c r="E2292" s="61">
        <v>2842</v>
      </c>
      <c r="F2292" s="61">
        <v>2950</v>
      </c>
      <c r="G2292" s="61">
        <v>2025</v>
      </c>
      <c r="H2292" s="61" t="s">
        <v>3125</v>
      </c>
      <c r="I2292" s="61" t="s">
        <v>1345</v>
      </c>
      <c r="J2292" s="61" t="s">
        <v>28</v>
      </c>
      <c r="K2292" s="61" t="s">
        <v>148</v>
      </c>
      <c r="L2292" s="61" t="s">
        <v>8989</v>
      </c>
      <c r="M2292" s="475">
        <v>45846</v>
      </c>
      <c r="N2292" s="475">
        <v>45854</v>
      </c>
      <c r="O2292" s="475">
        <v>45856</v>
      </c>
      <c r="P2292" s="475">
        <v>45856</v>
      </c>
      <c r="Q2292" s="475">
        <v>45856</v>
      </c>
      <c r="R2292" s="61">
        <f t="shared" si="156"/>
        <v>6</v>
      </c>
      <c r="S2292" s="61">
        <f t="shared" si="157"/>
        <v>2</v>
      </c>
      <c r="T2292" s="61">
        <f t="shared" si="155"/>
        <v>2</v>
      </c>
      <c r="U2292" s="61">
        <f t="shared" si="158"/>
        <v>1</v>
      </c>
      <c r="V2292" s="61" t="s">
        <v>150</v>
      </c>
      <c r="W2292" s="61" t="s">
        <v>1078</v>
      </c>
      <c r="X2292" s="61" t="s">
        <v>50</v>
      </c>
      <c r="Y2292" s="61" t="s">
        <v>8990</v>
      </c>
      <c r="Z2292" s="61" t="s">
        <v>8991</v>
      </c>
      <c r="AA2292" s="61" t="s">
        <v>8856</v>
      </c>
      <c r="AB2292" s="61"/>
    </row>
    <row r="2293" spans="1:28" s="2" customFormat="1" ht="28.5">
      <c r="A2293" s="61" t="s">
        <v>778</v>
      </c>
      <c r="B2293" s="61" t="s">
        <v>1423</v>
      </c>
      <c r="C2293" s="61" t="s">
        <v>858</v>
      </c>
      <c r="D2293" s="61" t="s">
        <v>7838</v>
      </c>
      <c r="E2293" s="61">
        <v>5876</v>
      </c>
      <c r="F2293" s="61">
        <v>5528</v>
      </c>
      <c r="G2293" s="61">
        <v>2025</v>
      </c>
      <c r="H2293" s="61" t="s">
        <v>3458</v>
      </c>
      <c r="I2293" s="61" t="s">
        <v>1345</v>
      </c>
      <c r="J2293" s="61"/>
      <c r="K2293" s="61" t="s">
        <v>148</v>
      </c>
      <c r="L2293" s="61" t="s">
        <v>8992</v>
      </c>
      <c r="M2293" s="475">
        <v>45702</v>
      </c>
      <c r="N2293" s="475">
        <v>45706</v>
      </c>
      <c r="O2293" s="61"/>
      <c r="P2293" s="475">
        <v>45706</v>
      </c>
      <c r="Q2293" s="475">
        <v>45707</v>
      </c>
      <c r="R2293" s="61">
        <f t="shared" si="156"/>
        <v>2</v>
      </c>
      <c r="S2293" s="61" t="str">
        <f t="shared" si="157"/>
        <v/>
      </c>
      <c r="T2293" s="61">
        <f t="shared" si="155"/>
        <v>1</v>
      </c>
      <c r="U2293" s="61">
        <f t="shared" si="158"/>
        <v>1</v>
      </c>
      <c r="V2293" s="61" t="s">
        <v>150</v>
      </c>
      <c r="W2293" s="61" t="s">
        <v>1078</v>
      </c>
      <c r="X2293" s="61" t="s">
        <v>50</v>
      </c>
      <c r="Y2293" s="61">
        <v>120.7814</v>
      </c>
      <c r="Z2293" s="61">
        <v>14.987</v>
      </c>
      <c r="AA2293" s="61" t="s">
        <v>8856</v>
      </c>
      <c r="AB2293" s="61"/>
    </row>
    <row r="2294" spans="1:28" s="2" customFormat="1" ht="28.5">
      <c r="A2294" s="61" t="s">
        <v>778</v>
      </c>
      <c r="B2294" s="61" t="s">
        <v>1423</v>
      </c>
      <c r="C2294" s="61" t="s">
        <v>3913</v>
      </c>
      <c r="D2294" s="61" t="s">
        <v>7838</v>
      </c>
      <c r="E2294" s="61">
        <v>2135</v>
      </c>
      <c r="F2294" s="61">
        <v>2416</v>
      </c>
      <c r="G2294" s="61">
        <v>2025</v>
      </c>
      <c r="H2294" s="61" t="s">
        <v>3126</v>
      </c>
      <c r="I2294" s="61" t="s">
        <v>1345</v>
      </c>
      <c r="J2294" s="61" t="s">
        <v>28</v>
      </c>
      <c r="K2294" s="61" t="s">
        <v>148</v>
      </c>
      <c r="L2294" s="61" t="s">
        <v>8993</v>
      </c>
      <c r="M2294" s="475">
        <v>45882</v>
      </c>
      <c r="N2294" s="475">
        <v>45885</v>
      </c>
      <c r="O2294" s="475">
        <v>45887</v>
      </c>
      <c r="P2294" s="475">
        <v>45888</v>
      </c>
      <c r="Q2294" s="475">
        <v>45888</v>
      </c>
      <c r="R2294" s="61">
        <f t="shared" si="156"/>
        <v>2</v>
      </c>
      <c r="S2294" s="61">
        <f t="shared" si="157"/>
        <v>1</v>
      </c>
      <c r="T2294" s="61">
        <f t="shared" si="155"/>
        <v>1</v>
      </c>
      <c r="U2294" s="61">
        <f t="shared" si="158"/>
        <v>1</v>
      </c>
      <c r="V2294" s="61" t="s">
        <v>150</v>
      </c>
      <c r="W2294" s="61" t="s">
        <v>1078</v>
      </c>
      <c r="X2294" s="61" t="s">
        <v>57</v>
      </c>
      <c r="Y2294" s="559" t="s">
        <v>8994</v>
      </c>
      <c r="Z2294" s="559" t="s">
        <v>8995</v>
      </c>
      <c r="AA2294" s="61" t="s">
        <v>8856</v>
      </c>
      <c r="AB2294" s="61" t="s">
        <v>8996</v>
      </c>
    </row>
    <row r="2295" spans="1:28" s="2" customFormat="1" ht="28.5">
      <c r="A2295" s="61" t="s">
        <v>778</v>
      </c>
      <c r="B2295" s="61" t="s">
        <v>1423</v>
      </c>
      <c r="C2295" s="61" t="s">
        <v>1151</v>
      </c>
      <c r="D2295" s="61" t="s">
        <v>7838</v>
      </c>
      <c r="E2295" s="61">
        <v>4722</v>
      </c>
      <c r="F2295" s="61">
        <v>4699</v>
      </c>
      <c r="G2295" s="61">
        <v>2025</v>
      </c>
      <c r="H2295" s="61" t="s">
        <v>3125</v>
      </c>
      <c r="I2295" s="61" t="s">
        <v>1345</v>
      </c>
      <c r="J2295" s="61" t="s">
        <v>28</v>
      </c>
      <c r="K2295" s="61" t="s">
        <v>148</v>
      </c>
      <c r="L2295" s="61" t="s">
        <v>8997</v>
      </c>
      <c r="M2295" s="475">
        <v>45848</v>
      </c>
      <c r="N2295" s="477">
        <v>45854</v>
      </c>
      <c r="O2295" s="475">
        <v>45856</v>
      </c>
      <c r="P2295" s="475">
        <v>45856</v>
      </c>
      <c r="Q2295" s="475">
        <v>45856</v>
      </c>
      <c r="R2295" s="61">
        <f t="shared" ref="R2295:R2358" si="159">IF(
    OR(ISBLANK(M2295), ISBLANK(N2295)),
    "",
    MAX(1, IF(
        NETWORKDAYS(M2295, N2295) &lt;= 0,
        1,
        NETWORKDAYS(M2295, N2295) - IF(M2295 = N2295, 0, 1)
    ))
)</f>
        <v>4</v>
      </c>
      <c r="S2295" s="61">
        <f>IF(
    OR(ISBLANK(M2295), ISBLANK(O2295)),
    "",
    MAX(1, IF(
        NETWORKDAYS(M2295, O2295) &lt;= 0,
        1,
        NETWORKDAYS(M2295, O2295) - IF(M2295 = O2295, 0, 1)
    ))
)</f>
        <v>6</v>
      </c>
      <c r="T2295" s="61">
        <f>IF(
  OR(A2295 = "Nueva_Ecija", A2295 = "Zambales"),
  IF(
    OR(ISBLANK(O2295), ISBLANK(P2295)),
    "",
    MAX(1, IF(
      NETWORKDAYS(O2295, P2295) &lt;= 0,
      1,
      NETWORKDAYS(O2295, P2295) - IF(O2295 = P2295, 0, 1)
    ))
  ),
  IF(
    OR(ISBLANK(M2295), ISBLANK(P2295)),
    "",
    MAX(1, IF(
      NETWORKDAYS(M2295, P2295) &lt;= 0,
      1,
      NETWORKDAYS(M2295, P2295) - IF(M2295 = P2295, 0, 1)
    ))
  )
)</f>
        <v>6</v>
      </c>
      <c r="U2295" s="61">
        <f t="shared" si="158"/>
        <v>1</v>
      </c>
      <c r="V2295" s="61" t="s">
        <v>150</v>
      </c>
      <c r="W2295" s="61" t="s">
        <v>1078</v>
      </c>
      <c r="X2295" s="61" t="s">
        <v>50</v>
      </c>
      <c r="Y2295" s="61" t="s">
        <v>8998</v>
      </c>
      <c r="Z2295" s="61" t="s">
        <v>8999</v>
      </c>
      <c r="AA2295" s="61" t="s">
        <v>8856</v>
      </c>
      <c r="AB2295" s="61"/>
    </row>
    <row r="2296" spans="1:28" s="2" customFormat="1" ht="28.5">
      <c r="A2296" s="61" t="s">
        <v>778</v>
      </c>
      <c r="B2296" s="61" t="s">
        <v>1423</v>
      </c>
      <c r="C2296" s="61" t="s">
        <v>1439</v>
      </c>
      <c r="D2296" s="61" t="s">
        <v>7838</v>
      </c>
      <c r="E2296" s="61">
        <v>2197</v>
      </c>
      <c r="F2296" s="61">
        <v>2485</v>
      </c>
      <c r="G2296" s="61">
        <v>2025</v>
      </c>
      <c r="H2296" s="61" t="s">
        <v>3416</v>
      </c>
      <c r="I2296" s="61" t="s">
        <v>1345</v>
      </c>
      <c r="J2296" s="61"/>
      <c r="K2296" s="61" t="s">
        <v>148</v>
      </c>
      <c r="L2296" s="61" t="s">
        <v>9000</v>
      </c>
      <c r="M2296" s="475">
        <v>45728</v>
      </c>
      <c r="N2296" s="475">
        <v>45734</v>
      </c>
      <c r="O2296" s="61"/>
      <c r="P2296" s="475">
        <v>45734</v>
      </c>
      <c r="Q2296" s="475">
        <v>45735</v>
      </c>
      <c r="R2296" s="61">
        <f t="shared" si="159"/>
        <v>4</v>
      </c>
      <c r="S2296" s="61" t="str">
        <f t="shared" ref="S2296:S2327" si="160">IF(
    OR(ISBLANK(N2296), ISBLANK(O2296)),
    "",
    MAX(1, IF(
        NETWORKDAYS(N2296, O2296) &lt;= 0,
        1,
        NETWORKDAYS(N2296, O2296) - IF(N2296 = O2296, 0, 1)
    ))
)</f>
        <v/>
      </c>
      <c r="T2296" s="61">
        <f t="shared" ref="T2296:T2327" si="161">IF(
  OR(A2296 = "Nueva_Ecija", A2296 = "Zambales"),
  IF(
    OR(ISBLANK(O2296), ISBLANK(P2296)),
    "",
    MAX(1, IF(
      NETWORKDAYS(O2296, P2296) &lt;= 0,
      1,
      NETWORKDAYS(O2296, P2296) - IF(O2296 = P2296, 0, 1)
    ))
  ),
  IF(
    OR(ISBLANK(N2296), ISBLANK(P2296)),
    "",
    MAX(1, IF(
      NETWORKDAYS(N2296, P2296) &lt;= 0,
      1,
      NETWORKDAYS(N2296, P2296) - IF(N2296 = P2296, 0, 1)
    ))
  )
)</f>
        <v>1</v>
      </c>
      <c r="U2296" s="61">
        <f t="shared" si="158"/>
        <v>1</v>
      </c>
      <c r="V2296" s="61" t="s">
        <v>150</v>
      </c>
      <c r="W2296" s="61" t="s">
        <v>1078</v>
      </c>
      <c r="X2296" s="61" t="s">
        <v>50</v>
      </c>
      <c r="Y2296" s="61" t="s">
        <v>9001</v>
      </c>
      <c r="Z2296" s="61" t="s">
        <v>9002</v>
      </c>
      <c r="AA2296" s="61" t="s">
        <v>8856</v>
      </c>
      <c r="AB2296" s="61"/>
    </row>
    <row r="2297" spans="1:28" s="2" customFormat="1" ht="28.5">
      <c r="A2297" s="61" t="s">
        <v>778</v>
      </c>
      <c r="B2297" s="61" t="s">
        <v>1423</v>
      </c>
      <c r="C2297" s="61" t="s">
        <v>5748</v>
      </c>
      <c r="D2297" s="61" t="s">
        <v>7838</v>
      </c>
      <c r="E2297" s="61">
        <v>1980</v>
      </c>
      <c r="F2297" s="61">
        <v>2165</v>
      </c>
      <c r="G2297" s="61">
        <v>2025</v>
      </c>
      <c r="H2297" s="61" t="s">
        <v>3470</v>
      </c>
      <c r="I2297" s="61" t="s">
        <v>1345</v>
      </c>
      <c r="J2297" s="61"/>
      <c r="K2297" s="61" t="s">
        <v>148</v>
      </c>
      <c r="L2297" s="61" t="s">
        <v>9003</v>
      </c>
      <c r="M2297" s="475">
        <v>45757</v>
      </c>
      <c r="N2297" s="475">
        <v>45762</v>
      </c>
      <c r="O2297" s="61"/>
      <c r="P2297" s="475">
        <v>45762</v>
      </c>
      <c r="Q2297" s="475">
        <v>45762</v>
      </c>
      <c r="R2297" s="61">
        <f t="shared" si="159"/>
        <v>3</v>
      </c>
      <c r="S2297" s="61" t="str">
        <f t="shared" si="160"/>
        <v/>
      </c>
      <c r="T2297" s="61">
        <f t="shared" si="161"/>
        <v>1</v>
      </c>
      <c r="U2297" s="61">
        <f t="shared" si="158"/>
        <v>1</v>
      </c>
      <c r="V2297" s="61" t="s">
        <v>150</v>
      </c>
      <c r="W2297" s="61" t="s">
        <v>1078</v>
      </c>
      <c r="X2297" s="61" t="s">
        <v>50</v>
      </c>
      <c r="Y2297" s="61" t="s">
        <v>9004</v>
      </c>
      <c r="Z2297" s="61" t="s">
        <v>9005</v>
      </c>
      <c r="AA2297" s="61" t="s">
        <v>8856</v>
      </c>
      <c r="AB2297" s="61"/>
    </row>
    <row r="2298" spans="1:28" s="2" customFormat="1" ht="28.5">
      <c r="A2298" s="61" t="s">
        <v>778</v>
      </c>
      <c r="B2298" s="61" t="s">
        <v>1423</v>
      </c>
      <c r="C2298" s="61" t="s">
        <v>5750</v>
      </c>
      <c r="D2298" s="61" t="s">
        <v>7838</v>
      </c>
      <c r="E2298" s="61">
        <v>5132</v>
      </c>
      <c r="F2298" s="61">
        <v>6482</v>
      </c>
      <c r="G2298" s="61">
        <v>2025</v>
      </c>
      <c r="H2298" s="61" t="s">
        <v>3416</v>
      </c>
      <c r="I2298" s="61" t="s">
        <v>1345</v>
      </c>
      <c r="J2298" s="61"/>
      <c r="K2298" s="61" t="s">
        <v>148</v>
      </c>
      <c r="L2298" s="61" t="s">
        <v>9006</v>
      </c>
      <c r="M2298" s="475">
        <v>45728</v>
      </c>
      <c r="N2298" s="475">
        <v>45734</v>
      </c>
      <c r="O2298" s="61"/>
      <c r="P2298" s="475">
        <v>45734</v>
      </c>
      <c r="Q2298" s="475">
        <v>45735</v>
      </c>
      <c r="R2298" s="61">
        <f t="shared" si="159"/>
        <v>4</v>
      </c>
      <c r="S2298" s="61" t="str">
        <f t="shared" si="160"/>
        <v/>
      </c>
      <c r="T2298" s="61">
        <f t="shared" si="161"/>
        <v>1</v>
      </c>
      <c r="U2298" s="61">
        <f t="shared" si="158"/>
        <v>1</v>
      </c>
      <c r="V2298" s="61" t="s">
        <v>150</v>
      </c>
      <c r="W2298" s="61" t="s">
        <v>1078</v>
      </c>
      <c r="X2298" s="61" t="s">
        <v>50</v>
      </c>
      <c r="Y2298" s="61" t="s">
        <v>9007</v>
      </c>
      <c r="Z2298" s="61" t="s">
        <v>9008</v>
      </c>
      <c r="AA2298" s="61" t="s">
        <v>8856</v>
      </c>
      <c r="AB2298" s="61"/>
    </row>
    <row r="2299" spans="1:28" s="2" customFormat="1" ht="28.5">
      <c r="A2299" s="61" t="s">
        <v>778</v>
      </c>
      <c r="B2299" s="61" t="s">
        <v>1423</v>
      </c>
      <c r="C2299" s="61" t="s">
        <v>1253</v>
      </c>
      <c r="D2299" s="61" t="s">
        <v>7838</v>
      </c>
      <c r="E2299" s="61">
        <v>7060</v>
      </c>
      <c r="F2299" s="61">
        <v>8007</v>
      </c>
      <c r="G2299" s="61">
        <v>2025</v>
      </c>
      <c r="H2299" s="61" t="s">
        <v>3416</v>
      </c>
      <c r="I2299" s="61" t="s">
        <v>1345</v>
      </c>
      <c r="J2299" s="61"/>
      <c r="K2299" s="61" t="s">
        <v>148</v>
      </c>
      <c r="L2299" s="61" t="s">
        <v>9009</v>
      </c>
      <c r="M2299" s="475">
        <v>45728</v>
      </c>
      <c r="N2299" s="475">
        <v>45734</v>
      </c>
      <c r="O2299" s="61"/>
      <c r="P2299" s="475">
        <v>45734</v>
      </c>
      <c r="Q2299" s="475">
        <v>45735</v>
      </c>
      <c r="R2299" s="61">
        <f t="shared" si="159"/>
        <v>4</v>
      </c>
      <c r="S2299" s="61" t="str">
        <f t="shared" si="160"/>
        <v/>
      </c>
      <c r="T2299" s="61">
        <f t="shared" si="161"/>
        <v>1</v>
      </c>
      <c r="U2299" s="61">
        <f t="shared" si="158"/>
        <v>1</v>
      </c>
      <c r="V2299" s="61" t="s">
        <v>150</v>
      </c>
      <c r="W2299" s="61" t="s">
        <v>1078</v>
      </c>
      <c r="X2299" s="61" t="s">
        <v>50</v>
      </c>
      <c r="Y2299" s="61" t="s">
        <v>9010</v>
      </c>
      <c r="Z2299" s="61" t="s">
        <v>9011</v>
      </c>
      <c r="AA2299" s="61" t="s">
        <v>8856</v>
      </c>
      <c r="AB2299" s="61"/>
    </row>
    <row r="2300" spans="1:28" s="2" customFormat="1" ht="28.5">
      <c r="A2300" s="61" t="s">
        <v>778</v>
      </c>
      <c r="B2300" s="61" t="s">
        <v>1423</v>
      </c>
      <c r="C2300" s="61" t="s">
        <v>1899</v>
      </c>
      <c r="D2300" s="61" t="s">
        <v>7838</v>
      </c>
      <c r="E2300" s="61">
        <v>1352</v>
      </c>
      <c r="F2300" s="61">
        <v>1509</v>
      </c>
      <c r="G2300" s="61">
        <v>2025</v>
      </c>
      <c r="H2300" s="61" t="s">
        <v>3126</v>
      </c>
      <c r="I2300" s="61" t="s">
        <v>1345</v>
      </c>
      <c r="J2300" s="61" t="s">
        <v>28</v>
      </c>
      <c r="K2300" s="61" t="s">
        <v>148</v>
      </c>
      <c r="L2300" s="61" t="s">
        <v>8993</v>
      </c>
      <c r="M2300" s="475">
        <v>45882</v>
      </c>
      <c r="N2300" s="475">
        <v>45885</v>
      </c>
      <c r="O2300" s="475">
        <v>45887</v>
      </c>
      <c r="P2300" s="475">
        <v>45888</v>
      </c>
      <c r="Q2300" s="475">
        <v>45888</v>
      </c>
      <c r="R2300" s="61">
        <f t="shared" si="159"/>
        <v>2</v>
      </c>
      <c r="S2300" s="61">
        <f t="shared" si="160"/>
        <v>1</v>
      </c>
      <c r="T2300" s="61">
        <f t="shared" si="161"/>
        <v>1</v>
      </c>
      <c r="U2300" s="61">
        <f t="shared" si="158"/>
        <v>1</v>
      </c>
      <c r="V2300" s="61" t="s">
        <v>150</v>
      </c>
      <c r="W2300" s="61" t="s">
        <v>1078</v>
      </c>
      <c r="X2300" s="61" t="s">
        <v>57</v>
      </c>
      <c r="Y2300" s="559" t="s">
        <v>8994</v>
      </c>
      <c r="Z2300" s="559" t="s">
        <v>8995</v>
      </c>
      <c r="AA2300" s="61" t="s">
        <v>8856</v>
      </c>
      <c r="AB2300" s="61" t="s">
        <v>8996</v>
      </c>
    </row>
    <row r="2301" spans="1:28" s="2" customFormat="1" ht="28.5">
      <c r="A2301" s="61" t="s">
        <v>778</v>
      </c>
      <c r="B2301" s="61" t="s">
        <v>1423</v>
      </c>
      <c r="C2301" s="61" t="s">
        <v>3727</v>
      </c>
      <c r="D2301" s="61" t="s">
        <v>7838</v>
      </c>
      <c r="E2301" s="61">
        <v>3436</v>
      </c>
      <c r="F2301" s="61">
        <v>3829</v>
      </c>
      <c r="G2301" s="61">
        <v>2025</v>
      </c>
      <c r="H2301" s="61" t="s">
        <v>3458</v>
      </c>
      <c r="I2301" s="61" t="s">
        <v>1345</v>
      </c>
      <c r="J2301" s="61"/>
      <c r="K2301" s="61" t="s">
        <v>148</v>
      </c>
      <c r="L2301" s="61" t="s">
        <v>9012</v>
      </c>
      <c r="M2301" s="475">
        <v>45702</v>
      </c>
      <c r="N2301" s="475">
        <v>45706</v>
      </c>
      <c r="O2301" s="61"/>
      <c r="P2301" s="475">
        <v>45706</v>
      </c>
      <c r="Q2301" s="475">
        <v>45706</v>
      </c>
      <c r="R2301" s="61">
        <f t="shared" si="159"/>
        <v>2</v>
      </c>
      <c r="S2301" s="61" t="str">
        <f t="shared" si="160"/>
        <v/>
      </c>
      <c r="T2301" s="61">
        <f t="shared" si="161"/>
        <v>1</v>
      </c>
      <c r="U2301" s="61">
        <f t="shared" si="158"/>
        <v>1</v>
      </c>
      <c r="V2301" s="61" t="s">
        <v>150</v>
      </c>
      <c r="W2301" s="61" t="s">
        <v>1078</v>
      </c>
      <c r="X2301" s="61" t="s">
        <v>50</v>
      </c>
      <c r="Y2301" s="61"/>
      <c r="Z2301" s="61"/>
      <c r="AA2301" s="61"/>
      <c r="AB2301" s="61"/>
    </row>
    <row r="2302" spans="1:28" s="2" customFormat="1" ht="28.5">
      <c r="A2302" s="61" t="s">
        <v>778</v>
      </c>
      <c r="B2302" s="61" t="s">
        <v>1423</v>
      </c>
      <c r="C2302" s="61" t="s">
        <v>4126</v>
      </c>
      <c r="D2302" s="61" t="s">
        <v>7838</v>
      </c>
      <c r="E2302" s="61">
        <v>2119</v>
      </c>
      <c r="F2302" s="61">
        <v>2147</v>
      </c>
      <c r="G2302" s="61">
        <v>2025</v>
      </c>
      <c r="H2302" s="61" t="s">
        <v>3532</v>
      </c>
      <c r="I2302" s="61" t="s">
        <v>1345</v>
      </c>
      <c r="J2302" s="61"/>
      <c r="K2302" s="61" t="s">
        <v>148</v>
      </c>
      <c r="L2302" s="61" t="s">
        <v>9013</v>
      </c>
      <c r="M2302" s="475">
        <v>45793</v>
      </c>
      <c r="N2302" s="475">
        <v>45794</v>
      </c>
      <c r="O2302" s="61"/>
      <c r="P2302" s="475">
        <v>45797</v>
      </c>
      <c r="Q2302" s="475">
        <v>45797</v>
      </c>
      <c r="R2302" s="61">
        <f t="shared" si="159"/>
        <v>1</v>
      </c>
      <c r="S2302" s="61" t="str">
        <f t="shared" si="160"/>
        <v/>
      </c>
      <c r="T2302" s="61">
        <f t="shared" si="161"/>
        <v>1</v>
      </c>
      <c r="U2302" s="61">
        <f t="shared" si="158"/>
        <v>1</v>
      </c>
      <c r="V2302" s="61" t="s">
        <v>150</v>
      </c>
      <c r="W2302" s="61" t="s">
        <v>3527</v>
      </c>
      <c r="X2302" s="61" t="s">
        <v>3528</v>
      </c>
      <c r="Y2302" s="61" t="s">
        <v>8998</v>
      </c>
      <c r="Z2302" s="474" t="s">
        <v>9014</v>
      </c>
      <c r="AA2302" s="61" t="s">
        <v>8856</v>
      </c>
      <c r="AB2302" s="61"/>
    </row>
    <row r="2303" spans="1:28" s="2" customFormat="1" ht="28.5">
      <c r="A2303" s="61" t="s">
        <v>778</v>
      </c>
      <c r="B2303" s="61" t="s">
        <v>1423</v>
      </c>
      <c r="C2303" s="61" t="s">
        <v>1180</v>
      </c>
      <c r="D2303" s="61" t="s">
        <v>7838</v>
      </c>
      <c r="E2303" s="61">
        <v>3345</v>
      </c>
      <c r="F2303" s="61">
        <v>3947</v>
      </c>
      <c r="G2303" s="61">
        <v>2025</v>
      </c>
      <c r="H2303" s="61" t="s">
        <v>3416</v>
      </c>
      <c r="I2303" s="61" t="s">
        <v>1345</v>
      </c>
      <c r="J2303" s="61"/>
      <c r="K2303" s="61" t="s">
        <v>148</v>
      </c>
      <c r="L2303" s="61" t="s">
        <v>9015</v>
      </c>
      <c r="M2303" s="475">
        <v>45728</v>
      </c>
      <c r="N2303" s="475">
        <v>45734</v>
      </c>
      <c r="O2303" s="61"/>
      <c r="P2303" s="475">
        <v>45734</v>
      </c>
      <c r="Q2303" s="475">
        <v>45735</v>
      </c>
      <c r="R2303" s="61">
        <f t="shared" si="159"/>
        <v>4</v>
      </c>
      <c r="S2303" s="61" t="str">
        <f t="shared" si="160"/>
        <v/>
      </c>
      <c r="T2303" s="61">
        <f t="shared" si="161"/>
        <v>1</v>
      </c>
      <c r="U2303" s="61">
        <f t="shared" si="158"/>
        <v>1</v>
      </c>
      <c r="V2303" s="61" t="s">
        <v>150</v>
      </c>
      <c r="W2303" s="61" t="s">
        <v>3527</v>
      </c>
      <c r="X2303" s="61" t="s">
        <v>3528</v>
      </c>
      <c r="Y2303" s="61" t="s">
        <v>9016</v>
      </c>
      <c r="Z2303" s="61" t="s">
        <v>9014</v>
      </c>
      <c r="AA2303" s="61"/>
      <c r="AB2303" s="61"/>
    </row>
    <row r="2304" spans="1:28" s="2" customFormat="1" ht="28.5">
      <c r="A2304" s="61" t="s">
        <v>778</v>
      </c>
      <c r="B2304" s="61" t="s">
        <v>3566</v>
      </c>
      <c r="C2304" s="61" t="s">
        <v>1056</v>
      </c>
      <c r="D2304" s="61" t="s">
        <v>7838</v>
      </c>
      <c r="E2304" s="61">
        <v>3398</v>
      </c>
      <c r="F2304" s="61">
        <v>3133</v>
      </c>
      <c r="G2304" s="61">
        <v>2025</v>
      </c>
      <c r="H2304" s="61" t="s">
        <v>3470</v>
      </c>
      <c r="I2304" s="61" t="s">
        <v>33</v>
      </c>
      <c r="J2304" s="61"/>
      <c r="K2304" s="61" t="s">
        <v>148</v>
      </c>
      <c r="L2304" s="61" t="s">
        <v>9017</v>
      </c>
      <c r="M2304" s="475">
        <v>45757</v>
      </c>
      <c r="N2304" s="475">
        <v>45758</v>
      </c>
      <c r="O2304" s="61"/>
      <c r="P2304" s="475">
        <v>45768</v>
      </c>
      <c r="Q2304" s="475">
        <v>45769</v>
      </c>
      <c r="R2304" s="61">
        <f t="shared" si="159"/>
        <v>1</v>
      </c>
      <c r="S2304" s="61" t="str">
        <f t="shared" si="160"/>
        <v/>
      </c>
      <c r="T2304" s="61">
        <f t="shared" si="161"/>
        <v>6</v>
      </c>
      <c r="U2304" s="61">
        <f t="shared" si="158"/>
        <v>1</v>
      </c>
      <c r="V2304" s="61" t="s">
        <v>150</v>
      </c>
      <c r="W2304" s="61" t="s">
        <v>4</v>
      </c>
      <c r="X2304" s="61" t="s">
        <v>50</v>
      </c>
      <c r="Y2304" s="61">
        <v>14.98822</v>
      </c>
      <c r="Z2304" s="61">
        <v>120.70928000000001</v>
      </c>
      <c r="AA2304" s="61"/>
      <c r="AB2304" s="61"/>
    </row>
    <row r="2305" spans="1:28" s="2" customFormat="1" ht="28.5">
      <c r="A2305" s="61" t="s">
        <v>778</v>
      </c>
      <c r="B2305" s="61" t="s">
        <v>3566</v>
      </c>
      <c r="C2305" s="61" t="s">
        <v>5756</v>
      </c>
      <c r="D2305" s="61" t="s">
        <v>7838</v>
      </c>
      <c r="E2305" s="61">
        <v>2863</v>
      </c>
      <c r="F2305" s="61">
        <v>3456</v>
      </c>
      <c r="G2305" s="61">
        <v>2025</v>
      </c>
      <c r="H2305" s="61" t="s">
        <v>3470</v>
      </c>
      <c r="I2305" s="61" t="s">
        <v>33</v>
      </c>
      <c r="J2305" s="61"/>
      <c r="K2305" s="61" t="s">
        <v>148</v>
      </c>
      <c r="L2305" s="61" t="s">
        <v>9018</v>
      </c>
      <c r="M2305" s="475">
        <v>45750</v>
      </c>
      <c r="N2305" s="475">
        <v>45754</v>
      </c>
      <c r="O2305" s="61"/>
      <c r="P2305" s="475">
        <v>45768</v>
      </c>
      <c r="Q2305" s="475">
        <v>45769</v>
      </c>
      <c r="R2305" s="61">
        <f t="shared" si="159"/>
        <v>2</v>
      </c>
      <c r="S2305" s="61" t="str">
        <f t="shared" si="160"/>
        <v/>
      </c>
      <c r="T2305" s="61">
        <f t="shared" si="161"/>
        <v>10</v>
      </c>
      <c r="U2305" s="61">
        <f t="shared" si="158"/>
        <v>1</v>
      </c>
      <c r="V2305" s="61" t="s">
        <v>150</v>
      </c>
      <c r="W2305" s="61" t="s">
        <v>4</v>
      </c>
      <c r="X2305" s="61" t="s">
        <v>50</v>
      </c>
      <c r="Y2305" s="61">
        <v>14.98635</v>
      </c>
      <c r="Z2305" s="61">
        <v>120.70372999999999</v>
      </c>
      <c r="AA2305" s="61" t="s">
        <v>182</v>
      </c>
      <c r="AB2305" s="61"/>
    </row>
    <row r="2306" spans="1:28" s="2" customFormat="1" ht="28.5">
      <c r="A2306" s="61" t="s">
        <v>778</v>
      </c>
      <c r="B2306" s="61" t="s">
        <v>3566</v>
      </c>
      <c r="C2306" s="61" t="s">
        <v>3916</v>
      </c>
      <c r="D2306" s="61" t="s">
        <v>7838</v>
      </c>
      <c r="E2306" s="61">
        <v>3146</v>
      </c>
      <c r="F2306" s="61">
        <v>4310</v>
      </c>
      <c r="G2306" s="61">
        <v>2025</v>
      </c>
      <c r="H2306" s="61" t="s">
        <v>3532</v>
      </c>
      <c r="I2306" s="61" t="s">
        <v>33</v>
      </c>
      <c r="J2306" s="61"/>
      <c r="K2306" s="61" t="s">
        <v>148</v>
      </c>
      <c r="L2306" s="61" t="s">
        <v>9019</v>
      </c>
      <c r="M2306" s="475">
        <v>45791</v>
      </c>
      <c r="N2306" s="475">
        <v>45793</v>
      </c>
      <c r="O2306" s="61"/>
      <c r="P2306" s="475">
        <v>45793</v>
      </c>
      <c r="Q2306" s="475">
        <v>45796</v>
      </c>
      <c r="R2306" s="61">
        <f t="shared" si="159"/>
        <v>2</v>
      </c>
      <c r="S2306" s="61" t="str">
        <f t="shared" si="160"/>
        <v/>
      </c>
      <c r="T2306" s="61">
        <f t="shared" si="161"/>
        <v>1</v>
      </c>
      <c r="U2306" s="61">
        <f t="shared" si="158"/>
        <v>1</v>
      </c>
      <c r="V2306" s="61" t="s">
        <v>150</v>
      </c>
      <c r="W2306" s="61" t="s">
        <v>4</v>
      </c>
      <c r="X2306" s="61" t="s">
        <v>57</v>
      </c>
      <c r="Y2306" s="61">
        <v>15.00727</v>
      </c>
      <c r="Z2306" s="61">
        <v>120.70386000000001</v>
      </c>
      <c r="AA2306" s="61" t="s">
        <v>182</v>
      </c>
      <c r="AB2306" s="61"/>
    </row>
    <row r="2307" spans="1:28" s="2" customFormat="1" ht="28.5">
      <c r="A2307" s="61" t="s">
        <v>778</v>
      </c>
      <c r="B2307" s="61" t="s">
        <v>3566</v>
      </c>
      <c r="C2307" s="61" t="s">
        <v>5754</v>
      </c>
      <c r="D2307" s="61" t="s">
        <v>7838</v>
      </c>
      <c r="E2307" s="61">
        <v>5494</v>
      </c>
      <c r="F2307" s="61">
        <v>5488</v>
      </c>
      <c r="G2307" s="61"/>
      <c r="H2307" s="61"/>
      <c r="I2307" s="61" t="s">
        <v>33</v>
      </c>
      <c r="J2307" s="61"/>
      <c r="K2307" s="61" t="s">
        <v>148</v>
      </c>
      <c r="L2307" s="61"/>
      <c r="M2307" s="61"/>
      <c r="N2307" s="61"/>
      <c r="O2307" s="61"/>
      <c r="P2307" s="61"/>
      <c r="Q2307" s="61"/>
      <c r="R2307" s="61" t="str">
        <f t="shared" si="159"/>
        <v/>
      </c>
      <c r="S2307" s="61" t="str">
        <f t="shared" si="160"/>
        <v/>
      </c>
      <c r="T2307" s="61" t="str">
        <f t="shared" si="161"/>
        <v/>
      </c>
      <c r="U2307" s="61" t="str">
        <f t="shared" si="158"/>
        <v/>
      </c>
      <c r="V2307" s="61"/>
      <c r="W2307" s="61"/>
      <c r="X2307" s="61"/>
      <c r="Y2307" s="61"/>
      <c r="Z2307" s="61"/>
      <c r="AA2307" s="61"/>
      <c r="AB2307" s="61"/>
    </row>
    <row r="2308" spans="1:28" s="2" customFormat="1" ht="28.5">
      <c r="A2308" s="61" t="s">
        <v>778</v>
      </c>
      <c r="B2308" s="61" t="s">
        <v>3566</v>
      </c>
      <c r="C2308" s="61" t="s">
        <v>5548</v>
      </c>
      <c r="D2308" s="61" t="s">
        <v>7838</v>
      </c>
      <c r="E2308" s="61">
        <v>12399</v>
      </c>
      <c r="F2308" s="61">
        <v>13769</v>
      </c>
      <c r="G2308" s="61"/>
      <c r="H2308" s="61"/>
      <c r="I2308" s="61" t="s">
        <v>33</v>
      </c>
      <c r="J2308" s="61"/>
      <c r="K2308" s="61" t="s">
        <v>148</v>
      </c>
      <c r="L2308" s="61"/>
      <c r="M2308" s="61"/>
      <c r="N2308" s="61"/>
      <c r="O2308" s="61"/>
      <c r="P2308" s="61"/>
      <c r="Q2308" s="61"/>
      <c r="R2308" s="61" t="str">
        <f t="shared" si="159"/>
        <v/>
      </c>
      <c r="S2308" s="61" t="str">
        <f t="shared" si="160"/>
        <v/>
      </c>
      <c r="T2308" s="61" t="str">
        <f t="shared" si="161"/>
        <v/>
      </c>
      <c r="U2308" s="61" t="str">
        <f t="shared" si="158"/>
        <v/>
      </c>
      <c r="V2308" s="61"/>
      <c r="W2308" s="61"/>
      <c r="X2308" s="61"/>
      <c r="Y2308" s="61"/>
      <c r="Z2308" s="61"/>
      <c r="AA2308" s="61"/>
      <c r="AB2308" s="61"/>
    </row>
    <row r="2309" spans="1:28" s="2" customFormat="1" ht="28.5">
      <c r="A2309" s="61" t="s">
        <v>778</v>
      </c>
      <c r="B2309" s="61" t="s">
        <v>3566</v>
      </c>
      <c r="C2309" s="61" t="s">
        <v>1166</v>
      </c>
      <c r="D2309" s="61" t="s">
        <v>7838</v>
      </c>
      <c r="E2309" s="61">
        <v>11005</v>
      </c>
      <c r="F2309" s="61">
        <v>10048</v>
      </c>
      <c r="G2309" s="61"/>
      <c r="H2309" s="61"/>
      <c r="I2309" s="61" t="s">
        <v>33</v>
      </c>
      <c r="J2309" s="61"/>
      <c r="K2309" s="61" t="s">
        <v>148</v>
      </c>
      <c r="L2309" s="61"/>
      <c r="M2309" s="61"/>
      <c r="N2309" s="61"/>
      <c r="O2309" s="61"/>
      <c r="P2309" s="61"/>
      <c r="Q2309" s="61"/>
      <c r="R2309" s="61" t="str">
        <f t="shared" si="159"/>
        <v/>
      </c>
      <c r="S2309" s="61" t="str">
        <f t="shared" si="160"/>
        <v/>
      </c>
      <c r="T2309" s="61" t="str">
        <f t="shared" si="161"/>
        <v/>
      </c>
      <c r="U2309" s="61" t="str">
        <f t="shared" si="158"/>
        <v/>
      </c>
      <c r="V2309" s="61"/>
      <c r="W2309" s="61"/>
      <c r="X2309" s="61"/>
      <c r="Y2309" s="61"/>
      <c r="Z2309" s="61"/>
      <c r="AA2309" s="61"/>
      <c r="AB2309" s="61"/>
    </row>
    <row r="2310" spans="1:28" s="2" customFormat="1" ht="28.5">
      <c r="A2310" s="61" t="s">
        <v>778</v>
      </c>
      <c r="B2310" s="61" t="s">
        <v>3566</v>
      </c>
      <c r="C2310" s="61" t="s">
        <v>4261</v>
      </c>
      <c r="D2310" s="61" t="s">
        <v>7838</v>
      </c>
      <c r="E2310" s="61">
        <v>2170</v>
      </c>
      <c r="F2310" s="61">
        <v>2642</v>
      </c>
      <c r="G2310" s="61"/>
      <c r="H2310" s="61"/>
      <c r="I2310" s="61" t="s">
        <v>33</v>
      </c>
      <c r="J2310" s="61"/>
      <c r="K2310" s="61" t="s">
        <v>148</v>
      </c>
      <c r="L2310" s="61"/>
      <c r="M2310" s="61"/>
      <c r="N2310" s="61"/>
      <c r="O2310" s="61"/>
      <c r="P2310" s="61"/>
      <c r="Q2310" s="61"/>
      <c r="R2310" s="61" t="str">
        <f t="shared" si="159"/>
        <v/>
      </c>
      <c r="S2310" s="61" t="str">
        <f t="shared" si="160"/>
        <v/>
      </c>
      <c r="T2310" s="61" t="str">
        <f t="shared" si="161"/>
        <v/>
      </c>
      <c r="U2310" s="61" t="str">
        <f t="shared" si="158"/>
        <v/>
      </c>
      <c r="V2310" s="61"/>
      <c r="W2310" s="61"/>
      <c r="X2310" s="61"/>
      <c r="Y2310" s="61"/>
      <c r="Z2310" s="61"/>
      <c r="AA2310" s="61"/>
      <c r="AB2310" s="61"/>
    </row>
    <row r="2311" spans="1:28" s="2" customFormat="1" ht="28.5">
      <c r="A2311" s="61" t="s">
        <v>778</v>
      </c>
      <c r="B2311" s="61" t="s">
        <v>1429</v>
      </c>
      <c r="C2311" s="61" t="s">
        <v>5583</v>
      </c>
      <c r="D2311" s="61" t="s">
        <v>7838</v>
      </c>
      <c r="E2311" s="61">
        <v>3490</v>
      </c>
      <c r="F2311" s="61">
        <v>3538</v>
      </c>
      <c r="G2311" s="61">
        <v>2025</v>
      </c>
      <c r="H2311" s="61" t="s">
        <v>3416</v>
      </c>
      <c r="I2311" s="61" t="s">
        <v>35</v>
      </c>
      <c r="J2311" s="61"/>
      <c r="K2311" s="61" t="s">
        <v>148</v>
      </c>
      <c r="L2311" s="61" t="s">
        <v>9020</v>
      </c>
      <c r="M2311" s="475">
        <v>45730</v>
      </c>
      <c r="N2311" s="475">
        <v>45734</v>
      </c>
      <c r="O2311" s="61"/>
      <c r="P2311" s="475">
        <v>45734</v>
      </c>
      <c r="Q2311" s="475">
        <v>45734</v>
      </c>
      <c r="R2311" s="61">
        <f t="shared" si="159"/>
        <v>2</v>
      </c>
      <c r="S2311" s="61" t="str">
        <f t="shared" si="160"/>
        <v/>
      </c>
      <c r="T2311" s="61">
        <f t="shared" si="161"/>
        <v>1</v>
      </c>
      <c r="U2311" s="61">
        <f t="shared" si="158"/>
        <v>1</v>
      </c>
      <c r="V2311" s="61" t="s">
        <v>150</v>
      </c>
      <c r="W2311" s="61" t="s">
        <v>4</v>
      </c>
      <c r="X2311" s="61" t="s">
        <v>50</v>
      </c>
      <c r="Y2311" s="61">
        <v>14.9369</v>
      </c>
      <c r="Z2311" s="61">
        <v>120.6176</v>
      </c>
      <c r="AA2311" s="61" t="s">
        <v>8856</v>
      </c>
      <c r="AB2311" s="61"/>
    </row>
    <row r="2312" spans="1:28" s="2" customFormat="1" ht="28.5">
      <c r="A2312" s="61" t="s">
        <v>778</v>
      </c>
      <c r="B2312" s="61" t="s">
        <v>1429</v>
      </c>
      <c r="C2312" s="61" t="s">
        <v>914</v>
      </c>
      <c r="D2312" s="61" t="s">
        <v>7838</v>
      </c>
      <c r="E2312" s="61">
        <v>2317</v>
      </c>
      <c r="F2312" s="61">
        <v>2539</v>
      </c>
      <c r="G2312" s="61">
        <v>2025</v>
      </c>
      <c r="H2312" s="61" t="s">
        <v>3470</v>
      </c>
      <c r="I2312" s="61" t="s">
        <v>35</v>
      </c>
      <c r="J2312" s="61"/>
      <c r="K2312" s="61" t="s">
        <v>148</v>
      </c>
      <c r="L2312" s="61" t="s">
        <v>9021</v>
      </c>
      <c r="M2312" s="475">
        <v>45757</v>
      </c>
      <c r="N2312" s="475">
        <v>45760</v>
      </c>
      <c r="O2312" s="61"/>
      <c r="P2312" s="475">
        <v>45762</v>
      </c>
      <c r="Q2312" s="475">
        <v>45768</v>
      </c>
      <c r="R2312" s="61">
        <f t="shared" si="159"/>
        <v>1</v>
      </c>
      <c r="S2312" s="61" t="str">
        <f t="shared" si="160"/>
        <v/>
      </c>
      <c r="T2312" s="61">
        <f t="shared" si="161"/>
        <v>1</v>
      </c>
      <c r="U2312" s="61">
        <f t="shared" si="158"/>
        <v>4</v>
      </c>
      <c r="V2312" s="61" t="s">
        <v>150</v>
      </c>
      <c r="W2312" s="61" t="s">
        <v>1078</v>
      </c>
      <c r="X2312" s="61" t="s">
        <v>50</v>
      </c>
      <c r="Y2312" s="61">
        <v>14.9336</v>
      </c>
      <c r="Z2312" s="61">
        <v>120.6233</v>
      </c>
      <c r="AA2312" s="61" t="s">
        <v>8856</v>
      </c>
      <c r="AB2312" s="61"/>
    </row>
    <row r="2313" spans="1:28" s="2" customFormat="1" ht="28.5">
      <c r="A2313" s="61" t="s">
        <v>778</v>
      </c>
      <c r="B2313" s="61" t="s">
        <v>1429</v>
      </c>
      <c r="C2313" s="61" t="s">
        <v>5759</v>
      </c>
      <c r="D2313" s="61" t="s">
        <v>7838</v>
      </c>
      <c r="E2313" s="61">
        <v>292</v>
      </c>
      <c r="F2313" s="61">
        <v>299</v>
      </c>
      <c r="G2313" s="61"/>
      <c r="H2313" s="61"/>
      <c r="I2313" s="61" t="s">
        <v>35</v>
      </c>
      <c r="J2313" s="61"/>
      <c r="K2313" s="61" t="s">
        <v>148</v>
      </c>
      <c r="L2313" s="61"/>
      <c r="M2313" s="61"/>
      <c r="N2313" s="61"/>
      <c r="O2313" s="61"/>
      <c r="P2313" s="61"/>
      <c r="Q2313" s="61"/>
      <c r="R2313" s="61" t="str">
        <f t="shared" si="159"/>
        <v/>
      </c>
      <c r="S2313" s="61" t="str">
        <f t="shared" si="160"/>
        <v/>
      </c>
      <c r="T2313" s="61" t="str">
        <f t="shared" si="161"/>
        <v/>
      </c>
      <c r="U2313" s="61" t="str">
        <f t="shared" si="158"/>
        <v/>
      </c>
      <c r="V2313" s="61"/>
      <c r="W2313" s="61"/>
      <c r="X2313" s="61"/>
      <c r="Y2313" s="61"/>
      <c r="Z2313" s="61"/>
      <c r="AA2313" s="61"/>
      <c r="AB2313" s="61"/>
    </row>
    <row r="2314" spans="1:28" s="2" customFormat="1" ht="28.5">
      <c r="A2314" s="61" t="s">
        <v>778</v>
      </c>
      <c r="B2314" s="61" t="s">
        <v>1429</v>
      </c>
      <c r="C2314" s="61" t="s">
        <v>5760</v>
      </c>
      <c r="D2314" s="61" t="s">
        <v>7838</v>
      </c>
      <c r="E2314" s="61">
        <v>1223</v>
      </c>
      <c r="F2314" s="61">
        <v>1222</v>
      </c>
      <c r="G2314" s="61"/>
      <c r="H2314" s="61"/>
      <c r="I2314" s="61" t="s">
        <v>35</v>
      </c>
      <c r="J2314" s="61"/>
      <c r="K2314" s="61" t="s">
        <v>148</v>
      </c>
      <c r="L2314" s="61"/>
      <c r="M2314" s="61"/>
      <c r="N2314" s="61"/>
      <c r="O2314" s="61"/>
      <c r="P2314" s="61"/>
      <c r="Q2314" s="61"/>
      <c r="R2314" s="61" t="str">
        <f t="shared" si="159"/>
        <v/>
      </c>
      <c r="S2314" s="61" t="str">
        <f t="shared" si="160"/>
        <v/>
      </c>
      <c r="T2314" s="61" t="str">
        <f t="shared" si="161"/>
        <v/>
      </c>
      <c r="U2314" s="61" t="str">
        <f t="shared" si="158"/>
        <v/>
      </c>
      <c r="V2314" s="61"/>
      <c r="W2314" s="61"/>
      <c r="X2314" s="61"/>
      <c r="Y2314" s="61"/>
      <c r="Z2314" s="61"/>
      <c r="AA2314" s="61"/>
      <c r="AB2314" s="61"/>
    </row>
    <row r="2315" spans="1:28" s="2" customFormat="1" ht="28.5">
      <c r="A2315" s="61" t="s">
        <v>778</v>
      </c>
      <c r="B2315" s="61" t="s">
        <v>1429</v>
      </c>
      <c r="C2315" s="61" t="s">
        <v>5761</v>
      </c>
      <c r="D2315" s="61" t="s">
        <v>7838</v>
      </c>
      <c r="E2315" s="61">
        <v>886</v>
      </c>
      <c r="F2315" s="61">
        <v>900</v>
      </c>
      <c r="G2315" s="61"/>
      <c r="H2315" s="61"/>
      <c r="I2315" s="61" t="s">
        <v>35</v>
      </c>
      <c r="J2315" s="61"/>
      <c r="K2315" s="61" t="s">
        <v>148</v>
      </c>
      <c r="L2315" s="61"/>
      <c r="M2315" s="61"/>
      <c r="N2315" s="61"/>
      <c r="O2315" s="61"/>
      <c r="P2315" s="61"/>
      <c r="Q2315" s="61"/>
      <c r="R2315" s="61" t="str">
        <f t="shared" si="159"/>
        <v/>
      </c>
      <c r="S2315" s="61" t="str">
        <f t="shared" si="160"/>
        <v/>
      </c>
      <c r="T2315" s="61" t="str">
        <f t="shared" si="161"/>
        <v/>
      </c>
      <c r="U2315" s="61" t="str">
        <f t="shared" si="158"/>
        <v/>
      </c>
      <c r="V2315" s="61"/>
      <c r="W2315" s="61"/>
      <c r="X2315" s="61"/>
      <c r="Y2315" s="61"/>
      <c r="Z2315" s="61"/>
      <c r="AA2315" s="61"/>
      <c r="AB2315" s="61"/>
    </row>
    <row r="2316" spans="1:28" s="2" customFormat="1" ht="28.5">
      <c r="A2316" s="61" t="s">
        <v>778</v>
      </c>
      <c r="B2316" s="61" t="s">
        <v>1429</v>
      </c>
      <c r="C2316" s="61" t="s">
        <v>5762</v>
      </c>
      <c r="D2316" s="61" t="s">
        <v>7838</v>
      </c>
      <c r="E2316" s="61">
        <v>2488</v>
      </c>
      <c r="F2316" s="61">
        <v>2461</v>
      </c>
      <c r="G2316" s="61"/>
      <c r="H2316" s="61"/>
      <c r="I2316" s="61" t="s">
        <v>35</v>
      </c>
      <c r="J2316" s="61"/>
      <c r="K2316" s="61" t="s">
        <v>148</v>
      </c>
      <c r="L2316" s="61"/>
      <c r="M2316" s="61"/>
      <c r="N2316" s="61"/>
      <c r="O2316" s="61"/>
      <c r="P2316" s="61"/>
      <c r="Q2316" s="61"/>
      <c r="R2316" s="61" t="str">
        <f t="shared" si="159"/>
        <v/>
      </c>
      <c r="S2316" s="61" t="str">
        <f t="shared" si="160"/>
        <v/>
      </c>
      <c r="T2316" s="61" t="str">
        <f t="shared" si="161"/>
        <v/>
      </c>
      <c r="U2316" s="61" t="str">
        <f t="shared" si="158"/>
        <v/>
      </c>
      <c r="V2316" s="61"/>
      <c r="W2316" s="61"/>
      <c r="X2316" s="61"/>
      <c r="Y2316" s="61"/>
      <c r="Z2316" s="61"/>
      <c r="AA2316" s="61"/>
      <c r="AB2316" s="61"/>
    </row>
    <row r="2317" spans="1:28" s="2" customFormat="1" ht="28.5">
      <c r="A2317" s="61" t="s">
        <v>778</v>
      </c>
      <c r="B2317" s="61" t="s">
        <v>1429</v>
      </c>
      <c r="C2317" s="61" t="s">
        <v>5763</v>
      </c>
      <c r="D2317" s="61" t="s">
        <v>7838</v>
      </c>
      <c r="E2317" s="61">
        <v>1373</v>
      </c>
      <c r="F2317" s="61">
        <v>1453</v>
      </c>
      <c r="G2317" s="61"/>
      <c r="H2317" s="61"/>
      <c r="I2317" s="61" t="s">
        <v>35</v>
      </c>
      <c r="J2317" s="61"/>
      <c r="K2317" s="61" t="s">
        <v>148</v>
      </c>
      <c r="L2317" s="61"/>
      <c r="M2317" s="61"/>
      <c r="N2317" s="61"/>
      <c r="O2317" s="61"/>
      <c r="P2317" s="61"/>
      <c r="Q2317" s="61"/>
      <c r="R2317" s="61" t="str">
        <f t="shared" si="159"/>
        <v/>
      </c>
      <c r="S2317" s="61" t="str">
        <f t="shared" si="160"/>
        <v/>
      </c>
      <c r="T2317" s="61" t="str">
        <f t="shared" si="161"/>
        <v/>
      </c>
      <c r="U2317" s="61" t="str">
        <f t="shared" si="158"/>
        <v/>
      </c>
      <c r="V2317" s="61"/>
      <c r="W2317" s="61"/>
      <c r="X2317" s="61"/>
      <c r="Y2317" s="61"/>
      <c r="Z2317" s="61"/>
      <c r="AA2317" s="61"/>
      <c r="AB2317" s="61"/>
    </row>
    <row r="2318" spans="1:28" s="2" customFormat="1" ht="28.5">
      <c r="A2318" s="61" t="s">
        <v>778</v>
      </c>
      <c r="B2318" s="61" t="s">
        <v>1429</v>
      </c>
      <c r="C2318" s="61" t="s">
        <v>5551</v>
      </c>
      <c r="D2318" s="61" t="s">
        <v>7838</v>
      </c>
      <c r="E2318" s="61">
        <v>2625</v>
      </c>
      <c r="F2318" s="61">
        <v>2687</v>
      </c>
      <c r="G2318" s="61"/>
      <c r="H2318" s="61"/>
      <c r="I2318" s="61" t="s">
        <v>35</v>
      </c>
      <c r="J2318" s="61"/>
      <c r="K2318" s="61" t="s">
        <v>148</v>
      </c>
      <c r="L2318" s="61"/>
      <c r="M2318" s="61"/>
      <c r="N2318" s="61"/>
      <c r="O2318" s="61"/>
      <c r="P2318" s="61"/>
      <c r="Q2318" s="61"/>
      <c r="R2318" s="61" t="str">
        <f t="shared" si="159"/>
        <v/>
      </c>
      <c r="S2318" s="61" t="str">
        <f t="shared" si="160"/>
        <v/>
      </c>
      <c r="T2318" s="61" t="str">
        <f t="shared" si="161"/>
        <v/>
      </c>
      <c r="U2318" s="61" t="str">
        <f t="shared" si="158"/>
        <v/>
      </c>
      <c r="V2318" s="61"/>
      <c r="W2318" s="61"/>
      <c r="X2318" s="61"/>
      <c r="Y2318" s="61"/>
      <c r="Z2318" s="61"/>
      <c r="AA2318" s="61"/>
      <c r="AB2318" s="61"/>
    </row>
    <row r="2319" spans="1:28" s="2" customFormat="1" ht="28.5">
      <c r="A2319" s="61" t="s">
        <v>778</v>
      </c>
      <c r="B2319" s="61" t="s">
        <v>1429</v>
      </c>
      <c r="C2319" s="61" t="s">
        <v>5552</v>
      </c>
      <c r="D2319" s="61" t="s">
        <v>7838</v>
      </c>
      <c r="E2319" s="61">
        <v>3065</v>
      </c>
      <c r="F2319" s="61">
        <v>1678</v>
      </c>
      <c r="G2319" s="61"/>
      <c r="H2319" s="61"/>
      <c r="I2319" s="61" t="s">
        <v>35</v>
      </c>
      <c r="J2319" s="61"/>
      <c r="K2319" s="61" t="s">
        <v>148</v>
      </c>
      <c r="L2319" s="61"/>
      <c r="M2319" s="61"/>
      <c r="N2319" s="61"/>
      <c r="O2319" s="61"/>
      <c r="P2319" s="61"/>
      <c r="Q2319" s="61"/>
      <c r="R2319" s="61" t="str">
        <f t="shared" si="159"/>
        <v/>
      </c>
      <c r="S2319" s="61" t="str">
        <f t="shared" si="160"/>
        <v/>
      </c>
      <c r="T2319" s="61" t="str">
        <f t="shared" si="161"/>
        <v/>
      </c>
      <c r="U2319" s="61" t="str">
        <f t="shared" si="158"/>
        <v/>
      </c>
      <c r="V2319" s="61"/>
      <c r="W2319" s="61"/>
      <c r="X2319" s="61"/>
      <c r="Y2319" s="61"/>
      <c r="Z2319" s="61"/>
      <c r="AA2319" s="61"/>
      <c r="AB2319" s="61"/>
    </row>
    <row r="2320" spans="1:28" s="2" customFormat="1" ht="28.5">
      <c r="A2320" s="61" t="s">
        <v>778</v>
      </c>
      <c r="B2320" s="61" t="s">
        <v>1429</v>
      </c>
      <c r="C2320" s="61" t="s">
        <v>1253</v>
      </c>
      <c r="D2320" s="61" t="s">
        <v>7838</v>
      </c>
      <c r="E2320" s="61">
        <v>3210</v>
      </c>
      <c r="F2320" s="61">
        <v>5111</v>
      </c>
      <c r="G2320" s="61"/>
      <c r="H2320" s="61"/>
      <c r="I2320" s="61" t="s">
        <v>35</v>
      </c>
      <c r="J2320" s="61"/>
      <c r="K2320" s="61" t="s">
        <v>148</v>
      </c>
      <c r="L2320" s="61"/>
      <c r="M2320" s="61"/>
      <c r="N2320" s="61"/>
      <c r="O2320" s="61"/>
      <c r="P2320" s="61"/>
      <c r="Q2320" s="61"/>
      <c r="R2320" s="61" t="str">
        <f t="shared" si="159"/>
        <v/>
      </c>
      <c r="S2320" s="61" t="str">
        <f t="shared" si="160"/>
        <v/>
      </c>
      <c r="T2320" s="61" t="str">
        <f t="shared" si="161"/>
        <v/>
      </c>
      <c r="U2320" s="61" t="str">
        <f t="shared" si="158"/>
        <v/>
      </c>
      <c r="V2320" s="61"/>
      <c r="W2320" s="61"/>
      <c r="X2320" s="61"/>
      <c r="Y2320" s="61"/>
      <c r="Z2320" s="61"/>
      <c r="AA2320" s="61"/>
      <c r="AB2320" s="61"/>
    </row>
    <row r="2321" spans="1:28" s="2" customFormat="1" ht="28.5">
      <c r="A2321" s="61" t="s">
        <v>778</v>
      </c>
      <c r="B2321" s="61" t="s">
        <v>1429</v>
      </c>
      <c r="C2321" s="61" t="s">
        <v>1424</v>
      </c>
      <c r="D2321" s="61" t="s">
        <v>7838</v>
      </c>
      <c r="E2321" s="61">
        <v>3829</v>
      </c>
      <c r="F2321" s="61">
        <v>3961</v>
      </c>
      <c r="G2321" s="61"/>
      <c r="H2321" s="61"/>
      <c r="I2321" s="61" t="s">
        <v>35</v>
      </c>
      <c r="J2321" s="61"/>
      <c r="K2321" s="61" t="s">
        <v>148</v>
      </c>
      <c r="L2321" s="61"/>
      <c r="M2321" s="61"/>
      <c r="N2321" s="61"/>
      <c r="O2321" s="61"/>
      <c r="P2321" s="61"/>
      <c r="Q2321" s="61"/>
      <c r="R2321" s="61" t="str">
        <f t="shared" si="159"/>
        <v/>
      </c>
      <c r="S2321" s="61" t="str">
        <f t="shared" si="160"/>
        <v/>
      </c>
      <c r="T2321" s="61" t="str">
        <f t="shared" si="161"/>
        <v/>
      </c>
      <c r="U2321" s="61" t="str">
        <f t="shared" si="158"/>
        <v/>
      </c>
      <c r="V2321" s="61"/>
      <c r="W2321" s="61"/>
      <c r="X2321" s="61"/>
      <c r="Y2321" s="61"/>
      <c r="Z2321" s="61"/>
      <c r="AA2321" s="61"/>
      <c r="AB2321" s="61"/>
    </row>
    <row r="2322" spans="1:28" s="2" customFormat="1" ht="28.5">
      <c r="A2322" s="61" t="s">
        <v>778</v>
      </c>
      <c r="B2322" s="61" t="s">
        <v>1429</v>
      </c>
      <c r="C2322" s="61" t="s">
        <v>3566</v>
      </c>
      <c r="D2322" s="61" t="s">
        <v>7838</v>
      </c>
      <c r="E2322" s="61">
        <v>3206</v>
      </c>
      <c r="F2322" s="61">
        <v>3227</v>
      </c>
      <c r="G2322" s="61"/>
      <c r="H2322" s="61"/>
      <c r="I2322" s="61" t="s">
        <v>35</v>
      </c>
      <c r="J2322" s="61"/>
      <c r="K2322" s="61" t="s">
        <v>148</v>
      </c>
      <c r="L2322" s="61"/>
      <c r="M2322" s="61"/>
      <c r="N2322" s="61"/>
      <c r="O2322" s="61"/>
      <c r="P2322" s="61"/>
      <c r="Q2322" s="61"/>
      <c r="R2322" s="61" t="str">
        <f t="shared" si="159"/>
        <v/>
      </c>
      <c r="S2322" s="61" t="str">
        <f t="shared" si="160"/>
        <v/>
      </c>
      <c r="T2322" s="61" t="str">
        <f t="shared" si="161"/>
        <v/>
      </c>
      <c r="U2322" s="61" t="str">
        <f t="shared" si="158"/>
        <v/>
      </c>
      <c r="V2322" s="61"/>
      <c r="W2322" s="61"/>
      <c r="X2322" s="61"/>
      <c r="Y2322" s="61"/>
      <c r="Z2322" s="61"/>
      <c r="AA2322" s="61"/>
      <c r="AB2322" s="61"/>
    </row>
    <row r="2323" spans="1:28" s="2" customFormat="1" ht="28.5">
      <c r="A2323" s="61" t="s">
        <v>778</v>
      </c>
      <c r="B2323" s="61" t="s">
        <v>1438</v>
      </c>
      <c r="C2323" s="61" t="s">
        <v>3974</v>
      </c>
      <c r="D2323" s="61" t="s">
        <v>7838</v>
      </c>
      <c r="E2323" s="61">
        <v>3800</v>
      </c>
      <c r="F2323" s="61">
        <v>4065</v>
      </c>
      <c r="G2323" s="61">
        <v>2025</v>
      </c>
      <c r="H2323" s="61" t="s">
        <v>3458</v>
      </c>
      <c r="I2323" s="61" t="s">
        <v>32</v>
      </c>
      <c r="J2323" s="61"/>
      <c r="K2323" s="61" t="s">
        <v>148</v>
      </c>
      <c r="L2323" s="61" t="s">
        <v>9022</v>
      </c>
      <c r="M2323" s="475">
        <v>45699</v>
      </c>
      <c r="N2323" s="475">
        <v>45702</v>
      </c>
      <c r="O2323" s="61"/>
      <c r="P2323" s="475">
        <v>45705</v>
      </c>
      <c r="Q2323" s="475">
        <v>45706</v>
      </c>
      <c r="R2323" s="61">
        <f t="shared" si="159"/>
        <v>3</v>
      </c>
      <c r="S2323" s="61" t="str">
        <f t="shared" si="160"/>
        <v/>
      </c>
      <c r="T2323" s="61">
        <f t="shared" si="161"/>
        <v>1</v>
      </c>
      <c r="U2323" s="61">
        <f t="shared" si="158"/>
        <v>1</v>
      </c>
      <c r="V2323" s="61" t="s">
        <v>150</v>
      </c>
      <c r="W2323" s="61" t="s">
        <v>4</v>
      </c>
      <c r="X2323" s="61" t="s">
        <v>57</v>
      </c>
      <c r="Y2323" s="61">
        <v>120.73855</v>
      </c>
      <c r="Z2323" s="61">
        <v>15.11181</v>
      </c>
      <c r="AA2323" s="61" t="s">
        <v>8856</v>
      </c>
      <c r="AB2323" s="61"/>
    </row>
    <row r="2324" spans="1:28" s="2" customFormat="1" ht="28.5">
      <c r="A2324" s="61" t="s">
        <v>778</v>
      </c>
      <c r="B2324" s="61" t="s">
        <v>1438</v>
      </c>
      <c r="C2324" s="61" t="s">
        <v>1170</v>
      </c>
      <c r="D2324" s="61" t="s">
        <v>7838</v>
      </c>
      <c r="E2324" s="61">
        <v>4237</v>
      </c>
      <c r="F2324" s="61">
        <v>3995</v>
      </c>
      <c r="G2324" s="61">
        <v>2025</v>
      </c>
      <c r="H2324" s="61" t="s">
        <v>3416</v>
      </c>
      <c r="I2324" s="61" t="s">
        <v>32</v>
      </c>
      <c r="J2324" s="61"/>
      <c r="K2324" s="61" t="s">
        <v>148</v>
      </c>
      <c r="L2324" s="61" t="s">
        <v>9023</v>
      </c>
      <c r="M2324" s="475">
        <v>45723</v>
      </c>
      <c r="N2324" s="475">
        <v>45725</v>
      </c>
      <c r="O2324" s="61"/>
      <c r="P2324" s="475">
        <v>45733</v>
      </c>
      <c r="Q2324" s="475">
        <v>45734</v>
      </c>
      <c r="R2324" s="61">
        <f t="shared" si="159"/>
        <v>1</v>
      </c>
      <c r="S2324" s="61" t="str">
        <f t="shared" si="160"/>
        <v/>
      </c>
      <c r="T2324" s="61">
        <f t="shared" si="161"/>
        <v>5</v>
      </c>
      <c r="U2324" s="61">
        <f t="shared" si="158"/>
        <v>1</v>
      </c>
      <c r="V2324" s="61" t="s">
        <v>150</v>
      </c>
      <c r="W2324" s="61" t="s">
        <v>4</v>
      </c>
      <c r="X2324" s="61" t="s">
        <v>62</v>
      </c>
      <c r="Y2324" s="61">
        <v>15.111333500000001</v>
      </c>
      <c r="Z2324" s="61">
        <v>120.74473070000001</v>
      </c>
      <c r="AA2324" s="61"/>
      <c r="AB2324" s="61"/>
    </row>
    <row r="2325" spans="1:28" s="2" customFormat="1" ht="28.5">
      <c r="A2325" s="61" t="s">
        <v>778</v>
      </c>
      <c r="B2325" s="61" t="s">
        <v>1438</v>
      </c>
      <c r="C2325" s="61" t="s">
        <v>4261</v>
      </c>
      <c r="D2325" s="61" t="s">
        <v>7838</v>
      </c>
      <c r="E2325" s="61">
        <v>1620</v>
      </c>
      <c r="F2325" s="61">
        <v>1940</v>
      </c>
      <c r="G2325" s="61"/>
      <c r="H2325" s="61"/>
      <c r="I2325" s="61" t="s">
        <v>32</v>
      </c>
      <c r="J2325" s="61"/>
      <c r="K2325" s="61" t="s">
        <v>148</v>
      </c>
      <c r="L2325" s="61"/>
      <c r="M2325" s="61"/>
      <c r="N2325" s="61"/>
      <c r="O2325" s="61"/>
      <c r="P2325" s="61"/>
      <c r="Q2325" s="61"/>
      <c r="R2325" s="61" t="str">
        <f t="shared" si="159"/>
        <v/>
      </c>
      <c r="S2325" s="61" t="str">
        <f t="shared" si="160"/>
        <v/>
      </c>
      <c r="T2325" s="61" t="str">
        <f t="shared" si="161"/>
        <v/>
      </c>
      <c r="U2325" s="61" t="str">
        <f t="shared" si="158"/>
        <v/>
      </c>
      <c r="V2325" s="61"/>
      <c r="W2325" s="61" t="s">
        <v>4</v>
      </c>
      <c r="X2325" s="61" t="s">
        <v>50</v>
      </c>
      <c r="Y2325" s="61">
        <v>15.111333500000001</v>
      </c>
      <c r="Z2325" s="61">
        <v>120.74473070000001</v>
      </c>
      <c r="AA2325" s="61" t="s">
        <v>8856</v>
      </c>
      <c r="AB2325" s="61"/>
    </row>
    <row r="2326" spans="1:28" s="2" customFormat="1" ht="28.5">
      <c r="A2326" s="61" t="s">
        <v>778</v>
      </c>
      <c r="B2326" s="61" t="s">
        <v>1438</v>
      </c>
      <c r="C2326" s="61" t="s">
        <v>1253</v>
      </c>
      <c r="D2326" s="61" t="s">
        <v>7838</v>
      </c>
      <c r="E2326" s="61">
        <v>1910</v>
      </c>
      <c r="F2326" s="61">
        <v>2279</v>
      </c>
      <c r="G2326" s="61">
        <v>2025</v>
      </c>
      <c r="H2326" s="61" t="s">
        <v>3470</v>
      </c>
      <c r="I2326" s="61" t="s">
        <v>32</v>
      </c>
      <c r="J2326" s="61"/>
      <c r="K2326" s="61" t="s">
        <v>148</v>
      </c>
      <c r="L2326" s="61" t="s">
        <v>9024</v>
      </c>
      <c r="M2326" s="475">
        <v>45758</v>
      </c>
      <c r="N2326" s="475">
        <v>45760</v>
      </c>
      <c r="O2326" s="61"/>
      <c r="P2326" s="475">
        <v>45762</v>
      </c>
      <c r="Q2326" s="475">
        <v>45768</v>
      </c>
      <c r="R2326" s="61">
        <f t="shared" si="159"/>
        <v>1</v>
      </c>
      <c r="S2326" s="61" t="str">
        <f t="shared" si="160"/>
        <v/>
      </c>
      <c r="T2326" s="61">
        <f t="shared" si="161"/>
        <v>1</v>
      </c>
      <c r="U2326" s="61">
        <f t="shared" si="158"/>
        <v>4</v>
      </c>
      <c r="V2326" s="61" t="s">
        <v>150</v>
      </c>
      <c r="W2326" s="61" t="s">
        <v>3527</v>
      </c>
      <c r="X2326" s="61" t="s">
        <v>3528</v>
      </c>
      <c r="Y2326" s="61">
        <v>15.07812</v>
      </c>
      <c r="Z2326" s="61">
        <v>120.76797999999999</v>
      </c>
      <c r="AA2326" s="61" t="s">
        <v>8856</v>
      </c>
      <c r="AB2326" s="61"/>
    </row>
    <row r="2327" spans="1:28" s="2" customFormat="1" ht="28.5">
      <c r="A2327" s="61" t="s">
        <v>778</v>
      </c>
      <c r="B2327" s="61" t="s">
        <v>1438</v>
      </c>
      <c r="C2327" s="61" t="s">
        <v>4126</v>
      </c>
      <c r="D2327" s="61" t="s">
        <v>7838</v>
      </c>
      <c r="E2327" s="61">
        <v>3251</v>
      </c>
      <c r="F2327" s="61">
        <v>3308</v>
      </c>
      <c r="G2327" s="61"/>
      <c r="H2327" s="61"/>
      <c r="I2327" s="61" t="s">
        <v>32</v>
      </c>
      <c r="J2327" s="61"/>
      <c r="K2327" s="61" t="s">
        <v>148</v>
      </c>
      <c r="L2327" s="61"/>
      <c r="M2327" s="61"/>
      <c r="N2327" s="61"/>
      <c r="O2327" s="61"/>
      <c r="P2327" s="61"/>
      <c r="Q2327" s="61"/>
      <c r="R2327" s="61" t="str">
        <f t="shared" si="159"/>
        <v/>
      </c>
      <c r="S2327" s="61" t="str">
        <f t="shared" si="160"/>
        <v/>
      </c>
      <c r="T2327" s="61" t="str">
        <f t="shared" si="161"/>
        <v/>
      </c>
      <c r="U2327" s="61" t="str">
        <f t="shared" si="158"/>
        <v/>
      </c>
      <c r="V2327" s="61"/>
      <c r="W2327" s="61"/>
      <c r="X2327" s="61"/>
      <c r="Y2327" s="61"/>
      <c r="Z2327" s="61"/>
      <c r="AA2327" s="61"/>
      <c r="AB2327" s="61"/>
    </row>
    <row r="2328" spans="1:28" s="2" customFormat="1" ht="28.5">
      <c r="A2328" s="61" t="s">
        <v>778</v>
      </c>
      <c r="B2328" s="61" t="s">
        <v>1438</v>
      </c>
      <c r="C2328" s="61" t="s">
        <v>5756</v>
      </c>
      <c r="D2328" s="61" t="s">
        <v>7838</v>
      </c>
      <c r="E2328" s="61">
        <v>1795</v>
      </c>
      <c r="F2328" s="61">
        <v>2774</v>
      </c>
      <c r="G2328" s="61"/>
      <c r="H2328" s="61"/>
      <c r="I2328" s="61" t="s">
        <v>32</v>
      </c>
      <c r="J2328" s="61"/>
      <c r="K2328" s="61" t="s">
        <v>148</v>
      </c>
      <c r="L2328" s="61"/>
      <c r="M2328" s="61"/>
      <c r="N2328" s="61"/>
      <c r="O2328" s="61"/>
      <c r="P2328" s="61"/>
      <c r="Q2328" s="61"/>
      <c r="R2328" s="61" t="str">
        <f t="shared" si="159"/>
        <v/>
      </c>
      <c r="S2328" s="61" t="str">
        <f t="shared" ref="S2328:S2358" si="162">IF(
    OR(ISBLANK(N2328), ISBLANK(O2328)),
    "",
    MAX(1, IF(
        NETWORKDAYS(N2328, O2328) &lt;= 0,
        1,
        NETWORKDAYS(N2328, O2328) - IF(N2328 = O2328, 0, 1)
    ))
)</f>
        <v/>
      </c>
      <c r="T2328" s="61" t="str">
        <f t="shared" ref="T2328:T2358" si="163">IF(
  OR(A2328 = "Nueva_Ecija", A2328 = "Zambales"),
  IF(
    OR(ISBLANK(O2328), ISBLANK(P2328)),
    "",
    MAX(1, IF(
      NETWORKDAYS(O2328, P2328) &lt;= 0,
      1,
      NETWORKDAYS(O2328, P2328) - IF(O2328 = P2328, 0, 1)
    ))
  ),
  IF(
    OR(ISBLANK(N2328), ISBLANK(P2328)),
    "",
    MAX(1, IF(
      NETWORKDAYS(N2328, P2328) &lt;= 0,
      1,
      NETWORKDAYS(N2328, P2328) - IF(N2328 = P2328, 0, 1)
    ))
  )
)</f>
        <v/>
      </c>
      <c r="U2328" s="61" t="str">
        <f t="shared" ref="U2328:U2358" si="164">IF(
    OR(ISBLANK(P2328), ISBLANK(Q2328)),
    "",
    MAX(1, IF(
        NETWORKDAYS(P2328, Q2328) &lt;= 0,
        1,
        NETWORKDAYS(P2328, Q2328) - IF(P2328 = Q2328, 0, 1)
    ))
)</f>
        <v/>
      </c>
      <c r="V2328" s="61"/>
      <c r="W2328" s="61"/>
      <c r="X2328" s="61"/>
      <c r="Y2328" s="61"/>
      <c r="Z2328" s="61"/>
      <c r="AA2328" s="61"/>
      <c r="AB2328" s="61"/>
    </row>
    <row r="2329" spans="1:28" s="2" customFormat="1" ht="28.5">
      <c r="A2329" s="61" t="s">
        <v>778</v>
      </c>
      <c r="B2329" s="61" t="s">
        <v>1438</v>
      </c>
      <c r="C2329" s="61" t="s">
        <v>1180</v>
      </c>
      <c r="D2329" s="61" t="s">
        <v>7838</v>
      </c>
      <c r="E2329" s="61">
        <v>5938</v>
      </c>
      <c r="F2329" s="61">
        <v>5485</v>
      </c>
      <c r="G2329" s="61"/>
      <c r="H2329" s="61"/>
      <c r="I2329" s="61" t="s">
        <v>32</v>
      </c>
      <c r="J2329" s="61"/>
      <c r="K2329" s="61" t="s">
        <v>148</v>
      </c>
      <c r="L2329" s="61"/>
      <c r="M2329" s="61"/>
      <c r="N2329" s="61"/>
      <c r="O2329" s="61"/>
      <c r="P2329" s="61"/>
      <c r="Q2329" s="61"/>
      <c r="R2329" s="61" t="str">
        <f t="shared" si="159"/>
        <v/>
      </c>
      <c r="S2329" s="61" t="str">
        <f t="shared" si="162"/>
        <v/>
      </c>
      <c r="T2329" s="61" t="str">
        <f t="shared" si="163"/>
        <v/>
      </c>
      <c r="U2329" s="61" t="str">
        <f t="shared" si="164"/>
        <v/>
      </c>
      <c r="V2329" s="61"/>
      <c r="W2329" s="61"/>
      <c r="X2329" s="61"/>
      <c r="Y2329" s="61"/>
      <c r="Z2329" s="61"/>
      <c r="AA2329" s="61"/>
      <c r="AB2329" s="61"/>
    </row>
    <row r="2330" spans="1:28" s="2" customFormat="1" ht="28.5">
      <c r="A2330" s="61" t="s">
        <v>778</v>
      </c>
      <c r="B2330" s="61" t="s">
        <v>1438</v>
      </c>
      <c r="C2330" s="61" t="s">
        <v>5767</v>
      </c>
      <c r="D2330" s="61" t="s">
        <v>7838</v>
      </c>
      <c r="E2330" s="61">
        <v>4240</v>
      </c>
      <c r="F2330" s="61">
        <v>3143</v>
      </c>
      <c r="G2330" s="61"/>
      <c r="H2330" s="61"/>
      <c r="I2330" s="61" t="s">
        <v>32</v>
      </c>
      <c r="J2330" s="61"/>
      <c r="K2330" s="61" t="s">
        <v>148</v>
      </c>
      <c r="L2330" s="61"/>
      <c r="M2330" s="61"/>
      <c r="N2330" s="61"/>
      <c r="O2330" s="61"/>
      <c r="P2330" s="61"/>
      <c r="Q2330" s="61"/>
      <c r="R2330" s="61" t="str">
        <f t="shared" si="159"/>
        <v/>
      </c>
      <c r="S2330" s="61" t="str">
        <f t="shared" si="162"/>
        <v/>
      </c>
      <c r="T2330" s="61" t="str">
        <f t="shared" si="163"/>
        <v/>
      </c>
      <c r="U2330" s="61" t="str">
        <f t="shared" si="164"/>
        <v/>
      </c>
      <c r="V2330" s="61"/>
      <c r="W2330" s="61"/>
      <c r="X2330" s="61"/>
      <c r="Y2330" s="61"/>
      <c r="Z2330" s="61"/>
      <c r="AA2330" s="61"/>
      <c r="AB2330" s="61"/>
    </row>
    <row r="2331" spans="1:28" s="2" customFormat="1" ht="28.5">
      <c r="A2331" s="61" t="s">
        <v>778</v>
      </c>
      <c r="B2331" s="61" t="s">
        <v>1438</v>
      </c>
      <c r="C2331" s="61" t="s">
        <v>858</v>
      </c>
      <c r="D2331" s="61" t="s">
        <v>7838</v>
      </c>
      <c r="E2331" s="61">
        <v>1733</v>
      </c>
      <c r="F2331" s="61">
        <v>2110</v>
      </c>
      <c r="G2331" s="61"/>
      <c r="H2331" s="61"/>
      <c r="I2331" s="61" t="s">
        <v>32</v>
      </c>
      <c r="J2331" s="61"/>
      <c r="K2331" s="61" t="s">
        <v>148</v>
      </c>
      <c r="L2331" s="61"/>
      <c r="M2331" s="61"/>
      <c r="N2331" s="61"/>
      <c r="O2331" s="61"/>
      <c r="P2331" s="61"/>
      <c r="Q2331" s="61"/>
      <c r="R2331" s="61" t="str">
        <f t="shared" si="159"/>
        <v/>
      </c>
      <c r="S2331" s="61" t="str">
        <f t="shared" si="162"/>
        <v/>
      </c>
      <c r="T2331" s="61" t="str">
        <f t="shared" si="163"/>
        <v/>
      </c>
      <c r="U2331" s="61" t="str">
        <f t="shared" si="164"/>
        <v/>
      </c>
      <c r="V2331" s="61"/>
      <c r="W2331" s="61"/>
      <c r="X2331" s="61"/>
      <c r="Y2331" s="61"/>
      <c r="Z2331" s="61"/>
      <c r="AA2331" s="61"/>
      <c r="AB2331" s="61"/>
    </row>
    <row r="2332" spans="1:28" s="2" customFormat="1" ht="28.5">
      <c r="A2332" s="61" t="s">
        <v>778</v>
      </c>
      <c r="B2332" s="61" t="s">
        <v>1438</v>
      </c>
      <c r="C2332" s="61" t="s">
        <v>918</v>
      </c>
      <c r="D2332" s="61" t="s">
        <v>7838</v>
      </c>
      <c r="E2332" s="61">
        <v>2491</v>
      </c>
      <c r="F2332" s="61">
        <v>2823</v>
      </c>
      <c r="G2332" s="61"/>
      <c r="H2332" s="61"/>
      <c r="I2332" s="61" t="s">
        <v>32</v>
      </c>
      <c r="J2332" s="61"/>
      <c r="K2332" s="61" t="s">
        <v>148</v>
      </c>
      <c r="L2332" s="61"/>
      <c r="M2332" s="61"/>
      <c r="N2332" s="61"/>
      <c r="O2332" s="61"/>
      <c r="P2332" s="61"/>
      <c r="Q2332" s="61"/>
      <c r="R2332" s="61" t="str">
        <f t="shared" si="159"/>
        <v/>
      </c>
      <c r="S2332" s="61" t="str">
        <f t="shared" si="162"/>
        <v/>
      </c>
      <c r="T2332" s="61" t="str">
        <f t="shared" si="163"/>
        <v/>
      </c>
      <c r="U2332" s="61" t="str">
        <f t="shared" si="164"/>
        <v/>
      </c>
      <c r="V2332" s="61"/>
      <c r="W2332" s="61"/>
      <c r="X2332" s="61"/>
      <c r="Y2332" s="61"/>
      <c r="Z2332" s="61"/>
      <c r="AA2332" s="61"/>
      <c r="AB2332" s="61"/>
    </row>
    <row r="2333" spans="1:28" s="2" customFormat="1" ht="28.5">
      <c r="A2333" s="61" t="s">
        <v>778</v>
      </c>
      <c r="B2333" s="61" t="s">
        <v>1438</v>
      </c>
      <c r="C2333" s="61" t="s">
        <v>1439</v>
      </c>
      <c r="D2333" s="61" t="s">
        <v>7838</v>
      </c>
      <c r="E2333" s="61">
        <v>5147</v>
      </c>
      <c r="F2333" s="61">
        <v>8651</v>
      </c>
      <c r="G2333" s="61"/>
      <c r="H2333" s="61"/>
      <c r="I2333" s="61" t="s">
        <v>32</v>
      </c>
      <c r="J2333" s="61"/>
      <c r="K2333" s="61" t="s">
        <v>148</v>
      </c>
      <c r="L2333" s="61"/>
      <c r="M2333" s="61"/>
      <c r="N2333" s="61"/>
      <c r="O2333" s="61"/>
      <c r="P2333" s="61"/>
      <c r="Q2333" s="61"/>
      <c r="R2333" s="61" t="str">
        <f t="shared" si="159"/>
        <v/>
      </c>
      <c r="S2333" s="61" t="str">
        <f t="shared" si="162"/>
        <v/>
      </c>
      <c r="T2333" s="61" t="str">
        <f t="shared" si="163"/>
        <v/>
      </c>
      <c r="U2333" s="61" t="str">
        <f t="shared" si="164"/>
        <v/>
      </c>
      <c r="V2333" s="61"/>
      <c r="W2333" s="61"/>
      <c r="X2333" s="61"/>
      <c r="Y2333" s="61"/>
      <c r="Z2333" s="61"/>
      <c r="AA2333" s="61"/>
      <c r="AB2333" s="61"/>
    </row>
    <row r="2334" spans="1:28" s="2" customFormat="1" ht="28.5">
      <c r="A2334" s="61" t="s">
        <v>778</v>
      </c>
      <c r="B2334" s="61" t="s">
        <v>1438</v>
      </c>
      <c r="C2334" s="61" t="s">
        <v>3723</v>
      </c>
      <c r="D2334" s="61" t="s">
        <v>7838</v>
      </c>
      <c r="E2334" s="61">
        <v>4859</v>
      </c>
      <c r="F2334" s="61">
        <v>4949</v>
      </c>
      <c r="G2334" s="61"/>
      <c r="H2334" s="61"/>
      <c r="I2334" s="61" t="s">
        <v>32</v>
      </c>
      <c r="J2334" s="61"/>
      <c r="K2334" s="61" t="s">
        <v>148</v>
      </c>
      <c r="L2334" s="61"/>
      <c r="M2334" s="61"/>
      <c r="N2334" s="61"/>
      <c r="O2334" s="61"/>
      <c r="P2334" s="61"/>
      <c r="Q2334" s="61"/>
      <c r="R2334" s="61" t="str">
        <f t="shared" si="159"/>
        <v/>
      </c>
      <c r="S2334" s="61" t="str">
        <f t="shared" si="162"/>
        <v/>
      </c>
      <c r="T2334" s="61" t="str">
        <f t="shared" si="163"/>
        <v/>
      </c>
      <c r="U2334" s="61" t="str">
        <f t="shared" si="164"/>
        <v/>
      </c>
      <c r="V2334" s="61"/>
      <c r="W2334" s="61"/>
      <c r="X2334" s="61"/>
      <c r="Y2334" s="61"/>
      <c r="Z2334" s="61"/>
      <c r="AA2334" s="61"/>
      <c r="AB2334" s="61"/>
    </row>
    <row r="2335" spans="1:28" s="2" customFormat="1" ht="28.5">
      <c r="A2335" s="61" t="s">
        <v>778</v>
      </c>
      <c r="B2335" s="61" t="s">
        <v>1438</v>
      </c>
      <c r="C2335" s="61" t="s">
        <v>3565</v>
      </c>
      <c r="D2335" s="61" t="s">
        <v>7838</v>
      </c>
      <c r="E2335" s="61">
        <v>7393</v>
      </c>
      <c r="F2335" s="61">
        <v>7872</v>
      </c>
      <c r="G2335" s="61"/>
      <c r="H2335" s="61" t="s">
        <v>3416</v>
      </c>
      <c r="I2335" s="61" t="s">
        <v>32</v>
      </c>
      <c r="J2335" s="61"/>
      <c r="K2335" s="61" t="s">
        <v>148</v>
      </c>
      <c r="L2335" s="61"/>
      <c r="M2335" s="475"/>
      <c r="N2335" s="475"/>
      <c r="O2335" s="61"/>
      <c r="P2335" s="475"/>
      <c r="Q2335" s="475"/>
      <c r="R2335" s="61" t="str">
        <f t="shared" si="159"/>
        <v/>
      </c>
      <c r="S2335" s="61" t="str">
        <f t="shared" si="162"/>
        <v/>
      </c>
      <c r="T2335" s="61" t="str">
        <f t="shared" si="163"/>
        <v/>
      </c>
      <c r="U2335" s="61" t="str">
        <f t="shared" si="164"/>
        <v/>
      </c>
      <c r="V2335" s="61"/>
      <c r="W2335" s="61"/>
      <c r="X2335" s="61"/>
      <c r="Y2335" s="474"/>
      <c r="Z2335" s="474"/>
      <c r="AA2335" s="61"/>
      <c r="AB2335" s="61"/>
    </row>
    <row r="2336" spans="1:28" s="2" customFormat="1" ht="28.5">
      <c r="A2336" s="61" t="s">
        <v>778</v>
      </c>
      <c r="B2336" s="61" t="s">
        <v>1438</v>
      </c>
      <c r="C2336" s="61" t="s">
        <v>4950</v>
      </c>
      <c r="D2336" s="61" t="s">
        <v>7838</v>
      </c>
      <c r="E2336" s="61">
        <v>6764</v>
      </c>
      <c r="F2336" s="61">
        <v>8143</v>
      </c>
      <c r="G2336" s="61"/>
      <c r="H2336" s="61"/>
      <c r="I2336" s="61" t="s">
        <v>32</v>
      </c>
      <c r="J2336" s="61"/>
      <c r="K2336" s="61" t="s">
        <v>148</v>
      </c>
      <c r="L2336" s="61"/>
      <c r="M2336" s="61"/>
      <c r="N2336" s="61"/>
      <c r="O2336" s="61"/>
      <c r="P2336" s="61"/>
      <c r="Q2336" s="61"/>
      <c r="R2336" s="61" t="str">
        <f t="shared" si="159"/>
        <v/>
      </c>
      <c r="S2336" s="61" t="str">
        <f t="shared" si="162"/>
        <v/>
      </c>
      <c r="T2336" s="61" t="str">
        <f t="shared" si="163"/>
        <v/>
      </c>
      <c r="U2336" s="61" t="str">
        <f t="shared" si="164"/>
        <v/>
      </c>
      <c r="V2336" s="61"/>
      <c r="W2336" s="61"/>
      <c r="X2336" s="61"/>
      <c r="Y2336" s="61"/>
      <c r="Z2336" s="61"/>
      <c r="AA2336" s="61"/>
      <c r="AB2336" s="61"/>
    </row>
    <row r="2337" spans="1:28" s="2" customFormat="1" ht="28.5">
      <c r="A2337" s="61" t="s">
        <v>778</v>
      </c>
      <c r="B2337" s="61" t="s">
        <v>957</v>
      </c>
      <c r="C2337" s="61" t="s">
        <v>5771</v>
      </c>
      <c r="D2337" s="61" t="s">
        <v>7838</v>
      </c>
      <c r="E2337" s="61">
        <v>3847</v>
      </c>
      <c r="F2337" s="61">
        <v>4285</v>
      </c>
      <c r="G2337" s="61">
        <v>2025</v>
      </c>
      <c r="H2337" s="61" t="s">
        <v>3458</v>
      </c>
      <c r="I2337" s="61" t="s">
        <v>35</v>
      </c>
      <c r="J2337" s="61"/>
      <c r="K2337" s="61" t="s">
        <v>148</v>
      </c>
      <c r="L2337" s="61" t="s">
        <v>9025</v>
      </c>
      <c r="M2337" s="475">
        <v>45700</v>
      </c>
      <c r="N2337" s="475">
        <v>45705</v>
      </c>
      <c r="O2337" s="61"/>
      <c r="P2337" s="475">
        <v>45706</v>
      </c>
      <c r="Q2337" s="475">
        <v>45707</v>
      </c>
      <c r="R2337" s="61">
        <f t="shared" si="159"/>
        <v>3</v>
      </c>
      <c r="S2337" s="61" t="str">
        <f t="shared" si="162"/>
        <v/>
      </c>
      <c r="T2337" s="61">
        <f t="shared" si="163"/>
        <v>1</v>
      </c>
      <c r="U2337" s="61">
        <f t="shared" si="164"/>
        <v>1</v>
      </c>
      <c r="V2337" s="61" t="s">
        <v>150</v>
      </c>
      <c r="W2337" s="61" t="s">
        <v>3527</v>
      </c>
      <c r="X2337" s="61" t="s">
        <v>3528</v>
      </c>
      <c r="Y2337" s="61">
        <v>15.0093</v>
      </c>
      <c r="Z2337" s="61">
        <v>120.59310000000001</v>
      </c>
      <c r="AA2337" s="61" t="s">
        <v>8856</v>
      </c>
      <c r="AB2337" s="61"/>
    </row>
    <row r="2338" spans="1:28" s="2" customFormat="1" ht="28.5">
      <c r="A2338" s="61" t="s">
        <v>778</v>
      </c>
      <c r="B2338" s="61" t="s">
        <v>957</v>
      </c>
      <c r="C2338" s="61" t="s">
        <v>5773</v>
      </c>
      <c r="D2338" s="61" t="s">
        <v>7838</v>
      </c>
      <c r="E2338" s="61">
        <v>9481</v>
      </c>
      <c r="F2338" s="61">
        <v>10449</v>
      </c>
      <c r="G2338" s="61">
        <v>2025</v>
      </c>
      <c r="H2338" s="61" t="s">
        <v>3470</v>
      </c>
      <c r="I2338" s="61" t="s">
        <v>35</v>
      </c>
      <c r="J2338" s="61"/>
      <c r="K2338" s="61" t="s">
        <v>148</v>
      </c>
      <c r="L2338" s="61" t="s">
        <v>9026</v>
      </c>
      <c r="M2338" s="475">
        <v>45757</v>
      </c>
      <c r="N2338" s="475">
        <v>45760</v>
      </c>
      <c r="O2338" s="61"/>
      <c r="P2338" s="475">
        <v>45762</v>
      </c>
      <c r="Q2338" s="475">
        <v>45768</v>
      </c>
      <c r="R2338" s="61">
        <f t="shared" si="159"/>
        <v>1</v>
      </c>
      <c r="S2338" s="61" t="str">
        <f t="shared" si="162"/>
        <v/>
      </c>
      <c r="T2338" s="61">
        <f t="shared" si="163"/>
        <v>1</v>
      </c>
      <c r="U2338" s="61">
        <f t="shared" si="164"/>
        <v>4</v>
      </c>
      <c r="V2338" s="61" t="s">
        <v>150</v>
      </c>
      <c r="W2338" s="61" t="s">
        <v>3527</v>
      </c>
      <c r="X2338" s="61" t="s">
        <v>3528</v>
      </c>
      <c r="Y2338" s="61">
        <v>15.014699999999999</v>
      </c>
      <c r="Z2338" s="61">
        <v>120.58450000000001</v>
      </c>
      <c r="AA2338" s="61" t="s">
        <v>8856</v>
      </c>
      <c r="AB2338" s="61"/>
    </row>
    <row r="2339" spans="1:28" s="2" customFormat="1" ht="28.5">
      <c r="A2339" s="61" t="s">
        <v>778</v>
      </c>
      <c r="B2339" s="61" t="s">
        <v>957</v>
      </c>
      <c r="C2339" s="61" t="s">
        <v>4126</v>
      </c>
      <c r="D2339" s="61" t="s">
        <v>7838</v>
      </c>
      <c r="E2339" s="61">
        <v>3113</v>
      </c>
      <c r="F2339" s="61">
        <v>3792</v>
      </c>
      <c r="G2339" s="61">
        <v>2025</v>
      </c>
      <c r="H2339" s="61" t="s">
        <v>3125</v>
      </c>
      <c r="I2339" s="61" t="s">
        <v>35</v>
      </c>
      <c r="J2339" s="61" t="s">
        <v>28</v>
      </c>
      <c r="K2339" s="61" t="s">
        <v>148</v>
      </c>
      <c r="L2339" s="61" t="s">
        <v>9027</v>
      </c>
      <c r="M2339" s="475">
        <v>45854</v>
      </c>
      <c r="N2339" s="475">
        <v>45854</v>
      </c>
      <c r="O2339" s="475">
        <v>45856</v>
      </c>
      <c r="P2339" s="475">
        <v>45856</v>
      </c>
      <c r="Q2339" s="475">
        <v>45856</v>
      </c>
      <c r="R2339" s="61">
        <f t="shared" si="159"/>
        <v>1</v>
      </c>
      <c r="S2339" s="61">
        <f t="shared" si="162"/>
        <v>2</v>
      </c>
      <c r="T2339" s="61">
        <f t="shared" si="163"/>
        <v>2</v>
      </c>
      <c r="U2339" s="61">
        <f t="shared" si="164"/>
        <v>1</v>
      </c>
      <c r="V2339" s="61" t="s">
        <v>150</v>
      </c>
      <c r="W2339" s="61" t="s">
        <v>3527</v>
      </c>
      <c r="X2339" s="61" t="s">
        <v>3528</v>
      </c>
      <c r="Y2339" s="61">
        <v>14.9902</v>
      </c>
      <c r="Z2339" s="61">
        <v>120.6056</v>
      </c>
      <c r="AA2339" s="61" t="s">
        <v>8856</v>
      </c>
      <c r="AB2339" s="61"/>
    </row>
    <row r="2340" spans="1:28" s="2" customFormat="1" ht="28.5">
      <c r="A2340" s="61" t="s">
        <v>778</v>
      </c>
      <c r="B2340" s="61" t="s">
        <v>957</v>
      </c>
      <c r="C2340" s="61" t="s">
        <v>5775</v>
      </c>
      <c r="D2340" s="61" t="s">
        <v>7838</v>
      </c>
      <c r="E2340" s="61">
        <v>8407</v>
      </c>
      <c r="F2340" s="61">
        <v>11823</v>
      </c>
      <c r="G2340" s="61">
        <v>2025</v>
      </c>
      <c r="H2340" s="61" t="s">
        <v>3126</v>
      </c>
      <c r="I2340" s="61" t="s">
        <v>35</v>
      </c>
      <c r="J2340" s="61" t="s">
        <v>28</v>
      </c>
      <c r="K2340" s="61" t="s">
        <v>148</v>
      </c>
      <c r="L2340" s="61" t="s">
        <v>9028</v>
      </c>
      <c r="M2340" s="475">
        <v>45876</v>
      </c>
      <c r="N2340" s="475">
        <v>45879</v>
      </c>
      <c r="O2340" s="475">
        <v>45887</v>
      </c>
      <c r="P2340" s="475">
        <v>45888</v>
      </c>
      <c r="Q2340" s="475">
        <v>45888</v>
      </c>
      <c r="R2340" s="61">
        <f t="shared" si="159"/>
        <v>1</v>
      </c>
      <c r="S2340" s="61">
        <f t="shared" si="162"/>
        <v>5</v>
      </c>
      <c r="T2340" s="61">
        <f t="shared" si="163"/>
        <v>6</v>
      </c>
      <c r="U2340" s="61">
        <f t="shared" si="164"/>
        <v>1</v>
      </c>
      <c r="V2340" s="61" t="s">
        <v>150</v>
      </c>
      <c r="W2340" s="61" t="s">
        <v>3527</v>
      </c>
      <c r="X2340" s="61" t="s">
        <v>3528</v>
      </c>
      <c r="Y2340" s="474"/>
      <c r="Z2340" s="474"/>
      <c r="AA2340" s="61" t="s">
        <v>8856</v>
      </c>
      <c r="AB2340" s="61" t="s">
        <v>9029</v>
      </c>
    </row>
    <row r="2341" spans="1:28" s="2" customFormat="1" ht="28.5">
      <c r="A2341" s="61" t="s">
        <v>778</v>
      </c>
      <c r="B2341" s="61" t="s">
        <v>957</v>
      </c>
      <c r="C2341" s="61" t="s">
        <v>1180</v>
      </c>
      <c r="D2341" s="61" t="s">
        <v>7838</v>
      </c>
      <c r="E2341" s="61">
        <v>3653</v>
      </c>
      <c r="F2341" s="61">
        <v>3956</v>
      </c>
      <c r="G2341" s="61">
        <v>2025</v>
      </c>
      <c r="H2341" s="61" t="s">
        <v>3126</v>
      </c>
      <c r="I2341" s="61" t="s">
        <v>35</v>
      </c>
      <c r="J2341" s="61" t="s">
        <v>28</v>
      </c>
      <c r="K2341" s="61" t="s">
        <v>148</v>
      </c>
      <c r="L2341" s="61" t="s">
        <v>9028</v>
      </c>
      <c r="M2341" s="475">
        <v>45876</v>
      </c>
      <c r="N2341" s="475">
        <v>45879</v>
      </c>
      <c r="O2341" s="475">
        <v>45887</v>
      </c>
      <c r="P2341" s="475">
        <v>45888</v>
      </c>
      <c r="Q2341" s="475">
        <v>45888</v>
      </c>
      <c r="R2341" s="61">
        <f t="shared" si="159"/>
        <v>1</v>
      </c>
      <c r="S2341" s="61">
        <f t="shared" si="162"/>
        <v>5</v>
      </c>
      <c r="T2341" s="61">
        <f t="shared" si="163"/>
        <v>6</v>
      </c>
      <c r="U2341" s="61">
        <f t="shared" si="164"/>
        <v>1</v>
      </c>
      <c r="V2341" s="61" t="s">
        <v>150</v>
      </c>
      <c r="W2341" s="61" t="s">
        <v>3527</v>
      </c>
      <c r="X2341" s="61" t="s">
        <v>3528</v>
      </c>
      <c r="Y2341" s="474"/>
      <c r="Z2341" s="474"/>
      <c r="AA2341" s="61" t="s">
        <v>8856</v>
      </c>
      <c r="AB2341" s="61" t="s">
        <v>9029</v>
      </c>
    </row>
    <row r="2342" spans="1:28" s="2" customFormat="1" ht="28.5">
      <c r="A2342" s="61" t="s">
        <v>778</v>
      </c>
      <c r="B2342" s="61" t="s">
        <v>957</v>
      </c>
      <c r="C2342" s="61" t="s">
        <v>4025</v>
      </c>
      <c r="D2342" s="61" t="s">
        <v>7838</v>
      </c>
      <c r="E2342" s="61">
        <v>2627</v>
      </c>
      <c r="F2342" s="61">
        <v>3002</v>
      </c>
      <c r="G2342" s="61">
        <v>2025</v>
      </c>
      <c r="H2342" s="61" t="s">
        <v>3126</v>
      </c>
      <c r="I2342" s="61" t="s">
        <v>35</v>
      </c>
      <c r="J2342" s="61" t="s">
        <v>28</v>
      </c>
      <c r="K2342" s="61" t="s">
        <v>148</v>
      </c>
      <c r="L2342" s="61" t="s">
        <v>9028</v>
      </c>
      <c r="M2342" s="475">
        <v>45876</v>
      </c>
      <c r="N2342" s="475">
        <v>45885</v>
      </c>
      <c r="O2342" s="475">
        <v>45887</v>
      </c>
      <c r="P2342" s="475">
        <v>45888</v>
      </c>
      <c r="Q2342" s="475">
        <v>45888</v>
      </c>
      <c r="R2342" s="61">
        <f t="shared" si="159"/>
        <v>6</v>
      </c>
      <c r="S2342" s="61">
        <f t="shared" si="162"/>
        <v>1</v>
      </c>
      <c r="T2342" s="61">
        <f t="shared" si="163"/>
        <v>1</v>
      </c>
      <c r="U2342" s="61">
        <f t="shared" si="164"/>
        <v>1</v>
      </c>
      <c r="V2342" s="61" t="s">
        <v>150</v>
      </c>
      <c r="W2342" s="61" t="s">
        <v>3527</v>
      </c>
      <c r="X2342" s="61" t="s">
        <v>3528</v>
      </c>
      <c r="Y2342" s="474"/>
      <c r="Z2342" s="474"/>
      <c r="AA2342" s="61" t="s">
        <v>8856</v>
      </c>
      <c r="AB2342" s="61" t="s">
        <v>9029</v>
      </c>
    </row>
    <row r="2343" spans="1:28" s="2" customFormat="1" ht="28.5">
      <c r="A2343" s="61" t="s">
        <v>778</v>
      </c>
      <c r="B2343" s="61" t="s">
        <v>957</v>
      </c>
      <c r="C2343" s="61" t="s">
        <v>918</v>
      </c>
      <c r="D2343" s="61" t="s">
        <v>7838</v>
      </c>
      <c r="E2343" s="61">
        <v>2330</v>
      </c>
      <c r="F2343" s="61">
        <v>2994</v>
      </c>
      <c r="G2343" s="61">
        <v>2025</v>
      </c>
      <c r="H2343" s="61" t="s">
        <v>3126</v>
      </c>
      <c r="I2343" s="61" t="s">
        <v>35</v>
      </c>
      <c r="J2343" s="61" t="s">
        <v>28</v>
      </c>
      <c r="K2343" s="61" t="s">
        <v>148</v>
      </c>
      <c r="L2343" s="61" t="s">
        <v>9028</v>
      </c>
      <c r="M2343" s="475">
        <v>45876</v>
      </c>
      <c r="N2343" s="475">
        <v>45885</v>
      </c>
      <c r="O2343" s="475">
        <v>45887</v>
      </c>
      <c r="P2343" s="475">
        <v>45888</v>
      </c>
      <c r="Q2343" s="475">
        <v>45888</v>
      </c>
      <c r="R2343" s="61">
        <f t="shared" si="159"/>
        <v>6</v>
      </c>
      <c r="S2343" s="61">
        <f t="shared" si="162"/>
        <v>1</v>
      </c>
      <c r="T2343" s="61">
        <f t="shared" si="163"/>
        <v>1</v>
      </c>
      <c r="U2343" s="61">
        <f t="shared" si="164"/>
        <v>1</v>
      </c>
      <c r="V2343" s="61" t="s">
        <v>150</v>
      </c>
      <c r="W2343" s="61" t="s">
        <v>3527</v>
      </c>
      <c r="X2343" s="61" t="s">
        <v>3528</v>
      </c>
      <c r="Y2343" s="474"/>
      <c r="Z2343" s="474"/>
      <c r="AA2343" s="61" t="s">
        <v>8856</v>
      </c>
      <c r="AB2343" s="61" t="s">
        <v>9029</v>
      </c>
    </row>
    <row r="2344" spans="1:28" s="2" customFormat="1" ht="28.5">
      <c r="A2344" s="61" t="s">
        <v>778</v>
      </c>
      <c r="B2344" s="61" t="s">
        <v>957</v>
      </c>
      <c r="C2344" s="61" t="s">
        <v>5548</v>
      </c>
      <c r="D2344" s="61" t="s">
        <v>7838</v>
      </c>
      <c r="E2344" s="61">
        <v>3312</v>
      </c>
      <c r="F2344" s="61">
        <v>3577</v>
      </c>
      <c r="G2344" s="61">
        <v>2025</v>
      </c>
      <c r="H2344" s="61" t="s">
        <v>3470</v>
      </c>
      <c r="I2344" s="61" t="s">
        <v>35</v>
      </c>
      <c r="J2344" s="61"/>
      <c r="K2344" s="61" t="s">
        <v>148</v>
      </c>
      <c r="L2344" s="61" t="s">
        <v>9030</v>
      </c>
      <c r="M2344" s="475">
        <v>45757</v>
      </c>
      <c r="N2344" s="475">
        <v>45760</v>
      </c>
      <c r="O2344" s="474"/>
      <c r="P2344" s="475">
        <v>45762</v>
      </c>
      <c r="Q2344" s="475">
        <v>45762</v>
      </c>
      <c r="R2344" s="61">
        <f t="shared" si="159"/>
        <v>1</v>
      </c>
      <c r="S2344" s="61" t="str">
        <f t="shared" si="162"/>
        <v/>
      </c>
      <c r="T2344" s="61">
        <f t="shared" si="163"/>
        <v>1</v>
      </c>
      <c r="U2344" s="61">
        <f t="shared" si="164"/>
        <v>1</v>
      </c>
      <c r="V2344" s="61" t="s">
        <v>150</v>
      </c>
      <c r="W2344" s="61" t="s">
        <v>3527</v>
      </c>
      <c r="X2344" s="61" t="s">
        <v>3528</v>
      </c>
      <c r="Y2344" s="61">
        <v>15.005000000000001</v>
      </c>
      <c r="Z2344" s="118">
        <v>120.604</v>
      </c>
      <c r="AA2344" s="61"/>
      <c r="AB2344" s="61"/>
    </row>
    <row r="2345" spans="1:28" s="2" customFormat="1" ht="28.5">
      <c r="A2345" s="61" t="s">
        <v>778</v>
      </c>
      <c r="B2345" s="61" t="s">
        <v>957</v>
      </c>
      <c r="C2345" s="61" t="s">
        <v>1166</v>
      </c>
      <c r="D2345" s="61" t="s">
        <v>7838</v>
      </c>
      <c r="E2345" s="61">
        <v>1231</v>
      </c>
      <c r="F2345" s="61">
        <v>1268</v>
      </c>
      <c r="G2345" s="61">
        <v>2025</v>
      </c>
      <c r="H2345" s="61" t="s">
        <v>3689</v>
      </c>
      <c r="I2345" s="61" t="s">
        <v>35</v>
      </c>
      <c r="J2345" s="61" t="s">
        <v>28</v>
      </c>
      <c r="K2345" s="61" t="s">
        <v>148</v>
      </c>
      <c r="L2345" s="61" t="s">
        <v>9031</v>
      </c>
      <c r="M2345" s="475">
        <v>45821</v>
      </c>
      <c r="N2345" s="475">
        <v>45821</v>
      </c>
      <c r="O2345" s="475">
        <v>45826</v>
      </c>
      <c r="P2345" s="475">
        <v>45826</v>
      </c>
      <c r="Q2345" s="475">
        <v>45826</v>
      </c>
      <c r="R2345" s="61">
        <f t="shared" si="159"/>
        <v>1</v>
      </c>
      <c r="S2345" s="61">
        <f t="shared" si="162"/>
        <v>3</v>
      </c>
      <c r="T2345" s="61">
        <f t="shared" si="163"/>
        <v>3</v>
      </c>
      <c r="U2345" s="61">
        <f t="shared" si="164"/>
        <v>1</v>
      </c>
      <c r="V2345" s="61" t="s">
        <v>150</v>
      </c>
      <c r="W2345" s="61" t="s">
        <v>3527</v>
      </c>
      <c r="X2345" s="61" t="s">
        <v>3528</v>
      </c>
      <c r="Y2345" s="474">
        <v>14.9983</v>
      </c>
      <c r="Z2345" s="474">
        <v>120.6157</v>
      </c>
      <c r="AA2345" s="61" t="s">
        <v>8856</v>
      </c>
      <c r="AB2345" s="61"/>
    </row>
    <row r="2346" spans="1:28" s="2" customFormat="1" ht="28.5">
      <c r="A2346" s="61" t="s">
        <v>778</v>
      </c>
      <c r="B2346" s="61" t="s">
        <v>957</v>
      </c>
      <c r="C2346" s="61" t="s">
        <v>1424</v>
      </c>
      <c r="D2346" s="61" t="s">
        <v>7838</v>
      </c>
      <c r="E2346" s="61">
        <v>2978</v>
      </c>
      <c r="F2346" s="61">
        <v>3063</v>
      </c>
      <c r="G2346" s="61">
        <v>2025</v>
      </c>
      <c r="H2346" s="61" t="s">
        <v>3125</v>
      </c>
      <c r="I2346" s="61" t="s">
        <v>35</v>
      </c>
      <c r="J2346" s="61" t="s">
        <v>28</v>
      </c>
      <c r="K2346" s="61" t="s">
        <v>148</v>
      </c>
      <c r="L2346" s="61" t="s">
        <v>9032</v>
      </c>
      <c r="M2346" s="475">
        <v>45854</v>
      </c>
      <c r="N2346" s="475">
        <v>45854</v>
      </c>
      <c r="O2346" s="475">
        <v>45826</v>
      </c>
      <c r="P2346" s="475">
        <v>45826</v>
      </c>
      <c r="Q2346" s="475">
        <v>45826</v>
      </c>
      <c r="R2346" s="61">
        <f t="shared" si="159"/>
        <v>1</v>
      </c>
      <c r="S2346" s="61">
        <f t="shared" si="162"/>
        <v>1</v>
      </c>
      <c r="T2346" s="61">
        <f t="shared" si="163"/>
        <v>1</v>
      </c>
      <c r="U2346" s="61">
        <f t="shared" si="164"/>
        <v>1</v>
      </c>
      <c r="V2346" s="61" t="s">
        <v>150</v>
      </c>
      <c r="W2346" s="61" t="s">
        <v>3527</v>
      </c>
      <c r="X2346" s="61" t="s">
        <v>3528</v>
      </c>
      <c r="Y2346" s="61">
        <v>14.993499999999999</v>
      </c>
      <c r="Z2346" s="61">
        <v>120.6108</v>
      </c>
      <c r="AA2346" s="61"/>
      <c r="AB2346" s="61"/>
    </row>
    <row r="2347" spans="1:28" s="2" customFormat="1" ht="28.5">
      <c r="A2347" s="61" t="s">
        <v>779</v>
      </c>
      <c r="B2347" s="61" t="s">
        <v>1465</v>
      </c>
      <c r="C2347" s="61" t="s">
        <v>5782</v>
      </c>
      <c r="D2347" s="61" t="s">
        <v>159</v>
      </c>
      <c r="E2347" s="61">
        <v>961</v>
      </c>
      <c r="F2347" s="61">
        <v>1037</v>
      </c>
      <c r="G2347" s="61">
        <v>2025</v>
      </c>
      <c r="H2347" s="61" t="s">
        <v>3127</v>
      </c>
      <c r="I2347" s="61" t="s">
        <v>5783</v>
      </c>
      <c r="J2347" s="61"/>
      <c r="K2347" s="61" t="s">
        <v>328</v>
      </c>
      <c r="L2347" s="61" t="s">
        <v>9033</v>
      </c>
      <c r="M2347" s="475">
        <v>45917</v>
      </c>
      <c r="N2347" s="475">
        <v>45918</v>
      </c>
      <c r="O2347" s="61"/>
      <c r="P2347" s="475">
        <v>45918</v>
      </c>
      <c r="Q2347" s="475">
        <v>45919</v>
      </c>
      <c r="R2347" s="61">
        <f t="shared" si="159"/>
        <v>1</v>
      </c>
      <c r="S2347" s="61" t="str">
        <f t="shared" si="162"/>
        <v/>
      </c>
      <c r="T2347" s="61">
        <f t="shared" si="163"/>
        <v>1</v>
      </c>
      <c r="U2347" s="61">
        <f t="shared" si="164"/>
        <v>1</v>
      </c>
      <c r="V2347" s="61" t="s">
        <v>150</v>
      </c>
      <c r="W2347" s="61" t="s">
        <v>4</v>
      </c>
      <c r="X2347" s="61" t="s">
        <v>50</v>
      </c>
      <c r="Y2347" s="61" t="s">
        <v>9034</v>
      </c>
      <c r="Z2347" s="61" t="s">
        <v>9035</v>
      </c>
      <c r="AA2347" s="61" t="s">
        <v>8492</v>
      </c>
      <c r="AB2347" s="61"/>
    </row>
    <row r="2348" spans="1:28" s="2" customFormat="1" ht="28.5">
      <c r="A2348" s="61" t="s">
        <v>779</v>
      </c>
      <c r="B2348" s="61" t="s">
        <v>1465</v>
      </c>
      <c r="C2348" s="61" t="s">
        <v>5787</v>
      </c>
      <c r="D2348" s="61" t="s">
        <v>159</v>
      </c>
      <c r="E2348" s="61">
        <v>449</v>
      </c>
      <c r="F2348" s="61">
        <v>458</v>
      </c>
      <c r="G2348" s="61">
        <v>2025</v>
      </c>
      <c r="H2348" s="61" t="s">
        <v>3127</v>
      </c>
      <c r="I2348" s="61" t="s">
        <v>5783</v>
      </c>
      <c r="J2348" s="61"/>
      <c r="K2348" s="61" t="s">
        <v>328</v>
      </c>
      <c r="L2348" s="61" t="s">
        <v>9033</v>
      </c>
      <c r="M2348" s="475">
        <v>45917</v>
      </c>
      <c r="N2348" s="475">
        <v>45918</v>
      </c>
      <c r="O2348" s="61"/>
      <c r="P2348" s="475">
        <v>45918</v>
      </c>
      <c r="Q2348" s="475">
        <v>45919</v>
      </c>
      <c r="R2348" s="61">
        <f t="shared" si="159"/>
        <v>1</v>
      </c>
      <c r="S2348" s="61" t="str">
        <f t="shared" si="162"/>
        <v/>
      </c>
      <c r="T2348" s="61">
        <f t="shared" si="163"/>
        <v>1</v>
      </c>
      <c r="U2348" s="61">
        <f t="shared" si="164"/>
        <v>1</v>
      </c>
      <c r="V2348" s="61" t="s">
        <v>150</v>
      </c>
      <c r="W2348" s="61" t="s">
        <v>4</v>
      </c>
      <c r="X2348" s="61" t="s">
        <v>50</v>
      </c>
      <c r="Y2348" s="61" t="s">
        <v>9036</v>
      </c>
      <c r="Z2348" s="61" t="s">
        <v>9037</v>
      </c>
      <c r="AA2348" s="61" t="s">
        <v>8492</v>
      </c>
      <c r="AB2348" s="61"/>
    </row>
    <row r="2349" spans="1:28" s="2" customFormat="1" ht="28.5">
      <c r="A2349" s="61" t="s">
        <v>779</v>
      </c>
      <c r="B2349" s="61" t="s">
        <v>1465</v>
      </c>
      <c r="C2349" s="61" t="s">
        <v>5328</v>
      </c>
      <c r="D2349" s="61" t="s">
        <v>159</v>
      </c>
      <c r="E2349" s="61">
        <v>725</v>
      </c>
      <c r="F2349" s="61">
        <v>798</v>
      </c>
      <c r="G2349" s="61">
        <v>2025</v>
      </c>
      <c r="H2349" s="61" t="s">
        <v>3416</v>
      </c>
      <c r="I2349" s="61" t="s">
        <v>5783</v>
      </c>
      <c r="J2349" s="61"/>
      <c r="K2349" s="61" t="s">
        <v>328</v>
      </c>
      <c r="L2349" s="61" t="s">
        <v>9038</v>
      </c>
      <c r="M2349" s="475">
        <v>45729</v>
      </c>
      <c r="N2349" s="475">
        <v>45729</v>
      </c>
      <c r="O2349" s="61"/>
      <c r="P2349" s="475">
        <v>45733</v>
      </c>
      <c r="Q2349" s="475">
        <v>45734</v>
      </c>
      <c r="R2349" s="61">
        <f t="shared" si="159"/>
        <v>1</v>
      </c>
      <c r="S2349" s="61" t="str">
        <f t="shared" si="162"/>
        <v/>
      </c>
      <c r="T2349" s="61">
        <f t="shared" si="163"/>
        <v>2</v>
      </c>
      <c r="U2349" s="61">
        <f t="shared" si="164"/>
        <v>1</v>
      </c>
      <c r="V2349" s="61" t="s">
        <v>150</v>
      </c>
      <c r="W2349" s="61" t="s">
        <v>4</v>
      </c>
      <c r="X2349" s="61" t="s">
        <v>50</v>
      </c>
      <c r="Y2349" s="61">
        <v>15.72816096</v>
      </c>
      <c r="Z2349" s="61">
        <v>120.62734005</v>
      </c>
      <c r="AA2349" s="61" t="s">
        <v>8492</v>
      </c>
      <c r="AB2349" s="61"/>
    </row>
    <row r="2350" spans="1:28" s="2" customFormat="1" ht="28.5">
      <c r="A2350" s="61" t="s">
        <v>779</v>
      </c>
      <c r="B2350" s="61" t="s">
        <v>1465</v>
      </c>
      <c r="C2350" s="61" t="s">
        <v>5789</v>
      </c>
      <c r="D2350" s="61" t="s">
        <v>159</v>
      </c>
      <c r="E2350" s="61">
        <v>418</v>
      </c>
      <c r="F2350" s="61">
        <v>445</v>
      </c>
      <c r="G2350" s="61">
        <v>2025</v>
      </c>
      <c r="H2350" s="61" t="s">
        <v>3689</v>
      </c>
      <c r="I2350" s="61" t="s">
        <v>5783</v>
      </c>
      <c r="J2350" s="61"/>
      <c r="K2350" s="61" t="s">
        <v>328</v>
      </c>
      <c r="L2350" s="61" t="s">
        <v>9039</v>
      </c>
      <c r="M2350" s="475">
        <v>45821</v>
      </c>
      <c r="N2350" s="475">
        <v>45823</v>
      </c>
      <c r="O2350" s="61"/>
      <c r="P2350" s="475">
        <v>45824</v>
      </c>
      <c r="Q2350" s="475">
        <v>45824</v>
      </c>
      <c r="R2350" s="61">
        <f t="shared" si="159"/>
        <v>1</v>
      </c>
      <c r="S2350" s="61" t="str">
        <f t="shared" si="162"/>
        <v/>
      </c>
      <c r="T2350" s="61">
        <f t="shared" si="163"/>
        <v>1</v>
      </c>
      <c r="U2350" s="61">
        <f t="shared" si="164"/>
        <v>1</v>
      </c>
      <c r="V2350" s="61" t="s">
        <v>150</v>
      </c>
      <c r="W2350" s="61" t="s">
        <v>4</v>
      </c>
      <c r="X2350" s="61" t="s">
        <v>50</v>
      </c>
      <c r="Y2350" s="61" t="s">
        <v>9040</v>
      </c>
      <c r="Z2350" s="61" t="s">
        <v>9041</v>
      </c>
      <c r="AA2350" s="61" t="s">
        <v>8492</v>
      </c>
      <c r="AB2350" s="61"/>
    </row>
    <row r="2351" spans="1:28" s="2" customFormat="1" ht="28.5">
      <c r="A2351" s="61" t="s">
        <v>779</v>
      </c>
      <c r="B2351" s="61" t="s">
        <v>1465</v>
      </c>
      <c r="C2351" s="61" t="s">
        <v>1056</v>
      </c>
      <c r="D2351" s="61" t="s">
        <v>159</v>
      </c>
      <c r="E2351" s="61">
        <v>356</v>
      </c>
      <c r="F2351" s="61">
        <v>372</v>
      </c>
      <c r="G2351" s="61">
        <v>2025</v>
      </c>
      <c r="H2351" s="61" t="s">
        <v>3689</v>
      </c>
      <c r="I2351" s="61" t="s">
        <v>5783</v>
      </c>
      <c r="J2351" s="61"/>
      <c r="K2351" s="61" t="s">
        <v>328</v>
      </c>
      <c r="L2351" s="61" t="s">
        <v>9042</v>
      </c>
      <c r="M2351" s="475">
        <v>45821</v>
      </c>
      <c r="N2351" s="475">
        <v>45823</v>
      </c>
      <c r="O2351" s="61"/>
      <c r="P2351" s="475">
        <v>45824</v>
      </c>
      <c r="Q2351" s="475">
        <v>45824</v>
      </c>
      <c r="R2351" s="61">
        <f t="shared" si="159"/>
        <v>1</v>
      </c>
      <c r="S2351" s="61" t="str">
        <f t="shared" si="162"/>
        <v/>
      </c>
      <c r="T2351" s="61">
        <f t="shared" si="163"/>
        <v>1</v>
      </c>
      <c r="U2351" s="61">
        <f t="shared" si="164"/>
        <v>1</v>
      </c>
      <c r="V2351" s="61" t="s">
        <v>150</v>
      </c>
      <c r="W2351" s="61" t="s">
        <v>4</v>
      </c>
      <c r="X2351" s="61" t="s">
        <v>50</v>
      </c>
      <c r="Y2351" s="61" t="s">
        <v>9043</v>
      </c>
      <c r="Z2351" s="61" t="s">
        <v>9044</v>
      </c>
      <c r="AA2351" s="61" t="s">
        <v>8492</v>
      </c>
      <c r="AB2351" s="61"/>
    </row>
    <row r="2352" spans="1:28" s="2" customFormat="1" ht="28.5">
      <c r="A2352" s="61" t="s">
        <v>779</v>
      </c>
      <c r="B2352" s="61" t="s">
        <v>1465</v>
      </c>
      <c r="C2352" s="61" t="s">
        <v>5793</v>
      </c>
      <c r="D2352" s="61" t="s">
        <v>159</v>
      </c>
      <c r="E2352" s="61">
        <v>1107</v>
      </c>
      <c r="F2352" s="61">
        <v>1168</v>
      </c>
      <c r="G2352" s="61">
        <v>2025</v>
      </c>
      <c r="H2352" s="61" t="s">
        <v>3416</v>
      </c>
      <c r="I2352" s="61" t="s">
        <v>5783</v>
      </c>
      <c r="J2352" s="61"/>
      <c r="K2352" s="61" t="s">
        <v>328</v>
      </c>
      <c r="L2352" s="61" t="s">
        <v>9045</v>
      </c>
      <c r="M2352" s="475">
        <v>45716</v>
      </c>
      <c r="N2352" s="475">
        <v>45719</v>
      </c>
      <c r="O2352" s="61"/>
      <c r="P2352" s="475">
        <v>45723</v>
      </c>
      <c r="Q2352" s="475">
        <v>45728</v>
      </c>
      <c r="R2352" s="61">
        <f t="shared" si="159"/>
        <v>1</v>
      </c>
      <c r="S2352" s="61" t="str">
        <f t="shared" si="162"/>
        <v/>
      </c>
      <c r="T2352" s="61">
        <f t="shared" si="163"/>
        <v>4</v>
      </c>
      <c r="U2352" s="61">
        <f t="shared" si="164"/>
        <v>3</v>
      </c>
      <c r="V2352" s="61" t="s">
        <v>150</v>
      </c>
      <c r="W2352" s="61" t="s">
        <v>4</v>
      </c>
      <c r="X2352" s="61" t="s">
        <v>50</v>
      </c>
      <c r="Y2352" s="61">
        <v>15.721245890000001</v>
      </c>
      <c r="Z2352" s="61">
        <v>120.60199389</v>
      </c>
      <c r="AA2352" s="61" t="s">
        <v>8492</v>
      </c>
      <c r="AB2352" s="61"/>
    </row>
    <row r="2353" spans="1:28" s="2" customFormat="1" ht="28.5">
      <c r="A2353" s="61" t="s">
        <v>779</v>
      </c>
      <c r="B2353" s="61" t="s">
        <v>1465</v>
      </c>
      <c r="C2353" s="61" t="s">
        <v>5794</v>
      </c>
      <c r="D2353" s="61" t="s">
        <v>159</v>
      </c>
      <c r="E2353" s="61">
        <v>411</v>
      </c>
      <c r="F2353" s="61">
        <v>409</v>
      </c>
      <c r="G2353" s="61">
        <v>2025</v>
      </c>
      <c r="H2353" s="61" t="s">
        <v>3470</v>
      </c>
      <c r="I2353" s="61" t="s">
        <v>5783</v>
      </c>
      <c r="J2353" s="61"/>
      <c r="K2353" s="61" t="s">
        <v>328</v>
      </c>
      <c r="L2353" s="61" t="s">
        <v>9046</v>
      </c>
      <c r="M2353" s="475">
        <v>45751</v>
      </c>
      <c r="N2353" s="475">
        <v>45753</v>
      </c>
      <c r="O2353" s="61"/>
      <c r="P2353" s="475">
        <v>45754</v>
      </c>
      <c r="Q2353" s="475">
        <v>45757</v>
      </c>
      <c r="R2353" s="61">
        <f t="shared" si="159"/>
        <v>1</v>
      </c>
      <c r="S2353" s="61" t="str">
        <f t="shared" si="162"/>
        <v/>
      </c>
      <c r="T2353" s="61">
        <f t="shared" si="163"/>
        <v>1</v>
      </c>
      <c r="U2353" s="61">
        <f t="shared" si="164"/>
        <v>3</v>
      </c>
      <c r="V2353" s="61" t="s">
        <v>150</v>
      </c>
      <c r="W2353" s="61" t="s">
        <v>4</v>
      </c>
      <c r="X2353" s="61" t="s">
        <v>50</v>
      </c>
      <c r="Y2353" s="61">
        <v>15.72032166</v>
      </c>
      <c r="Z2353" s="61" t="s">
        <v>9047</v>
      </c>
      <c r="AA2353" s="61" t="s">
        <v>8492</v>
      </c>
      <c r="AB2353" s="61"/>
    </row>
    <row r="2354" spans="1:28" s="2" customFormat="1" ht="28.5">
      <c r="A2354" s="61" t="s">
        <v>779</v>
      </c>
      <c r="B2354" s="61" t="s">
        <v>1465</v>
      </c>
      <c r="C2354" s="61" t="s">
        <v>1466</v>
      </c>
      <c r="D2354" s="61" t="s">
        <v>159</v>
      </c>
      <c r="E2354" s="61">
        <v>405</v>
      </c>
      <c r="F2354" s="61">
        <v>462</v>
      </c>
      <c r="G2354" s="61">
        <v>2025</v>
      </c>
      <c r="H2354" s="61" t="s">
        <v>3470</v>
      </c>
      <c r="I2354" s="61" t="s">
        <v>5783</v>
      </c>
      <c r="J2354" s="61"/>
      <c r="K2354" s="61" t="s">
        <v>328</v>
      </c>
      <c r="L2354" s="61" t="s">
        <v>9048</v>
      </c>
      <c r="M2354" s="475">
        <v>45751</v>
      </c>
      <c r="N2354" s="475">
        <v>45753</v>
      </c>
      <c r="O2354" s="61"/>
      <c r="P2354" s="475">
        <v>45754</v>
      </c>
      <c r="Q2354" s="475">
        <v>45757</v>
      </c>
      <c r="R2354" s="61">
        <f t="shared" si="159"/>
        <v>1</v>
      </c>
      <c r="S2354" s="61" t="str">
        <f t="shared" si="162"/>
        <v/>
      </c>
      <c r="T2354" s="61">
        <f t="shared" si="163"/>
        <v>1</v>
      </c>
      <c r="U2354" s="61">
        <f t="shared" si="164"/>
        <v>3</v>
      </c>
      <c r="V2354" s="61" t="s">
        <v>150</v>
      </c>
      <c r="W2354" s="61" t="s">
        <v>4</v>
      </c>
      <c r="X2354" s="61" t="s">
        <v>62</v>
      </c>
      <c r="Y2354" s="61" t="s">
        <v>9049</v>
      </c>
      <c r="Z2354" s="61" t="s">
        <v>9050</v>
      </c>
      <c r="AA2354" s="61" t="s">
        <v>8492</v>
      </c>
      <c r="AB2354" s="61"/>
    </row>
    <row r="2355" spans="1:28" s="2" customFormat="1" ht="28.5">
      <c r="A2355" s="61" t="s">
        <v>779</v>
      </c>
      <c r="B2355" s="61" t="s">
        <v>1465</v>
      </c>
      <c r="C2355" s="61" t="s">
        <v>918</v>
      </c>
      <c r="D2355" s="61" t="s">
        <v>159</v>
      </c>
      <c r="E2355" s="61">
        <v>494</v>
      </c>
      <c r="F2355" s="61">
        <v>449</v>
      </c>
      <c r="G2355" s="61">
        <v>2025</v>
      </c>
      <c r="H2355" s="61" t="s">
        <v>3532</v>
      </c>
      <c r="I2355" s="61" t="s">
        <v>5783</v>
      </c>
      <c r="J2355" s="61"/>
      <c r="K2355" s="61" t="s">
        <v>328</v>
      </c>
      <c r="L2355" s="61" t="s">
        <v>9051</v>
      </c>
      <c r="M2355" s="475">
        <v>45790</v>
      </c>
      <c r="N2355" s="475">
        <v>45796</v>
      </c>
      <c r="O2355" s="61"/>
      <c r="P2355" s="475">
        <v>45796</v>
      </c>
      <c r="Q2355" s="475">
        <v>45796</v>
      </c>
      <c r="R2355" s="61">
        <f t="shared" si="159"/>
        <v>4</v>
      </c>
      <c r="S2355" s="61" t="str">
        <f t="shared" si="162"/>
        <v/>
      </c>
      <c r="T2355" s="61">
        <f t="shared" si="163"/>
        <v>1</v>
      </c>
      <c r="U2355" s="61">
        <f t="shared" si="164"/>
        <v>1</v>
      </c>
      <c r="V2355" s="61" t="s">
        <v>150</v>
      </c>
      <c r="W2355" s="61" t="s">
        <v>4</v>
      </c>
      <c r="X2355" s="61" t="s">
        <v>50</v>
      </c>
      <c r="Y2355" s="61">
        <v>15.730139660000001</v>
      </c>
      <c r="Z2355" s="61" t="s">
        <v>9052</v>
      </c>
      <c r="AA2355" s="61" t="s">
        <v>8492</v>
      </c>
      <c r="AB2355" s="61"/>
    </row>
    <row r="2356" spans="1:28" s="2" customFormat="1" ht="28.5">
      <c r="A2356" s="61" t="s">
        <v>779</v>
      </c>
      <c r="B2356" s="61" t="s">
        <v>1465</v>
      </c>
      <c r="C2356" s="61" t="s">
        <v>3974</v>
      </c>
      <c r="D2356" s="61" t="s">
        <v>159</v>
      </c>
      <c r="E2356" s="61">
        <v>853</v>
      </c>
      <c r="F2356" s="61">
        <v>917</v>
      </c>
      <c r="G2356" s="61">
        <v>2025</v>
      </c>
      <c r="H2356" s="61" t="s">
        <v>3416</v>
      </c>
      <c r="I2356" s="61" t="s">
        <v>5783</v>
      </c>
      <c r="J2356" s="61"/>
      <c r="K2356" s="61" t="s">
        <v>328</v>
      </c>
      <c r="L2356" s="61" t="s">
        <v>9053</v>
      </c>
      <c r="M2356" s="475">
        <v>45729</v>
      </c>
      <c r="N2356" s="475">
        <v>45729</v>
      </c>
      <c r="O2356" s="61"/>
      <c r="P2356" s="475">
        <v>45733</v>
      </c>
      <c r="Q2356" s="475">
        <v>45734</v>
      </c>
      <c r="R2356" s="61">
        <f t="shared" si="159"/>
        <v>1</v>
      </c>
      <c r="S2356" s="61" t="str">
        <f t="shared" si="162"/>
        <v/>
      </c>
      <c r="T2356" s="61">
        <f t="shared" si="163"/>
        <v>2</v>
      </c>
      <c r="U2356" s="61">
        <f t="shared" si="164"/>
        <v>1</v>
      </c>
      <c r="V2356" s="61" t="s">
        <v>150</v>
      </c>
      <c r="W2356" s="61" t="s">
        <v>4</v>
      </c>
      <c r="X2356" s="61" t="s">
        <v>50</v>
      </c>
      <c r="Y2356" s="61">
        <v>15.73206998</v>
      </c>
      <c r="Z2356" s="61">
        <v>120.62681904</v>
      </c>
      <c r="AA2356" s="61" t="s">
        <v>8492</v>
      </c>
      <c r="AB2356" s="61"/>
    </row>
    <row r="2357" spans="1:28" s="2" customFormat="1" ht="28.5">
      <c r="A2357" s="61" t="s">
        <v>779</v>
      </c>
      <c r="B2357" s="61" t="s">
        <v>1465</v>
      </c>
      <c r="C2357" s="61" t="s">
        <v>5792</v>
      </c>
      <c r="D2357" s="61" t="s">
        <v>159</v>
      </c>
      <c r="E2357" s="61">
        <v>617</v>
      </c>
      <c r="F2357" s="61">
        <v>641</v>
      </c>
      <c r="G2357" s="61">
        <v>2025</v>
      </c>
      <c r="H2357" s="61" t="s">
        <v>3416</v>
      </c>
      <c r="I2357" s="61" t="s">
        <v>5783</v>
      </c>
      <c r="J2357" s="61"/>
      <c r="K2357" s="61" t="s">
        <v>328</v>
      </c>
      <c r="L2357" s="61" t="s">
        <v>9054</v>
      </c>
      <c r="M2357" s="475">
        <v>45716</v>
      </c>
      <c r="N2357" s="475">
        <v>45719</v>
      </c>
      <c r="O2357" s="61"/>
      <c r="P2357" s="475">
        <v>45723</v>
      </c>
      <c r="Q2357" s="475">
        <v>45728</v>
      </c>
      <c r="R2357" s="61">
        <f t="shared" si="159"/>
        <v>1</v>
      </c>
      <c r="S2357" s="61" t="str">
        <f t="shared" si="162"/>
        <v/>
      </c>
      <c r="T2357" s="61">
        <f t="shared" si="163"/>
        <v>4</v>
      </c>
      <c r="U2357" s="61">
        <f t="shared" si="164"/>
        <v>3</v>
      </c>
      <c r="V2357" s="61" t="s">
        <v>150</v>
      </c>
      <c r="W2357" s="61" t="s">
        <v>1078</v>
      </c>
      <c r="X2357" s="61" t="s">
        <v>50</v>
      </c>
      <c r="Y2357" s="671">
        <v>15.72057292</v>
      </c>
      <c r="Z2357" s="671">
        <v>120.60940503</v>
      </c>
      <c r="AA2357" s="671" t="s">
        <v>8492</v>
      </c>
      <c r="AB2357" s="61"/>
    </row>
    <row r="2358" spans="1:28" s="2" customFormat="1" ht="15.75">
      <c r="A2358" s="61" t="s">
        <v>779</v>
      </c>
      <c r="B2358" s="61" t="s">
        <v>1465</v>
      </c>
      <c r="C2358" s="61" t="s">
        <v>5785</v>
      </c>
      <c r="D2358" s="61" t="s">
        <v>159</v>
      </c>
      <c r="E2358" s="61">
        <v>361</v>
      </c>
      <c r="F2358" s="61">
        <v>415</v>
      </c>
      <c r="G2358" s="61">
        <v>2025</v>
      </c>
      <c r="H2358" s="61" t="s">
        <v>3128</v>
      </c>
      <c r="I2358" s="61" t="s">
        <v>5783</v>
      </c>
      <c r="J2358" s="61"/>
      <c r="K2358" s="61" t="s">
        <v>28</v>
      </c>
      <c r="L2358" s="61" t="s">
        <v>9055</v>
      </c>
      <c r="M2358" s="475">
        <v>45936</v>
      </c>
      <c r="N2358" s="475">
        <v>45936</v>
      </c>
      <c r="P2358" s="475">
        <v>45944</v>
      </c>
      <c r="Q2358" s="475">
        <v>45944</v>
      </c>
      <c r="R2358" s="61">
        <f t="shared" si="159"/>
        <v>1</v>
      </c>
      <c r="S2358" s="61" t="str">
        <f t="shared" si="162"/>
        <v/>
      </c>
      <c r="T2358" s="61">
        <f t="shared" si="163"/>
        <v>6</v>
      </c>
      <c r="U2358" s="61">
        <f t="shared" si="164"/>
        <v>1</v>
      </c>
      <c r="V2358" s="61" t="s">
        <v>150</v>
      </c>
      <c r="W2358" s="61" t="s">
        <v>1078</v>
      </c>
      <c r="X2358" s="211" t="s">
        <v>50</v>
      </c>
      <c r="Y2358" s="560" t="s">
        <v>9056</v>
      </c>
      <c r="Z2358" s="677" t="s">
        <v>9057</v>
      </c>
      <c r="AA2358" s="560" t="s">
        <v>9058</v>
      </c>
      <c r="AB2358" s="678"/>
    </row>
    <row r="2359" spans="1:28" s="2" customFormat="1" ht="15">
      <c r="A2359" s="61" t="s">
        <v>779</v>
      </c>
      <c r="B2359" s="61" t="s">
        <v>1465</v>
      </c>
      <c r="C2359" s="61" t="s">
        <v>1475</v>
      </c>
      <c r="D2359" s="61" t="s">
        <v>159</v>
      </c>
      <c r="E2359" s="61">
        <v>657</v>
      </c>
      <c r="F2359" s="61">
        <v>616</v>
      </c>
      <c r="G2359" s="61"/>
      <c r="H2359" s="61"/>
      <c r="I2359" s="61" t="s">
        <v>5783</v>
      </c>
      <c r="J2359" s="61"/>
      <c r="K2359" s="61" t="s">
        <v>328</v>
      </c>
      <c r="L2359" s="61"/>
      <c r="M2359" s="475"/>
      <c r="N2359" s="475"/>
      <c r="P2359" s="475"/>
      <c r="Q2359" s="475"/>
      <c r="R2359" s="61" t="str">
        <f t="shared" ref="R2359:R2422" si="165">IF(
    OR(ISBLANK(M2359), ISBLANK(N2359)),
    "",
    MAX(1, IF(
        NETWORKDAYS(M2359, N2359) &lt;= 0,
        1,
        NETWORKDAYS(M2359, N2359) - IF(M2359 = N2359, 0, 1)
    ))
)</f>
        <v/>
      </c>
      <c r="S2359" s="61" t="str">
        <f>IF(
    OR(ISBLANK(N2359), ISBLANK(Q2359)),
    "",
    MAX(1, IF(
        NETWORKDAYS(N2359, Q2359) &lt;= 0,
        1,
        NETWORKDAYS(N2359, Q2359) - IF(N2359 = Q2359, 0, 1)
    ))
)</f>
        <v/>
      </c>
      <c r="T2359" s="61" t="str">
        <f>IF(
  OR(A2359 = "Nueva_Ecija", A2359 = "Zambales"),
  IF(
    OR(ISBLANK(Q2359), ISBLANK(P2359)),
    "",
    MAX(1, IF(
      NETWORKDAYS(Q2359, P2359) &lt;= 0,
      1,
      NETWORKDAYS(Q2359, P2359) - IF(Q2359 = P2359, 0, 1)
    ))
  ),
  IF(
    OR(ISBLANK(N2359), ISBLANK(P2359)),
    "",
    MAX(1, IF(
      NETWORKDAYS(N2359, P2359) &lt;= 0,
      1,
      NETWORKDAYS(N2359, P2359) - IF(N2359 = P2359, 0, 1)
    ))
  )
)</f>
        <v/>
      </c>
      <c r="U2359" s="61" t="str">
        <f>IF(
    OR(ISBLANK(P2359), ISBLANK(#REF!)),
    "",
    MAX(1, IF(
        NETWORKDAYS(P2359,#REF!) &lt;= 0,
        1,
        NETWORKDAYS(P2359,#REF!) - IF(P2359 =#REF!, 0, 1)
    ))
)</f>
        <v/>
      </c>
      <c r="V2359" s="61"/>
      <c r="W2359" s="61"/>
      <c r="X2359" s="61"/>
      <c r="Y2359" s="676"/>
      <c r="Z2359" s="676"/>
      <c r="AA2359" s="676"/>
      <c r="AB2359" s="61"/>
    </row>
    <row r="2360" spans="1:28" s="2" customFormat="1" ht="15.75">
      <c r="A2360" s="61" t="s">
        <v>779</v>
      </c>
      <c r="B2360" s="61" t="s">
        <v>1465</v>
      </c>
      <c r="C2360" s="61" t="s">
        <v>5261</v>
      </c>
      <c r="D2360" s="61" t="s">
        <v>159</v>
      </c>
      <c r="E2360" s="61">
        <v>343</v>
      </c>
      <c r="F2360" s="61">
        <v>387</v>
      </c>
      <c r="G2360" s="61">
        <v>2025</v>
      </c>
      <c r="H2360" s="61" t="s">
        <v>3128</v>
      </c>
      <c r="I2360" s="61" t="s">
        <v>5783</v>
      </c>
      <c r="J2360" s="61"/>
      <c r="K2360" s="61" t="s">
        <v>28</v>
      </c>
      <c r="L2360" s="61" t="s">
        <v>9055</v>
      </c>
      <c r="M2360" s="475">
        <v>45936</v>
      </c>
      <c r="N2360" s="475">
        <v>45936</v>
      </c>
      <c r="P2360" s="475">
        <v>45944</v>
      </c>
      <c r="Q2360" s="475">
        <v>45944</v>
      </c>
      <c r="R2360" s="61">
        <f t="shared" si="165"/>
        <v>1</v>
      </c>
      <c r="S2360" s="61" t="str">
        <f t="shared" ref="S2360:S2423" si="166">IF(
    OR(ISBLANK(N2360), ISBLANK(O2360)),
    "",
    MAX(1, IF(
        NETWORKDAYS(N2360, O2360) &lt;= 0,
        1,
        NETWORKDAYS(N2360, O2360) - IF(N2360 = O2360, 0, 1)
    ))
)</f>
        <v/>
      </c>
      <c r="T2360" s="61">
        <f t="shared" ref="T2360:T2391" si="167">IF(
  OR(A2360 = "Nueva_Ecija", A2360 = "Zambales"),
  IF(
    OR(ISBLANK(O2360), ISBLANK(P2360)),
    "",
    MAX(1, IF(
      NETWORKDAYS(O2360, P2360) &lt;= 0,
      1,
      NETWORKDAYS(O2360, P2360) - IF(O2360 = P2360, 0, 1)
    ))
  ),
  IF(
    OR(ISBLANK(N2360), ISBLANK(P2360)),
    "",
    MAX(1, IF(
      NETWORKDAYS(N2360, P2360) &lt;= 0,
      1,
      NETWORKDAYS(N2360, P2360) - IF(N2360 = P2360, 0, 1)
    ))
  )
)</f>
        <v>6</v>
      </c>
      <c r="U2360" s="61">
        <f t="shared" ref="U2360:U2391" si="168">IF(
    OR(ISBLANK(P2360), ISBLANK(Q2360)),
    "",
    MAX(1, IF(
        NETWORKDAYS(P2360, Q2360) &lt;= 0,
        1,
        NETWORKDAYS(P2360, Q2360) - IF(P2360 = Q2360, 0, 1)
    ))
)</f>
        <v>1</v>
      </c>
      <c r="V2360" s="61" t="s">
        <v>150</v>
      </c>
      <c r="W2360" s="61" t="s">
        <v>1078</v>
      </c>
      <c r="X2360" s="211" t="s">
        <v>50</v>
      </c>
      <c r="Y2360" s="560" t="s">
        <v>9059</v>
      </c>
      <c r="Z2360" s="677" t="s">
        <v>9060</v>
      </c>
      <c r="AA2360" s="560" t="s">
        <v>9058</v>
      </c>
      <c r="AB2360" s="678"/>
    </row>
    <row r="2361" spans="1:28" s="2" customFormat="1" ht="15">
      <c r="A2361" s="61" t="s">
        <v>779</v>
      </c>
      <c r="B2361" s="61" t="s">
        <v>1465</v>
      </c>
      <c r="C2361" s="61" t="s">
        <v>1299</v>
      </c>
      <c r="D2361" s="61" t="s">
        <v>159</v>
      </c>
      <c r="E2361" s="61">
        <v>854</v>
      </c>
      <c r="F2361" s="61">
        <v>879</v>
      </c>
      <c r="G2361" s="61"/>
      <c r="H2361" s="61"/>
      <c r="I2361" s="61" t="s">
        <v>5783</v>
      </c>
      <c r="J2361" s="61"/>
      <c r="K2361" s="61" t="s">
        <v>328</v>
      </c>
      <c r="L2361" s="61"/>
      <c r="M2361" s="61"/>
      <c r="N2361" s="61"/>
      <c r="O2361" s="61"/>
      <c r="P2361" s="61"/>
      <c r="Q2361" s="61"/>
      <c r="R2361" s="61" t="str">
        <f t="shared" si="165"/>
        <v/>
      </c>
      <c r="S2361" s="61" t="str">
        <f t="shared" si="166"/>
        <v/>
      </c>
      <c r="T2361" s="61" t="str">
        <f t="shared" si="167"/>
        <v/>
      </c>
      <c r="U2361" s="61" t="str">
        <f t="shared" si="168"/>
        <v/>
      </c>
      <c r="V2361" s="61"/>
      <c r="W2361" s="61"/>
      <c r="X2361" s="61"/>
      <c r="Y2361" s="672"/>
      <c r="Z2361" s="672"/>
      <c r="AA2361" s="672"/>
      <c r="AB2361" s="61"/>
    </row>
    <row r="2362" spans="1:28" s="2" customFormat="1" ht="15">
      <c r="A2362" s="61" t="s">
        <v>779</v>
      </c>
      <c r="B2362" s="61" t="s">
        <v>1465</v>
      </c>
      <c r="C2362" s="61" t="s">
        <v>3133</v>
      </c>
      <c r="D2362" s="61" t="s">
        <v>159</v>
      </c>
      <c r="E2362" s="61">
        <v>387</v>
      </c>
      <c r="F2362" s="61">
        <v>450</v>
      </c>
      <c r="G2362" s="61"/>
      <c r="H2362" s="61"/>
      <c r="I2362" s="61" t="s">
        <v>5783</v>
      </c>
      <c r="J2362" s="61"/>
      <c r="K2362" s="61" t="s">
        <v>328</v>
      </c>
      <c r="L2362" s="61"/>
      <c r="M2362" s="61"/>
      <c r="N2362" s="61"/>
      <c r="O2362" s="61"/>
      <c r="P2362" s="61"/>
      <c r="Q2362" s="61"/>
      <c r="R2362" s="61" t="str">
        <f t="shared" si="165"/>
        <v/>
      </c>
      <c r="S2362" s="61" t="str">
        <f t="shared" si="166"/>
        <v/>
      </c>
      <c r="T2362" s="61" t="str">
        <f t="shared" si="167"/>
        <v/>
      </c>
      <c r="U2362" s="61" t="str">
        <f t="shared" si="168"/>
        <v/>
      </c>
      <c r="V2362" s="61"/>
      <c r="W2362" s="61"/>
      <c r="X2362" s="61"/>
      <c r="Y2362" s="61"/>
      <c r="Z2362" s="61"/>
      <c r="AA2362" s="61"/>
      <c r="AB2362" s="61"/>
    </row>
    <row r="2363" spans="1:28" s="2" customFormat="1" ht="15">
      <c r="A2363" s="61" t="s">
        <v>779</v>
      </c>
      <c r="B2363" s="61" t="s">
        <v>1465</v>
      </c>
      <c r="C2363" s="61" t="s">
        <v>5799</v>
      </c>
      <c r="D2363" s="61" t="s">
        <v>159</v>
      </c>
      <c r="E2363" s="61">
        <v>1115</v>
      </c>
      <c r="F2363" s="61">
        <v>1227</v>
      </c>
      <c r="G2363" s="61"/>
      <c r="H2363" s="61"/>
      <c r="I2363" s="61" t="s">
        <v>5783</v>
      </c>
      <c r="J2363" s="61"/>
      <c r="K2363" s="61" t="s">
        <v>328</v>
      </c>
      <c r="L2363" s="61"/>
      <c r="M2363" s="61"/>
      <c r="N2363" s="61"/>
      <c r="O2363" s="61"/>
      <c r="P2363" s="61"/>
      <c r="Q2363" s="61"/>
      <c r="R2363" s="61" t="str">
        <f t="shared" si="165"/>
        <v/>
      </c>
      <c r="S2363" s="61" t="str">
        <f t="shared" si="166"/>
        <v/>
      </c>
      <c r="T2363" s="61" t="str">
        <f t="shared" si="167"/>
        <v/>
      </c>
      <c r="U2363" s="61" t="str">
        <f t="shared" si="168"/>
        <v/>
      </c>
      <c r="V2363" s="61"/>
      <c r="W2363" s="61"/>
      <c r="X2363" s="61"/>
      <c r="Y2363" s="61"/>
      <c r="Z2363" s="61"/>
      <c r="AA2363" s="61"/>
      <c r="AB2363" s="61"/>
    </row>
    <row r="2364" spans="1:28" s="2" customFormat="1" ht="15">
      <c r="A2364" s="61" t="s">
        <v>779</v>
      </c>
      <c r="B2364" s="61" t="s">
        <v>1465</v>
      </c>
      <c r="C2364" s="61" t="s">
        <v>5800</v>
      </c>
      <c r="D2364" s="61" t="s">
        <v>159</v>
      </c>
      <c r="E2364" s="61">
        <v>1015</v>
      </c>
      <c r="F2364" s="61">
        <v>1078</v>
      </c>
      <c r="G2364" s="61"/>
      <c r="H2364" s="61"/>
      <c r="I2364" s="61" t="s">
        <v>5783</v>
      </c>
      <c r="J2364" s="61"/>
      <c r="K2364" s="61" t="s">
        <v>328</v>
      </c>
      <c r="L2364" s="61"/>
      <c r="M2364" s="61"/>
      <c r="N2364" s="61"/>
      <c r="O2364" s="61"/>
      <c r="P2364" s="61"/>
      <c r="Q2364" s="61"/>
      <c r="R2364" s="61" t="str">
        <f t="shared" si="165"/>
        <v/>
      </c>
      <c r="S2364" s="61" t="str">
        <f t="shared" si="166"/>
        <v/>
      </c>
      <c r="T2364" s="61" t="str">
        <f t="shared" si="167"/>
        <v/>
      </c>
      <c r="U2364" s="61" t="str">
        <f t="shared" si="168"/>
        <v/>
      </c>
      <c r="V2364" s="61"/>
      <c r="W2364" s="61"/>
      <c r="X2364" s="61"/>
      <c r="Y2364" s="61"/>
      <c r="Z2364" s="61"/>
      <c r="AA2364" s="61"/>
      <c r="AB2364" s="61"/>
    </row>
    <row r="2365" spans="1:28" s="2" customFormat="1" ht="15">
      <c r="A2365" s="61" t="s">
        <v>779</v>
      </c>
      <c r="B2365" s="61" t="s">
        <v>1445</v>
      </c>
      <c r="C2365" s="61" t="s">
        <v>3727</v>
      </c>
      <c r="D2365" s="61" t="s">
        <v>7838</v>
      </c>
      <c r="E2365" s="61">
        <v>2111</v>
      </c>
      <c r="F2365" s="61">
        <v>2419</v>
      </c>
      <c r="G2365" s="61">
        <v>2025</v>
      </c>
      <c r="H2365" s="61" t="s">
        <v>3125</v>
      </c>
      <c r="I2365" s="61" t="s">
        <v>39</v>
      </c>
      <c r="J2365" s="61"/>
      <c r="K2365" s="61" t="s">
        <v>328</v>
      </c>
      <c r="L2365" s="61" t="s">
        <v>9061</v>
      </c>
      <c r="M2365" s="475">
        <v>45846</v>
      </c>
      <c r="N2365" s="475">
        <v>45855</v>
      </c>
      <c r="O2365" s="61"/>
      <c r="P2365" s="475">
        <v>45856</v>
      </c>
      <c r="Q2365" s="475">
        <v>45856</v>
      </c>
      <c r="R2365" s="61">
        <f t="shared" si="165"/>
        <v>7</v>
      </c>
      <c r="S2365" s="61" t="str">
        <f t="shared" si="166"/>
        <v/>
      </c>
      <c r="T2365" s="61">
        <f t="shared" si="167"/>
        <v>1</v>
      </c>
      <c r="U2365" s="61">
        <f t="shared" si="168"/>
        <v>1</v>
      </c>
      <c r="V2365" s="61" t="s">
        <v>150</v>
      </c>
      <c r="W2365" s="61" t="s">
        <v>4</v>
      </c>
      <c r="X2365" s="61" t="s">
        <v>50</v>
      </c>
      <c r="Y2365" s="61">
        <v>15.244199999999999</v>
      </c>
      <c r="Z2365" s="61">
        <v>120.5299</v>
      </c>
      <c r="AA2365" s="61" t="s">
        <v>8361</v>
      </c>
      <c r="AB2365" s="61"/>
    </row>
    <row r="2366" spans="1:28" s="2" customFormat="1" ht="28.5">
      <c r="A2366" s="61" t="s">
        <v>779</v>
      </c>
      <c r="B2366" s="61" t="s">
        <v>1445</v>
      </c>
      <c r="C2366" s="61" t="s">
        <v>5801</v>
      </c>
      <c r="D2366" s="61" t="s">
        <v>7838</v>
      </c>
      <c r="E2366" s="61">
        <v>19762</v>
      </c>
      <c r="F2366" s="61">
        <v>21794</v>
      </c>
      <c r="G2366" s="61">
        <v>2025</v>
      </c>
      <c r="H2366" s="61" t="s">
        <v>3416</v>
      </c>
      <c r="I2366" s="61" t="s">
        <v>39</v>
      </c>
      <c r="J2366" s="61"/>
      <c r="K2366" s="61" t="s">
        <v>328</v>
      </c>
      <c r="L2366" s="61" t="s">
        <v>9062</v>
      </c>
      <c r="M2366" s="475">
        <v>45730</v>
      </c>
      <c r="N2366" s="475">
        <v>45733</v>
      </c>
      <c r="O2366" s="61"/>
      <c r="P2366" s="475">
        <v>45734</v>
      </c>
      <c r="Q2366" s="475">
        <v>45734</v>
      </c>
      <c r="R2366" s="61">
        <f t="shared" si="165"/>
        <v>1</v>
      </c>
      <c r="S2366" s="61" t="str">
        <f t="shared" si="166"/>
        <v/>
      </c>
      <c r="T2366" s="61">
        <f t="shared" si="167"/>
        <v>1</v>
      </c>
      <c r="U2366" s="61">
        <f t="shared" si="168"/>
        <v>1</v>
      </c>
      <c r="V2366" s="61" t="s">
        <v>150</v>
      </c>
      <c r="W2366" s="61" t="s">
        <v>3527</v>
      </c>
      <c r="X2366" s="61" t="s">
        <v>3528</v>
      </c>
      <c r="Y2366" s="61">
        <v>15.283200000000001</v>
      </c>
      <c r="Z2366" s="501">
        <v>120.5677</v>
      </c>
      <c r="AA2366" s="61" t="s">
        <v>8492</v>
      </c>
      <c r="AB2366" s="61"/>
    </row>
    <row r="2367" spans="1:28" s="2" customFormat="1" ht="28.5">
      <c r="A2367" s="61" t="s">
        <v>779</v>
      </c>
      <c r="B2367" s="61" t="s">
        <v>1445</v>
      </c>
      <c r="C2367" s="61" t="s">
        <v>4613</v>
      </c>
      <c r="D2367" s="61" t="s">
        <v>7838</v>
      </c>
      <c r="E2367" s="61">
        <v>5420</v>
      </c>
      <c r="F2367" s="61">
        <v>6671</v>
      </c>
      <c r="G2367" s="61">
        <v>2025</v>
      </c>
      <c r="H2367" s="61" t="s">
        <v>3416</v>
      </c>
      <c r="I2367" s="61" t="s">
        <v>39</v>
      </c>
      <c r="J2367" s="61"/>
      <c r="K2367" s="61" t="s">
        <v>328</v>
      </c>
      <c r="L2367" s="61" t="s">
        <v>9063</v>
      </c>
      <c r="M2367" s="475">
        <v>45720</v>
      </c>
      <c r="N2367" s="475">
        <v>45733</v>
      </c>
      <c r="O2367" s="61"/>
      <c r="P2367" s="475">
        <v>45734</v>
      </c>
      <c r="Q2367" s="475">
        <v>45734</v>
      </c>
      <c r="R2367" s="61">
        <f t="shared" si="165"/>
        <v>9</v>
      </c>
      <c r="S2367" s="61" t="str">
        <f t="shared" si="166"/>
        <v/>
      </c>
      <c r="T2367" s="61">
        <f t="shared" si="167"/>
        <v>1</v>
      </c>
      <c r="U2367" s="61">
        <f t="shared" si="168"/>
        <v>1</v>
      </c>
      <c r="V2367" s="61" t="s">
        <v>150</v>
      </c>
      <c r="W2367" s="61" t="s">
        <v>3527</v>
      </c>
      <c r="X2367" s="61" t="s">
        <v>3528</v>
      </c>
      <c r="Y2367" s="61">
        <v>15.263999999999999</v>
      </c>
      <c r="Z2367" s="501">
        <v>120.55759999999999</v>
      </c>
      <c r="AA2367" s="61" t="s">
        <v>8492</v>
      </c>
      <c r="AB2367" s="61"/>
    </row>
    <row r="2368" spans="1:28" s="2" customFormat="1" ht="28.5">
      <c r="A2368" s="61" t="s">
        <v>779</v>
      </c>
      <c r="B2368" s="61" t="s">
        <v>1445</v>
      </c>
      <c r="C2368" s="61" t="s">
        <v>5659</v>
      </c>
      <c r="D2368" s="61" t="s">
        <v>7838</v>
      </c>
      <c r="E2368" s="61">
        <v>19739</v>
      </c>
      <c r="F2368" s="61">
        <v>19777</v>
      </c>
      <c r="G2368" s="61">
        <v>2025</v>
      </c>
      <c r="H2368" s="61" t="s">
        <v>3416</v>
      </c>
      <c r="I2368" s="61" t="s">
        <v>39</v>
      </c>
      <c r="J2368" s="61"/>
      <c r="K2368" s="61" t="s">
        <v>328</v>
      </c>
      <c r="L2368" s="61" t="s">
        <v>9064</v>
      </c>
      <c r="M2368" s="475">
        <v>45720</v>
      </c>
      <c r="N2368" s="475">
        <v>45726</v>
      </c>
      <c r="O2368" s="61"/>
      <c r="P2368" s="475">
        <v>45727</v>
      </c>
      <c r="Q2368" s="475">
        <v>45730</v>
      </c>
      <c r="R2368" s="61">
        <f t="shared" si="165"/>
        <v>4</v>
      </c>
      <c r="S2368" s="61" t="str">
        <f t="shared" si="166"/>
        <v/>
      </c>
      <c r="T2368" s="61">
        <f t="shared" si="167"/>
        <v>1</v>
      </c>
      <c r="U2368" s="61">
        <f t="shared" si="168"/>
        <v>3</v>
      </c>
      <c r="V2368" s="61" t="s">
        <v>150</v>
      </c>
      <c r="W2368" s="61" t="s">
        <v>1078</v>
      </c>
      <c r="X2368" s="61" t="s">
        <v>3528</v>
      </c>
      <c r="Y2368" s="61">
        <v>15.277900000000001</v>
      </c>
      <c r="Z2368" s="501">
        <v>120.56619999999999</v>
      </c>
      <c r="AA2368" s="61" t="s">
        <v>8492</v>
      </c>
      <c r="AB2368" s="61"/>
    </row>
    <row r="2369" spans="1:28" s="2" customFormat="1" ht="28.5">
      <c r="A2369" s="61" t="s">
        <v>779</v>
      </c>
      <c r="B2369" s="61" t="s">
        <v>1445</v>
      </c>
      <c r="C2369" s="61" t="s">
        <v>3974</v>
      </c>
      <c r="D2369" s="61" t="s">
        <v>7838</v>
      </c>
      <c r="E2369" s="61">
        <v>10678</v>
      </c>
      <c r="F2369" s="61">
        <v>11986</v>
      </c>
      <c r="G2369" s="61">
        <v>2025</v>
      </c>
      <c r="H2369" s="61" t="s">
        <v>3125</v>
      </c>
      <c r="I2369" s="61" t="s">
        <v>39</v>
      </c>
      <c r="J2369" s="61"/>
      <c r="K2369" s="61" t="s">
        <v>328</v>
      </c>
      <c r="L2369" s="118" t="s">
        <v>9065</v>
      </c>
      <c r="M2369" s="477">
        <v>45846</v>
      </c>
      <c r="N2369" s="477">
        <v>45855</v>
      </c>
      <c r="O2369" s="474"/>
      <c r="P2369" s="477">
        <v>45856</v>
      </c>
      <c r="Q2369" s="477">
        <v>45856</v>
      </c>
      <c r="R2369" s="61">
        <f t="shared" si="165"/>
        <v>7</v>
      </c>
      <c r="S2369" s="61" t="str">
        <f t="shared" si="166"/>
        <v/>
      </c>
      <c r="T2369" s="61">
        <f t="shared" si="167"/>
        <v>1</v>
      </c>
      <c r="U2369" s="61">
        <f t="shared" si="168"/>
        <v>1</v>
      </c>
      <c r="V2369" s="61" t="s">
        <v>150</v>
      </c>
      <c r="W2369" s="61" t="s">
        <v>3527</v>
      </c>
      <c r="X2369" s="61" t="s">
        <v>3528</v>
      </c>
      <c r="Y2369" s="61"/>
      <c r="Z2369" s="61"/>
      <c r="AA2369" s="61" t="s">
        <v>8492</v>
      </c>
      <c r="AB2369" s="61"/>
    </row>
    <row r="2370" spans="1:28" s="2" customFormat="1" ht="15">
      <c r="A2370" s="61" t="s">
        <v>779</v>
      </c>
      <c r="B2370" s="61" t="s">
        <v>1445</v>
      </c>
      <c r="C2370" s="61" t="s">
        <v>5803</v>
      </c>
      <c r="D2370" s="61" t="s">
        <v>7838</v>
      </c>
      <c r="E2370" s="61">
        <v>801</v>
      </c>
      <c r="F2370" s="61">
        <v>1115</v>
      </c>
      <c r="G2370" s="61"/>
      <c r="H2370" s="61"/>
      <c r="I2370" s="61" t="s">
        <v>39</v>
      </c>
      <c r="J2370" s="61"/>
      <c r="K2370" s="61" t="s">
        <v>328</v>
      </c>
      <c r="L2370" s="61"/>
      <c r="M2370" s="61"/>
      <c r="N2370" s="61"/>
      <c r="O2370" s="61"/>
      <c r="P2370" s="61"/>
      <c r="Q2370" s="61"/>
      <c r="R2370" s="61" t="str">
        <f t="shared" si="165"/>
        <v/>
      </c>
      <c r="S2370" s="61" t="str">
        <f t="shared" si="166"/>
        <v/>
      </c>
      <c r="T2370" s="61" t="str">
        <f t="shared" si="167"/>
        <v/>
      </c>
      <c r="U2370" s="61" t="str">
        <f t="shared" si="168"/>
        <v/>
      </c>
      <c r="V2370" s="61"/>
      <c r="W2370" s="61"/>
      <c r="X2370" s="61"/>
      <c r="Y2370" s="61"/>
      <c r="Z2370" s="61"/>
      <c r="AA2370" s="61"/>
      <c r="AB2370" s="61"/>
    </row>
    <row r="2371" spans="1:28" s="2" customFormat="1" ht="15">
      <c r="A2371" s="61" t="s">
        <v>779</v>
      </c>
      <c r="B2371" s="61" t="s">
        <v>1445</v>
      </c>
      <c r="C2371" s="61" t="s">
        <v>5804</v>
      </c>
      <c r="D2371" s="61" t="s">
        <v>7838</v>
      </c>
      <c r="E2371" s="61">
        <v>191</v>
      </c>
      <c r="F2371" s="61">
        <v>266</v>
      </c>
      <c r="G2371" s="61"/>
      <c r="H2371" s="61"/>
      <c r="I2371" s="61" t="s">
        <v>39</v>
      </c>
      <c r="J2371" s="61"/>
      <c r="K2371" s="61" t="s">
        <v>328</v>
      </c>
      <c r="L2371" s="61"/>
      <c r="M2371" s="61"/>
      <c r="N2371" s="61"/>
      <c r="O2371" s="61"/>
      <c r="P2371" s="61"/>
      <c r="Q2371" s="61"/>
      <c r="R2371" s="61" t="str">
        <f t="shared" si="165"/>
        <v/>
      </c>
      <c r="S2371" s="61" t="str">
        <f t="shared" si="166"/>
        <v/>
      </c>
      <c r="T2371" s="61" t="str">
        <f t="shared" si="167"/>
        <v/>
      </c>
      <c r="U2371" s="61" t="str">
        <f t="shared" si="168"/>
        <v/>
      </c>
      <c r="V2371" s="61"/>
      <c r="W2371" s="61"/>
      <c r="X2371" s="61"/>
      <c r="Y2371" s="61"/>
      <c r="Z2371" s="61"/>
      <c r="AA2371" s="61"/>
      <c r="AB2371" s="61"/>
    </row>
    <row r="2372" spans="1:28" s="2" customFormat="1" ht="15">
      <c r="A2372" s="61" t="s">
        <v>779</v>
      </c>
      <c r="B2372" s="61" t="s">
        <v>1445</v>
      </c>
      <c r="C2372" s="61" t="s">
        <v>5671</v>
      </c>
      <c r="D2372" s="61" t="s">
        <v>7838</v>
      </c>
      <c r="E2372" s="61">
        <v>271</v>
      </c>
      <c r="F2372" s="61">
        <v>434</v>
      </c>
      <c r="G2372" s="61"/>
      <c r="H2372" s="61"/>
      <c r="I2372" s="61" t="s">
        <v>39</v>
      </c>
      <c r="J2372" s="61"/>
      <c r="K2372" s="61" t="s">
        <v>328</v>
      </c>
      <c r="L2372" s="61"/>
      <c r="M2372" s="61"/>
      <c r="N2372" s="61"/>
      <c r="O2372" s="61"/>
      <c r="P2372" s="61"/>
      <c r="Q2372" s="61"/>
      <c r="R2372" s="61" t="str">
        <f t="shared" si="165"/>
        <v/>
      </c>
      <c r="S2372" s="61" t="str">
        <f t="shared" si="166"/>
        <v/>
      </c>
      <c r="T2372" s="61" t="str">
        <f t="shared" si="167"/>
        <v/>
      </c>
      <c r="U2372" s="61" t="str">
        <f t="shared" si="168"/>
        <v/>
      </c>
      <c r="V2372" s="61"/>
      <c r="W2372" s="61"/>
      <c r="X2372" s="61"/>
      <c r="Y2372" s="61"/>
      <c r="Z2372" s="61"/>
      <c r="AA2372" s="61"/>
      <c r="AB2372" s="61"/>
    </row>
    <row r="2373" spans="1:28" s="2" customFormat="1" ht="15">
      <c r="A2373" s="61" t="s">
        <v>779</v>
      </c>
      <c r="B2373" s="61" t="s">
        <v>1445</v>
      </c>
      <c r="C2373" s="61" t="s">
        <v>5805</v>
      </c>
      <c r="D2373" s="61" t="s">
        <v>7838</v>
      </c>
      <c r="E2373" s="61">
        <v>2292</v>
      </c>
      <c r="F2373" s="61">
        <v>2381</v>
      </c>
      <c r="G2373" s="61"/>
      <c r="H2373" s="61"/>
      <c r="I2373" s="61" t="s">
        <v>39</v>
      </c>
      <c r="J2373" s="61"/>
      <c r="K2373" s="61" t="s">
        <v>328</v>
      </c>
      <c r="L2373" s="61"/>
      <c r="M2373" s="61"/>
      <c r="N2373" s="61"/>
      <c r="O2373" s="61"/>
      <c r="P2373" s="61"/>
      <c r="Q2373" s="61"/>
      <c r="R2373" s="61" t="str">
        <f t="shared" si="165"/>
        <v/>
      </c>
      <c r="S2373" s="61" t="str">
        <f t="shared" si="166"/>
        <v/>
      </c>
      <c r="T2373" s="61" t="str">
        <f t="shared" si="167"/>
        <v/>
      </c>
      <c r="U2373" s="61" t="str">
        <f t="shared" si="168"/>
        <v/>
      </c>
      <c r="V2373" s="61"/>
      <c r="W2373" s="61"/>
      <c r="X2373" s="61"/>
      <c r="Y2373" s="61"/>
      <c r="Z2373" s="61"/>
      <c r="AA2373" s="61"/>
      <c r="AB2373" s="61"/>
    </row>
    <row r="2374" spans="1:28" s="2" customFormat="1" ht="15">
      <c r="A2374" s="61" t="s">
        <v>779</v>
      </c>
      <c r="B2374" s="61" t="s">
        <v>1445</v>
      </c>
      <c r="C2374" s="61" t="s">
        <v>5396</v>
      </c>
      <c r="D2374" s="61" t="s">
        <v>7838</v>
      </c>
      <c r="E2374" s="61">
        <v>1135</v>
      </c>
      <c r="F2374" s="61">
        <v>1349</v>
      </c>
      <c r="G2374" s="61"/>
      <c r="H2374" s="61"/>
      <c r="I2374" s="61" t="s">
        <v>39</v>
      </c>
      <c r="J2374" s="61"/>
      <c r="K2374" s="61" t="s">
        <v>328</v>
      </c>
      <c r="L2374" s="61"/>
      <c r="M2374" s="61"/>
      <c r="N2374" s="61"/>
      <c r="O2374" s="61"/>
      <c r="P2374" s="61"/>
      <c r="Q2374" s="61"/>
      <c r="R2374" s="61" t="str">
        <f t="shared" si="165"/>
        <v/>
      </c>
      <c r="S2374" s="61" t="str">
        <f t="shared" si="166"/>
        <v/>
      </c>
      <c r="T2374" s="61" t="str">
        <f t="shared" si="167"/>
        <v/>
      </c>
      <c r="U2374" s="61" t="str">
        <f t="shared" si="168"/>
        <v/>
      </c>
      <c r="V2374" s="61"/>
      <c r="W2374" s="61"/>
      <c r="X2374" s="61"/>
      <c r="Y2374" s="61"/>
      <c r="Z2374" s="61"/>
      <c r="AA2374" s="61"/>
      <c r="AB2374" s="61"/>
    </row>
    <row r="2375" spans="1:28" s="2" customFormat="1" ht="15">
      <c r="A2375" s="61" t="s">
        <v>779</v>
      </c>
      <c r="B2375" s="61" t="s">
        <v>1445</v>
      </c>
      <c r="C2375" s="61" t="s">
        <v>5807</v>
      </c>
      <c r="D2375" s="61" t="s">
        <v>7838</v>
      </c>
      <c r="E2375" s="61">
        <v>34</v>
      </c>
      <c r="F2375" s="61">
        <v>40</v>
      </c>
      <c r="G2375" s="61"/>
      <c r="H2375" s="61"/>
      <c r="I2375" s="61" t="s">
        <v>39</v>
      </c>
      <c r="J2375" s="61"/>
      <c r="K2375" s="61" t="s">
        <v>328</v>
      </c>
      <c r="L2375" s="61"/>
      <c r="M2375" s="61"/>
      <c r="N2375" s="61"/>
      <c r="O2375" s="61"/>
      <c r="P2375" s="61"/>
      <c r="Q2375" s="61"/>
      <c r="R2375" s="61" t="str">
        <f t="shared" si="165"/>
        <v/>
      </c>
      <c r="S2375" s="61" t="str">
        <f t="shared" si="166"/>
        <v/>
      </c>
      <c r="T2375" s="61" t="str">
        <f t="shared" si="167"/>
        <v/>
      </c>
      <c r="U2375" s="61" t="str">
        <f t="shared" si="168"/>
        <v/>
      </c>
      <c r="V2375" s="61"/>
      <c r="W2375" s="61"/>
      <c r="X2375" s="61"/>
      <c r="Y2375" s="61"/>
      <c r="Z2375" s="61"/>
      <c r="AA2375" s="61"/>
      <c r="AB2375" s="61"/>
    </row>
    <row r="2376" spans="1:28" s="2" customFormat="1" ht="15.75">
      <c r="A2376" s="61" t="s">
        <v>779</v>
      </c>
      <c r="B2376" s="61" t="s">
        <v>1445</v>
      </c>
      <c r="C2376" s="61" t="s">
        <v>1253</v>
      </c>
      <c r="D2376" s="61" t="s">
        <v>7838</v>
      </c>
      <c r="E2376" s="61">
        <v>189</v>
      </c>
      <c r="F2376" s="61">
        <v>480</v>
      </c>
      <c r="G2376" s="61"/>
      <c r="H2376" s="61"/>
      <c r="I2376" s="61" t="s">
        <v>39</v>
      </c>
      <c r="J2376" s="61"/>
      <c r="K2376" s="61" t="s">
        <v>328</v>
      </c>
      <c r="L2376" s="61"/>
      <c r="M2376" s="475"/>
      <c r="N2376" s="475"/>
      <c r="O2376" s="61"/>
      <c r="P2376" s="475"/>
      <c r="Q2376" s="475"/>
      <c r="R2376" s="61" t="str">
        <f t="shared" si="165"/>
        <v/>
      </c>
      <c r="S2376" s="61" t="str">
        <f t="shared" si="166"/>
        <v/>
      </c>
      <c r="T2376" s="61" t="str">
        <f t="shared" si="167"/>
        <v/>
      </c>
      <c r="U2376" s="61" t="str">
        <f t="shared" si="168"/>
        <v/>
      </c>
      <c r="V2376" s="61"/>
      <c r="W2376" s="61"/>
      <c r="X2376" s="61"/>
      <c r="Y2376" s="61"/>
      <c r="Z2376" s="501"/>
      <c r="AA2376" s="61"/>
      <c r="AB2376" s="61"/>
    </row>
    <row r="2377" spans="1:28" s="2" customFormat="1" ht="15">
      <c r="A2377" s="61" t="s">
        <v>779</v>
      </c>
      <c r="B2377" s="61" t="s">
        <v>1445</v>
      </c>
      <c r="C2377" s="61" t="s">
        <v>1155</v>
      </c>
      <c r="D2377" s="61" t="s">
        <v>7838</v>
      </c>
      <c r="E2377" s="61">
        <v>2058</v>
      </c>
      <c r="F2377" s="61">
        <v>2906</v>
      </c>
      <c r="G2377" s="61"/>
      <c r="H2377" s="61"/>
      <c r="I2377" s="61" t="s">
        <v>39</v>
      </c>
      <c r="J2377" s="61"/>
      <c r="K2377" s="61" t="s">
        <v>328</v>
      </c>
      <c r="L2377" s="61"/>
      <c r="M2377" s="61"/>
      <c r="N2377" s="61"/>
      <c r="O2377" s="61"/>
      <c r="P2377" s="61"/>
      <c r="Q2377" s="61"/>
      <c r="R2377" s="61" t="str">
        <f t="shared" si="165"/>
        <v/>
      </c>
      <c r="S2377" s="61" t="str">
        <f t="shared" si="166"/>
        <v/>
      </c>
      <c r="T2377" s="61" t="str">
        <f t="shared" si="167"/>
        <v/>
      </c>
      <c r="U2377" s="61" t="str">
        <f t="shared" si="168"/>
        <v/>
      </c>
      <c r="V2377" s="61"/>
      <c r="W2377" s="61"/>
      <c r="X2377" s="61"/>
      <c r="Y2377" s="61"/>
      <c r="Z2377" s="61"/>
      <c r="AA2377" s="61"/>
      <c r="AB2377" s="61"/>
    </row>
    <row r="2378" spans="1:28" s="2" customFormat="1" ht="15">
      <c r="A2378" s="61" t="s">
        <v>779</v>
      </c>
      <c r="B2378" s="61" t="s">
        <v>1445</v>
      </c>
      <c r="C2378" s="61" t="s">
        <v>1166</v>
      </c>
      <c r="D2378" s="61" t="s">
        <v>7838</v>
      </c>
      <c r="E2378" s="61">
        <v>2676</v>
      </c>
      <c r="F2378" s="61">
        <v>3772</v>
      </c>
      <c r="G2378" s="61"/>
      <c r="H2378" s="61"/>
      <c r="I2378" s="61" t="s">
        <v>39</v>
      </c>
      <c r="J2378" s="61"/>
      <c r="K2378" s="61" t="s">
        <v>328</v>
      </c>
      <c r="L2378" s="61"/>
      <c r="M2378" s="475"/>
      <c r="N2378" s="475"/>
      <c r="O2378" s="61"/>
      <c r="P2378" s="475"/>
      <c r="Q2378" s="61"/>
      <c r="R2378" s="61" t="str">
        <f t="shared" si="165"/>
        <v/>
      </c>
      <c r="S2378" s="61" t="str">
        <f t="shared" si="166"/>
        <v/>
      </c>
      <c r="T2378" s="61" t="str">
        <f t="shared" si="167"/>
        <v/>
      </c>
      <c r="U2378" s="61" t="str">
        <f t="shared" si="168"/>
        <v/>
      </c>
      <c r="V2378" s="61"/>
      <c r="W2378" s="61"/>
      <c r="X2378" s="61"/>
      <c r="Y2378" s="61"/>
      <c r="Z2378" s="61"/>
      <c r="AA2378" s="61"/>
      <c r="AB2378" s="61"/>
    </row>
    <row r="2379" spans="1:28" s="2" customFormat="1" ht="15">
      <c r="A2379" s="61" t="s">
        <v>779</v>
      </c>
      <c r="B2379" s="61" t="s">
        <v>1445</v>
      </c>
      <c r="C2379" s="61" t="s">
        <v>5811</v>
      </c>
      <c r="D2379" s="61" t="s">
        <v>7838</v>
      </c>
      <c r="E2379" s="61">
        <v>2109</v>
      </c>
      <c r="F2379" s="61">
        <v>2870</v>
      </c>
      <c r="G2379" s="61"/>
      <c r="H2379" s="61"/>
      <c r="I2379" s="61" t="s">
        <v>39</v>
      </c>
      <c r="J2379" s="61"/>
      <c r="K2379" s="61" t="s">
        <v>328</v>
      </c>
      <c r="L2379" s="61"/>
      <c r="M2379" s="61"/>
      <c r="N2379" s="61"/>
      <c r="O2379" s="61"/>
      <c r="P2379" s="61"/>
      <c r="Q2379" s="61"/>
      <c r="R2379" s="61" t="str">
        <f t="shared" si="165"/>
        <v/>
      </c>
      <c r="S2379" s="61" t="str">
        <f t="shared" si="166"/>
        <v/>
      </c>
      <c r="T2379" s="61" t="str">
        <f t="shared" si="167"/>
        <v/>
      </c>
      <c r="U2379" s="61" t="str">
        <f t="shared" si="168"/>
        <v/>
      </c>
      <c r="V2379" s="61"/>
      <c r="W2379" s="61"/>
      <c r="X2379" s="61"/>
      <c r="Y2379" s="61"/>
      <c r="Z2379" s="61"/>
      <c r="AA2379" s="61"/>
      <c r="AB2379" s="61"/>
    </row>
    <row r="2380" spans="1:28" s="2" customFormat="1" ht="28.5">
      <c r="A2380" s="61" t="s">
        <v>779</v>
      </c>
      <c r="B2380" s="61" t="s">
        <v>1469</v>
      </c>
      <c r="C2380" s="61" t="s">
        <v>5817</v>
      </c>
      <c r="D2380" s="61" t="s">
        <v>159</v>
      </c>
      <c r="E2380" s="61">
        <v>2419</v>
      </c>
      <c r="F2380" s="61">
        <v>2694</v>
      </c>
      <c r="G2380" s="61">
        <v>2025</v>
      </c>
      <c r="H2380" s="61" t="s">
        <v>3127</v>
      </c>
      <c r="I2380" s="61" t="s">
        <v>5783</v>
      </c>
      <c r="J2380" s="61"/>
      <c r="K2380" s="61" t="s">
        <v>328</v>
      </c>
      <c r="L2380" s="61" t="s">
        <v>9066</v>
      </c>
      <c r="M2380" s="475">
        <v>45895</v>
      </c>
      <c r="N2380" s="475">
        <v>45902</v>
      </c>
      <c r="O2380" s="61"/>
      <c r="P2380" s="475">
        <v>45908</v>
      </c>
      <c r="Q2380" s="475">
        <v>45908</v>
      </c>
      <c r="R2380" s="61">
        <f t="shared" si="165"/>
        <v>5</v>
      </c>
      <c r="S2380" s="61" t="str">
        <f t="shared" si="166"/>
        <v/>
      </c>
      <c r="T2380" s="61">
        <f t="shared" si="167"/>
        <v>4</v>
      </c>
      <c r="U2380" s="61">
        <f t="shared" si="168"/>
        <v>1</v>
      </c>
      <c r="V2380" s="61" t="s">
        <v>150</v>
      </c>
      <c r="W2380" s="61" t="s">
        <v>1078</v>
      </c>
      <c r="X2380" s="61" t="s">
        <v>50</v>
      </c>
      <c r="Y2380" s="61" t="s">
        <v>9067</v>
      </c>
      <c r="Z2380" s="61" t="s">
        <v>9068</v>
      </c>
      <c r="AA2380" s="61" t="s">
        <v>8492</v>
      </c>
      <c r="AB2380" s="61" t="s">
        <v>8801</v>
      </c>
    </row>
    <row r="2381" spans="1:28" s="2" customFormat="1" ht="28.5">
      <c r="A2381" s="61" t="s">
        <v>779</v>
      </c>
      <c r="B2381" s="61" t="s">
        <v>1469</v>
      </c>
      <c r="C2381" s="61" t="s">
        <v>5863</v>
      </c>
      <c r="D2381" s="61" t="s">
        <v>159</v>
      </c>
      <c r="E2381" s="61">
        <v>1001</v>
      </c>
      <c r="F2381" s="61">
        <v>1025</v>
      </c>
      <c r="G2381" s="61">
        <v>2025</v>
      </c>
      <c r="H2381" s="61" t="s">
        <v>3127</v>
      </c>
      <c r="I2381" s="61" t="s">
        <v>5783</v>
      </c>
      <c r="J2381" s="61"/>
      <c r="K2381" s="61" t="s">
        <v>328</v>
      </c>
      <c r="L2381" s="61" t="s">
        <v>9066</v>
      </c>
      <c r="M2381" s="475">
        <v>45895</v>
      </c>
      <c r="N2381" s="475">
        <v>45902</v>
      </c>
      <c r="O2381" s="61"/>
      <c r="P2381" s="475">
        <v>45908</v>
      </c>
      <c r="Q2381" s="475">
        <v>45908</v>
      </c>
      <c r="R2381" s="61">
        <f t="shared" si="165"/>
        <v>5</v>
      </c>
      <c r="S2381" s="61" t="str">
        <f t="shared" si="166"/>
        <v/>
      </c>
      <c r="T2381" s="61">
        <f t="shared" si="167"/>
        <v>4</v>
      </c>
      <c r="U2381" s="61">
        <f t="shared" si="168"/>
        <v>1</v>
      </c>
      <c r="V2381" s="61" t="s">
        <v>150</v>
      </c>
      <c r="W2381" s="61" t="s">
        <v>1078</v>
      </c>
      <c r="X2381" s="61" t="s">
        <v>50</v>
      </c>
      <c r="Y2381" s="61" t="s">
        <v>9069</v>
      </c>
      <c r="Z2381" s="61" t="s">
        <v>9070</v>
      </c>
      <c r="AA2381" s="61" t="s">
        <v>8492</v>
      </c>
      <c r="AB2381" s="61" t="s">
        <v>8801</v>
      </c>
    </row>
    <row r="2382" spans="1:28" s="2" customFormat="1" ht="28.5">
      <c r="A2382" s="61" t="s">
        <v>779</v>
      </c>
      <c r="B2382" s="61" t="s">
        <v>1469</v>
      </c>
      <c r="C2382" s="61" t="s">
        <v>1180</v>
      </c>
      <c r="D2382" s="61" t="s">
        <v>159</v>
      </c>
      <c r="E2382" s="61">
        <v>1232</v>
      </c>
      <c r="F2382" s="61">
        <v>1287</v>
      </c>
      <c r="G2382" s="61">
        <v>2025</v>
      </c>
      <c r="H2382" s="61" t="s">
        <v>3127</v>
      </c>
      <c r="I2382" s="61" t="s">
        <v>5783</v>
      </c>
      <c r="J2382" s="61"/>
      <c r="K2382" s="61" t="s">
        <v>328</v>
      </c>
      <c r="L2382" s="61" t="s">
        <v>9066</v>
      </c>
      <c r="M2382" s="475">
        <v>45895</v>
      </c>
      <c r="N2382" s="475">
        <v>45902</v>
      </c>
      <c r="O2382" s="61"/>
      <c r="P2382" s="475">
        <v>45908</v>
      </c>
      <c r="Q2382" s="475">
        <v>45908</v>
      </c>
      <c r="R2382" s="61">
        <f t="shared" si="165"/>
        <v>5</v>
      </c>
      <c r="S2382" s="61" t="str">
        <f t="shared" si="166"/>
        <v/>
      </c>
      <c r="T2382" s="61">
        <f t="shared" si="167"/>
        <v>4</v>
      </c>
      <c r="U2382" s="61">
        <f t="shared" si="168"/>
        <v>1</v>
      </c>
      <c r="V2382" s="61" t="s">
        <v>150</v>
      </c>
      <c r="W2382" s="61" t="s">
        <v>1078</v>
      </c>
      <c r="X2382" s="61" t="s">
        <v>50</v>
      </c>
      <c r="Y2382" s="61" t="s">
        <v>9071</v>
      </c>
      <c r="Z2382" s="61" t="s">
        <v>9072</v>
      </c>
      <c r="AA2382" s="61" t="s">
        <v>8492</v>
      </c>
      <c r="AB2382" s="61" t="s">
        <v>8801</v>
      </c>
    </row>
    <row r="2383" spans="1:28" s="2" customFormat="1" ht="28.5">
      <c r="A2383" s="61" t="s">
        <v>779</v>
      </c>
      <c r="B2383" s="61" t="s">
        <v>1469</v>
      </c>
      <c r="C2383" s="61" t="s">
        <v>5820</v>
      </c>
      <c r="D2383" s="61" t="s">
        <v>159</v>
      </c>
      <c r="E2383" s="61">
        <v>2748</v>
      </c>
      <c r="F2383" s="61">
        <v>3075</v>
      </c>
      <c r="G2383" s="61">
        <v>2025</v>
      </c>
      <c r="H2383" s="61" t="s">
        <v>3127</v>
      </c>
      <c r="I2383" s="61" t="s">
        <v>5783</v>
      </c>
      <c r="J2383" s="61"/>
      <c r="K2383" s="61" t="s">
        <v>328</v>
      </c>
      <c r="L2383" s="61" t="s">
        <v>9066</v>
      </c>
      <c r="M2383" s="475">
        <v>45895</v>
      </c>
      <c r="N2383" s="475">
        <v>45902</v>
      </c>
      <c r="O2383" s="61"/>
      <c r="P2383" s="475">
        <v>45908</v>
      </c>
      <c r="Q2383" s="475">
        <v>45908</v>
      </c>
      <c r="R2383" s="61">
        <f t="shared" si="165"/>
        <v>5</v>
      </c>
      <c r="S2383" s="61" t="str">
        <f t="shared" si="166"/>
        <v/>
      </c>
      <c r="T2383" s="61">
        <f t="shared" si="167"/>
        <v>4</v>
      </c>
      <c r="U2383" s="61">
        <f t="shared" si="168"/>
        <v>1</v>
      </c>
      <c r="V2383" s="61" t="s">
        <v>150</v>
      </c>
      <c r="W2383" s="61" t="s">
        <v>3527</v>
      </c>
      <c r="X2383" s="61" t="s">
        <v>3528</v>
      </c>
      <c r="Y2383" s="61" t="s">
        <v>69</v>
      </c>
      <c r="Z2383" s="61" t="s">
        <v>69</v>
      </c>
      <c r="AA2383" s="61" t="s">
        <v>8492</v>
      </c>
      <c r="AB2383" s="61" t="s">
        <v>8801</v>
      </c>
    </row>
    <row r="2384" spans="1:28" s="2" customFormat="1" ht="15">
      <c r="A2384" s="61" t="s">
        <v>779</v>
      </c>
      <c r="B2384" s="61" t="s">
        <v>1469</v>
      </c>
      <c r="C2384" s="61" t="s">
        <v>5830</v>
      </c>
      <c r="D2384" s="61" t="s">
        <v>159</v>
      </c>
      <c r="E2384" s="61">
        <v>2564</v>
      </c>
      <c r="F2384" s="61">
        <v>2490</v>
      </c>
      <c r="G2384" s="61">
        <v>2025</v>
      </c>
      <c r="H2384" s="61" t="s">
        <v>3470</v>
      </c>
      <c r="I2384" s="61" t="s">
        <v>5783</v>
      </c>
      <c r="J2384" s="61"/>
      <c r="K2384" s="61" t="s">
        <v>328</v>
      </c>
      <c r="L2384" s="61" t="s">
        <v>9073</v>
      </c>
      <c r="M2384" s="475">
        <v>45758</v>
      </c>
      <c r="N2384" s="475">
        <v>45760</v>
      </c>
      <c r="O2384" s="61"/>
      <c r="P2384" s="475">
        <v>45761</v>
      </c>
      <c r="Q2384" s="475">
        <v>45761</v>
      </c>
      <c r="R2384" s="61">
        <f t="shared" si="165"/>
        <v>1</v>
      </c>
      <c r="S2384" s="61" t="str">
        <f t="shared" si="166"/>
        <v/>
      </c>
      <c r="T2384" s="61">
        <f t="shared" si="167"/>
        <v>1</v>
      </c>
      <c r="U2384" s="61">
        <f t="shared" si="168"/>
        <v>1</v>
      </c>
      <c r="V2384" s="61" t="s">
        <v>150</v>
      </c>
      <c r="W2384" s="61" t="s">
        <v>4</v>
      </c>
      <c r="X2384" s="61" t="s">
        <v>50</v>
      </c>
      <c r="Y2384" s="61">
        <v>15.690384760000001</v>
      </c>
      <c r="Z2384" s="61">
        <v>129.41857766999999</v>
      </c>
      <c r="AA2384" s="61" t="s">
        <v>8361</v>
      </c>
      <c r="AB2384" s="61"/>
    </row>
    <row r="2385" spans="1:28" s="2" customFormat="1" ht="15">
      <c r="A2385" s="61" t="s">
        <v>779</v>
      </c>
      <c r="B2385" s="61" t="s">
        <v>1469</v>
      </c>
      <c r="C2385" s="61" t="s">
        <v>5893</v>
      </c>
      <c r="D2385" s="61" t="s">
        <v>159</v>
      </c>
      <c r="E2385" s="61">
        <v>1451</v>
      </c>
      <c r="F2385" s="61">
        <v>1666</v>
      </c>
      <c r="G2385" s="61">
        <v>2025</v>
      </c>
      <c r="H2385" s="61" t="s">
        <v>3470</v>
      </c>
      <c r="I2385" s="61" t="s">
        <v>5783</v>
      </c>
      <c r="J2385" s="61"/>
      <c r="K2385" s="61" t="s">
        <v>328</v>
      </c>
      <c r="L2385" s="61" t="s">
        <v>9074</v>
      </c>
      <c r="M2385" s="475">
        <v>45758</v>
      </c>
      <c r="N2385" s="475">
        <v>45760</v>
      </c>
      <c r="O2385" s="61"/>
      <c r="P2385" s="475">
        <v>45761</v>
      </c>
      <c r="Q2385" s="475">
        <v>45761</v>
      </c>
      <c r="R2385" s="61">
        <f t="shared" si="165"/>
        <v>1</v>
      </c>
      <c r="S2385" s="61" t="str">
        <f t="shared" si="166"/>
        <v/>
      </c>
      <c r="T2385" s="61">
        <f t="shared" si="167"/>
        <v>1</v>
      </c>
      <c r="U2385" s="61">
        <f t="shared" si="168"/>
        <v>1</v>
      </c>
      <c r="V2385" s="61" t="s">
        <v>150</v>
      </c>
      <c r="W2385" s="61" t="s">
        <v>4</v>
      </c>
      <c r="X2385" s="61" t="s">
        <v>50</v>
      </c>
      <c r="Y2385" s="61">
        <v>15.70362836</v>
      </c>
      <c r="Z2385" s="61" t="s">
        <v>9075</v>
      </c>
      <c r="AA2385" s="61" t="s">
        <v>8361</v>
      </c>
      <c r="AB2385" s="61"/>
    </row>
    <row r="2386" spans="1:28" s="2" customFormat="1" ht="15">
      <c r="A2386" s="61" t="s">
        <v>779</v>
      </c>
      <c r="B2386" s="61" t="s">
        <v>1469</v>
      </c>
      <c r="C2386" s="61" t="s">
        <v>5898</v>
      </c>
      <c r="D2386" s="61" t="s">
        <v>159</v>
      </c>
      <c r="E2386" s="61">
        <v>1436</v>
      </c>
      <c r="F2386" s="61">
        <v>1509</v>
      </c>
      <c r="G2386" s="61">
        <v>2025</v>
      </c>
      <c r="H2386" s="61" t="s">
        <v>3470</v>
      </c>
      <c r="I2386" s="61" t="s">
        <v>5783</v>
      </c>
      <c r="J2386" s="61"/>
      <c r="K2386" s="61" t="s">
        <v>328</v>
      </c>
      <c r="L2386" s="61" t="s">
        <v>9076</v>
      </c>
      <c r="M2386" s="475">
        <v>45758</v>
      </c>
      <c r="N2386" s="475">
        <v>45760</v>
      </c>
      <c r="O2386" s="61"/>
      <c r="P2386" s="475">
        <v>45761</v>
      </c>
      <c r="Q2386" s="475">
        <v>45761</v>
      </c>
      <c r="R2386" s="61">
        <f t="shared" si="165"/>
        <v>1</v>
      </c>
      <c r="S2386" s="61" t="str">
        <f t="shared" si="166"/>
        <v/>
      </c>
      <c r="T2386" s="61">
        <f t="shared" si="167"/>
        <v>1</v>
      </c>
      <c r="U2386" s="61">
        <f t="shared" si="168"/>
        <v>1</v>
      </c>
      <c r="V2386" s="61" t="s">
        <v>150</v>
      </c>
      <c r="W2386" s="61" t="s">
        <v>4</v>
      </c>
      <c r="X2386" s="61" t="s">
        <v>50</v>
      </c>
      <c r="Y2386" s="61">
        <v>15.6765147</v>
      </c>
      <c r="Z2386" s="61">
        <v>120.41466934</v>
      </c>
      <c r="AA2386" s="61" t="s">
        <v>8361</v>
      </c>
      <c r="AB2386" s="61"/>
    </row>
    <row r="2387" spans="1:28" s="2" customFormat="1" ht="15">
      <c r="A2387" s="61" t="s">
        <v>779</v>
      </c>
      <c r="B2387" s="61" t="s">
        <v>1469</v>
      </c>
      <c r="C2387" s="61" t="s">
        <v>5812</v>
      </c>
      <c r="D2387" s="61" t="s">
        <v>159</v>
      </c>
      <c r="E2387" s="61">
        <v>704</v>
      </c>
      <c r="F2387" s="61">
        <v>769</v>
      </c>
      <c r="G2387" s="61">
        <v>2025</v>
      </c>
      <c r="H2387" s="61" t="s">
        <v>3532</v>
      </c>
      <c r="I2387" s="61" t="s">
        <v>5783</v>
      </c>
      <c r="J2387" s="61"/>
      <c r="K2387" s="61" t="s">
        <v>328</v>
      </c>
      <c r="L2387" s="61" t="s">
        <v>9077</v>
      </c>
      <c r="M2387" s="475">
        <v>45790</v>
      </c>
      <c r="N2387" s="475">
        <v>45792</v>
      </c>
      <c r="O2387" s="61"/>
      <c r="P2387" s="475">
        <v>45793</v>
      </c>
      <c r="Q2387" s="475">
        <v>45793</v>
      </c>
      <c r="R2387" s="61">
        <f t="shared" si="165"/>
        <v>2</v>
      </c>
      <c r="S2387" s="61" t="str">
        <f t="shared" si="166"/>
        <v/>
      </c>
      <c r="T2387" s="61">
        <f t="shared" si="167"/>
        <v>1</v>
      </c>
      <c r="U2387" s="61">
        <f t="shared" si="168"/>
        <v>1</v>
      </c>
      <c r="V2387" s="61" t="s">
        <v>150</v>
      </c>
      <c r="W2387" s="61" t="s">
        <v>1078</v>
      </c>
      <c r="X2387" s="61" t="s">
        <v>50</v>
      </c>
      <c r="Y2387" s="61" t="s">
        <v>9078</v>
      </c>
      <c r="Z2387" s="61" t="s">
        <v>9079</v>
      </c>
      <c r="AA2387" s="61" t="s">
        <v>8361</v>
      </c>
      <c r="AB2387" s="61"/>
    </row>
    <row r="2388" spans="1:28" s="2" customFormat="1" ht="15">
      <c r="A2388" s="61" t="s">
        <v>779</v>
      </c>
      <c r="B2388" s="61" t="s">
        <v>1469</v>
      </c>
      <c r="C2388" s="61" t="s">
        <v>5814</v>
      </c>
      <c r="D2388" s="61" t="s">
        <v>159</v>
      </c>
      <c r="E2388" s="61">
        <v>864</v>
      </c>
      <c r="F2388" s="61">
        <v>864</v>
      </c>
      <c r="G2388" s="61">
        <v>2025</v>
      </c>
      <c r="H2388" s="61" t="s">
        <v>3532</v>
      </c>
      <c r="I2388" s="61" t="s">
        <v>5783</v>
      </c>
      <c r="J2388" s="61"/>
      <c r="K2388" s="61" t="s">
        <v>328</v>
      </c>
      <c r="L2388" s="61" t="s">
        <v>9080</v>
      </c>
      <c r="M2388" s="475">
        <v>45790</v>
      </c>
      <c r="N2388" s="475">
        <v>45792</v>
      </c>
      <c r="O2388" s="61"/>
      <c r="P2388" s="475">
        <v>45793</v>
      </c>
      <c r="Q2388" s="475">
        <v>45793</v>
      </c>
      <c r="R2388" s="61">
        <f t="shared" si="165"/>
        <v>2</v>
      </c>
      <c r="S2388" s="61" t="str">
        <f t="shared" si="166"/>
        <v/>
      </c>
      <c r="T2388" s="61">
        <f t="shared" si="167"/>
        <v>1</v>
      </c>
      <c r="U2388" s="61">
        <f t="shared" si="168"/>
        <v>1</v>
      </c>
      <c r="V2388" s="61" t="s">
        <v>150</v>
      </c>
      <c r="W2388" s="61" t="s">
        <v>1078</v>
      </c>
      <c r="X2388" s="61" t="s">
        <v>50</v>
      </c>
      <c r="Y2388" s="61" t="s">
        <v>9081</v>
      </c>
      <c r="Z2388" s="61" t="s">
        <v>9082</v>
      </c>
      <c r="AA2388" s="61" t="s">
        <v>8361</v>
      </c>
      <c r="AB2388" s="61"/>
    </row>
    <row r="2389" spans="1:28" s="2" customFormat="1" ht="28.5">
      <c r="A2389" s="61" t="s">
        <v>779</v>
      </c>
      <c r="B2389" s="61" t="s">
        <v>1469</v>
      </c>
      <c r="C2389" s="61" t="s">
        <v>5818</v>
      </c>
      <c r="D2389" s="61" t="s">
        <v>159</v>
      </c>
      <c r="E2389" s="61">
        <v>978</v>
      </c>
      <c r="F2389" s="61">
        <v>1079</v>
      </c>
      <c r="G2389" s="61">
        <v>2025</v>
      </c>
      <c r="H2389" s="61" t="s">
        <v>3126</v>
      </c>
      <c r="I2389" s="61" t="s">
        <v>5783</v>
      </c>
      <c r="J2389" s="61"/>
      <c r="K2389" s="61" t="s">
        <v>328</v>
      </c>
      <c r="L2389" s="61" t="s">
        <v>9083</v>
      </c>
      <c r="M2389" s="475">
        <v>45881</v>
      </c>
      <c r="N2389" s="475">
        <v>45884</v>
      </c>
      <c r="O2389" s="61"/>
      <c r="P2389" s="475">
        <v>45887</v>
      </c>
      <c r="Q2389" s="475">
        <v>45888</v>
      </c>
      <c r="R2389" s="61">
        <f t="shared" si="165"/>
        <v>3</v>
      </c>
      <c r="S2389" s="61" t="str">
        <f t="shared" si="166"/>
        <v/>
      </c>
      <c r="T2389" s="61">
        <f t="shared" si="167"/>
        <v>1</v>
      </c>
      <c r="U2389" s="61">
        <f t="shared" si="168"/>
        <v>1</v>
      </c>
      <c r="V2389" s="61" t="s">
        <v>150</v>
      </c>
      <c r="W2389" s="61" t="s">
        <v>1078</v>
      </c>
      <c r="X2389" s="61" t="s">
        <v>50</v>
      </c>
      <c r="Y2389" s="560" t="s">
        <v>9084</v>
      </c>
      <c r="Z2389" s="61" t="s">
        <v>9085</v>
      </c>
      <c r="AA2389" s="61" t="s">
        <v>8492</v>
      </c>
      <c r="AB2389" s="61" t="s">
        <v>8801</v>
      </c>
    </row>
    <row r="2390" spans="1:28" s="2" customFormat="1" ht="28.5">
      <c r="A2390" s="61" t="s">
        <v>779</v>
      </c>
      <c r="B2390" s="61" t="s">
        <v>1469</v>
      </c>
      <c r="C2390" s="61" t="s">
        <v>5822</v>
      </c>
      <c r="D2390" s="61" t="s">
        <v>159</v>
      </c>
      <c r="E2390" s="61">
        <v>2584</v>
      </c>
      <c r="F2390" s="61">
        <v>2627</v>
      </c>
      <c r="G2390" s="61">
        <v>2025</v>
      </c>
      <c r="H2390" s="61" t="s">
        <v>3126</v>
      </c>
      <c r="I2390" s="61" t="s">
        <v>5783</v>
      </c>
      <c r="J2390" s="61"/>
      <c r="K2390" s="61" t="s">
        <v>328</v>
      </c>
      <c r="L2390" s="61" t="s">
        <v>9086</v>
      </c>
      <c r="M2390" s="475">
        <v>45874</v>
      </c>
      <c r="N2390" s="475">
        <v>45876</v>
      </c>
      <c r="O2390" s="61"/>
      <c r="P2390" s="475">
        <v>45880</v>
      </c>
      <c r="Q2390" s="475">
        <v>45882</v>
      </c>
      <c r="R2390" s="61">
        <f t="shared" si="165"/>
        <v>2</v>
      </c>
      <c r="S2390" s="61" t="str">
        <f t="shared" si="166"/>
        <v/>
      </c>
      <c r="T2390" s="61">
        <f t="shared" si="167"/>
        <v>2</v>
      </c>
      <c r="U2390" s="61">
        <f t="shared" si="168"/>
        <v>2</v>
      </c>
      <c r="V2390" s="61" t="s">
        <v>150</v>
      </c>
      <c r="W2390" s="61" t="s">
        <v>1078</v>
      </c>
      <c r="X2390" s="61" t="s">
        <v>50</v>
      </c>
      <c r="Y2390" s="61" t="s">
        <v>9087</v>
      </c>
      <c r="Z2390" s="61" t="s">
        <v>9088</v>
      </c>
      <c r="AA2390" s="61" t="s">
        <v>8492</v>
      </c>
      <c r="AB2390" s="61"/>
    </row>
    <row r="2391" spans="1:28" s="2" customFormat="1" ht="28.5">
      <c r="A2391" s="61" t="s">
        <v>779</v>
      </c>
      <c r="B2391" s="61" t="s">
        <v>1469</v>
      </c>
      <c r="C2391" s="61" t="s">
        <v>5824</v>
      </c>
      <c r="D2391" s="61" t="s">
        <v>159</v>
      </c>
      <c r="E2391" s="61">
        <v>1320</v>
      </c>
      <c r="F2391" s="61">
        <v>1319</v>
      </c>
      <c r="G2391" s="61">
        <v>2025</v>
      </c>
      <c r="H2391" s="61" t="s">
        <v>3126</v>
      </c>
      <c r="I2391" s="61" t="s">
        <v>5783</v>
      </c>
      <c r="J2391" s="61"/>
      <c r="K2391" s="61" t="s">
        <v>328</v>
      </c>
      <c r="L2391" s="61" t="s">
        <v>9089</v>
      </c>
      <c r="M2391" s="475">
        <v>45874</v>
      </c>
      <c r="N2391" s="475">
        <v>45876</v>
      </c>
      <c r="O2391" s="61"/>
      <c r="P2391" s="475">
        <v>45880</v>
      </c>
      <c r="Q2391" s="475">
        <v>45882</v>
      </c>
      <c r="R2391" s="61">
        <f t="shared" si="165"/>
        <v>2</v>
      </c>
      <c r="S2391" s="61" t="str">
        <f t="shared" si="166"/>
        <v/>
      </c>
      <c r="T2391" s="61">
        <f t="shared" si="167"/>
        <v>2</v>
      </c>
      <c r="U2391" s="61">
        <f t="shared" si="168"/>
        <v>2</v>
      </c>
      <c r="V2391" s="61" t="s">
        <v>150</v>
      </c>
      <c r="W2391" s="61" t="s">
        <v>1078</v>
      </c>
      <c r="X2391" s="61" t="s">
        <v>50</v>
      </c>
      <c r="Y2391" s="61" t="s">
        <v>9090</v>
      </c>
      <c r="Z2391" s="61" t="s">
        <v>9091</v>
      </c>
      <c r="AA2391" s="61" t="s">
        <v>8492</v>
      </c>
      <c r="AB2391" s="61"/>
    </row>
    <row r="2392" spans="1:28" s="2" customFormat="1" ht="28.5">
      <c r="A2392" s="61" t="s">
        <v>779</v>
      </c>
      <c r="B2392" s="61" t="s">
        <v>1469</v>
      </c>
      <c r="C2392" s="61" t="s">
        <v>5826</v>
      </c>
      <c r="D2392" s="61" t="s">
        <v>159</v>
      </c>
      <c r="E2392" s="61">
        <v>710</v>
      </c>
      <c r="F2392" s="61">
        <v>723</v>
      </c>
      <c r="G2392" s="61">
        <v>2025</v>
      </c>
      <c r="H2392" s="61" t="s">
        <v>3126</v>
      </c>
      <c r="I2392" s="61" t="s">
        <v>5783</v>
      </c>
      <c r="J2392" s="61"/>
      <c r="K2392" s="61" t="s">
        <v>328</v>
      </c>
      <c r="L2392" s="61" t="s">
        <v>9092</v>
      </c>
      <c r="M2392" s="475">
        <v>45874</v>
      </c>
      <c r="N2392" s="475">
        <v>45876</v>
      </c>
      <c r="O2392" s="61"/>
      <c r="P2392" s="475">
        <v>45880</v>
      </c>
      <c r="Q2392" s="475">
        <v>45882</v>
      </c>
      <c r="R2392" s="61">
        <f t="shared" si="165"/>
        <v>2</v>
      </c>
      <c r="S2392" s="61" t="str">
        <f t="shared" si="166"/>
        <v/>
      </c>
      <c r="T2392" s="61">
        <f t="shared" ref="T2392:T2424" si="169">IF(
  OR(A2392 = "Nueva_Ecija", A2392 = "Zambales"),
  IF(
    OR(ISBLANK(O2392), ISBLANK(P2392)),
    "",
    MAX(1, IF(
      NETWORKDAYS(O2392, P2392) &lt;= 0,
      1,
      NETWORKDAYS(O2392, P2392) - IF(O2392 = P2392, 0, 1)
    ))
  ),
  IF(
    OR(ISBLANK(N2392), ISBLANK(P2392)),
    "",
    MAX(1, IF(
      NETWORKDAYS(N2392, P2392) &lt;= 0,
      1,
      NETWORKDAYS(N2392, P2392) - IF(N2392 = P2392, 0, 1)
    ))
  )
)</f>
        <v>2</v>
      </c>
      <c r="U2392" s="61">
        <f t="shared" ref="U2392:U2424" si="170">IF(
    OR(ISBLANK(P2392), ISBLANK(Q2392)),
    "",
    MAX(1, IF(
        NETWORKDAYS(P2392, Q2392) &lt;= 0,
        1,
        NETWORKDAYS(P2392, Q2392) - IF(P2392 = Q2392, 0, 1)
    ))
)</f>
        <v>2</v>
      </c>
      <c r="V2392" s="61" t="s">
        <v>150</v>
      </c>
      <c r="W2392" s="61" t="s">
        <v>1078</v>
      </c>
      <c r="X2392" s="61" t="s">
        <v>50</v>
      </c>
      <c r="Y2392" s="61" t="s">
        <v>9093</v>
      </c>
      <c r="Z2392" s="61" t="s">
        <v>9094</v>
      </c>
      <c r="AA2392" s="61" t="s">
        <v>8492</v>
      </c>
      <c r="AB2392" s="61"/>
    </row>
    <row r="2393" spans="1:28" s="2" customFormat="1" ht="15">
      <c r="A2393" s="61" t="s">
        <v>779</v>
      </c>
      <c r="B2393" s="61" t="s">
        <v>1469</v>
      </c>
      <c r="C2393" s="61" t="s">
        <v>5828</v>
      </c>
      <c r="D2393" s="61" t="s">
        <v>159</v>
      </c>
      <c r="E2393" s="61">
        <v>961</v>
      </c>
      <c r="F2393" s="61">
        <v>1057</v>
      </c>
      <c r="G2393" s="61">
        <v>2025</v>
      </c>
      <c r="H2393" s="61" t="s">
        <v>3125</v>
      </c>
      <c r="I2393" s="61" t="s">
        <v>5783</v>
      </c>
      <c r="J2393" s="61"/>
      <c r="K2393" s="61" t="s">
        <v>328</v>
      </c>
      <c r="L2393" s="61" t="s">
        <v>9095</v>
      </c>
      <c r="M2393" s="475">
        <v>45846</v>
      </c>
      <c r="N2393" s="475">
        <v>45849</v>
      </c>
      <c r="O2393" s="475"/>
      <c r="P2393" s="475">
        <v>45853</v>
      </c>
      <c r="Q2393" s="475">
        <v>45853</v>
      </c>
      <c r="R2393" s="61">
        <f t="shared" si="165"/>
        <v>3</v>
      </c>
      <c r="S2393" s="61" t="str">
        <f t="shared" si="166"/>
        <v/>
      </c>
      <c r="T2393" s="61">
        <f t="shared" si="169"/>
        <v>2</v>
      </c>
      <c r="U2393" s="61">
        <f t="shared" si="170"/>
        <v>1</v>
      </c>
      <c r="V2393" s="61" t="s">
        <v>150</v>
      </c>
      <c r="W2393" s="61" t="s">
        <v>1078</v>
      </c>
      <c r="X2393" s="61" t="s">
        <v>50</v>
      </c>
      <c r="Y2393" s="61" t="s">
        <v>9096</v>
      </c>
      <c r="Z2393" s="61" t="s">
        <v>9097</v>
      </c>
      <c r="AA2393" s="61" t="s">
        <v>8361</v>
      </c>
      <c r="AB2393" s="61"/>
    </row>
    <row r="2394" spans="1:28" s="2" customFormat="1" ht="15">
      <c r="A2394" s="61" t="s">
        <v>779</v>
      </c>
      <c r="B2394" s="61" t="s">
        <v>1469</v>
      </c>
      <c r="C2394" s="61" t="s">
        <v>5832</v>
      </c>
      <c r="D2394" s="61" t="s">
        <v>159</v>
      </c>
      <c r="E2394" s="61">
        <v>2182</v>
      </c>
      <c r="F2394" s="61">
        <v>2275</v>
      </c>
      <c r="G2394" s="61">
        <v>2025</v>
      </c>
      <c r="H2394" s="61" t="s">
        <v>3532</v>
      </c>
      <c r="I2394" s="61" t="s">
        <v>5783</v>
      </c>
      <c r="J2394" s="61"/>
      <c r="K2394" s="61" t="s">
        <v>328</v>
      </c>
      <c r="L2394" s="61" t="s">
        <v>9098</v>
      </c>
      <c r="M2394" s="475">
        <v>45783</v>
      </c>
      <c r="N2394" s="475">
        <v>45784</v>
      </c>
      <c r="O2394" s="61"/>
      <c r="P2394" s="475">
        <v>45790</v>
      </c>
      <c r="Q2394" s="475">
        <v>45792</v>
      </c>
      <c r="R2394" s="61">
        <f t="shared" si="165"/>
        <v>1</v>
      </c>
      <c r="S2394" s="61" t="str">
        <f t="shared" si="166"/>
        <v/>
      </c>
      <c r="T2394" s="61">
        <f t="shared" si="169"/>
        <v>4</v>
      </c>
      <c r="U2394" s="61">
        <f t="shared" si="170"/>
        <v>2</v>
      </c>
      <c r="V2394" s="61" t="s">
        <v>150</v>
      </c>
      <c r="W2394" s="61" t="s">
        <v>1078</v>
      </c>
      <c r="X2394" s="61" t="s">
        <v>50</v>
      </c>
      <c r="Y2394" s="61" t="s">
        <v>9099</v>
      </c>
      <c r="Z2394" s="61" t="s">
        <v>9100</v>
      </c>
      <c r="AA2394" s="61" t="s">
        <v>8361</v>
      </c>
      <c r="AB2394" s="61"/>
    </row>
    <row r="2395" spans="1:28" s="2" customFormat="1" ht="15">
      <c r="A2395" s="61" t="s">
        <v>779</v>
      </c>
      <c r="B2395" s="61" t="s">
        <v>1469</v>
      </c>
      <c r="C2395" s="61" t="s">
        <v>5840</v>
      </c>
      <c r="D2395" s="61" t="s">
        <v>159</v>
      </c>
      <c r="E2395" s="61">
        <v>995</v>
      </c>
      <c r="F2395" s="61">
        <v>1188</v>
      </c>
      <c r="G2395" s="61">
        <v>2025</v>
      </c>
      <c r="H2395" s="61" t="s">
        <v>3532</v>
      </c>
      <c r="I2395" s="61" t="s">
        <v>5783</v>
      </c>
      <c r="J2395" s="61"/>
      <c r="K2395" s="61" t="s">
        <v>328</v>
      </c>
      <c r="L2395" s="61" t="s">
        <v>9101</v>
      </c>
      <c r="M2395" s="475">
        <v>45783</v>
      </c>
      <c r="N2395" s="475">
        <v>45784</v>
      </c>
      <c r="O2395" s="61"/>
      <c r="P2395" s="475">
        <v>45790</v>
      </c>
      <c r="Q2395" s="475">
        <v>45792</v>
      </c>
      <c r="R2395" s="61">
        <f t="shared" si="165"/>
        <v>1</v>
      </c>
      <c r="S2395" s="61" t="str">
        <f t="shared" si="166"/>
        <v/>
      </c>
      <c r="T2395" s="61">
        <f t="shared" si="169"/>
        <v>4</v>
      </c>
      <c r="U2395" s="61">
        <f t="shared" si="170"/>
        <v>2</v>
      </c>
      <c r="V2395" s="61" t="s">
        <v>150</v>
      </c>
      <c r="W2395" s="61" t="s">
        <v>1078</v>
      </c>
      <c r="X2395" s="61" t="s">
        <v>50</v>
      </c>
      <c r="Y2395" s="61" t="s">
        <v>9102</v>
      </c>
      <c r="Z2395" s="61" t="s">
        <v>9103</v>
      </c>
      <c r="AA2395" s="61" t="s">
        <v>8361</v>
      </c>
      <c r="AB2395" s="61"/>
    </row>
    <row r="2396" spans="1:28" s="2" customFormat="1" ht="15">
      <c r="A2396" s="61" t="s">
        <v>779</v>
      </c>
      <c r="B2396" s="61" t="s">
        <v>1469</v>
      </c>
      <c r="C2396" s="61" t="s">
        <v>5842</v>
      </c>
      <c r="D2396" s="61" t="s">
        <v>159</v>
      </c>
      <c r="E2396" s="61">
        <v>2426</v>
      </c>
      <c r="F2396" s="61">
        <v>2561</v>
      </c>
      <c r="G2396" s="61">
        <v>2025</v>
      </c>
      <c r="H2396" s="61" t="s">
        <v>3532</v>
      </c>
      <c r="I2396" s="61" t="s">
        <v>5783</v>
      </c>
      <c r="J2396" s="61"/>
      <c r="K2396" s="61" t="s">
        <v>328</v>
      </c>
      <c r="L2396" s="61" t="s">
        <v>9104</v>
      </c>
      <c r="M2396" s="475">
        <v>45783</v>
      </c>
      <c r="N2396" s="475">
        <v>45784</v>
      </c>
      <c r="O2396" s="61"/>
      <c r="P2396" s="475">
        <v>45790</v>
      </c>
      <c r="Q2396" s="475">
        <v>45792</v>
      </c>
      <c r="R2396" s="61">
        <f t="shared" si="165"/>
        <v>1</v>
      </c>
      <c r="S2396" s="61" t="str">
        <f t="shared" si="166"/>
        <v/>
      </c>
      <c r="T2396" s="61">
        <f t="shared" si="169"/>
        <v>4</v>
      </c>
      <c r="U2396" s="61">
        <f t="shared" si="170"/>
        <v>2</v>
      </c>
      <c r="V2396" s="61" t="s">
        <v>150</v>
      </c>
      <c r="W2396" s="61" t="s">
        <v>1078</v>
      </c>
      <c r="X2396" s="61" t="s">
        <v>50</v>
      </c>
      <c r="Y2396" s="61" t="s">
        <v>9105</v>
      </c>
      <c r="Z2396" s="61" t="s">
        <v>9106</v>
      </c>
      <c r="AA2396" s="61" t="s">
        <v>8361</v>
      </c>
      <c r="AB2396" s="61"/>
    </row>
    <row r="2397" spans="1:28" s="2" customFormat="1" ht="28.5">
      <c r="A2397" s="61" t="s">
        <v>779</v>
      </c>
      <c r="B2397" s="61" t="s">
        <v>1469</v>
      </c>
      <c r="C2397" s="61" t="s">
        <v>5845</v>
      </c>
      <c r="D2397" s="61" t="s">
        <v>159</v>
      </c>
      <c r="E2397" s="61">
        <v>629</v>
      </c>
      <c r="F2397" s="61">
        <v>608</v>
      </c>
      <c r="G2397" s="61">
        <v>2025</v>
      </c>
      <c r="H2397" s="61" t="s">
        <v>3126</v>
      </c>
      <c r="I2397" s="61" t="s">
        <v>5783</v>
      </c>
      <c r="J2397" s="61"/>
      <c r="K2397" s="61" t="s">
        <v>328</v>
      </c>
      <c r="L2397" s="61" t="s">
        <v>9107</v>
      </c>
      <c r="M2397" s="475">
        <v>45874</v>
      </c>
      <c r="N2397" s="475">
        <v>45876</v>
      </c>
      <c r="O2397" s="61"/>
      <c r="P2397" s="475">
        <v>45880</v>
      </c>
      <c r="Q2397" s="475">
        <v>45882</v>
      </c>
      <c r="R2397" s="61">
        <f t="shared" si="165"/>
        <v>2</v>
      </c>
      <c r="S2397" s="61" t="str">
        <f t="shared" si="166"/>
        <v/>
      </c>
      <c r="T2397" s="61">
        <f t="shared" si="169"/>
        <v>2</v>
      </c>
      <c r="U2397" s="61">
        <f t="shared" si="170"/>
        <v>2</v>
      </c>
      <c r="V2397" s="61" t="s">
        <v>150</v>
      </c>
      <c r="W2397" s="61" t="s">
        <v>1078</v>
      </c>
      <c r="X2397" s="61" t="s">
        <v>50</v>
      </c>
      <c r="Y2397" s="61" t="s">
        <v>9108</v>
      </c>
      <c r="Z2397" s="61" t="s">
        <v>9109</v>
      </c>
      <c r="AA2397" s="61" t="s">
        <v>8492</v>
      </c>
      <c r="AB2397" s="61"/>
    </row>
    <row r="2398" spans="1:28" s="2" customFormat="1" ht="28.5">
      <c r="A2398" s="61" t="s">
        <v>779</v>
      </c>
      <c r="B2398" s="61" t="s">
        <v>1469</v>
      </c>
      <c r="C2398" s="61" t="s">
        <v>5848</v>
      </c>
      <c r="D2398" s="61" t="s">
        <v>159</v>
      </c>
      <c r="E2398" s="61">
        <v>1725</v>
      </c>
      <c r="F2398" s="61">
        <v>1898</v>
      </c>
      <c r="G2398" s="61">
        <v>2025</v>
      </c>
      <c r="H2398" s="61" t="s">
        <v>3126</v>
      </c>
      <c r="I2398" s="61" t="s">
        <v>5783</v>
      </c>
      <c r="J2398" s="61"/>
      <c r="K2398" s="61" t="s">
        <v>328</v>
      </c>
      <c r="L2398" s="61" t="s">
        <v>9083</v>
      </c>
      <c r="M2398" s="475">
        <v>45881</v>
      </c>
      <c r="N2398" s="475">
        <v>45884</v>
      </c>
      <c r="O2398" s="61"/>
      <c r="P2398" s="475">
        <v>45887</v>
      </c>
      <c r="Q2398" s="475">
        <v>45888</v>
      </c>
      <c r="R2398" s="61">
        <f t="shared" si="165"/>
        <v>3</v>
      </c>
      <c r="S2398" s="61" t="str">
        <f t="shared" si="166"/>
        <v/>
      </c>
      <c r="T2398" s="61">
        <f t="shared" si="169"/>
        <v>1</v>
      </c>
      <c r="U2398" s="61">
        <f t="shared" si="170"/>
        <v>1</v>
      </c>
      <c r="V2398" s="61" t="s">
        <v>150</v>
      </c>
      <c r="W2398" s="61" t="s">
        <v>1078</v>
      </c>
      <c r="X2398" s="61" t="s">
        <v>50</v>
      </c>
      <c r="Y2398" s="61" t="s">
        <v>9110</v>
      </c>
      <c r="Z2398" s="61" t="s">
        <v>9111</v>
      </c>
      <c r="AA2398" s="61" t="s">
        <v>8492</v>
      </c>
      <c r="AB2398" s="61" t="s">
        <v>8801</v>
      </c>
    </row>
    <row r="2399" spans="1:28" s="2" customFormat="1" ht="28.5">
      <c r="A2399" s="61" t="s">
        <v>779</v>
      </c>
      <c r="B2399" s="61" t="s">
        <v>1469</v>
      </c>
      <c r="C2399" s="61" t="s">
        <v>5850</v>
      </c>
      <c r="D2399" s="61" t="s">
        <v>159</v>
      </c>
      <c r="E2399" s="61">
        <v>1597</v>
      </c>
      <c r="F2399" s="61">
        <v>1742</v>
      </c>
      <c r="G2399" s="61">
        <v>2025</v>
      </c>
      <c r="H2399" s="61" t="s">
        <v>3126</v>
      </c>
      <c r="I2399" s="61" t="s">
        <v>5783</v>
      </c>
      <c r="J2399" s="61"/>
      <c r="K2399" s="61" t="s">
        <v>328</v>
      </c>
      <c r="L2399" s="61" t="s">
        <v>9083</v>
      </c>
      <c r="M2399" s="475">
        <v>45881</v>
      </c>
      <c r="N2399" s="475">
        <v>45884</v>
      </c>
      <c r="O2399" s="61"/>
      <c r="P2399" s="475">
        <v>45887</v>
      </c>
      <c r="Q2399" s="475">
        <v>45888</v>
      </c>
      <c r="R2399" s="61">
        <f t="shared" si="165"/>
        <v>3</v>
      </c>
      <c r="S2399" s="61" t="str">
        <f t="shared" si="166"/>
        <v/>
      </c>
      <c r="T2399" s="61">
        <f t="shared" si="169"/>
        <v>1</v>
      </c>
      <c r="U2399" s="61">
        <f t="shared" si="170"/>
        <v>1</v>
      </c>
      <c r="V2399" s="61" t="s">
        <v>150</v>
      </c>
      <c r="W2399" s="61" t="s">
        <v>1078</v>
      </c>
      <c r="X2399" s="61" t="s">
        <v>50</v>
      </c>
      <c r="Y2399" s="560" t="s">
        <v>9110</v>
      </c>
      <c r="Z2399" s="61" t="s">
        <v>9111</v>
      </c>
      <c r="AA2399" s="61" t="s">
        <v>8492</v>
      </c>
      <c r="AB2399" s="61" t="s">
        <v>8801</v>
      </c>
    </row>
    <row r="2400" spans="1:28" s="2" customFormat="1" ht="28.5">
      <c r="A2400" s="61" t="s">
        <v>779</v>
      </c>
      <c r="B2400" s="61" t="s">
        <v>1469</v>
      </c>
      <c r="C2400" s="61" t="s">
        <v>5852</v>
      </c>
      <c r="D2400" s="61" t="s">
        <v>159</v>
      </c>
      <c r="E2400" s="61">
        <v>376</v>
      </c>
      <c r="F2400" s="61">
        <v>408</v>
      </c>
      <c r="G2400" s="61">
        <v>2025</v>
      </c>
      <c r="H2400" s="61" t="s">
        <v>3126</v>
      </c>
      <c r="I2400" s="61" t="s">
        <v>5783</v>
      </c>
      <c r="J2400" s="61"/>
      <c r="K2400" s="61" t="s">
        <v>328</v>
      </c>
      <c r="L2400" s="61" t="s">
        <v>9112</v>
      </c>
      <c r="M2400" s="475">
        <v>45874</v>
      </c>
      <c r="N2400" s="481">
        <v>45876</v>
      </c>
      <c r="O2400" s="61"/>
      <c r="P2400" s="475">
        <v>45880</v>
      </c>
      <c r="Q2400" s="475">
        <v>45882</v>
      </c>
      <c r="R2400" s="61">
        <f t="shared" si="165"/>
        <v>2</v>
      </c>
      <c r="S2400" s="61" t="str">
        <f t="shared" si="166"/>
        <v/>
      </c>
      <c r="T2400" s="61">
        <f t="shared" si="169"/>
        <v>2</v>
      </c>
      <c r="U2400" s="61">
        <f t="shared" si="170"/>
        <v>2</v>
      </c>
      <c r="V2400" s="61" t="s">
        <v>150</v>
      </c>
      <c r="W2400" s="61" t="s">
        <v>1078</v>
      </c>
      <c r="X2400" s="61" t="s">
        <v>50</v>
      </c>
      <c r="Y2400" s="61" t="s">
        <v>9113</v>
      </c>
      <c r="Z2400" s="61" t="s">
        <v>9114</v>
      </c>
      <c r="AA2400" s="61" t="s">
        <v>8492</v>
      </c>
      <c r="AB2400" s="61"/>
    </row>
    <row r="2401" spans="1:28" s="2" customFormat="1" ht="28.5">
      <c r="A2401" s="61" t="s">
        <v>779</v>
      </c>
      <c r="B2401" s="61" t="s">
        <v>1469</v>
      </c>
      <c r="C2401" s="61" t="s">
        <v>5854</v>
      </c>
      <c r="D2401" s="61" t="s">
        <v>159</v>
      </c>
      <c r="E2401" s="61">
        <v>1535</v>
      </c>
      <c r="F2401" s="61">
        <v>1546</v>
      </c>
      <c r="G2401" s="61">
        <v>2025</v>
      </c>
      <c r="H2401" s="61" t="s">
        <v>3126</v>
      </c>
      <c r="I2401" s="61" t="s">
        <v>5783</v>
      </c>
      <c r="J2401" s="61"/>
      <c r="K2401" s="61" t="s">
        <v>328</v>
      </c>
      <c r="L2401" s="61" t="s">
        <v>9083</v>
      </c>
      <c r="M2401" s="475">
        <v>45881</v>
      </c>
      <c r="N2401" s="475">
        <v>45884</v>
      </c>
      <c r="O2401" s="61"/>
      <c r="P2401" s="475">
        <v>45887</v>
      </c>
      <c r="Q2401" s="475">
        <v>45888</v>
      </c>
      <c r="R2401" s="61">
        <f t="shared" si="165"/>
        <v>3</v>
      </c>
      <c r="S2401" s="61" t="str">
        <f t="shared" si="166"/>
        <v/>
      </c>
      <c r="T2401" s="61">
        <f t="shared" si="169"/>
        <v>1</v>
      </c>
      <c r="U2401" s="61">
        <f t="shared" si="170"/>
        <v>1</v>
      </c>
      <c r="V2401" s="61" t="s">
        <v>150</v>
      </c>
      <c r="W2401" s="61" t="s">
        <v>1078</v>
      </c>
      <c r="X2401" s="61" t="s">
        <v>50</v>
      </c>
      <c r="Y2401" s="61" t="s">
        <v>9110</v>
      </c>
      <c r="Z2401" s="61" t="s">
        <v>9111</v>
      </c>
      <c r="AA2401" s="61" t="s">
        <v>8492</v>
      </c>
      <c r="AB2401" s="61" t="s">
        <v>8801</v>
      </c>
    </row>
    <row r="2402" spans="1:28" s="2" customFormat="1" ht="15">
      <c r="A2402" s="61" t="s">
        <v>779</v>
      </c>
      <c r="B2402" s="61" t="s">
        <v>1469</v>
      </c>
      <c r="C2402" s="61" t="s">
        <v>5856</v>
      </c>
      <c r="D2402" s="61" t="s">
        <v>159</v>
      </c>
      <c r="E2402" s="61">
        <v>1014</v>
      </c>
      <c r="F2402" s="61">
        <v>1160</v>
      </c>
      <c r="G2402" s="61">
        <v>2025</v>
      </c>
      <c r="H2402" s="61" t="s">
        <v>3470</v>
      </c>
      <c r="I2402" s="61" t="s">
        <v>5783</v>
      </c>
      <c r="J2402" s="61"/>
      <c r="K2402" s="61" t="s">
        <v>328</v>
      </c>
      <c r="L2402" s="61" t="s">
        <v>9115</v>
      </c>
      <c r="M2402" s="475">
        <v>45758</v>
      </c>
      <c r="N2402" s="475">
        <v>45760</v>
      </c>
      <c r="O2402" s="61"/>
      <c r="P2402" s="475">
        <v>45761</v>
      </c>
      <c r="Q2402" s="475">
        <v>45762</v>
      </c>
      <c r="R2402" s="61">
        <f t="shared" si="165"/>
        <v>1</v>
      </c>
      <c r="S2402" s="61" t="str">
        <f t="shared" si="166"/>
        <v/>
      </c>
      <c r="T2402" s="61">
        <f t="shared" si="169"/>
        <v>1</v>
      </c>
      <c r="U2402" s="61">
        <f t="shared" si="170"/>
        <v>1</v>
      </c>
      <c r="V2402" s="61" t="s">
        <v>150</v>
      </c>
      <c r="W2402" s="61" t="s">
        <v>1078</v>
      </c>
      <c r="X2402" s="61" t="s">
        <v>50</v>
      </c>
      <c r="Y2402" s="61">
        <v>15.694959280000001</v>
      </c>
      <c r="Z2402" s="61">
        <v>120.38861928</v>
      </c>
      <c r="AA2402" s="61" t="s">
        <v>8361</v>
      </c>
      <c r="AB2402" s="61"/>
    </row>
    <row r="2403" spans="1:28" s="2" customFormat="1" ht="15">
      <c r="A2403" s="61" t="s">
        <v>779</v>
      </c>
      <c r="B2403" s="61" t="s">
        <v>1469</v>
      </c>
      <c r="C2403" s="61" t="s">
        <v>5858</v>
      </c>
      <c r="D2403" s="61" t="s">
        <v>159</v>
      </c>
      <c r="E2403" s="61">
        <v>3260</v>
      </c>
      <c r="F2403" s="61">
        <v>3476</v>
      </c>
      <c r="G2403" s="61">
        <v>2025</v>
      </c>
      <c r="H2403" s="61" t="s">
        <v>3125</v>
      </c>
      <c r="I2403" s="61" t="s">
        <v>5783</v>
      </c>
      <c r="J2403" s="61"/>
      <c r="K2403" s="61" t="s">
        <v>328</v>
      </c>
      <c r="L2403" s="61" t="s">
        <v>9116</v>
      </c>
      <c r="M2403" s="475">
        <v>45846</v>
      </c>
      <c r="N2403" s="481">
        <v>45849</v>
      </c>
      <c r="O2403" s="475">
        <v>45853</v>
      </c>
      <c r="P2403" s="475">
        <v>45853</v>
      </c>
      <c r="Q2403" s="475">
        <v>45855</v>
      </c>
      <c r="R2403" s="61">
        <f t="shared" si="165"/>
        <v>3</v>
      </c>
      <c r="S2403" s="61">
        <f t="shared" si="166"/>
        <v>2</v>
      </c>
      <c r="T2403" s="61">
        <f t="shared" si="169"/>
        <v>2</v>
      </c>
      <c r="U2403" s="61">
        <f t="shared" si="170"/>
        <v>2</v>
      </c>
      <c r="V2403" s="61" t="s">
        <v>150</v>
      </c>
      <c r="W2403" s="61" t="s">
        <v>1078</v>
      </c>
      <c r="X2403" s="61" t="s">
        <v>50</v>
      </c>
      <c r="Y2403" s="61" t="s">
        <v>9117</v>
      </c>
      <c r="Z2403" s="61" t="s">
        <v>9118</v>
      </c>
      <c r="AA2403" s="61" t="s">
        <v>8361</v>
      </c>
      <c r="AB2403" s="61"/>
    </row>
    <row r="2404" spans="1:28" s="2" customFormat="1" ht="15">
      <c r="A2404" s="61" t="s">
        <v>779</v>
      </c>
      <c r="B2404" s="61" t="s">
        <v>1469</v>
      </c>
      <c r="C2404" s="61" t="s">
        <v>5860</v>
      </c>
      <c r="D2404" s="61" t="s">
        <v>159</v>
      </c>
      <c r="E2404" s="61">
        <v>1066</v>
      </c>
      <c r="F2404" s="61">
        <v>1182</v>
      </c>
      <c r="G2404" s="61">
        <v>2025</v>
      </c>
      <c r="H2404" s="61" t="s">
        <v>3458</v>
      </c>
      <c r="I2404" s="61" t="s">
        <v>5783</v>
      </c>
      <c r="J2404" s="61"/>
      <c r="K2404" s="61" t="s">
        <v>328</v>
      </c>
      <c r="L2404" s="61" t="s">
        <v>9119</v>
      </c>
      <c r="M2404" s="475">
        <v>45707</v>
      </c>
      <c r="N2404" s="475">
        <v>45707</v>
      </c>
      <c r="O2404" s="475"/>
      <c r="P2404" s="475">
        <v>45707</v>
      </c>
      <c r="Q2404" s="475">
        <v>45707</v>
      </c>
      <c r="R2404" s="61">
        <f t="shared" si="165"/>
        <v>1</v>
      </c>
      <c r="S2404" s="61" t="str">
        <f t="shared" si="166"/>
        <v/>
      </c>
      <c r="T2404" s="61">
        <f t="shared" si="169"/>
        <v>1</v>
      </c>
      <c r="U2404" s="61">
        <f t="shared" si="170"/>
        <v>1</v>
      </c>
      <c r="V2404" s="61" t="s">
        <v>150</v>
      </c>
      <c r="W2404" s="61" t="s">
        <v>1078</v>
      </c>
      <c r="X2404" s="61" t="s">
        <v>50</v>
      </c>
      <c r="Y2404" s="61"/>
      <c r="Z2404" s="61"/>
      <c r="AA2404" s="61" t="s">
        <v>8361</v>
      </c>
      <c r="AB2404" s="61"/>
    </row>
    <row r="2405" spans="1:28" s="2" customFormat="1" ht="15">
      <c r="A2405" s="61" t="s">
        <v>779</v>
      </c>
      <c r="B2405" s="61" t="s">
        <v>1469</v>
      </c>
      <c r="C2405" s="61" t="s">
        <v>5861</v>
      </c>
      <c r="D2405" s="61" t="s">
        <v>159</v>
      </c>
      <c r="E2405" s="61">
        <v>504</v>
      </c>
      <c r="F2405" s="61">
        <v>507</v>
      </c>
      <c r="G2405" s="61">
        <v>2025</v>
      </c>
      <c r="H2405" s="61" t="s">
        <v>3458</v>
      </c>
      <c r="I2405" s="61" t="s">
        <v>5783</v>
      </c>
      <c r="J2405" s="61"/>
      <c r="K2405" s="61" t="s">
        <v>328</v>
      </c>
      <c r="L2405" s="61" t="s">
        <v>9120</v>
      </c>
      <c r="M2405" s="475">
        <v>45707</v>
      </c>
      <c r="N2405" s="475">
        <v>45707</v>
      </c>
      <c r="O2405" s="475"/>
      <c r="P2405" s="475">
        <v>45707</v>
      </c>
      <c r="Q2405" s="475">
        <v>45707</v>
      </c>
      <c r="R2405" s="61">
        <f t="shared" si="165"/>
        <v>1</v>
      </c>
      <c r="S2405" s="61" t="str">
        <f t="shared" si="166"/>
        <v/>
      </c>
      <c r="T2405" s="61">
        <f t="shared" si="169"/>
        <v>1</v>
      </c>
      <c r="U2405" s="61">
        <f t="shared" si="170"/>
        <v>1</v>
      </c>
      <c r="V2405" s="61" t="s">
        <v>150</v>
      </c>
      <c r="W2405" s="61" t="s">
        <v>1078</v>
      </c>
      <c r="X2405" s="61" t="s">
        <v>50</v>
      </c>
      <c r="Y2405" s="61"/>
      <c r="Z2405" s="61"/>
      <c r="AA2405" s="61" t="s">
        <v>8361</v>
      </c>
      <c r="AB2405" s="61"/>
    </row>
    <row r="2406" spans="1:28" s="2" customFormat="1" ht="15">
      <c r="A2406" s="61" t="s">
        <v>779</v>
      </c>
      <c r="B2406" s="61" t="s">
        <v>1469</v>
      </c>
      <c r="C2406" s="61" t="s">
        <v>5870</v>
      </c>
      <c r="D2406" s="61" t="s">
        <v>159</v>
      </c>
      <c r="E2406" s="61">
        <v>1090</v>
      </c>
      <c r="F2406" s="61">
        <v>1080</v>
      </c>
      <c r="G2406" s="61">
        <v>2025</v>
      </c>
      <c r="H2406" s="61" t="s">
        <v>3458</v>
      </c>
      <c r="I2406" s="61" t="s">
        <v>5783</v>
      </c>
      <c r="J2406" s="61"/>
      <c r="K2406" s="61" t="s">
        <v>328</v>
      </c>
      <c r="L2406" s="61" t="s">
        <v>9121</v>
      </c>
      <c r="M2406" s="475">
        <v>45692</v>
      </c>
      <c r="N2406" s="475">
        <v>45694</v>
      </c>
      <c r="O2406" s="61"/>
      <c r="P2406" s="475">
        <v>45698</v>
      </c>
      <c r="Q2406" s="475">
        <v>45701</v>
      </c>
      <c r="R2406" s="61">
        <f t="shared" si="165"/>
        <v>2</v>
      </c>
      <c r="S2406" s="61" t="str">
        <f t="shared" si="166"/>
        <v/>
      </c>
      <c r="T2406" s="61">
        <f t="shared" si="169"/>
        <v>2</v>
      </c>
      <c r="U2406" s="61">
        <f t="shared" si="170"/>
        <v>3</v>
      </c>
      <c r="V2406" s="61" t="s">
        <v>150</v>
      </c>
      <c r="W2406" s="61" t="s">
        <v>1078</v>
      </c>
      <c r="X2406" s="61" t="s">
        <v>50</v>
      </c>
      <c r="Y2406" s="61"/>
      <c r="Z2406" s="61"/>
      <c r="AA2406" s="61" t="s">
        <v>8361</v>
      </c>
      <c r="AB2406" s="61"/>
    </row>
    <row r="2407" spans="1:28" s="2" customFormat="1" ht="15">
      <c r="A2407" s="61" t="s">
        <v>779</v>
      </c>
      <c r="B2407" s="61" t="s">
        <v>1469</v>
      </c>
      <c r="C2407" s="61" t="s">
        <v>5872</v>
      </c>
      <c r="D2407" s="61" t="s">
        <v>159</v>
      </c>
      <c r="E2407" s="61">
        <v>1281</v>
      </c>
      <c r="F2407" s="61">
        <v>1325</v>
      </c>
      <c r="G2407" s="61">
        <v>2025</v>
      </c>
      <c r="H2407" s="61" t="s">
        <v>3416</v>
      </c>
      <c r="I2407" s="61" t="s">
        <v>5783</v>
      </c>
      <c r="J2407" s="61"/>
      <c r="K2407" s="61" t="s">
        <v>328</v>
      </c>
      <c r="L2407" s="61" t="s">
        <v>9122</v>
      </c>
      <c r="M2407" s="475">
        <v>45714</v>
      </c>
      <c r="N2407" s="475">
        <v>45715</v>
      </c>
      <c r="O2407" s="61"/>
      <c r="P2407" s="475">
        <v>45723</v>
      </c>
      <c r="Q2407" s="475">
        <v>45728</v>
      </c>
      <c r="R2407" s="61">
        <f t="shared" si="165"/>
        <v>1</v>
      </c>
      <c r="S2407" s="61" t="str">
        <f t="shared" si="166"/>
        <v/>
      </c>
      <c r="T2407" s="61">
        <f t="shared" si="169"/>
        <v>6</v>
      </c>
      <c r="U2407" s="61">
        <f t="shared" si="170"/>
        <v>3</v>
      </c>
      <c r="V2407" s="61" t="s">
        <v>150</v>
      </c>
      <c r="W2407" s="61" t="s">
        <v>1078</v>
      </c>
      <c r="X2407" s="61" t="s">
        <v>57</v>
      </c>
      <c r="Y2407" s="61">
        <v>15.68653636</v>
      </c>
      <c r="Z2407" s="474">
        <v>120.40260915</v>
      </c>
      <c r="AA2407" s="61" t="s">
        <v>8361</v>
      </c>
      <c r="AB2407" s="61"/>
    </row>
    <row r="2408" spans="1:28" s="2" customFormat="1" ht="15">
      <c r="A2408" s="61" t="s">
        <v>779</v>
      </c>
      <c r="B2408" s="61" t="s">
        <v>1469</v>
      </c>
      <c r="C2408" s="61" t="s">
        <v>5874</v>
      </c>
      <c r="D2408" s="61" t="s">
        <v>159</v>
      </c>
      <c r="E2408" s="61">
        <v>1198</v>
      </c>
      <c r="F2408" s="61">
        <v>1139</v>
      </c>
      <c r="G2408" s="61">
        <v>2025</v>
      </c>
      <c r="H2408" s="61" t="s">
        <v>3416</v>
      </c>
      <c r="I2408" s="61" t="s">
        <v>5783</v>
      </c>
      <c r="J2408" s="61"/>
      <c r="K2408" s="61" t="s">
        <v>328</v>
      </c>
      <c r="L2408" s="61" t="s">
        <v>9123</v>
      </c>
      <c r="M2408" s="475">
        <v>45720</v>
      </c>
      <c r="N2408" s="475">
        <v>45723</v>
      </c>
      <c r="O2408" s="61"/>
      <c r="P2408" s="475">
        <v>45726</v>
      </c>
      <c r="Q2408" s="475">
        <v>45728</v>
      </c>
      <c r="R2408" s="61">
        <f t="shared" si="165"/>
        <v>3</v>
      </c>
      <c r="S2408" s="61" t="str">
        <f t="shared" si="166"/>
        <v/>
      </c>
      <c r="T2408" s="61">
        <f t="shared" si="169"/>
        <v>1</v>
      </c>
      <c r="U2408" s="61">
        <f t="shared" si="170"/>
        <v>2</v>
      </c>
      <c r="V2408" s="61" t="s">
        <v>150</v>
      </c>
      <c r="W2408" s="61" t="s">
        <v>1078</v>
      </c>
      <c r="X2408" s="61" t="s">
        <v>50</v>
      </c>
      <c r="Y2408" s="61">
        <v>15.6834168</v>
      </c>
      <c r="Z2408" s="61">
        <v>120.40471671</v>
      </c>
      <c r="AA2408" s="61" t="s">
        <v>8361</v>
      </c>
      <c r="AB2408" s="61"/>
    </row>
    <row r="2409" spans="1:28" s="2" customFormat="1" ht="15">
      <c r="A2409" s="61" t="s">
        <v>779</v>
      </c>
      <c r="B2409" s="61" t="s">
        <v>1469</v>
      </c>
      <c r="C2409" s="61" t="s">
        <v>5876</v>
      </c>
      <c r="D2409" s="61" t="s">
        <v>159</v>
      </c>
      <c r="E2409" s="61">
        <v>1193</v>
      </c>
      <c r="F2409" s="61">
        <v>1254</v>
      </c>
      <c r="G2409" s="61">
        <v>2025</v>
      </c>
      <c r="H2409" s="61" t="s">
        <v>3458</v>
      </c>
      <c r="I2409" s="61" t="s">
        <v>5783</v>
      </c>
      <c r="J2409" s="61"/>
      <c r="K2409" s="61" t="s">
        <v>328</v>
      </c>
      <c r="L2409" s="61" t="s">
        <v>9124</v>
      </c>
      <c r="M2409" s="475">
        <v>45707</v>
      </c>
      <c r="N2409" s="475">
        <v>45707</v>
      </c>
      <c r="O2409" s="61"/>
      <c r="P2409" s="475">
        <v>45707</v>
      </c>
      <c r="Q2409" s="475">
        <v>45707</v>
      </c>
      <c r="R2409" s="61">
        <f t="shared" si="165"/>
        <v>1</v>
      </c>
      <c r="S2409" s="61" t="str">
        <f t="shared" si="166"/>
        <v/>
      </c>
      <c r="T2409" s="61">
        <f t="shared" si="169"/>
        <v>1</v>
      </c>
      <c r="U2409" s="61">
        <f t="shared" si="170"/>
        <v>1</v>
      </c>
      <c r="V2409" s="61" t="s">
        <v>150</v>
      </c>
      <c r="W2409" s="61" t="s">
        <v>1078</v>
      </c>
      <c r="X2409" s="61" t="s">
        <v>50</v>
      </c>
      <c r="Y2409" s="61"/>
      <c r="Z2409" s="61"/>
      <c r="AA2409" s="61" t="s">
        <v>8361</v>
      </c>
      <c r="AB2409" s="61"/>
    </row>
    <row r="2410" spans="1:28" s="2" customFormat="1" ht="15">
      <c r="A2410" s="61" t="s">
        <v>779</v>
      </c>
      <c r="B2410" s="61" t="s">
        <v>1469</v>
      </c>
      <c r="C2410" s="61" t="s">
        <v>5877</v>
      </c>
      <c r="D2410" s="61" t="s">
        <v>159</v>
      </c>
      <c r="E2410" s="61">
        <v>1204</v>
      </c>
      <c r="F2410" s="61">
        <v>1100</v>
      </c>
      <c r="G2410" s="61">
        <v>2025</v>
      </c>
      <c r="H2410" s="61" t="s">
        <v>3416</v>
      </c>
      <c r="I2410" s="61" t="s">
        <v>5783</v>
      </c>
      <c r="J2410" s="61"/>
      <c r="K2410" s="61" t="s">
        <v>328</v>
      </c>
      <c r="L2410" s="61" t="s">
        <v>9125</v>
      </c>
      <c r="M2410" s="475">
        <v>45720</v>
      </c>
      <c r="N2410" s="475">
        <v>45723</v>
      </c>
      <c r="O2410" s="61"/>
      <c r="P2410" s="475">
        <v>45726</v>
      </c>
      <c r="Q2410" s="475">
        <v>45728</v>
      </c>
      <c r="R2410" s="61">
        <f t="shared" si="165"/>
        <v>3</v>
      </c>
      <c r="S2410" s="61" t="str">
        <f t="shared" si="166"/>
        <v/>
      </c>
      <c r="T2410" s="61">
        <f t="shared" si="169"/>
        <v>1</v>
      </c>
      <c r="U2410" s="61">
        <f t="shared" si="170"/>
        <v>2</v>
      </c>
      <c r="V2410" s="61" t="s">
        <v>150</v>
      </c>
      <c r="W2410" s="61" t="s">
        <v>1078</v>
      </c>
      <c r="X2410" s="61" t="s">
        <v>57</v>
      </c>
      <c r="Y2410" s="61">
        <v>15.683271749999999</v>
      </c>
      <c r="Z2410" s="61">
        <v>120.41344497</v>
      </c>
      <c r="AA2410" s="61" t="s">
        <v>8361</v>
      </c>
      <c r="AB2410" s="61"/>
    </row>
    <row r="2411" spans="1:28" s="2" customFormat="1" ht="15">
      <c r="A2411" s="61" t="s">
        <v>779</v>
      </c>
      <c r="B2411" s="61" t="s">
        <v>1469</v>
      </c>
      <c r="C2411" s="61" t="s">
        <v>4206</v>
      </c>
      <c r="D2411" s="61" t="s">
        <v>159</v>
      </c>
      <c r="E2411" s="61">
        <v>1067</v>
      </c>
      <c r="F2411" s="61">
        <v>1090</v>
      </c>
      <c r="G2411" s="61">
        <v>2025</v>
      </c>
      <c r="H2411" s="61" t="s">
        <v>3458</v>
      </c>
      <c r="I2411" s="61" t="s">
        <v>5783</v>
      </c>
      <c r="J2411" s="61"/>
      <c r="K2411" s="61" t="s">
        <v>328</v>
      </c>
      <c r="L2411" s="61" t="s">
        <v>9126</v>
      </c>
      <c r="M2411" s="475">
        <v>45692</v>
      </c>
      <c r="N2411" s="475">
        <v>45698</v>
      </c>
      <c r="O2411" s="61"/>
      <c r="P2411" s="475">
        <v>45705</v>
      </c>
      <c r="Q2411" s="475">
        <v>45705</v>
      </c>
      <c r="R2411" s="61">
        <f t="shared" si="165"/>
        <v>4</v>
      </c>
      <c r="S2411" s="61" t="str">
        <f t="shared" si="166"/>
        <v/>
      </c>
      <c r="T2411" s="61">
        <f t="shared" si="169"/>
        <v>5</v>
      </c>
      <c r="U2411" s="61">
        <f t="shared" si="170"/>
        <v>1</v>
      </c>
      <c r="V2411" s="61" t="s">
        <v>150</v>
      </c>
      <c r="W2411" s="61" t="s">
        <v>1078</v>
      </c>
      <c r="X2411" s="61" t="s">
        <v>50</v>
      </c>
      <c r="Y2411" s="61"/>
      <c r="Z2411" s="61"/>
      <c r="AA2411" s="61" t="s">
        <v>8361</v>
      </c>
      <c r="AB2411" s="61"/>
    </row>
    <row r="2412" spans="1:28" s="2" customFormat="1" ht="15">
      <c r="A2412" s="61" t="s">
        <v>779</v>
      </c>
      <c r="B2412" s="61" t="s">
        <v>1469</v>
      </c>
      <c r="C2412" s="61" t="s">
        <v>5880</v>
      </c>
      <c r="D2412" s="61" t="s">
        <v>159</v>
      </c>
      <c r="E2412" s="61">
        <v>660</v>
      </c>
      <c r="F2412" s="61">
        <v>670</v>
      </c>
      <c r="G2412" s="61">
        <v>2025</v>
      </c>
      <c r="H2412" s="61" t="s">
        <v>3458</v>
      </c>
      <c r="I2412" s="61" t="s">
        <v>5783</v>
      </c>
      <c r="J2412" s="61"/>
      <c r="K2412" s="61" t="s">
        <v>328</v>
      </c>
      <c r="L2412" s="61" t="s">
        <v>9127</v>
      </c>
      <c r="M2412" s="475">
        <v>45692</v>
      </c>
      <c r="N2412" s="475">
        <v>45698</v>
      </c>
      <c r="O2412" s="61"/>
      <c r="P2412" s="475">
        <v>45705</v>
      </c>
      <c r="Q2412" s="475">
        <v>45705</v>
      </c>
      <c r="R2412" s="61">
        <f t="shared" si="165"/>
        <v>4</v>
      </c>
      <c r="S2412" s="61" t="str">
        <f t="shared" si="166"/>
        <v/>
      </c>
      <c r="T2412" s="61">
        <f t="shared" si="169"/>
        <v>5</v>
      </c>
      <c r="U2412" s="61">
        <f t="shared" si="170"/>
        <v>1</v>
      </c>
      <c r="V2412" s="61" t="s">
        <v>150</v>
      </c>
      <c r="W2412" s="61" t="s">
        <v>1078</v>
      </c>
      <c r="X2412" s="61" t="s">
        <v>50</v>
      </c>
      <c r="Y2412" s="61"/>
      <c r="Z2412" s="61"/>
      <c r="AA2412" s="61"/>
      <c r="AB2412" s="61"/>
    </row>
    <row r="2413" spans="1:28" s="2" customFormat="1" ht="15">
      <c r="A2413" s="61" t="s">
        <v>779</v>
      </c>
      <c r="B2413" s="61" t="s">
        <v>1469</v>
      </c>
      <c r="C2413" s="61" t="s">
        <v>4950</v>
      </c>
      <c r="D2413" s="61" t="s">
        <v>159</v>
      </c>
      <c r="E2413" s="61">
        <v>2292</v>
      </c>
      <c r="F2413" s="61">
        <v>2466</v>
      </c>
      <c r="G2413" s="61">
        <v>2025</v>
      </c>
      <c r="H2413" s="61" t="s">
        <v>3458</v>
      </c>
      <c r="I2413" s="61" t="s">
        <v>5783</v>
      </c>
      <c r="J2413" s="61"/>
      <c r="K2413" s="61" t="s">
        <v>328</v>
      </c>
      <c r="L2413" s="61" t="s">
        <v>9128</v>
      </c>
      <c r="M2413" s="475">
        <v>45700</v>
      </c>
      <c r="N2413" s="475">
        <v>45702</v>
      </c>
      <c r="O2413" s="61"/>
      <c r="P2413" s="475">
        <v>45705</v>
      </c>
      <c r="Q2413" s="475">
        <v>45705</v>
      </c>
      <c r="R2413" s="61">
        <f t="shared" si="165"/>
        <v>2</v>
      </c>
      <c r="S2413" s="61" t="str">
        <f t="shared" si="166"/>
        <v/>
      </c>
      <c r="T2413" s="61">
        <f t="shared" si="169"/>
        <v>1</v>
      </c>
      <c r="U2413" s="61">
        <f t="shared" si="170"/>
        <v>1</v>
      </c>
      <c r="V2413" s="61" t="s">
        <v>150</v>
      </c>
      <c r="W2413" s="61" t="s">
        <v>1078</v>
      </c>
      <c r="X2413" s="61" t="s">
        <v>50</v>
      </c>
      <c r="Y2413" s="61"/>
      <c r="Z2413" s="61"/>
      <c r="AA2413" s="61" t="s">
        <v>8361</v>
      </c>
      <c r="AB2413" s="61"/>
    </row>
    <row r="2414" spans="1:28" s="2" customFormat="1" ht="15">
      <c r="A2414" s="61" t="s">
        <v>779</v>
      </c>
      <c r="B2414" s="61" t="s">
        <v>1469</v>
      </c>
      <c r="C2414" s="61" t="s">
        <v>5883</v>
      </c>
      <c r="D2414" s="61" t="s">
        <v>159</v>
      </c>
      <c r="E2414" s="61">
        <v>1104</v>
      </c>
      <c r="F2414" s="61">
        <v>1240</v>
      </c>
      <c r="G2414" s="61">
        <v>2025</v>
      </c>
      <c r="H2414" s="61" t="s">
        <v>3125</v>
      </c>
      <c r="I2414" s="61" t="s">
        <v>5783</v>
      </c>
      <c r="J2414" s="61"/>
      <c r="K2414" s="61" t="s">
        <v>328</v>
      </c>
      <c r="L2414" s="61" t="s">
        <v>9129</v>
      </c>
      <c r="M2414" s="475">
        <v>45846</v>
      </c>
      <c r="N2414" s="475">
        <v>45849</v>
      </c>
      <c r="O2414" s="61"/>
      <c r="P2414" s="475">
        <v>45853</v>
      </c>
      <c r="Q2414" s="475">
        <v>45855</v>
      </c>
      <c r="R2414" s="61">
        <f t="shared" si="165"/>
        <v>3</v>
      </c>
      <c r="S2414" s="61" t="str">
        <f t="shared" si="166"/>
        <v/>
      </c>
      <c r="T2414" s="61">
        <f t="shared" si="169"/>
        <v>2</v>
      </c>
      <c r="U2414" s="61">
        <f t="shared" si="170"/>
        <v>2</v>
      </c>
      <c r="V2414" s="61" t="s">
        <v>150</v>
      </c>
      <c r="W2414" s="61" t="s">
        <v>1078</v>
      </c>
      <c r="X2414" s="61" t="s">
        <v>50</v>
      </c>
      <c r="Y2414" s="61" t="s">
        <v>9117</v>
      </c>
      <c r="Z2414" s="61" t="s">
        <v>9118</v>
      </c>
      <c r="AA2414" s="61" t="s">
        <v>8361</v>
      </c>
      <c r="AB2414" s="61"/>
    </row>
    <row r="2415" spans="1:28" s="2" customFormat="1" ht="15">
      <c r="A2415" s="61" t="s">
        <v>779</v>
      </c>
      <c r="B2415" s="61" t="s">
        <v>1469</v>
      </c>
      <c r="C2415" s="61" t="s">
        <v>5885</v>
      </c>
      <c r="D2415" s="61" t="s">
        <v>159</v>
      </c>
      <c r="E2415" s="61">
        <v>1319</v>
      </c>
      <c r="F2415" s="61">
        <v>1355</v>
      </c>
      <c r="G2415" s="61">
        <v>2025</v>
      </c>
      <c r="H2415" s="61" t="s">
        <v>3689</v>
      </c>
      <c r="I2415" s="61" t="s">
        <v>5783</v>
      </c>
      <c r="J2415" s="61"/>
      <c r="K2415" s="61" t="s">
        <v>328</v>
      </c>
      <c r="L2415" s="61" t="s">
        <v>9130</v>
      </c>
      <c r="M2415" s="475">
        <v>45811</v>
      </c>
      <c r="N2415" s="475">
        <v>45813</v>
      </c>
      <c r="O2415" s="61"/>
      <c r="P2415" s="475">
        <v>45824</v>
      </c>
      <c r="Q2415" s="475">
        <v>45824</v>
      </c>
      <c r="R2415" s="61">
        <f t="shared" si="165"/>
        <v>2</v>
      </c>
      <c r="S2415" s="61" t="str">
        <f t="shared" si="166"/>
        <v/>
      </c>
      <c r="T2415" s="61">
        <f t="shared" si="169"/>
        <v>7</v>
      </c>
      <c r="U2415" s="61">
        <f t="shared" si="170"/>
        <v>1</v>
      </c>
      <c r="V2415" s="61" t="s">
        <v>150</v>
      </c>
      <c r="W2415" s="61" t="s">
        <v>1078</v>
      </c>
      <c r="X2415" s="61" t="s">
        <v>50</v>
      </c>
      <c r="Y2415" s="61" t="s">
        <v>9131</v>
      </c>
      <c r="Z2415" s="61" t="s">
        <v>9132</v>
      </c>
      <c r="AA2415" s="61" t="s">
        <v>8361</v>
      </c>
      <c r="AB2415" s="61"/>
    </row>
    <row r="2416" spans="1:28" s="2" customFormat="1" ht="15">
      <c r="A2416" s="61" t="s">
        <v>779</v>
      </c>
      <c r="B2416" s="61" t="s">
        <v>1469</v>
      </c>
      <c r="C2416" s="61" t="s">
        <v>5887</v>
      </c>
      <c r="D2416" s="61" t="s">
        <v>159</v>
      </c>
      <c r="E2416" s="61">
        <v>1128</v>
      </c>
      <c r="F2416" s="61">
        <v>1259</v>
      </c>
      <c r="G2416" s="61">
        <v>2025</v>
      </c>
      <c r="H2416" s="61" t="s">
        <v>3689</v>
      </c>
      <c r="I2416" s="61" t="s">
        <v>5783</v>
      </c>
      <c r="J2416" s="61"/>
      <c r="K2416" s="61" t="s">
        <v>328</v>
      </c>
      <c r="L2416" s="61" t="s">
        <v>9133</v>
      </c>
      <c r="M2416" s="475">
        <v>45811</v>
      </c>
      <c r="N2416" s="475">
        <v>45813</v>
      </c>
      <c r="O2416" s="61"/>
      <c r="P2416" s="475">
        <v>45824</v>
      </c>
      <c r="Q2416" s="475">
        <v>45824</v>
      </c>
      <c r="R2416" s="61">
        <f t="shared" si="165"/>
        <v>2</v>
      </c>
      <c r="S2416" s="61" t="str">
        <f t="shared" si="166"/>
        <v/>
      </c>
      <c r="T2416" s="61">
        <f t="shared" si="169"/>
        <v>7</v>
      </c>
      <c r="U2416" s="61">
        <f t="shared" si="170"/>
        <v>1</v>
      </c>
      <c r="V2416" s="61" t="s">
        <v>150</v>
      </c>
      <c r="W2416" s="61" t="s">
        <v>1078</v>
      </c>
      <c r="X2416" s="61" t="s">
        <v>50</v>
      </c>
      <c r="Y2416" s="61" t="s">
        <v>9134</v>
      </c>
      <c r="Z2416" s="61" t="s">
        <v>9135</v>
      </c>
      <c r="AA2416" s="61" t="s">
        <v>8361</v>
      </c>
      <c r="AB2416" s="61"/>
    </row>
    <row r="2417" spans="1:28" s="2" customFormat="1" ht="15">
      <c r="A2417" s="61" t="s">
        <v>779</v>
      </c>
      <c r="B2417" s="61" t="s">
        <v>1469</v>
      </c>
      <c r="C2417" s="61" t="s">
        <v>5889</v>
      </c>
      <c r="D2417" s="61" t="s">
        <v>159</v>
      </c>
      <c r="E2417" s="61">
        <v>1448</v>
      </c>
      <c r="F2417" s="61">
        <v>1508</v>
      </c>
      <c r="G2417" s="61">
        <v>2025</v>
      </c>
      <c r="H2417" s="61" t="s">
        <v>3689</v>
      </c>
      <c r="I2417" s="61" t="s">
        <v>5783</v>
      </c>
      <c r="J2417" s="61"/>
      <c r="K2417" s="61" t="s">
        <v>328</v>
      </c>
      <c r="L2417" s="61" t="s">
        <v>9136</v>
      </c>
      <c r="M2417" s="475">
        <v>45811</v>
      </c>
      <c r="N2417" s="475">
        <v>45813</v>
      </c>
      <c r="O2417" s="61"/>
      <c r="P2417" s="475">
        <v>45824</v>
      </c>
      <c r="Q2417" s="475">
        <v>45824</v>
      </c>
      <c r="R2417" s="61">
        <f t="shared" si="165"/>
        <v>2</v>
      </c>
      <c r="S2417" s="61" t="str">
        <f t="shared" si="166"/>
        <v/>
      </c>
      <c r="T2417" s="61">
        <f t="shared" si="169"/>
        <v>7</v>
      </c>
      <c r="U2417" s="61">
        <f t="shared" si="170"/>
        <v>1</v>
      </c>
      <c r="V2417" s="61" t="s">
        <v>150</v>
      </c>
      <c r="W2417" s="61" t="s">
        <v>1078</v>
      </c>
      <c r="X2417" s="61" t="s">
        <v>50</v>
      </c>
      <c r="Y2417" s="61" t="s">
        <v>9137</v>
      </c>
      <c r="Z2417" s="478" t="s">
        <v>9138</v>
      </c>
      <c r="AA2417" s="61" t="s">
        <v>8361</v>
      </c>
      <c r="AB2417" s="61"/>
    </row>
    <row r="2418" spans="1:28" s="2" customFormat="1" ht="15">
      <c r="A2418" s="61" t="s">
        <v>779</v>
      </c>
      <c r="B2418" s="61" t="s">
        <v>1469</v>
      </c>
      <c r="C2418" s="61" t="s">
        <v>5896</v>
      </c>
      <c r="D2418" s="61" t="s">
        <v>159</v>
      </c>
      <c r="E2418" s="61">
        <v>1212</v>
      </c>
      <c r="F2418" s="61">
        <v>1124</v>
      </c>
      <c r="G2418" s="61">
        <v>2025</v>
      </c>
      <c r="H2418" s="61" t="s">
        <v>3458</v>
      </c>
      <c r="I2418" s="61" t="s">
        <v>5783</v>
      </c>
      <c r="J2418" s="61"/>
      <c r="K2418" s="61" t="s">
        <v>328</v>
      </c>
      <c r="L2418" s="61" t="s">
        <v>9139</v>
      </c>
      <c r="M2418" s="475">
        <v>45700</v>
      </c>
      <c r="N2418" s="475">
        <v>45702</v>
      </c>
      <c r="O2418" s="61"/>
      <c r="P2418" s="475">
        <v>45705</v>
      </c>
      <c r="Q2418" s="475">
        <v>45705</v>
      </c>
      <c r="R2418" s="61">
        <f t="shared" si="165"/>
        <v>2</v>
      </c>
      <c r="S2418" s="61" t="str">
        <f t="shared" si="166"/>
        <v/>
      </c>
      <c r="T2418" s="61">
        <f t="shared" si="169"/>
        <v>1</v>
      </c>
      <c r="U2418" s="61">
        <f t="shared" si="170"/>
        <v>1</v>
      </c>
      <c r="V2418" s="61" t="s">
        <v>150</v>
      </c>
      <c r="W2418" s="61" t="s">
        <v>1078</v>
      </c>
      <c r="X2418" s="61" t="s">
        <v>50</v>
      </c>
      <c r="Y2418" s="61">
        <v>120.42480782</v>
      </c>
      <c r="Z2418" s="61">
        <v>15.6415811</v>
      </c>
      <c r="AA2418" s="61" t="s">
        <v>8361</v>
      </c>
      <c r="AB2418" s="61"/>
    </row>
    <row r="2419" spans="1:28" s="2" customFormat="1" ht="15">
      <c r="A2419" s="61" t="s">
        <v>779</v>
      </c>
      <c r="B2419" s="61" t="s">
        <v>1469</v>
      </c>
      <c r="C2419" s="61" t="s">
        <v>5901</v>
      </c>
      <c r="D2419" s="61" t="s">
        <v>159</v>
      </c>
      <c r="E2419" s="61">
        <v>1441</v>
      </c>
      <c r="F2419" s="61">
        <v>1588</v>
      </c>
      <c r="G2419" s="61">
        <v>2025</v>
      </c>
      <c r="H2419" s="61" t="s">
        <v>3689</v>
      </c>
      <c r="I2419" s="61" t="s">
        <v>5783</v>
      </c>
      <c r="J2419" s="61"/>
      <c r="K2419" s="61" t="s">
        <v>328</v>
      </c>
      <c r="L2419" s="61" t="s">
        <v>9140</v>
      </c>
      <c r="M2419" s="475">
        <v>45806</v>
      </c>
      <c r="N2419" s="475">
        <v>45810</v>
      </c>
      <c r="O2419" s="61"/>
      <c r="P2419" s="475">
        <v>45813</v>
      </c>
      <c r="Q2419" s="475">
        <v>45813</v>
      </c>
      <c r="R2419" s="61">
        <f t="shared" si="165"/>
        <v>2</v>
      </c>
      <c r="S2419" s="61" t="str">
        <f t="shared" si="166"/>
        <v/>
      </c>
      <c r="T2419" s="61">
        <f t="shared" si="169"/>
        <v>3</v>
      </c>
      <c r="U2419" s="61">
        <f t="shared" si="170"/>
        <v>1</v>
      </c>
      <c r="V2419" s="61" t="s">
        <v>150</v>
      </c>
      <c r="W2419" s="61" t="s">
        <v>1078</v>
      </c>
      <c r="X2419" s="61" t="s">
        <v>50</v>
      </c>
      <c r="Y2419" s="61" t="s">
        <v>9141</v>
      </c>
      <c r="Z2419" s="61" t="s">
        <v>9142</v>
      </c>
      <c r="AA2419" s="61" t="s">
        <v>8361</v>
      </c>
      <c r="AB2419" s="61"/>
    </row>
    <row r="2420" spans="1:28" s="2" customFormat="1" ht="15">
      <c r="A2420" s="61" t="s">
        <v>779</v>
      </c>
      <c r="B2420" s="61" t="s">
        <v>1469</v>
      </c>
      <c r="C2420" s="61" t="s">
        <v>5816</v>
      </c>
      <c r="D2420" s="61" t="s">
        <v>159</v>
      </c>
      <c r="E2420" s="61">
        <v>1329</v>
      </c>
      <c r="F2420" s="61">
        <v>1336</v>
      </c>
      <c r="G2420" s="61"/>
      <c r="H2420" s="61"/>
      <c r="I2420" s="61" t="s">
        <v>5783</v>
      </c>
      <c r="J2420" s="61"/>
      <c r="K2420" s="61" t="s">
        <v>328</v>
      </c>
      <c r="L2420" s="61"/>
      <c r="M2420" s="61"/>
      <c r="N2420" s="61"/>
      <c r="O2420" s="61"/>
      <c r="P2420" s="61"/>
      <c r="Q2420" s="61"/>
      <c r="R2420" s="61" t="str">
        <f t="shared" si="165"/>
        <v/>
      </c>
      <c r="S2420" s="61" t="str">
        <f t="shared" si="166"/>
        <v/>
      </c>
      <c r="T2420" s="61" t="str">
        <f t="shared" si="169"/>
        <v/>
      </c>
      <c r="U2420" s="61" t="str">
        <f t="shared" si="170"/>
        <v/>
      </c>
      <c r="V2420" s="61"/>
      <c r="W2420" s="61"/>
      <c r="X2420" s="61"/>
      <c r="Y2420" s="61"/>
      <c r="Z2420" s="61"/>
      <c r="AA2420" s="61"/>
      <c r="AB2420" s="61"/>
    </row>
    <row r="2421" spans="1:28" s="2" customFormat="1" ht="15">
      <c r="A2421" s="61" t="s">
        <v>779</v>
      </c>
      <c r="B2421" s="61" t="s">
        <v>1469</v>
      </c>
      <c r="C2421" s="61" t="s">
        <v>1470</v>
      </c>
      <c r="D2421" s="61" t="s">
        <v>159</v>
      </c>
      <c r="E2421" s="61">
        <v>1066</v>
      </c>
      <c r="F2421" s="61">
        <v>1004</v>
      </c>
      <c r="G2421" s="61"/>
      <c r="H2421" s="61"/>
      <c r="I2421" s="61" t="s">
        <v>5783</v>
      </c>
      <c r="J2421" s="61"/>
      <c r="K2421" s="61" t="s">
        <v>328</v>
      </c>
      <c r="L2421" s="61"/>
      <c r="M2421" s="61"/>
      <c r="N2421" s="61"/>
      <c r="O2421" s="61"/>
      <c r="P2421" s="61"/>
      <c r="Q2421" s="61"/>
      <c r="R2421" s="61" t="str">
        <f t="shared" si="165"/>
        <v/>
      </c>
      <c r="S2421" s="61" t="str">
        <f t="shared" si="166"/>
        <v/>
      </c>
      <c r="T2421" s="61" t="str">
        <f t="shared" si="169"/>
        <v/>
      </c>
      <c r="U2421" s="61" t="str">
        <f t="shared" si="170"/>
        <v/>
      </c>
      <c r="V2421" s="61"/>
      <c r="W2421" s="61"/>
      <c r="X2421" s="61"/>
      <c r="Y2421" s="61"/>
      <c r="Z2421" s="61"/>
      <c r="AA2421" s="61"/>
      <c r="AB2421" s="61"/>
    </row>
    <row r="2422" spans="1:28" s="2" customFormat="1" ht="15">
      <c r="A2422" s="61" t="s">
        <v>779</v>
      </c>
      <c r="B2422" s="61" t="s">
        <v>1469</v>
      </c>
      <c r="C2422" s="61" t="s">
        <v>5821</v>
      </c>
      <c r="D2422" s="61" t="s">
        <v>159</v>
      </c>
      <c r="E2422" s="61">
        <v>1234</v>
      </c>
      <c r="F2422" s="61">
        <v>1229</v>
      </c>
      <c r="G2422" s="61"/>
      <c r="H2422" s="61"/>
      <c r="I2422" s="61" t="s">
        <v>5783</v>
      </c>
      <c r="J2422" s="61"/>
      <c r="K2422" s="61" t="s">
        <v>328</v>
      </c>
      <c r="L2422" s="61"/>
      <c r="M2422" s="61"/>
      <c r="N2422" s="61"/>
      <c r="O2422" s="61"/>
      <c r="P2422" s="61"/>
      <c r="Q2422" s="61"/>
      <c r="R2422" s="61" t="str">
        <f t="shared" si="165"/>
        <v/>
      </c>
      <c r="S2422" s="61" t="str">
        <f t="shared" si="166"/>
        <v/>
      </c>
      <c r="T2422" s="61" t="str">
        <f t="shared" si="169"/>
        <v/>
      </c>
      <c r="U2422" s="61" t="str">
        <f t="shared" si="170"/>
        <v/>
      </c>
      <c r="V2422" s="61"/>
      <c r="W2422" s="61"/>
      <c r="X2422" s="61"/>
      <c r="Y2422" s="61"/>
      <c r="Z2422" s="61"/>
      <c r="AA2422" s="61"/>
      <c r="AB2422" s="61"/>
    </row>
    <row r="2423" spans="1:28" s="2" customFormat="1" ht="28.5">
      <c r="A2423" s="61" t="s">
        <v>779</v>
      </c>
      <c r="B2423" s="61" t="s">
        <v>1469</v>
      </c>
      <c r="C2423" s="61" t="s">
        <v>5834</v>
      </c>
      <c r="D2423" s="61" t="s">
        <v>159</v>
      </c>
      <c r="E2423" s="61">
        <v>725</v>
      </c>
      <c r="F2423" s="61">
        <v>728</v>
      </c>
      <c r="G2423" s="61">
        <v>2025</v>
      </c>
      <c r="H2423" s="61" t="s">
        <v>3129</v>
      </c>
      <c r="I2423" s="61" t="s">
        <v>5783</v>
      </c>
      <c r="J2423" s="61"/>
      <c r="K2423" s="61" t="s">
        <v>28</v>
      </c>
      <c r="L2423" s="61" t="s">
        <v>9143</v>
      </c>
      <c r="M2423" s="475">
        <v>45951</v>
      </c>
      <c r="N2423" s="475">
        <v>45954</v>
      </c>
      <c r="O2423" s="61"/>
      <c r="P2423" s="475">
        <v>45954</v>
      </c>
      <c r="Q2423" s="475">
        <v>45954</v>
      </c>
      <c r="R2423" s="61">
        <f t="shared" ref="R2423:R2486" si="171">IF(
    OR(ISBLANK(M2423), ISBLANK(N2423)),
    "",
    MAX(1, IF(
        NETWORKDAYS(M2423, N2423) &lt;= 0,
        1,
        NETWORKDAYS(M2423, N2423) - IF(M2423 = N2423, 0, 1)
    ))
)</f>
        <v>3</v>
      </c>
      <c r="S2423" s="61" t="str">
        <f t="shared" si="166"/>
        <v/>
      </c>
      <c r="T2423" s="61">
        <f t="shared" si="169"/>
        <v>1</v>
      </c>
      <c r="U2423" s="61">
        <f t="shared" si="170"/>
        <v>1</v>
      </c>
      <c r="V2423" s="61" t="s">
        <v>150</v>
      </c>
      <c r="W2423" s="61" t="s">
        <v>1078</v>
      </c>
      <c r="X2423" s="61" t="s">
        <v>50</v>
      </c>
      <c r="Y2423" s="61">
        <v>15.728</v>
      </c>
      <c r="Z2423" s="61">
        <v>120.4474</v>
      </c>
      <c r="AA2423" s="61" t="s">
        <v>9144</v>
      </c>
      <c r="AB2423" s="61" t="s">
        <v>9145</v>
      </c>
    </row>
    <row r="2424" spans="1:28" s="2" customFormat="1" ht="15">
      <c r="A2424" s="61" t="s">
        <v>779</v>
      </c>
      <c r="B2424" s="61" t="s">
        <v>1469</v>
      </c>
      <c r="C2424" s="61" t="s">
        <v>1525</v>
      </c>
      <c r="D2424" s="61" t="s">
        <v>159</v>
      </c>
      <c r="E2424" s="61">
        <v>886</v>
      </c>
      <c r="F2424" s="61">
        <v>1045</v>
      </c>
      <c r="G2424" s="61">
        <v>2025</v>
      </c>
      <c r="H2424" s="61" t="s">
        <v>3128</v>
      </c>
      <c r="I2424" s="61" t="s">
        <v>5783</v>
      </c>
      <c r="J2424" s="61"/>
      <c r="K2424" s="61" t="s">
        <v>28</v>
      </c>
      <c r="L2424" s="61" t="s">
        <v>9146</v>
      </c>
      <c r="M2424" s="475">
        <v>45924</v>
      </c>
      <c r="N2424" s="475">
        <v>45925</v>
      </c>
      <c r="O2424" s="61"/>
      <c r="P2424" s="475">
        <v>45944</v>
      </c>
      <c r="Q2424" s="475">
        <v>45944</v>
      </c>
      <c r="R2424" s="61">
        <f t="shared" si="171"/>
        <v>1</v>
      </c>
      <c r="S2424" s="61" t="str">
        <f t="shared" ref="S2424:S2487" si="172">IF(
    OR(ISBLANK(N2424), ISBLANK(O2424)),
    "",
    MAX(1, IF(
        NETWORKDAYS(N2424, O2424) &lt;= 0,
        1,
        NETWORKDAYS(N2424, O2424) - IF(N2424 = O2424, 0, 1)
    ))
)</f>
        <v/>
      </c>
      <c r="T2424" s="61">
        <f t="shared" si="169"/>
        <v>13</v>
      </c>
      <c r="U2424" s="61">
        <f t="shared" si="170"/>
        <v>1</v>
      </c>
      <c r="V2424" s="61" t="s">
        <v>150</v>
      </c>
      <c r="W2424" s="61" t="s">
        <v>1078</v>
      </c>
      <c r="X2424" s="61" t="s">
        <v>50</v>
      </c>
      <c r="Y2424" s="61" t="s">
        <v>9147</v>
      </c>
      <c r="Z2424" s="61" t="s">
        <v>9148</v>
      </c>
      <c r="AA2424" s="61" t="s">
        <v>9149</v>
      </c>
      <c r="AB2424" s="61"/>
    </row>
    <row r="2425" spans="1:28" s="2" customFormat="1" ht="15">
      <c r="A2425" s="61" t="s">
        <v>779</v>
      </c>
      <c r="B2425" s="61" t="s">
        <v>1469</v>
      </c>
      <c r="C2425" s="61" t="s">
        <v>5836</v>
      </c>
      <c r="D2425" s="61" t="s">
        <v>159</v>
      </c>
      <c r="E2425" s="61">
        <v>2100</v>
      </c>
      <c r="F2425" s="61">
        <v>2263</v>
      </c>
      <c r="G2425" s="61">
        <v>2025</v>
      </c>
      <c r="H2425" s="61" t="s">
        <v>3128</v>
      </c>
      <c r="I2425" s="61" t="s">
        <v>5783</v>
      </c>
      <c r="J2425" s="61"/>
      <c r="K2425" s="61" t="s">
        <v>28</v>
      </c>
      <c r="L2425" s="61" t="s">
        <v>9146</v>
      </c>
      <c r="M2425" s="475">
        <v>45924</v>
      </c>
      <c r="N2425" s="475">
        <v>45925</v>
      </c>
      <c r="O2425" s="61"/>
      <c r="P2425" s="475">
        <v>45944</v>
      </c>
      <c r="Q2425" s="475">
        <v>45944</v>
      </c>
      <c r="R2425" s="61">
        <f t="shared" si="171"/>
        <v>1</v>
      </c>
      <c r="S2425" s="61" t="str">
        <f t="shared" si="172"/>
        <v/>
      </c>
      <c r="T2425" s="61">
        <f>IF(
  OR(A2425 = "Nueva_Ecija", A2425 = "Zambales"),
  IF(
    OR(ISBLANK(O2425), ISBLANK(P2426)),
    "",
    MAX(1, IF(
      NETWORKDAYS(O2425, P2426) &lt;= 0,
      1,
      NETWORKDAYS(O2425, P2426) - IF(O2425 = P2426, 0, 1)
    ))
  ),
  IF(
    OR(ISBLANK(N2425), ISBLANK(P2426)),
    "",
    MAX(1, IF(
      NETWORKDAYS(N2425, P2426) &lt;= 0,
      1,
      NETWORKDAYS(N2425, P2426) - IF(N2425 = P2426, 0, 1)
    ))
  )
)</f>
        <v>13</v>
      </c>
      <c r="U2425" s="61">
        <f>IF(
    OR(ISBLANK(P2426), ISBLANK(Q2425)),
    "",
    MAX(1, IF(
        NETWORKDAYS(P2426, Q2425) &lt;= 0,
        1,
        NETWORKDAYS(P2426, Q2425) - IF(P2426 = Q2425, 0, 1)
    ))
)</f>
        <v>1</v>
      </c>
      <c r="V2425" s="61" t="s">
        <v>150</v>
      </c>
      <c r="W2425" s="61" t="s">
        <v>1078</v>
      </c>
      <c r="X2425" s="61" t="s">
        <v>50</v>
      </c>
      <c r="Y2425" s="61" t="s">
        <v>9150</v>
      </c>
      <c r="Z2425" s="61" t="s">
        <v>9151</v>
      </c>
      <c r="AA2425" s="61" t="s">
        <v>9149</v>
      </c>
      <c r="AB2425" s="61"/>
    </row>
    <row r="2426" spans="1:28" s="2" customFormat="1" ht="15">
      <c r="A2426" s="61" t="s">
        <v>779</v>
      </c>
      <c r="B2426" s="61" t="s">
        <v>1469</v>
      </c>
      <c r="C2426" s="61" t="s">
        <v>5838</v>
      </c>
      <c r="D2426" s="61" t="s">
        <v>159</v>
      </c>
      <c r="E2426" s="61">
        <v>250</v>
      </c>
      <c r="F2426" s="61">
        <v>278</v>
      </c>
      <c r="G2426" s="61">
        <v>2025</v>
      </c>
      <c r="H2426" s="61" t="s">
        <v>3128</v>
      </c>
      <c r="I2426" s="61" t="s">
        <v>5783</v>
      </c>
      <c r="J2426" s="61"/>
      <c r="K2426" s="61" t="s">
        <v>28</v>
      </c>
      <c r="L2426" s="61" t="s">
        <v>9146</v>
      </c>
      <c r="M2426" s="475">
        <v>45923</v>
      </c>
      <c r="N2426" s="475">
        <v>45925</v>
      </c>
      <c r="O2426" s="61"/>
      <c r="P2426" s="475">
        <v>45944</v>
      </c>
      <c r="Q2426" s="475">
        <v>45944</v>
      </c>
      <c r="R2426" s="61">
        <f t="shared" si="171"/>
        <v>2</v>
      </c>
      <c r="S2426" s="61" t="str">
        <f t="shared" si="172"/>
        <v/>
      </c>
      <c r="T2426" s="61">
        <f t="shared" ref="T2426:T2453" si="173">IF(
  OR(A2426 = "Nueva_Ecija", A2426 = "Zambales"),
  IF(
    OR(ISBLANK(O2426), ISBLANK(P2426)),
    "",
    MAX(1, IF(
      NETWORKDAYS(O2426, P2426) &lt;= 0,
      1,
      NETWORKDAYS(O2426, P2426) - IF(O2426 = P2426, 0, 1)
    ))
  ),
  IF(
    OR(ISBLANK(N2426), ISBLANK(P2426)),
    "",
    MAX(1, IF(
      NETWORKDAYS(N2426, P2426) &lt;= 0,
      1,
      NETWORKDAYS(N2426, P2426) - IF(N2426 = P2426, 0, 1)
    ))
  )
)</f>
        <v>13</v>
      </c>
      <c r="U2426" s="61">
        <f t="shared" ref="U2426:U2489" si="174">IF(
    OR(ISBLANK(P2426), ISBLANK(Q2426)),
    "",
    MAX(1, IF(
        NETWORKDAYS(P2426, Q2426) &lt;= 0,
        1,
        NETWORKDAYS(P2426, Q2426) - IF(P2426 = Q2426, 0, 1)
    ))
)</f>
        <v>1</v>
      </c>
      <c r="V2426" s="61" t="s">
        <v>150</v>
      </c>
      <c r="W2426" s="61" t="s">
        <v>1078</v>
      </c>
      <c r="X2426" s="61" t="s">
        <v>50</v>
      </c>
      <c r="Y2426" s="61" t="s">
        <v>9152</v>
      </c>
      <c r="Z2426" s="61" t="s">
        <v>9153</v>
      </c>
      <c r="AA2426" s="61" t="s">
        <v>9149</v>
      </c>
      <c r="AB2426" s="61"/>
    </row>
    <row r="2427" spans="1:28" s="2" customFormat="1" ht="15">
      <c r="A2427" s="61" t="s">
        <v>779</v>
      </c>
      <c r="B2427" s="61" t="s">
        <v>1469</v>
      </c>
      <c r="C2427" s="61" t="s">
        <v>3558</v>
      </c>
      <c r="D2427" s="61" t="s">
        <v>159</v>
      </c>
      <c r="E2427" s="61">
        <v>958</v>
      </c>
      <c r="F2427" s="61">
        <v>1040</v>
      </c>
      <c r="G2427" s="61">
        <v>2025</v>
      </c>
      <c r="H2427" s="61" t="s">
        <v>3128</v>
      </c>
      <c r="I2427" s="61" t="s">
        <v>5783</v>
      </c>
      <c r="J2427" s="61"/>
      <c r="K2427" s="61" t="s">
        <v>28</v>
      </c>
      <c r="L2427" s="61" t="s">
        <v>9146</v>
      </c>
      <c r="M2427" s="475">
        <v>45924</v>
      </c>
      <c r="N2427" s="475">
        <v>45925</v>
      </c>
      <c r="O2427" s="61"/>
      <c r="P2427" s="475">
        <v>45944</v>
      </c>
      <c r="Q2427" s="475">
        <v>45944</v>
      </c>
      <c r="R2427" s="61">
        <f t="shared" si="171"/>
        <v>1</v>
      </c>
      <c r="S2427" s="61" t="str">
        <f t="shared" si="172"/>
        <v/>
      </c>
      <c r="T2427" s="61">
        <f t="shared" si="173"/>
        <v>13</v>
      </c>
      <c r="U2427" s="61">
        <f t="shared" si="174"/>
        <v>1</v>
      </c>
      <c r="V2427" s="61" t="s">
        <v>150</v>
      </c>
      <c r="W2427" s="61" t="s">
        <v>1078</v>
      </c>
      <c r="X2427" s="61" t="s">
        <v>57</v>
      </c>
      <c r="Y2427" s="61" t="s">
        <v>9154</v>
      </c>
      <c r="Z2427" s="61" t="s">
        <v>9155</v>
      </c>
      <c r="AA2427" s="61" t="s">
        <v>9149</v>
      </c>
      <c r="AB2427" s="61"/>
    </row>
    <row r="2428" spans="1:28" s="2" customFormat="1" ht="15">
      <c r="A2428" s="61" t="s">
        <v>779</v>
      </c>
      <c r="B2428" s="61" t="s">
        <v>1469</v>
      </c>
      <c r="C2428" s="61" t="s">
        <v>5844</v>
      </c>
      <c r="D2428" s="61" t="s">
        <v>159</v>
      </c>
      <c r="E2428" s="61">
        <v>5467</v>
      </c>
      <c r="F2428" s="61">
        <v>5902</v>
      </c>
      <c r="G2428" s="61"/>
      <c r="H2428" s="61"/>
      <c r="I2428" s="61" t="s">
        <v>5783</v>
      </c>
      <c r="J2428" s="61"/>
      <c r="K2428" s="61" t="s">
        <v>328</v>
      </c>
      <c r="L2428" s="61"/>
      <c r="M2428" s="61"/>
      <c r="N2428" s="61"/>
      <c r="O2428" s="61"/>
      <c r="P2428" s="61"/>
      <c r="Q2428" s="61"/>
      <c r="R2428" s="61" t="str">
        <f t="shared" si="171"/>
        <v/>
      </c>
      <c r="S2428" s="61" t="str">
        <f t="shared" si="172"/>
        <v/>
      </c>
      <c r="T2428" s="61" t="str">
        <f t="shared" si="173"/>
        <v/>
      </c>
      <c r="U2428" s="61" t="str">
        <f t="shared" si="174"/>
        <v/>
      </c>
      <c r="V2428" s="61"/>
      <c r="W2428" s="61"/>
      <c r="X2428" s="61"/>
      <c r="Y2428" s="61"/>
      <c r="Z2428" s="61"/>
      <c r="AA2428" s="61"/>
      <c r="AB2428" s="61"/>
    </row>
    <row r="2429" spans="1:28" s="2" customFormat="1" ht="28.5">
      <c r="A2429" s="61" t="s">
        <v>779</v>
      </c>
      <c r="B2429" s="61" t="s">
        <v>1469</v>
      </c>
      <c r="C2429" s="61" t="s">
        <v>5847</v>
      </c>
      <c r="D2429" s="61" t="s">
        <v>159</v>
      </c>
      <c r="E2429" s="61">
        <v>306</v>
      </c>
      <c r="F2429" s="61">
        <v>378</v>
      </c>
      <c r="G2429" s="61">
        <v>2025</v>
      </c>
      <c r="H2429" s="61" t="s">
        <v>3129</v>
      </c>
      <c r="I2429" s="61" t="s">
        <v>5783</v>
      </c>
      <c r="J2429" s="61"/>
      <c r="K2429" s="61" t="s">
        <v>28</v>
      </c>
      <c r="L2429" s="61" t="s">
        <v>9143</v>
      </c>
      <c r="M2429" s="475">
        <v>45951</v>
      </c>
      <c r="N2429" s="475">
        <v>45954</v>
      </c>
      <c r="O2429" s="61"/>
      <c r="P2429" s="475">
        <v>45954</v>
      </c>
      <c r="Q2429" s="475">
        <v>45954</v>
      </c>
      <c r="R2429" s="61">
        <f t="shared" si="171"/>
        <v>3</v>
      </c>
      <c r="S2429" s="61" t="str">
        <f t="shared" si="172"/>
        <v/>
      </c>
      <c r="T2429" s="61">
        <f t="shared" si="173"/>
        <v>1</v>
      </c>
      <c r="U2429" s="61">
        <f t="shared" si="174"/>
        <v>1</v>
      </c>
      <c r="V2429" s="61" t="s">
        <v>150</v>
      </c>
      <c r="W2429" s="61" t="s">
        <v>1078</v>
      </c>
      <c r="X2429" s="61" t="s">
        <v>50</v>
      </c>
      <c r="Y2429" s="61">
        <v>15.6294</v>
      </c>
      <c r="Z2429" s="61">
        <v>120.35299999999999</v>
      </c>
      <c r="AA2429" s="61" t="s">
        <v>9144</v>
      </c>
      <c r="AB2429" s="61" t="s">
        <v>9145</v>
      </c>
    </row>
    <row r="2430" spans="1:28" s="2" customFormat="1" ht="28.5">
      <c r="A2430" s="61" t="s">
        <v>779</v>
      </c>
      <c r="B2430" s="61" t="s">
        <v>1469</v>
      </c>
      <c r="C2430" s="61" t="s">
        <v>5862</v>
      </c>
      <c r="D2430" s="61" t="s">
        <v>159</v>
      </c>
      <c r="E2430" s="61">
        <v>922</v>
      </c>
      <c r="F2430" s="61">
        <v>898</v>
      </c>
      <c r="G2430" s="61">
        <v>2025</v>
      </c>
      <c r="H2430" s="61" t="s">
        <v>3129</v>
      </c>
      <c r="I2430" s="61" t="s">
        <v>5783</v>
      </c>
      <c r="J2430" s="61"/>
      <c r="K2430" s="61" t="s">
        <v>28</v>
      </c>
      <c r="L2430" s="61" t="s">
        <v>9143</v>
      </c>
      <c r="M2430" s="475">
        <v>45951</v>
      </c>
      <c r="N2430" s="475">
        <v>45954</v>
      </c>
      <c r="O2430" s="61"/>
      <c r="P2430" s="475">
        <v>45954</v>
      </c>
      <c r="Q2430" s="475">
        <v>45954</v>
      </c>
      <c r="R2430" s="61">
        <f t="shared" si="171"/>
        <v>3</v>
      </c>
      <c r="S2430" s="61" t="str">
        <f t="shared" si="172"/>
        <v/>
      </c>
      <c r="T2430" s="61">
        <f t="shared" si="173"/>
        <v>1</v>
      </c>
      <c r="U2430" s="61">
        <f t="shared" si="174"/>
        <v>1</v>
      </c>
      <c r="V2430" s="61" t="s">
        <v>150</v>
      </c>
      <c r="W2430" s="61" t="s">
        <v>1078</v>
      </c>
      <c r="X2430" s="61" t="s">
        <v>50</v>
      </c>
      <c r="Y2430" s="61">
        <v>15.6654</v>
      </c>
      <c r="Z2430" s="61">
        <v>120.40519999999999</v>
      </c>
      <c r="AA2430" s="61" t="s">
        <v>9144</v>
      </c>
      <c r="AB2430" s="61" t="s">
        <v>9145</v>
      </c>
    </row>
    <row r="2431" spans="1:28" s="2" customFormat="1" ht="28.5">
      <c r="A2431" s="61" t="s">
        <v>779</v>
      </c>
      <c r="B2431" s="61" t="s">
        <v>1469</v>
      </c>
      <c r="C2431" s="61" t="s">
        <v>5864</v>
      </c>
      <c r="D2431" s="61" t="s">
        <v>159</v>
      </c>
      <c r="E2431" s="61">
        <v>966</v>
      </c>
      <c r="F2431" s="61">
        <v>940</v>
      </c>
      <c r="G2431" s="61">
        <v>2025</v>
      </c>
      <c r="H2431" s="61" t="s">
        <v>3129</v>
      </c>
      <c r="I2431" s="61" t="s">
        <v>5783</v>
      </c>
      <c r="J2431" s="61"/>
      <c r="K2431" s="61" t="s">
        <v>28</v>
      </c>
      <c r="L2431" s="61" t="s">
        <v>9143</v>
      </c>
      <c r="M2431" s="475">
        <v>45951</v>
      </c>
      <c r="N2431" s="475">
        <v>45954</v>
      </c>
      <c r="O2431" s="61"/>
      <c r="P2431" s="475">
        <v>45954</v>
      </c>
      <c r="Q2431" s="475">
        <v>45954</v>
      </c>
      <c r="R2431" s="61">
        <f t="shared" si="171"/>
        <v>3</v>
      </c>
      <c r="S2431" s="61" t="str">
        <f t="shared" si="172"/>
        <v/>
      </c>
      <c r="T2431" s="61">
        <f t="shared" si="173"/>
        <v>1</v>
      </c>
      <c r="U2431" s="61">
        <f t="shared" si="174"/>
        <v>1</v>
      </c>
      <c r="V2431" s="61" t="s">
        <v>150</v>
      </c>
      <c r="W2431" s="61" t="s">
        <v>1078</v>
      </c>
      <c r="X2431" s="61" t="s">
        <v>50</v>
      </c>
      <c r="Y2431" s="61">
        <v>15.743499999999999</v>
      </c>
      <c r="Z2431" s="61">
        <v>120.4281</v>
      </c>
      <c r="AA2431" s="61" t="s">
        <v>9144</v>
      </c>
      <c r="AB2431" s="61" t="s">
        <v>9145</v>
      </c>
    </row>
    <row r="2432" spans="1:28" s="2" customFormat="1" ht="28.5">
      <c r="A2432" s="61" t="s">
        <v>779</v>
      </c>
      <c r="B2432" s="61" t="s">
        <v>1469</v>
      </c>
      <c r="C2432" s="61" t="s">
        <v>5865</v>
      </c>
      <c r="D2432" s="61" t="s">
        <v>159</v>
      </c>
      <c r="E2432" s="61">
        <v>1795</v>
      </c>
      <c r="F2432" s="61">
        <v>1880</v>
      </c>
      <c r="G2432" s="61">
        <v>2025</v>
      </c>
      <c r="H2432" s="61" t="s">
        <v>3129</v>
      </c>
      <c r="I2432" s="61" t="s">
        <v>5783</v>
      </c>
      <c r="J2432" s="61"/>
      <c r="K2432" s="61" t="s">
        <v>28</v>
      </c>
      <c r="L2432" s="61" t="s">
        <v>9143</v>
      </c>
      <c r="M2432" s="475">
        <v>45951</v>
      </c>
      <c r="N2432" s="475">
        <v>45954</v>
      </c>
      <c r="O2432" s="61"/>
      <c r="P2432" s="475">
        <v>45954</v>
      </c>
      <c r="Q2432" s="475">
        <v>45954</v>
      </c>
      <c r="R2432" s="61">
        <f t="shared" si="171"/>
        <v>3</v>
      </c>
      <c r="S2432" s="61" t="str">
        <f t="shared" si="172"/>
        <v/>
      </c>
      <c r="T2432" s="61">
        <f t="shared" si="173"/>
        <v>1</v>
      </c>
      <c r="U2432" s="61">
        <f t="shared" si="174"/>
        <v>1</v>
      </c>
      <c r="V2432" s="61" t="s">
        <v>150</v>
      </c>
      <c r="W2432" s="61" t="s">
        <v>1078</v>
      </c>
      <c r="X2432" s="61" t="s">
        <v>50</v>
      </c>
      <c r="Y2432" s="61">
        <v>15.745100000000001</v>
      </c>
      <c r="Z2432" s="61">
        <v>120.4143</v>
      </c>
      <c r="AA2432" s="61" t="s">
        <v>9144</v>
      </c>
      <c r="AB2432" s="61" t="s">
        <v>9145</v>
      </c>
    </row>
    <row r="2433" spans="1:28" s="2" customFormat="1" ht="15">
      <c r="A2433" s="61" t="s">
        <v>779</v>
      </c>
      <c r="B2433" s="61" t="s">
        <v>1469</v>
      </c>
      <c r="C2433" s="61" t="s">
        <v>5867</v>
      </c>
      <c r="D2433" s="61" t="s">
        <v>159</v>
      </c>
      <c r="E2433" s="61">
        <v>1260</v>
      </c>
      <c r="F2433" s="61">
        <v>1223</v>
      </c>
      <c r="G2433" s="61"/>
      <c r="H2433" s="61"/>
      <c r="I2433" s="61" t="s">
        <v>5783</v>
      </c>
      <c r="J2433" s="61"/>
      <c r="K2433" s="61" t="s">
        <v>328</v>
      </c>
      <c r="L2433" s="61"/>
      <c r="M2433" s="61"/>
      <c r="N2433" s="61"/>
      <c r="O2433" s="61"/>
      <c r="P2433" s="61"/>
      <c r="Q2433" s="61"/>
      <c r="R2433" s="61" t="str">
        <f t="shared" si="171"/>
        <v/>
      </c>
      <c r="S2433" s="61" t="str">
        <f t="shared" si="172"/>
        <v/>
      </c>
      <c r="T2433" s="61" t="str">
        <f t="shared" si="173"/>
        <v/>
      </c>
      <c r="U2433" s="61" t="str">
        <f t="shared" si="174"/>
        <v/>
      </c>
      <c r="V2433" s="61"/>
      <c r="W2433" s="61"/>
      <c r="X2433" s="61"/>
      <c r="Y2433" s="61"/>
      <c r="Z2433" s="61"/>
      <c r="AA2433" s="61"/>
      <c r="AB2433" s="61"/>
    </row>
    <row r="2434" spans="1:28" s="2" customFormat="1" ht="15">
      <c r="A2434" s="61" t="s">
        <v>779</v>
      </c>
      <c r="B2434" s="61" t="s">
        <v>1469</v>
      </c>
      <c r="C2434" s="61" t="s">
        <v>5868</v>
      </c>
      <c r="D2434" s="61" t="s">
        <v>159</v>
      </c>
      <c r="E2434" s="61">
        <v>1828</v>
      </c>
      <c r="F2434" s="61">
        <v>1841</v>
      </c>
      <c r="G2434" s="61"/>
      <c r="H2434" s="61"/>
      <c r="I2434" s="61" t="s">
        <v>5783</v>
      </c>
      <c r="J2434" s="61"/>
      <c r="K2434" s="61" t="s">
        <v>328</v>
      </c>
      <c r="L2434" s="61"/>
      <c r="M2434" s="61"/>
      <c r="N2434" s="61"/>
      <c r="O2434" s="61"/>
      <c r="P2434" s="61"/>
      <c r="Q2434" s="61"/>
      <c r="R2434" s="61" t="str">
        <f t="shared" si="171"/>
        <v/>
      </c>
      <c r="S2434" s="61" t="str">
        <f t="shared" si="172"/>
        <v/>
      </c>
      <c r="T2434" s="61" t="str">
        <f t="shared" si="173"/>
        <v/>
      </c>
      <c r="U2434" s="61" t="str">
        <f t="shared" si="174"/>
        <v/>
      </c>
      <c r="V2434" s="61"/>
      <c r="W2434" s="61"/>
      <c r="X2434" s="61"/>
      <c r="Y2434" s="61"/>
      <c r="Z2434" s="61"/>
      <c r="AA2434" s="61"/>
      <c r="AB2434" s="61"/>
    </row>
    <row r="2435" spans="1:28" s="2" customFormat="1" ht="28.5">
      <c r="A2435" s="61" t="s">
        <v>779</v>
      </c>
      <c r="B2435" s="61" t="s">
        <v>1469</v>
      </c>
      <c r="C2435" s="61" t="s">
        <v>5869</v>
      </c>
      <c r="D2435" s="61" t="s">
        <v>159</v>
      </c>
      <c r="E2435" s="61">
        <v>1192</v>
      </c>
      <c r="F2435" s="61">
        <v>1098</v>
      </c>
      <c r="G2435" s="61">
        <v>2025</v>
      </c>
      <c r="H2435" s="61" t="s">
        <v>3129</v>
      </c>
      <c r="I2435" s="61" t="s">
        <v>5783</v>
      </c>
      <c r="J2435" s="61"/>
      <c r="K2435" s="61" t="s">
        <v>28</v>
      </c>
      <c r="L2435" s="61" t="s">
        <v>9143</v>
      </c>
      <c r="M2435" s="475">
        <v>45951</v>
      </c>
      <c r="N2435" s="475">
        <v>45954</v>
      </c>
      <c r="O2435" s="61"/>
      <c r="P2435" s="475">
        <v>45954</v>
      </c>
      <c r="Q2435" s="475">
        <v>45954</v>
      </c>
      <c r="R2435" s="61">
        <f t="shared" si="171"/>
        <v>3</v>
      </c>
      <c r="S2435" s="61" t="str">
        <f t="shared" si="172"/>
        <v/>
      </c>
      <c r="T2435" s="61">
        <f t="shared" si="173"/>
        <v>1</v>
      </c>
      <c r="U2435" s="61">
        <f t="shared" si="174"/>
        <v>1</v>
      </c>
      <c r="V2435" s="61" t="s">
        <v>150</v>
      </c>
      <c r="W2435" s="61" t="s">
        <v>1078</v>
      </c>
      <c r="X2435" s="61" t="s">
        <v>50</v>
      </c>
      <c r="Y2435" s="61">
        <v>15.687799999999999</v>
      </c>
      <c r="Z2435" s="61">
        <v>120.4111</v>
      </c>
      <c r="AA2435" s="61" t="s">
        <v>9144</v>
      </c>
      <c r="AB2435" s="61" t="s">
        <v>9145</v>
      </c>
    </row>
    <row r="2436" spans="1:28" s="2" customFormat="1" ht="28.5">
      <c r="A2436" s="61" t="s">
        <v>779</v>
      </c>
      <c r="B2436" s="61" t="s">
        <v>1469</v>
      </c>
      <c r="C2436" s="61" t="s">
        <v>5891</v>
      </c>
      <c r="D2436" s="61" t="s">
        <v>159</v>
      </c>
      <c r="E2436" s="61">
        <v>950</v>
      </c>
      <c r="F2436" s="61">
        <v>1071</v>
      </c>
      <c r="G2436" s="61">
        <v>2025</v>
      </c>
      <c r="H2436" s="61" t="s">
        <v>3129</v>
      </c>
      <c r="I2436" s="61" t="s">
        <v>5783</v>
      </c>
      <c r="J2436" s="61"/>
      <c r="K2436" s="61" t="s">
        <v>28</v>
      </c>
      <c r="L2436" s="61" t="s">
        <v>9143</v>
      </c>
      <c r="M2436" s="475">
        <v>45951</v>
      </c>
      <c r="N2436" s="475">
        <v>45954</v>
      </c>
      <c r="O2436" s="61"/>
      <c r="P2436" s="475">
        <v>45954</v>
      </c>
      <c r="Q2436" s="475">
        <v>45954</v>
      </c>
      <c r="R2436" s="61">
        <f t="shared" si="171"/>
        <v>3</v>
      </c>
      <c r="S2436" s="61" t="str">
        <f t="shared" si="172"/>
        <v/>
      </c>
      <c r="T2436" s="61">
        <f t="shared" si="173"/>
        <v>1</v>
      </c>
      <c r="U2436" s="61">
        <f t="shared" si="174"/>
        <v>1</v>
      </c>
      <c r="V2436" s="61" t="s">
        <v>150</v>
      </c>
      <c r="W2436" s="61" t="s">
        <v>1078</v>
      </c>
      <c r="X2436" s="61" t="s">
        <v>50</v>
      </c>
      <c r="Y2436" s="61">
        <v>15.6965</v>
      </c>
      <c r="Z2436" s="61">
        <v>120.45659999999999</v>
      </c>
      <c r="AA2436" s="61" t="s">
        <v>9144</v>
      </c>
      <c r="AB2436" s="61" t="s">
        <v>9145</v>
      </c>
    </row>
    <row r="2437" spans="1:28" s="2" customFormat="1" ht="15">
      <c r="A2437" s="61" t="s">
        <v>779</v>
      </c>
      <c r="B2437" s="61" t="s">
        <v>1469</v>
      </c>
      <c r="C2437" s="61" t="s">
        <v>5895</v>
      </c>
      <c r="D2437" s="61" t="s">
        <v>159</v>
      </c>
      <c r="E2437" s="61">
        <v>721</v>
      </c>
      <c r="F2437" s="61">
        <v>699</v>
      </c>
      <c r="G2437" s="61"/>
      <c r="H2437" s="61"/>
      <c r="I2437" s="61" t="s">
        <v>5783</v>
      </c>
      <c r="J2437" s="61"/>
      <c r="K2437" s="61" t="s">
        <v>328</v>
      </c>
      <c r="L2437" s="61"/>
      <c r="M2437" s="61"/>
      <c r="N2437" s="61"/>
      <c r="O2437" s="61"/>
      <c r="P2437" s="61"/>
      <c r="Q2437" s="61"/>
      <c r="R2437" s="61" t="str">
        <f t="shared" si="171"/>
        <v/>
      </c>
      <c r="S2437" s="61" t="str">
        <f t="shared" si="172"/>
        <v/>
      </c>
      <c r="T2437" s="61" t="str">
        <f t="shared" si="173"/>
        <v/>
      </c>
      <c r="U2437" s="61" t="str">
        <f t="shared" si="174"/>
        <v/>
      </c>
      <c r="V2437" s="61"/>
      <c r="W2437" s="61"/>
      <c r="X2437" s="61"/>
      <c r="Y2437" s="61"/>
      <c r="Z2437" s="61"/>
      <c r="AA2437" s="61"/>
      <c r="AB2437" s="61"/>
    </row>
    <row r="2438" spans="1:28" s="2" customFormat="1" ht="15">
      <c r="A2438" s="61" t="s">
        <v>779</v>
      </c>
      <c r="B2438" s="61" t="s">
        <v>1469</v>
      </c>
      <c r="C2438" s="61" t="s">
        <v>5900</v>
      </c>
      <c r="D2438" s="61" t="s">
        <v>159</v>
      </c>
      <c r="E2438" s="61">
        <v>1316</v>
      </c>
      <c r="F2438" s="61">
        <v>1380</v>
      </c>
      <c r="G2438" s="61"/>
      <c r="H2438" s="61"/>
      <c r="I2438" s="61" t="s">
        <v>5783</v>
      </c>
      <c r="J2438" s="61"/>
      <c r="K2438" s="61" t="s">
        <v>328</v>
      </c>
      <c r="L2438" s="61"/>
      <c r="M2438" s="61"/>
      <c r="N2438" s="61"/>
      <c r="O2438" s="61"/>
      <c r="P2438" s="61"/>
      <c r="Q2438" s="61"/>
      <c r="R2438" s="61" t="str">
        <f t="shared" si="171"/>
        <v/>
      </c>
      <c r="S2438" s="61" t="str">
        <f t="shared" si="172"/>
        <v/>
      </c>
      <c r="T2438" s="61" t="str">
        <f t="shared" si="173"/>
        <v/>
      </c>
      <c r="U2438" s="61" t="str">
        <f t="shared" si="174"/>
        <v/>
      </c>
      <c r="V2438" s="61"/>
      <c r="W2438" s="61"/>
      <c r="X2438" s="61"/>
      <c r="Y2438" s="61"/>
      <c r="Z2438" s="61"/>
      <c r="AA2438" s="61"/>
      <c r="AB2438" s="61"/>
    </row>
    <row r="2439" spans="1:28" s="2" customFormat="1" ht="15">
      <c r="A2439" s="61" t="s">
        <v>779</v>
      </c>
      <c r="B2439" s="61" t="s">
        <v>1469</v>
      </c>
      <c r="C2439" s="61" t="s">
        <v>5903</v>
      </c>
      <c r="D2439" s="61" t="s">
        <v>159</v>
      </c>
      <c r="E2439" s="61">
        <v>834</v>
      </c>
      <c r="F2439" s="61">
        <v>817</v>
      </c>
      <c r="G2439" s="61"/>
      <c r="H2439" s="61"/>
      <c r="I2439" s="61" t="s">
        <v>5783</v>
      </c>
      <c r="J2439" s="61"/>
      <c r="K2439" s="61" t="s">
        <v>328</v>
      </c>
      <c r="L2439" s="61"/>
      <c r="M2439" s="61"/>
      <c r="N2439" s="61"/>
      <c r="O2439" s="61"/>
      <c r="P2439" s="61"/>
      <c r="Q2439" s="61"/>
      <c r="R2439" s="61" t="str">
        <f t="shared" si="171"/>
        <v/>
      </c>
      <c r="S2439" s="61" t="str">
        <f t="shared" si="172"/>
        <v/>
      </c>
      <c r="T2439" s="61" t="str">
        <f t="shared" si="173"/>
        <v/>
      </c>
      <c r="U2439" s="61" t="str">
        <f t="shared" si="174"/>
        <v/>
      </c>
      <c r="V2439" s="61"/>
      <c r="W2439" s="61"/>
      <c r="X2439" s="61"/>
      <c r="Y2439" s="61"/>
      <c r="Z2439" s="61"/>
      <c r="AA2439" s="61"/>
      <c r="AB2439" s="61"/>
    </row>
    <row r="2440" spans="1:28" s="2" customFormat="1" ht="15">
      <c r="A2440" s="61" t="s">
        <v>779</v>
      </c>
      <c r="B2440" s="61" t="s">
        <v>1469</v>
      </c>
      <c r="C2440" s="61" t="s">
        <v>5904</v>
      </c>
      <c r="D2440" s="61" t="s">
        <v>159</v>
      </c>
      <c r="E2440" s="61">
        <v>1225</v>
      </c>
      <c r="F2440" s="61">
        <v>1336</v>
      </c>
      <c r="G2440" s="61"/>
      <c r="H2440" s="61"/>
      <c r="I2440" s="61" t="s">
        <v>5783</v>
      </c>
      <c r="J2440" s="61"/>
      <c r="K2440" s="61" t="s">
        <v>328</v>
      </c>
      <c r="L2440" s="61"/>
      <c r="M2440" s="61"/>
      <c r="N2440" s="61"/>
      <c r="O2440" s="61"/>
      <c r="P2440" s="61"/>
      <c r="Q2440" s="61"/>
      <c r="R2440" s="61" t="str">
        <f t="shared" si="171"/>
        <v/>
      </c>
      <c r="S2440" s="61" t="str">
        <f t="shared" si="172"/>
        <v/>
      </c>
      <c r="T2440" s="61" t="str">
        <f t="shared" si="173"/>
        <v/>
      </c>
      <c r="U2440" s="61" t="str">
        <f t="shared" si="174"/>
        <v/>
      </c>
      <c r="V2440" s="61"/>
      <c r="W2440" s="61"/>
      <c r="X2440" s="61"/>
      <c r="Y2440" s="61"/>
      <c r="Z2440" s="61"/>
      <c r="AA2440" s="61"/>
      <c r="AB2440" s="61"/>
    </row>
    <row r="2441" spans="1:28" s="2" customFormat="1" ht="15">
      <c r="A2441" s="61" t="s">
        <v>779</v>
      </c>
      <c r="B2441" s="61" t="s">
        <v>1447</v>
      </c>
      <c r="C2441" s="61" t="s">
        <v>1995</v>
      </c>
      <c r="D2441" s="61" t="s">
        <v>7838</v>
      </c>
      <c r="E2441" s="61">
        <v>31123</v>
      </c>
      <c r="F2441" s="61">
        <v>35334</v>
      </c>
      <c r="G2441" s="61">
        <v>2025</v>
      </c>
      <c r="H2441" s="61" t="s">
        <v>3125</v>
      </c>
      <c r="I2441" s="61" t="s">
        <v>39</v>
      </c>
      <c r="J2441" s="61"/>
      <c r="K2441" s="61" t="s">
        <v>328</v>
      </c>
      <c r="L2441" s="61" t="s">
        <v>9156</v>
      </c>
      <c r="M2441" s="475">
        <v>45842</v>
      </c>
      <c r="N2441" s="475">
        <v>45855</v>
      </c>
      <c r="O2441" s="61"/>
      <c r="P2441" s="475">
        <v>45856</v>
      </c>
      <c r="Q2441" s="475">
        <v>45856</v>
      </c>
      <c r="R2441" s="61">
        <f t="shared" si="171"/>
        <v>9</v>
      </c>
      <c r="S2441" s="61" t="str">
        <f t="shared" si="172"/>
        <v/>
      </c>
      <c r="T2441" s="61">
        <f t="shared" si="173"/>
        <v>1</v>
      </c>
      <c r="U2441" s="61">
        <f t="shared" si="174"/>
        <v>1</v>
      </c>
      <c r="V2441" s="61" t="s">
        <v>150</v>
      </c>
      <c r="W2441" s="61" t="s">
        <v>1078</v>
      </c>
      <c r="X2441" s="61" t="s">
        <v>50</v>
      </c>
      <c r="Y2441" s="61">
        <v>15.358499999999999</v>
      </c>
      <c r="Z2441" s="61">
        <v>120.5318</v>
      </c>
      <c r="AA2441" s="61" t="s">
        <v>9157</v>
      </c>
      <c r="AB2441" s="61"/>
    </row>
    <row r="2442" spans="1:28" s="2" customFormat="1" ht="15">
      <c r="A2442" s="61" t="s">
        <v>779</v>
      </c>
      <c r="B2442" s="61" t="s">
        <v>1447</v>
      </c>
      <c r="C2442" s="61" t="s">
        <v>5909</v>
      </c>
      <c r="D2442" s="61" t="s">
        <v>7838</v>
      </c>
      <c r="E2442" s="61">
        <v>3553</v>
      </c>
      <c r="F2442" s="61">
        <v>4039</v>
      </c>
      <c r="G2442" s="61">
        <v>2025</v>
      </c>
      <c r="H2442" s="61" t="s">
        <v>3125</v>
      </c>
      <c r="I2442" s="61" t="s">
        <v>39</v>
      </c>
      <c r="J2442" s="61"/>
      <c r="K2442" s="61" t="s">
        <v>328</v>
      </c>
      <c r="L2442" s="61" t="s">
        <v>9158</v>
      </c>
      <c r="M2442" s="475">
        <v>45841</v>
      </c>
      <c r="N2442" s="475">
        <v>45855</v>
      </c>
      <c r="O2442" s="61"/>
      <c r="P2442" s="475">
        <v>45856</v>
      </c>
      <c r="Q2442" s="475">
        <v>45856</v>
      </c>
      <c r="R2442" s="61">
        <f t="shared" si="171"/>
        <v>10</v>
      </c>
      <c r="S2442" s="61" t="str">
        <f t="shared" si="172"/>
        <v/>
      </c>
      <c r="T2442" s="61">
        <f t="shared" si="173"/>
        <v>1</v>
      </c>
      <c r="U2442" s="61">
        <f t="shared" si="174"/>
        <v>1</v>
      </c>
      <c r="V2442" s="61" t="s">
        <v>150</v>
      </c>
      <c r="W2442" s="61" t="s">
        <v>1078</v>
      </c>
      <c r="X2442" s="61" t="s">
        <v>50</v>
      </c>
      <c r="Y2442" s="61">
        <v>15.333</v>
      </c>
      <c r="Z2442" s="61">
        <v>120.59139999999999</v>
      </c>
      <c r="AA2442" s="61" t="s">
        <v>9157</v>
      </c>
      <c r="AB2442" s="61"/>
    </row>
    <row r="2443" spans="1:28" s="2" customFormat="1" ht="15">
      <c r="A2443" s="61" t="s">
        <v>779</v>
      </c>
      <c r="B2443" s="61" t="s">
        <v>1447</v>
      </c>
      <c r="C2443" s="61" t="s">
        <v>5197</v>
      </c>
      <c r="D2443" s="61" t="s">
        <v>7838</v>
      </c>
      <c r="E2443" s="61">
        <v>6752</v>
      </c>
      <c r="F2443" s="61">
        <v>7706</v>
      </c>
      <c r="G2443" s="61">
        <v>2025</v>
      </c>
      <c r="H2443" s="61" t="s">
        <v>3458</v>
      </c>
      <c r="I2443" s="61" t="s">
        <v>39</v>
      </c>
      <c r="J2443" s="61"/>
      <c r="K2443" s="61" t="s">
        <v>328</v>
      </c>
      <c r="L2443" s="61" t="s">
        <v>9159</v>
      </c>
      <c r="M2443" s="475">
        <v>45694</v>
      </c>
      <c r="N2443" s="475">
        <v>45698</v>
      </c>
      <c r="O2443" s="61"/>
      <c r="P2443" s="475">
        <v>45700</v>
      </c>
      <c r="Q2443" s="475">
        <v>45701</v>
      </c>
      <c r="R2443" s="61">
        <f t="shared" si="171"/>
        <v>2</v>
      </c>
      <c r="S2443" s="61" t="str">
        <f t="shared" si="172"/>
        <v/>
      </c>
      <c r="T2443" s="61">
        <f t="shared" si="173"/>
        <v>2</v>
      </c>
      <c r="U2443" s="61">
        <f t="shared" si="174"/>
        <v>1</v>
      </c>
      <c r="V2443" s="61" t="s">
        <v>150</v>
      </c>
      <c r="W2443" s="61" t="s">
        <v>1078</v>
      </c>
      <c r="X2443" s="61" t="s">
        <v>50</v>
      </c>
      <c r="Y2443" s="61"/>
      <c r="Z2443" s="61"/>
      <c r="AA2443" s="61" t="s">
        <v>9157</v>
      </c>
      <c r="AB2443" s="61"/>
    </row>
    <row r="2444" spans="1:28" s="2" customFormat="1" ht="15">
      <c r="A2444" s="61" t="s">
        <v>779</v>
      </c>
      <c r="B2444" s="61" t="s">
        <v>1447</v>
      </c>
      <c r="C2444" s="61" t="s">
        <v>5917</v>
      </c>
      <c r="D2444" s="61" t="s">
        <v>7838</v>
      </c>
      <c r="E2444" s="61">
        <v>2599</v>
      </c>
      <c r="F2444" s="61">
        <v>2916</v>
      </c>
      <c r="G2444" s="61"/>
      <c r="H2444" s="61"/>
      <c r="I2444" s="61" t="s">
        <v>39</v>
      </c>
      <c r="J2444" s="61"/>
      <c r="K2444" s="61" t="s">
        <v>328</v>
      </c>
      <c r="L2444" s="61"/>
      <c r="M2444" s="61"/>
      <c r="N2444" s="61"/>
      <c r="O2444" s="61"/>
      <c r="P2444" s="61"/>
      <c r="Q2444" s="61"/>
      <c r="R2444" s="61" t="str">
        <f t="shared" si="171"/>
        <v/>
      </c>
      <c r="S2444" s="61" t="str">
        <f t="shared" si="172"/>
        <v/>
      </c>
      <c r="T2444" s="61" t="str">
        <f t="shared" si="173"/>
        <v/>
      </c>
      <c r="U2444" s="61" t="str">
        <f t="shared" si="174"/>
        <v/>
      </c>
      <c r="V2444" s="61"/>
      <c r="W2444" s="61" t="s">
        <v>1078</v>
      </c>
      <c r="X2444" s="61" t="s">
        <v>50</v>
      </c>
      <c r="Y2444" s="61">
        <v>15.3499</v>
      </c>
      <c r="Z2444" s="61">
        <v>120.4588</v>
      </c>
      <c r="AA2444" s="61" t="s">
        <v>9157</v>
      </c>
      <c r="AB2444" s="61"/>
    </row>
    <row r="2445" spans="1:28" s="2" customFormat="1" ht="15">
      <c r="A2445" s="61" t="s">
        <v>779</v>
      </c>
      <c r="B2445" s="61" t="s">
        <v>1447</v>
      </c>
      <c r="C2445" s="61" t="s">
        <v>5918</v>
      </c>
      <c r="D2445" s="61" t="s">
        <v>7838</v>
      </c>
      <c r="E2445" s="61">
        <v>14542</v>
      </c>
      <c r="F2445" s="61">
        <v>15973</v>
      </c>
      <c r="G2445" s="61">
        <v>2025</v>
      </c>
      <c r="H2445" s="61" t="s">
        <v>3416</v>
      </c>
      <c r="I2445" s="61" t="s">
        <v>39</v>
      </c>
      <c r="J2445" s="61"/>
      <c r="K2445" s="61" t="s">
        <v>328</v>
      </c>
      <c r="L2445" s="61" t="s">
        <v>9160</v>
      </c>
      <c r="M2445" s="475">
        <v>45729</v>
      </c>
      <c r="N2445" s="475">
        <v>45733</v>
      </c>
      <c r="O2445" s="61"/>
      <c r="P2445" s="475">
        <v>45734</v>
      </c>
      <c r="Q2445" s="475">
        <v>45734</v>
      </c>
      <c r="R2445" s="61">
        <f t="shared" si="171"/>
        <v>2</v>
      </c>
      <c r="S2445" s="61" t="str">
        <f t="shared" si="172"/>
        <v/>
      </c>
      <c r="T2445" s="61">
        <f t="shared" si="173"/>
        <v>1</v>
      </c>
      <c r="U2445" s="61">
        <f t="shared" si="174"/>
        <v>1</v>
      </c>
      <c r="V2445" s="61" t="s">
        <v>150</v>
      </c>
      <c r="W2445" s="61" t="s">
        <v>1078</v>
      </c>
      <c r="X2445" s="61" t="s">
        <v>50</v>
      </c>
      <c r="Y2445" s="61">
        <v>15.3499</v>
      </c>
      <c r="Z2445" s="61">
        <v>120.4588</v>
      </c>
      <c r="AA2445" s="61" t="s">
        <v>9157</v>
      </c>
      <c r="AB2445" s="61"/>
    </row>
    <row r="2446" spans="1:28" s="2" customFormat="1" ht="15">
      <c r="A2446" s="61" t="s">
        <v>779</v>
      </c>
      <c r="B2446" s="61" t="s">
        <v>1447</v>
      </c>
      <c r="C2446" s="61" t="s">
        <v>3565</v>
      </c>
      <c r="D2446" s="61" t="s">
        <v>7838</v>
      </c>
      <c r="E2446" s="61">
        <v>11174</v>
      </c>
      <c r="F2446" s="61">
        <v>11484</v>
      </c>
      <c r="G2446" s="61">
        <v>2025</v>
      </c>
      <c r="H2446" s="61" t="s">
        <v>3125</v>
      </c>
      <c r="I2446" s="61" t="s">
        <v>39</v>
      </c>
      <c r="J2446" s="61"/>
      <c r="K2446" s="61" t="s">
        <v>328</v>
      </c>
      <c r="L2446" s="61" t="s">
        <v>9161</v>
      </c>
      <c r="M2446" s="475">
        <v>45842</v>
      </c>
      <c r="N2446" s="475">
        <v>45855</v>
      </c>
      <c r="O2446" s="61"/>
      <c r="P2446" s="475">
        <v>45856</v>
      </c>
      <c r="Q2446" s="475">
        <v>45856</v>
      </c>
      <c r="R2446" s="61">
        <f t="shared" si="171"/>
        <v>9</v>
      </c>
      <c r="S2446" s="61" t="str">
        <f t="shared" si="172"/>
        <v/>
      </c>
      <c r="T2446" s="61">
        <f t="shared" si="173"/>
        <v>1</v>
      </c>
      <c r="U2446" s="61">
        <f t="shared" si="174"/>
        <v>1</v>
      </c>
      <c r="V2446" s="61" t="s">
        <v>150</v>
      </c>
      <c r="W2446" s="61" t="s">
        <v>1078</v>
      </c>
      <c r="X2446" s="61" t="s">
        <v>50</v>
      </c>
      <c r="Y2446" s="61">
        <v>15.3688</v>
      </c>
      <c r="Z2446" s="61">
        <v>120.4836</v>
      </c>
      <c r="AA2446" s="61" t="s">
        <v>9157</v>
      </c>
      <c r="AB2446" s="61"/>
    </row>
    <row r="2447" spans="1:28" s="2" customFormat="1" ht="15">
      <c r="A2447" s="61" t="s">
        <v>779</v>
      </c>
      <c r="B2447" s="61" t="s">
        <v>1447</v>
      </c>
      <c r="C2447" s="61" t="s">
        <v>5905</v>
      </c>
      <c r="D2447" s="61" t="s">
        <v>7838</v>
      </c>
      <c r="E2447" s="61">
        <v>7683</v>
      </c>
      <c r="F2447" s="61">
        <v>7714</v>
      </c>
      <c r="G2447" s="61"/>
      <c r="H2447" s="61"/>
      <c r="I2447" s="61" t="s">
        <v>39</v>
      </c>
      <c r="J2447" s="61"/>
      <c r="K2447" s="61" t="s">
        <v>328</v>
      </c>
      <c r="L2447" s="61"/>
      <c r="M2447" s="61"/>
      <c r="N2447" s="475"/>
      <c r="O2447" s="61"/>
      <c r="P2447" s="475"/>
      <c r="Q2447" s="475"/>
      <c r="R2447" s="61" t="str">
        <f t="shared" si="171"/>
        <v/>
      </c>
      <c r="S2447" s="61" t="str">
        <f t="shared" si="172"/>
        <v/>
      </c>
      <c r="T2447" s="61" t="str">
        <f t="shared" si="173"/>
        <v/>
      </c>
      <c r="U2447" s="61" t="str">
        <f t="shared" si="174"/>
        <v/>
      </c>
      <c r="V2447" s="61"/>
      <c r="W2447" s="61"/>
      <c r="X2447" s="61"/>
      <c r="Y2447" s="61"/>
      <c r="Z2447" s="61"/>
      <c r="AA2447" s="61"/>
      <c r="AB2447" s="61"/>
    </row>
    <row r="2448" spans="1:28" s="2" customFormat="1" ht="15">
      <c r="A2448" s="61" t="s">
        <v>779</v>
      </c>
      <c r="B2448" s="61" t="s">
        <v>1447</v>
      </c>
      <c r="C2448" s="61" t="s">
        <v>5907</v>
      </c>
      <c r="D2448" s="61" t="s">
        <v>7838</v>
      </c>
      <c r="E2448" s="61">
        <v>1755</v>
      </c>
      <c r="F2448" s="61">
        <v>2059</v>
      </c>
      <c r="G2448" s="61"/>
      <c r="H2448" s="61"/>
      <c r="I2448" s="61" t="s">
        <v>39</v>
      </c>
      <c r="J2448" s="61"/>
      <c r="K2448" s="61" t="s">
        <v>328</v>
      </c>
      <c r="L2448" s="61"/>
      <c r="M2448" s="61"/>
      <c r="N2448" s="61"/>
      <c r="O2448" s="61"/>
      <c r="P2448" s="61"/>
      <c r="Q2448" s="61"/>
      <c r="R2448" s="61" t="str">
        <f t="shared" si="171"/>
        <v/>
      </c>
      <c r="S2448" s="61" t="str">
        <f t="shared" si="172"/>
        <v/>
      </c>
      <c r="T2448" s="61" t="str">
        <f t="shared" si="173"/>
        <v/>
      </c>
      <c r="U2448" s="61" t="str">
        <f t="shared" si="174"/>
        <v/>
      </c>
      <c r="V2448" s="61"/>
      <c r="W2448" s="61"/>
      <c r="X2448" s="61"/>
      <c r="Y2448" s="61"/>
      <c r="Z2448" s="61"/>
      <c r="AA2448" s="61"/>
      <c r="AB2448" s="61"/>
    </row>
    <row r="2449" spans="1:28" s="2" customFormat="1" ht="15">
      <c r="A2449" s="61" t="s">
        <v>779</v>
      </c>
      <c r="B2449" s="61" t="s">
        <v>1447</v>
      </c>
      <c r="C2449" s="61" t="s">
        <v>1448</v>
      </c>
      <c r="D2449" s="61" t="s">
        <v>7838</v>
      </c>
      <c r="E2449" s="61">
        <v>10475</v>
      </c>
      <c r="F2449" s="61">
        <v>12059</v>
      </c>
      <c r="G2449" s="61"/>
      <c r="H2449" s="61"/>
      <c r="I2449" s="61" t="s">
        <v>39</v>
      </c>
      <c r="J2449" s="61"/>
      <c r="K2449" s="61" t="s">
        <v>328</v>
      </c>
      <c r="L2449" s="61"/>
      <c r="M2449" s="61"/>
      <c r="N2449" s="61"/>
      <c r="O2449" s="61"/>
      <c r="P2449" s="61"/>
      <c r="Q2449" s="61"/>
      <c r="R2449" s="61" t="str">
        <f t="shared" si="171"/>
        <v/>
      </c>
      <c r="S2449" s="61" t="str">
        <f t="shared" si="172"/>
        <v/>
      </c>
      <c r="T2449" s="61" t="str">
        <f t="shared" si="173"/>
        <v/>
      </c>
      <c r="U2449" s="61" t="str">
        <f t="shared" si="174"/>
        <v/>
      </c>
      <c r="V2449" s="61"/>
      <c r="W2449" s="61"/>
      <c r="X2449" s="61"/>
      <c r="Y2449" s="61"/>
      <c r="Z2449" s="61"/>
      <c r="AA2449" s="61"/>
      <c r="AB2449" s="61"/>
    </row>
    <row r="2450" spans="1:28" s="2" customFormat="1" ht="15">
      <c r="A2450" s="61" t="s">
        <v>779</v>
      </c>
      <c r="B2450" s="61" t="s">
        <v>1447</v>
      </c>
      <c r="C2450" s="61" t="s">
        <v>5913</v>
      </c>
      <c r="D2450" s="61" t="s">
        <v>7838</v>
      </c>
      <c r="E2450" s="61">
        <v>3347</v>
      </c>
      <c r="F2450" s="61">
        <v>4059</v>
      </c>
      <c r="G2450" s="61"/>
      <c r="H2450" s="61"/>
      <c r="I2450" s="61" t="s">
        <v>39</v>
      </c>
      <c r="J2450" s="61"/>
      <c r="K2450" s="61" t="s">
        <v>328</v>
      </c>
      <c r="L2450" s="61"/>
      <c r="M2450" s="61"/>
      <c r="N2450" s="61"/>
      <c r="O2450" s="61"/>
      <c r="P2450" s="61"/>
      <c r="Q2450" s="61"/>
      <c r="R2450" s="61" t="str">
        <f t="shared" si="171"/>
        <v/>
      </c>
      <c r="S2450" s="61" t="str">
        <f t="shared" si="172"/>
        <v/>
      </c>
      <c r="T2450" s="61" t="str">
        <f t="shared" si="173"/>
        <v/>
      </c>
      <c r="U2450" s="61" t="str">
        <f t="shared" si="174"/>
        <v/>
      </c>
      <c r="V2450" s="61"/>
      <c r="W2450" s="61"/>
      <c r="X2450" s="61"/>
      <c r="Y2450" s="61"/>
      <c r="Z2450" s="61"/>
      <c r="AA2450" s="61"/>
      <c r="AB2450" s="61"/>
    </row>
    <row r="2451" spans="1:28" s="2" customFormat="1" ht="15">
      <c r="A2451" s="61" t="s">
        <v>779</v>
      </c>
      <c r="B2451" s="61" t="s">
        <v>1447</v>
      </c>
      <c r="C2451" s="61" t="s">
        <v>5914</v>
      </c>
      <c r="D2451" s="61" t="s">
        <v>7838</v>
      </c>
      <c r="E2451" s="61">
        <v>6423</v>
      </c>
      <c r="F2451" s="61">
        <v>7073</v>
      </c>
      <c r="G2451" s="61"/>
      <c r="H2451" s="61"/>
      <c r="I2451" s="61" t="s">
        <v>39</v>
      </c>
      <c r="J2451" s="61"/>
      <c r="K2451" s="61" t="s">
        <v>328</v>
      </c>
      <c r="L2451" s="61"/>
      <c r="M2451" s="61"/>
      <c r="N2451" s="61"/>
      <c r="O2451" s="61"/>
      <c r="P2451" s="61"/>
      <c r="Q2451" s="61"/>
      <c r="R2451" s="61" t="str">
        <f t="shared" si="171"/>
        <v/>
      </c>
      <c r="S2451" s="61" t="str">
        <f t="shared" si="172"/>
        <v/>
      </c>
      <c r="T2451" s="61" t="str">
        <f t="shared" si="173"/>
        <v/>
      </c>
      <c r="U2451" s="61" t="str">
        <f t="shared" si="174"/>
        <v/>
      </c>
      <c r="V2451" s="61"/>
      <c r="W2451" s="61"/>
      <c r="X2451" s="61"/>
      <c r="Y2451" s="61"/>
      <c r="Z2451" s="61"/>
      <c r="AA2451" s="61"/>
      <c r="AB2451" s="61"/>
    </row>
    <row r="2452" spans="1:28" s="2" customFormat="1" ht="15">
      <c r="A2452" s="61" t="s">
        <v>779</v>
      </c>
      <c r="B2452" s="61" t="s">
        <v>1447</v>
      </c>
      <c r="C2452" s="61" t="s">
        <v>5915</v>
      </c>
      <c r="D2452" s="61" t="s">
        <v>7838</v>
      </c>
      <c r="E2452" s="61">
        <v>1788</v>
      </c>
      <c r="F2452" s="61">
        <v>2100</v>
      </c>
      <c r="G2452" s="61"/>
      <c r="H2452" s="61"/>
      <c r="I2452" s="61" t="s">
        <v>39</v>
      </c>
      <c r="J2452" s="61"/>
      <c r="K2452" s="61" t="s">
        <v>328</v>
      </c>
      <c r="L2452" s="61"/>
      <c r="M2452" s="61"/>
      <c r="N2452" s="61"/>
      <c r="O2452" s="61"/>
      <c r="P2452" s="61"/>
      <c r="Q2452" s="61"/>
      <c r="R2452" s="61" t="str">
        <f t="shared" si="171"/>
        <v/>
      </c>
      <c r="S2452" s="61" t="str">
        <f t="shared" si="172"/>
        <v/>
      </c>
      <c r="T2452" s="61" t="str">
        <f t="shared" si="173"/>
        <v/>
      </c>
      <c r="U2452" s="61" t="str">
        <f t="shared" si="174"/>
        <v/>
      </c>
      <c r="V2452" s="61"/>
      <c r="W2452" s="61"/>
      <c r="X2452" s="61"/>
      <c r="Y2452" s="61"/>
      <c r="Z2452" s="61"/>
      <c r="AA2452" s="61"/>
      <c r="AB2452" s="61"/>
    </row>
    <row r="2453" spans="1:28" s="2" customFormat="1" ht="15">
      <c r="A2453" s="61" t="s">
        <v>779</v>
      </c>
      <c r="B2453" s="61" t="s">
        <v>1447</v>
      </c>
      <c r="C2453" s="61" t="s">
        <v>5916</v>
      </c>
      <c r="D2453" s="61" t="s">
        <v>7838</v>
      </c>
      <c r="E2453" s="61">
        <v>2002</v>
      </c>
      <c r="F2453" s="61">
        <v>2475</v>
      </c>
      <c r="G2453" s="61"/>
      <c r="H2453" s="61"/>
      <c r="I2453" s="61" t="s">
        <v>39</v>
      </c>
      <c r="J2453" s="61"/>
      <c r="K2453" s="61" t="s">
        <v>328</v>
      </c>
      <c r="L2453" s="61"/>
      <c r="M2453" s="61"/>
      <c r="N2453" s="61"/>
      <c r="O2453" s="61"/>
      <c r="P2453" s="61"/>
      <c r="Q2453" s="61"/>
      <c r="R2453" s="61" t="str">
        <f t="shared" si="171"/>
        <v/>
      </c>
      <c r="S2453" s="61" t="str">
        <f t="shared" si="172"/>
        <v/>
      </c>
      <c r="T2453" s="61" t="str">
        <f t="shared" si="173"/>
        <v/>
      </c>
      <c r="U2453" s="61" t="str">
        <f t="shared" si="174"/>
        <v/>
      </c>
      <c r="V2453" s="61"/>
      <c r="W2453" s="61"/>
      <c r="X2453" s="61"/>
      <c r="Y2453" s="61"/>
      <c r="Z2453" s="61"/>
      <c r="AA2453" s="61"/>
      <c r="AB2453" s="61"/>
    </row>
    <row r="2454" spans="1:28" s="2" customFormat="1" ht="28.5">
      <c r="A2454" s="61" t="s">
        <v>779</v>
      </c>
      <c r="B2454" s="61" t="s">
        <v>1447</v>
      </c>
      <c r="C2454" s="61" t="s">
        <v>5920</v>
      </c>
      <c r="D2454" s="61" t="s">
        <v>7838</v>
      </c>
      <c r="E2454" s="61">
        <v>7078</v>
      </c>
      <c r="F2454" s="61">
        <v>7426</v>
      </c>
      <c r="G2454" s="61">
        <v>2025</v>
      </c>
      <c r="H2454" s="61" t="s">
        <v>3129</v>
      </c>
      <c r="I2454" s="61" t="s">
        <v>39</v>
      </c>
      <c r="J2454" s="61" t="s">
        <v>1453</v>
      </c>
      <c r="K2454" s="61" t="s">
        <v>28</v>
      </c>
      <c r="L2454" s="61" t="s">
        <v>9162</v>
      </c>
      <c r="M2454" s="475">
        <v>45968</v>
      </c>
      <c r="N2454" s="475">
        <v>45973</v>
      </c>
      <c r="O2454" s="475">
        <v>45978</v>
      </c>
      <c r="P2454" s="475">
        <v>45978</v>
      </c>
      <c r="Q2454" s="475">
        <v>45978</v>
      </c>
      <c r="R2454" s="61">
        <f t="shared" si="171"/>
        <v>3</v>
      </c>
      <c r="S2454" s="61">
        <f t="shared" si="172"/>
        <v>3</v>
      </c>
      <c r="T2454" s="61">
        <f>IF(
    OR(ISBLANK(O2454), ISBLANK(P2454)),
    "",
    MAX(1, IF(
        NETWORKDAYS(O2454, P2454) &lt;= 0,
        1,
        NETWORKDAYS(O2454, P2454) - IF(O2454 = P2454, 0, 1)
    ))
)</f>
        <v>1</v>
      </c>
      <c r="U2454" s="61">
        <f t="shared" si="174"/>
        <v>1</v>
      </c>
      <c r="V2454" s="61" t="s">
        <v>150</v>
      </c>
      <c r="W2454" s="61" t="s">
        <v>1078</v>
      </c>
      <c r="X2454" s="61" t="s">
        <v>50</v>
      </c>
      <c r="Y2454" s="61" t="s">
        <v>69</v>
      </c>
      <c r="Z2454" s="61" t="s">
        <v>69</v>
      </c>
      <c r="AA2454" s="61" t="s">
        <v>8091</v>
      </c>
      <c r="AB2454" s="61" t="s">
        <v>9163</v>
      </c>
    </row>
    <row r="2455" spans="1:28" s="2" customFormat="1" ht="28.5">
      <c r="A2455" s="61" t="s">
        <v>779</v>
      </c>
      <c r="B2455" s="61" t="s">
        <v>1447</v>
      </c>
      <c r="C2455" s="61" t="s">
        <v>4242</v>
      </c>
      <c r="D2455" s="61" t="s">
        <v>7838</v>
      </c>
      <c r="E2455" s="61">
        <v>1819</v>
      </c>
      <c r="F2455" s="61">
        <v>2325</v>
      </c>
      <c r="G2455" s="61">
        <v>2025</v>
      </c>
      <c r="H2455" s="61" t="s">
        <v>3129</v>
      </c>
      <c r="I2455" s="61" t="s">
        <v>39</v>
      </c>
      <c r="J2455" s="61" t="s">
        <v>1453</v>
      </c>
      <c r="K2455" s="61" t="s">
        <v>28</v>
      </c>
      <c r="L2455" s="61" t="s">
        <v>9162</v>
      </c>
      <c r="M2455" s="475">
        <v>45968</v>
      </c>
      <c r="N2455" s="475">
        <v>45973</v>
      </c>
      <c r="O2455" s="475">
        <v>45978</v>
      </c>
      <c r="P2455" s="475">
        <v>45978</v>
      </c>
      <c r="Q2455" s="475">
        <v>45978</v>
      </c>
      <c r="R2455" s="61">
        <f t="shared" si="171"/>
        <v>3</v>
      </c>
      <c r="S2455" s="61">
        <f t="shared" si="172"/>
        <v>3</v>
      </c>
      <c r="T2455" s="61">
        <f>IF(
    OR(ISBLANK(O2455), ISBLANK(P2455)),
    "",
    MAX(1, IF(
        NETWORKDAYS(O2455, P2455) &lt;= 0,
        1,
        NETWORKDAYS(O2455, P2455) - IF(O2455 = P2455, 0, 1)
    ))
)</f>
        <v>1</v>
      </c>
      <c r="U2455" s="61">
        <f t="shared" si="174"/>
        <v>1</v>
      </c>
      <c r="V2455" s="61" t="s">
        <v>150</v>
      </c>
      <c r="W2455" s="61" t="s">
        <v>1078</v>
      </c>
      <c r="X2455" s="61" t="s">
        <v>50</v>
      </c>
      <c r="Y2455" s="61" t="s">
        <v>69</v>
      </c>
      <c r="Z2455" s="61" t="s">
        <v>69</v>
      </c>
      <c r="AA2455" s="61" t="s">
        <v>8091</v>
      </c>
      <c r="AB2455" s="61" t="s">
        <v>9163</v>
      </c>
    </row>
    <row r="2456" spans="1:28" s="2" customFormat="1" ht="28.5">
      <c r="A2456" s="61" t="s">
        <v>779</v>
      </c>
      <c r="B2456" s="61" t="s">
        <v>1447</v>
      </c>
      <c r="C2456" s="61" t="s">
        <v>5922</v>
      </c>
      <c r="D2456" s="61" t="s">
        <v>7838</v>
      </c>
      <c r="E2456" s="61">
        <v>2224</v>
      </c>
      <c r="F2456" s="61">
        <v>2419</v>
      </c>
      <c r="G2456" s="61">
        <v>2025</v>
      </c>
      <c r="H2456" s="61" t="s">
        <v>3129</v>
      </c>
      <c r="I2456" s="61" t="s">
        <v>39</v>
      </c>
      <c r="J2456" s="61" t="s">
        <v>1453</v>
      </c>
      <c r="K2456" s="61" t="s">
        <v>28</v>
      </c>
      <c r="L2456" s="61" t="s">
        <v>9162</v>
      </c>
      <c r="M2456" s="475">
        <v>45968</v>
      </c>
      <c r="N2456" s="475">
        <v>45973</v>
      </c>
      <c r="O2456" s="475">
        <v>45978</v>
      </c>
      <c r="P2456" s="475">
        <v>45978</v>
      </c>
      <c r="Q2456" s="475">
        <v>45978</v>
      </c>
      <c r="R2456" s="61">
        <f t="shared" si="171"/>
        <v>3</v>
      </c>
      <c r="S2456" s="61">
        <f t="shared" si="172"/>
        <v>3</v>
      </c>
      <c r="T2456" s="61">
        <f>IF(
    OR(ISBLANK(O2456), ISBLANK(P2456)),
    "",
    MAX(1, IF(
        NETWORKDAYS(O2456, P2456) &lt;= 0,
        1,
        NETWORKDAYS(O2456, P2456) - IF(O2456 = P2456, 0, 1)
    ))
)</f>
        <v>1</v>
      </c>
      <c r="U2456" s="61">
        <f t="shared" si="174"/>
        <v>1</v>
      </c>
      <c r="V2456" s="61" t="s">
        <v>150</v>
      </c>
      <c r="W2456" s="61" t="s">
        <v>1078</v>
      </c>
      <c r="X2456" s="61" t="s">
        <v>50</v>
      </c>
      <c r="Y2456" s="61" t="s">
        <v>69</v>
      </c>
      <c r="Z2456" s="61" t="s">
        <v>69</v>
      </c>
      <c r="AA2456" s="61" t="s">
        <v>8091</v>
      </c>
      <c r="AB2456" s="61" t="s">
        <v>9163</v>
      </c>
    </row>
    <row r="2457" spans="1:28" s="2" customFormat="1" ht="28.5">
      <c r="A2457" s="61" t="s">
        <v>779</v>
      </c>
      <c r="B2457" s="61" t="s">
        <v>1447</v>
      </c>
      <c r="C2457" s="61" t="s">
        <v>5924</v>
      </c>
      <c r="D2457" s="61" t="s">
        <v>7838</v>
      </c>
      <c r="E2457" s="61">
        <v>6297</v>
      </c>
      <c r="F2457" s="61">
        <v>6933</v>
      </c>
      <c r="G2457" s="61">
        <v>2025</v>
      </c>
      <c r="H2457" s="61" t="s">
        <v>3129</v>
      </c>
      <c r="I2457" s="61" t="s">
        <v>39</v>
      </c>
      <c r="J2457" s="61" t="s">
        <v>1453</v>
      </c>
      <c r="K2457" s="61" t="s">
        <v>28</v>
      </c>
      <c r="L2457" s="61" t="s">
        <v>9162</v>
      </c>
      <c r="M2457" s="475">
        <v>45968</v>
      </c>
      <c r="N2457" s="475">
        <v>45973</v>
      </c>
      <c r="O2457" s="475">
        <v>45978</v>
      </c>
      <c r="P2457" s="475">
        <v>45978</v>
      </c>
      <c r="Q2457" s="475">
        <v>45978</v>
      </c>
      <c r="R2457" s="61">
        <f t="shared" si="171"/>
        <v>3</v>
      </c>
      <c r="S2457" s="61">
        <f t="shared" si="172"/>
        <v>3</v>
      </c>
      <c r="T2457" s="61">
        <f>IF(
    OR(ISBLANK(O2457), ISBLANK(P2457)),
    "",
    MAX(1, IF(
        NETWORKDAYS(O2457, P2457) &lt;= 0,
        1,
        NETWORKDAYS(O2457, P2457) - IF(O2457 = P2457, 0, 1)
    ))
)</f>
        <v>1</v>
      </c>
      <c r="U2457" s="61">
        <f t="shared" si="174"/>
        <v>1</v>
      </c>
      <c r="V2457" s="61" t="s">
        <v>150</v>
      </c>
      <c r="W2457" s="61" t="s">
        <v>1078</v>
      </c>
      <c r="X2457" s="61" t="s">
        <v>50</v>
      </c>
      <c r="Y2457" s="61" t="s">
        <v>69</v>
      </c>
      <c r="Z2457" s="61" t="s">
        <v>69</v>
      </c>
      <c r="AA2457" s="61" t="s">
        <v>8091</v>
      </c>
      <c r="AB2457" s="61" t="s">
        <v>9163</v>
      </c>
    </row>
    <row r="2458" spans="1:28" s="2" customFormat="1" ht="28.5">
      <c r="A2458" s="61" t="s">
        <v>779</v>
      </c>
      <c r="B2458" s="61" t="s">
        <v>1447</v>
      </c>
      <c r="C2458" s="61" t="s">
        <v>4261</v>
      </c>
      <c r="D2458" s="61" t="s">
        <v>7838</v>
      </c>
      <c r="E2458" s="61">
        <v>7099</v>
      </c>
      <c r="F2458" s="61">
        <v>6991</v>
      </c>
      <c r="G2458" s="61">
        <v>2025</v>
      </c>
      <c r="H2458" s="61" t="s">
        <v>3129</v>
      </c>
      <c r="I2458" s="61" t="s">
        <v>39</v>
      </c>
      <c r="J2458" s="61" t="s">
        <v>1453</v>
      </c>
      <c r="K2458" s="61" t="s">
        <v>28</v>
      </c>
      <c r="L2458" s="61" t="s">
        <v>9162</v>
      </c>
      <c r="M2458" s="475">
        <v>45968</v>
      </c>
      <c r="N2458" s="475">
        <v>45973</v>
      </c>
      <c r="O2458" s="475">
        <v>45978</v>
      </c>
      <c r="P2458" s="475">
        <v>45978</v>
      </c>
      <c r="Q2458" s="475">
        <v>45978</v>
      </c>
      <c r="R2458" s="61">
        <f t="shared" si="171"/>
        <v>3</v>
      </c>
      <c r="S2458" s="61">
        <f t="shared" si="172"/>
        <v>3</v>
      </c>
      <c r="T2458" s="61">
        <f>IF(
    OR(ISBLANK(O2458), ISBLANK(P2458)),
    "",
    MAX(1, IF(
        NETWORKDAYS(O2458, P2458) &lt;= 0,
        1,
        NETWORKDAYS(O2458, P2458) - IF(O2458 = P2458, 0, 1)
    ))
)</f>
        <v>1</v>
      </c>
      <c r="U2458" s="61">
        <f t="shared" si="174"/>
        <v>1</v>
      </c>
      <c r="V2458" s="61" t="s">
        <v>150</v>
      </c>
      <c r="W2458" s="61" t="s">
        <v>1078</v>
      </c>
      <c r="X2458" s="61" t="s">
        <v>50</v>
      </c>
      <c r="Y2458" s="61" t="s">
        <v>69</v>
      </c>
      <c r="Z2458" s="61" t="s">
        <v>69</v>
      </c>
      <c r="AA2458" s="61" t="s">
        <v>8091</v>
      </c>
      <c r="AB2458" s="61" t="s">
        <v>9163</v>
      </c>
    </row>
    <row r="2459" spans="1:28" s="2" customFormat="1" ht="15">
      <c r="A2459" s="61" t="s">
        <v>779</v>
      </c>
      <c r="B2459" s="61" t="s">
        <v>1447</v>
      </c>
      <c r="C2459" s="61" t="s">
        <v>5911</v>
      </c>
      <c r="D2459" s="61" t="s">
        <v>7838</v>
      </c>
      <c r="E2459" s="61">
        <v>6885</v>
      </c>
      <c r="F2459" s="61">
        <v>8214</v>
      </c>
      <c r="G2459" s="61">
        <v>2025</v>
      </c>
      <c r="H2459" s="61" t="s">
        <v>3127</v>
      </c>
      <c r="I2459" s="61" t="s">
        <v>37</v>
      </c>
      <c r="J2459" s="61"/>
      <c r="K2459" s="61" t="s">
        <v>328</v>
      </c>
      <c r="L2459" s="61" t="s">
        <v>9164</v>
      </c>
      <c r="M2459" s="475">
        <v>45896</v>
      </c>
      <c r="N2459" s="475">
        <v>45915</v>
      </c>
      <c r="O2459" s="61"/>
      <c r="P2459" s="475">
        <v>45916</v>
      </c>
      <c r="Q2459" s="475">
        <v>45918</v>
      </c>
      <c r="R2459" s="61">
        <f t="shared" si="171"/>
        <v>13</v>
      </c>
      <c r="S2459" s="61" t="str">
        <f t="shared" si="172"/>
        <v/>
      </c>
      <c r="T2459" s="61">
        <f t="shared" ref="T2459:T2522" si="175">IF(
  OR(A2459 = "Nueva_Ecija", A2459 = "Zambales"),
  IF(
    OR(ISBLANK(O2459), ISBLANK(P2459)),
    "",
    MAX(1, IF(
      NETWORKDAYS(O2459, P2459) &lt;= 0,
      1,
      NETWORKDAYS(O2459, P2459) - IF(O2459 = P2459, 0, 1)
    ))
  ),
  IF(
    OR(ISBLANK(N2459), ISBLANK(P2459)),
    "",
    MAX(1, IF(
      NETWORKDAYS(N2459, P2459) &lt;= 0,
      1,
      NETWORKDAYS(N2459, P2459) - IF(N2459 = P2459, 0, 1)
    ))
  )
)</f>
        <v>1</v>
      </c>
      <c r="U2459" s="61">
        <f t="shared" si="174"/>
        <v>2</v>
      </c>
      <c r="V2459" s="61" t="s">
        <v>150</v>
      </c>
      <c r="W2459" s="61" t="s">
        <v>3527</v>
      </c>
      <c r="X2459" s="61" t="s">
        <v>3528</v>
      </c>
      <c r="Y2459" s="61" t="s">
        <v>69</v>
      </c>
      <c r="Z2459" s="61" t="s">
        <v>69</v>
      </c>
      <c r="AA2459" s="61" t="s">
        <v>9157</v>
      </c>
      <c r="AB2459" s="61"/>
    </row>
    <row r="2460" spans="1:28" s="2" customFormat="1" ht="15">
      <c r="A2460" s="61" t="s">
        <v>779</v>
      </c>
      <c r="B2460" s="61" t="s">
        <v>1447</v>
      </c>
      <c r="C2460" s="61" t="s">
        <v>5925</v>
      </c>
      <c r="D2460" s="61" t="s">
        <v>7838</v>
      </c>
      <c r="E2460" s="61">
        <v>5584</v>
      </c>
      <c r="F2460" s="61">
        <v>6757</v>
      </c>
      <c r="G2460" s="61">
        <v>2025</v>
      </c>
      <c r="H2460" s="61" t="s">
        <v>3127</v>
      </c>
      <c r="I2460" s="61" t="s">
        <v>39</v>
      </c>
      <c r="J2460" s="61"/>
      <c r="K2460" s="61" t="s">
        <v>328</v>
      </c>
      <c r="L2460" s="61" t="s">
        <v>9165</v>
      </c>
      <c r="M2460" s="475">
        <v>45896</v>
      </c>
      <c r="N2460" s="475">
        <v>45915</v>
      </c>
      <c r="O2460" s="61"/>
      <c r="P2460" s="475">
        <v>45916</v>
      </c>
      <c r="Q2460" s="475">
        <v>45918</v>
      </c>
      <c r="R2460" s="61">
        <f t="shared" si="171"/>
        <v>13</v>
      </c>
      <c r="S2460" s="61" t="str">
        <f t="shared" si="172"/>
        <v/>
      </c>
      <c r="T2460" s="61">
        <f t="shared" si="175"/>
        <v>1</v>
      </c>
      <c r="U2460" s="61">
        <f t="shared" si="174"/>
        <v>2</v>
      </c>
      <c r="V2460" s="61" t="s">
        <v>150</v>
      </c>
      <c r="W2460" s="61" t="s">
        <v>3527</v>
      </c>
      <c r="X2460" s="61" t="s">
        <v>3528</v>
      </c>
      <c r="Y2460" s="61" t="s">
        <v>69</v>
      </c>
      <c r="Z2460" s="61" t="s">
        <v>69</v>
      </c>
      <c r="AA2460" s="61" t="s">
        <v>9157</v>
      </c>
      <c r="AB2460" s="61"/>
    </row>
    <row r="2461" spans="1:28" s="2" customFormat="1" ht="28.5">
      <c r="A2461" s="61" t="s">
        <v>779</v>
      </c>
      <c r="B2461" s="61" t="s">
        <v>1185</v>
      </c>
      <c r="C2461" s="61" t="s">
        <v>5927</v>
      </c>
      <c r="D2461" s="61" t="s">
        <v>7838</v>
      </c>
      <c r="E2461" s="61">
        <v>8750</v>
      </c>
      <c r="F2461" s="61">
        <v>9534</v>
      </c>
      <c r="G2461" s="61">
        <v>2025</v>
      </c>
      <c r="H2461" s="61" t="s">
        <v>3416</v>
      </c>
      <c r="I2461" s="61" t="s">
        <v>39</v>
      </c>
      <c r="J2461" s="61"/>
      <c r="K2461" s="61" t="s">
        <v>328</v>
      </c>
      <c r="L2461" s="61" t="s">
        <v>9166</v>
      </c>
      <c r="M2461" s="475">
        <v>45721</v>
      </c>
      <c r="N2461" s="475">
        <v>45726</v>
      </c>
      <c r="O2461" s="61"/>
      <c r="P2461" s="475">
        <v>45727</v>
      </c>
      <c r="Q2461" s="475">
        <v>45730</v>
      </c>
      <c r="R2461" s="61">
        <f t="shared" si="171"/>
        <v>3</v>
      </c>
      <c r="S2461" s="61" t="str">
        <f t="shared" si="172"/>
        <v/>
      </c>
      <c r="T2461" s="61">
        <f t="shared" si="175"/>
        <v>1</v>
      </c>
      <c r="U2461" s="61">
        <f t="shared" si="174"/>
        <v>3</v>
      </c>
      <c r="V2461" s="61" t="s">
        <v>150</v>
      </c>
      <c r="W2461" s="61" t="s">
        <v>4</v>
      </c>
      <c r="X2461" s="61" t="s">
        <v>50</v>
      </c>
      <c r="Y2461" s="61">
        <v>15.333</v>
      </c>
      <c r="Z2461" s="61">
        <v>120.64279999999999</v>
      </c>
      <c r="AA2461" s="61" t="s">
        <v>9167</v>
      </c>
      <c r="AB2461" s="61"/>
    </row>
    <row r="2462" spans="1:28" s="2" customFormat="1" ht="15">
      <c r="A2462" s="61" t="s">
        <v>779</v>
      </c>
      <c r="B2462" s="61" t="s">
        <v>1185</v>
      </c>
      <c r="C2462" s="61" t="s">
        <v>5929</v>
      </c>
      <c r="D2462" s="61" t="s">
        <v>7838</v>
      </c>
      <c r="E2462" s="61">
        <v>2776</v>
      </c>
      <c r="F2462" s="61">
        <v>3239</v>
      </c>
      <c r="G2462" s="61">
        <v>2025</v>
      </c>
      <c r="H2462" s="61" t="s">
        <v>3689</v>
      </c>
      <c r="I2462" s="61" t="s">
        <v>39</v>
      </c>
      <c r="J2462" s="61"/>
      <c r="K2462" s="61" t="s">
        <v>328</v>
      </c>
      <c r="L2462" s="61" t="s">
        <v>9168</v>
      </c>
      <c r="M2462" s="475">
        <v>45821</v>
      </c>
      <c r="N2462" s="475">
        <v>45826</v>
      </c>
      <c r="O2462" s="61"/>
      <c r="P2462" s="475">
        <v>45827</v>
      </c>
      <c r="Q2462" s="475">
        <v>45827</v>
      </c>
      <c r="R2462" s="61">
        <f t="shared" si="171"/>
        <v>3</v>
      </c>
      <c r="S2462" s="61" t="str">
        <f t="shared" si="172"/>
        <v/>
      </c>
      <c r="T2462" s="61">
        <f t="shared" si="175"/>
        <v>1</v>
      </c>
      <c r="U2462" s="61">
        <f t="shared" si="174"/>
        <v>1</v>
      </c>
      <c r="V2462" s="61" t="s">
        <v>150</v>
      </c>
      <c r="W2462" s="61" t="s">
        <v>4</v>
      </c>
      <c r="X2462" s="61" t="s">
        <v>50</v>
      </c>
      <c r="Y2462" s="61">
        <v>15.337300000000001</v>
      </c>
      <c r="Z2462" s="61">
        <v>120.7088</v>
      </c>
      <c r="AA2462" s="61" t="s">
        <v>9157</v>
      </c>
      <c r="AB2462" s="61"/>
    </row>
    <row r="2463" spans="1:28" s="2" customFormat="1" ht="28.5">
      <c r="A2463" s="61" t="s">
        <v>779</v>
      </c>
      <c r="B2463" s="61" t="s">
        <v>1185</v>
      </c>
      <c r="C2463" s="61" t="s">
        <v>5932</v>
      </c>
      <c r="D2463" s="61" t="s">
        <v>7838</v>
      </c>
      <c r="E2463" s="61">
        <v>4694</v>
      </c>
      <c r="F2463" s="61">
        <v>5280</v>
      </c>
      <c r="G2463" s="61">
        <v>2025</v>
      </c>
      <c r="H2463" s="61" t="s">
        <v>3458</v>
      </c>
      <c r="I2463" s="61" t="s">
        <v>39</v>
      </c>
      <c r="J2463" s="61"/>
      <c r="K2463" s="61" t="s">
        <v>328</v>
      </c>
      <c r="L2463" s="61" t="s">
        <v>9169</v>
      </c>
      <c r="M2463" s="475">
        <v>45693</v>
      </c>
      <c r="N2463" s="475">
        <v>45698</v>
      </c>
      <c r="O2463" s="475">
        <v>45698</v>
      </c>
      <c r="P2463" s="475">
        <v>45700</v>
      </c>
      <c r="Q2463" s="475">
        <v>45701</v>
      </c>
      <c r="R2463" s="61">
        <f t="shared" si="171"/>
        <v>3</v>
      </c>
      <c r="S2463" s="61">
        <f t="shared" si="172"/>
        <v>1</v>
      </c>
      <c r="T2463" s="61">
        <f t="shared" si="175"/>
        <v>2</v>
      </c>
      <c r="U2463" s="61">
        <f t="shared" si="174"/>
        <v>1</v>
      </c>
      <c r="V2463" s="61" t="s">
        <v>150</v>
      </c>
      <c r="W2463" s="61" t="s">
        <v>4</v>
      </c>
      <c r="X2463" s="61" t="s">
        <v>50</v>
      </c>
      <c r="Y2463" s="61"/>
      <c r="Z2463" s="61"/>
      <c r="AA2463" s="61" t="s">
        <v>9167</v>
      </c>
      <c r="AB2463" s="61"/>
    </row>
    <row r="2464" spans="1:28" s="2" customFormat="1" ht="28.5">
      <c r="A2464" s="61" t="s">
        <v>779</v>
      </c>
      <c r="B2464" s="61" t="s">
        <v>1185</v>
      </c>
      <c r="C2464" s="61" t="s">
        <v>5934</v>
      </c>
      <c r="D2464" s="61" t="s">
        <v>7838</v>
      </c>
      <c r="E2464" s="61">
        <v>2114</v>
      </c>
      <c r="F2464" s="61">
        <v>2111</v>
      </c>
      <c r="G2464" s="61">
        <v>2025</v>
      </c>
      <c r="H2464" s="61" t="s">
        <v>3416</v>
      </c>
      <c r="I2464" s="61" t="s">
        <v>39</v>
      </c>
      <c r="J2464" s="61"/>
      <c r="K2464" s="61" t="s">
        <v>328</v>
      </c>
      <c r="L2464" s="61" t="s">
        <v>9170</v>
      </c>
      <c r="M2464" s="475">
        <v>45721</v>
      </c>
      <c r="N2464" s="475">
        <v>45726</v>
      </c>
      <c r="O2464" s="61"/>
      <c r="P2464" s="475">
        <v>45727</v>
      </c>
      <c r="Q2464" s="475">
        <v>45730</v>
      </c>
      <c r="R2464" s="61">
        <f t="shared" si="171"/>
        <v>3</v>
      </c>
      <c r="S2464" s="61" t="str">
        <f t="shared" si="172"/>
        <v/>
      </c>
      <c r="T2464" s="61">
        <f t="shared" si="175"/>
        <v>1</v>
      </c>
      <c r="U2464" s="61">
        <f t="shared" si="174"/>
        <v>3</v>
      </c>
      <c r="V2464" s="61" t="s">
        <v>150</v>
      </c>
      <c r="W2464" s="61" t="s">
        <v>4</v>
      </c>
      <c r="X2464" s="61" t="s">
        <v>50</v>
      </c>
      <c r="Y2464" s="61">
        <v>15.357200000000001</v>
      </c>
      <c r="Z2464" s="61">
        <v>120.67489999999999</v>
      </c>
      <c r="AA2464" s="61" t="s">
        <v>9167</v>
      </c>
      <c r="AB2464" s="61"/>
    </row>
    <row r="2465" spans="1:28" s="2" customFormat="1" ht="15.75">
      <c r="A2465" s="61" t="s">
        <v>779</v>
      </c>
      <c r="B2465" s="61" t="s">
        <v>1185</v>
      </c>
      <c r="C2465" s="61" t="s">
        <v>5937</v>
      </c>
      <c r="D2465" s="61" t="s">
        <v>7838</v>
      </c>
      <c r="E2465" s="61">
        <v>5917</v>
      </c>
      <c r="F2465" s="61">
        <v>6396</v>
      </c>
      <c r="G2465" s="61">
        <v>2025</v>
      </c>
      <c r="H2465" s="61" t="s">
        <v>3416</v>
      </c>
      <c r="I2465" s="61" t="s">
        <v>39</v>
      </c>
      <c r="J2465" s="61"/>
      <c r="K2465" s="61" t="s">
        <v>328</v>
      </c>
      <c r="L2465" s="61" t="s">
        <v>9171</v>
      </c>
      <c r="M2465" s="475">
        <v>45721</v>
      </c>
      <c r="N2465" s="475">
        <v>45726</v>
      </c>
      <c r="O2465" s="61"/>
      <c r="P2465" s="475">
        <v>45727</v>
      </c>
      <c r="Q2465" s="475">
        <v>45730</v>
      </c>
      <c r="R2465" s="61">
        <f t="shared" si="171"/>
        <v>3</v>
      </c>
      <c r="S2465" s="61" t="str">
        <f t="shared" si="172"/>
        <v/>
      </c>
      <c r="T2465" s="61">
        <f t="shared" si="175"/>
        <v>1</v>
      </c>
      <c r="U2465" s="61">
        <f t="shared" si="174"/>
        <v>3</v>
      </c>
      <c r="V2465" s="61" t="s">
        <v>150</v>
      </c>
      <c r="W2465" s="61" t="s">
        <v>4</v>
      </c>
      <c r="X2465" s="61" t="s">
        <v>50</v>
      </c>
      <c r="Y2465" s="501">
        <v>15.3368</v>
      </c>
      <c r="Z2465" s="501">
        <v>120.6251</v>
      </c>
      <c r="AA2465" s="61" t="s">
        <v>503</v>
      </c>
      <c r="AB2465" s="61"/>
    </row>
    <row r="2466" spans="1:28" s="2" customFormat="1" ht="28.5">
      <c r="A2466" s="61" t="s">
        <v>779</v>
      </c>
      <c r="B2466" s="61" t="s">
        <v>1185</v>
      </c>
      <c r="C2466" s="61" t="s">
        <v>5938</v>
      </c>
      <c r="D2466" s="61" t="s">
        <v>7838</v>
      </c>
      <c r="E2466" s="61">
        <v>2560</v>
      </c>
      <c r="F2466" s="61">
        <v>2862</v>
      </c>
      <c r="G2466" s="61">
        <v>2025</v>
      </c>
      <c r="H2466" s="61" t="s">
        <v>3458</v>
      </c>
      <c r="I2466" s="61" t="s">
        <v>39</v>
      </c>
      <c r="J2466" s="61"/>
      <c r="K2466" s="61" t="s">
        <v>328</v>
      </c>
      <c r="L2466" s="61" t="s">
        <v>9172</v>
      </c>
      <c r="M2466" s="475">
        <v>45701</v>
      </c>
      <c r="N2466" s="475">
        <v>45704</v>
      </c>
      <c r="O2466" s="475"/>
      <c r="P2466" s="475">
        <v>45705</v>
      </c>
      <c r="Q2466" s="475">
        <v>45706</v>
      </c>
      <c r="R2466" s="61">
        <f t="shared" si="171"/>
        <v>1</v>
      </c>
      <c r="S2466" s="61" t="str">
        <f t="shared" si="172"/>
        <v/>
      </c>
      <c r="T2466" s="61">
        <f t="shared" si="175"/>
        <v>1</v>
      </c>
      <c r="U2466" s="61">
        <f t="shared" si="174"/>
        <v>1</v>
      </c>
      <c r="V2466" s="61" t="s">
        <v>150</v>
      </c>
      <c r="W2466" s="61" t="s">
        <v>4</v>
      </c>
      <c r="X2466" s="61" t="s">
        <v>50</v>
      </c>
      <c r="Y2466" s="61"/>
      <c r="Z2466" s="61"/>
      <c r="AA2466" s="61" t="s">
        <v>9167</v>
      </c>
      <c r="AB2466" s="61"/>
    </row>
    <row r="2467" spans="1:28" s="2" customFormat="1" ht="15.75">
      <c r="A2467" s="61" t="s">
        <v>779</v>
      </c>
      <c r="B2467" s="61" t="s">
        <v>1185</v>
      </c>
      <c r="C2467" s="61" t="s">
        <v>5948</v>
      </c>
      <c r="D2467" s="61" t="s">
        <v>7838</v>
      </c>
      <c r="E2467" s="61">
        <v>3107</v>
      </c>
      <c r="F2467" s="61">
        <v>3368</v>
      </c>
      <c r="G2467" s="61">
        <v>2025</v>
      </c>
      <c r="H2467" s="61" t="s">
        <v>3126</v>
      </c>
      <c r="I2467" s="61" t="s">
        <v>39</v>
      </c>
      <c r="J2467" s="61"/>
      <c r="K2467" s="61" t="s">
        <v>328</v>
      </c>
      <c r="L2467" s="61" t="s">
        <v>9173</v>
      </c>
      <c r="M2467" s="475">
        <v>45881</v>
      </c>
      <c r="N2467" s="475">
        <v>45887</v>
      </c>
      <c r="O2467" s="61"/>
      <c r="P2467" s="475">
        <v>45888</v>
      </c>
      <c r="Q2467" s="475">
        <v>45888</v>
      </c>
      <c r="R2467" s="61">
        <f t="shared" si="171"/>
        <v>4</v>
      </c>
      <c r="S2467" s="61" t="str">
        <f t="shared" si="172"/>
        <v/>
      </c>
      <c r="T2467" s="61">
        <f t="shared" si="175"/>
        <v>1</v>
      </c>
      <c r="U2467" s="61">
        <f t="shared" si="174"/>
        <v>1</v>
      </c>
      <c r="V2467" s="61" t="s">
        <v>150</v>
      </c>
      <c r="W2467" s="61" t="s">
        <v>4</v>
      </c>
      <c r="X2467" s="61" t="s">
        <v>50</v>
      </c>
      <c r="Y2467" s="501">
        <v>15.34</v>
      </c>
      <c r="Z2467" s="501">
        <v>120.6546</v>
      </c>
      <c r="AA2467" s="61" t="s">
        <v>9157</v>
      </c>
      <c r="AB2467" s="61"/>
    </row>
    <row r="2468" spans="1:28" s="2" customFormat="1" ht="15">
      <c r="A2468" s="61" t="s">
        <v>779</v>
      </c>
      <c r="B2468" s="61" t="s">
        <v>1185</v>
      </c>
      <c r="C2468" s="61" t="s">
        <v>4126</v>
      </c>
      <c r="D2468" s="61" t="s">
        <v>7838</v>
      </c>
      <c r="E2468" s="61">
        <v>6040</v>
      </c>
      <c r="F2468" s="61">
        <v>7429</v>
      </c>
      <c r="G2468" s="61">
        <v>2025</v>
      </c>
      <c r="H2468" s="61" t="s">
        <v>3532</v>
      </c>
      <c r="I2468" s="61" t="s">
        <v>39</v>
      </c>
      <c r="J2468" s="61"/>
      <c r="K2468" s="61" t="s">
        <v>328</v>
      </c>
      <c r="L2468" s="61" t="s">
        <v>9174</v>
      </c>
      <c r="M2468" s="475">
        <v>45791</v>
      </c>
      <c r="N2468" s="475">
        <v>45792</v>
      </c>
      <c r="O2468" s="61"/>
      <c r="P2468" s="475">
        <v>45793</v>
      </c>
      <c r="Q2468" s="475">
        <v>45793</v>
      </c>
      <c r="R2468" s="61">
        <f t="shared" si="171"/>
        <v>1</v>
      </c>
      <c r="S2468" s="61" t="str">
        <f t="shared" si="172"/>
        <v/>
      </c>
      <c r="T2468" s="61">
        <f t="shared" si="175"/>
        <v>1</v>
      </c>
      <c r="U2468" s="61">
        <f t="shared" si="174"/>
        <v>1</v>
      </c>
      <c r="V2468" s="61" t="s">
        <v>150</v>
      </c>
      <c r="W2468" s="61" t="s">
        <v>4</v>
      </c>
      <c r="X2468" s="61" t="s">
        <v>50</v>
      </c>
      <c r="Y2468" s="61">
        <v>15.4001</v>
      </c>
      <c r="Z2468" s="61">
        <v>120.60850000000001</v>
      </c>
      <c r="AA2468" s="61" t="s">
        <v>9157</v>
      </c>
      <c r="AB2468" s="61"/>
    </row>
    <row r="2469" spans="1:28" s="2" customFormat="1" ht="28.5">
      <c r="A2469" s="61" t="s">
        <v>779</v>
      </c>
      <c r="B2469" s="61" t="s">
        <v>1185</v>
      </c>
      <c r="C2469" s="61" t="s">
        <v>5659</v>
      </c>
      <c r="D2469" s="61" t="s">
        <v>7838</v>
      </c>
      <c r="E2469" s="61">
        <v>4985</v>
      </c>
      <c r="F2469" s="61">
        <v>4882</v>
      </c>
      <c r="G2469" s="61">
        <v>2025</v>
      </c>
      <c r="H2469" s="61" t="s">
        <v>3689</v>
      </c>
      <c r="I2469" s="61" t="s">
        <v>39</v>
      </c>
      <c r="J2469" s="61"/>
      <c r="K2469" s="61" t="s">
        <v>328</v>
      </c>
      <c r="L2469" s="61" t="s">
        <v>9175</v>
      </c>
      <c r="M2469" s="475">
        <v>45813</v>
      </c>
      <c r="N2469" s="475">
        <v>45826</v>
      </c>
      <c r="O2469" s="61"/>
      <c r="P2469" s="475">
        <v>45827</v>
      </c>
      <c r="Q2469" s="475">
        <v>45827</v>
      </c>
      <c r="R2469" s="61">
        <f t="shared" si="171"/>
        <v>9</v>
      </c>
      <c r="S2469" s="61" t="str">
        <f t="shared" si="172"/>
        <v/>
      </c>
      <c r="T2469" s="61">
        <f t="shared" si="175"/>
        <v>1</v>
      </c>
      <c r="U2469" s="61">
        <f t="shared" si="174"/>
        <v>1</v>
      </c>
      <c r="V2469" s="61" t="s">
        <v>150</v>
      </c>
      <c r="W2469" s="61" t="s">
        <v>4</v>
      </c>
      <c r="X2469" s="61" t="s">
        <v>50</v>
      </c>
      <c r="Y2469" s="61">
        <v>15.323</v>
      </c>
      <c r="Z2469" s="61">
        <v>120.6558</v>
      </c>
      <c r="AA2469" s="61" t="s">
        <v>9176</v>
      </c>
      <c r="AB2469" s="61"/>
    </row>
    <row r="2470" spans="1:28" s="2" customFormat="1" ht="15">
      <c r="A2470" s="61" t="s">
        <v>779</v>
      </c>
      <c r="B2470" s="61" t="s">
        <v>1185</v>
      </c>
      <c r="C2470" s="61" t="s">
        <v>3132</v>
      </c>
      <c r="D2470" s="61" t="s">
        <v>7838</v>
      </c>
      <c r="E2470" s="61">
        <v>4846</v>
      </c>
      <c r="F2470" s="61">
        <v>5693</v>
      </c>
      <c r="G2470" s="61">
        <v>2025</v>
      </c>
      <c r="H2470" s="61" t="s">
        <v>3532</v>
      </c>
      <c r="I2470" s="61" t="s">
        <v>39</v>
      </c>
      <c r="J2470" s="61"/>
      <c r="K2470" s="61" t="s">
        <v>328</v>
      </c>
      <c r="L2470" s="61" t="s">
        <v>9177</v>
      </c>
      <c r="M2470" s="475">
        <v>45791</v>
      </c>
      <c r="N2470" s="475">
        <v>45792</v>
      </c>
      <c r="O2470" s="61"/>
      <c r="P2470" s="475">
        <v>45793</v>
      </c>
      <c r="Q2470" s="475">
        <v>45796</v>
      </c>
      <c r="R2470" s="61">
        <f t="shared" si="171"/>
        <v>1</v>
      </c>
      <c r="S2470" s="61" t="str">
        <f t="shared" si="172"/>
        <v/>
      </c>
      <c r="T2470" s="61">
        <f t="shared" si="175"/>
        <v>1</v>
      </c>
      <c r="U2470" s="61">
        <f t="shared" si="174"/>
        <v>1</v>
      </c>
      <c r="V2470" s="61" t="s">
        <v>150</v>
      </c>
      <c r="W2470" s="61" t="s">
        <v>4</v>
      </c>
      <c r="X2470" s="61" t="s">
        <v>50</v>
      </c>
      <c r="Y2470" s="61">
        <v>15.3714</v>
      </c>
      <c r="Z2470" s="61">
        <v>120.61360000000001</v>
      </c>
      <c r="AA2470" s="61" t="s">
        <v>9157</v>
      </c>
      <c r="AB2470" s="61"/>
    </row>
    <row r="2471" spans="1:28" s="2" customFormat="1" ht="15">
      <c r="A2471" s="61" t="s">
        <v>779</v>
      </c>
      <c r="B2471" s="61" t="s">
        <v>1185</v>
      </c>
      <c r="C2471" s="61" t="s">
        <v>3727</v>
      </c>
      <c r="D2471" s="61" t="s">
        <v>7838</v>
      </c>
      <c r="E2471" s="61">
        <v>3971</v>
      </c>
      <c r="F2471" s="61">
        <v>4434</v>
      </c>
      <c r="G2471" s="61">
        <v>2025</v>
      </c>
      <c r="H2471" s="61" t="s">
        <v>3689</v>
      </c>
      <c r="I2471" s="61" t="s">
        <v>39</v>
      </c>
      <c r="J2471" s="61"/>
      <c r="K2471" s="61" t="s">
        <v>328</v>
      </c>
      <c r="L2471" s="61" t="s">
        <v>9178</v>
      </c>
      <c r="M2471" s="475">
        <v>45814</v>
      </c>
      <c r="N2471" s="475">
        <v>45826</v>
      </c>
      <c r="O2471" s="61"/>
      <c r="P2471" s="475">
        <v>45827</v>
      </c>
      <c r="Q2471" s="475">
        <v>45827</v>
      </c>
      <c r="R2471" s="61">
        <f t="shared" si="171"/>
        <v>8</v>
      </c>
      <c r="S2471" s="61" t="str">
        <f t="shared" si="172"/>
        <v/>
      </c>
      <c r="T2471" s="61">
        <f t="shared" si="175"/>
        <v>1</v>
      </c>
      <c r="U2471" s="61">
        <f t="shared" si="174"/>
        <v>1</v>
      </c>
      <c r="V2471" s="61" t="s">
        <v>150</v>
      </c>
      <c r="W2471" s="61" t="s">
        <v>4</v>
      </c>
      <c r="X2471" s="61" t="s">
        <v>50</v>
      </c>
      <c r="Y2471" s="61">
        <v>15.348599999999999</v>
      </c>
      <c r="Z2471" s="61">
        <v>120.6283</v>
      </c>
      <c r="AA2471" s="61" t="s">
        <v>9157</v>
      </c>
      <c r="AB2471" s="61"/>
    </row>
    <row r="2472" spans="1:28" s="2" customFormat="1" ht="15">
      <c r="A2472" s="61" t="s">
        <v>779</v>
      </c>
      <c r="B2472" s="61" t="s">
        <v>1185</v>
      </c>
      <c r="C2472" s="61" t="s">
        <v>5951</v>
      </c>
      <c r="D2472" s="61" t="s">
        <v>7838</v>
      </c>
      <c r="E2472" s="61">
        <v>1801</v>
      </c>
      <c r="F2472" s="61">
        <v>2043</v>
      </c>
      <c r="G2472" s="61">
        <v>2025</v>
      </c>
      <c r="H2472" s="61" t="s">
        <v>3458</v>
      </c>
      <c r="I2472" s="61" t="s">
        <v>39</v>
      </c>
      <c r="J2472" s="61"/>
      <c r="K2472" s="61" t="s">
        <v>328</v>
      </c>
      <c r="L2472" s="61" t="s">
        <v>9179</v>
      </c>
      <c r="M2472" s="475">
        <v>45701</v>
      </c>
      <c r="N2472" s="475">
        <v>45704</v>
      </c>
      <c r="O2472" s="61"/>
      <c r="P2472" s="475">
        <v>45705</v>
      </c>
      <c r="Q2472" s="475">
        <v>45706</v>
      </c>
      <c r="R2472" s="61">
        <f t="shared" si="171"/>
        <v>1</v>
      </c>
      <c r="S2472" s="61" t="str">
        <f t="shared" si="172"/>
        <v/>
      </c>
      <c r="T2472" s="61">
        <f t="shared" si="175"/>
        <v>1</v>
      </c>
      <c r="U2472" s="61">
        <f t="shared" si="174"/>
        <v>1</v>
      </c>
      <c r="V2472" s="61" t="s">
        <v>150</v>
      </c>
      <c r="W2472" s="61" t="s">
        <v>4</v>
      </c>
      <c r="X2472" s="61" t="s">
        <v>50</v>
      </c>
      <c r="Y2472" s="61"/>
      <c r="Z2472" s="61"/>
      <c r="AA2472" s="61" t="s">
        <v>9157</v>
      </c>
      <c r="AB2472" s="61"/>
    </row>
    <row r="2473" spans="1:28" s="2" customFormat="1" ht="15">
      <c r="A2473" s="61" t="s">
        <v>779</v>
      </c>
      <c r="B2473" s="61" t="s">
        <v>1185</v>
      </c>
      <c r="C2473" s="61" t="s">
        <v>5953</v>
      </c>
      <c r="D2473" s="61" t="s">
        <v>7838</v>
      </c>
      <c r="E2473" s="61">
        <v>2624</v>
      </c>
      <c r="F2473" s="61">
        <v>2565</v>
      </c>
      <c r="G2473" s="61">
        <v>2025</v>
      </c>
      <c r="H2473" s="61" t="s">
        <v>3458</v>
      </c>
      <c r="I2473" s="61" t="s">
        <v>39</v>
      </c>
      <c r="J2473" s="61"/>
      <c r="K2473" s="61" t="s">
        <v>328</v>
      </c>
      <c r="L2473" s="61" t="s">
        <v>9180</v>
      </c>
      <c r="M2473" s="475">
        <v>45701</v>
      </c>
      <c r="N2473" s="475">
        <v>45704</v>
      </c>
      <c r="O2473" s="61"/>
      <c r="P2473" s="475">
        <v>45705</v>
      </c>
      <c r="Q2473" s="475">
        <v>45706</v>
      </c>
      <c r="R2473" s="61">
        <f t="shared" si="171"/>
        <v>1</v>
      </c>
      <c r="S2473" s="61" t="str">
        <f t="shared" si="172"/>
        <v/>
      </c>
      <c r="T2473" s="61">
        <f t="shared" si="175"/>
        <v>1</v>
      </c>
      <c r="U2473" s="61">
        <f t="shared" si="174"/>
        <v>1</v>
      </c>
      <c r="V2473" s="61" t="s">
        <v>150</v>
      </c>
      <c r="W2473" s="61" t="s">
        <v>4</v>
      </c>
      <c r="X2473" s="61" t="s">
        <v>50</v>
      </c>
      <c r="Y2473" s="61"/>
      <c r="Z2473" s="61"/>
      <c r="AA2473" s="61" t="s">
        <v>9157</v>
      </c>
      <c r="AB2473" s="61"/>
    </row>
    <row r="2474" spans="1:28" s="2" customFormat="1" ht="15">
      <c r="A2474" s="61" t="s">
        <v>779</v>
      </c>
      <c r="B2474" s="61" t="s">
        <v>1185</v>
      </c>
      <c r="C2474" s="61" t="s">
        <v>5956</v>
      </c>
      <c r="D2474" s="61" t="s">
        <v>7838</v>
      </c>
      <c r="E2474" s="61">
        <v>4547</v>
      </c>
      <c r="F2474" s="61">
        <v>5347</v>
      </c>
      <c r="G2474" s="61">
        <v>2025</v>
      </c>
      <c r="H2474" s="61" t="s">
        <v>3470</v>
      </c>
      <c r="I2474" s="61" t="s">
        <v>39</v>
      </c>
      <c r="J2474" s="61"/>
      <c r="K2474" s="61" t="s">
        <v>328</v>
      </c>
      <c r="L2474" s="61" t="s">
        <v>9181</v>
      </c>
      <c r="M2474" s="475">
        <v>45757</v>
      </c>
      <c r="N2474" s="475">
        <v>45761</v>
      </c>
      <c r="O2474" s="61"/>
      <c r="P2474" s="475">
        <v>45762</v>
      </c>
      <c r="Q2474" s="475">
        <v>45762</v>
      </c>
      <c r="R2474" s="61">
        <f t="shared" si="171"/>
        <v>2</v>
      </c>
      <c r="S2474" s="61" t="str">
        <f t="shared" si="172"/>
        <v/>
      </c>
      <c r="T2474" s="61">
        <f t="shared" si="175"/>
        <v>1</v>
      </c>
      <c r="U2474" s="61">
        <f t="shared" si="174"/>
        <v>1</v>
      </c>
      <c r="V2474" s="61" t="s">
        <v>150</v>
      </c>
      <c r="W2474" s="61" t="s">
        <v>4</v>
      </c>
      <c r="X2474" s="61" t="s">
        <v>50</v>
      </c>
      <c r="Y2474" s="61">
        <v>15.3789</v>
      </c>
      <c r="Z2474" s="61">
        <v>120.6524</v>
      </c>
      <c r="AA2474" s="61" t="s">
        <v>9157</v>
      </c>
      <c r="AB2474" s="61"/>
    </row>
    <row r="2475" spans="1:28" s="2" customFormat="1" ht="15">
      <c r="A2475" s="61" t="s">
        <v>779</v>
      </c>
      <c r="B2475" s="61" t="s">
        <v>1185</v>
      </c>
      <c r="C2475" s="61" t="s">
        <v>5928</v>
      </c>
      <c r="D2475" s="61" t="s">
        <v>7838</v>
      </c>
      <c r="E2475" s="61">
        <v>3920</v>
      </c>
      <c r="F2475" s="61">
        <v>4306</v>
      </c>
      <c r="G2475" s="61"/>
      <c r="H2475" s="61"/>
      <c r="I2475" s="61" t="s">
        <v>39</v>
      </c>
      <c r="J2475" s="61"/>
      <c r="K2475" s="61" t="s">
        <v>328</v>
      </c>
      <c r="L2475" s="61"/>
      <c r="M2475" s="61"/>
      <c r="N2475" s="61"/>
      <c r="O2475" s="61"/>
      <c r="P2475" s="61"/>
      <c r="Q2475" s="61"/>
      <c r="R2475" s="61" t="str">
        <f t="shared" si="171"/>
        <v/>
      </c>
      <c r="S2475" s="61" t="str">
        <f t="shared" si="172"/>
        <v/>
      </c>
      <c r="T2475" s="61" t="str">
        <f t="shared" si="175"/>
        <v/>
      </c>
      <c r="U2475" s="61" t="str">
        <f t="shared" si="174"/>
        <v/>
      </c>
      <c r="V2475" s="61"/>
      <c r="W2475" s="61"/>
      <c r="X2475" s="61"/>
      <c r="Y2475" s="61"/>
      <c r="Z2475" s="61"/>
      <c r="AA2475" s="61"/>
      <c r="AB2475" s="61"/>
    </row>
    <row r="2476" spans="1:28" s="2" customFormat="1" ht="15">
      <c r="A2476" s="61" t="s">
        <v>779</v>
      </c>
      <c r="B2476" s="61" t="s">
        <v>1185</v>
      </c>
      <c r="C2476" s="61" t="s">
        <v>5931</v>
      </c>
      <c r="D2476" s="61" t="s">
        <v>7838</v>
      </c>
      <c r="E2476" s="61">
        <v>1233</v>
      </c>
      <c r="F2476" s="61">
        <v>1295</v>
      </c>
      <c r="G2476" s="61"/>
      <c r="H2476" s="61"/>
      <c r="I2476" s="61" t="s">
        <v>39</v>
      </c>
      <c r="J2476" s="61"/>
      <c r="K2476" s="61" t="s">
        <v>328</v>
      </c>
      <c r="L2476" s="61"/>
      <c r="M2476" s="61"/>
      <c r="N2476" s="61"/>
      <c r="O2476" s="61"/>
      <c r="P2476" s="61"/>
      <c r="Q2476" s="61"/>
      <c r="R2476" s="61" t="str">
        <f t="shared" si="171"/>
        <v/>
      </c>
      <c r="S2476" s="61" t="str">
        <f t="shared" si="172"/>
        <v/>
      </c>
      <c r="T2476" s="61" t="str">
        <f t="shared" si="175"/>
        <v/>
      </c>
      <c r="U2476" s="61" t="str">
        <f t="shared" si="174"/>
        <v/>
      </c>
      <c r="V2476" s="61"/>
      <c r="W2476" s="61"/>
      <c r="X2476" s="61"/>
      <c r="Y2476" s="61"/>
      <c r="Z2476" s="61"/>
      <c r="AA2476" s="61"/>
      <c r="AB2476" s="61"/>
    </row>
    <row r="2477" spans="1:28" s="2" customFormat="1" ht="15">
      <c r="A2477" s="61" t="s">
        <v>779</v>
      </c>
      <c r="B2477" s="61" t="s">
        <v>1185</v>
      </c>
      <c r="C2477" s="61" t="s">
        <v>5933</v>
      </c>
      <c r="D2477" s="61" t="s">
        <v>7838</v>
      </c>
      <c r="E2477" s="61">
        <v>3457</v>
      </c>
      <c r="F2477" s="61">
        <v>3821</v>
      </c>
      <c r="G2477" s="61"/>
      <c r="H2477" s="61"/>
      <c r="I2477" s="61" t="s">
        <v>39</v>
      </c>
      <c r="J2477" s="61"/>
      <c r="K2477" s="61" t="s">
        <v>328</v>
      </c>
      <c r="L2477" s="61"/>
      <c r="M2477" s="61"/>
      <c r="N2477" s="61"/>
      <c r="O2477" s="61"/>
      <c r="P2477" s="61"/>
      <c r="Q2477" s="61"/>
      <c r="R2477" s="61" t="str">
        <f t="shared" si="171"/>
        <v/>
      </c>
      <c r="S2477" s="61" t="str">
        <f t="shared" si="172"/>
        <v/>
      </c>
      <c r="T2477" s="61" t="str">
        <f t="shared" si="175"/>
        <v/>
      </c>
      <c r="U2477" s="61" t="str">
        <f t="shared" si="174"/>
        <v/>
      </c>
      <c r="V2477" s="61"/>
      <c r="W2477" s="61"/>
      <c r="X2477" s="61"/>
      <c r="Y2477" s="61"/>
      <c r="Z2477" s="61"/>
      <c r="AA2477" s="61"/>
      <c r="AB2477" s="61"/>
    </row>
    <row r="2478" spans="1:28" s="2" customFormat="1" ht="15">
      <c r="A2478" s="61" t="s">
        <v>779</v>
      </c>
      <c r="B2478" s="61" t="s">
        <v>1185</v>
      </c>
      <c r="C2478" s="61" t="s">
        <v>5935</v>
      </c>
      <c r="D2478" s="61" t="s">
        <v>7838</v>
      </c>
      <c r="E2478" s="61">
        <v>3237</v>
      </c>
      <c r="F2478" s="61">
        <v>3575</v>
      </c>
      <c r="G2478" s="61"/>
      <c r="H2478" s="61"/>
      <c r="I2478" s="61" t="s">
        <v>39</v>
      </c>
      <c r="J2478" s="61"/>
      <c r="K2478" s="61" t="s">
        <v>328</v>
      </c>
      <c r="L2478" s="61"/>
      <c r="M2478" s="61"/>
      <c r="N2478" s="61"/>
      <c r="O2478" s="61"/>
      <c r="P2478" s="61"/>
      <c r="Q2478" s="61"/>
      <c r="R2478" s="61" t="str">
        <f t="shared" si="171"/>
        <v/>
      </c>
      <c r="S2478" s="61" t="str">
        <f t="shared" si="172"/>
        <v/>
      </c>
      <c r="T2478" s="61" t="str">
        <f t="shared" si="175"/>
        <v/>
      </c>
      <c r="U2478" s="61" t="str">
        <f t="shared" si="174"/>
        <v/>
      </c>
      <c r="V2478" s="61"/>
      <c r="W2478" s="61"/>
      <c r="X2478" s="61"/>
      <c r="Y2478" s="61"/>
      <c r="Z2478" s="61"/>
      <c r="AA2478" s="61"/>
      <c r="AB2478" s="61"/>
    </row>
    <row r="2479" spans="1:28" s="2" customFormat="1" ht="15">
      <c r="A2479" s="61" t="s">
        <v>779</v>
      </c>
      <c r="B2479" s="61" t="s">
        <v>1185</v>
      </c>
      <c r="C2479" s="61" t="s">
        <v>5936</v>
      </c>
      <c r="D2479" s="61" t="s">
        <v>7838</v>
      </c>
      <c r="E2479" s="61">
        <v>965</v>
      </c>
      <c r="F2479" s="61">
        <v>1161</v>
      </c>
      <c r="G2479" s="61"/>
      <c r="H2479" s="61"/>
      <c r="I2479" s="61" t="s">
        <v>39</v>
      </c>
      <c r="J2479" s="61"/>
      <c r="K2479" s="61" t="s">
        <v>328</v>
      </c>
      <c r="L2479" s="61"/>
      <c r="M2479" s="61"/>
      <c r="N2479" s="61"/>
      <c r="O2479" s="61"/>
      <c r="P2479" s="61"/>
      <c r="Q2479" s="61"/>
      <c r="R2479" s="61" t="str">
        <f t="shared" si="171"/>
        <v/>
      </c>
      <c r="S2479" s="61" t="str">
        <f t="shared" si="172"/>
        <v/>
      </c>
      <c r="T2479" s="61" t="str">
        <f t="shared" si="175"/>
        <v/>
      </c>
      <c r="U2479" s="61" t="str">
        <f t="shared" si="174"/>
        <v/>
      </c>
      <c r="V2479" s="61"/>
      <c r="W2479" s="61"/>
      <c r="X2479" s="61"/>
      <c r="Y2479" s="61"/>
      <c r="Z2479" s="61"/>
      <c r="AA2479" s="61"/>
      <c r="AB2479" s="61"/>
    </row>
    <row r="2480" spans="1:28" s="2" customFormat="1" ht="15">
      <c r="A2480" s="61" t="s">
        <v>779</v>
      </c>
      <c r="B2480" s="61" t="s">
        <v>1185</v>
      </c>
      <c r="C2480" s="61" t="s">
        <v>5940</v>
      </c>
      <c r="D2480" s="61" t="s">
        <v>7838</v>
      </c>
      <c r="E2480" s="61">
        <v>1276</v>
      </c>
      <c r="F2480" s="61">
        <v>1388</v>
      </c>
      <c r="G2480" s="61"/>
      <c r="H2480" s="61"/>
      <c r="I2480" s="61" t="s">
        <v>39</v>
      </c>
      <c r="J2480" s="61"/>
      <c r="K2480" s="61" t="s">
        <v>328</v>
      </c>
      <c r="L2480" s="61"/>
      <c r="M2480" s="61"/>
      <c r="N2480" s="61"/>
      <c r="O2480" s="61"/>
      <c r="P2480" s="61"/>
      <c r="Q2480" s="61"/>
      <c r="R2480" s="61" t="str">
        <f t="shared" si="171"/>
        <v/>
      </c>
      <c r="S2480" s="61" t="str">
        <f t="shared" si="172"/>
        <v/>
      </c>
      <c r="T2480" s="61" t="str">
        <f t="shared" si="175"/>
        <v/>
      </c>
      <c r="U2480" s="61" t="str">
        <f t="shared" si="174"/>
        <v/>
      </c>
      <c r="V2480" s="61"/>
      <c r="W2480" s="61"/>
      <c r="X2480" s="61"/>
      <c r="Y2480" s="61"/>
      <c r="Z2480" s="61"/>
      <c r="AA2480" s="61"/>
      <c r="AB2480" s="61"/>
    </row>
    <row r="2481" spans="1:28" s="2" customFormat="1" ht="15">
      <c r="A2481" s="61" t="s">
        <v>779</v>
      </c>
      <c r="B2481" s="61" t="s">
        <v>1185</v>
      </c>
      <c r="C2481" s="61" t="s">
        <v>5941</v>
      </c>
      <c r="D2481" s="61" t="s">
        <v>7838</v>
      </c>
      <c r="E2481" s="61">
        <v>2566</v>
      </c>
      <c r="F2481" s="61">
        <v>2883</v>
      </c>
      <c r="G2481" s="61"/>
      <c r="H2481" s="61"/>
      <c r="I2481" s="61" t="s">
        <v>39</v>
      </c>
      <c r="J2481" s="61"/>
      <c r="K2481" s="61" t="s">
        <v>328</v>
      </c>
      <c r="L2481" s="61"/>
      <c r="M2481" s="61"/>
      <c r="N2481" s="61"/>
      <c r="O2481" s="61"/>
      <c r="P2481" s="61"/>
      <c r="Q2481" s="61"/>
      <c r="R2481" s="61" t="str">
        <f t="shared" si="171"/>
        <v/>
      </c>
      <c r="S2481" s="61" t="str">
        <f t="shared" si="172"/>
        <v/>
      </c>
      <c r="T2481" s="61" t="str">
        <f t="shared" si="175"/>
        <v/>
      </c>
      <c r="U2481" s="61" t="str">
        <f t="shared" si="174"/>
        <v/>
      </c>
      <c r="V2481" s="61"/>
      <c r="W2481" s="61"/>
      <c r="X2481" s="61"/>
      <c r="Y2481" s="61"/>
      <c r="Z2481" s="61"/>
      <c r="AA2481" s="61"/>
      <c r="AB2481" s="61"/>
    </row>
    <row r="2482" spans="1:28" s="2" customFormat="1" ht="15">
      <c r="A2482" s="61" t="s">
        <v>779</v>
      </c>
      <c r="B2482" s="61" t="s">
        <v>1185</v>
      </c>
      <c r="C2482" s="61" t="s">
        <v>5942</v>
      </c>
      <c r="D2482" s="61" t="s">
        <v>7838</v>
      </c>
      <c r="E2482" s="61">
        <v>2219</v>
      </c>
      <c r="F2482" s="61">
        <v>2441</v>
      </c>
      <c r="G2482" s="61"/>
      <c r="H2482" s="61"/>
      <c r="I2482" s="61" t="s">
        <v>39</v>
      </c>
      <c r="J2482" s="61"/>
      <c r="K2482" s="61" t="s">
        <v>328</v>
      </c>
      <c r="L2482" s="61"/>
      <c r="M2482" s="61"/>
      <c r="N2482" s="61"/>
      <c r="O2482" s="61"/>
      <c r="P2482" s="61"/>
      <c r="Q2482" s="61"/>
      <c r="R2482" s="61" t="str">
        <f t="shared" si="171"/>
        <v/>
      </c>
      <c r="S2482" s="61" t="str">
        <f t="shared" si="172"/>
        <v/>
      </c>
      <c r="T2482" s="61" t="str">
        <f t="shared" si="175"/>
        <v/>
      </c>
      <c r="U2482" s="61" t="str">
        <f t="shared" si="174"/>
        <v/>
      </c>
      <c r="V2482" s="61"/>
      <c r="W2482" s="61"/>
      <c r="X2482" s="61"/>
      <c r="Y2482" s="61"/>
      <c r="Z2482" s="61"/>
      <c r="AA2482" s="61"/>
      <c r="AB2482" s="61"/>
    </row>
    <row r="2483" spans="1:28" s="2" customFormat="1" ht="15">
      <c r="A2483" s="61" t="s">
        <v>779</v>
      </c>
      <c r="B2483" s="61" t="s">
        <v>1185</v>
      </c>
      <c r="C2483" s="61" t="s">
        <v>5943</v>
      </c>
      <c r="D2483" s="61" t="s">
        <v>7838</v>
      </c>
      <c r="E2483" s="61">
        <v>1547</v>
      </c>
      <c r="F2483" s="61">
        <v>1729</v>
      </c>
      <c r="G2483" s="61"/>
      <c r="H2483" s="61"/>
      <c r="I2483" s="61" t="s">
        <v>39</v>
      </c>
      <c r="J2483" s="61"/>
      <c r="K2483" s="61" t="s">
        <v>328</v>
      </c>
      <c r="L2483" s="61"/>
      <c r="M2483" s="61"/>
      <c r="N2483" s="61"/>
      <c r="O2483" s="61"/>
      <c r="P2483" s="61"/>
      <c r="Q2483" s="61"/>
      <c r="R2483" s="61" t="str">
        <f t="shared" si="171"/>
        <v/>
      </c>
      <c r="S2483" s="61" t="str">
        <f t="shared" si="172"/>
        <v/>
      </c>
      <c r="T2483" s="61" t="str">
        <f t="shared" si="175"/>
        <v/>
      </c>
      <c r="U2483" s="61" t="str">
        <f t="shared" si="174"/>
        <v/>
      </c>
      <c r="V2483" s="61"/>
      <c r="W2483" s="61"/>
      <c r="X2483" s="61"/>
      <c r="Y2483" s="61"/>
      <c r="Z2483" s="61"/>
      <c r="AA2483" s="61"/>
      <c r="AB2483" s="61"/>
    </row>
    <row r="2484" spans="1:28" s="2" customFormat="1" ht="15">
      <c r="A2484" s="61" t="s">
        <v>779</v>
      </c>
      <c r="B2484" s="61" t="s">
        <v>1185</v>
      </c>
      <c r="C2484" s="61" t="s">
        <v>5944</v>
      </c>
      <c r="D2484" s="61" t="s">
        <v>7838</v>
      </c>
      <c r="E2484" s="61">
        <v>3725</v>
      </c>
      <c r="F2484" s="61">
        <v>3719</v>
      </c>
      <c r="G2484" s="61"/>
      <c r="H2484" s="61"/>
      <c r="I2484" s="61" t="s">
        <v>39</v>
      </c>
      <c r="J2484" s="61"/>
      <c r="K2484" s="61" t="s">
        <v>328</v>
      </c>
      <c r="L2484" s="61"/>
      <c r="M2484" s="61"/>
      <c r="N2484" s="61"/>
      <c r="O2484" s="61"/>
      <c r="P2484" s="61"/>
      <c r="Q2484" s="61"/>
      <c r="R2484" s="61" t="str">
        <f t="shared" si="171"/>
        <v/>
      </c>
      <c r="S2484" s="61" t="str">
        <f t="shared" si="172"/>
        <v/>
      </c>
      <c r="T2484" s="61" t="str">
        <f t="shared" si="175"/>
        <v/>
      </c>
      <c r="U2484" s="61" t="str">
        <f t="shared" si="174"/>
        <v/>
      </c>
      <c r="V2484" s="61"/>
      <c r="W2484" s="61"/>
      <c r="X2484" s="61"/>
      <c r="Y2484" s="61"/>
      <c r="Z2484" s="61"/>
      <c r="AA2484" s="61"/>
      <c r="AB2484" s="61"/>
    </row>
    <row r="2485" spans="1:28" s="2" customFormat="1" ht="15">
      <c r="A2485" s="61" t="s">
        <v>779</v>
      </c>
      <c r="B2485" s="61" t="s">
        <v>1185</v>
      </c>
      <c r="C2485" s="61" t="s">
        <v>5945</v>
      </c>
      <c r="D2485" s="61" t="s">
        <v>7838</v>
      </c>
      <c r="E2485" s="61">
        <v>1207</v>
      </c>
      <c r="F2485" s="61">
        <v>1230</v>
      </c>
      <c r="G2485" s="61"/>
      <c r="H2485" s="61"/>
      <c r="I2485" s="61" t="s">
        <v>39</v>
      </c>
      <c r="J2485" s="61"/>
      <c r="K2485" s="61" t="s">
        <v>328</v>
      </c>
      <c r="L2485" s="61"/>
      <c r="M2485" s="61"/>
      <c r="N2485" s="61"/>
      <c r="O2485" s="61"/>
      <c r="P2485" s="61"/>
      <c r="Q2485" s="61"/>
      <c r="R2485" s="61" t="str">
        <f t="shared" si="171"/>
        <v/>
      </c>
      <c r="S2485" s="61" t="str">
        <f t="shared" si="172"/>
        <v/>
      </c>
      <c r="T2485" s="61" t="str">
        <f t="shared" si="175"/>
        <v/>
      </c>
      <c r="U2485" s="61" t="str">
        <f t="shared" si="174"/>
        <v/>
      </c>
      <c r="V2485" s="61"/>
      <c r="W2485" s="61"/>
      <c r="X2485" s="61"/>
      <c r="Y2485" s="61"/>
      <c r="Z2485" s="61"/>
      <c r="AA2485" s="61"/>
      <c r="AB2485" s="61"/>
    </row>
    <row r="2486" spans="1:28" s="2" customFormat="1" ht="15">
      <c r="A2486" s="61" t="s">
        <v>779</v>
      </c>
      <c r="B2486" s="61" t="s">
        <v>1185</v>
      </c>
      <c r="C2486" s="61" t="s">
        <v>5946</v>
      </c>
      <c r="D2486" s="61" t="s">
        <v>7838</v>
      </c>
      <c r="E2486" s="61">
        <v>2524</v>
      </c>
      <c r="F2486" s="61">
        <v>2761</v>
      </c>
      <c r="G2486" s="61"/>
      <c r="H2486" s="61"/>
      <c r="I2486" s="61" t="s">
        <v>39</v>
      </c>
      <c r="J2486" s="61"/>
      <c r="K2486" s="61" t="s">
        <v>328</v>
      </c>
      <c r="L2486" s="61"/>
      <c r="M2486" s="61"/>
      <c r="N2486" s="61"/>
      <c r="O2486" s="61"/>
      <c r="P2486" s="61"/>
      <c r="Q2486" s="61"/>
      <c r="R2486" s="61" t="str">
        <f t="shared" si="171"/>
        <v/>
      </c>
      <c r="S2486" s="61" t="str">
        <f t="shared" si="172"/>
        <v/>
      </c>
      <c r="T2486" s="61" t="str">
        <f t="shared" si="175"/>
        <v/>
      </c>
      <c r="U2486" s="61" t="str">
        <f t="shared" si="174"/>
        <v/>
      </c>
      <c r="V2486" s="61"/>
      <c r="W2486" s="61"/>
      <c r="X2486" s="61"/>
      <c r="Y2486" s="61"/>
      <c r="Z2486" s="61"/>
      <c r="AA2486" s="61"/>
      <c r="AB2486" s="61"/>
    </row>
    <row r="2487" spans="1:28" s="2" customFormat="1" ht="15">
      <c r="A2487" s="61" t="s">
        <v>779</v>
      </c>
      <c r="B2487" s="61" t="s">
        <v>1185</v>
      </c>
      <c r="C2487" s="61" t="s">
        <v>3616</v>
      </c>
      <c r="D2487" s="61" t="s">
        <v>7838</v>
      </c>
      <c r="E2487" s="61">
        <v>3260</v>
      </c>
      <c r="F2487" s="61">
        <v>3438</v>
      </c>
      <c r="G2487" s="61"/>
      <c r="H2487" s="61"/>
      <c r="I2487" s="61" t="s">
        <v>39</v>
      </c>
      <c r="J2487" s="61"/>
      <c r="K2487" s="61" t="s">
        <v>328</v>
      </c>
      <c r="L2487" s="61"/>
      <c r="M2487" s="61"/>
      <c r="N2487" s="61"/>
      <c r="O2487" s="61"/>
      <c r="P2487" s="61"/>
      <c r="Q2487" s="61"/>
      <c r="R2487" s="61" t="str">
        <f t="shared" ref="R2487:R2550" si="176">IF(
    OR(ISBLANK(M2487), ISBLANK(N2487)),
    "",
    MAX(1, IF(
        NETWORKDAYS(M2487, N2487) &lt;= 0,
        1,
        NETWORKDAYS(M2487, N2487) - IF(M2487 = N2487, 0, 1)
    ))
)</f>
        <v/>
      </c>
      <c r="S2487" s="61" t="str">
        <f t="shared" si="172"/>
        <v/>
      </c>
      <c r="T2487" s="61" t="str">
        <f t="shared" si="175"/>
        <v/>
      </c>
      <c r="U2487" s="61" t="str">
        <f t="shared" si="174"/>
        <v/>
      </c>
      <c r="V2487" s="61"/>
      <c r="W2487" s="61"/>
      <c r="X2487" s="61"/>
      <c r="Y2487" s="61"/>
      <c r="Z2487" s="61"/>
      <c r="AA2487" s="61"/>
      <c r="AB2487" s="61"/>
    </row>
    <row r="2488" spans="1:28" s="2" customFormat="1" ht="15.75">
      <c r="A2488" s="61" t="s">
        <v>779</v>
      </c>
      <c r="B2488" s="61" t="s">
        <v>1185</v>
      </c>
      <c r="C2488" s="61" t="s">
        <v>5947</v>
      </c>
      <c r="D2488" s="61" t="s">
        <v>7838</v>
      </c>
      <c r="E2488" s="61">
        <v>1725</v>
      </c>
      <c r="F2488" s="61">
        <v>1714</v>
      </c>
      <c r="G2488" s="61"/>
      <c r="H2488" s="61"/>
      <c r="I2488" s="61" t="s">
        <v>39</v>
      </c>
      <c r="J2488" s="61"/>
      <c r="K2488" s="61" t="s">
        <v>328</v>
      </c>
      <c r="L2488" s="61"/>
      <c r="M2488" s="61"/>
      <c r="N2488" s="61"/>
      <c r="O2488" s="61"/>
      <c r="P2488" s="61"/>
      <c r="Q2488" s="61"/>
      <c r="R2488" s="61" t="str">
        <f t="shared" si="176"/>
        <v/>
      </c>
      <c r="S2488" s="61" t="str">
        <f t="shared" ref="S2488:S2551" si="177">IF(
    OR(ISBLANK(N2488), ISBLANK(O2488)),
    "",
    MAX(1, IF(
        NETWORKDAYS(N2488, O2488) &lt;= 0,
        1,
        NETWORKDAYS(N2488, O2488) - IF(N2488 = O2488, 0, 1)
    ))
)</f>
        <v/>
      </c>
      <c r="T2488" s="61" t="str">
        <f t="shared" si="175"/>
        <v/>
      </c>
      <c r="U2488" s="61" t="str">
        <f t="shared" si="174"/>
        <v/>
      </c>
      <c r="V2488" s="61"/>
      <c r="W2488" s="61"/>
      <c r="X2488" s="61"/>
      <c r="Y2488" s="501"/>
      <c r="Z2488" s="501"/>
      <c r="AA2488" s="61"/>
      <c r="AB2488" s="61"/>
    </row>
    <row r="2489" spans="1:28" s="2" customFormat="1" ht="15">
      <c r="A2489" s="61" t="s">
        <v>779</v>
      </c>
      <c r="B2489" s="61" t="s">
        <v>1185</v>
      </c>
      <c r="C2489" s="61" t="s">
        <v>914</v>
      </c>
      <c r="D2489" s="61" t="s">
        <v>7838</v>
      </c>
      <c r="E2489" s="61">
        <v>3175</v>
      </c>
      <c r="F2489" s="61">
        <v>3474</v>
      </c>
      <c r="G2489" s="61"/>
      <c r="H2489" s="61"/>
      <c r="I2489" s="61" t="s">
        <v>39</v>
      </c>
      <c r="J2489" s="61"/>
      <c r="K2489" s="61" t="s">
        <v>328</v>
      </c>
      <c r="L2489" s="61"/>
      <c r="M2489" s="61"/>
      <c r="N2489" s="61"/>
      <c r="O2489" s="61"/>
      <c r="P2489" s="61"/>
      <c r="Q2489" s="61"/>
      <c r="R2489" s="61" t="str">
        <f t="shared" si="176"/>
        <v/>
      </c>
      <c r="S2489" s="61" t="str">
        <f t="shared" si="177"/>
        <v/>
      </c>
      <c r="T2489" s="61" t="str">
        <f t="shared" si="175"/>
        <v/>
      </c>
      <c r="U2489" s="61" t="str">
        <f t="shared" si="174"/>
        <v/>
      </c>
      <c r="V2489" s="61"/>
      <c r="W2489" s="61"/>
      <c r="X2489" s="61"/>
      <c r="Y2489" s="61"/>
      <c r="Z2489" s="61"/>
      <c r="AA2489" s="61"/>
      <c r="AB2489" s="61"/>
    </row>
    <row r="2490" spans="1:28" s="2" customFormat="1" ht="15">
      <c r="A2490" s="61" t="s">
        <v>779</v>
      </c>
      <c r="B2490" s="61" t="s">
        <v>1185</v>
      </c>
      <c r="C2490" s="61" t="s">
        <v>5756</v>
      </c>
      <c r="D2490" s="61" t="s">
        <v>7838</v>
      </c>
      <c r="E2490" s="61">
        <v>2113</v>
      </c>
      <c r="F2490" s="61">
        <v>2415</v>
      </c>
      <c r="G2490" s="61"/>
      <c r="H2490" s="61"/>
      <c r="I2490" s="61" t="s">
        <v>39</v>
      </c>
      <c r="J2490" s="61"/>
      <c r="K2490" s="61" t="s">
        <v>328</v>
      </c>
      <c r="L2490" s="61"/>
      <c r="M2490" s="61"/>
      <c r="N2490" s="61"/>
      <c r="O2490" s="61"/>
      <c r="P2490" s="61"/>
      <c r="Q2490" s="61"/>
      <c r="R2490" s="61" t="str">
        <f t="shared" si="176"/>
        <v/>
      </c>
      <c r="S2490" s="61" t="str">
        <f t="shared" si="177"/>
        <v/>
      </c>
      <c r="T2490" s="61" t="str">
        <f t="shared" si="175"/>
        <v/>
      </c>
      <c r="U2490" s="61" t="str">
        <f t="shared" ref="U2490:U2553" si="178">IF(
    OR(ISBLANK(P2490), ISBLANK(Q2490)),
    "",
    MAX(1, IF(
        NETWORKDAYS(P2490, Q2490) &lt;= 0,
        1,
        NETWORKDAYS(P2490, Q2490) - IF(P2490 = Q2490, 0, 1)
    ))
)</f>
        <v/>
      </c>
      <c r="V2490" s="61"/>
      <c r="W2490" s="61"/>
      <c r="X2490" s="61"/>
      <c r="Y2490" s="61"/>
      <c r="Z2490" s="61"/>
      <c r="AA2490" s="61"/>
      <c r="AB2490" s="61"/>
    </row>
    <row r="2491" spans="1:28" s="2" customFormat="1" ht="15">
      <c r="A2491" s="61" t="s">
        <v>779</v>
      </c>
      <c r="B2491" s="61" t="s">
        <v>1185</v>
      </c>
      <c r="C2491" s="61" t="s">
        <v>4024</v>
      </c>
      <c r="D2491" s="61" t="s">
        <v>7838</v>
      </c>
      <c r="E2491" s="61">
        <v>7983</v>
      </c>
      <c r="F2491" s="61">
        <v>8828</v>
      </c>
      <c r="G2491" s="61"/>
      <c r="H2491" s="61"/>
      <c r="I2491" s="61" t="s">
        <v>39</v>
      </c>
      <c r="J2491" s="61"/>
      <c r="K2491" s="61" t="s">
        <v>328</v>
      </c>
      <c r="L2491" s="61"/>
      <c r="M2491" s="61"/>
      <c r="N2491" s="61"/>
      <c r="O2491" s="61"/>
      <c r="P2491" s="61"/>
      <c r="Q2491" s="61"/>
      <c r="R2491" s="61" t="str">
        <f t="shared" si="176"/>
        <v/>
      </c>
      <c r="S2491" s="61" t="str">
        <f t="shared" si="177"/>
        <v/>
      </c>
      <c r="T2491" s="61" t="str">
        <f t="shared" si="175"/>
        <v/>
      </c>
      <c r="U2491" s="61" t="str">
        <f t="shared" si="178"/>
        <v/>
      </c>
      <c r="V2491" s="61"/>
      <c r="W2491" s="61"/>
      <c r="X2491" s="61"/>
      <c r="Y2491" s="61"/>
      <c r="Z2491" s="61"/>
      <c r="AA2491" s="61"/>
      <c r="AB2491" s="61"/>
    </row>
    <row r="2492" spans="1:28" s="2" customFormat="1" ht="15">
      <c r="A2492" s="61" t="s">
        <v>779</v>
      </c>
      <c r="B2492" s="61" t="s">
        <v>1185</v>
      </c>
      <c r="C2492" s="61" t="s">
        <v>1180</v>
      </c>
      <c r="D2492" s="61" t="s">
        <v>7838</v>
      </c>
      <c r="E2492" s="61">
        <v>2950</v>
      </c>
      <c r="F2492" s="61">
        <v>3252</v>
      </c>
      <c r="G2492" s="61"/>
      <c r="H2492" s="61"/>
      <c r="I2492" s="61" t="s">
        <v>39</v>
      </c>
      <c r="J2492" s="61"/>
      <c r="K2492" s="61" t="s">
        <v>328</v>
      </c>
      <c r="L2492" s="61"/>
      <c r="M2492" s="61"/>
      <c r="N2492" s="61"/>
      <c r="O2492" s="61"/>
      <c r="P2492" s="61"/>
      <c r="Q2492" s="61"/>
      <c r="R2492" s="61" t="str">
        <f t="shared" si="176"/>
        <v/>
      </c>
      <c r="S2492" s="61" t="str">
        <f t="shared" si="177"/>
        <v/>
      </c>
      <c r="T2492" s="61" t="str">
        <f t="shared" si="175"/>
        <v/>
      </c>
      <c r="U2492" s="61" t="str">
        <f t="shared" si="178"/>
        <v/>
      </c>
      <c r="V2492" s="61"/>
      <c r="W2492" s="61"/>
      <c r="X2492" s="61"/>
      <c r="Y2492" s="61"/>
      <c r="Z2492" s="61"/>
      <c r="AA2492" s="61"/>
      <c r="AB2492" s="61"/>
    </row>
    <row r="2493" spans="1:28" s="2" customFormat="1" ht="15">
      <c r="A2493" s="61" t="s">
        <v>779</v>
      </c>
      <c r="B2493" s="61" t="s">
        <v>1185</v>
      </c>
      <c r="C2493" s="61" t="s">
        <v>4025</v>
      </c>
      <c r="D2493" s="61" t="s">
        <v>7838</v>
      </c>
      <c r="E2493" s="61">
        <v>9739</v>
      </c>
      <c r="F2493" s="61">
        <v>10454</v>
      </c>
      <c r="G2493" s="61"/>
      <c r="H2493" s="61"/>
      <c r="I2493" s="61" t="s">
        <v>39</v>
      </c>
      <c r="J2493" s="61"/>
      <c r="K2493" s="61" t="s">
        <v>328</v>
      </c>
      <c r="L2493" s="61"/>
      <c r="M2493" s="61"/>
      <c r="N2493" s="61"/>
      <c r="O2493" s="61"/>
      <c r="P2493" s="61"/>
      <c r="Q2493" s="61"/>
      <c r="R2493" s="61" t="str">
        <f t="shared" si="176"/>
        <v/>
      </c>
      <c r="S2493" s="61" t="str">
        <f t="shared" si="177"/>
        <v/>
      </c>
      <c r="T2493" s="61" t="str">
        <f t="shared" si="175"/>
        <v/>
      </c>
      <c r="U2493" s="61" t="str">
        <f t="shared" si="178"/>
        <v/>
      </c>
      <c r="V2493" s="61"/>
      <c r="W2493" s="61"/>
      <c r="X2493" s="61"/>
      <c r="Y2493" s="61"/>
      <c r="Z2493" s="61"/>
      <c r="AA2493" s="61"/>
      <c r="AB2493" s="61"/>
    </row>
    <row r="2494" spans="1:28" s="2" customFormat="1" ht="15">
      <c r="A2494" s="61" t="s">
        <v>779</v>
      </c>
      <c r="B2494" s="61" t="s">
        <v>1185</v>
      </c>
      <c r="C2494" s="61" t="s">
        <v>918</v>
      </c>
      <c r="D2494" s="61" t="s">
        <v>7838</v>
      </c>
      <c r="E2494" s="61">
        <v>4565</v>
      </c>
      <c r="F2494" s="61">
        <v>5296</v>
      </c>
      <c r="G2494" s="61"/>
      <c r="H2494" s="61"/>
      <c r="I2494" s="61" t="s">
        <v>39</v>
      </c>
      <c r="J2494" s="61"/>
      <c r="K2494" s="61" t="s">
        <v>328</v>
      </c>
      <c r="L2494" s="61"/>
      <c r="M2494" s="61"/>
      <c r="N2494" s="61"/>
      <c r="O2494" s="61"/>
      <c r="P2494" s="61"/>
      <c r="Q2494" s="61"/>
      <c r="R2494" s="61" t="str">
        <f t="shared" si="176"/>
        <v/>
      </c>
      <c r="S2494" s="61" t="str">
        <f t="shared" si="177"/>
        <v/>
      </c>
      <c r="T2494" s="61" t="str">
        <f t="shared" si="175"/>
        <v/>
      </c>
      <c r="U2494" s="61" t="str">
        <f t="shared" si="178"/>
        <v/>
      </c>
      <c r="V2494" s="61"/>
      <c r="W2494" s="61"/>
      <c r="X2494" s="61"/>
      <c r="Y2494" s="61"/>
      <c r="Z2494" s="61"/>
      <c r="AA2494" s="61"/>
      <c r="AB2494" s="61"/>
    </row>
    <row r="2495" spans="1:28" s="2" customFormat="1" ht="15">
      <c r="A2495" s="61" t="s">
        <v>779</v>
      </c>
      <c r="B2495" s="61" t="s">
        <v>1185</v>
      </c>
      <c r="C2495" s="61" t="s">
        <v>4207</v>
      </c>
      <c r="D2495" s="61" t="s">
        <v>7838</v>
      </c>
      <c r="E2495" s="61">
        <v>408</v>
      </c>
      <c r="F2495" s="61">
        <v>447</v>
      </c>
      <c r="G2495" s="61"/>
      <c r="H2495" s="61"/>
      <c r="I2495" s="61" t="s">
        <v>39</v>
      </c>
      <c r="J2495" s="61"/>
      <c r="K2495" s="61" t="s">
        <v>328</v>
      </c>
      <c r="L2495" s="61"/>
      <c r="M2495" s="61"/>
      <c r="N2495" s="61"/>
      <c r="O2495" s="61"/>
      <c r="P2495" s="61"/>
      <c r="Q2495" s="61"/>
      <c r="R2495" s="61" t="str">
        <f t="shared" si="176"/>
        <v/>
      </c>
      <c r="S2495" s="61" t="str">
        <f t="shared" si="177"/>
        <v/>
      </c>
      <c r="T2495" s="61" t="str">
        <f t="shared" si="175"/>
        <v/>
      </c>
      <c r="U2495" s="61" t="str">
        <f t="shared" si="178"/>
        <v/>
      </c>
      <c r="V2495" s="61"/>
      <c r="W2495" s="61"/>
      <c r="X2495" s="61"/>
      <c r="Y2495" s="61"/>
      <c r="Z2495" s="61"/>
      <c r="AA2495" s="61"/>
      <c r="AB2495" s="61"/>
    </row>
    <row r="2496" spans="1:28" s="2" customFormat="1" ht="15">
      <c r="A2496" s="61" t="s">
        <v>779</v>
      </c>
      <c r="B2496" s="61" t="s">
        <v>1185</v>
      </c>
      <c r="C2496" s="61" t="s">
        <v>5949</v>
      </c>
      <c r="D2496" s="61" t="s">
        <v>7838</v>
      </c>
      <c r="E2496" s="61">
        <v>3852</v>
      </c>
      <c r="F2496" s="61">
        <v>4101</v>
      </c>
      <c r="G2496" s="61"/>
      <c r="H2496" s="61"/>
      <c r="I2496" s="61" t="s">
        <v>39</v>
      </c>
      <c r="J2496" s="61"/>
      <c r="K2496" s="61" t="s">
        <v>328</v>
      </c>
      <c r="L2496" s="61"/>
      <c r="M2496" s="61"/>
      <c r="N2496" s="61"/>
      <c r="O2496" s="61"/>
      <c r="P2496" s="61"/>
      <c r="Q2496" s="61"/>
      <c r="R2496" s="61" t="str">
        <f t="shared" si="176"/>
        <v/>
      </c>
      <c r="S2496" s="61" t="str">
        <f t="shared" si="177"/>
        <v/>
      </c>
      <c r="T2496" s="61" t="str">
        <f t="shared" si="175"/>
        <v/>
      </c>
      <c r="U2496" s="61" t="str">
        <f t="shared" si="178"/>
        <v/>
      </c>
      <c r="V2496" s="61"/>
      <c r="W2496" s="61"/>
      <c r="X2496" s="61"/>
      <c r="Y2496" s="61"/>
      <c r="Z2496" s="61"/>
      <c r="AA2496" s="61"/>
      <c r="AB2496" s="61"/>
    </row>
    <row r="2497" spans="1:28" s="2" customFormat="1" ht="15">
      <c r="A2497" s="61" t="s">
        <v>779</v>
      </c>
      <c r="B2497" s="61" t="s">
        <v>1185</v>
      </c>
      <c r="C2497" s="61" t="s">
        <v>1166</v>
      </c>
      <c r="D2497" s="61" t="s">
        <v>7838</v>
      </c>
      <c r="E2497" s="61">
        <v>1882</v>
      </c>
      <c r="F2497" s="61">
        <v>2239</v>
      </c>
      <c r="G2497" s="61"/>
      <c r="H2497" s="61"/>
      <c r="I2497" s="61" t="s">
        <v>39</v>
      </c>
      <c r="J2497" s="61"/>
      <c r="K2497" s="61" t="s">
        <v>328</v>
      </c>
      <c r="L2497" s="61"/>
      <c r="M2497" s="61"/>
      <c r="N2497" s="61"/>
      <c r="O2497" s="61"/>
      <c r="P2497" s="61"/>
      <c r="Q2497" s="61"/>
      <c r="R2497" s="61" t="str">
        <f t="shared" si="176"/>
        <v/>
      </c>
      <c r="S2497" s="61" t="str">
        <f t="shared" si="177"/>
        <v/>
      </c>
      <c r="T2497" s="61" t="str">
        <f t="shared" si="175"/>
        <v/>
      </c>
      <c r="U2497" s="61" t="str">
        <f t="shared" si="178"/>
        <v/>
      </c>
      <c r="V2497" s="61"/>
      <c r="W2497" s="61"/>
      <c r="X2497" s="61"/>
      <c r="Y2497" s="61"/>
      <c r="Z2497" s="61"/>
      <c r="AA2497" s="61"/>
      <c r="AB2497" s="61"/>
    </row>
    <row r="2498" spans="1:28" s="2" customFormat="1" ht="15">
      <c r="A2498" s="61" t="s">
        <v>779</v>
      </c>
      <c r="B2498" s="61" t="s">
        <v>1185</v>
      </c>
      <c r="C2498" s="61" t="s">
        <v>1899</v>
      </c>
      <c r="D2498" s="61" t="s">
        <v>7838</v>
      </c>
      <c r="E2498" s="61">
        <v>4948</v>
      </c>
      <c r="F2498" s="61">
        <v>5415</v>
      </c>
      <c r="G2498" s="61"/>
      <c r="H2498" s="61"/>
      <c r="I2498" s="61" t="s">
        <v>39</v>
      </c>
      <c r="J2498" s="61"/>
      <c r="K2498" s="61" t="s">
        <v>328</v>
      </c>
      <c r="L2498" s="61"/>
      <c r="M2498" s="61"/>
      <c r="N2498" s="61"/>
      <c r="O2498" s="61"/>
      <c r="P2498" s="61"/>
      <c r="Q2498" s="61"/>
      <c r="R2498" s="61" t="str">
        <f t="shared" si="176"/>
        <v/>
      </c>
      <c r="S2498" s="61" t="str">
        <f t="shared" si="177"/>
        <v/>
      </c>
      <c r="T2498" s="61" t="str">
        <f t="shared" si="175"/>
        <v/>
      </c>
      <c r="U2498" s="61" t="str">
        <f t="shared" si="178"/>
        <v/>
      </c>
      <c r="V2498" s="61"/>
      <c r="W2498" s="61"/>
      <c r="X2498" s="61"/>
      <c r="Y2498" s="61"/>
      <c r="Z2498" s="61"/>
      <c r="AA2498" s="61"/>
      <c r="AB2498" s="61"/>
    </row>
    <row r="2499" spans="1:28" s="2" customFormat="1" ht="15">
      <c r="A2499" s="61" t="s">
        <v>779</v>
      </c>
      <c r="B2499" s="61" t="s">
        <v>1185</v>
      </c>
      <c r="C2499" s="61" t="s">
        <v>4950</v>
      </c>
      <c r="D2499" s="61" t="s">
        <v>7838</v>
      </c>
      <c r="E2499" s="61">
        <v>1644</v>
      </c>
      <c r="F2499" s="61">
        <v>2259</v>
      </c>
      <c r="G2499" s="61"/>
      <c r="H2499" s="61"/>
      <c r="I2499" s="61" t="s">
        <v>39</v>
      </c>
      <c r="J2499" s="61"/>
      <c r="K2499" s="61" t="s">
        <v>328</v>
      </c>
      <c r="L2499" s="61"/>
      <c r="M2499" s="61"/>
      <c r="N2499" s="61"/>
      <c r="O2499" s="61"/>
      <c r="P2499" s="61"/>
      <c r="Q2499" s="61"/>
      <c r="R2499" s="61" t="str">
        <f t="shared" si="176"/>
        <v/>
      </c>
      <c r="S2499" s="61" t="str">
        <f t="shared" si="177"/>
        <v/>
      </c>
      <c r="T2499" s="61" t="str">
        <f t="shared" si="175"/>
        <v/>
      </c>
      <c r="U2499" s="61" t="str">
        <f t="shared" si="178"/>
        <v/>
      </c>
      <c r="V2499" s="61"/>
      <c r="W2499" s="61"/>
      <c r="X2499" s="61"/>
      <c r="Y2499" s="61"/>
      <c r="Z2499" s="61"/>
      <c r="AA2499" s="61"/>
      <c r="AB2499" s="61"/>
    </row>
    <row r="2500" spans="1:28" s="2" customFormat="1" ht="15">
      <c r="A2500" s="61" t="s">
        <v>779</v>
      </c>
      <c r="B2500" s="61" t="s">
        <v>1185</v>
      </c>
      <c r="C2500" s="61" t="s">
        <v>1424</v>
      </c>
      <c r="D2500" s="61" t="s">
        <v>7838</v>
      </c>
      <c r="E2500" s="61">
        <v>5610</v>
      </c>
      <c r="F2500" s="61">
        <v>6082</v>
      </c>
      <c r="G2500" s="61"/>
      <c r="H2500" s="61"/>
      <c r="I2500" s="61" t="s">
        <v>39</v>
      </c>
      <c r="J2500" s="61"/>
      <c r="K2500" s="61" t="s">
        <v>328</v>
      </c>
      <c r="L2500" s="61"/>
      <c r="M2500" s="61"/>
      <c r="N2500" s="61"/>
      <c r="O2500" s="61"/>
      <c r="P2500" s="61"/>
      <c r="Q2500" s="61"/>
      <c r="R2500" s="61" t="str">
        <f t="shared" si="176"/>
        <v/>
      </c>
      <c r="S2500" s="61" t="str">
        <f t="shared" si="177"/>
        <v/>
      </c>
      <c r="T2500" s="61" t="str">
        <f t="shared" si="175"/>
        <v/>
      </c>
      <c r="U2500" s="61" t="str">
        <f t="shared" si="178"/>
        <v/>
      </c>
      <c r="V2500" s="61"/>
      <c r="W2500" s="61"/>
      <c r="X2500" s="61"/>
      <c r="Y2500" s="61"/>
      <c r="Z2500" s="61"/>
      <c r="AA2500" s="61"/>
      <c r="AB2500" s="61"/>
    </row>
    <row r="2501" spans="1:28" s="2" customFormat="1" ht="15">
      <c r="A2501" s="61" t="s">
        <v>779</v>
      </c>
      <c r="B2501" s="61" t="s">
        <v>1185</v>
      </c>
      <c r="C2501" s="61" t="s">
        <v>4242</v>
      </c>
      <c r="D2501" s="61" t="s">
        <v>7838</v>
      </c>
      <c r="E2501" s="61">
        <v>4958</v>
      </c>
      <c r="F2501" s="61">
        <v>5586</v>
      </c>
      <c r="G2501" s="61"/>
      <c r="H2501" s="61"/>
      <c r="I2501" s="61" t="s">
        <v>39</v>
      </c>
      <c r="J2501" s="61"/>
      <c r="K2501" s="61" t="s">
        <v>328</v>
      </c>
      <c r="L2501" s="61"/>
      <c r="M2501" s="61"/>
      <c r="N2501" s="61"/>
      <c r="O2501" s="61"/>
      <c r="P2501" s="61"/>
      <c r="Q2501" s="61"/>
      <c r="R2501" s="61" t="str">
        <f t="shared" si="176"/>
        <v/>
      </c>
      <c r="S2501" s="61" t="str">
        <f t="shared" si="177"/>
        <v/>
      </c>
      <c r="T2501" s="61" t="str">
        <f t="shared" si="175"/>
        <v/>
      </c>
      <c r="U2501" s="61" t="str">
        <f t="shared" si="178"/>
        <v/>
      </c>
      <c r="V2501" s="61"/>
      <c r="W2501" s="61"/>
      <c r="X2501" s="61"/>
      <c r="Y2501" s="61"/>
      <c r="Z2501" s="61"/>
      <c r="AA2501" s="61"/>
      <c r="AB2501" s="61"/>
    </row>
    <row r="2502" spans="1:28" s="2" customFormat="1" ht="15">
      <c r="A2502" s="61" t="s">
        <v>779</v>
      </c>
      <c r="B2502" s="61" t="s">
        <v>1185</v>
      </c>
      <c r="C2502" s="61" t="s">
        <v>1170</v>
      </c>
      <c r="D2502" s="61" t="s">
        <v>7838</v>
      </c>
      <c r="E2502" s="61">
        <v>5391</v>
      </c>
      <c r="F2502" s="61">
        <v>5686</v>
      </c>
      <c r="G2502" s="61"/>
      <c r="H2502" s="61"/>
      <c r="I2502" s="61" t="s">
        <v>39</v>
      </c>
      <c r="J2502" s="61"/>
      <c r="K2502" s="61" t="s">
        <v>328</v>
      </c>
      <c r="L2502" s="61"/>
      <c r="M2502" s="61"/>
      <c r="N2502" s="61"/>
      <c r="O2502" s="61"/>
      <c r="P2502" s="61"/>
      <c r="Q2502" s="61"/>
      <c r="R2502" s="61" t="str">
        <f t="shared" si="176"/>
        <v/>
      </c>
      <c r="S2502" s="61" t="str">
        <f t="shared" si="177"/>
        <v/>
      </c>
      <c r="T2502" s="61" t="str">
        <f t="shared" si="175"/>
        <v/>
      </c>
      <c r="U2502" s="61" t="str">
        <f t="shared" si="178"/>
        <v/>
      </c>
      <c r="V2502" s="61"/>
      <c r="W2502" s="61"/>
      <c r="X2502" s="61"/>
      <c r="Y2502" s="61"/>
      <c r="Z2502" s="61"/>
      <c r="AA2502" s="61"/>
      <c r="AB2502" s="61"/>
    </row>
    <row r="2503" spans="1:28" s="2" customFormat="1" ht="15">
      <c r="A2503" s="61" t="s">
        <v>779</v>
      </c>
      <c r="B2503" s="61" t="s">
        <v>1185</v>
      </c>
      <c r="C2503" s="61" t="s">
        <v>3977</v>
      </c>
      <c r="D2503" s="61" t="s">
        <v>7838</v>
      </c>
      <c r="E2503" s="61">
        <v>1463</v>
      </c>
      <c r="F2503" s="61">
        <v>1537</v>
      </c>
      <c r="G2503" s="61"/>
      <c r="H2503" s="61"/>
      <c r="I2503" s="61" t="s">
        <v>39</v>
      </c>
      <c r="J2503" s="61"/>
      <c r="K2503" s="61" t="s">
        <v>328</v>
      </c>
      <c r="L2503" s="61"/>
      <c r="M2503" s="61"/>
      <c r="N2503" s="61"/>
      <c r="O2503" s="61"/>
      <c r="P2503" s="61"/>
      <c r="Q2503" s="61"/>
      <c r="R2503" s="61" t="str">
        <f t="shared" si="176"/>
        <v/>
      </c>
      <c r="S2503" s="61" t="str">
        <f t="shared" si="177"/>
        <v/>
      </c>
      <c r="T2503" s="61" t="str">
        <f t="shared" si="175"/>
        <v/>
      </c>
      <c r="U2503" s="61" t="str">
        <f t="shared" si="178"/>
        <v/>
      </c>
      <c r="V2503" s="61"/>
      <c r="W2503" s="61"/>
      <c r="X2503" s="61"/>
      <c r="Y2503" s="61"/>
      <c r="Z2503" s="61"/>
      <c r="AA2503" s="61"/>
      <c r="AB2503" s="61"/>
    </row>
    <row r="2504" spans="1:28" s="2" customFormat="1" ht="15">
      <c r="A2504" s="61" t="s">
        <v>779</v>
      </c>
      <c r="B2504" s="61" t="s">
        <v>1185</v>
      </c>
      <c r="C2504" s="61" t="s">
        <v>4261</v>
      </c>
      <c r="D2504" s="61" t="s">
        <v>7838</v>
      </c>
      <c r="E2504" s="61">
        <v>1819</v>
      </c>
      <c r="F2504" s="61">
        <v>2030</v>
      </c>
      <c r="G2504" s="61"/>
      <c r="H2504" s="61"/>
      <c r="I2504" s="61" t="s">
        <v>39</v>
      </c>
      <c r="J2504" s="61"/>
      <c r="K2504" s="61" t="s">
        <v>328</v>
      </c>
      <c r="L2504" s="61"/>
      <c r="M2504" s="61"/>
      <c r="N2504" s="61"/>
      <c r="O2504" s="61"/>
      <c r="P2504" s="61"/>
      <c r="Q2504" s="61"/>
      <c r="R2504" s="61" t="str">
        <f t="shared" si="176"/>
        <v/>
      </c>
      <c r="S2504" s="61" t="str">
        <f t="shared" si="177"/>
        <v/>
      </c>
      <c r="T2504" s="61" t="str">
        <f t="shared" si="175"/>
        <v/>
      </c>
      <c r="U2504" s="61" t="str">
        <f t="shared" si="178"/>
        <v/>
      </c>
      <c r="V2504" s="61"/>
      <c r="W2504" s="61"/>
      <c r="X2504" s="61"/>
      <c r="Y2504" s="61"/>
      <c r="Z2504" s="61"/>
      <c r="AA2504" s="61"/>
      <c r="AB2504" s="61"/>
    </row>
    <row r="2505" spans="1:28" s="2" customFormat="1" ht="15">
      <c r="A2505" s="61" t="s">
        <v>779</v>
      </c>
      <c r="B2505" s="61" t="s">
        <v>1185</v>
      </c>
      <c r="C2505" s="61" t="s">
        <v>5955</v>
      </c>
      <c r="D2505" s="61" t="s">
        <v>7838</v>
      </c>
      <c r="E2505" s="61">
        <v>95</v>
      </c>
      <c r="F2505" s="61">
        <v>208</v>
      </c>
      <c r="G2505" s="61"/>
      <c r="H2505" s="61"/>
      <c r="I2505" s="61" t="s">
        <v>39</v>
      </c>
      <c r="J2505" s="61"/>
      <c r="K2505" s="61" t="s">
        <v>328</v>
      </c>
      <c r="L2505" s="61"/>
      <c r="M2505" s="61"/>
      <c r="N2505" s="61"/>
      <c r="O2505" s="61"/>
      <c r="P2505" s="61"/>
      <c r="Q2505" s="61"/>
      <c r="R2505" s="61" t="str">
        <f t="shared" si="176"/>
        <v/>
      </c>
      <c r="S2505" s="61" t="str">
        <f t="shared" si="177"/>
        <v/>
      </c>
      <c r="T2505" s="61" t="str">
        <f t="shared" si="175"/>
        <v/>
      </c>
      <c r="U2505" s="61" t="str">
        <f t="shared" si="178"/>
        <v/>
      </c>
      <c r="V2505" s="61"/>
      <c r="W2505" s="61"/>
      <c r="X2505" s="61"/>
      <c r="Y2505" s="61"/>
      <c r="Z2505" s="61"/>
      <c r="AA2505" s="61"/>
      <c r="AB2505" s="61"/>
    </row>
    <row r="2506" spans="1:28" s="2" customFormat="1" ht="28.5">
      <c r="A2506" s="61" t="s">
        <v>779</v>
      </c>
      <c r="B2506" s="61" t="s">
        <v>1480</v>
      </c>
      <c r="C2506" s="61" t="s">
        <v>5957</v>
      </c>
      <c r="D2506" s="61" t="s">
        <v>159</v>
      </c>
      <c r="E2506" s="61">
        <v>4428</v>
      </c>
      <c r="F2506" s="61">
        <v>4678</v>
      </c>
      <c r="G2506" s="61">
        <v>2025</v>
      </c>
      <c r="H2506" s="61" t="s">
        <v>3127</v>
      </c>
      <c r="I2506" s="61" t="s">
        <v>37</v>
      </c>
      <c r="J2506" s="61"/>
      <c r="K2506" s="61" t="s">
        <v>328</v>
      </c>
      <c r="L2506" s="61" t="s">
        <v>9182</v>
      </c>
      <c r="M2506" s="475">
        <v>45912</v>
      </c>
      <c r="N2506" s="475">
        <v>45918</v>
      </c>
      <c r="O2506" s="61"/>
      <c r="P2506" s="475">
        <v>45918</v>
      </c>
      <c r="Q2506" s="475">
        <v>45919</v>
      </c>
      <c r="R2506" s="61">
        <f t="shared" si="176"/>
        <v>4</v>
      </c>
      <c r="S2506" s="61" t="str">
        <f t="shared" si="177"/>
        <v/>
      </c>
      <c r="T2506" s="61">
        <f t="shared" si="175"/>
        <v>1</v>
      </c>
      <c r="U2506" s="61">
        <f t="shared" si="178"/>
        <v>1</v>
      </c>
      <c r="V2506" s="61" t="s">
        <v>150</v>
      </c>
      <c r="W2506" s="61" t="s">
        <v>3527</v>
      </c>
      <c r="X2506" s="61" t="s">
        <v>3528</v>
      </c>
      <c r="Y2506" s="61" t="s">
        <v>69</v>
      </c>
      <c r="Z2506" s="61" t="s">
        <v>69</v>
      </c>
      <c r="AA2506" s="61" t="s">
        <v>8492</v>
      </c>
      <c r="AB2506" s="61"/>
    </row>
    <row r="2507" spans="1:28" s="2" customFormat="1" ht="28.5">
      <c r="A2507" s="61" t="s">
        <v>779</v>
      </c>
      <c r="B2507" s="61" t="s">
        <v>1480</v>
      </c>
      <c r="C2507" s="61" t="s">
        <v>5981</v>
      </c>
      <c r="D2507" s="61" t="s">
        <v>159</v>
      </c>
      <c r="E2507" s="61">
        <v>1172</v>
      </c>
      <c r="F2507" s="61">
        <v>1110</v>
      </c>
      <c r="G2507" s="61">
        <v>2025</v>
      </c>
      <c r="H2507" s="61" t="s">
        <v>3127</v>
      </c>
      <c r="I2507" s="61" t="s">
        <v>37</v>
      </c>
      <c r="J2507" s="61"/>
      <c r="K2507" s="61" t="s">
        <v>328</v>
      </c>
      <c r="L2507" s="61" t="s">
        <v>9182</v>
      </c>
      <c r="M2507" s="475">
        <v>45912</v>
      </c>
      <c r="N2507" s="475">
        <v>45918</v>
      </c>
      <c r="O2507" s="61"/>
      <c r="P2507" s="475">
        <v>45918</v>
      </c>
      <c r="Q2507" s="475">
        <v>45919</v>
      </c>
      <c r="R2507" s="61">
        <f t="shared" si="176"/>
        <v>4</v>
      </c>
      <c r="S2507" s="61" t="str">
        <f t="shared" si="177"/>
        <v/>
      </c>
      <c r="T2507" s="61">
        <f t="shared" si="175"/>
        <v>1</v>
      </c>
      <c r="U2507" s="61">
        <f t="shared" si="178"/>
        <v>1</v>
      </c>
      <c r="V2507" s="61" t="s">
        <v>150</v>
      </c>
      <c r="W2507" s="61" t="s">
        <v>1078</v>
      </c>
      <c r="X2507" s="61" t="s">
        <v>50</v>
      </c>
      <c r="Y2507" s="61">
        <v>15.598119000000001</v>
      </c>
      <c r="Z2507" s="61">
        <v>120.55596</v>
      </c>
      <c r="AA2507" s="61" t="s">
        <v>8492</v>
      </c>
      <c r="AB2507" s="61"/>
    </row>
    <row r="2508" spans="1:28" s="2" customFormat="1" ht="28.5">
      <c r="A2508" s="61" t="s">
        <v>779</v>
      </c>
      <c r="B2508" s="61" t="s">
        <v>1480</v>
      </c>
      <c r="C2508" s="61" t="s">
        <v>5979</v>
      </c>
      <c r="D2508" s="61" t="s">
        <v>159</v>
      </c>
      <c r="E2508" s="61">
        <v>1113</v>
      </c>
      <c r="F2508" s="61">
        <v>1233</v>
      </c>
      <c r="G2508" s="61">
        <v>2025</v>
      </c>
      <c r="H2508" s="61" t="s">
        <v>3126</v>
      </c>
      <c r="I2508" s="61" t="s">
        <v>37</v>
      </c>
      <c r="J2508" s="61"/>
      <c r="K2508" s="61" t="s">
        <v>328</v>
      </c>
      <c r="L2508" s="61" t="s">
        <v>9183</v>
      </c>
      <c r="M2508" s="475">
        <v>45875</v>
      </c>
      <c r="N2508" s="475">
        <v>45882</v>
      </c>
      <c r="O2508" s="61"/>
      <c r="P2508" s="475">
        <v>45882</v>
      </c>
      <c r="Q2508" s="475">
        <v>45888</v>
      </c>
      <c r="R2508" s="61">
        <f t="shared" si="176"/>
        <v>5</v>
      </c>
      <c r="S2508" s="61" t="str">
        <f t="shared" si="177"/>
        <v/>
      </c>
      <c r="T2508" s="61">
        <f t="shared" si="175"/>
        <v>1</v>
      </c>
      <c r="U2508" s="61">
        <f t="shared" si="178"/>
        <v>4</v>
      </c>
      <c r="V2508" s="61" t="s">
        <v>150</v>
      </c>
      <c r="W2508" s="61" t="s">
        <v>4</v>
      </c>
      <c r="X2508" s="61" t="s">
        <v>50</v>
      </c>
      <c r="Y2508" s="61">
        <v>15.57301</v>
      </c>
      <c r="Z2508" s="61">
        <v>120.55200000000001</v>
      </c>
      <c r="AA2508" s="61" t="s">
        <v>8492</v>
      </c>
      <c r="AB2508" s="61"/>
    </row>
    <row r="2509" spans="1:28" s="2" customFormat="1" ht="15">
      <c r="A2509" s="61" t="s">
        <v>779</v>
      </c>
      <c r="B2509" s="61" t="s">
        <v>1480</v>
      </c>
      <c r="C2509" s="61" t="s">
        <v>5959</v>
      </c>
      <c r="D2509" s="61" t="s">
        <v>159</v>
      </c>
      <c r="E2509" s="61">
        <v>2193</v>
      </c>
      <c r="F2509" s="61">
        <v>2573</v>
      </c>
      <c r="G2509" s="61">
        <v>2025</v>
      </c>
      <c r="H2509" s="61" t="s">
        <v>3458</v>
      </c>
      <c r="I2509" s="61" t="s">
        <v>37</v>
      </c>
      <c r="J2509" s="61"/>
      <c r="K2509" s="61" t="s">
        <v>328</v>
      </c>
      <c r="L2509" s="61" t="s">
        <v>9184</v>
      </c>
      <c r="M2509" s="475">
        <v>45701</v>
      </c>
      <c r="N2509" s="475">
        <v>45704</v>
      </c>
      <c r="O2509" s="475"/>
      <c r="P2509" s="475">
        <v>45705</v>
      </c>
      <c r="Q2509" s="475">
        <v>45706</v>
      </c>
      <c r="R2509" s="61">
        <f t="shared" si="176"/>
        <v>1</v>
      </c>
      <c r="S2509" s="61" t="str">
        <f t="shared" si="177"/>
        <v/>
      </c>
      <c r="T2509" s="61">
        <f t="shared" si="175"/>
        <v>1</v>
      </c>
      <c r="U2509" s="61">
        <f t="shared" si="178"/>
        <v>1</v>
      </c>
      <c r="V2509" s="61" t="s">
        <v>150</v>
      </c>
      <c r="W2509" s="61" t="s">
        <v>1078</v>
      </c>
      <c r="X2509" s="61" t="s">
        <v>50</v>
      </c>
      <c r="Y2509" s="61"/>
      <c r="Z2509" s="61"/>
      <c r="AA2509" s="61" t="s">
        <v>9157</v>
      </c>
      <c r="AB2509" s="61"/>
    </row>
    <row r="2510" spans="1:28" s="2" customFormat="1" ht="15">
      <c r="A2510" s="61" t="s">
        <v>779</v>
      </c>
      <c r="B2510" s="61" t="s">
        <v>1480</v>
      </c>
      <c r="C2510" s="61" t="s">
        <v>5961</v>
      </c>
      <c r="D2510" s="61" t="s">
        <v>159</v>
      </c>
      <c r="E2510" s="61">
        <v>1440</v>
      </c>
      <c r="F2510" s="61">
        <v>1790</v>
      </c>
      <c r="G2510" s="61">
        <v>2025</v>
      </c>
      <c r="H2510" s="61" t="s">
        <v>3458</v>
      </c>
      <c r="I2510" s="61" t="s">
        <v>37</v>
      </c>
      <c r="J2510" s="61"/>
      <c r="K2510" s="61" t="s">
        <v>328</v>
      </c>
      <c r="L2510" s="61" t="s">
        <v>9185</v>
      </c>
      <c r="M2510" s="475">
        <v>45701</v>
      </c>
      <c r="N2510" s="475">
        <v>45705</v>
      </c>
      <c r="O2510" s="475"/>
      <c r="P2510" s="475">
        <v>45705</v>
      </c>
      <c r="Q2510" s="475">
        <v>45706</v>
      </c>
      <c r="R2510" s="61">
        <f t="shared" si="176"/>
        <v>2</v>
      </c>
      <c r="S2510" s="61" t="str">
        <f t="shared" si="177"/>
        <v/>
      </c>
      <c r="T2510" s="61">
        <f t="shared" si="175"/>
        <v>1</v>
      </c>
      <c r="U2510" s="61">
        <f t="shared" si="178"/>
        <v>1</v>
      </c>
      <c r="V2510" s="61" t="s">
        <v>150</v>
      </c>
      <c r="W2510" s="61" t="s">
        <v>1078</v>
      </c>
      <c r="X2510" s="61" t="s">
        <v>50</v>
      </c>
      <c r="Y2510" s="61"/>
      <c r="Z2510" s="61"/>
      <c r="AA2510" s="61" t="s">
        <v>9157</v>
      </c>
      <c r="AB2510" s="61"/>
    </row>
    <row r="2511" spans="1:28" s="2" customFormat="1" ht="28.5">
      <c r="A2511" s="61" t="s">
        <v>779</v>
      </c>
      <c r="B2511" s="61" t="s">
        <v>1480</v>
      </c>
      <c r="C2511" s="61" t="s">
        <v>5985</v>
      </c>
      <c r="D2511" s="61" t="s">
        <v>159</v>
      </c>
      <c r="E2511" s="61">
        <v>1444</v>
      </c>
      <c r="F2511" s="61">
        <v>1589</v>
      </c>
      <c r="G2511" s="61">
        <v>2025</v>
      </c>
      <c r="H2511" s="61" t="s">
        <v>3689</v>
      </c>
      <c r="I2511" s="61" t="s">
        <v>37</v>
      </c>
      <c r="J2511" s="61"/>
      <c r="K2511" s="61" t="s">
        <v>328</v>
      </c>
      <c r="L2511" s="61" t="s">
        <v>9186</v>
      </c>
      <c r="M2511" s="475">
        <v>45819</v>
      </c>
      <c r="N2511" s="475">
        <v>45822</v>
      </c>
      <c r="O2511" s="61"/>
      <c r="P2511" s="475">
        <v>45824</v>
      </c>
      <c r="Q2511" s="475">
        <v>45824</v>
      </c>
      <c r="R2511" s="61">
        <f t="shared" si="176"/>
        <v>2</v>
      </c>
      <c r="S2511" s="61" t="str">
        <f t="shared" si="177"/>
        <v/>
      </c>
      <c r="T2511" s="61">
        <f t="shared" si="175"/>
        <v>1</v>
      </c>
      <c r="U2511" s="61">
        <f t="shared" si="178"/>
        <v>1</v>
      </c>
      <c r="V2511" s="61" t="s">
        <v>150</v>
      </c>
      <c r="W2511" s="61" t="s">
        <v>1078</v>
      </c>
      <c r="X2511" s="61" t="s">
        <v>50</v>
      </c>
      <c r="Y2511" s="61">
        <v>15.636380000000001</v>
      </c>
      <c r="Z2511" s="61">
        <v>120.60774000000001</v>
      </c>
      <c r="AA2511" s="61" t="s">
        <v>8492</v>
      </c>
      <c r="AB2511" s="61"/>
    </row>
    <row r="2512" spans="1:28" s="2" customFormat="1" ht="28.5">
      <c r="A2512" s="61" t="s">
        <v>779</v>
      </c>
      <c r="B2512" s="61" t="s">
        <v>1480</v>
      </c>
      <c r="C2512" s="61" t="s">
        <v>1295</v>
      </c>
      <c r="D2512" s="61" t="s">
        <v>159</v>
      </c>
      <c r="E2512" s="61">
        <v>1264</v>
      </c>
      <c r="F2512" s="61">
        <v>1279</v>
      </c>
      <c r="G2512" s="61">
        <v>2025</v>
      </c>
      <c r="H2512" s="61" t="s">
        <v>3126</v>
      </c>
      <c r="I2512" s="61" t="s">
        <v>37</v>
      </c>
      <c r="J2512" s="61"/>
      <c r="K2512" s="61" t="s">
        <v>328</v>
      </c>
      <c r="L2512" s="61" t="s">
        <v>9183</v>
      </c>
      <c r="M2512" s="475">
        <v>45875</v>
      </c>
      <c r="N2512" s="475">
        <v>45882</v>
      </c>
      <c r="O2512" s="61"/>
      <c r="P2512" s="475">
        <v>45882</v>
      </c>
      <c r="Q2512" s="475">
        <v>45888</v>
      </c>
      <c r="R2512" s="61">
        <f t="shared" si="176"/>
        <v>5</v>
      </c>
      <c r="S2512" s="61" t="str">
        <f t="shared" si="177"/>
        <v/>
      </c>
      <c r="T2512" s="61">
        <f t="shared" si="175"/>
        <v>1</v>
      </c>
      <c r="U2512" s="61">
        <f t="shared" si="178"/>
        <v>4</v>
      </c>
      <c r="V2512" s="61" t="s">
        <v>150</v>
      </c>
      <c r="W2512" s="61" t="s">
        <v>1078</v>
      </c>
      <c r="X2512" s="61" t="s">
        <v>50</v>
      </c>
      <c r="Y2512" s="61">
        <v>15.603999999999999</v>
      </c>
      <c r="Z2512" s="61">
        <v>120.49775</v>
      </c>
      <c r="AA2512" s="61" t="s">
        <v>8492</v>
      </c>
      <c r="AB2512" s="61"/>
    </row>
    <row r="2513" spans="1:28" s="2" customFormat="1" ht="28.5">
      <c r="A2513" s="61" t="s">
        <v>779</v>
      </c>
      <c r="B2513" s="61" t="s">
        <v>1480</v>
      </c>
      <c r="C2513" s="61" t="s">
        <v>5756</v>
      </c>
      <c r="D2513" s="61" t="s">
        <v>159</v>
      </c>
      <c r="E2513" s="61">
        <v>1065</v>
      </c>
      <c r="F2513" s="61">
        <v>1212</v>
      </c>
      <c r="G2513" s="61">
        <v>2025</v>
      </c>
      <c r="H2513" s="61" t="s">
        <v>3125</v>
      </c>
      <c r="I2513" s="61" t="s">
        <v>37</v>
      </c>
      <c r="J2513" s="61"/>
      <c r="K2513" s="61" t="s">
        <v>328</v>
      </c>
      <c r="L2513" s="61" t="s">
        <v>9187</v>
      </c>
      <c r="M2513" s="475">
        <v>45848</v>
      </c>
      <c r="N2513" s="475">
        <v>45850</v>
      </c>
      <c r="O2513" s="61"/>
      <c r="P2513" s="475">
        <v>45854</v>
      </c>
      <c r="Q2513" s="475">
        <v>45855</v>
      </c>
      <c r="R2513" s="61">
        <f t="shared" si="176"/>
        <v>1</v>
      </c>
      <c r="S2513" s="61" t="str">
        <f t="shared" si="177"/>
        <v/>
      </c>
      <c r="T2513" s="61">
        <f t="shared" si="175"/>
        <v>2</v>
      </c>
      <c r="U2513" s="61">
        <f t="shared" si="178"/>
        <v>1</v>
      </c>
      <c r="V2513" s="61" t="s">
        <v>150</v>
      </c>
      <c r="W2513" s="61" t="s">
        <v>1078</v>
      </c>
      <c r="X2513" s="61" t="s">
        <v>50</v>
      </c>
      <c r="Y2513" s="61">
        <v>15.58507</v>
      </c>
      <c r="Z2513" s="61">
        <v>120.54345000000001</v>
      </c>
      <c r="AA2513" s="61" t="s">
        <v>8492</v>
      </c>
      <c r="AB2513" s="61"/>
    </row>
    <row r="2514" spans="1:28" s="2" customFormat="1" ht="28.5">
      <c r="A2514" s="61" t="s">
        <v>779</v>
      </c>
      <c r="B2514" s="61" t="s">
        <v>1480</v>
      </c>
      <c r="C2514" s="61" t="s">
        <v>3565</v>
      </c>
      <c r="D2514" s="61" t="s">
        <v>159</v>
      </c>
      <c r="E2514" s="61">
        <v>778</v>
      </c>
      <c r="F2514" s="61">
        <v>903</v>
      </c>
      <c r="G2514" s="61">
        <v>2025</v>
      </c>
      <c r="H2514" s="61" t="s">
        <v>3125</v>
      </c>
      <c r="I2514" s="61" t="s">
        <v>37</v>
      </c>
      <c r="J2514" s="61"/>
      <c r="K2514" s="61" t="s">
        <v>328</v>
      </c>
      <c r="L2514" s="61" t="s">
        <v>9188</v>
      </c>
      <c r="M2514" s="475">
        <v>45848</v>
      </c>
      <c r="N2514" s="475">
        <v>45850</v>
      </c>
      <c r="O2514" s="61"/>
      <c r="P2514" s="475">
        <v>45854</v>
      </c>
      <c r="Q2514" s="475">
        <v>45855</v>
      </c>
      <c r="R2514" s="61">
        <f t="shared" si="176"/>
        <v>1</v>
      </c>
      <c r="S2514" s="61" t="str">
        <f t="shared" si="177"/>
        <v/>
      </c>
      <c r="T2514" s="61">
        <f t="shared" si="175"/>
        <v>2</v>
      </c>
      <c r="U2514" s="61">
        <f t="shared" si="178"/>
        <v>1</v>
      </c>
      <c r="V2514" s="61" t="s">
        <v>150</v>
      </c>
      <c r="W2514" s="61" t="s">
        <v>1078</v>
      </c>
      <c r="X2514" s="61" t="s">
        <v>50</v>
      </c>
      <c r="Y2514" s="61">
        <v>15.622730000000001</v>
      </c>
      <c r="Z2514" s="61">
        <v>120.53319999999999</v>
      </c>
      <c r="AA2514" s="61" t="s">
        <v>8492</v>
      </c>
      <c r="AB2514" s="61"/>
    </row>
    <row r="2515" spans="1:28" s="2" customFormat="1" ht="28.5">
      <c r="A2515" s="61" t="s">
        <v>779</v>
      </c>
      <c r="B2515" s="61" t="s">
        <v>1480</v>
      </c>
      <c r="C2515" s="61" t="s">
        <v>1170</v>
      </c>
      <c r="D2515" s="61" t="s">
        <v>159</v>
      </c>
      <c r="E2515" s="61">
        <v>2082</v>
      </c>
      <c r="F2515" s="61">
        <v>2283</v>
      </c>
      <c r="G2515" s="61">
        <v>2025</v>
      </c>
      <c r="H2515" s="61" t="s">
        <v>3126</v>
      </c>
      <c r="I2515" s="61" t="s">
        <v>37</v>
      </c>
      <c r="J2515" s="61"/>
      <c r="K2515" s="61" t="s">
        <v>328</v>
      </c>
      <c r="L2515" s="61" t="s">
        <v>9183</v>
      </c>
      <c r="M2515" s="475">
        <v>45875</v>
      </c>
      <c r="N2515" s="475">
        <v>45882</v>
      </c>
      <c r="O2515" s="61"/>
      <c r="P2515" s="475">
        <v>45882</v>
      </c>
      <c r="Q2515" s="475">
        <v>45888</v>
      </c>
      <c r="R2515" s="61">
        <f t="shared" si="176"/>
        <v>5</v>
      </c>
      <c r="S2515" s="61" t="str">
        <f t="shared" si="177"/>
        <v/>
      </c>
      <c r="T2515" s="61">
        <f t="shared" si="175"/>
        <v>1</v>
      </c>
      <c r="U2515" s="61">
        <f t="shared" si="178"/>
        <v>4</v>
      </c>
      <c r="V2515" s="61" t="s">
        <v>150</v>
      </c>
      <c r="W2515" s="61" t="s">
        <v>1078</v>
      </c>
      <c r="X2515" s="61" t="s">
        <v>50</v>
      </c>
      <c r="Y2515" s="61">
        <v>15.620100000000001</v>
      </c>
      <c r="Z2515" s="61">
        <v>120.50051000000001</v>
      </c>
      <c r="AA2515" s="61" t="s">
        <v>8492</v>
      </c>
      <c r="AB2515" s="61"/>
    </row>
    <row r="2516" spans="1:28" s="2" customFormat="1" ht="28.5">
      <c r="A2516" s="61" t="s">
        <v>779</v>
      </c>
      <c r="B2516" s="61" t="s">
        <v>1480</v>
      </c>
      <c r="C2516" s="61" t="s">
        <v>5968</v>
      </c>
      <c r="D2516" s="61" t="s">
        <v>159</v>
      </c>
      <c r="E2516" s="61">
        <v>2770</v>
      </c>
      <c r="F2516" s="61">
        <v>2891</v>
      </c>
      <c r="G2516" s="61">
        <v>2025</v>
      </c>
      <c r="H2516" s="61" t="s">
        <v>3470</v>
      </c>
      <c r="I2516" s="61" t="s">
        <v>37</v>
      </c>
      <c r="J2516" s="61"/>
      <c r="K2516" s="61" t="s">
        <v>328</v>
      </c>
      <c r="L2516" s="61" t="s">
        <v>9189</v>
      </c>
      <c r="M2516" s="475">
        <v>45755</v>
      </c>
      <c r="N2516" s="475">
        <v>45755</v>
      </c>
      <c r="O2516" s="61"/>
      <c r="P2516" s="475">
        <v>45758</v>
      </c>
      <c r="Q2516" s="475">
        <v>45762</v>
      </c>
      <c r="R2516" s="61">
        <f t="shared" si="176"/>
        <v>1</v>
      </c>
      <c r="S2516" s="61" t="str">
        <f t="shared" si="177"/>
        <v/>
      </c>
      <c r="T2516" s="61">
        <f t="shared" si="175"/>
        <v>3</v>
      </c>
      <c r="U2516" s="61">
        <f t="shared" si="178"/>
        <v>2</v>
      </c>
      <c r="V2516" s="61" t="s">
        <v>150</v>
      </c>
      <c r="W2516" s="61" t="s">
        <v>3527</v>
      </c>
      <c r="X2516" s="61" t="s">
        <v>3528</v>
      </c>
      <c r="Y2516" s="61">
        <v>15.57159</v>
      </c>
      <c r="Z2516" s="61">
        <v>120.58973</v>
      </c>
      <c r="AA2516" s="61" t="s">
        <v>8492</v>
      </c>
      <c r="AB2516" s="61"/>
    </row>
    <row r="2517" spans="1:28" s="2" customFormat="1" ht="28.5">
      <c r="A2517" s="61" t="s">
        <v>779</v>
      </c>
      <c r="B2517" s="61" t="s">
        <v>1480</v>
      </c>
      <c r="C2517" s="61" t="s">
        <v>5972</v>
      </c>
      <c r="D2517" s="61" t="s">
        <v>159</v>
      </c>
      <c r="E2517" s="61">
        <v>1951</v>
      </c>
      <c r="F2517" s="61">
        <v>2109</v>
      </c>
      <c r="G2517" s="61">
        <v>2025</v>
      </c>
      <c r="H2517" s="61" t="s">
        <v>3532</v>
      </c>
      <c r="I2517" s="61" t="s">
        <v>37</v>
      </c>
      <c r="J2517" s="61"/>
      <c r="K2517" s="61" t="s">
        <v>328</v>
      </c>
      <c r="L2517" s="61" t="s">
        <v>9190</v>
      </c>
      <c r="M2517" s="475">
        <v>45793</v>
      </c>
      <c r="N2517" s="475">
        <v>45796</v>
      </c>
      <c r="O2517" s="61"/>
      <c r="P2517" s="475">
        <v>45796</v>
      </c>
      <c r="Q2517" s="475">
        <v>45796</v>
      </c>
      <c r="R2517" s="61">
        <f t="shared" si="176"/>
        <v>1</v>
      </c>
      <c r="S2517" s="61" t="str">
        <f t="shared" si="177"/>
        <v/>
      </c>
      <c r="T2517" s="61">
        <f t="shared" si="175"/>
        <v>1</v>
      </c>
      <c r="U2517" s="61">
        <f t="shared" si="178"/>
        <v>1</v>
      </c>
      <c r="V2517" s="61" t="s">
        <v>150</v>
      </c>
      <c r="W2517" s="61" t="s">
        <v>3527</v>
      </c>
      <c r="X2517" s="61" t="s">
        <v>3528</v>
      </c>
      <c r="Y2517" s="61">
        <v>15.60628</v>
      </c>
      <c r="Z2517" s="61">
        <v>120.55587</v>
      </c>
      <c r="AA2517" s="61" t="s">
        <v>8492</v>
      </c>
      <c r="AB2517" s="61"/>
    </row>
    <row r="2518" spans="1:28" s="2" customFormat="1" ht="15">
      <c r="A2518" s="61" t="s">
        <v>779</v>
      </c>
      <c r="B2518" s="61" t="s">
        <v>1480</v>
      </c>
      <c r="C2518" s="61" t="s">
        <v>5958</v>
      </c>
      <c r="D2518" s="61" t="s">
        <v>159</v>
      </c>
      <c r="E2518" s="61">
        <v>2845</v>
      </c>
      <c r="F2518" s="61">
        <v>3019</v>
      </c>
      <c r="G2518" s="61"/>
      <c r="H2518" s="61"/>
      <c r="I2518" s="61" t="s">
        <v>37</v>
      </c>
      <c r="J2518" s="61"/>
      <c r="K2518" s="61" t="s">
        <v>328</v>
      </c>
      <c r="L2518" s="61"/>
      <c r="M2518" s="61"/>
      <c r="N2518" s="61"/>
      <c r="O2518" s="61"/>
      <c r="P2518" s="61"/>
      <c r="Q2518" s="61"/>
      <c r="R2518" s="61" t="str">
        <f t="shared" si="176"/>
        <v/>
      </c>
      <c r="S2518" s="61" t="str">
        <f t="shared" si="177"/>
        <v/>
      </c>
      <c r="T2518" s="61" t="str">
        <f t="shared" si="175"/>
        <v/>
      </c>
      <c r="U2518" s="61" t="str">
        <f t="shared" si="178"/>
        <v/>
      </c>
      <c r="V2518" s="61"/>
      <c r="W2518" s="61"/>
      <c r="X2518" s="61"/>
      <c r="Y2518" s="61"/>
      <c r="Z2518" s="61"/>
      <c r="AA2518" s="61"/>
      <c r="AB2518" s="61"/>
    </row>
    <row r="2519" spans="1:28" s="2" customFormat="1" ht="15">
      <c r="A2519" s="61" t="s">
        <v>779</v>
      </c>
      <c r="B2519" s="61" t="s">
        <v>1480</v>
      </c>
      <c r="C2519" s="61" t="s">
        <v>5963</v>
      </c>
      <c r="D2519" s="61" t="s">
        <v>159</v>
      </c>
      <c r="E2519" s="61">
        <v>1879</v>
      </c>
      <c r="F2519" s="61">
        <v>1842</v>
      </c>
      <c r="G2519" s="61"/>
      <c r="H2519" s="61"/>
      <c r="I2519" s="61" t="s">
        <v>37</v>
      </c>
      <c r="J2519" s="61"/>
      <c r="K2519" s="61" t="s">
        <v>328</v>
      </c>
      <c r="L2519" s="61"/>
      <c r="M2519" s="61"/>
      <c r="N2519" s="61"/>
      <c r="O2519" s="61"/>
      <c r="P2519" s="61"/>
      <c r="Q2519" s="61"/>
      <c r="R2519" s="61" t="str">
        <f t="shared" si="176"/>
        <v/>
      </c>
      <c r="S2519" s="61" t="str">
        <f t="shared" si="177"/>
        <v/>
      </c>
      <c r="T2519" s="61" t="str">
        <f t="shared" si="175"/>
        <v/>
      </c>
      <c r="U2519" s="61" t="str">
        <f t="shared" si="178"/>
        <v/>
      </c>
      <c r="V2519" s="61"/>
      <c r="W2519" s="61"/>
      <c r="X2519" s="61"/>
      <c r="Y2519" s="61"/>
      <c r="Z2519" s="61"/>
      <c r="AA2519" s="61"/>
      <c r="AB2519" s="61"/>
    </row>
    <row r="2520" spans="1:28" s="2" customFormat="1" ht="15">
      <c r="A2520" s="61" t="s">
        <v>779</v>
      </c>
      <c r="B2520" s="61" t="s">
        <v>1480</v>
      </c>
      <c r="C2520" s="61" t="s">
        <v>5964</v>
      </c>
      <c r="D2520" s="61" t="s">
        <v>159</v>
      </c>
      <c r="E2520" s="61">
        <v>2310</v>
      </c>
      <c r="F2520" s="61">
        <v>2835</v>
      </c>
      <c r="G2520" s="61"/>
      <c r="H2520" s="61"/>
      <c r="I2520" s="61" t="s">
        <v>37</v>
      </c>
      <c r="J2520" s="61"/>
      <c r="K2520" s="61" t="s">
        <v>328</v>
      </c>
      <c r="L2520" s="61"/>
      <c r="M2520" s="61"/>
      <c r="N2520" s="61"/>
      <c r="O2520" s="61"/>
      <c r="P2520" s="61"/>
      <c r="Q2520" s="61"/>
      <c r="R2520" s="61" t="str">
        <f t="shared" si="176"/>
        <v/>
      </c>
      <c r="S2520" s="61" t="str">
        <f t="shared" si="177"/>
        <v/>
      </c>
      <c r="T2520" s="61" t="str">
        <f t="shared" si="175"/>
        <v/>
      </c>
      <c r="U2520" s="61" t="str">
        <f t="shared" si="178"/>
        <v/>
      </c>
      <c r="V2520" s="61"/>
      <c r="W2520" s="61"/>
      <c r="X2520" s="61"/>
      <c r="Y2520" s="61"/>
      <c r="Z2520" s="61"/>
      <c r="AA2520" s="61"/>
      <c r="AB2520" s="61"/>
    </row>
    <row r="2521" spans="1:28" s="2" customFormat="1" ht="15">
      <c r="A2521" s="61" t="s">
        <v>779</v>
      </c>
      <c r="B2521" s="61" t="s">
        <v>1480</v>
      </c>
      <c r="C2521" s="61" t="s">
        <v>5965</v>
      </c>
      <c r="D2521" s="61" t="s">
        <v>159</v>
      </c>
      <c r="E2521" s="61">
        <v>2586</v>
      </c>
      <c r="F2521" s="61">
        <v>2856</v>
      </c>
      <c r="G2521" s="61"/>
      <c r="H2521" s="61"/>
      <c r="I2521" s="61" t="s">
        <v>37</v>
      </c>
      <c r="J2521" s="61"/>
      <c r="K2521" s="61" t="s">
        <v>328</v>
      </c>
      <c r="L2521" s="61"/>
      <c r="M2521" s="61"/>
      <c r="N2521" s="61"/>
      <c r="O2521" s="61"/>
      <c r="P2521" s="61"/>
      <c r="Q2521" s="61"/>
      <c r="R2521" s="61" t="str">
        <f t="shared" si="176"/>
        <v/>
      </c>
      <c r="S2521" s="61" t="str">
        <f t="shared" si="177"/>
        <v/>
      </c>
      <c r="T2521" s="61" t="str">
        <f t="shared" si="175"/>
        <v/>
      </c>
      <c r="U2521" s="61" t="str">
        <f t="shared" si="178"/>
        <v/>
      </c>
      <c r="V2521" s="61"/>
      <c r="W2521" s="61"/>
      <c r="X2521" s="61"/>
      <c r="Y2521" s="61"/>
      <c r="Z2521" s="61"/>
      <c r="AA2521" s="61"/>
      <c r="AB2521" s="61"/>
    </row>
    <row r="2522" spans="1:28" s="2" customFormat="1" ht="15">
      <c r="A2522" s="61" t="s">
        <v>779</v>
      </c>
      <c r="B2522" s="61" t="s">
        <v>1480</v>
      </c>
      <c r="C2522" s="61" t="s">
        <v>5966</v>
      </c>
      <c r="D2522" s="61" t="s">
        <v>159</v>
      </c>
      <c r="E2522" s="61">
        <v>2945</v>
      </c>
      <c r="F2522" s="61">
        <v>3090</v>
      </c>
      <c r="G2522" s="61"/>
      <c r="H2522" s="61"/>
      <c r="I2522" s="61" t="s">
        <v>37</v>
      </c>
      <c r="J2522" s="61"/>
      <c r="K2522" s="61" t="s">
        <v>328</v>
      </c>
      <c r="L2522" s="61"/>
      <c r="M2522" s="61"/>
      <c r="N2522" s="61"/>
      <c r="O2522" s="61"/>
      <c r="P2522" s="61"/>
      <c r="Q2522" s="61"/>
      <c r="R2522" s="61" t="str">
        <f t="shared" si="176"/>
        <v/>
      </c>
      <c r="S2522" s="61" t="str">
        <f t="shared" si="177"/>
        <v/>
      </c>
      <c r="T2522" s="61" t="str">
        <f t="shared" si="175"/>
        <v/>
      </c>
      <c r="U2522" s="61" t="str">
        <f t="shared" si="178"/>
        <v/>
      </c>
      <c r="V2522" s="61"/>
      <c r="W2522" s="61"/>
      <c r="X2522" s="61"/>
      <c r="Y2522" s="61"/>
      <c r="Z2522" s="61"/>
      <c r="AA2522" s="61"/>
      <c r="AB2522" s="61"/>
    </row>
    <row r="2523" spans="1:28" s="2" customFormat="1" ht="15">
      <c r="A2523" s="61" t="s">
        <v>779</v>
      </c>
      <c r="B2523" s="61" t="s">
        <v>1480</v>
      </c>
      <c r="C2523" s="61" t="s">
        <v>5967</v>
      </c>
      <c r="D2523" s="61" t="s">
        <v>159</v>
      </c>
      <c r="E2523" s="61">
        <v>971</v>
      </c>
      <c r="F2523" s="61">
        <v>1243</v>
      </c>
      <c r="G2523" s="61"/>
      <c r="H2523" s="61"/>
      <c r="I2523" s="61" t="s">
        <v>37</v>
      </c>
      <c r="J2523" s="61"/>
      <c r="K2523" s="61" t="s">
        <v>328</v>
      </c>
      <c r="L2523" s="61"/>
      <c r="M2523" s="61"/>
      <c r="N2523" s="61"/>
      <c r="O2523" s="61"/>
      <c r="P2523" s="61"/>
      <c r="Q2523" s="61"/>
      <c r="R2523" s="61" t="str">
        <f t="shared" si="176"/>
        <v/>
      </c>
      <c r="S2523" s="61" t="str">
        <f t="shared" si="177"/>
        <v/>
      </c>
      <c r="T2523" s="61" t="str">
        <f t="shared" ref="T2523:T2586" si="179">IF(
  OR(A2523 = "Nueva_Ecija", A2523 = "Zambales"),
  IF(
    OR(ISBLANK(O2523), ISBLANK(P2523)),
    "",
    MAX(1, IF(
      NETWORKDAYS(O2523, P2523) &lt;= 0,
      1,
      NETWORKDAYS(O2523, P2523) - IF(O2523 = P2523, 0, 1)
    ))
  ),
  IF(
    OR(ISBLANK(N2523), ISBLANK(P2523)),
    "",
    MAX(1, IF(
      NETWORKDAYS(N2523, P2523) &lt;= 0,
      1,
      NETWORKDAYS(N2523, P2523) - IF(N2523 = P2523, 0, 1)
    ))
  )
)</f>
        <v/>
      </c>
      <c r="U2523" s="61" t="str">
        <f t="shared" si="178"/>
        <v/>
      </c>
      <c r="V2523" s="61"/>
      <c r="W2523" s="61"/>
      <c r="X2523" s="61"/>
      <c r="Y2523" s="61"/>
      <c r="Z2523" s="61"/>
      <c r="AA2523" s="61"/>
      <c r="AB2523" s="61"/>
    </row>
    <row r="2524" spans="1:28" s="2" customFormat="1" ht="15">
      <c r="A2524" s="61" t="s">
        <v>779</v>
      </c>
      <c r="B2524" s="61" t="s">
        <v>1480</v>
      </c>
      <c r="C2524" s="61" t="s">
        <v>5970</v>
      </c>
      <c r="D2524" s="61" t="s">
        <v>159</v>
      </c>
      <c r="E2524" s="61">
        <v>1199</v>
      </c>
      <c r="F2524" s="61">
        <v>1354</v>
      </c>
      <c r="G2524" s="61"/>
      <c r="H2524" s="61"/>
      <c r="I2524" s="61" t="s">
        <v>37</v>
      </c>
      <c r="J2524" s="61"/>
      <c r="K2524" s="61" t="s">
        <v>328</v>
      </c>
      <c r="L2524" s="61"/>
      <c r="M2524" s="61"/>
      <c r="N2524" s="61"/>
      <c r="O2524" s="61"/>
      <c r="P2524" s="61"/>
      <c r="Q2524" s="61"/>
      <c r="R2524" s="61" t="str">
        <f t="shared" si="176"/>
        <v/>
      </c>
      <c r="S2524" s="61" t="str">
        <f t="shared" si="177"/>
        <v/>
      </c>
      <c r="T2524" s="61" t="str">
        <f t="shared" si="179"/>
        <v/>
      </c>
      <c r="U2524" s="61" t="str">
        <f t="shared" si="178"/>
        <v/>
      </c>
      <c r="V2524" s="61"/>
      <c r="W2524" s="61"/>
      <c r="X2524" s="61"/>
      <c r="Y2524" s="61"/>
      <c r="Z2524" s="61"/>
      <c r="AA2524" s="61"/>
      <c r="AB2524" s="61"/>
    </row>
    <row r="2525" spans="1:28" s="2" customFormat="1" ht="15">
      <c r="A2525" s="61" t="s">
        <v>779</v>
      </c>
      <c r="B2525" s="61" t="s">
        <v>1480</v>
      </c>
      <c r="C2525" s="61" t="s">
        <v>5971</v>
      </c>
      <c r="D2525" s="61" t="s">
        <v>159</v>
      </c>
      <c r="E2525" s="61">
        <v>1662</v>
      </c>
      <c r="F2525" s="61">
        <v>1800</v>
      </c>
      <c r="G2525" s="61"/>
      <c r="H2525" s="61"/>
      <c r="I2525" s="61" t="s">
        <v>37</v>
      </c>
      <c r="J2525" s="61"/>
      <c r="K2525" s="61" t="s">
        <v>328</v>
      </c>
      <c r="L2525" s="61"/>
      <c r="M2525" s="61"/>
      <c r="N2525" s="61"/>
      <c r="O2525" s="61"/>
      <c r="P2525" s="61"/>
      <c r="Q2525" s="61"/>
      <c r="R2525" s="61" t="str">
        <f t="shared" si="176"/>
        <v/>
      </c>
      <c r="S2525" s="61" t="str">
        <f t="shared" si="177"/>
        <v/>
      </c>
      <c r="T2525" s="61" t="str">
        <f t="shared" si="179"/>
        <v/>
      </c>
      <c r="U2525" s="61" t="str">
        <f t="shared" si="178"/>
        <v/>
      </c>
      <c r="V2525" s="61"/>
      <c r="W2525" s="61"/>
      <c r="X2525" s="61"/>
      <c r="Y2525" s="61"/>
      <c r="Z2525" s="61"/>
      <c r="AA2525" s="61"/>
      <c r="AB2525" s="61"/>
    </row>
    <row r="2526" spans="1:28" s="2" customFormat="1" ht="15">
      <c r="A2526" s="61" t="s">
        <v>779</v>
      </c>
      <c r="B2526" s="61" t="s">
        <v>1480</v>
      </c>
      <c r="C2526" s="61" t="s">
        <v>5974</v>
      </c>
      <c r="D2526" s="61" t="s">
        <v>159</v>
      </c>
      <c r="E2526" s="61">
        <v>1207</v>
      </c>
      <c r="F2526" s="61">
        <v>1438</v>
      </c>
      <c r="G2526" s="61"/>
      <c r="H2526" s="61"/>
      <c r="I2526" s="61" t="s">
        <v>37</v>
      </c>
      <c r="J2526" s="61"/>
      <c r="K2526" s="61" t="s">
        <v>328</v>
      </c>
      <c r="L2526" s="61"/>
      <c r="M2526" s="61"/>
      <c r="N2526" s="61"/>
      <c r="O2526" s="61"/>
      <c r="P2526" s="61"/>
      <c r="Q2526" s="61"/>
      <c r="R2526" s="61" t="str">
        <f t="shared" si="176"/>
        <v/>
      </c>
      <c r="S2526" s="61" t="str">
        <f t="shared" si="177"/>
        <v/>
      </c>
      <c r="T2526" s="61" t="str">
        <f t="shared" si="179"/>
        <v/>
      </c>
      <c r="U2526" s="61" t="str">
        <f t="shared" si="178"/>
        <v/>
      </c>
      <c r="V2526" s="61"/>
      <c r="W2526" s="634"/>
      <c r="X2526" s="634"/>
      <c r="Y2526" s="61"/>
      <c r="Z2526" s="61"/>
      <c r="AA2526" s="61"/>
      <c r="AB2526" s="61"/>
    </row>
    <row r="2527" spans="1:28" s="2" customFormat="1" ht="15">
      <c r="A2527" s="61" t="s">
        <v>779</v>
      </c>
      <c r="B2527" s="61" t="s">
        <v>1480</v>
      </c>
      <c r="C2527" s="61" t="s">
        <v>4774</v>
      </c>
      <c r="D2527" s="61" t="s">
        <v>159</v>
      </c>
      <c r="E2527" s="61">
        <v>1797</v>
      </c>
      <c r="F2527" s="61">
        <v>2108</v>
      </c>
      <c r="G2527" s="61"/>
      <c r="H2527" s="61"/>
      <c r="I2527" s="61" t="s">
        <v>37</v>
      </c>
      <c r="J2527" s="61"/>
      <c r="K2527" s="61" t="s">
        <v>328</v>
      </c>
      <c r="L2527" s="61"/>
      <c r="M2527" s="61"/>
      <c r="N2527" s="61"/>
      <c r="O2527" s="61"/>
      <c r="P2527" s="61"/>
      <c r="Q2527" s="61"/>
      <c r="R2527" s="61" t="str">
        <f t="shared" si="176"/>
        <v/>
      </c>
      <c r="S2527" s="61" t="str">
        <f t="shared" si="177"/>
        <v/>
      </c>
      <c r="T2527" s="61" t="str">
        <f t="shared" si="179"/>
        <v/>
      </c>
      <c r="U2527" s="61" t="str">
        <f t="shared" si="178"/>
        <v/>
      </c>
      <c r="V2527" s="61"/>
      <c r="W2527" s="61"/>
      <c r="X2527" s="61"/>
      <c r="Y2527" s="61"/>
      <c r="Z2527" s="61"/>
      <c r="AA2527" s="61"/>
      <c r="AB2527" s="61"/>
    </row>
    <row r="2528" spans="1:28" s="2" customFormat="1" ht="15">
      <c r="A2528" s="61" t="s">
        <v>779</v>
      </c>
      <c r="B2528" s="61" t="s">
        <v>1480</v>
      </c>
      <c r="C2528" s="61" t="s">
        <v>4969</v>
      </c>
      <c r="D2528" s="61" t="s">
        <v>159</v>
      </c>
      <c r="E2528" s="61">
        <v>1573</v>
      </c>
      <c r="F2528" s="61">
        <v>1856</v>
      </c>
      <c r="G2528" s="61"/>
      <c r="H2528" s="61"/>
      <c r="I2528" s="61" t="s">
        <v>37</v>
      </c>
      <c r="J2528" s="61"/>
      <c r="K2528" s="61" t="s">
        <v>328</v>
      </c>
      <c r="L2528" s="61"/>
      <c r="M2528" s="61"/>
      <c r="N2528" s="61"/>
      <c r="O2528" s="61"/>
      <c r="P2528" s="61"/>
      <c r="Q2528" s="61"/>
      <c r="R2528" s="61" t="str">
        <f t="shared" si="176"/>
        <v/>
      </c>
      <c r="S2528" s="61" t="str">
        <f t="shared" si="177"/>
        <v/>
      </c>
      <c r="T2528" s="61" t="str">
        <f t="shared" si="179"/>
        <v/>
      </c>
      <c r="U2528" s="61" t="str">
        <f t="shared" si="178"/>
        <v/>
      </c>
      <c r="V2528" s="61"/>
      <c r="W2528" s="61"/>
      <c r="X2528" s="61"/>
      <c r="Y2528" s="61"/>
      <c r="Z2528" s="61"/>
      <c r="AA2528" s="61"/>
      <c r="AB2528" s="61"/>
    </row>
    <row r="2529" spans="1:29" s="2" customFormat="1" ht="15">
      <c r="A2529" s="61" t="s">
        <v>779</v>
      </c>
      <c r="B2529" s="61" t="s">
        <v>1480</v>
      </c>
      <c r="C2529" s="61" t="s">
        <v>5975</v>
      </c>
      <c r="D2529" s="61" t="s">
        <v>159</v>
      </c>
      <c r="E2529" s="61">
        <v>4627</v>
      </c>
      <c r="F2529" s="61">
        <v>4898</v>
      </c>
      <c r="G2529" s="61"/>
      <c r="H2529" s="61"/>
      <c r="I2529" s="61" t="s">
        <v>37</v>
      </c>
      <c r="J2529" s="61"/>
      <c r="K2529" s="61" t="s">
        <v>328</v>
      </c>
      <c r="L2529" s="61"/>
      <c r="M2529" s="61"/>
      <c r="N2529" s="61"/>
      <c r="O2529" s="61"/>
      <c r="P2529" s="61"/>
      <c r="Q2529" s="61"/>
      <c r="R2529" s="61" t="str">
        <f t="shared" si="176"/>
        <v/>
      </c>
      <c r="S2529" s="61" t="str">
        <f t="shared" si="177"/>
        <v/>
      </c>
      <c r="T2529" s="61" t="str">
        <f t="shared" si="179"/>
        <v/>
      </c>
      <c r="U2529" s="61" t="str">
        <f t="shared" si="178"/>
        <v/>
      </c>
      <c r="V2529" s="61"/>
      <c r="W2529" s="61"/>
      <c r="X2529" s="61"/>
      <c r="Y2529" s="61"/>
      <c r="Z2529" s="61"/>
      <c r="AA2529" s="61"/>
      <c r="AB2529" s="61"/>
    </row>
    <row r="2530" spans="1:29" s="2" customFormat="1" ht="15">
      <c r="A2530" s="61" t="s">
        <v>779</v>
      </c>
      <c r="B2530" s="61" t="s">
        <v>1480</v>
      </c>
      <c r="C2530" s="61" t="s">
        <v>5976</v>
      </c>
      <c r="D2530" s="61" t="s">
        <v>159</v>
      </c>
      <c r="E2530" s="61">
        <v>1481</v>
      </c>
      <c r="F2530" s="61">
        <v>1637</v>
      </c>
      <c r="G2530" s="61"/>
      <c r="H2530" s="61"/>
      <c r="I2530" s="61" t="s">
        <v>37</v>
      </c>
      <c r="J2530" s="61"/>
      <c r="K2530" s="61" t="s">
        <v>328</v>
      </c>
      <c r="L2530" s="61"/>
      <c r="M2530" s="61"/>
      <c r="N2530" s="61"/>
      <c r="O2530" s="61"/>
      <c r="P2530" s="61"/>
      <c r="Q2530" s="61"/>
      <c r="R2530" s="61" t="str">
        <f t="shared" si="176"/>
        <v/>
      </c>
      <c r="S2530" s="61" t="str">
        <f t="shared" si="177"/>
        <v/>
      </c>
      <c r="T2530" s="61" t="str">
        <f t="shared" si="179"/>
        <v/>
      </c>
      <c r="U2530" s="61" t="str">
        <f t="shared" si="178"/>
        <v/>
      </c>
      <c r="V2530" s="61"/>
      <c r="W2530" s="61"/>
      <c r="X2530" s="61"/>
      <c r="Y2530" s="61"/>
      <c r="Z2530" s="61"/>
      <c r="AA2530" s="61"/>
      <c r="AB2530" s="61"/>
    </row>
    <row r="2531" spans="1:29" s="2" customFormat="1" ht="15">
      <c r="A2531" s="61" t="s">
        <v>779</v>
      </c>
      <c r="B2531" s="61" t="s">
        <v>1480</v>
      </c>
      <c r="C2531" s="61" t="s">
        <v>5977</v>
      </c>
      <c r="D2531" s="61" t="s">
        <v>159</v>
      </c>
      <c r="E2531" s="61">
        <v>1327</v>
      </c>
      <c r="F2531" s="61">
        <v>1522</v>
      </c>
      <c r="G2531" s="61"/>
      <c r="H2531" s="61"/>
      <c r="I2531" s="61" t="s">
        <v>37</v>
      </c>
      <c r="J2531" s="61"/>
      <c r="K2531" s="61" t="s">
        <v>328</v>
      </c>
      <c r="L2531" s="61"/>
      <c r="M2531" s="61"/>
      <c r="N2531" s="61"/>
      <c r="O2531" s="61"/>
      <c r="P2531" s="61"/>
      <c r="Q2531" s="61"/>
      <c r="R2531" s="61" t="str">
        <f t="shared" si="176"/>
        <v/>
      </c>
      <c r="S2531" s="61" t="str">
        <f t="shared" si="177"/>
        <v/>
      </c>
      <c r="T2531" s="61" t="str">
        <f t="shared" si="179"/>
        <v/>
      </c>
      <c r="U2531" s="61" t="str">
        <f t="shared" si="178"/>
        <v/>
      </c>
      <c r="V2531" s="61"/>
      <c r="W2531" s="61"/>
      <c r="X2531" s="61"/>
      <c r="Y2531" s="61"/>
      <c r="Z2531" s="61"/>
      <c r="AA2531" s="61"/>
      <c r="AB2531" s="61"/>
    </row>
    <row r="2532" spans="1:29" s="2" customFormat="1" ht="15">
      <c r="A2532" s="61" t="s">
        <v>779</v>
      </c>
      <c r="B2532" s="61" t="s">
        <v>1480</v>
      </c>
      <c r="C2532" s="61" t="s">
        <v>5978</v>
      </c>
      <c r="D2532" s="61" t="s">
        <v>159</v>
      </c>
      <c r="E2532" s="61">
        <v>1606</v>
      </c>
      <c r="F2532" s="61">
        <v>1826</v>
      </c>
      <c r="G2532" s="61"/>
      <c r="H2532" s="61"/>
      <c r="I2532" s="61" t="s">
        <v>37</v>
      </c>
      <c r="J2532" s="61"/>
      <c r="K2532" s="61" t="s">
        <v>328</v>
      </c>
      <c r="L2532" s="61"/>
      <c r="M2532" s="61"/>
      <c r="N2532" s="61"/>
      <c r="O2532" s="61"/>
      <c r="P2532" s="61"/>
      <c r="Q2532" s="61"/>
      <c r="R2532" s="61" t="str">
        <f t="shared" si="176"/>
        <v/>
      </c>
      <c r="S2532" s="61" t="str">
        <f t="shared" si="177"/>
        <v/>
      </c>
      <c r="T2532" s="61" t="str">
        <f t="shared" si="179"/>
        <v/>
      </c>
      <c r="U2532" s="61" t="str">
        <f t="shared" si="178"/>
        <v/>
      </c>
      <c r="V2532" s="61"/>
      <c r="W2532" s="61"/>
      <c r="X2532" s="61"/>
      <c r="Y2532" s="61"/>
      <c r="Z2532" s="61"/>
      <c r="AA2532" s="61"/>
      <c r="AB2532" s="61"/>
    </row>
    <row r="2533" spans="1:29" s="2" customFormat="1" ht="15">
      <c r="A2533" s="61" t="s">
        <v>779</v>
      </c>
      <c r="B2533" s="61" t="s">
        <v>1480</v>
      </c>
      <c r="C2533" s="61" t="s">
        <v>5982</v>
      </c>
      <c r="D2533" s="61" t="s">
        <v>159</v>
      </c>
      <c r="E2533" s="61">
        <v>1334</v>
      </c>
      <c r="F2533" s="61">
        <v>1327</v>
      </c>
      <c r="G2533" s="61"/>
      <c r="H2533" s="61"/>
      <c r="I2533" s="61" t="s">
        <v>37</v>
      </c>
      <c r="J2533" s="61"/>
      <c r="K2533" s="61" t="s">
        <v>328</v>
      </c>
      <c r="L2533" s="61"/>
      <c r="M2533" s="61"/>
      <c r="N2533" s="61"/>
      <c r="O2533" s="61"/>
      <c r="P2533" s="61"/>
      <c r="Q2533" s="61"/>
      <c r="R2533" s="61" t="str">
        <f t="shared" si="176"/>
        <v/>
      </c>
      <c r="S2533" s="61" t="str">
        <f t="shared" si="177"/>
        <v/>
      </c>
      <c r="T2533" s="61" t="str">
        <f t="shared" si="179"/>
        <v/>
      </c>
      <c r="U2533" s="61" t="str">
        <f t="shared" si="178"/>
        <v/>
      </c>
      <c r="V2533" s="61"/>
      <c r="W2533" s="61"/>
      <c r="X2533" s="61"/>
      <c r="Y2533" s="61"/>
      <c r="Z2533" s="61"/>
      <c r="AA2533" s="61"/>
      <c r="AB2533" s="61"/>
    </row>
    <row r="2534" spans="1:29" s="2" customFormat="1" ht="15">
      <c r="A2534" s="61" t="s">
        <v>779</v>
      </c>
      <c r="B2534" s="61" t="s">
        <v>1480</v>
      </c>
      <c r="C2534" s="61" t="s">
        <v>5983</v>
      </c>
      <c r="D2534" s="61" t="s">
        <v>159</v>
      </c>
      <c r="E2534" s="61">
        <v>2904</v>
      </c>
      <c r="F2534" s="61">
        <v>3271</v>
      </c>
      <c r="G2534" s="61"/>
      <c r="H2534" s="61"/>
      <c r="I2534" s="61" t="s">
        <v>37</v>
      </c>
      <c r="J2534" s="61"/>
      <c r="K2534" s="61" t="s">
        <v>328</v>
      </c>
      <c r="L2534" s="61"/>
      <c r="M2534" s="61"/>
      <c r="N2534" s="61"/>
      <c r="O2534" s="61"/>
      <c r="P2534" s="61"/>
      <c r="Q2534" s="61"/>
      <c r="R2534" s="61" t="str">
        <f t="shared" si="176"/>
        <v/>
      </c>
      <c r="S2534" s="61" t="str">
        <f t="shared" si="177"/>
        <v/>
      </c>
      <c r="T2534" s="61" t="str">
        <f t="shared" si="179"/>
        <v/>
      </c>
      <c r="U2534" s="61" t="str">
        <f t="shared" si="178"/>
        <v/>
      </c>
      <c r="V2534" s="61"/>
      <c r="W2534" s="61"/>
      <c r="X2534" s="61"/>
      <c r="Y2534" s="61"/>
      <c r="Z2534" s="61"/>
      <c r="AA2534" s="61"/>
      <c r="AB2534" s="61"/>
    </row>
    <row r="2535" spans="1:29" s="2" customFormat="1" ht="15">
      <c r="A2535" s="61" t="s">
        <v>779</v>
      </c>
      <c r="B2535" s="61" t="s">
        <v>1480</v>
      </c>
      <c r="C2535" s="61" t="s">
        <v>5984</v>
      </c>
      <c r="D2535" s="61" t="s">
        <v>159</v>
      </c>
      <c r="E2535" s="61">
        <v>3775</v>
      </c>
      <c r="F2535" s="61">
        <v>3701</v>
      </c>
      <c r="G2535" s="61"/>
      <c r="H2535" s="61"/>
      <c r="I2535" s="61" t="s">
        <v>37</v>
      </c>
      <c r="J2535" s="61"/>
      <c r="K2535" s="61" t="s">
        <v>328</v>
      </c>
      <c r="L2535" s="61"/>
      <c r="M2535" s="61"/>
      <c r="N2535" s="61"/>
      <c r="O2535" s="61"/>
      <c r="P2535" s="61"/>
      <c r="Q2535" s="61"/>
      <c r="R2535" s="61" t="str">
        <f t="shared" si="176"/>
        <v/>
      </c>
      <c r="S2535" s="61" t="str">
        <f t="shared" si="177"/>
        <v/>
      </c>
      <c r="T2535" s="61" t="str">
        <f t="shared" si="179"/>
        <v/>
      </c>
      <c r="U2535" s="61" t="str">
        <f t="shared" si="178"/>
        <v/>
      </c>
      <c r="V2535" s="61"/>
      <c r="W2535" s="61"/>
      <c r="X2535" s="61"/>
      <c r="Y2535" s="61"/>
      <c r="Z2535" s="61"/>
      <c r="AA2535" s="61"/>
      <c r="AB2535" s="61"/>
    </row>
    <row r="2536" spans="1:29" s="2" customFormat="1" ht="15">
      <c r="A2536" s="61" t="s">
        <v>779</v>
      </c>
      <c r="B2536" s="61" t="s">
        <v>1480</v>
      </c>
      <c r="C2536" s="61" t="s">
        <v>5987</v>
      </c>
      <c r="D2536" s="61" t="s">
        <v>159</v>
      </c>
      <c r="E2536" s="61">
        <v>2755</v>
      </c>
      <c r="F2536" s="61">
        <v>2986</v>
      </c>
      <c r="G2536" s="61"/>
      <c r="H2536" s="61"/>
      <c r="I2536" s="61" t="s">
        <v>37</v>
      </c>
      <c r="J2536" s="61"/>
      <c r="K2536" s="61" t="s">
        <v>328</v>
      </c>
      <c r="L2536" s="61"/>
      <c r="M2536" s="61"/>
      <c r="N2536" s="61"/>
      <c r="O2536" s="61"/>
      <c r="P2536" s="61"/>
      <c r="Q2536" s="61"/>
      <c r="R2536" s="61" t="str">
        <f t="shared" si="176"/>
        <v/>
      </c>
      <c r="S2536" s="61" t="str">
        <f t="shared" si="177"/>
        <v/>
      </c>
      <c r="T2536" s="61" t="str">
        <f t="shared" si="179"/>
        <v/>
      </c>
      <c r="U2536" s="61" t="str">
        <f t="shared" si="178"/>
        <v/>
      </c>
      <c r="V2536" s="61"/>
      <c r="W2536" s="61"/>
      <c r="X2536" s="61"/>
      <c r="Y2536" s="61"/>
      <c r="Z2536" s="61"/>
      <c r="AA2536" s="61"/>
      <c r="AB2536" s="61"/>
    </row>
    <row r="2537" spans="1:29" s="2" customFormat="1" ht="15">
      <c r="A2537" s="61" t="s">
        <v>779</v>
      </c>
      <c r="B2537" s="61" t="s">
        <v>1480</v>
      </c>
      <c r="C2537" s="61" t="s">
        <v>5988</v>
      </c>
      <c r="D2537" s="61" t="s">
        <v>159</v>
      </c>
      <c r="E2537" s="61">
        <v>1151</v>
      </c>
      <c r="F2537" s="61">
        <v>1017</v>
      </c>
      <c r="G2537" s="61"/>
      <c r="H2537" s="61"/>
      <c r="I2537" s="61" t="s">
        <v>37</v>
      </c>
      <c r="J2537" s="61"/>
      <c r="K2537" s="61" t="s">
        <v>328</v>
      </c>
      <c r="L2537" s="61"/>
      <c r="M2537" s="61"/>
      <c r="N2537" s="61"/>
      <c r="O2537" s="61"/>
      <c r="P2537" s="61"/>
      <c r="Q2537" s="61"/>
      <c r="R2537" s="61" t="str">
        <f t="shared" si="176"/>
        <v/>
      </c>
      <c r="S2537" s="61" t="str">
        <f t="shared" si="177"/>
        <v/>
      </c>
      <c r="T2537" s="61" t="str">
        <f t="shared" si="179"/>
        <v/>
      </c>
      <c r="U2537" s="61" t="str">
        <f t="shared" si="178"/>
        <v/>
      </c>
      <c r="V2537" s="61"/>
      <c r="W2537" s="61"/>
      <c r="X2537" s="61"/>
      <c r="Y2537" s="61"/>
      <c r="Z2537" s="61"/>
      <c r="AA2537" s="61"/>
      <c r="AB2537" s="61"/>
      <c r="AC2537" s="474"/>
    </row>
    <row r="2538" spans="1:29" s="2" customFormat="1" ht="15">
      <c r="A2538" s="61" t="s">
        <v>779</v>
      </c>
      <c r="B2538" s="61" t="s">
        <v>1480</v>
      </c>
      <c r="C2538" s="61" t="s">
        <v>5989</v>
      </c>
      <c r="D2538" s="61" t="s">
        <v>159</v>
      </c>
      <c r="E2538" s="61">
        <v>2082</v>
      </c>
      <c r="F2538" s="61">
        <v>2081</v>
      </c>
      <c r="G2538" s="61"/>
      <c r="H2538" s="61"/>
      <c r="I2538" s="61" t="s">
        <v>37</v>
      </c>
      <c r="J2538" s="61"/>
      <c r="K2538" s="61" t="s">
        <v>328</v>
      </c>
      <c r="L2538" s="61"/>
      <c r="M2538" s="61"/>
      <c r="N2538" s="61"/>
      <c r="O2538" s="61"/>
      <c r="P2538" s="61"/>
      <c r="Q2538" s="61"/>
      <c r="R2538" s="61" t="str">
        <f t="shared" si="176"/>
        <v/>
      </c>
      <c r="S2538" s="61" t="str">
        <f t="shared" si="177"/>
        <v/>
      </c>
      <c r="T2538" s="61" t="str">
        <f t="shared" si="179"/>
        <v/>
      </c>
      <c r="U2538" s="61" t="str">
        <f t="shared" si="178"/>
        <v/>
      </c>
      <c r="V2538" s="61"/>
      <c r="W2538" s="61"/>
      <c r="X2538" s="61"/>
      <c r="Y2538" s="61"/>
      <c r="Z2538" s="61"/>
      <c r="AA2538" s="61"/>
      <c r="AB2538" s="61"/>
    </row>
    <row r="2539" spans="1:29" s="2" customFormat="1" ht="15">
      <c r="A2539" s="61" t="s">
        <v>779</v>
      </c>
      <c r="B2539" s="61" t="s">
        <v>1480</v>
      </c>
      <c r="C2539" s="61" t="s">
        <v>1299</v>
      </c>
      <c r="D2539" s="61" t="s">
        <v>159</v>
      </c>
      <c r="E2539" s="61">
        <v>1331</v>
      </c>
      <c r="F2539" s="61">
        <v>1592</v>
      </c>
      <c r="G2539" s="61"/>
      <c r="H2539" s="61"/>
      <c r="I2539" s="61" t="s">
        <v>37</v>
      </c>
      <c r="J2539" s="61"/>
      <c r="K2539" s="61" t="s">
        <v>328</v>
      </c>
      <c r="L2539" s="61"/>
      <c r="M2539" s="61"/>
      <c r="N2539" s="61"/>
      <c r="O2539" s="61"/>
      <c r="P2539" s="61"/>
      <c r="Q2539" s="61"/>
      <c r="R2539" s="61" t="str">
        <f t="shared" si="176"/>
        <v/>
      </c>
      <c r="S2539" s="61" t="str">
        <f t="shared" si="177"/>
        <v/>
      </c>
      <c r="T2539" s="61" t="str">
        <f t="shared" si="179"/>
        <v/>
      </c>
      <c r="U2539" s="61" t="str">
        <f t="shared" si="178"/>
        <v/>
      </c>
      <c r="V2539" s="61"/>
      <c r="W2539" s="61"/>
      <c r="X2539" s="61"/>
      <c r="Y2539" s="61"/>
      <c r="Z2539" s="61"/>
      <c r="AA2539" s="61"/>
      <c r="AB2539" s="61"/>
    </row>
    <row r="2540" spans="1:29" s="2" customFormat="1" ht="15">
      <c r="A2540" s="61" t="s">
        <v>779</v>
      </c>
      <c r="B2540" s="61" t="s">
        <v>1480</v>
      </c>
      <c r="C2540" s="61" t="s">
        <v>4475</v>
      </c>
      <c r="D2540" s="61" t="s">
        <v>159</v>
      </c>
      <c r="E2540" s="61">
        <v>2981</v>
      </c>
      <c r="F2540" s="61">
        <v>3050</v>
      </c>
      <c r="G2540" s="61"/>
      <c r="H2540" s="61"/>
      <c r="I2540" s="61" t="s">
        <v>37</v>
      </c>
      <c r="J2540" s="61"/>
      <c r="K2540" s="61" t="s">
        <v>328</v>
      </c>
      <c r="L2540" s="61"/>
      <c r="M2540" s="61"/>
      <c r="N2540" s="61"/>
      <c r="O2540" s="61"/>
      <c r="P2540" s="61"/>
      <c r="Q2540" s="61"/>
      <c r="R2540" s="61" t="str">
        <f t="shared" si="176"/>
        <v/>
      </c>
      <c r="S2540" s="61" t="str">
        <f t="shared" si="177"/>
        <v/>
      </c>
      <c r="T2540" s="61" t="str">
        <f t="shared" si="179"/>
        <v/>
      </c>
      <c r="U2540" s="61" t="str">
        <f t="shared" si="178"/>
        <v/>
      </c>
      <c r="V2540" s="61"/>
      <c r="W2540" s="61"/>
      <c r="X2540" s="61"/>
      <c r="Y2540" s="61"/>
      <c r="Z2540" s="61"/>
      <c r="AA2540" s="61"/>
      <c r="AB2540" s="61"/>
    </row>
    <row r="2541" spans="1:29" s="2" customFormat="1" ht="15">
      <c r="A2541" s="61" t="s">
        <v>779</v>
      </c>
      <c r="B2541" s="61" t="s">
        <v>1480</v>
      </c>
      <c r="C2541" s="61" t="s">
        <v>4126</v>
      </c>
      <c r="D2541" s="61" t="s">
        <v>159</v>
      </c>
      <c r="E2541" s="61">
        <v>1463</v>
      </c>
      <c r="F2541" s="61">
        <v>1779</v>
      </c>
      <c r="G2541" s="61"/>
      <c r="H2541" s="61"/>
      <c r="I2541" s="61" t="s">
        <v>37</v>
      </c>
      <c r="J2541" s="61"/>
      <c r="K2541" s="61" t="s">
        <v>328</v>
      </c>
      <c r="L2541" s="61"/>
      <c r="M2541" s="61"/>
      <c r="N2541" s="61"/>
      <c r="O2541" s="61"/>
      <c r="P2541" s="61"/>
      <c r="Q2541" s="61"/>
      <c r="R2541" s="61" t="str">
        <f t="shared" si="176"/>
        <v/>
      </c>
      <c r="S2541" s="61" t="str">
        <f t="shared" si="177"/>
        <v/>
      </c>
      <c r="T2541" s="61" t="str">
        <f t="shared" si="179"/>
        <v/>
      </c>
      <c r="U2541" s="61" t="str">
        <f t="shared" si="178"/>
        <v/>
      </c>
      <c r="V2541" s="61"/>
      <c r="W2541" s="61"/>
      <c r="X2541" s="61"/>
      <c r="Y2541" s="61"/>
      <c r="Z2541" s="61"/>
      <c r="AA2541" s="61"/>
      <c r="AB2541" s="61"/>
    </row>
    <row r="2542" spans="1:29" s="2" customFormat="1" ht="15">
      <c r="A2542" s="61" t="s">
        <v>779</v>
      </c>
      <c r="B2542" s="61" t="s">
        <v>1480</v>
      </c>
      <c r="C2542" s="61" t="s">
        <v>914</v>
      </c>
      <c r="D2542" s="61" t="s">
        <v>159</v>
      </c>
      <c r="E2542" s="61">
        <v>3106</v>
      </c>
      <c r="F2542" s="61">
        <v>3186</v>
      </c>
      <c r="G2542" s="61"/>
      <c r="H2542" s="61"/>
      <c r="I2542" s="61" t="s">
        <v>37</v>
      </c>
      <c r="J2542" s="61"/>
      <c r="K2542" s="61" t="s">
        <v>328</v>
      </c>
      <c r="L2542" s="61"/>
      <c r="M2542" s="61"/>
      <c r="N2542" s="61"/>
      <c r="O2542" s="61"/>
      <c r="P2542" s="61"/>
      <c r="Q2542" s="61"/>
      <c r="R2542" s="61" t="str">
        <f t="shared" si="176"/>
        <v/>
      </c>
      <c r="S2542" s="61" t="str">
        <f t="shared" si="177"/>
        <v/>
      </c>
      <c r="T2542" s="61" t="str">
        <f t="shared" si="179"/>
        <v/>
      </c>
      <c r="U2542" s="61" t="str">
        <f t="shared" si="178"/>
        <v/>
      </c>
      <c r="V2542" s="61"/>
      <c r="W2542" s="61"/>
      <c r="X2542" s="61"/>
      <c r="Y2542" s="61"/>
      <c r="Z2542" s="61"/>
      <c r="AA2542" s="61"/>
      <c r="AB2542" s="61"/>
    </row>
    <row r="2543" spans="1:29" s="2" customFormat="1" ht="15">
      <c r="A2543" s="61" t="s">
        <v>779</v>
      </c>
      <c r="B2543" s="61" t="s">
        <v>1480</v>
      </c>
      <c r="C2543" s="61" t="s">
        <v>858</v>
      </c>
      <c r="D2543" s="61" t="s">
        <v>159</v>
      </c>
      <c r="E2543" s="61">
        <v>1244</v>
      </c>
      <c r="F2543" s="61">
        <v>1492</v>
      </c>
      <c r="G2543" s="61"/>
      <c r="H2543" s="61"/>
      <c r="I2543" s="61" t="s">
        <v>37</v>
      </c>
      <c r="J2543" s="61"/>
      <c r="K2543" s="61" t="s">
        <v>328</v>
      </c>
      <c r="L2543" s="61"/>
      <c r="M2543" s="61"/>
      <c r="N2543" s="61"/>
      <c r="O2543" s="61"/>
      <c r="P2543" s="61"/>
      <c r="Q2543" s="61"/>
      <c r="R2543" s="61" t="str">
        <f t="shared" si="176"/>
        <v/>
      </c>
      <c r="S2543" s="61" t="str">
        <f t="shared" si="177"/>
        <v/>
      </c>
      <c r="T2543" s="61" t="str">
        <f t="shared" si="179"/>
        <v/>
      </c>
      <c r="U2543" s="61" t="str">
        <f t="shared" si="178"/>
        <v/>
      </c>
      <c r="V2543" s="61"/>
      <c r="W2543" s="61"/>
      <c r="X2543" s="61"/>
      <c r="Y2543" s="61"/>
      <c r="Z2543" s="61"/>
      <c r="AA2543" s="61"/>
      <c r="AB2543" s="61"/>
    </row>
    <row r="2544" spans="1:29" s="2" customFormat="1" ht="15">
      <c r="A2544" s="61" t="s">
        <v>779</v>
      </c>
      <c r="B2544" s="61" t="s">
        <v>1480</v>
      </c>
      <c r="C2544" s="61" t="s">
        <v>5994</v>
      </c>
      <c r="D2544" s="61" t="s">
        <v>159</v>
      </c>
      <c r="E2544" s="61">
        <v>1416</v>
      </c>
      <c r="F2544" s="61">
        <v>1573</v>
      </c>
      <c r="G2544" s="61"/>
      <c r="H2544" s="61"/>
      <c r="I2544" s="61" t="s">
        <v>37</v>
      </c>
      <c r="J2544" s="61"/>
      <c r="K2544" s="61" t="s">
        <v>328</v>
      </c>
      <c r="L2544" s="61"/>
      <c r="M2544" s="61"/>
      <c r="N2544" s="61"/>
      <c r="O2544" s="61"/>
      <c r="P2544" s="61"/>
      <c r="Q2544" s="61"/>
      <c r="R2544" s="61" t="str">
        <f t="shared" si="176"/>
        <v/>
      </c>
      <c r="S2544" s="61" t="str">
        <f t="shared" si="177"/>
        <v/>
      </c>
      <c r="T2544" s="61" t="str">
        <f t="shared" si="179"/>
        <v/>
      </c>
      <c r="U2544" s="61" t="str">
        <f t="shared" si="178"/>
        <v/>
      </c>
      <c r="V2544" s="61"/>
      <c r="W2544" s="61"/>
      <c r="X2544" s="61"/>
      <c r="Y2544" s="61"/>
      <c r="Z2544" s="61"/>
      <c r="AA2544" s="61"/>
      <c r="AB2544" s="61"/>
    </row>
    <row r="2545" spans="1:29" s="2" customFormat="1" ht="15">
      <c r="A2545" s="61" t="s">
        <v>779</v>
      </c>
      <c r="B2545" s="61" t="s">
        <v>1480</v>
      </c>
      <c r="C2545" s="61" t="s">
        <v>5995</v>
      </c>
      <c r="D2545" s="61" t="s">
        <v>159</v>
      </c>
      <c r="E2545" s="61">
        <v>1695</v>
      </c>
      <c r="F2545" s="61">
        <v>1528</v>
      </c>
      <c r="G2545" s="61"/>
      <c r="H2545" s="61"/>
      <c r="I2545" s="61" t="s">
        <v>37</v>
      </c>
      <c r="J2545" s="61"/>
      <c r="K2545" s="61" t="s">
        <v>328</v>
      </c>
      <c r="L2545" s="61"/>
      <c r="M2545" s="61"/>
      <c r="N2545" s="61"/>
      <c r="O2545" s="61"/>
      <c r="P2545" s="61"/>
      <c r="Q2545" s="61"/>
      <c r="R2545" s="61" t="str">
        <f t="shared" si="176"/>
        <v/>
      </c>
      <c r="S2545" s="61" t="str">
        <f t="shared" si="177"/>
        <v/>
      </c>
      <c r="T2545" s="61" t="str">
        <f t="shared" si="179"/>
        <v/>
      </c>
      <c r="U2545" s="61" t="str">
        <f t="shared" si="178"/>
        <v/>
      </c>
      <c r="V2545" s="61"/>
      <c r="W2545" s="61"/>
      <c r="X2545" s="61"/>
      <c r="Y2545" s="61"/>
      <c r="Z2545" s="61"/>
      <c r="AA2545" s="61"/>
      <c r="AB2545" s="61"/>
      <c r="AC2545" s="474"/>
    </row>
    <row r="2546" spans="1:29" s="2" customFormat="1" ht="15">
      <c r="A2546" s="61" t="s">
        <v>779</v>
      </c>
      <c r="B2546" s="61" t="s">
        <v>1480</v>
      </c>
      <c r="C2546" s="61" t="s">
        <v>5996</v>
      </c>
      <c r="D2546" s="61" t="s">
        <v>159</v>
      </c>
      <c r="E2546" s="61">
        <v>1627</v>
      </c>
      <c r="F2546" s="61">
        <v>1732</v>
      </c>
      <c r="G2546" s="61"/>
      <c r="H2546" s="61"/>
      <c r="I2546" s="61" t="s">
        <v>37</v>
      </c>
      <c r="J2546" s="61"/>
      <c r="K2546" s="61" t="s">
        <v>328</v>
      </c>
      <c r="L2546" s="61"/>
      <c r="M2546" s="61"/>
      <c r="N2546" s="61"/>
      <c r="O2546" s="61"/>
      <c r="P2546" s="61"/>
      <c r="Q2546" s="61"/>
      <c r="R2546" s="61" t="str">
        <f t="shared" si="176"/>
        <v/>
      </c>
      <c r="S2546" s="61" t="str">
        <f t="shared" si="177"/>
        <v/>
      </c>
      <c r="T2546" s="61" t="str">
        <f t="shared" si="179"/>
        <v/>
      </c>
      <c r="U2546" s="61" t="str">
        <f t="shared" si="178"/>
        <v/>
      </c>
      <c r="V2546" s="61"/>
      <c r="W2546" s="61"/>
      <c r="X2546" s="61"/>
      <c r="Y2546" s="61"/>
      <c r="Z2546" s="61"/>
      <c r="AA2546" s="61"/>
      <c r="AB2546" s="61"/>
    </row>
    <row r="2547" spans="1:29" s="2" customFormat="1" ht="15">
      <c r="A2547" s="61" t="s">
        <v>779</v>
      </c>
      <c r="B2547" s="61" t="s">
        <v>1480</v>
      </c>
      <c r="C2547" s="61" t="s">
        <v>1481</v>
      </c>
      <c r="D2547" s="61" t="s">
        <v>159</v>
      </c>
      <c r="E2547" s="61">
        <v>4586</v>
      </c>
      <c r="F2547" s="61">
        <v>4461</v>
      </c>
      <c r="G2547" s="61"/>
      <c r="H2547" s="61"/>
      <c r="I2547" s="61" t="s">
        <v>37</v>
      </c>
      <c r="J2547" s="61"/>
      <c r="K2547" s="61" t="s">
        <v>328</v>
      </c>
      <c r="L2547" s="61"/>
      <c r="M2547" s="61"/>
      <c r="N2547" s="61"/>
      <c r="O2547" s="61"/>
      <c r="P2547" s="61"/>
      <c r="Q2547" s="61"/>
      <c r="R2547" s="61" t="str">
        <f t="shared" si="176"/>
        <v/>
      </c>
      <c r="S2547" s="61" t="str">
        <f t="shared" si="177"/>
        <v/>
      </c>
      <c r="T2547" s="61" t="str">
        <f t="shared" si="179"/>
        <v/>
      </c>
      <c r="U2547" s="61" t="str">
        <f t="shared" si="178"/>
        <v/>
      </c>
      <c r="V2547" s="61"/>
      <c r="W2547" s="61"/>
      <c r="X2547" s="61"/>
      <c r="Y2547" s="61"/>
      <c r="Z2547" s="61"/>
      <c r="AA2547" s="61"/>
      <c r="AB2547" s="61"/>
    </row>
    <row r="2548" spans="1:29" s="2" customFormat="1" ht="15">
      <c r="A2548" s="61" t="s">
        <v>779</v>
      </c>
      <c r="B2548" s="61" t="s">
        <v>1480</v>
      </c>
      <c r="C2548" s="61" t="s">
        <v>5997</v>
      </c>
      <c r="D2548" s="61" t="s">
        <v>159</v>
      </c>
      <c r="E2548" s="61">
        <v>750</v>
      </c>
      <c r="F2548" s="61">
        <v>917</v>
      </c>
      <c r="G2548" s="61"/>
      <c r="H2548" s="61"/>
      <c r="I2548" s="61" t="s">
        <v>37</v>
      </c>
      <c r="J2548" s="61"/>
      <c r="K2548" s="61" t="s">
        <v>328</v>
      </c>
      <c r="L2548" s="61"/>
      <c r="M2548" s="61"/>
      <c r="N2548" s="61"/>
      <c r="O2548" s="61"/>
      <c r="P2548" s="61"/>
      <c r="Q2548" s="61"/>
      <c r="R2548" s="61" t="str">
        <f t="shared" si="176"/>
        <v/>
      </c>
      <c r="S2548" s="61" t="str">
        <f t="shared" si="177"/>
        <v/>
      </c>
      <c r="T2548" s="61" t="str">
        <f t="shared" si="179"/>
        <v/>
      </c>
      <c r="U2548" s="61" t="str">
        <f t="shared" si="178"/>
        <v/>
      </c>
      <c r="V2548" s="61"/>
      <c r="W2548" s="61"/>
      <c r="X2548" s="61"/>
      <c r="Y2548" s="61"/>
      <c r="Z2548" s="61"/>
      <c r="AA2548" s="61"/>
      <c r="AB2548" s="61"/>
    </row>
    <row r="2549" spans="1:29" s="2" customFormat="1" ht="15">
      <c r="A2549" s="61" t="s">
        <v>779</v>
      </c>
      <c r="B2549" s="61" t="s">
        <v>1480</v>
      </c>
      <c r="C2549" s="61" t="s">
        <v>5998</v>
      </c>
      <c r="D2549" s="61" t="s">
        <v>159</v>
      </c>
      <c r="E2549" s="61">
        <v>1616</v>
      </c>
      <c r="F2549" s="61">
        <v>1818</v>
      </c>
      <c r="G2549" s="61"/>
      <c r="H2549" s="61"/>
      <c r="I2549" s="61" t="s">
        <v>37</v>
      </c>
      <c r="J2549" s="61"/>
      <c r="K2549" s="61" t="s">
        <v>328</v>
      </c>
      <c r="L2549" s="61"/>
      <c r="M2549" s="61"/>
      <c r="N2549" s="61"/>
      <c r="O2549" s="61"/>
      <c r="P2549" s="61"/>
      <c r="Q2549" s="61"/>
      <c r="R2549" s="61" t="str">
        <f t="shared" si="176"/>
        <v/>
      </c>
      <c r="S2549" s="61" t="str">
        <f t="shared" si="177"/>
        <v/>
      </c>
      <c r="T2549" s="61" t="str">
        <f t="shared" si="179"/>
        <v/>
      </c>
      <c r="U2549" s="61" t="str">
        <f t="shared" si="178"/>
        <v/>
      </c>
      <c r="V2549" s="61"/>
      <c r="W2549" s="61"/>
      <c r="X2549" s="61"/>
      <c r="Y2549" s="61"/>
      <c r="Z2549" s="61"/>
      <c r="AA2549" s="61"/>
      <c r="AB2549" s="61"/>
    </row>
    <row r="2550" spans="1:29" s="2" customFormat="1" ht="28.5">
      <c r="A2550" s="61" t="s">
        <v>779</v>
      </c>
      <c r="B2550" s="61" t="s">
        <v>5396</v>
      </c>
      <c r="C2550" s="61" t="s">
        <v>6009</v>
      </c>
      <c r="D2550" s="61" t="s">
        <v>7838</v>
      </c>
      <c r="E2550" s="61">
        <v>4206</v>
      </c>
      <c r="F2550" s="61">
        <v>4690</v>
      </c>
      <c r="G2550" s="61">
        <v>2025</v>
      </c>
      <c r="H2550" s="61" t="s">
        <v>3458</v>
      </c>
      <c r="I2550" s="61" t="s">
        <v>39</v>
      </c>
      <c r="J2550" s="61"/>
      <c r="K2550" s="61" t="s">
        <v>328</v>
      </c>
      <c r="L2550" s="61" t="s">
        <v>9191</v>
      </c>
      <c r="M2550" s="475">
        <v>45692</v>
      </c>
      <c r="N2550" s="475">
        <v>45698</v>
      </c>
      <c r="O2550" s="61"/>
      <c r="P2550" s="475">
        <v>45699</v>
      </c>
      <c r="Q2550" s="475">
        <v>45701</v>
      </c>
      <c r="R2550" s="61">
        <f t="shared" si="176"/>
        <v>4</v>
      </c>
      <c r="S2550" s="61" t="str">
        <f t="shared" si="177"/>
        <v/>
      </c>
      <c r="T2550" s="61">
        <f t="shared" si="179"/>
        <v>1</v>
      </c>
      <c r="U2550" s="61">
        <f t="shared" si="178"/>
        <v>2</v>
      </c>
      <c r="V2550" s="61" t="s">
        <v>150</v>
      </c>
      <c r="W2550" s="61" t="s">
        <v>4</v>
      </c>
      <c r="X2550" s="61" t="s">
        <v>50</v>
      </c>
      <c r="Y2550" s="61"/>
      <c r="Z2550" s="61"/>
      <c r="AA2550" s="61" t="s">
        <v>8492</v>
      </c>
      <c r="AB2550" s="61"/>
    </row>
    <row r="2551" spans="1:29" s="2" customFormat="1" ht="28.5">
      <c r="A2551" s="61" t="s">
        <v>779</v>
      </c>
      <c r="B2551" s="61" t="s">
        <v>5396</v>
      </c>
      <c r="C2551" s="61" t="s">
        <v>6012</v>
      </c>
      <c r="D2551" s="61" t="s">
        <v>7838</v>
      </c>
      <c r="E2551" s="61">
        <v>2011</v>
      </c>
      <c r="F2551" s="61">
        <v>1750</v>
      </c>
      <c r="G2551" s="61">
        <v>2025</v>
      </c>
      <c r="H2551" s="61" t="s">
        <v>3458</v>
      </c>
      <c r="I2551" s="61" t="s">
        <v>39</v>
      </c>
      <c r="J2551" s="61"/>
      <c r="K2551" s="61" t="s">
        <v>328</v>
      </c>
      <c r="L2551" s="61" t="s">
        <v>9192</v>
      </c>
      <c r="M2551" s="475">
        <v>45692</v>
      </c>
      <c r="N2551" s="475">
        <v>45698</v>
      </c>
      <c r="O2551" s="61"/>
      <c r="P2551" s="475">
        <v>45699</v>
      </c>
      <c r="Q2551" s="475">
        <v>45701</v>
      </c>
      <c r="R2551" s="61">
        <f t="shared" ref="R2551:R2614" si="180">IF(
    OR(ISBLANK(M2551), ISBLANK(N2551)),
    "",
    MAX(1, IF(
        NETWORKDAYS(M2551, N2551) &lt;= 0,
        1,
        NETWORKDAYS(M2551, N2551) - IF(M2551 = N2551, 0, 1)
    ))
)</f>
        <v>4</v>
      </c>
      <c r="S2551" s="61" t="str">
        <f t="shared" si="177"/>
        <v/>
      </c>
      <c r="T2551" s="61">
        <f t="shared" si="179"/>
        <v>1</v>
      </c>
      <c r="U2551" s="61">
        <f t="shared" si="178"/>
        <v>2</v>
      </c>
      <c r="V2551" s="61" t="s">
        <v>150</v>
      </c>
      <c r="W2551" s="61" t="s">
        <v>4</v>
      </c>
      <c r="X2551" s="61" t="s">
        <v>50</v>
      </c>
      <c r="Y2551" s="61"/>
      <c r="Z2551" s="61"/>
      <c r="AA2551" s="61" t="s">
        <v>8492</v>
      </c>
      <c r="AB2551" s="61"/>
    </row>
    <row r="2552" spans="1:29" s="2" customFormat="1" ht="28.5">
      <c r="A2552" s="61" t="s">
        <v>779</v>
      </c>
      <c r="B2552" s="61" t="s">
        <v>5396</v>
      </c>
      <c r="C2552" s="61" t="s">
        <v>1369</v>
      </c>
      <c r="D2552" s="61" t="s">
        <v>7838</v>
      </c>
      <c r="E2552" s="61">
        <v>1255</v>
      </c>
      <c r="F2552" s="61">
        <v>1205</v>
      </c>
      <c r="G2552" s="61">
        <v>2025</v>
      </c>
      <c r="H2552" s="61" t="s">
        <v>3689</v>
      </c>
      <c r="I2552" s="61" t="s">
        <v>39</v>
      </c>
      <c r="J2552" s="61"/>
      <c r="K2552" s="61" t="s">
        <v>328</v>
      </c>
      <c r="L2552" s="61" t="s">
        <v>9193</v>
      </c>
      <c r="M2552" s="475">
        <v>45811</v>
      </c>
      <c r="N2552" s="475">
        <v>45825</v>
      </c>
      <c r="O2552" s="61"/>
      <c r="P2552" s="475">
        <v>45826</v>
      </c>
      <c r="Q2552" s="475">
        <v>45826</v>
      </c>
      <c r="R2552" s="61">
        <f t="shared" si="180"/>
        <v>10</v>
      </c>
      <c r="S2552" s="61" t="str">
        <f t="shared" ref="S2552:S2615" si="181">IF(
    OR(ISBLANK(N2552), ISBLANK(O2552)),
    "",
    MAX(1, IF(
        NETWORKDAYS(N2552, O2552) &lt;= 0,
        1,
        NETWORKDAYS(N2552, O2552) - IF(N2552 = O2552, 0, 1)
    ))
)</f>
        <v/>
      </c>
      <c r="T2552" s="61">
        <f t="shared" si="179"/>
        <v>1</v>
      </c>
      <c r="U2552" s="61">
        <f t="shared" si="178"/>
        <v>1</v>
      </c>
      <c r="V2552" s="61" t="s">
        <v>150</v>
      </c>
      <c r="W2552" s="61" t="s">
        <v>4</v>
      </c>
      <c r="X2552" s="61" t="s">
        <v>50</v>
      </c>
      <c r="Y2552" s="61">
        <v>15.4575</v>
      </c>
      <c r="Z2552" s="61">
        <v>120.71429999999999</v>
      </c>
      <c r="AA2552" s="61" t="s">
        <v>8492</v>
      </c>
      <c r="AB2552" s="61"/>
    </row>
    <row r="2553" spans="1:29" s="2" customFormat="1" ht="28.5">
      <c r="A2553" s="61" t="s">
        <v>779</v>
      </c>
      <c r="B2553" s="61" t="s">
        <v>5396</v>
      </c>
      <c r="C2553" s="61" t="s">
        <v>6018</v>
      </c>
      <c r="D2553" s="61" t="s">
        <v>7838</v>
      </c>
      <c r="E2553" s="61">
        <v>2820</v>
      </c>
      <c r="F2553" s="61">
        <v>3293</v>
      </c>
      <c r="G2553" s="61">
        <v>2025</v>
      </c>
      <c r="H2553" s="61" t="s">
        <v>3689</v>
      </c>
      <c r="I2553" s="61" t="s">
        <v>39</v>
      </c>
      <c r="J2553" s="61"/>
      <c r="K2553" s="61" t="s">
        <v>328</v>
      </c>
      <c r="L2553" s="61" t="s">
        <v>9194</v>
      </c>
      <c r="M2553" s="475">
        <v>45811</v>
      </c>
      <c r="N2553" s="475">
        <v>45825</v>
      </c>
      <c r="O2553" s="61"/>
      <c r="P2553" s="475">
        <v>45826</v>
      </c>
      <c r="Q2553" s="475">
        <v>45826</v>
      </c>
      <c r="R2553" s="61">
        <f t="shared" si="180"/>
        <v>10</v>
      </c>
      <c r="S2553" s="61" t="str">
        <f t="shared" si="181"/>
        <v/>
      </c>
      <c r="T2553" s="61">
        <f t="shared" si="179"/>
        <v>1</v>
      </c>
      <c r="U2553" s="61">
        <f t="shared" si="178"/>
        <v>1</v>
      </c>
      <c r="V2553" s="61" t="s">
        <v>150</v>
      </c>
      <c r="W2553" s="61" t="s">
        <v>4</v>
      </c>
      <c r="X2553" s="61" t="s">
        <v>50</v>
      </c>
      <c r="Y2553" s="61">
        <v>15.515599999999999</v>
      </c>
      <c r="Z2553" s="61">
        <v>120.711</v>
      </c>
      <c r="AA2553" s="61" t="s">
        <v>8492</v>
      </c>
      <c r="AB2553" s="61"/>
    </row>
    <row r="2554" spans="1:29" s="2" customFormat="1" ht="28.5">
      <c r="A2554" s="61" t="s">
        <v>779</v>
      </c>
      <c r="B2554" s="61" t="s">
        <v>5396</v>
      </c>
      <c r="C2554" s="61" t="s">
        <v>1475</v>
      </c>
      <c r="D2554" s="61" t="s">
        <v>7838</v>
      </c>
      <c r="E2554" s="61">
        <v>2790</v>
      </c>
      <c r="F2554" s="61">
        <v>3058</v>
      </c>
      <c r="G2554" s="61">
        <v>2025</v>
      </c>
      <c r="H2554" s="61" t="s">
        <v>3126</v>
      </c>
      <c r="I2554" s="61" t="s">
        <v>39</v>
      </c>
      <c r="J2554" s="61"/>
      <c r="K2554" s="61" t="s">
        <v>328</v>
      </c>
      <c r="L2554" s="61" t="s">
        <v>9195</v>
      </c>
      <c r="M2554" s="475">
        <v>45877</v>
      </c>
      <c r="N2554" s="475">
        <v>45887</v>
      </c>
      <c r="O2554" s="61"/>
      <c r="P2554" s="475">
        <v>45887</v>
      </c>
      <c r="Q2554" s="475">
        <v>45888</v>
      </c>
      <c r="R2554" s="61">
        <f t="shared" si="180"/>
        <v>6</v>
      </c>
      <c r="S2554" s="61" t="str">
        <f t="shared" si="181"/>
        <v/>
      </c>
      <c r="T2554" s="61">
        <f t="shared" si="179"/>
        <v>1</v>
      </c>
      <c r="U2554" s="61">
        <f t="shared" ref="U2554:U2617" si="182">IF(
    OR(ISBLANK(P2554), ISBLANK(Q2554)),
    "",
    MAX(1, IF(
        NETWORKDAYS(P2554, Q2554) &lt;= 0,
        1,
        NETWORKDAYS(P2554, Q2554) - IF(P2554 = Q2554, 0, 1)
    ))
)</f>
        <v>1</v>
      </c>
      <c r="V2554" s="61" t="s">
        <v>150</v>
      </c>
      <c r="W2554" s="61" t="s">
        <v>1078</v>
      </c>
      <c r="X2554" s="61" t="s">
        <v>50</v>
      </c>
      <c r="Y2554" s="61">
        <v>15.482900000000001</v>
      </c>
      <c r="Z2554" s="61">
        <v>120.7102</v>
      </c>
      <c r="AA2554" s="61" t="s">
        <v>8492</v>
      </c>
      <c r="AB2554" s="61"/>
    </row>
    <row r="2555" spans="1:29" s="2" customFormat="1" ht="28.5">
      <c r="A2555" s="61" t="s">
        <v>779</v>
      </c>
      <c r="B2555" s="61" t="s">
        <v>5396</v>
      </c>
      <c r="C2555" s="61" t="s">
        <v>4510</v>
      </c>
      <c r="D2555" s="61" t="s">
        <v>7838</v>
      </c>
      <c r="E2555" s="61">
        <v>3113</v>
      </c>
      <c r="F2555" s="61">
        <v>3571</v>
      </c>
      <c r="G2555" s="61">
        <v>2025</v>
      </c>
      <c r="H2555" s="61" t="s">
        <v>3126</v>
      </c>
      <c r="I2555" s="61" t="s">
        <v>39</v>
      </c>
      <c r="J2555" s="61"/>
      <c r="K2555" s="61" t="s">
        <v>328</v>
      </c>
      <c r="L2555" s="61" t="s">
        <v>9196</v>
      </c>
      <c r="M2555" s="475">
        <v>45876</v>
      </c>
      <c r="N2555" s="475">
        <v>45884</v>
      </c>
      <c r="O2555" s="61"/>
      <c r="P2555" s="475">
        <v>45887</v>
      </c>
      <c r="Q2555" s="475">
        <v>45888</v>
      </c>
      <c r="R2555" s="61">
        <f t="shared" si="180"/>
        <v>6</v>
      </c>
      <c r="S2555" s="61" t="str">
        <f t="shared" si="181"/>
        <v/>
      </c>
      <c r="T2555" s="61">
        <f t="shared" si="179"/>
        <v>1</v>
      </c>
      <c r="U2555" s="61">
        <f t="shared" si="182"/>
        <v>1</v>
      </c>
      <c r="V2555" s="61" t="s">
        <v>150</v>
      </c>
      <c r="W2555" s="61" t="s">
        <v>1078</v>
      </c>
      <c r="X2555" s="61" t="s">
        <v>50</v>
      </c>
      <c r="Y2555" s="61">
        <v>15.482900000000001</v>
      </c>
      <c r="Z2555" s="61">
        <v>120.7102</v>
      </c>
      <c r="AA2555" s="61" t="s">
        <v>8492</v>
      </c>
      <c r="AB2555" s="61" t="s">
        <v>8801</v>
      </c>
    </row>
    <row r="2556" spans="1:29" s="2" customFormat="1" ht="15">
      <c r="A2556" s="61" t="s">
        <v>779</v>
      </c>
      <c r="B2556" s="61" t="s">
        <v>5396</v>
      </c>
      <c r="C2556" s="61" t="s">
        <v>6001</v>
      </c>
      <c r="D2556" s="61" t="s">
        <v>7838</v>
      </c>
      <c r="E2556" s="61">
        <v>2338</v>
      </c>
      <c r="F2556" s="61">
        <v>2572</v>
      </c>
      <c r="G2556" s="61">
        <v>2025</v>
      </c>
      <c r="H2556" s="61" t="s">
        <v>3470</v>
      </c>
      <c r="I2556" s="61" t="s">
        <v>39</v>
      </c>
      <c r="J2556" s="61"/>
      <c r="K2556" s="61" t="s">
        <v>328</v>
      </c>
      <c r="L2556" s="61" t="s">
        <v>9197</v>
      </c>
      <c r="M2556" s="475">
        <v>45749</v>
      </c>
      <c r="N2556" s="475">
        <v>45754</v>
      </c>
      <c r="O2556" s="61"/>
      <c r="P2556" s="475">
        <v>45755</v>
      </c>
      <c r="Q2556" s="475">
        <v>45757</v>
      </c>
      <c r="R2556" s="61">
        <f t="shared" si="180"/>
        <v>3</v>
      </c>
      <c r="S2556" s="61" t="str">
        <f t="shared" si="181"/>
        <v/>
      </c>
      <c r="T2556" s="61">
        <f t="shared" si="179"/>
        <v>1</v>
      </c>
      <c r="U2556" s="61">
        <f t="shared" si="182"/>
        <v>2</v>
      </c>
      <c r="V2556" s="61" t="s">
        <v>150</v>
      </c>
      <c r="W2556" s="61" t="s">
        <v>3527</v>
      </c>
      <c r="X2556" s="61" t="s">
        <v>3528</v>
      </c>
      <c r="Y2556" s="61">
        <v>15.424799999999999</v>
      </c>
      <c r="Z2556" s="61">
        <v>120.72329999999999</v>
      </c>
      <c r="AA2556" s="61" t="s">
        <v>9198</v>
      </c>
      <c r="AB2556" s="61"/>
    </row>
    <row r="2557" spans="1:29" s="2" customFormat="1" ht="15">
      <c r="A2557" s="61" t="s">
        <v>779</v>
      </c>
      <c r="B2557" s="61" t="s">
        <v>5396</v>
      </c>
      <c r="C2557" s="61" t="s">
        <v>6004</v>
      </c>
      <c r="D2557" s="61" t="s">
        <v>7838</v>
      </c>
      <c r="E2557" s="61">
        <v>4212</v>
      </c>
      <c r="F2557" s="61">
        <v>4378</v>
      </c>
      <c r="G2557" s="61">
        <v>2025</v>
      </c>
      <c r="H2557" s="61" t="s">
        <v>3470</v>
      </c>
      <c r="I2557" s="61" t="s">
        <v>39</v>
      </c>
      <c r="J2557" s="61"/>
      <c r="K2557" s="61" t="s">
        <v>328</v>
      </c>
      <c r="L2557" s="61" t="s">
        <v>9199</v>
      </c>
      <c r="M2557" s="475">
        <v>45749</v>
      </c>
      <c r="N2557" s="475">
        <v>45754</v>
      </c>
      <c r="O2557" s="61"/>
      <c r="P2557" s="475">
        <v>45755</v>
      </c>
      <c r="Q2557" s="475">
        <v>45757</v>
      </c>
      <c r="R2557" s="61">
        <f t="shared" si="180"/>
        <v>3</v>
      </c>
      <c r="S2557" s="61" t="str">
        <f t="shared" si="181"/>
        <v/>
      </c>
      <c r="T2557" s="61">
        <f t="shared" si="179"/>
        <v>1</v>
      </c>
      <c r="U2557" s="61">
        <f t="shared" si="182"/>
        <v>2</v>
      </c>
      <c r="V2557" s="61" t="s">
        <v>150</v>
      </c>
      <c r="W2557" s="61" t="s">
        <v>1078</v>
      </c>
      <c r="X2557" s="61" t="s">
        <v>3528</v>
      </c>
      <c r="Y2557" s="61">
        <v>15.4483</v>
      </c>
      <c r="Z2557" s="61">
        <v>120.71639999999999</v>
      </c>
      <c r="AA2557" s="61" t="s">
        <v>9198</v>
      </c>
      <c r="AB2557" s="61"/>
    </row>
    <row r="2558" spans="1:29" s="2" customFormat="1" ht="28.5">
      <c r="A2558" s="61" t="s">
        <v>779</v>
      </c>
      <c r="B2558" s="61" t="s">
        <v>5396</v>
      </c>
      <c r="C2558" s="61" t="s">
        <v>6007</v>
      </c>
      <c r="D2558" s="61" t="s">
        <v>7838</v>
      </c>
      <c r="E2558" s="61">
        <v>4552</v>
      </c>
      <c r="F2558" s="61">
        <v>5101</v>
      </c>
      <c r="G2558" s="61">
        <v>2025</v>
      </c>
      <c r="H2558" s="61" t="s">
        <v>3126</v>
      </c>
      <c r="I2558" s="61" t="s">
        <v>39</v>
      </c>
      <c r="J2558" s="61"/>
      <c r="K2558" s="61" t="s">
        <v>328</v>
      </c>
      <c r="L2558" s="61" t="s">
        <v>9195</v>
      </c>
      <c r="M2558" s="475">
        <v>45877</v>
      </c>
      <c r="N2558" s="475">
        <v>45887</v>
      </c>
      <c r="O2558" s="61"/>
      <c r="P2558" s="475">
        <v>45887</v>
      </c>
      <c r="Q2558" s="475">
        <v>45888</v>
      </c>
      <c r="R2558" s="61">
        <f t="shared" si="180"/>
        <v>6</v>
      </c>
      <c r="S2558" s="61" t="str">
        <f t="shared" si="181"/>
        <v/>
      </c>
      <c r="T2558" s="61">
        <f t="shared" si="179"/>
        <v>1</v>
      </c>
      <c r="U2558" s="61">
        <f t="shared" si="182"/>
        <v>1</v>
      </c>
      <c r="V2558" s="61" t="s">
        <v>150</v>
      </c>
      <c r="W2558" s="61" t="s">
        <v>3527</v>
      </c>
      <c r="X2558" s="61" t="s">
        <v>3528</v>
      </c>
      <c r="Y2558" s="61" t="s">
        <v>69</v>
      </c>
      <c r="Z2558" s="61" t="s">
        <v>69</v>
      </c>
      <c r="AA2558" s="61" t="s">
        <v>8492</v>
      </c>
      <c r="AB2558" s="61"/>
    </row>
    <row r="2559" spans="1:29" s="2" customFormat="1" ht="28.5">
      <c r="A2559" s="61" t="s">
        <v>779</v>
      </c>
      <c r="B2559" s="61" t="s">
        <v>5396</v>
      </c>
      <c r="C2559" s="61" t="s">
        <v>6010</v>
      </c>
      <c r="D2559" s="61" t="s">
        <v>7838</v>
      </c>
      <c r="E2559" s="61">
        <v>4619</v>
      </c>
      <c r="F2559" s="61">
        <v>5062</v>
      </c>
      <c r="G2559" s="61">
        <v>2025</v>
      </c>
      <c r="H2559" s="61" t="s">
        <v>3126</v>
      </c>
      <c r="I2559" s="61" t="s">
        <v>39</v>
      </c>
      <c r="J2559" s="61"/>
      <c r="K2559" s="61" t="s">
        <v>328</v>
      </c>
      <c r="L2559" s="61" t="s">
        <v>9196</v>
      </c>
      <c r="M2559" s="475">
        <v>45876</v>
      </c>
      <c r="N2559" s="475">
        <v>45884</v>
      </c>
      <c r="O2559" s="61"/>
      <c r="P2559" s="475">
        <v>45887</v>
      </c>
      <c r="Q2559" s="475">
        <v>45888</v>
      </c>
      <c r="R2559" s="61">
        <f t="shared" si="180"/>
        <v>6</v>
      </c>
      <c r="S2559" s="61" t="str">
        <f t="shared" si="181"/>
        <v/>
      </c>
      <c r="T2559" s="61">
        <f t="shared" si="179"/>
        <v>1</v>
      </c>
      <c r="U2559" s="61">
        <f t="shared" si="182"/>
        <v>1</v>
      </c>
      <c r="V2559" s="61" t="s">
        <v>150</v>
      </c>
      <c r="W2559" s="61" t="s">
        <v>3527</v>
      </c>
      <c r="X2559" s="61" t="s">
        <v>3528</v>
      </c>
      <c r="Y2559" s="61" t="s">
        <v>69</v>
      </c>
      <c r="Z2559" s="61" t="s">
        <v>69</v>
      </c>
      <c r="AA2559" s="61" t="s">
        <v>8492</v>
      </c>
      <c r="AB2559" s="61" t="s">
        <v>8801</v>
      </c>
    </row>
    <row r="2560" spans="1:29" s="2" customFormat="1" ht="28.5">
      <c r="A2560" s="61" t="s">
        <v>779</v>
      </c>
      <c r="B2560" s="61" t="s">
        <v>5396</v>
      </c>
      <c r="C2560" s="61" t="s">
        <v>6014</v>
      </c>
      <c r="D2560" s="61" t="s">
        <v>7838</v>
      </c>
      <c r="E2560" s="61">
        <v>2152</v>
      </c>
      <c r="F2560" s="61">
        <v>2297</v>
      </c>
      <c r="G2560" s="61">
        <v>2025</v>
      </c>
      <c r="H2560" s="61" t="s">
        <v>3126</v>
      </c>
      <c r="I2560" s="61" t="s">
        <v>39</v>
      </c>
      <c r="J2560" s="61"/>
      <c r="K2560" s="61" t="s">
        <v>328</v>
      </c>
      <c r="L2560" s="61" t="s">
        <v>9195</v>
      </c>
      <c r="M2560" s="475">
        <v>45877</v>
      </c>
      <c r="N2560" s="475">
        <v>45887</v>
      </c>
      <c r="O2560" s="61"/>
      <c r="P2560" s="475">
        <v>45887</v>
      </c>
      <c r="Q2560" s="475">
        <v>45888</v>
      </c>
      <c r="R2560" s="61">
        <f t="shared" si="180"/>
        <v>6</v>
      </c>
      <c r="S2560" s="61" t="str">
        <f t="shared" si="181"/>
        <v/>
      </c>
      <c r="T2560" s="61">
        <f t="shared" si="179"/>
        <v>1</v>
      </c>
      <c r="U2560" s="61">
        <f t="shared" si="182"/>
        <v>1</v>
      </c>
      <c r="V2560" s="61" t="s">
        <v>150</v>
      </c>
      <c r="W2560" s="61" t="s">
        <v>3527</v>
      </c>
      <c r="X2560" s="61" t="s">
        <v>3528</v>
      </c>
      <c r="Y2560" s="61" t="s">
        <v>69</v>
      </c>
      <c r="Z2560" s="61" t="s">
        <v>69</v>
      </c>
      <c r="AA2560" s="61" t="s">
        <v>8492</v>
      </c>
      <c r="AB2560" s="61"/>
    </row>
    <row r="2561" spans="1:28" s="2" customFormat="1" ht="28.5">
      <c r="A2561" s="61" t="s">
        <v>779</v>
      </c>
      <c r="B2561" s="61" t="s">
        <v>5396</v>
      </c>
      <c r="C2561" s="61" t="s">
        <v>5278</v>
      </c>
      <c r="D2561" s="61" t="s">
        <v>7838</v>
      </c>
      <c r="E2561" s="61">
        <v>3414</v>
      </c>
      <c r="F2561" s="61">
        <v>3833</v>
      </c>
      <c r="G2561" s="61">
        <v>2025</v>
      </c>
      <c r="H2561" s="61" t="s">
        <v>3126</v>
      </c>
      <c r="I2561" s="61" t="s">
        <v>39</v>
      </c>
      <c r="J2561" s="61"/>
      <c r="K2561" s="61" t="s">
        <v>328</v>
      </c>
      <c r="L2561" s="61" t="s">
        <v>9200</v>
      </c>
      <c r="M2561" s="475">
        <v>45876</v>
      </c>
      <c r="N2561" s="475">
        <v>45886</v>
      </c>
      <c r="O2561" s="61"/>
      <c r="P2561" s="475">
        <v>45887</v>
      </c>
      <c r="Q2561" s="475">
        <v>45888</v>
      </c>
      <c r="R2561" s="61">
        <f t="shared" si="180"/>
        <v>6</v>
      </c>
      <c r="S2561" s="61" t="str">
        <f t="shared" si="181"/>
        <v/>
      </c>
      <c r="T2561" s="61">
        <f t="shared" si="179"/>
        <v>1</v>
      </c>
      <c r="U2561" s="61">
        <f t="shared" si="182"/>
        <v>1</v>
      </c>
      <c r="V2561" s="61" t="s">
        <v>150</v>
      </c>
      <c r="W2561" s="61" t="s">
        <v>3527</v>
      </c>
      <c r="X2561" s="61" t="s">
        <v>3528</v>
      </c>
      <c r="Y2561" s="61" t="s">
        <v>69</v>
      </c>
      <c r="Z2561" s="61" t="s">
        <v>69</v>
      </c>
      <c r="AA2561" s="61" t="s">
        <v>8492</v>
      </c>
      <c r="AB2561" s="61"/>
    </row>
    <row r="2562" spans="1:28" s="2" customFormat="1" ht="15">
      <c r="A2562" s="61" t="s">
        <v>779</v>
      </c>
      <c r="B2562" s="61" t="s">
        <v>5396</v>
      </c>
      <c r="C2562" s="61" t="s">
        <v>6006</v>
      </c>
      <c r="D2562" s="61" t="s">
        <v>7838</v>
      </c>
      <c r="E2562" s="61">
        <v>2588</v>
      </c>
      <c r="F2562" s="61">
        <v>2718</v>
      </c>
      <c r="G2562" s="61"/>
      <c r="H2562" s="61"/>
      <c r="I2562" s="61" t="s">
        <v>39</v>
      </c>
      <c r="J2562" s="61"/>
      <c r="K2562" s="61" t="s">
        <v>328</v>
      </c>
      <c r="L2562" s="61"/>
      <c r="M2562" s="61"/>
      <c r="N2562" s="61"/>
      <c r="O2562" s="61"/>
      <c r="P2562" s="61"/>
      <c r="Q2562" s="61"/>
      <c r="R2562" s="61" t="str">
        <f t="shared" si="180"/>
        <v/>
      </c>
      <c r="S2562" s="61" t="str">
        <f t="shared" si="181"/>
        <v/>
      </c>
      <c r="T2562" s="61" t="str">
        <f t="shared" si="179"/>
        <v/>
      </c>
      <c r="U2562" s="61" t="str">
        <f t="shared" si="182"/>
        <v/>
      </c>
      <c r="V2562" s="61"/>
      <c r="W2562" s="61"/>
      <c r="X2562" s="61"/>
      <c r="Y2562" s="61"/>
      <c r="Z2562" s="61"/>
      <c r="AA2562" s="61"/>
      <c r="AB2562" s="61"/>
    </row>
    <row r="2563" spans="1:28" s="2" customFormat="1" ht="15">
      <c r="A2563" s="61" t="s">
        <v>779</v>
      </c>
      <c r="B2563" s="61" t="s">
        <v>5396</v>
      </c>
      <c r="C2563" s="61" t="s">
        <v>6017</v>
      </c>
      <c r="D2563" s="61" t="s">
        <v>7838</v>
      </c>
      <c r="E2563" s="61">
        <v>2125</v>
      </c>
      <c r="F2563" s="61">
        <v>2348</v>
      </c>
      <c r="G2563" s="61"/>
      <c r="H2563" s="61"/>
      <c r="I2563" s="61" t="s">
        <v>39</v>
      </c>
      <c r="J2563" s="61"/>
      <c r="K2563" s="61" t="s">
        <v>328</v>
      </c>
      <c r="L2563" s="61"/>
      <c r="M2563" s="61"/>
      <c r="N2563" s="61"/>
      <c r="O2563" s="61"/>
      <c r="P2563" s="61"/>
      <c r="Q2563" s="61"/>
      <c r="R2563" s="61" t="str">
        <f t="shared" si="180"/>
        <v/>
      </c>
      <c r="S2563" s="61" t="str">
        <f t="shared" si="181"/>
        <v/>
      </c>
      <c r="T2563" s="61" t="str">
        <f t="shared" si="179"/>
        <v/>
      </c>
      <c r="U2563" s="61" t="str">
        <f t="shared" si="182"/>
        <v/>
      </c>
      <c r="V2563" s="61"/>
      <c r="W2563" s="61"/>
      <c r="X2563" s="61"/>
      <c r="Y2563" s="61"/>
      <c r="Z2563" s="61"/>
      <c r="AA2563" s="61"/>
      <c r="AB2563" s="61"/>
    </row>
    <row r="2564" spans="1:28" s="2" customFormat="1" ht="15">
      <c r="A2564" s="61" t="s">
        <v>779</v>
      </c>
      <c r="B2564" s="61" t="s">
        <v>5396</v>
      </c>
      <c r="C2564" s="61" t="s">
        <v>6019</v>
      </c>
      <c r="D2564" s="61" t="s">
        <v>7838</v>
      </c>
      <c r="E2564" s="61">
        <v>1739</v>
      </c>
      <c r="F2564" s="61">
        <v>1956</v>
      </c>
      <c r="G2564" s="61"/>
      <c r="H2564" s="61"/>
      <c r="I2564" s="61" t="s">
        <v>39</v>
      </c>
      <c r="J2564" s="61"/>
      <c r="K2564" s="61" t="s">
        <v>328</v>
      </c>
      <c r="L2564" s="61"/>
      <c r="M2564" s="61"/>
      <c r="N2564" s="61"/>
      <c r="O2564" s="61"/>
      <c r="P2564" s="61"/>
      <c r="Q2564" s="61"/>
      <c r="R2564" s="61" t="str">
        <f t="shared" si="180"/>
        <v/>
      </c>
      <c r="S2564" s="61" t="str">
        <f t="shared" si="181"/>
        <v/>
      </c>
      <c r="T2564" s="61" t="str">
        <f t="shared" si="179"/>
        <v/>
      </c>
      <c r="U2564" s="61" t="str">
        <f t="shared" si="182"/>
        <v/>
      </c>
      <c r="V2564" s="61"/>
      <c r="W2564" s="61"/>
      <c r="X2564" s="61"/>
      <c r="Y2564" s="61"/>
      <c r="Z2564" s="61"/>
      <c r="AA2564" s="61"/>
      <c r="AB2564" s="61"/>
    </row>
    <row r="2565" spans="1:28" s="2" customFormat="1" ht="28.5">
      <c r="A2565" s="61" t="s">
        <v>779</v>
      </c>
      <c r="B2565" s="61" t="s">
        <v>5396</v>
      </c>
      <c r="C2565" s="61" t="s">
        <v>5999</v>
      </c>
      <c r="D2565" s="61" t="s">
        <v>7838</v>
      </c>
      <c r="E2565" s="61">
        <v>3206</v>
      </c>
      <c r="F2565" s="61">
        <v>3459</v>
      </c>
      <c r="G2565" s="61">
        <v>2025</v>
      </c>
      <c r="H2565" s="61" t="s">
        <v>3127</v>
      </c>
      <c r="I2565" s="61" t="s">
        <v>39</v>
      </c>
      <c r="J2565" s="61"/>
      <c r="K2565" s="61" t="s">
        <v>328</v>
      </c>
      <c r="L2565" s="61" t="s">
        <v>9201</v>
      </c>
      <c r="M2565" s="475">
        <v>45910</v>
      </c>
      <c r="N2565" s="475">
        <v>45916</v>
      </c>
      <c r="O2565" s="61"/>
      <c r="P2565" s="475">
        <v>45917</v>
      </c>
      <c r="Q2565" s="475">
        <v>45919</v>
      </c>
      <c r="R2565" s="61">
        <f t="shared" si="180"/>
        <v>4</v>
      </c>
      <c r="S2565" s="61" t="str">
        <f t="shared" si="181"/>
        <v/>
      </c>
      <c r="T2565" s="61">
        <f t="shared" si="179"/>
        <v>1</v>
      </c>
      <c r="U2565" s="61">
        <f t="shared" si="182"/>
        <v>2</v>
      </c>
      <c r="V2565" s="61" t="s">
        <v>150</v>
      </c>
      <c r="W2565" s="61" t="s">
        <v>1078</v>
      </c>
      <c r="X2565" s="61" t="s">
        <v>50</v>
      </c>
      <c r="Y2565" s="61">
        <v>15.415699999999999</v>
      </c>
      <c r="Z2565" s="61">
        <v>120.6767</v>
      </c>
      <c r="AA2565" s="61" t="s">
        <v>8492</v>
      </c>
      <c r="AB2565" s="61"/>
    </row>
    <row r="2566" spans="1:28" s="2" customFormat="1" ht="28.5">
      <c r="A2566" s="61" t="s">
        <v>779</v>
      </c>
      <c r="B2566" s="61" t="s">
        <v>5396</v>
      </c>
      <c r="C2566" s="61" t="s">
        <v>6020</v>
      </c>
      <c r="D2566" s="61" t="s">
        <v>7838</v>
      </c>
      <c r="E2566" s="61">
        <v>1672</v>
      </c>
      <c r="F2566" s="61">
        <v>1854</v>
      </c>
      <c r="G2566" s="61">
        <v>2025</v>
      </c>
      <c r="H2566" s="61" t="s">
        <v>3127</v>
      </c>
      <c r="I2566" s="61" t="s">
        <v>39</v>
      </c>
      <c r="J2566" s="61"/>
      <c r="K2566" s="61" t="s">
        <v>328</v>
      </c>
      <c r="L2566" s="61" t="s">
        <v>9201</v>
      </c>
      <c r="M2566" s="475">
        <v>45909</v>
      </c>
      <c r="N2566" s="475">
        <v>45916</v>
      </c>
      <c r="O2566" s="61"/>
      <c r="P2566" s="475">
        <v>45917</v>
      </c>
      <c r="Q2566" s="475">
        <v>45919</v>
      </c>
      <c r="R2566" s="61">
        <f t="shared" si="180"/>
        <v>5</v>
      </c>
      <c r="S2566" s="61" t="str">
        <f t="shared" si="181"/>
        <v/>
      </c>
      <c r="T2566" s="61">
        <f t="shared" si="179"/>
        <v>1</v>
      </c>
      <c r="U2566" s="61">
        <f t="shared" si="182"/>
        <v>2</v>
      </c>
      <c r="V2566" s="61" t="s">
        <v>150</v>
      </c>
      <c r="W2566" s="61" t="s">
        <v>3527</v>
      </c>
      <c r="X2566" s="61" t="s">
        <v>3528</v>
      </c>
      <c r="Y2566" s="61" t="s">
        <v>69</v>
      </c>
      <c r="Z2566" s="61" t="s">
        <v>69</v>
      </c>
      <c r="AA2566" s="61" t="s">
        <v>8492</v>
      </c>
      <c r="AB2566" s="61"/>
    </row>
    <row r="2567" spans="1:28" s="2" customFormat="1" ht="28.5">
      <c r="A2567" s="61" t="s">
        <v>779</v>
      </c>
      <c r="B2567" s="61" t="s">
        <v>5396</v>
      </c>
      <c r="C2567" s="61" t="s">
        <v>1299</v>
      </c>
      <c r="D2567" s="61" t="s">
        <v>7838</v>
      </c>
      <c r="E2567" s="61">
        <v>1552</v>
      </c>
      <c r="F2567" s="61">
        <v>1671</v>
      </c>
      <c r="G2567" s="61">
        <v>2025</v>
      </c>
      <c r="H2567" s="61" t="s">
        <v>3127</v>
      </c>
      <c r="I2567" s="61" t="s">
        <v>39</v>
      </c>
      <c r="J2567" s="61"/>
      <c r="K2567" s="61" t="s">
        <v>328</v>
      </c>
      <c r="L2567" s="61" t="s">
        <v>9201</v>
      </c>
      <c r="M2567" s="475">
        <v>45909</v>
      </c>
      <c r="N2567" s="475">
        <v>45916</v>
      </c>
      <c r="O2567" s="61"/>
      <c r="P2567" s="475">
        <v>45917</v>
      </c>
      <c r="Q2567" s="475">
        <v>45919</v>
      </c>
      <c r="R2567" s="61">
        <f t="shared" si="180"/>
        <v>5</v>
      </c>
      <c r="S2567" s="61" t="str">
        <f t="shared" si="181"/>
        <v/>
      </c>
      <c r="T2567" s="61">
        <f t="shared" si="179"/>
        <v>1</v>
      </c>
      <c r="U2567" s="61">
        <f t="shared" si="182"/>
        <v>2</v>
      </c>
      <c r="V2567" s="61" t="s">
        <v>150</v>
      </c>
      <c r="W2567" s="61" t="s">
        <v>3527</v>
      </c>
      <c r="X2567" s="61" t="s">
        <v>3528</v>
      </c>
      <c r="Y2567" s="61" t="s">
        <v>69</v>
      </c>
      <c r="Z2567" s="61" t="s">
        <v>69</v>
      </c>
      <c r="AA2567" s="61" t="s">
        <v>8492</v>
      </c>
      <c r="AB2567" s="61"/>
    </row>
    <row r="2568" spans="1:28" s="2" customFormat="1" ht="28.5">
      <c r="A2568" s="61" t="s">
        <v>779</v>
      </c>
      <c r="B2568" s="61" t="s">
        <v>5396</v>
      </c>
      <c r="C2568" s="61" t="s">
        <v>3721</v>
      </c>
      <c r="D2568" s="61" t="s">
        <v>7838</v>
      </c>
      <c r="E2568" s="61">
        <v>3482</v>
      </c>
      <c r="F2568" s="61">
        <v>3615</v>
      </c>
      <c r="G2568" s="61">
        <v>2025</v>
      </c>
      <c r="H2568" s="61" t="s">
        <v>3127</v>
      </c>
      <c r="I2568" s="61" t="s">
        <v>39</v>
      </c>
      <c r="J2568" s="61"/>
      <c r="K2568" s="61" t="s">
        <v>328</v>
      </c>
      <c r="L2568" s="61" t="s">
        <v>9201</v>
      </c>
      <c r="M2568" s="475">
        <v>45909</v>
      </c>
      <c r="N2568" s="475">
        <v>45916</v>
      </c>
      <c r="O2568" s="61"/>
      <c r="P2568" s="475">
        <v>45917</v>
      </c>
      <c r="Q2568" s="475">
        <v>45919</v>
      </c>
      <c r="R2568" s="61">
        <f t="shared" si="180"/>
        <v>5</v>
      </c>
      <c r="S2568" s="61" t="str">
        <f t="shared" si="181"/>
        <v/>
      </c>
      <c r="T2568" s="61">
        <f t="shared" si="179"/>
        <v>1</v>
      </c>
      <c r="U2568" s="61">
        <f t="shared" si="182"/>
        <v>2</v>
      </c>
      <c r="V2568" s="61" t="s">
        <v>150</v>
      </c>
      <c r="W2568" s="61" t="s">
        <v>3527</v>
      </c>
      <c r="X2568" s="61" t="s">
        <v>3528</v>
      </c>
      <c r="Y2568" s="61" t="s">
        <v>69</v>
      </c>
      <c r="Z2568" s="61" t="s">
        <v>69</v>
      </c>
      <c r="AA2568" s="61" t="s">
        <v>8492</v>
      </c>
      <c r="AB2568" s="61"/>
    </row>
    <row r="2569" spans="1:28" s="2" customFormat="1" ht="28.5">
      <c r="A2569" s="61" t="s">
        <v>779</v>
      </c>
      <c r="B2569" s="61" t="s">
        <v>5396</v>
      </c>
      <c r="C2569" s="61" t="s">
        <v>3915</v>
      </c>
      <c r="D2569" s="61" t="s">
        <v>7838</v>
      </c>
      <c r="E2569" s="61">
        <v>7915</v>
      </c>
      <c r="F2569" s="61">
        <v>8115</v>
      </c>
      <c r="G2569" s="61">
        <v>2025</v>
      </c>
      <c r="H2569" s="61" t="s">
        <v>3127</v>
      </c>
      <c r="I2569" s="61" t="s">
        <v>39</v>
      </c>
      <c r="J2569" s="61"/>
      <c r="K2569" s="61" t="s">
        <v>328</v>
      </c>
      <c r="L2569" s="61" t="s">
        <v>9201</v>
      </c>
      <c r="M2569" s="475">
        <v>45909</v>
      </c>
      <c r="N2569" s="475">
        <v>45916</v>
      </c>
      <c r="O2569" s="61"/>
      <c r="P2569" s="475">
        <v>45917</v>
      </c>
      <c r="Q2569" s="475">
        <v>45919</v>
      </c>
      <c r="R2569" s="61">
        <f t="shared" si="180"/>
        <v>5</v>
      </c>
      <c r="S2569" s="61" t="str">
        <f t="shared" si="181"/>
        <v/>
      </c>
      <c r="T2569" s="61">
        <f t="shared" si="179"/>
        <v>1</v>
      </c>
      <c r="U2569" s="61">
        <f t="shared" si="182"/>
        <v>2</v>
      </c>
      <c r="V2569" s="61" t="s">
        <v>150</v>
      </c>
      <c r="W2569" s="61" t="s">
        <v>3527</v>
      </c>
      <c r="X2569" s="61" t="s">
        <v>3528</v>
      </c>
      <c r="Y2569" s="61" t="s">
        <v>69</v>
      </c>
      <c r="Z2569" s="61" t="s">
        <v>69</v>
      </c>
      <c r="AA2569" s="61" t="s">
        <v>8492</v>
      </c>
      <c r="AB2569" s="61"/>
    </row>
    <row r="2570" spans="1:28" s="2" customFormat="1" ht="28.5">
      <c r="A2570" s="61" t="s">
        <v>779</v>
      </c>
      <c r="B2570" s="61" t="s">
        <v>5396</v>
      </c>
      <c r="C2570" s="61" t="s">
        <v>1458</v>
      </c>
      <c r="D2570" s="61" t="s">
        <v>7838</v>
      </c>
      <c r="E2570" s="61">
        <v>2256</v>
      </c>
      <c r="F2570" s="61">
        <v>2406</v>
      </c>
      <c r="G2570" s="61">
        <v>2025</v>
      </c>
      <c r="H2570" s="61" t="s">
        <v>3127</v>
      </c>
      <c r="I2570" s="61" t="s">
        <v>39</v>
      </c>
      <c r="J2570" s="61"/>
      <c r="K2570" s="61" t="s">
        <v>328</v>
      </c>
      <c r="L2570" s="61" t="s">
        <v>9201</v>
      </c>
      <c r="M2570" s="475">
        <v>45910</v>
      </c>
      <c r="N2570" s="475">
        <v>45916</v>
      </c>
      <c r="O2570" s="61"/>
      <c r="P2570" s="475">
        <v>45917</v>
      </c>
      <c r="Q2570" s="475">
        <v>45919</v>
      </c>
      <c r="R2570" s="61">
        <f t="shared" si="180"/>
        <v>4</v>
      </c>
      <c r="S2570" s="61" t="str">
        <f t="shared" si="181"/>
        <v/>
      </c>
      <c r="T2570" s="61">
        <f t="shared" si="179"/>
        <v>1</v>
      </c>
      <c r="U2570" s="61">
        <f t="shared" si="182"/>
        <v>2</v>
      </c>
      <c r="V2570" s="61" t="s">
        <v>150</v>
      </c>
      <c r="W2570" s="61" t="s">
        <v>3527</v>
      </c>
      <c r="X2570" s="61" t="s">
        <v>3528</v>
      </c>
      <c r="Y2570" s="61" t="s">
        <v>69</v>
      </c>
      <c r="Z2570" s="61" t="s">
        <v>69</v>
      </c>
      <c r="AA2570" s="61" t="s">
        <v>8492</v>
      </c>
      <c r="AB2570" s="61"/>
    </row>
    <row r="2571" spans="1:28" s="2" customFormat="1" ht="28.5">
      <c r="A2571" s="61" t="s">
        <v>779</v>
      </c>
      <c r="B2571" s="61" t="s">
        <v>1485</v>
      </c>
      <c r="C2571" s="61" t="s">
        <v>6026</v>
      </c>
      <c r="D2571" s="61" t="s">
        <v>159</v>
      </c>
      <c r="E2571" s="61">
        <v>758</v>
      </c>
      <c r="F2571" s="61">
        <v>648</v>
      </c>
      <c r="G2571" s="61">
        <v>2025</v>
      </c>
      <c r="H2571" s="61" t="s">
        <v>3416</v>
      </c>
      <c r="I2571" s="61" t="s">
        <v>5783</v>
      </c>
      <c r="J2571" s="61"/>
      <c r="K2571" s="61" t="s">
        <v>328</v>
      </c>
      <c r="L2571" s="61" t="s">
        <v>9202</v>
      </c>
      <c r="M2571" s="475">
        <v>45721</v>
      </c>
      <c r="N2571" s="475">
        <v>45723</v>
      </c>
      <c r="O2571" s="61"/>
      <c r="P2571" s="475">
        <v>45726</v>
      </c>
      <c r="Q2571" s="475">
        <v>45728</v>
      </c>
      <c r="R2571" s="61">
        <f t="shared" si="180"/>
        <v>2</v>
      </c>
      <c r="S2571" s="61" t="str">
        <f t="shared" si="181"/>
        <v/>
      </c>
      <c r="T2571" s="61">
        <f t="shared" si="179"/>
        <v>1</v>
      </c>
      <c r="U2571" s="61">
        <f t="shared" si="182"/>
        <v>2</v>
      </c>
      <c r="V2571" s="61" t="s">
        <v>150</v>
      </c>
      <c r="W2571" s="61" t="s">
        <v>4</v>
      </c>
      <c r="X2571" s="61" t="s">
        <v>50</v>
      </c>
      <c r="Y2571" s="61">
        <v>15.632960020000001</v>
      </c>
      <c r="Z2571" s="61">
        <v>120.38524108999999</v>
      </c>
      <c r="AA2571" s="61" t="s">
        <v>8492</v>
      </c>
      <c r="AB2571" s="61"/>
    </row>
    <row r="2572" spans="1:28" s="2" customFormat="1" ht="28.5">
      <c r="A2572" s="61" t="s">
        <v>779</v>
      </c>
      <c r="B2572" s="61" t="s">
        <v>1485</v>
      </c>
      <c r="C2572" s="61" t="s">
        <v>6033</v>
      </c>
      <c r="D2572" s="61" t="s">
        <v>159</v>
      </c>
      <c r="E2572" s="61">
        <v>673</v>
      </c>
      <c r="F2572" s="61">
        <v>687</v>
      </c>
      <c r="G2572" s="61">
        <v>2025</v>
      </c>
      <c r="H2572" s="61" t="s">
        <v>3125</v>
      </c>
      <c r="I2572" s="61" t="s">
        <v>5783</v>
      </c>
      <c r="J2572" s="61"/>
      <c r="K2572" s="61" t="s">
        <v>328</v>
      </c>
      <c r="L2572" s="61" t="s">
        <v>9203</v>
      </c>
      <c r="M2572" s="475">
        <v>45853</v>
      </c>
      <c r="N2572" s="475">
        <v>45855</v>
      </c>
      <c r="O2572" s="61"/>
      <c r="P2572" s="475">
        <v>45856</v>
      </c>
      <c r="Q2572" s="475">
        <v>45856</v>
      </c>
      <c r="R2572" s="61">
        <f t="shared" si="180"/>
        <v>2</v>
      </c>
      <c r="S2572" s="61" t="str">
        <f t="shared" si="181"/>
        <v/>
      </c>
      <c r="T2572" s="61">
        <f t="shared" si="179"/>
        <v>1</v>
      </c>
      <c r="U2572" s="61">
        <f t="shared" si="182"/>
        <v>1</v>
      </c>
      <c r="V2572" s="61" t="s">
        <v>150</v>
      </c>
      <c r="W2572" s="61" t="s">
        <v>4</v>
      </c>
      <c r="X2572" s="61" t="s">
        <v>50</v>
      </c>
      <c r="Y2572" s="61" t="s">
        <v>9204</v>
      </c>
      <c r="Z2572" s="61" t="s">
        <v>9205</v>
      </c>
      <c r="AA2572" s="61" t="s">
        <v>8492</v>
      </c>
      <c r="AB2572" s="61"/>
    </row>
    <row r="2573" spans="1:28" s="2" customFormat="1" ht="57">
      <c r="A2573" s="61" t="s">
        <v>779</v>
      </c>
      <c r="B2573" s="61" t="s">
        <v>1485</v>
      </c>
      <c r="C2573" s="61" t="s">
        <v>6035</v>
      </c>
      <c r="D2573" s="61" t="s">
        <v>159</v>
      </c>
      <c r="E2573" s="61">
        <v>468</v>
      </c>
      <c r="F2573" s="61">
        <v>453</v>
      </c>
      <c r="G2573" s="61">
        <v>2025</v>
      </c>
      <c r="H2573" s="61" t="s">
        <v>3416</v>
      </c>
      <c r="I2573" s="61" t="s">
        <v>5783</v>
      </c>
      <c r="J2573" s="61"/>
      <c r="K2573" s="61" t="s">
        <v>328</v>
      </c>
      <c r="L2573" s="61" t="s">
        <v>9206</v>
      </c>
      <c r="M2573" s="475">
        <v>45721</v>
      </c>
      <c r="N2573" s="475">
        <v>45723</v>
      </c>
      <c r="O2573" s="61"/>
      <c r="P2573" s="475">
        <v>45726</v>
      </c>
      <c r="Q2573" s="475">
        <v>45728</v>
      </c>
      <c r="R2573" s="61">
        <f t="shared" si="180"/>
        <v>2</v>
      </c>
      <c r="S2573" s="61" t="str">
        <f t="shared" si="181"/>
        <v/>
      </c>
      <c r="T2573" s="61">
        <f t="shared" si="179"/>
        <v>1</v>
      </c>
      <c r="U2573" s="61">
        <f t="shared" si="182"/>
        <v>2</v>
      </c>
      <c r="V2573" s="61" t="s">
        <v>150</v>
      </c>
      <c r="W2573" s="61" t="s">
        <v>4</v>
      </c>
      <c r="X2573" s="61" t="s">
        <v>57</v>
      </c>
      <c r="Y2573" s="61">
        <v>15.617478119999999</v>
      </c>
      <c r="Z2573" s="61">
        <v>120.37394509000001</v>
      </c>
      <c r="AA2573" s="61" t="s">
        <v>8492</v>
      </c>
      <c r="AB2573" s="61" t="s">
        <v>9207</v>
      </c>
    </row>
    <row r="2574" spans="1:28" s="2" customFormat="1" ht="28.5">
      <c r="A2574" s="61" t="s">
        <v>779</v>
      </c>
      <c r="B2574" s="61" t="s">
        <v>1485</v>
      </c>
      <c r="C2574" s="61" t="s">
        <v>1486</v>
      </c>
      <c r="D2574" s="61" t="s">
        <v>159</v>
      </c>
      <c r="E2574" s="61">
        <v>3296</v>
      </c>
      <c r="F2574" s="61">
        <v>3556</v>
      </c>
      <c r="G2574" s="61">
        <v>2025</v>
      </c>
      <c r="H2574" s="61" t="s">
        <v>3416</v>
      </c>
      <c r="I2574" s="61" t="s">
        <v>5783</v>
      </c>
      <c r="J2574" s="61"/>
      <c r="K2574" s="61" t="s">
        <v>328</v>
      </c>
      <c r="L2574" s="61" t="s">
        <v>9208</v>
      </c>
      <c r="M2574" s="475">
        <v>45715</v>
      </c>
      <c r="N2574" s="475">
        <v>45715</v>
      </c>
      <c r="O2574" s="61"/>
      <c r="P2574" s="475">
        <v>45723</v>
      </c>
      <c r="Q2574" s="475">
        <v>45728</v>
      </c>
      <c r="R2574" s="61">
        <f t="shared" si="180"/>
        <v>1</v>
      </c>
      <c r="S2574" s="61" t="str">
        <f t="shared" si="181"/>
        <v/>
      </c>
      <c r="T2574" s="61">
        <f t="shared" si="179"/>
        <v>6</v>
      </c>
      <c r="U2574" s="61">
        <f t="shared" si="182"/>
        <v>3</v>
      </c>
      <c r="V2574" s="61" t="s">
        <v>150</v>
      </c>
      <c r="W2574" s="61" t="s">
        <v>4</v>
      </c>
      <c r="X2574" s="61" t="s">
        <v>50</v>
      </c>
      <c r="Y2574" s="61">
        <v>15.62651679</v>
      </c>
      <c r="Z2574" s="61">
        <v>120.37245733</v>
      </c>
      <c r="AA2574" s="61" t="s">
        <v>8492</v>
      </c>
      <c r="AB2574" s="61"/>
    </row>
    <row r="2575" spans="1:28" s="2" customFormat="1" ht="15">
      <c r="A2575" s="61" t="s">
        <v>779</v>
      </c>
      <c r="B2575" s="61" t="s">
        <v>1485</v>
      </c>
      <c r="C2575" s="61" t="s">
        <v>4946</v>
      </c>
      <c r="D2575" s="61" t="s">
        <v>159</v>
      </c>
      <c r="E2575" s="61">
        <v>3127</v>
      </c>
      <c r="F2575" s="61">
        <v>3079</v>
      </c>
      <c r="G2575" s="61">
        <v>2025</v>
      </c>
      <c r="H2575" s="61" t="s">
        <v>3416</v>
      </c>
      <c r="I2575" s="61" t="s">
        <v>5783</v>
      </c>
      <c r="J2575" s="61"/>
      <c r="K2575" s="61" t="s">
        <v>328</v>
      </c>
      <c r="L2575" s="61" t="s">
        <v>9209</v>
      </c>
      <c r="M2575" s="475">
        <v>45728</v>
      </c>
      <c r="N2575" s="475">
        <v>45729</v>
      </c>
      <c r="O2575" s="61"/>
      <c r="P2575" s="475">
        <v>45733</v>
      </c>
      <c r="Q2575" s="475">
        <v>45734</v>
      </c>
      <c r="R2575" s="61">
        <f t="shared" si="180"/>
        <v>1</v>
      </c>
      <c r="S2575" s="61" t="str">
        <f t="shared" si="181"/>
        <v/>
      </c>
      <c r="T2575" s="61">
        <f t="shared" si="179"/>
        <v>2</v>
      </c>
      <c r="U2575" s="61">
        <f t="shared" si="182"/>
        <v>1</v>
      </c>
      <c r="V2575" s="61" t="s">
        <v>150</v>
      </c>
      <c r="W2575" s="61" t="s">
        <v>4</v>
      </c>
      <c r="X2575" s="61" t="s">
        <v>50</v>
      </c>
      <c r="Y2575" s="61">
        <v>15.61150226</v>
      </c>
      <c r="Z2575" s="61" t="s">
        <v>9210</v>
      </c>
      <c r="AA2575" s="61"/>
      <c r="AB2575" s="61"/>
    </row>
    <row r="2576" spans="1:28" s="2" customFormat="1" ht="28.5">
      <c r="A2576" s="61" t="s">
        <v>779</v>
      </c>
      <c r="B2576" s="61" t="s">
        <v>1485</v>
      </c>
      <c r="C2576" s="61" t="s">
        <v>858</v>
      </c>
      <c r="D2576" s="61" t="s">
        <v>159</v>
      </c>
      <c r="E2576" s="61">
        <v>1670</v>
      </c>
      <c r="F2576" s="61">
        <v>1541</v>
      </c>
      <c r="G2576" s="61">
        <v>2025</v>
      </c>
      <c r="H2576" s="61" t="s">
        <v>3125</v>
      </c>
      <c r="I2576" s="61" t="s">
        <v>5783</v>
      </c>
      <c r="J2576" s="61"/>
      <c r="K2576" s="61" t="s">
        <v>328</v>
      </c>
      <c r="L2576" s="61" t="s">
        <v>9211</v>
      </c>
      <c r="M2576" s="475">
        <v>45853</v>
      </c>
      <c r="N2576" s="475">
        <v>45855</v>
      </c>
      <c r="O2576" s="61"/>
      <c r="P2576" s="475">
        <v>45856</v>
      </c>
      <c r="Q2576" s="475">
        <v>45856</v>
      </c>
      <c r="R2576" s="61">
        <f t="shared" si="180"/>
        <v>2</v>
      </c>
      <c r="S2576" s="61" t="str">
        <f t="shared" si="181"/>
        <v/>
      </c>
      <c r="T2576" s="61">
        <f t="shared" si="179"/>
        <v>1</v>
      </c>
      <c r="U2576" s="61">
        <f t="shared" si="182"/>
        <v>1</v>
      </c>
      <c r="V2576" s="61" t="s">
        <v>150</v>
      </c>
      <c r="W2576" s="61" t="s">
        <v>4</v>
      </c>
      <c r="X2576" s="61" t="s">
        <v>50</v>
      </c>
      <c r="Y2576" s="61" t="s">
        <v>9212</v>
      </c>
      <c r="Z2576" s="61" t="s">
        <v>9213</v>
      </c>
      <c r="AA2576" s="61" t="s">
        <v>8492</v>
      </c>
      <c r="AB2576" s="61"/>
    </row>
    <row r="2577" spans="1:28" s="2" customFormat="1" ht="28.5">
      <c r="A2577" s="61" t="s">
        <v>779</v>
      </c>
      <c r="B2577" s="61" t="s">
        <v>1485</v>
      </c>
      <c r="C2577" s="61" t="s">
        <v>6034</v>
      </c>
      <c r="D2577" s="61" t="s">
        <v>159</v>
      </c>
      <c r="E2577" s="61">
        <v>921</v>
      </c>
      <c r="F2577" s="61">
        <v>877</v>
      </c>
      <c r="G2577" s="61">
        <v>2025</v>
      </c>
      <c r="H2577" s="61" t="s">
        <v>3125</v>
      </c>
      <c r="I2577" s="61" t="s">
        <v>5783</v>
      </c>
      <c r="J2577" s="61"/>
      <c r="K2577" s="61" t="s">
        <v>328</v>
      </c>
      <c r="L2577" s="61" t="s">
        <v>9214</v>
      </c>
      <c r="M2577" s="475">
        <v>45853</v>
      </c>
      <c r="N2577" s="475">
        <v>45855</v>
      </c>
      <c r="O2577" s="61"/>
      <c r="P2577" s="475">
        <v>45856</v>
      </c>
      <c r="Q2577" s="475">
        <v>45856</v>
      </c>
      <c r="R2577" s="61">
        <f t="shared" si="180"/>
        <v>2</v>
      </c>
      <c r="S2577" s="61" t="str">
        <f t="shared" si="181"/>
        <v/>
      </c>
      <c r="T2577" s="61">
        <f t="shared" si="179"/>
        <v>1</v>
      </c>
      <c r="U2577" s="61">
        <f t="shared" si="182"/>
        <v>1</v>
      </c>
      <c r="V2577" s="61" t="s">
        <v>150</v>
      </c>
      <c r="W2577" s="61" t="s">
        <v>1078</v>
      </c>
      <c r="X2577" s="61" t="s">
        <v>50</v>
      </c>
      <c r="Y2577" s="61" t="s">
        <v>9212</v>
      </c>
      <c r="Z2577" s="61" t="s">
        <v>9213</v>
      </c>
      <c r="AA2577" s="61" t="s">
        <v>8492</v>
      </c>
      <c r="AB2577" s="61"/>
    </row>
    <row r="2578" spans="1:28" s="2" customFormat="1" ht="15">
      <c r="A2578" s="61" t="s">
        <v>779</v>
      </c>
      <c r="B2578" s="61" t="s">
        <v>1485</v>
      </c>
      <c r="C2578" s="61" t="s">
        <v>6028</v>
      </c>
      <c r="D2578" s="61" t="s">
        <v>159</v>
      </c>
      <c r="E2578" s="61">
        <v>478</v>
      </c>
      <c r="F2578" s="61">
        <v>464</v>
      </c>
      <c r="G2578" s="61"/>
      <c r="H2578" s="61"/>
      <c r="I2578" s="61" t="s">
        <v>5783</v>
      </c>
      <c r="J2578" s="61"/>
      <c r="K2578" s="61" t="s">
        <v>328</v>
      </c>
      <c r="L2578" s="61"/>
      <c r="M2578" s="61"/>
      <c r="N2578" s="61"/>
      <c r="O2578" s="61"/>
      <c r="P2578" s="61"/>
      <c r="Q2578" s="61"/>
      <c r="R2578" s="61" t="str">
        <f t="shared" si="180"/>
        <v/>
      </c>
      <c r="S2578" s="61" t="str">
        <f t="shared" si="181"/>
        <v/>
      </c>
      <c r="T2578" s="61" t="str">
        <f t="shared" si="179"/>
        <v/>
      </c>
      <c r="U2578" s="61" t="str">
        <f t="shared" si="182"/>
        <v/>
      </c>
      <c r="V2578" s="61"/>
      <c r="W2578" s="61"/>
      <c r="X2578" s="61"/>
      <c r="Y2578" s="61"/>
      <c r="Z2578" s="61"/>
      <c r="AA2578" s="61"/>
      <c r="AB2578" s="61"/>
    </row>
    <row r="2579" spans="1:28" s="2" customFormat="1" ht="28.5">
      <c r="A2579" s="61" t="s">
        <v>779</v>
      </c>
      <c r="B2579" s="61" t="s">
        <v>1485</v>
      </c>
      <c r="C2579" s="61" t="s">
        <v>6029</v>
      </c>
      <c r="D2579" s="61" t="s">
        <v>159</v>
      </c>
      <c r="E2579" s="61">
        <v>1568</v>
      </c>
      <c r="F2579" s="61">
        <v>1660</v>
      </c>
      <c r="G2579" s="61">
        <v>2025</v>
      </c>
      <c r="H2579" s="61" t="s">
        <v>3128</v>
      </c>
      <c r="I2579" s="61" t="s">
        <v>5783</v>
      </c>
      <c r="J2579" s="61"/>
      <c r="K2579" s="61" t="s">
        <v>28</v>
      </c>
      <c r="L2579" s="61" t="s">
        <v>9215</v>
      </c>
      <c r="M2579" s="475">
        <v>45940</v>
      </c>
      <c r="N2579" s="475">
        <v>45943</v>
      </c>
      <c r="O2579" s="61"/>
      <c r="P2579" s="475">
        <v>45944</v>
      </c>
      <c r="Q2579" s="475">
        <v>45944</v>
      </c>
      <c r="R2579" s="61">
        <f t="shared" si="180"/>
        <v>1</v>
      </c>
      <c r="S2579" s="61" t="str">
        <f t="shared" si="181"/>
        <v/>
      </c>
      <c r="T2579" s="61">
        <f t="shared" si="179"/>
        <v>1</v>
      </c>
      <c r="U2579" s="61">
        <f t="shared" si="182"/>
        <v>1</v>
      </c>
      <c r="V2579" s="61" t="s">
        <v>150</v>
      </c>
      <c r="W2579" s="61" t="s">
        <v>1078</v>
      </c>
      <c r="X2579" s="61" t="s">
        <v>50</v>
      </c>
      <c r="Y2579" s="61" t="s">
        <v>69</v>
      </c>
      <c r="Z2579" s="61" t="s">
        <v>69</v>
      </c>
      <c r="AA2579" s="61" t="s">
        <v>9216</v>
      </c>
      <c r="AB2579" s="61" t="s">
        <v>9217</v>
      </c>
    </row>
    <row r="2580" spans="1:28" s="2" customFormat="1" ht="15">
      <c r="A2580" s="61" t="s">
        <v>779</v>
      </c>
      <c r="B2580" s="61" t="s">
        <v>1485</v>
      </c>
      <c r="C2580" s="61" t="s">
        <v>6031</v>
      </c>
      <c r="D2580" s="61" t="s">
        <v>159</v>
      </c>
      <c r="E2580" s="61">
        <v>665</v>
      </c>
      <c r="F2580" s="61">
        <v>679</v>
      </c>
      <c r="G2580" s="61"/>
      <c r="H2580" s="61"/>
      <c r="I2580" s="61" t="s">
        <v>5783</v>
      </c>
      <c r="J2580" s="61"/>
      <c r="K2580" s="61" t="s">
        <v>328</v>
      </c>
      <c r="L2580" s="61"/>
      <c r="M2580" s="61"/>
      <c r="N2580" s="61"/>
      <c r="O2580" s="61"/>
      <c r="P2580" s="61"/>
      <c r="Q2580" s="61"/>
      <c r="R2580" s="61" t="str">
        <f t="shared" si="180"/>
        <v/>
      </c>
      <c r="S2580" s="61" t="str">
        <f t="shared" si="181"/>
        <v/>
      </c>
      <c r="T2580" s="61" t="str">
        <f t="shared" si="179"/>
        <v/>
      </c>
      <c r="U2580" s="61" t="str">
        <f t="shared" si="182"/>
        <v/>
      </c>
      <c r="V2580" s="61"/>
      <c r="W2580" s="61"/>
      <c r="Y2580" s="61"/>
      <c r="Z2580" s="61"/>
      <c r="AA2580" s="61"/>
      <c r="AB2580" s="61"/>
    </row>
    <row r="2581" spans="1:28" s="2" customFormat="1" ht="15">
      <c r="A2581" s="61" t="s">
        <v>779</v>
      </c>
      <c r="B2581" s="61" t="s">
        <v>1485</v>
      </c>
      <c r="C2581" s="61" t="s">
        <v>6032</v>
      </c>
      <c r="D2581" s="61" t="s">
        <v>159</v>
      </c>
      <c r="E2581" s="61">
        <v>638</v>
      </c>
      <c r="F2581" s="61">
        <v>743</v>
      </c>
      <c r="G2581" s="61"/>
      <c r="H2581" s="61"/>
      <c r="I2581" s="61" t="s">
        <v>5783</v>
      </c>
      <c r="J2581" s="61"/>
      <c r="K2581" s="61" t="s">
        <v>328</v>
      </c>
      <c r="L2581" s="61"/>
      <c r="M2581" s="61"/>
      <c r="N2581" s="61"/>
      <c r="O2581" s="61"/>
      <c r="P2581" s="61"/>
      <c r="Q2581" s="61"/>
      <c r="R2581" s="61" t="str">
        <f t="shared" si="180"/>
        <v/>
      </c>
      <c r="S2581" s="61" t="str">
        <f t="shared" si="181"/>
        <v/>
      </c>
      <c r="T2581" s="61" t="str">
        <f t="shared" si="179"/>
        <v/>
      </c>
      <c r="U2581" s="61" t="str">
        <f t="shared" si="182"/>
        <v/>
      </c>
      <c r="V2581" s="61"/>
      <c r="W2581" s="61"/>
      <c r="Y2581" s="61"/>
      <c r="Z2581" s="61"/>
      <c r="AA2581" s="61"/>
      <c r="AB2581" s="61"/>
    </row>
    <row r="2582" spans="1:28" s="2" customFormat="1" ht="15">
      <c r="A2582" s="61" t="s">
        <v>779</v>
      </c>
      <c r="B2582" s="61" t="s">
        <v>1485</v>
      </c>
      <c r="C2582" s="61" t="s">
        <v>6037</v>
      </c>
      <c r="D2582" s="61" t="s">
        <v>159</v>
      </c>
      <c r="E2582" s="61">
        <v>407</v>
      </c>
      <c r="F2582" s="61">
        <v>442</v>
      </c>
      <c r="G2582" s="61"/>
      <c r="H2582" s="61"/>
      <c r="I2582" s="61" t="s">
        <v>5783</v>
      </c>
      <c r="J2582" s="61"/>
      <c r="K2582" s="61" t="s">
        <v>328</v>
      </c>
      <c r="L2582" s="61"/>
      <c r="M2582" s="61"/>
      <c r="N2582" s="61"/>
      <c r="O2582" s="61"/>
      <c r="P2582" s="61"/>
      <c r="Q2582" s="61"/>
      <c r="R2582" s="61" t="str">
        <f t="shared" si="180"/>
        <v/>
      </c>
      <c r="S2582" s="61" t="str">
        <f t="shared" si="181"/>
        <v/>
      </c>
      <c r="T2582" s="61" t="str">
        <f t="shared" si="179"/>
        <v/>
      </c>
      <c r="U2582" s="61" t="str">
        <f t="shared" si="182"/>
        <v/>
      </c>
      <c r="V2582" s="61"/>
      <c r="W2582" s="61"/>
      <c r="Y2582" s="61"/>
      <c r="Z2582" s="61"/>
      <c r="AA2582" s="61"/>
      <c r="AB2582" s="61"/>
    </row>
    <row r="2583" spans="1:28" s="2" customFormat="1" ht="15">
      <c r="A2583" s="61" t="s">
        <v>779</v>
      </c>
      <c r="B2583" s="61" t="s">
        <v>1485</v>
      </c>
      <c r="C2583" s="61" t="s">
        <v>6038</v>
      </c>
      <c r="D2583" s="61" t="s">
        <v>159</v>
      </c>
      <c r="E2583" s="61">
        <v>796</v>
      </c>
      <c r="F2583" s="61">
        <v>915</v>
      </c>
      <c r="G2583" s="61"/>
      <c r="H2583" s="61"/>
      <c r="I2583" s="61" t="s">
        <v>5783</v>
      </c>
      <c r="J2583" s="61"/>
      <c r="K2583" s="61" t="s">
        <v>328</v>
      </c>
      <c r="L2583" s="61"/>
      <c r="M2583" s="61"/>
      <c r="N2583" s="61"/>
      <c r="O2583" s="61"/>
      <c r="P2583" s="61"/>
      <c r="Q2583" s="61"/>
      <c r="R2583" s="61" t="str">
        <f t="shared" si="180"/>
        <v/>
      </c>
      <c r="S2583" s="61" t="str">
        <f t="shared" si="181"/>
        <v/>
      </c>
      <c r="T2583" s="61" t="str">
        <f t="shared" si="179"/>
        <v/>
      </c>
      <c r="U2583" s="61" t="str">
        <f t="shared" si="182"/>
        <v/>
      </c>
      <c r="V2583" s="61"/>
      <c r="W2583" s="61"/>
      <c r="Y2583" s="61"/>
      <c r="Z2583" s="61"/>
      <c r="AA2583" s="61"/>
      <c r="AB2583" s="61"/>
    </row>
    <row r="2584" spans="1:28" s="2" customFormat="1" ht="15">
      <c r="A2584" s="61" t="s">
        <v>779</v>
      </c>
      <c r="B2584" s="61" t="s">
        <v>1485</v>
      </c>
      <c r="C2584" s="61" t="s">
        <v>5219</v>
      </c>
      <c r="D2584" s="61" t="s">
        <v>159</v>
      </c>
      <c r="E2584" s="61">
        <v>1192</v>
      </c>
      <c r="F2584" s="61">
        <v>1267</v>
      </c>
      <c r="G2584" s="61"/>
      <c r="H2584" s="61"/>
      <c r="I2584" s="61" t="s">
        <v>5783</v>
      </c>
      <c r="J2584" s="61"/>
      <c r="K2584" s="61" t="s">
        <v>328</v>
      </c>
      <c r="L2584" s="61"/>
      <c r="M2584" s="61"/>
      <c r="N2584" s="61"/>
      <c r="O2584" s="61"/>
      <c r="P2584" s="61"/>
      <c r="Q2584" s="61"/>
      <c r="R2584" s="61" t="str">
        <f t="shared" si="180"/>
        <v/>
      </c>
      <c r="S2584" s="61" t="str">
        <f t="shared" si="181"/>
        <v/>
      </c>
      <c r="T2584" s="61" t="str">
        <f t="shared" si="179"/>
        <v/>
      </c>
      <c r="U2584" s="61" t="str">
        <f t="shared" si="182"/>
        <v/>
      </c>
      <c r="V2584" s="61"/>
      <c r="W2584" s="61"/>
      <c r="Y2584" s="61"/>
      <c r="Z2584" s="61"/>
      <c r="AA2584" s="61"/>
      <c r="AB2584" s="61"/>
    </row>
    <row r="2585" spans="1:28" s="2" customFormat="1" ht="28.5">
      <c r="A2585" s="61" t="s">
        <v>779</v>
      </c>
      <c r="B2585" s="61" t="s">
        <v>1485</v>
      </c>
      <c r="C2585" s="61" t="s">
        <v>6039</v>
      </c>
      <c r="D2585" s="61" t="s">
        <v>159</v>
      </c>
      <c r="E2585" s="61">
        <v>2593</v>
      </c>
      <c r="F2585" s="61">
        <v>2565</v>
      </c>
      <c r="G2585" s="61">
        <v>2025</v>
      </c>
      <c r="H2585" s="61" t="s">
        <v>3128</v>
      </c>
      <c r="I2585" s="61" t="s">
        <v>5783</v>
      </c>
      <c r="J2585" s="61"/>
      <c r="K2585" s="61" t="s">
        <v>28</v>
      </c>
      <c r="L2585" s="61" t="s">
        <v>9215</v>
      </c>
      <c r="M2585" s="475">
        <v>45940</v>
      </c>
      <c r="N2585" s="475">
        <v>45943</v>
      </c>
      <c r="O2585" s="61"/>
      <c r="P2585" s="475">
        <v>45944</v>
      </c>
      <c r="Q2585" s="475">
        <v>45944</v>
      </c>
      <c r="R2585" s="61">
        <f t="shared" si="180"/>
        <v>1</v>
      </c>
      <c r="S2585" s="61" t="str">
        <f t="shared" si="181"/>
        <v/>
      </c>
      <c r="T2585" s="61">
        <f t="shared" si="179"/>
        <v>1</v>
      </c>
      <c r="U2585" s="61">
        <f t="shared" si="182"/>
        <v>1</v>
      </c>
      <c r="V2585" s="61" t="s">
        <v>150</v>
      </c>
      <c r="W2585" s="61" t="s">
        <v>1078</v>
      </c>
      <c r="X2585" s="61" t="s">
        <v>50</v>
      </c>
      <c r="Y2585" s="61" t="s">
        <v>69</v>
      </c>
      <c r="Z2585" s="61" t="s">
        <v>69</v>
      </c>
      <c r="AA2585" s="61" t="s">
        <v>9216</v>
      </c>
      <c r="AB2585" s="61" t="s">
        <v>9217</v>
      </c>
    </row>
    <row r="2586" spans="1:28" s="2" customFormat="1" ht="15">
      <c r="A2586" s="61" t="s">
        <v>779</v>
      </c>
      <c r="B2586" s="61" t="s">
        <v>1485</v>
      </c>
      <c r="C2586" s="61" t="s">
        <v>6041</v>
      </c>
      <c r="D2586" s="61" t="s">
        <v>159</v>
      </c>
      <c r="E2586" s="61">
        <v>848</v>
      </c>
      <c r="F2586" s="61">
        <v>817</v>
      </c>
      <c r="G2586" s="61"/>
      <c r="H2586" s="61"/>
      <c r="I2586" s="61" t="s">
        <v>5783</v>
      </c>
      <c r="J2586" s="61"/>
      <c r="K2586" s="61" t="s">
        <v>328</v>
      </c>
      <c r="L2586" s="61"/>
      <c r="M2586" s="61"/>
      <c r="N2586" s="61"/>
      <c r="O2586" s="61"/>
      <c r="P2586" s="61"/>
      <c r="Q2586" s="61"/>
      <c r="R2586" s="61" t="str">
        <f t="shared" si="180"/>
        <v/>
      </c>
      <c r="S2586" s="61" t="str">
        <f t="shared" si="181"/>
        <v/>
      </c>
      <c r="T2586" s="61" t="str">
        <f t="shared" si="179"/>
        <v/>
      </c>
      <c r="U2586" s="61" t="str">
        <f t="shared" si="182"/>
        <v/>
      </c>
      <c r="V2586" s="61"/>
      <c r="W2586" s="61"/>
      <c r="Y2586" s="61"/>
      <c r="Z2586" s="61"/>
      <c r="AA2586" s="61"/>
      <c r="AB2586" s="61"/>
    </row>
    <row r="2587" spans="1:28" s="2" customFormat="1" ht="28.5">
      <c r="A2587" s="61" t="s">
        <v>779</v>
      </c>
      <c r="B2587" s="61" t="s">
        <v>1485</v>
      </c>
      <c r="C2587" s="61" t="s">
        <v>6042</v>
      </c>
      <c r="D2587" s="61" t="s">
        <v>159</v>
      </c>
      <c r="E2587" s="61">
        <v>1587</v>
      </c>
      <c r="F2587" s="61">
        <v>1618</v>
      </c>
      <c r="G2587" s="61">
        <v>2025</v>
      </c>
      <c r="H2587" s="61" t="s">
        <v>3128</v>
      </c>
      <c r="I2587" s="61" t="s">
        <v>5783</v>
      </c>
      <c r="J2587" s="61"/>
      <c r="K2587" s="61" t="s">
        <v>28</v>
      </c>
      <c r="L2587" s="61" t="s">
        <v>9215</v>
      </c>
      <c r="M2587" s="475">
        <v>45940</v>
      </c>
      <c r="N2587" s="475">
        <v>45943</v>
      </c>
      <c r="O2587" s="61"/>
      <c r="P2587" s="475">
        <v>45944</v>
      </c>
      <c r="Q2587" s="475">
        <v>45944</v>
      </c>
      <c r="R2587" s="61">
        <f t="shared" si="180"/>
        <v>1</v>
      </c>
      <c r="S2587" s="61" t="str">
        <f t="shared" si="181"/>
        <v/>
      </c>
      <c r="T2587" s="61">
        <f t="shared" ref="T2587:T2650" si="183">IF(
  OR(A2587 = "Nueva_Ecija", A2587 = "Zambales"),
  IF(
    OR(ISBLANK(O2587), ISBLANK(P2587)),
    "",
    MAX(1, IF(
      NETWORKDAYS(O2587, P2587) &lt;= 0,
      1,
      NETWORKDAYS(O2587, P2587) - IF(O2587 = P2587, 0, 1)
    ))
  ),
  IF(
    OR(ISBLANK(N2587), ISBLANK(P2587)),
    "",
    MAX(1, IF(
      NETWORKDAYS(N2587, P2587) &lt;= 0,
      1,
      NETWORKDAYS(N2587, P2587) - IF(N2587 = P2587, 0, 1)
    ))
  )
)</f>
        <v>1</v>
      </c>
      <c r="U2587" s="61">
        <f t="shared" si="182"/>
        <v>1</v>
      </c>
      <c r="V2587" s="61" t="s">
        <v>150</v>
      </c>
      <c r="W2587" s="61" t="s">
        <v>4</v>
      </c>
      <c r="X2587" s="61" t="s">
        <v>50</v>
      </c>
      <c r="Y2587" s="61" t="s">
        <v>69</v>
      </c>
      <c r="Z2587" s="61" t="s">
        <v>69</v>
      </c>
      <c r="AA2587" s="61" t="s">
        <v>9216</v>
      </c>
      <c r="AB2587" s="61" t="s">
        <v>9217</v>
      </c>
    </row>
    <row r="2588" spans="1:28" s="2" customFormat="1" ht="28.5">
      <c r="A2588" s="61" t="s">
        <v>779</v>
      </c>
      <c r="B2588" s="61" t="s">
        <v>1485</v>
      </c>
      <c r="C2588" s="61" t="s">
        <v>7469</v>
      </c>
      <c r="D2588" s="61" t="s">
        <v>159</v>
      </c>
      <c r="E2588" s="61"/>
      <c r="F2588" s="61"/>
      <c r="G2588" s="61">
        <v>2025</v>
      </c>
      <c r="H2588" s="61" t="s">
        <v>3128</v>
      </c>
      <c r="I2588" s="61" t="s">
        <v>5783</v>
      </c>
      <c r="J2588" s="61"/>
      <c r="K2588" s="61" t="s">
        <v>28</v>
      </c>
      <c r="L2588" s="61" t="s">
        <v>9215</v>
      </c>
      <c r="M2588" s="475">
        <v>45940</v>
      </c>
      <c r="N2588" s="475">
        <v>45943</v>
      </c>
      <c r="O2588" s="61"/>
      <c r="P2588" s="475">
        <v>45944</v>
      </c>
      <c r="Q2588" s="475">
        <v>45944</v>
      </c>
      <c r="R2588" s="61">
        <f t="shared" si="180"/>
        <v>1</v>
      </c>
      <c r="S2588" s="61" t="str">
        <f t="shared" si="181"/>
        <v/>
      </c>
      <c r="T2588" s="61">
        <f t="shared" si="183"/>
        <v>1</v>
      </c>
      <c r="U2588" s="61">
        <f t="shared" si="182"/>
        <v>1</v>
      </c>
      <c r="V2588" s="61" t="s">
        <v>150</v>
      </c>
      <c r="W2588" s="61" t="s">
        <v>4</v>
      </c>
      <c r="X2588" s="61" t="s">
        <v>50</v>
      </c>
      <c r="Y2588" s="61" t="s">
        <v>69</v>
      </c>
      <c r="Z2588" s="61" t="s">
        <v>69</v>
      </c>
      <c r="AA2588" s="61" t="s">
        <v>9216</v>
      </c>
      <c r="AB2588" s="61" t="s">
        <v>9217</v>
      </c>
    </row>
    <row r="2589" spans="1:28" s="2" customFormat="1" ht="15">
      <c r="A2589" s="61" t="s">
        <v>779</v>
      </c>
      <c r="B2589" s="61" t="s">
        <v>1485</v>
      </c>
      <c r="C2589" s="61" t="s">
        <v>6044</v>
      </c>
      <c r="D2589" s="61" t="s">
        <v>159</v>
      </c>
      <c r="E2589" s="61">
        <v>1525</v>
      </c>
      <c r="F2589" s="61">
        <v>1570</v>
      </c>
      <c r="G2589" s="61"/>
      <c r="H2589" s="61"/>
      <c r="I2589" s="61" t="s">
        <v>5783</v>
      </c>
      <c r="J2589" s="61"/>
      <c r="K2589" s="61" t="s">
        <v>328</v>
      </c>
      <c r="L2589" s="61"/>
      <c r="M2589" s="61"/>
      <c r="N2589" s="61"/>
      <c r="O2589" s="61"/>
      <c r="P2589" s="61"/>
      <c r="Q2589" s="61"/>
      <c r="R2589" s="61" t="str">
        <f t="shared" si="180"/>
        <v/>
      </c>
      <c r="S2589" s="61" t="str">
        <f t="shared" si="181"/>
        <v/>
      </c>
      <c r="T2589" s="61" t="str">
        <f t="shared" si="183"/>
        <v/>
      </c>
      <c r="U2589" s="61" t="str">
        <f t="shared" si="182"/>
        <v/>
      </c>
      <c r="V2589" s="61"/>
      <c r="W2589" s="61"/>
      <c r="Y2589" s="61"/>
      <c r="Z2589" s="61"/>
      <c r="AA2589" s="61"/>
      <c r="AB2589" s="61"/>
    </row>
    <row r="2590" spans="1:28" s="2" customFormat="1" ht="28.5">
      <c r="A2590" s="61" t="s">
        <v>779</v>
      </c>
      <c r="B2590" s="61" t="s">
        <v>1485</v>
      </c>
      <c r="C2590" s="61" t="s">
        <v>6045</v>
      </c>
      <c r="D2590" s="61" t="s">
        <v>159</v>
      </c>
      <c r="E2590" s="61">
        <v>1889</v>
      </c>
      <c r="F2590" s="61">
        <v>1831</v>
      </c>
      <c r="G2590" s="61">
        <v>2025</v>
      </c>
      <c r="H2590" s="61" t="s">
        <v>3128</v>
      </c>
      <c r="I2590" s="61" t="s">
        <v>5783</v>
      </c>
      <c r="J2590" s="61"/>
      <c r="K2590" s="61" t="s">
        <v>28</v>
      </c>
      <c r="L2590" s="61" t="s">
        <v>9215</v>
      </c>
      <c r="M2590" s="475">
        <v>45940</v>
      </c>
      <c r="N2590" s="475">
        <v>45943</v>
      </c>
      <c r="O2590" s="61"/>
      <c r="P2590" s="475">
        <v>45944</v>
      </c>
      <c r="Q2590" s="475">
        <v>45944</v>
      </c>
      <c r="R2590" s="61">
        <f t="shared" si="180"/>
        <v>1</v>
      </c>
      <c r="S2590" s="61" t="str">
        <f t="shared" si="181"/>
        <v/>
      </c>
      <c r="T2590" s="61">
        <f t="shared" si="183"/>
        <v>1</v>
      </c>
      <c r="U2590" s="61">
        <f t="shared" si="182"/>
        <v>1</v>
      </c>
      <c r="V2590" s="61" t="s">
        <v>150</v>
      </c>
      <c r="W2590" s="61" t="s">
        <v>1078</v>
      </c>
      <c r="X2590" s="61" t="s">
        <v>50</v>
      </c>
      <c r="Y2590" s="61" t="s">
        <v>69</v>
      </c>
      <c r="Z2590" s="61" t="s">
        <v>69</v>
      </c>
      <c r="AA2590" s="61" t="s">
        <v>9216</v>
      </c>
      <c r="AB2590" s="61" t="s">
        <v>9217</v>
      </c>
    </row>
    <row r="2591" spans="1:28" s="2" customFormat="1" ht="28.5">
      <c r="A2591" s="61" t="s">
        <v>779</v>
      </c>
      <c r="B2591" s="61" t="s">
        <v>1485</v>
      </c>
      <c r="C2591" s="61" t="s">
        <v>6047</v>
      </c>
      <c r="D2591" s="61" t="s">
        <v>159</v>
      </c>
      <c r="E2591" s="61">
        <v>1954</v>
      </c>
      <c r="F2591" s="61">
        <v>2008</v>
      </c>
      <c r="G2591" s="61">
        <v>2025</v>
      </c>
      <c r="H2591" s="61" t="s">
        <v>3128</v>
      </c>
      <c r="I2591" s="61" t="s">
        <v>5783</v>
      </c>
      <c r="J2591" s="61"/>
      <c r="K2591" s="61" t="s">
        <v>28</v>
      </c>
      <c r="L2591" s="61" t="s">
        <v>9215</v>
      </c>
      <c r="M2591" s="475">
        <v>45940</v>
      </c>
      <c r="N2591" s="475">
        <v>45943</v>
      </c>
      <c r="O2591" s="61"/>
      <c r="P2591" s="475">
        <v>45944</v>
      </c>
      <c r="Q2591" s="475">
        <v>45944</v>
      </c>
      <c r="R2591" s="61">
        <f t="shared" si="180"/>
        <v>1</v>
      </c>
      <c r="S2591" s="61" t="str">
        <f t="shared" si="181"/>
        <v/>
      </c>
      <c r="T2591" s="61">
        <f t="shared" si="183"/>
        <v>1</v>
      </c>
      <c r="U2591" s="61">
        <f t="shared" si="182"/>
        <v>1</v>
      </c>
      <c r="V2591" s="61" t="s">
        <v>150</v>
      </c>
      <c r="W2591" s="61" t="s">
        <v>1078</v>
      </c>
      <c r="X2591" s="61" t="s">
        <v>50</v>
      </c>
      <c r="Y2591" s="61" t="s">
        <v>69</v>
      </c>
      <c r="Z2591" s="61" t="s">
        <v>69</v>
      </c>
      <c r="AA2591" s="61" t="s">
        <v>9216</v>
      </c>
      <c r="AB2591" s="61" t="s">
        <v>9217</v>
      </c>
    </row>
    <row r="2592" spans="1:28" s="2" customFormat="1" ht="15">
      <c r="A2592" s="61" t="s">
        <v>779</v>
      </c>
      <c r="B2592" s="61" t="s">
        <v>1485</v>
      </c>
      <c r="C2592" s="61" t="s">
        <v>6051</v>
      </c>
      <c r="D2592" s="61" t="s">
        <v>159</v>
      </c>
      <c r="E2592" s="61">
        <v>1394</v>
      </c>
      <c r="F2592" s="61">
        <v>1254</v>
      </c>
      <c r="G2592" s="61"/>
      <c r="H2592" s="61"/>
      <c r="I2592" s="61" t="s">
        <v>5783</v>
      </c>
      <c r="J2592" s="61"/>
      <c r="K2592" s="61" t="s">
        <v>328</v>
      </c>
      <c r="L2592" s="61"/>
      <c r="M2592" s="61"/>
      <c r="N2592" s="61"/>
      <c r="O2592" s="61"/>
      <c r="P2592" s="61"/>
      <c r="Q2592" s="61"/>
      <c r="R2592" s="61" t="str">
        <f t="shared" si="180"/>
        <v/>
      </c>
      <c r="S2592" s="61" t="str">
        <f t="shared" si="181"/>
        <v/>
      </c>
      <c r="T2592" s="61" t="str">
        <f t="shared" si="183"/>
        <v/>
      </c>
      <c r="U2592" s="61" t="str">
        <f t="shared" si="182"/>
        <v/>
      </c>
      <c r="V2592" s="61"/>
      <c r="W2592" s="61"/>
      <c r="X2592" s="61"/>
      <c r="Y2592" s="61"/>
      <c r="Z2592" s="61"/>
      <c r="AA2592" s="61"/>
      <c r="AB2592" s="61"/>
    </row>
    <row r="2593" spans="1:28" s="2" customFormat="1" ht="15">
      <c r="A2593" s="61" t="s">
        <v>779</v>
      </c>
      <c r="B2593" s="61" t="s">
        <v>1485</v>
      </c>
      <c r="C2593" s="61" t="s">
        <v>5756</v>
      </c>
      <c r="D2593" s="61" t="s">
        <v>159</v>
      </c>
      <c r="E2593" s="61">
        <v>1726</v>
      </c>
      <c r="F2593" s="61">
        <v>1743</v>
      </c>
      <c r="G2593" s="61"/>
      <c r="H2593" s="61"/>
      <c r="I2593" s="61" t="s">
        <v>5783</v>
      </c>
      <c r="J2593" s="61"/>
      <c r="K2593" s="61" t="s">
        <v>328</v>
      </c>
      <c r="L2593" s="61"/>
      <c r="M2593" s="61"/>
      <c r="N2593" s="61"/>
      <c r="O2593" s="61"/>
      <c r="P2593" s="61"/>
      <c r="Q2593" s="61"/>
      <c r="R2593" s="61" t="str">
        <f t="shared" si="180"/>
        <v/>
      </c>
      <c r="S2593" s="61" t="str">
        <f t="shared" si="181"/>
        <v/>
      </c>
      <c r="T2593" s="61" t="str">
        <f t="shared" si="183"/>
        <v/>
      </c>
      <c r="U2593" s="61" t="str">
        <f t="shared" si="182"/>
        <v/>
      </c>
      <c r="V2593" s="61"/>
      <c r="W2593" s="61"/>
      <c r="X2593" s="61"/>
      <c r="Y2593" s="61"/>
      <c r="Z2593" s="61"/>
      <c r="AA2593" s="61"/>
      <c r="AB2593" s="61"/>
    </row>
    <row r="2594" spans="1:28" s="2" customFormat="1" ht="15">
      <c r="A2594" s="61" t="s">
        <v>779</v>
      </c>
      <c r="B2594" s="61" t="s">
        <v>1485</v>
      </c>
      <c r="C2594" s="61" t="s">
        <v>6052</v>
      </c>
      <c r="D2594" s="61" t="s">
        <v>159</v>
      </c>
      <c r="E2594" s="61">
        <v>727</v>
      </c>
      <c r="F2594" s="61">
        <v>723</v>
      </c>
      <c r="G2594" s="61"/>
      <c r="H2594" s="61"/>
      <c r="I2594" s="61" t="s">
        <v>5783</v>
      </c>
      <c r="J2594" s="61"/>
      <c r="K2594" s="61" t="s">
        <v>328</v>
      </c>
      <c r="L2594" s="61"/>
      <c r="M2594" s="61"/>
      <c r="N2594" s="61"/>
      <c r="O2594" s="61"/>
      <c r="P2594" s="61"/>
      <c r="Q2594" s="61"/>
      <c r="R2594" s="61" t="str">
        <f t="shared" si="180"/>
        <v/>
      </c>
      <c r="S2594" s="61" t="str">
        <f t="shared" si="181"/>
        <v/>
      </c>
      <c r="T2594" s="61" t="str">
        <f t="shared" si="183"/>
        <v/>
      </c>
      <c r="U2594" s="61" t="str">
        <f t="shared" si="182"/>
        <v/>
      </c>
      <c r="V2594" s="61"/>
      <c r="W2594" s="61"/>
      <c r="X2594" s="61"/>
      <c r="Y2594" s="61"/>
      <c r="Z2594" s="61"/>
      <c r="AA2594" s="61"/>
      <c r="AB2594" s="61"/>
    </row>
    <row r="2595" spans="1:28" s="2" customFormat="1" ht="15">
      <c r="A2595" s="61" t="s">
        <v>779</v>
      </c>
      <c r="B2595" s="61" t="s">
        <v>1485</v>
      </c>
      <c r="C2595" s="61" t="s">
        <v>7471</v>
      </c>
      <c r="D2595" s="61" t="s">
        <v>159</v>
      </c>
      <c r="E2595" s="61">
        <v>1332</v>
      </c>
      <c r="F2595" s="61">
        <v>1457</v>
      </c>
      <c r="G2595" s="61"/>
      <c r="H2595" s="61"/>
      <c r="I2595" s="61" t="s">
        <v>5783</v>
      </c>
      <c r="J2595" s="61"/>
      <c r="K2595" s="61" t="s">
        <v>328</v>
      </c>
      <c r="L2595" s="61"/>
      <c r="M2595" s="61"/>
      <c r="N2595" s="61"/>
      <c r="O2595" s="61"/>
      <c r="P2595" s="61"/>
      <c r="Q2595" s="61"/>
      <c r="R2595" s="61" t="str">
        <f t="shared" si="180"/>
        <v/>
      </c>
      <c r="S2595" s="61" t="str">
        <f t="shared" si="181"/>
        <v/>
      </c>
      <c r="T2595" s="61" t="str">
        <f t="shared" si="183"/>
        <v/>
      </c>
      <c r="U2595" s="61" t="str">
        <f t="shared" si="182"/>
        <v/>
      </c>
      <c r="V2595" s="61"/>
      <c r="W2595" s="61"/>
      <c r="X2595" s="61"/>
      <c r="Y2595" s="61"/>
      <c r="Z2595" s="61"/>
      <c r="AA2595" s="61"/>
      <c r="AB2595" s="61"/>
    </row>
    <row r="2596" spans="1:28" s="2" customFormat="1" ht="28.5">
      <c r="A2596" s="61" t="s">
        <v>779</v>
      </c>
      <c r="B2596" s="61" t="s">
        <v>1489</v>
      </c>
      <c r="C2596" s="61" t="s">
        <v>6061</v>
      </c>
      <c r="D2596" s="61" t="s">
        <v>159</v>
      </c>
      <c r="E2596" s="61">
        <v>1548</v>
      </c>
      <c r="F2596" s="61">
        <v>1672</v>
      </c>
      <c r="G2596" s="61">
        <v>2025</v>
      </c>
      <c r="H2596" s="61" t="s">
        <v>3127</v>
      </c>
      <c r="I2596" s="61" t="s">
        <v>37</v>
      </c>
      <c r="J2596" s="61"/>
      <c r="K2596" s="61" t="s">
        <v>328</v>
      </c>
      <c r="L2596" s="61" t="s">
        <v>9218</v>
      </c>
      <c r="M2596" s="475">
        <v>45917</v>
      </c>
      <c r="N2596" s="475">
        <v>45918</v>
      </c>
      <c r="O2596" s="61"/>
      <c r="P2596" s="475">
        <v>45918</v>
      </c>
      <c r="Q2596" s="475">
        <v>45919</v>
      </c>
      <c r="R2596" s="61">
        <f t="shared" si="180"/>
        <v>1</v>
      </c>
      <c r="S2596" s="61" t="str">
        <f t="shared" si="181"/>
        <v/>
      </c>
      <c r="T2596" s="61">
        <f t="shared" si="183"/>
        <v>1</v>
      </c>
      <c r="U2596" s="61">
        <f t="shared" si="182"/>
        <v>1</v>
      </c>
      <c r="V2596" s="61" t="s">
        <v>150</v>
      </c>
      <c r="W2596" s="61" t="s">
        <v>1078</v>
      </c>
      <c r="X2596" s="61" t="s">
        <v>50</v>
      </c>
      <c r="Y2596" s="61">
        <v>15.71063</v>
      </c>
      <c r="Z2596" s="61">
        <v>120.53397</v>
      </c>
      <c r="AA2596" s="61" t="s">
        <v>8492</v>
      </c>
      <c r="AB2596" s="61"/>
    </row>
    <row r="2597" spans="1:28" s="2" customFormat="1" ht="28.5">
      <c r="A2597" s="61" t="s">
        <v>779</v>
      </c>
      <c r="B2597" s="61" t="s">
        <v>1489</v>
      </c>
      <c r="C2597" s="61" t="s">
        <v>6070</v>
      </c>
      <c r="D2597" s="61" t="s">
        <v>159</v>
      </c>
      <c r="E2597" s="61">
        <v>1181</v>
      </c>
      <c r="F2597" s="61">
        <v>1295</v>
      </c>
      <c r="G2597" s="61">
        <v>2025</v>
      </c>
      <c r="H2597" s="61" t="s">
        <v>3127</v>
      </c>
      <c r="I2597" s="61" t="s">
        <v>37</v>
      </c>
      <c r="J2597" s="61"/>
      <c r="K2597" s="61" t="s">
        <v>328</v>
      </c>
      <c r="L2597" s="61" t="s">
        <v>9218</v>
      </c>
      <c r="M2597" s="475">
        <v>45917</v>
      </c>
      <c r="N2597" s="475">
        <v>45918</v>
      </c>
      <c r="O2597" s="61"/>
      <c r="P2597" s="475">
        <v>45918</v>
      </c>
      <c r="Q2597" s="475">
        <v>45919</v>
      </c>
      <c r="R2597" s="61">
        <f t="shared" si="180"/>
        <v>1</v>
      </c>
      <c r="S2597" s="61" t="str">
        <f t="shared" si="181"/>
        <v/>
      </c>
      <c r="T2597" s="61">
        <f t="shared" si="183"/>
        <v>1</v>
      </c>
      <c r="U2597" s="61">
        <f t="shared" si="182"/>
        <v>1</v>
      </c>
      <c r="V2597" s="61" t="s">
        <v>150</v>
      </c>
      <c r="W2597" s="61" t="s">
        <v>1078</v>
      </c>
      <c r="X2597" s="61" t="s">
        <v>50</v>
      </c>
      <c r="Y2597" s="61">
        <v>15.7325</v>
      </c>
      <c r="Z2597" s="560">
        <v>120.58425</v>
      </c>
      <c r="AA2597" s="61" t="s">
        <v>8492</v>
      </c>
      <c r="AB2597" s="61"/>
    </row>
    <row r="2598" spans="1:28" s="2" customFormat="1" ht="28.5">
      <c r="A2598" s="61" t="s">
        <v>779</v>
      </c>
      <c r="B2598" s="61" t="s">
        <v>1489</v>
      </c>
      <c r="C2598" s="61" t="s">
        <v>6095</v>
      </c>
      <c r="D2598" s="61" t="s">
        <v>159</v>
      </c>
      <c r="E2598" s="61">
        <v>2233</v>
      </c>
      <c r="F2598" s="61">
        <v>2680</v>
      </c>
      <c r="G2598" s="61">
        <v>2025</v>
      </c>
      <c r="H2598" s="61" t="s">
        <v>3127</v>
      </c>
      <c r="I2598" s="61" t="s">
        <v>37</v>
      </c>
      <c r="J2598" s="61"/>
      <c r="K2598" s="61" t="s">
        <v>328</v>
      </c>
      <c r="L2598" s="61" t="s">
        <v>9218</v>
      </c>
      <c r="M2598" s="475">
        <v>45917</v>
      </c>
      <c r="N2598" s="475">
        <v>45918</v>
      </c>
      <c r="O2598" s="61"/>
      <c r="P2598" s="475">
        <v>45918</v>
      </c>
      <c r="Q2598" s="475">
        <v>45919</v>
      </c>
      <c r="R2598" s="61">
        <f t="shared" si="180"/>
        <v>1</v>
      </c>
      <c r="S2598" s="61" t="str">
        <f t="shared" si="181"/>
        <v/>
      </c>
      <c r="T2598" s="61">
        <f t="shared" si="183"/>
        <v>1</v>
      </c>
      <c r="U2598" s="61">
        <f t="shared" si="182"/>
        <v>1</v>
      </c>
      <c r="V2598" s="61" t="s">
        <v>150</v>
      </c>
      <c r="W2598" s="61" t="s">
        <v>1078</v>
      </c>
      <c r="X2598" s="61" t="s">
        <v>50</v>
      </c>
      <c r="Y2598" s="61">
        <v>15.76033</v>
      </c>
      <c r="Z2598" s="61">
        <v>120.57098000000001</v>
      </c>
      <c r="AA2598" s="61" t="s">
        <v>8492</v>
      </c>
      <c r="AB2598" s="61"/>
    </row>
    <row r="2599" spans="1:28" s="2" customFormat="1" ht="28.5">
      <c r="A2599" s="61" t="s">
        <v>779</v>
      </c>
      <c r="B2599" s="61" t="s">
        <v>1489</v>
      </c>
      <c r="C2599" s="61" t="s">
        <v>6059</v>
      </c>
      <c r="D2599" s="61" t="s">
        <v>159</v>
      </c>
      <c r="E2599" s="61">
        <v>1312</v>
      </c>
      <c r="F2599" s="61">
        <v>1222</v>
      </c>
      <c r="G2599" s="61">
        <v>2025</v>
      </c>
      <c r="H2599" s="61" t="s">
        <v>3127</v>
      </c>
      <c r="I2599" s="61" t="s">
        <v>37</v>
      </c>
      <c r="J2599" s="61"/>
      <c r="K2599" s="61" t="s">
        <v>328</v>
      </c>
      <c r="L2599" s="61" t="s">
        <v>9218</v>
      </c>
      <c r="M2599" s="475">
        <v>45917</v>
      </c>
      <c r="N2599" s="475">
        <v>45918</v>
      </c>
      <c r="O2599" s="61"/>
      <c r="P2599" s="475">
        <v>45918</v>
      </c>
      <c r="Q2599" s="475">
        <v>45919</v>
      </c>
      <c r="R2599" s="61">
        <f t="shared" si="180"/>
        <v>1</v>
      </c>
      <c r="S2599" s="61" t="str">
        <f t="shared" si="181"/>
        <v/>
      </c>
      <c r="T2599" s="61">
        <f t="shared" si="183"/>
        <v>1</v>
      </c>
      <c r="U2599" s="61">
        <f t="shared" si="182"/>
        <v>1</v>
      </c>
      <c r="V2599" s="61" t="s">
        <v>150</v>
      </c>
      <c r="W2599" s="61" t="s">
        <v>1078</v>
      </c>
      <c r="X2599" s="61" t="s">
        <v>50</v>
      </c>
      <c r="Y2599" s="61" t="s">
        <v>69</v>
      </c>
      <c r="Z2599" s="61" t="s">
        <v>69</v>
      </c>
      <c r="AA2599" s="61" t="s">
        <v>8492</v>
      </c>
      <c r="AB2599" s="61"/>
    </row>
    <row r="2600" spans="1:28" s="2" customFormat="1" ht="28.5">
      <c r="A2600" s="61" t="s">
        <v>779</v>
      </c>
      <c r="B2600" s="61" t="s">
        <v>1489</v>
      </c>
      <c r="C2600" s="61" t="s">
        <v>3974</v>
      </c>
      <c r="D2600" s="61" t="s">
        <v>159</v>
      </c>
      <c r="E2600" s="61">
        <v>1176</v>
      </c>
      <c r="F2600" s="61">
        <v>1254</v>
      </c>
      <c r="G2600" s="61">
        <v>2025</v>
      </c>
      <c r="H2600" s="61" t="s">
        <v>3127</v>
      </c>
      <c r="I2600" s="61" t="s">
        <v>37</v>
      </c>
      <c r="J2600" s="61"/>
      <c r="K2600" s="61" t="s">
        <v>328</v>
      </c>
      <c r="L2600" s="61" t="s">
        <v>9218</v>
      </c>
      <c r="M2600" s="475">
        <v>45917</v>
      </c>
      <c r="N2600" s="475">
        <v>45918</v>
      </c>
      <c r="O2600" s="61"/>
      <c r="P2600" s="475">
        <v>45918</v>
      </c>
      <c r="Q2600" s="475">
        <v>45919</v>
      </c>
      <c r="R2600" s="61">
        <f t="shared" si="180"/>
        <v>1</v>
      </c>
      <c r="S2600" s="61" t="str">
        <f t="shared" si="181"/>
        <v/>
      </c>
      <c r="T2600" s="61">
        <f t="shared" si="183"/>
        <v>1</v>
      </c>
      <c r="U2600" s="61">
        <f t="shared" si="182"/>
        <v>1</v>
      </c>
      <c r="V2600" s="61" t="s">
        <v>150</v>
      </c>
      <c r="W2600" s="61" t="s">
        <v>3527</v>
      </c>
      <c r="X2600" s="61" t="s">
        <v>3528</v>
      </c>
      <c r="Y2600" s="61" t="s">
        <v>69</v>
      </c>
      <c r="Z2600" s="61" t="s">
        <v>69</v>
      </c>
      <c r="AA2600" s="61" t="s">
        <v>8492</v>
      </c>
      <c r="AB2600" s="61"/>
    </row>
    <row r="2601" spans="1:28" s="2" customFormat="1" ht="15">
      <c r="A2601" s="61" t="s">
        <v>779</v>
      </c>
      <c r="B2601" s="61" t="s">
        <v>1489</v>
      </c>
      <c r="C2601" s="61" t="s">
        <v>6056</v>
      </c>
      <c r="D2601" s="61" t="s">
        <v>159</v>
      </c>
      <c r="E2601" s="61">
        <v>1816</v>
      </c>
      <c r="F2601" s="61">
        <v>1768</v>
      </c>
      <c r="G2601" s="61">
        <v>2025</v>
      </c>
      <c r="H2601" s="61" t="s">
        <v>3458</v>
      </c>
      <c r="I2601" s="61" t="s">
        <v>37</v>
      </c>
      <c r="J2601" s="61"/>
      <c r="K2601" s="61" t="s">
        <v>328</v>
      </c>
      <c r="L2601" s="61" t="s">
        <v>9219</v>
      </c>
      <c r="M2601" s="475">
        <v>45695</v>
      </c>
      <c r="N2601" s="475">
        <v>45698</v>
      </c>
      <c r="O2601" s="475"/>
      <c r="P2601" s="475">
        <v>45700</v>
      </c>
      <c r="Q2601" s="475">
        <v>45701</v>
      </c>
      <c r="R2601" s="61">
        <f t="shared" si="180"/>
        <v>1</v>
      </c>
      <c r="S2601" s="61" t="str">
        <f t="shared" si="181"/>
        <v/>
      </c>
      <c r="T2601" s="61">
        <f t="shared" si="183"/>
        <v>2</v>
      </c>
      <c r="U2601" s="61">
        <f t="shared" si="182"/>
        <v>1</v>
      </c>
      <c r="V2601" s="61" t="s">
        <v>150</v>
      </c>
      <c r="W2601" s="61" t="s">
        <v>4</v>
      </c>
      <c r="X2601" s="61" t="s">
        <v>50</v>
      </c>
      <c r="Y2601" s="61"/>
      <c r="Z2601" s="61"/>
      <c r="AA2601" s="61" t="s">
        <v>8361</v>
      </c>
      <c r="AB2601" s="61"/>
    </row>
    <row r="2602" spans="1:28" s="2" customFormat="1" ht="28.5">
      <c r="A2602" s="61" t="s">
        <v>779</v>
      </c>
      <c r="B2602" s="61" t="s">
        <v>1489</v>
      </c>
      <c r="C2602" s="61" t="s">
        <v>6078</v>
      </c>
      <c r="D2602" s="61" t="s">
        <v>159</v>
      </c>
      <c r="E2602" s="61">
        <v>1530</v>
      </c>
      <c r="F2602" s="61">
        <v>1627</v>
      </c>
      <c r="G2602" s="61">
        <v>2025</v>
      </c>
      <c r="H2602" s="61" t="s">
        <v>3125</v>
      </c>
      <c r="I2602" s="61" t="s">
        <v>37</v>
      </c>
      <c r="J2602" s="61"/>
      <c r="K2602" s="61" t="s">
        <v>328</v>
      </c>
      <c r="L2602" s="61" t="s">
        <v>9220</v>
      </c>
      <c r="M2602" s="475">
        <v>45854</v>
      </c>
      <c r="N2602" s="475">
        <v>45855</v>
      </c>
      <c r="O2602" s="61"/>
      <c r="P2602" s="475">
        <v>45856</v>
      </c>
      <c r="Q2602" s="475">
        <v>45856</v>
      </c>
      <c r="R2602" s="61">
        <f t="shared" si="180"/>
        <v>1</v>
      </c>
      <c r="S2602" s="61" t="str">
        <f t="shared" si="181"/>
        <v/>
      </c>
      <c r="T2602" s="61">
        <f t="shared" si="183"/>
        <v>1</v>
      </c>
      <c r="U2602" s="61">
        <f t="shared" si="182"/>
        <v>1</v>
      </c>
      <c r="V2602" s="61" t="s">
        <v>150</v>
      </c>
      <c r="W2602" s="61" t="s">
        <v>4</v>
      </c>
      <c r="X2602" s="61" t="s">
        <v>50</v>
      </c>
      <c r="Y2602" s="61">
        <v>15.75874</v>
      </c>
      <c r="Z2602" s="61">
        <v>120.58673</v>
      </c>
      <c r="AA2602" s="61" t="s">
        <v>8492</v>
      </c>
      <c r="AB2602" s="61"/>
    </row>
    <row r="2603" spans="1:28" s="2" customFormat="1" ht="28.5">
      <c r="A2603" s="61" t="s">
        <v>779</v>
      </c>
      <c r="B2603" s="61" t="s">
        <v>1489</v>
      </c>
      <c r="C2603" s="61" t="s">
        <v>6089</v>
      </c>
      <c r="D2603" s="61" t="s">
        <v>159</v>
      </c>
      <c r="E2603" s="61">
        <v>1163</v>
      </c>
      <c r="F2603" s="61">
        <v>1151</v>
      </c>
      <c r="G2603" s="61">
        <v>2025</v>
      </c>
      <c r="H2603" s="61" t="s">
        <v>3126</v>
      </c>
      <c r="I2603" s="61" t="s">
        <v>37</v>
      </c>
      <c r="J2603" s="61"/>
      <c r="K2603" s="61" t="s">
        <v>328</v>
      </c>
      <c r="L2603" s="61" t="s">
        <v>9221</v>
      </c>
      <c r="M2603" s="475">
        <v>45884</v>
      </c>
      <c r="N2603" s="475">
        <v>45887</v>
      </c>
      <c r="O2603" s="61"/>
      <c r="P2603" s="475">
        <v>45887</v>
      </c>
      <c r="Q2603" s="475">
        <v>45888</v>
      </c>
      <c r="R2603" s="61">
        <f t="shared" si="180"/>
        <v>1</v>
      </c>
      <c r="S2603" s="61" t="str">
        <f t="shared" si="181"/>
        <v/>
      </c>
      <c r="T2603" s="61">
        <f t="shared" si="183"/>
        <v>1</v>
      </c>
      <c r="U2603" s="61">
        <f t="shared" si="182"/>
        <v>1</v>
      </c>
      <c r="V2603" s="61" t="s">
        <v>150</v>
      </c>
      <c r="W2603" s="61" t="s">
        <v>4</v>
      </c>
      <c r="X2603" s="61" t="s">
        <v>50</v>
      </c>
      <c r="Y2603" s="61">
        <v>15.643090000000001</v>
      </c>
      <c r="Z2603" s="61">
        <v>120.56055000000001</v>
      </c>
      <c r="AA2603" s="61" t="s">
        <v>8492</v>
      </c>
      <c r="AB2603" s="61"/>
    </row>
    <row r="2604" spans="1:28" s="2" customFormat="1" ht="28.5">
      <c r="A2604" s="61" t="s">
        <v>779</v>
      </c>
      <c r="B2604" s="61" t="s">
        <v>1489</v>
      </c>
      <c r="C2604" s="61" t="s">
        <v>6094</v>
      </c>
      <c r="D2604" s="61" t="s">
        <v>159</v>
      </c>
      <c r="E2604" s="61">
        <v>668</v>
      </c>
      <c r="F2604" s="61">
        <v>861</v>
      </c>
      <c r="G2604" s="61">
        <v>2025</v>
      </c>
      <c r="H2604" s="61" t="s">
        <v>3126</v>
      </c>
      <c r="I2604" s="61" t="s">
        <v>37</v>
      </c>
      <c r="J2604" s="61"/>
      <c r="K2604" s="61" t="s">
        <v>328</v>
      </c>
      <c r="L2604" s="61" t="s">
        <v>9221</v>
      </c>
      <c r="M2604" s="475">
        <v>45884</v>
      </c>
      <c r="N2604" s="475">
        <v>45887</v>
      </c>
      <c r="O2604" s="61"/>
      <c r="P2604" s="475">
        <v>45887</v>
      </c>
      <c r="Q2604" s="475">
        <v>45888</v>
      </c>
      <c r="R2604" s="61">
        <f t="shared" si="180"/>
        <v>1</v>
      </c>
      <c r="S2604" s="61" t="str">
        <f t="shared" si="181"/>
        <v/>
      </c>
      <c r="T2604" s="61">
        <f t="shared" si="183"/>
        <v>1</v>
      </c>
      <c r="U2604" s="61">
        <f t="shared" si="182"/>
        <v>1</v>
      </c>
      <c r="V2604" s="61" t="s">
        <v>150</v>
      </c>
      <c r="W2604" s="61" t="s">
        <v>4</v>
      </c>
      <c r="X2604" s="61" t="s">
        <v>62</v>
      </c>
      <c r="Y2604" s="61">
        <v>15.769450000000001</v>
      </c>
      <c r="Z2604" s="61">
        <v>120.57586999999999</v>
      </c>
      <c r="AA2604" s="61" t="s">
        <v>8492</v>
      </c>
      <c r="AB2604" s="61"/>
    </row>
    <row r="2605" spans="1:28" s="2" customFormat="1" ht="15">
      <c r="A2605" s="61" t="s">
        <v>779</v>
      </c>
      <c r="B2605" s="61" t="s">
        <v>1489</v>
      </c>
      <c r="C2605" s="61" t="s">
        <v>6055</v>
      </c>
      <c r="D2605" s="61" t="s">
        <v>159</v>
      </c>
      <c r="E2605" s="61">
        <v>3720</v>
      </c>
      <c r="F2605" s="61">
        <v>4303</v>
      </c>
      <c r="G2605" s="61">
        <v>2025</v>
      </c>
      <c r="H2605" s="61" t="s">
        <v>3458</v>
      </c>
      <c r="I2605" s="61" t="s">
        <v>37</v>
      </c>
      <c r="J2605" s="61"/>
      <c r="K2605" s="61" t="s">
        <v>328</v>
      </c>
      <c r="L2605" s="61" t="s">
        <v>9222</v>
      </c>
      <c r="M2605" s="475">
        <v>45695</v>
      </c>
      <c r="N2605" s="475">
        <v>45706</v>
      </c>
      <c r="O2605" s="61"/>
      <c r="P2605" s="475">
        <v>45707</v>
      </c>
      <c r="Q2605" s="475">
        <v>45707</v>
      </c>
      <c r="R2605" s="61">
        <f t="shared" si="180"/>
        <v>7</v>
      </c>
      <c r="S2605" s="61" t="str">
        <f t="shared" si="181"/>
        <v/>
      </c>
      <c r="T2605" s="61">
        <f t="shared" si="183"/>
        <v>1</v>
      </c>
      <c r="U2605" s="61">
        <f t="shared" si="182"/>
        <v>1</v>
      </c>
      <c r="V2605" s="61" t="s">
        <v>150</v>
      </c>
      <c r="W2605" s="61" t="s">
        <v>1078</v>
      </c>
      <c r="X2605" s="61" t="s">
        <v>50</v>
      </c>
      <c r="Y2605" s="61"/>
      <c r="Z2605" s="61"/>
      <c r="AA2605" s="61" t="s">
        <v>8361</v>
      </c>
      <c r="AB2605" s="61"/>
    </row>
    <row r="2606" spans="1:28" s="2" customFormat="1" ht="15">
      <c r="A2606" s="61" t="s">
        <v>779</v>
      </c>
      <c r="B2606" s="61" t="s">
        <v>1489</v>
      </c>
      <c r="C2606" s="61" t="s">
        <v>6073</v>
      </c>
      <c r="D2606" s="61" t="s">
        <v>159</v>
      </c>
      <c r="E2606" s="61">
        <v>1716</v>
      </c>
      <c r="F2606" s="61">
        <v>1731</v>
      </c>
      <c r="G2606" s="61">
        <v>2025</v>
      </c>
      <c r="H2606" s="61" t="s">
        <v>3416</v>
      </c>
      <c r="I2606" s="61" t="s">
        <v>37</v>
      </c>
      <c r="J2606" s="61"/>
      <c r="K2606" s="61" t="s">
        <v>328</v>
      </c>
      <c r="L2606" s="61" t="s">
        <v>9223</v>
      </c>
      <c r="M2606" s="475">
        <v>45730</v>
      </c>
      <c r="N2606" s="481">
        <v>45732</v>
      </c>
      <c r="O2606" s="61"/>
      <c r="P2606" s="475">
        <v>45733</v>
      </c>
      <c r="Q2606" s="475">
        <v>45734</v>
      </c>
      <c r="R2606" s="61">
        <f t="shared" si="180"/>
        <v>1</v>
      </c>
      <c r="S2606" s="61" t="str">
        <f t="shared" si="181"/>
        <v/>
      </c>
      <c r="T2606" s="61">
        <f t="shared" si="183"/>
        <v>1</v>
      </c>
      <c r="U2606" s="61">
        <f t="shared" si="182"/>
        <v>1</v>
      </c>
      <c r="V2606" s="61" t="s">
        <v>150</v>
      </c>
      <c r="W2606" s="61" t="s">
        <v>1078</v>
      </c>
      <c r="X2606" s="61" t="s">
        <v>50</v>
      </c>
      <c r="Y2606" s="61">
        <v>15.492599999999999</v>
      </c>
      <c r="Z2606" s="478">
        <v>120.59520000000001</v>
      </c>
      <c r="AA2606" s="61" t="s">
        <v>8361</v>
      </c>
      <c r="AB2606" s="61"/>
    </row>
    <row r="2607" spans="1:28" s="2" customFormat="1" ht="15.75">
      <c r="A2607" s="61" t="s">
        <v>779</v>
      </c>
      <c r="B2607" s="61" t="s">
        <v>1489</v>
      </c>
      <c r="C2607" s="61" t="s">
        <v>6076</v>
      </c>
      <c r="D2607" s="61" t="s">
        <v>159</v>
      </c>
      <c r="E2607" s="61">
        <v>2780</v>
      </c>
      <c r="F2607" s="61">
        <v>3232</v>
      </c>
      <c r="G2607" s="61">
        <v>2025</v>
      </c>
      <c r="H2607" s="61" t="s">
        <v>3416</v>
      </c>
      <c r="I2607" s="61" t="s">
        <v>37</v>
      </c>
      <c r="J2607" s="61"/>
      <c r="K2607" s="61" t="s">
        <v>328</v>
      </c>
      <c r="L2607" s="61" t="s">
        <v>9224</v>
      </c>
      <c r="M2607" s="475">
        <v>45727</v>
      </c>
      <c r="N2607" s="481">
        <v>45732</v>
      </c>
      <c r="O2607" s="61"/>
      <c r="P2607" s="475">
        <v>45733</v>
      </c>
      <c r="Q2607" s="475">
        <v>45734</v>
      </c>
      <c r="R2607" s="61">
        <f t="shared" si="180"/>
        <v>3</v>
      </c>
      <c r="S2607" s="61" t="str">
        <f t="shared" si="181"/>
        <v/>
      </c>
      <c r="T2607" s="61">
        <f t="shared" si="183"/>
        <v>1</v>
      </c>
      <c r="U2607" s="61">
        <f t="shared" si="182"/>
        <v>1</v>
      </c>
      <c r="V2607" s="61" t="s">
        <v>150</v>
      </c>
      <c r="W2607" s="61" t="s">
        <v>1078</v>
      </c>
      <c r="X2607" s="61" t="s">
        <v>50</v>
      </c>
      <c r="Y2607" s="501">
        <v>15.730510000000001</v>
      </c>
      <c r="Z2607" s="637">
        <v>120.566873</v>
      </c>
      <c r="AA2607" s="61" t="s">
        <v>8361</v>
      </c>
      <c r="AB2607" s="61"/>
    </row>
    <row r="2608" spans="1:28" s="2" customFormat="1" ht="15">
      <c r="A2608" s="61" t="s">
        <v>779</v>
      </c>
      <c r="B2608" s="61" t="s">
        <v>1489</v>
      </c>
      <c r="C2608" s="61" t="s">
        <v>6080</v>
      </c>
      <c r="D2608" s="61" t="s">
        <v>159</v>
      </c>
      <c r="E2608" s="61">
        <v>1594</v>
      </c>
      <c r="F2608" s="61">
        <v>1735</v>
      </c>
      <c r="G2608" s="61">
        <v>2025</v>
      </c>
      <c r="H2608" s="61" t="s">
        <v>3532</v>
      </c>
      <c r="I2608" s="61" t="s">
        <v>37</v>
      </c>
      <c r="J2608" s="61"/>
      <c r="K2608" s="61" t="s">
        <v>328</v>
      </c>
      <c r="L2608" s="61" t="s">
        <v>9225</v>
      </c>
      <c r="M2608" s="475">
        <v>45791</v>
      </c>
      <c r="N2608" s="475">
        <v>45794</v>
      </c>
      <c r="O2608" s="61"/>
      <c r="P2608" s="475">
        <v>45796</v>
      </c>
      <c r="Q2608" s="475">
        <v>45796</v>
      </c>
      <c r="R2608" s="61">
        <f t="shared" si="180"/>
        <v>2</v>
      </c>
      <c r="S2608" s="61" t="str">
        <f t="shared" si="181"/>
        <v/>
      </c>
      <c r="T2608" s="61">
        <f t="shared" si="183"/>
        <v>1</v>
      </c>
      <c r="U2608" s="61">
        <f t="shared" si="182"/>
        <v>1</v>
      </c>
      <c r="V2608" s="61" t="s">
        <v>150</v>
      </c>
      <c r="W2608" s="61" t="s">
        <v>1078</v>
      </c>
      <c r="X2608" s="61" t="s">
        <v>50</v>
      </c>
      <c r="Y2608" s="61">
        <v>15.75311</v>
      </c>
      <c r="Z2608" s="61">
        <v>120.58233</v>
      </c>
      <c r="AA2608" s="61" t="s">
        <v>8361</v>
      </c>
      <c r="AB2608" s="61"/>
    </row>
    <row r="2609" spans="1:28" s="2" customFormat="1" ht="15">
      <c r="A2609" s="61" t="s">
        <v>779</v>
      </c>
      <c r="B2609" s="61" t="s">
        <v>1489</v>
      </c>
      <c r="C2609" s="61" t="s">
        <v>5988</v>
      </c>
      <c r="D2609" s="61" t="s">
        <v>159</v>
      </c>
      <c r="E2609" s="61">
        <v>1759</v>
      </c>
      <c r="F2609" s="61">
        <v>1786</v>
      </c>
      <c r="G2609" s="61">
        <v>2025</v>
      </c>
      <c r="H2609" s="61" t="s">
        <v>3416</v>
      </c>
      <c r="I2609" s="61" t="s">
        <v>37</v>
      </c>
      <c r="J2609" s="61"/>
      <c r="K2609" s="61" t="s">
        <v>328</v>
      </c>
      <c r="L2609" s="61" t="s">
        <v>9226</v>
      </c>
      <c r="M2609" s="475">
        <v>45730</v>
      </c>
      <c r="N2609" s="475">
        <v>45732</v>
      </c>
      <c r="O2609" s="61"/>
      <c r="P2609" s="475">
        <v>45733</v>
      </c>
      <c r="Q2609" s="475">
        <v>45734</v>
      </c>
      <c r="R2609" s="61">
        <f t="shared" si="180"/>
        <v>1</v>
      </c>
      <c r="S2609" s="61" t="str">
        <f t="shared" si="181"/>
        <v/>
      </c>
      <c r="T2609" s="61">
        <f t="shared" si="183"/>
        <v>1</v>
      </c>
      <c r="U2609" s="61">
        <f t="shared" si="182"/>
        <v>1</v>
      </c>
      <c r="V2609" s="61" t="s">
        <v>150</v>
      </c>
      <c r="W2609" s="61" t="s">
        <v>1078</v>
      </c>
      <c r="X2609" s="61" t="s">
        <v>50</v>
      </c>
      <c r="Y2609" s="61">
        <v>15.492599999999999</v>
      </c>
      <c r="Z2609" s="61">
        <v>120.59520000000001</v>
      </c>
      <c r="AA2609" s="61" t="s">
        <v>8361</v>
      </c>
      <c r="AB2609" s="61"/>
    </row>
    <row r="2610" spans="1:28" s="2" customFormat="1" ht="28.5">
      <c r="A2610" s="61" t="s">
        <v>779</v>
      </c>
      <c r="B2610" s="61" t="s">
        <v>1489</v>
      </c>
      <c r="C2610" s="61" t="s">
        <v>6086</v>
      </c>
      <c r="D2610" s="61" t="s">
        <v>159</v>
      </c>
      <c r="E2610" s="61">
        <v>2691</v>
      </c>
      <c r="F2610" s="61">
        <v>2975</v>
      </c>
      <c r="G2610" s="61">
        <v>2025</v>
      </c>
      <c r="H2610" s="61" t="s">
        <v>3126</v>
      </c>
      <c r="I2610" s="61" t="s">
        <v>37</v>
      </c>
      <c r="J2610" s="61"/>
      <c r="K2610" s="61" t="s">
        <v>328</v>
      </c>
      <c r="L2610" s="61" t="s">
        <v>9221</v>
      </c>
      <c r="M2610" s="475">
        <v>45884</v>
      </c>
      <c r="N2610" s="475">
        <v>45887</v>
      </c>
      <c r="O2610" s="61"/>
      <c r="P2610" s="475">
        <v>45887</v>
      </c>
      <c r="Q2610" s="475">
        <v>45888</v>
      </c>
      <c r="R2610" s="61">
        <f t="shared" si="180"/>
        <v>1</v>
      </c>
      <c r="S2610" s="61" t="str">
        <f t="shared" si="181"/>
        <v/>
      </c>
      <c r="T2610" s="61">
        <f t="shared" si="183"/>
        <v>1</v>
      </c>
      <c r="U2610" s="61">
        <f t="shared" si="182"/>
        <v>1</v>
      </c>
      <c r="V2610" s="61" t="s">
        <v>150</v>
      </c>
      <c r="W2610" s="61" t="s">
        <v>1078</v>
      </c>
      <c r="X2610" s="61" t="s">
        <v>50</v>
      </c>
      <c r="Y2610" s="61">
        <v>15.69176</v>
      </c>
      <c r="Z2610" s="61">
        <v>120.59999000000001</v>
      </c>
      <c r="AA2610" s="61" t="s">
        <v>8492</v>
      </c>
      <c r="AB2610" s="61"/>
    </row>
    <row r="2611" spans="1:28" s="2" customFormat="1" ht="28.5">
      <c r="A2611" s="61" t="s">
        <v>779</v>
      </c>
      <c r="B2611" s="61" t="s">
        <v>1489</v>
      </c>
      <c r="C2611" s="61" t="s">
        <v>6092</v>
      </c>
      <c r="D2611" s="61" t="s">
        <v>159</v>
      </c>
      <c r="E2611" s="61">
        <v>889</v>
      </c>
      <c r="F2611" s="61">
        <v>945</v>
      </c>
      <c r="G2611" s="61">
        <v>2025</v>
      </c>
      <c r="H2611" s="61" t="s">
        <v>3125</v>
      </c>
      <c r="I2611" s="61" t="s">
        <v>37</v>
      </c>
      <c r="J2611" s="61"/>
      <c r="K2611" s="61" t="s">
        <v>328</v>
      </c>
      <c r="L2611" s="61" t="s">
        <v>9227</v>
      </c>
      <c r="M2611" s="475">
        <v>45854</v>
      </c>
      <c r="N2611" s="475">
        <v>45855</v>
      </c>
      <c r="O2611" s="61"/>
      <c r="P2611" s="475">
        <v>45856</v>
      </c>
      <c r="Q2611" s="475">
        <v>45856</v>
      </c>
      <c r="R2611" s="61">
        <f t="shared" si="180"/>
        <v>1</v>
      </c>
      <c r="S2611" s="61" t="str">
        <f t="shared" si="181"/>
        <v/>
      </c>
      <c r="T2611" s="61">
        <f t="shared" si="183"/>
        <v>1</v>
      </c>
      <c r="U2611" s="61">
        <f t="shared" si="182"/>
        <v>1</v>
      </c>
      <c r="V2611" s="61" t="s">
        <v>150</v>
      </c>
      <c r="W2611" s="61" t="s">
        <v>1078</v>
      </c>
      <c r="X2611" s="61" t="s">
        <v>50</v>
      </c>
      <c r="Y2611" s="61">
        <v>15.74414</v>
      </c>
      <c r="Z2611" s="61">
        <v>15.74414</v>
      </c>
      <c r="AA2611" s="61" t="s">
        <v>8492</v>
      </c>
      <c r="AB2611" s="61"/>
    </row>
    <row r="2612" spans="1:28" s="2" customFormat="1" ht="15">
      <c r="A2612" s="61" t="s">
        <v>779</v>
      </c>
      <c r="B2612" s="61" t="s">
        <v>1489</v>
      </c>
      <c r="C2612" s="61" t="s">
        <v>4969</v>
      </c>
      <c r="D2612" s="61" t="s">
        <v>159</v>
      </c>
      <c r="E2612" s="61">
        <v>2139</v>
      </c>
      <c r="F2612" s="61">
        <v>2401</v>
      </c>
      <c r="G2612" s="61">
        <v>2025</v>
      </c>
      <c r="H2612" s="61" t="s">
        <v>3689</v>
      </c>
      <c r="I2612" s="61" t="s">
        <v>37</v>
      </c>
      <c r="J2612" s="61"/>
      <c r="K2612" s="61" t="s">
        <v>328</v>
      </c>
      <c r="L2612" s="61" t="s">
        <v>9228</v>
      </c>
      <c r="M2612" s="475">
        <v>45791</v>
      </c>
      <c r="N2612" s="475">
        <v>45793</v>
      </c>
      <c r="O2612" s="61"/>
      <c r="P2612" s="475">
        <v>45796</v>
      </c>
      <c r="Q2612" s="475">
        <v>45796</v>
      </c>
      <c r="R2612" s="61">
        <f t="shared" si="180"/>
        <v>2</v>
      </c>
      <c r="S2612" s="61" t="str">
        <f t="shared" si="181"/>
        <v/>
      </c>
      <c r="T2612" s="61">
        <f t="shared" si="183"/>
        <v>1</v>
      </c>
      <c r="U2612" s="61">
        <f t="shared" si="182"/>
        <v>1</v>
      </c>
      <c r="V2612" s="61" t="s">
        <v>150</v>
      </c>
      <c r="W2612" s="61" t="s">
        <v>3527</v>
      </c>
      <c r="X2612" s="61" t="s">
        <v>3528</v>
      </c>
      <c r="Y2612" s="61">
        <v>15.75311</v>
      </c>
      <c r="Z2612" s="61">
        <v>120.58233</v>
      </c>
      <c r="AA2612" s="61" t="s">
        <v>8361</v>
      </c>
      <c r="AB2612" s="61"/>
    </row>
    <row r="2613" spans="1:28" s="2" customFormat="1" ht="15.75">
      <c r="A2613" s="61" t="s">
        <v>779</v>
      </c>
      <c r="B2613" s="61" t="s">
        <v>1489</v>
      </c>
      <c r="C2613" s="61" t="s">
        <v>5989</v>
      </c>
      <c r="D2613" s="61" t="s">
        <v>159</v>
      </c>
      <c r="E2613" s="61">
        <v>938</v>
      </c>
      <c r="F2613" s="61">
        <v>1023</v>
      </c>
      <c r="G2613" s="61">
        <v>2025</v>
      </c>
      <c r="H2613" s="61" t="s">
        <v>3470</v>
      </c>
      <c r="I2613" s="61" t="s">
        <v>37</v>
      </c>
      <c r="J2613" s="61"/>
      <c r="K2613" s="61" t="s">
        <v>328</v>
      </c>
      <c r="L2613" s="61" t="s">
        <v>9229</v>
      </c>
      <c r="M2613" s="475">
        <v>45758</v>
      </c>
      <c r="N2613" s="475">
        <v>45759</v>
      </c>
      <c r="O2613" s="61"/>
      <c r="P2613" s="475">
        <v>45761</v>
      </c>
      <c r="Q2613" s="475">
        <v>45761</v>
      </c>
      <c r="R2613" s="61">
        <f t="shared" si="180"/>
        <v>1</v>
      </c>
      <c r="S2613" s="61" t="str">
        <f t="shared" si="181"/>
        <v/>
      </c>
      <c r="T2613" s="61">
        <f t="shared" si="183"/>
        <v>1</v>
      </c>
      <c r="U2613" s="61">
        <f t="shared" si="182"/>
        <v>1</v>
      </c>
      <c r="V2613" s="61" t="s">
        <v>150</v>
      </c>
      <c r="W2613" s="61" t="s">
        <v>1078</v>
      </c>
      <c r="X2613" s="61" t="s">
        <v>50</v>
      </c>
      <c r="Y2613" s="482">
        <v>15.57159</v>
      </c>
      <c r="Z2613" s="61">
        <v>120.58973</v>
      </c>
      <c r="AA2613" s="61" t="s">
        <v>8361</v>
      </c>
      <c r="AB2613" s="61"/>
    </row>
    <row r="2614" spans="1:28" s="2" customFormat="1" ht="15.75">
      <c r="A2614" s="61" t="s">
        <v>779</v>
      </c>
      <c r="B2614" s="61" t="s">
        <v>1489</v>
      </c>
      <c r="C2614" s="61" t="s">
        <v>6084</v>
      </c>
      <c r="D2614" s="61" t="s">
        <v>159</v>
      </c>
      <c r="E2614" s="61">
        <v>1024</v>
      </c>
      <c r="F2614" s="61">
        <v>1016</v>
      </c>
      <c r="G2614" s="61">
        <v>2025</v>
      </c>
      <c r="H2614" s="61" t="s">
        <v>3470</v>
      </c>
      <c r="I2614" s="61" t="s">
        <v>37</v>
      </c>
      <c r="J2614" s="61"/>
      <c r="K2614" s="61" t="s">
        <v>328</v>
      </c>
      <c r="L2614" s="61" t="s">
        <v>9230</v>
      </c>
      <c r="M2614" s="475">
        <v>45755</v>
      </c>
      <c r="N2614" s="475">
        <v>45759</v>
      </c>
      <c r="O2614" s="61"/>
      <c r="P2614" s="475">
        <v>45761</v>
      </c>
      <c r="Q2614" s="475">
        <v>45761</v>
      </c>
      <c r="R2614" s="61">
        <f t="shared" si="180"/>
        <v>3</v>
      </c>
      <c r="S2614" s="61" t="str">
        <f t="shared" si="181"/>
        <v/>
      </c>
      <c r="T2614" s="61">
        <f t="shared" si="183"/>
        <v>1</v>
      </c>
      <c r="U2614" s="61">
        <f t="shared" si="182"/>
        <v>1</v>
      </c>
      <c r="V2614" s="61" t="s">
        <v>150</v>
      </c>
      <c r="W2614" s="61" t="s">
        <v>3527</v>
      </c>
      <c r="X2614" s="61" t="s">
        <v>3528</v>
      </c>
      <c r="Y2614" s="482">
        <v>15.735010000000001</v>
      </c>
      <c r="Z2614" s="482">
        <v>120.70950000000001</v>
      </c>
      <c r="AA2614" s="61" t="s">
        <v>8361</v>
      </c>
      <c r="AB2614" s="61"/>
    </row>
    <row r="2615" spans="1:28" s="2" customFormat="1" ht="28.5">
      <c r="A2615" s="61" t="s">
        <v>779</v>
      </c>
      <c r="B2615" s="61" t="s">
        <v>1489</v>
      </c>
      <c r="C2615" s="61" t="s">
        <v>4950</v>
      </c>
      <c r="D2615" s="61" t="s">
        <v>159</v>
      </c>
      <c r="E2615" s="61">
        <v>2029</v>
      </c>
      <c r="F2615" s="61">
        <v>2236</v>
      </c>
      <c r="G2615" s="61">
        <v>2025</v>
      </c>
      <c r="H2615" s="61" t="s">
        <v>3126</v>
      </c>
      <c r="I2615" s="61" t="s">
        <v>37</v>
      </c>
      <c r="J2615" s="61"/>
      <c r="K2615" s="61" t="s">
        <v>328</v>
      </c>
      <c r="L2615" s="61" t="s">
        <v>9221</v>
      </c>
      <c r="M2615" s="475">
        <v>45884</v>
      </c>
      <c r="N2615" s="475">
        <v>45887</v>
      </c>
      <c r="O2615" s="61"/>
      <c r="P2615" s="475">
        <v>45887</v>
      </c>
      <c r="Q2615" s="475">
        <v>45888</v>
      </c>
      <c r="R2615" s="61">
        <f t="shared" ref="R2615:R2678" si="184">IF(
    OR(ISBLANK(M2615), ISBLANK(N2615)),
    "",
    MAX(1, IF(
        NETWORKDAYS(M2615, N2615) &lt;= 0,
        1,
        NETWORKDAYS(M2615, N2615) - IF(M2615 = N2615, 0, 1)
    ))
)</f>
        <v>1</v>
      </c>
      <c r="S2615" s="61" t="str">
        <f t="shared" si="181"/>
        <v/>
      </c>
      <c r="T2615" s="61">
        <f t="shared" si="183"/>
        <v>1</v>
      </c>
      <c r="U2615" s="61">
        <f t="shared" si="182"/>
        <v>1</v>
      </c>
      <c r="V2615" s="61" t="s">
        <v>150</v>
      </c>
      <c r="W2615" s="61" t="s">
        <v>3527</v>
      </c>
      <c r="X2615" s="61" t="s">
        <v>3528</v>
      </c>
      <c r="Y2615" s="61">
        <v>15.643090000000001</v>
      </c>
      <c r="Z2615" s="61">
        <v>120.56055000000001</v>
      </c>
      <c r="AA2615" s="61" t="s">
        <v>8492</v>
      </c>
      <c r="AB2615" s="61"/>
    </row>
    <row r="2616" spans="1:28" s="2" customFormat="1" ht="28.5">
      <c r="A2616" s="61" t="s">
        <v>779</v>
      </c>
      <c r="B2616" s="61" t="s">
        <v>1489</v>
      </c>
      <c r="C2616" s="61" t="s">
        <v>6093</v>
      </c>
      <c r="D2616" s="61" t="s">
        <v>159</v>
      </c>
      <c r="E2616" s="61">
        <v>1300</v>
      </c>
      <c r="F2616" s="61">
        <v>1557</v>
      </c>
      <c r="G2616" s="61">
        <v>2025</v>
      </c>
      <c r="H2616" s="61" t="s">
        <v>3125</v>
      </c>
      <c r="I2616" s="61" t="s">
        <v>37</v>
      </c>
      <c r="J2616" s="61"/>
      <c r="K2616" s="61" t="s">
        <v>328</v>
      </c>
      <c r="L2616" s="61" t="s">
        <v>9231</v>
      </c>
      <c r="M2616" s="475">
        <v>45854</v>
      </c>
      <c r="N2616" s="475">
        <v>45855</v>
      </c>
      <c r="O2616" s="61"/>
      <c r="P2616" s="475">
        <v>45856</v>
      </c>
      <c r="Q2616" s="475">
        <v>45856</v>
      </c>
      <c r="R2616" s="61">
        <f t="shared" si="184"/>
        <v>1</v>
      </c>
      <c r="S2616" s="61" t="str">
        <f t="shared" ref="S2616:S2679" si="185">IF(
    OR(ISBLANK(N2616), ISBLANK(O2616)),
    "",
    MAX(1, IF(
        NETWORKDAYS(N2616, O2616) &lt;= 0,
        1,
        NETWORKDAYS(N2616, O2616) - IF(N2616 = O2616, 0, 1)
    ))
)</f>
        <v/>
      </c>
      <c r="T2616" s="61">
        <f t="shared" si="183"/>
        <v>1</v>
      </c>
      <c r="U2616" s="61">
        <f t="shared" si="182"/>
        <v>1</v>
      </c>
      <c r="V2616" s="61" t="s">
        <v>150</v>
      </c>
      <c r="W2616" s="61" t="s">
        <v>3527</v>
      </c>
      <c r="X2616" s="61" t="s">
        <v>3528</v>
      </c>
      <c r="Y2616" s="61"/>
      <c r="Z2616" s="61"/>
      <c r="AA2616" s="61" t="s">
        <v>8492</v>
      </c>
      <c r="AB2616" s="61"/>
    </row>
    <row r="2617" spans="1:28" s="2" customFormat="1" ht="15">
      <c r="A2617" s="61" t="s">
        <v>779</v>
      </c>
      <c r="B2617" s="61" t="s">
        <v>1489</v>
      </c>
      <c r="C2617" s="61" t="s">
        <v>6058</v>
      </c>
      <c r="D2617" s="61" t="s">
        <v>159</v>
      </c>
      <c r="E2617" s="61">
        <v>612</v>
      </c>
      <c r="F2617" s="61">
        <v>761</v>
      </c>
      <c r="G2617" s="61"/>
      <c r="H2617" s="61"/>
      <c r="I2617" s="61" t="s">
        <v>37</v>
      </c>
      <c r="J2617" s="61"/>
      <c r="K2617" s="61" t="s">
        <v>328</v>
      </c>
      <c r="L2617" s="61"/>
      <c r="M2617" s="61"/>
      <c r="N2617" s="61"/>
      <c r="O2617" s="61"/>
      <c r="P2617" s="61"/>
      <c r="Q2617" s="61"/>
      <c r="R2617" s="61" t="str">
        <f t="shared" si="184"/>
        <v/>
      </c>
      <c r="S2617" s="61" t="str">
        <f t="shared" si="185"/>
        <v/>
      </c>
      <c r="T2617" s="61" t="str">
        <f t="shared" si="183"/>
        <v/>
      </c>
      <c r="U2617" s="61" t="str">
        <f t="shared" si="182"/>
        <v/>
      </c>
      <c r="V2617" s="61"/>
      <c r="W2617" s="61"/>
      <c r="X2617" s="61"/>
      <c r="Y2617" s="61"/>
      <c r="Z2617" s="61"/>
      <c r="AA2617" s="61"/>
      <c r="AB2617" s="61"/>
    </row>
    <row r="2618" spans="1:28" s="2" customFormat="1" ht="15">
      <c r="A2618" s="61" t="s">
        <v>779</v>
      </c>
      <c r="B2618" s="61" t="s">
        <v>1489</v>
      </c>
      <c r="C2618" s="61" t="s">
        <v>6063</v>
      </c>
      <c r="D2618" s="61" t="s">
        <v>159</v>
      </c>
      <c r="E2618" s="61">
        <v>1479</v>
      </c>
      <c r="F2618" s="61">
        <v>1675</v>
      </c>
      <c r="G2618" s="61">
        <v>2025</v>
      </c>
      <c r="H2618" s="61" t="s">
        <v>3128</v>
      </c>
      <c r="I2618" s="61" t="s">
        <v>37</v>
      </c>
      <c r="J2618" s="61"/>
      <c r="K2618" s="61" t="s">
        <v>28</v>
      </c>
      <c r="L2618" s="61" t="s">
        <v>9232</v>
      </c>
      <c r="M2618" s="475">
        <v>45939</v>
      </c>
      <c r="N2618" s="475">
        <v>45940</v>
      </c>
      <c r="O2618" s="61"/>
      <c r="P2618" s="475">
        <v>45945</v>
      </c>
      <c r="Q2618" s="475">
        <v>45945</v>
      </c>
      <c r="R2618" s="61">
        <f t="shared" si="184"/>
        <v>1</v>
      </c>
      <c r="S2618" s="61" t="str">
        <f t="shared" si="185"/>
        <v/>
      </c>
      <c r="T2618" s="61">
        <f t="shared" si="183"/>
        <v>3</v>
      </c>
      <c r="U2618" s="61">
        <f t="shared" ref="U2618:U2681" si="186">IF(
    OR(ISBLANK(P2618), ISBLANK(Q2618)),
    "",
    MAX(1, IF(
        NETWORKDAYS(P2618, Q2618) &lt;= 0,
        1,
        NETWORKDAYS(P2618, Q2618) - IF(P2618 = Q2618, 0, 1)
    ))
)</f>
        <v>1</v>
      </c>
      <c r="V2618" s="61" t="s">
        <v>150</v>
      </c>
      <c r="W2618" s="61" t="s">
        <v>1078</v>
      </c>
      <c r="X2618" s="61" t="s">
        <v>50</v>
      </c>
      <c r="Y2618" s="61">
        <v>15.7172</v>
      </c>
      <c r="Z2618" s="61">
        <v>120.55459999999999</v>
      </c>
      <c r="AA2618" s="61" t="s">
        <v>9233</v>
      </c>
      <c r="AB2618" s="61"/>
    </row>
    <row r="2619" spans="1:28" s="2" customFormat="1" ht="15">
      <c r="A2619" s="61" t="s">
        <v>779</v>
      </c>
      <c r="B2619" s="61" t="s">
        <v>1489</v>
      </c>
      <c r="C2619" s="61" t="s">
        <v>6064</v>
      </c>
      <c r="D2619" s="61" t="s">
        <v>159</v>
      </c>
      <c r="E2619" s="61">
        <v>1218</v>
      </c>
      <c r="F2619" s="61">
        <v>1341</v>
      </c>
      <c r="G2619" s="61">
        <v>2025</v>
      </c>
      <c r="H2619" s="61" t="s">
        <v>3128</v>
      </c>
      <c r="I2619" s="61" t="s">
        <v>37</v>
      </c>
      <c r="J2619" s="61"/>
      <c r="K2619" s="61" t="s">
        <v>28</v>
      </c>
      <c r="L2619" s="61" t="s">
        <v>9232</v>
      </c>
      <c r="M2619" s="475">
        <v>45939</v>
      </c>
      <c r="N2619" s="475">
        <v>45940</v>
      </c>
      <c r="O2619" s="61"/>
      <c r="P2619" s="475">
        <v>45945</v>
      </c>
      <c r="Q2619" s="475">
        <v>45945</v>
      </c>
      <c r="R2619" s="61">
        <f t="shared" si="184"/>
        <v>1</v>
      </c>
      <c r="S2619" s="61" t="str">
        <f t="shared" si="185"/>
        <v/>
      </c>
      <c r="T2619" s="61">
        <f t="shared" si="183"/>
        <v>3</v>
      </c>
      <c r="U2619" s="61">
        <f t="shared" si="186"/>
        <v>1</v>
      </c>
      <c r="V2619" s="61" t="s">
        <v>150</v>
      </c>
      <c r="W2619" s="61" t="s">
        <v>1078</v>
      </c>
      <c r="X2619" s="61" t="s">
        <v>50</v>
      </c>
      <c r="Y2619" s="61">
        <v>15.7112</v>
      </c>
      <c r="Z2619" s="61">
        <v>120.55629999999999</v>
      </c>
      <c r="AA2619" s="61" t="s">
        <v>9233</v>
      </c>
      <c r="AB2619" s="61"/>
    </row>
    <row r="2620" spans="1:28" s="2" customFormat="1" ht="15">
      <c r="A2620" s="61" t="s">
        <v>779</v>
      </c>
      <c r="B2620" s="61" t="s">
        <v>1489</v>
      </c>
      <c r="C2620" s="61" t="s">
        <v>1490</v>
      </c>
      <c r="D2620" s="61" t="s">
        <v>159</v>
      </c>
      <c r="E2620" s="61">
        <v>2359</v>
      </c>
      <c r="F2620" s="61">
        <v>2257</v>
      </c>
      <c r="G2620" s="61">
        <v>2025</v>
      </c>
      <c r="H2620" s="61" t="s">
        <v>3128</v>
      </c>
      <c r="I2620" s="61" t="s">
        <v>37</v>
      </c>
      <c r="J2620" s="61"/>
      <c r="K2620" s="61" t="s">
        <v>28</v>
      </c>
      <c r="L2620" s="61" t="s">
        <v>9232</v>
      </c>
      <c r="M2620" s="475">
        <v>45939</v>
      </c>
      <c r="N2620" s="475">
        <v>45940</v>
      </c>
      <c r="O2620" s="61"/>
      <c r="P2620" s="475">
        <v>45945</v>
      </c>
      <c r="Q2620" s="475">
        <v>45945</v>
      </c>
      <c r="R2620" s="61">
        <f t="shared" si="184"/>
        <v>1</v>
      </c>
      <c r="S2620" s="61" t="str">
        <f t="shared" si="185"/>
        <v/>
      </c>
      <c r="T2620" s="61">
        <f t="shared" si="183"/>
        <v>3</v>
      </c>
      <c r="U2620" s="61">
        <f t="shared" si="186"/>
        <v>1</v>
      </c>
      <c r="V2620" s="61" t="s">
        <v>150</v>
      </c>
      <c r="W2620" s="61" t="s">
        <v>1078</v>
      </c>
      <c r="X2620" s="61" t="s">
        <v>50</v>
      </c>
      <c r="Y2620" s="61">
        <v>15.742000000000001</v>
      </c>
      <c r="Z2620" s="61">
        <v>120.5783</v>
      </c>
      <c r="AA2620" s="61" t="s">
        <v>9233</v>
      </c>
      <c r="AB2620" s="61"/>
    </row>
    <row r="2621" spans="1:28" s="2" customFormat="1" ht="15">
      <c r="A2621" s="61" t="s">
        <v>779</v>
      </c>
      <c r="B2621" s="61" t="s">
        <v>1489</v>
      </c>
      <c r="C2621" s="61" t="s">
        <v>6066</v>
      </c>
      <c r="D2621" s="61" t="s">
        <v>159</v>
      </c>
      <c r="E2621" s="61">
        <v>714</v>
      </c>
      <c r="F2621" s="61">
        <v>914</v>
      </c>
      <c r="G2621" s="61">
        <v>2025</v>
      </c>
      <c r="H2621" s="61" t="s">
        <v>3128</v>
      </c>
      <c r="I2621" s="61" t="s">
        <v>37</v>
      </c>
      <c r="J2621" s="61"/>
      <c r="K2621" s="61" t="s">
        <v>28</v>
      </c>
      <c r="L2621" s="61" t="s">
        <v>9232</v>
      </c>
      <c r="M2621" s="475">
        <v>45939</v>
      </c>
      <c r="N2621" s="475">
        <v>45940</v>
      </c>
      <c r="O2621" s="61"/>
      <c r="P2621" s="475">
        <v>45945</v>
      </c>
      <c r="Q2621" s="475">
        <v>45945</v>
      </c>
      <c r="R2621" s="61">
        <f t="shared" si="184"/>
        <v>1</v>
      </c>
      <c r="S2621" s="61" t="str">
        <f t="shared" si="185"/>
        <v/>
      </c>
      <c r="T2621" s="61">
        <f t="shared" si="183"/>
        <v>3</v>
      </c>
      <c r="U2621" s="61">
        <f t="shared" si="186"/>
        <v>1</v>
      </c>
      <c r="V2621" s="61" t="s">
        <v>150</v>
      </c>
      <c r="W2621" s="61" t="s">
        <v>1078</v>
      </c>
      <c r="X2621" s="61" t="s">
        <v>50</v>
      </c>
      <c r="Y2621" s="61">
        <v>15.775</v>
      </c>
      <c r="Z2621" s="61">
        <v>120.57040000000001</v>
      </c>
      <c r="AA2621" s="61" t="s">
        <v>9233</v>
      </c>
      <c r="AB2621" s="61"/>
    </row>
    <row r="2622" spans="1:28" s="2" customFormat="1" ht="15">
      <c r="A2622" s="61" t="s">
        <v>779</v>
      </c>
      <c r="B2622" s="61" t="s">
        <v>1489</v>
      </c>
      <c r="C2622" s="61" t="s">
        <v>6067</v>
      </c>
      <c r="D2622" s="61" t="s">
        <v>159</v>
      </c>
      <c r="E2622" s="61">
        <v>1203</v>
      </c>
      <c r="F2622" s="61">
        <v>1340</v>
      </c>
      <c r="G2622" s="61"/>
      <c r="H2622" s="61"/>
      <c r="I2622" s="61" t="s">
        <v>37</v>
      </c>
      <c r="J2622" s="61"/>
      <c r="K2622" s="61" t="s">
        <v>328</v>
      </c>
      <c r="L2622" s="61"/>
      <c r="M2622" s="61"/>
      <c r="N2622" s="61"/>
      <c r="O2622" s="61"/>
      <c r="P2622" s="61"/>
      <c r="Q2622" s="61"/>
      <c r="R2622" s="61" t="str">
        <f t="shared" si="184"/>
        <v/>
      </c>
      <c r="S2622" s="61" t="str">
        <f t="shared" si="185"/>
        <v/>
      </c>
      <c r="T2622" s="61" t="str">
        <f t="shared" si="183"/>
        <v/>
      </c>
      <c r="U2622" s="61" t="str">
        <f t="shared" si="186"/>
        <v/>
      </c>
      <c r="V2622" s="61"/>
      <c r="W2622" s="61"/>
      <c r="X2622" s="61"/>
      <c r="Y2622" s="61"/>
      <c r="Z2622" s="61"/>
      <c r="AA2622" s="61"/>
      <c r="AB2622" s="61"/>
    </row>
    <row r="2623" spans="1:28" s="2" customFormat="1" ht="15">
      <c r="A2623" s="61" t="s">
        <v>779</v>
      </c>
      <c r="B2623" s="61" t="s">
        <v>1489</v>
      </c>
      <c r="C2623" s="61" t="s">
        <v>6068</v>
      </c>
      <c r="D2623" s="61" t="s">
        <v>159</v>
      </c>
      <c r="E2623" s="61">
        <v>1627</v>
      </c>
      <c r="F2623" s="61">
        <v>1713</v>
      </c>
      <c r="G2623" s="61">
        <v>2025</v>
      </c>
      <c r="H2623" s="61" t="s">
        <v>3128</v>
      </c>
      <c r="I2623" s="61" t="s">
        <v>37</v>
      </c>
      <c r="J2623" s="61"/>
      <c r="K2623" s="61" t="s">
        <v>28</v>
      </c>
      <c r="L2623" s="61" t="s">
        <v>9232</v>
      </c>
      <c r="M2623" s="475">
        <v>45939</v>
      </c>
      <c r="N2623" s="475">
        <v>45940</v>
      </c>
      <c r="O2623" s="61"/>
      <c r="P2623" s="475">
        <v>45945</v>
      </c>
      <c r="Q2623" s="475">
        <v>45945</v>
      </c>
      <c r="R2623" s="61">
        <f t="shared" si="184"/>
        <v>1</v>
      </c>
      <c r="S2623" s="61" t="str">
        <f t="shared" si="185"/>
        <v/>
      </c>
      <c r="T2623" s="61">
        <f t="shared" si="183"/>
        <v>3</v>
      </c>
      <c r="U2623" s="61">
        <f t="shared" si="186"/>
        <v>1</v>
      </c>
      <c r="V2623" s="61" t="s">
        <v>150</v>
      </c>
      <c r="W2623" s="61" t="s">
        <v>1078</v>
      </c>
      <c r="X2623" s="61" t="s">
        <v>50</v>
      </c>
      <c r="Y2623" s="61">
        <v>15.7263</v>
      </c>
      <c r="Z2623" s="61">
        <v>120.5712</v>
      </c>
      <c r="AA2623" s="61" t="s">
        <v>9233</v>
      </c>
      <c r="AB2623" s="61"/>
    </row>
    <row r="2624" spans="1:28" s="2" customFormat="1" ht="15">
      <c r="A2624" s="61" t="s">
        <v>779</v>
      </c>
      <c r="B2624" s="61" t="s">
        <v>1489</v>
      </c>
      <c r="C2624" s="61" t="s">
        <v>6072</v>
      </c>
      <c r="D2624" s="61" t="s">
        <v>159</v>
      </c>
      <c r="E2624" s="61">
        <v>1542</v>
      </c>
      <c r="F2624" s="61">
        <v>1607</v>
      </c>
      <c r="G2624" s="61"/>
      <c r="H2624" s="61"/>
      <c r="I2624" s="61" t="s">
        <v>37</v>
      </c>
      <c r="J2624" s="61"/>
      <c r="K2624" s="61" t="s">
        <v>328</v>
      </c>
      <c r="L2624" s="61"/>
      <c r="M2624" s="61"/>
      <c r="N2624" s="61"/>
      <c r="O2624" s="61"/>
      <c r="P2624" s="61"/>
      <c r="Q2624" s="61"/>
      <c r="R2624" s="61" t="str">
        <f t="shared" si="184"/>
        <v/>
      </c>
      <c r="S2624" s="61" t="str">
        <f t="shared" si="185"/>
        <v/>
      </c>
      <c r="T2624" s="61" t="str">
        <f t="shared" si="183"/>
        <v/>
      </c>
      <c r="U2624" s="61" t="str">
        <f t="shared" si="186"/>
        <v/>
      </c>
      <c r="V2624" s="61"/>
      <c r="W2624" s="61"/>
      <c r="X2624" s="61"/>
      <c r="Y2624" s="61"/>
      <c r="Z2624" s="61"/>
      <c r="AA2624" s="61"/>
      <c r="AB2624" s="61"/>
    </row>
    <row r="2625" spans="1:28" s="2" customFormat="1" ht="15">
      <c r="A2625" s="61" t="s">
        <v>779</v>
      </c>
      <c r="B2625" s="61" t="s">
        <v>1489</v>
      </c>
      <c r="C2625" s="61" t="s">
        <v>6075</v>
      </c>
      <c r="D2625" s="61" t="s">
        <v>159</v>
      </c>
      <c r="E2625" s="61">
        <v>2232</v>
      </c>
      <c r="F2625" s="61">
        <v>2102</v>
      </c>
      <c r="G2625" s="61"/>
      <c r="H2625" s="61"/>
      <c r="I2625" s="61" t="s">
        <v>37</v>
      </c>
      <c r="J2625" s="61"/>
      <c r="K2625" s="61" t="s">
        <v>328</v>
      </c>
      <c r="L2625" s="61"/>
      <c r="M2625" s="61"/>
      <c r="N2625" s="61"/>
      <c r="O2625" s="61"/>
      <c r="P2625" s="61"/>
      <c r="Q2625" s="61"/>
      <c r="R2625" s="61" t="str">
        <f t="shared" si="184"/>
        <v/>
      </c>
      <c r="S2625" s="61" t="str">
        <f t="shared" si="185"/>
        <v/>
      </c>
      <c r="T2625" s="61" t="str">
        <f t="shared" si="183"/>
        <v/>
      </c>
      <c r="U2625" s="61" t="str">
        <f t="shared" si="186"/>
        <v/>
      </c>
      <c r="V2625" s="61"/>
      <c r="W2625" s="61"/>
      <c r="X2625" s="61"/>
      <c r="Y2625" s="61"/>
      <c r="Z2625" s="61"/>
      <c r="AA2625" s="61"/>
      <c r="AB2625" s="61"/>
    </row>
    <row r="2626" spans="1:28" s="2" customFormat="1" ht="15">
      <c r="A2626" s="61" t="s">
        <v>779</v>
      </c>
      <c r="B2626" s="61" t="s">
        <v>1489</v>
      </c>
      <c r="C2626" s="61" t="s">
        <v>5987</v>
      </c>
      <c r="D2626" s="61" t="s">
        <v>159</v>
      </c>
      <c r="E2626" s="61">
        <v>1620</v>
      </c>
      <c r="F2626" s="61">
        <v>1802</v>
      </c>
      <c r="G2626" s="61"/>
      <c r="H2626" s="61"/>
      <c r="I2626" s="61" t="s">
        <v>37</v>
      </c>
      <c r="J2626" s="61"/>
      <c r="K2626" s="61" t="s">
        <v>328</v>
      </c>
      <c r="L2626" s="61"/>
      <c r="M2626" s="61"/>
      <c r="N2626" s="61"/>
      <c r="O2626" s="61"/>
      <c r="P2626" s="61"/>
      <c r="Q2626" s="61"/>
      <c r="R2626" s="61" t="str">
        <f t="shared" si="184"/>
        <v/>
      </c>
      <c r="S2626" s="61" t="str">
        <f t="shared" si="185"/>
        <v/>
      </c>
      <c r="T2626" s="61" t="str">
        <f t="shared" si="183"/>
        <v/>
      </c>
      <c r="U2626" s="61" t="str">
        <f t="shared" si="186"/>
        <v/>
      </c>
      <c r="V2626" s="61"/>
      <c r="W2626" s="61"/>
      <c r="X2626" s="61"/>
      <c r="Y2626" s="61"/>
      <c r="Z2626" s="61"/>
      <c r="AA2626" s="61"/>
      <c r="AB2626" s="61"/>
    </row>
    <row r="2627" spans="1:28" s="2" customFormat="1" ht="15">
      <c r="A2627" s="61" t="s">
        <v>779</v>
      </c>
      <c r="B2627" s="61" t="s">
        <v>1489</v>
      </c>
      <c r="C2627" s="61" t="s">
        <v>1299</v>
      </c>
      <c r="D2627" s="61" t="s">
        <v>159</v>
      </c>
      <c r="E2627" s="61">
        <v>1346</v>
      </c>
      <c r="F2627" s="61">
        <v>1456</v>
      </c>
      <c r="G2627" s="61"/>
      <c r="H2627" s="61"/>
      <c r="I2627" s="61" t="s">
        <v>37</v>
      </c>
      <c r="J2627" s="61"/>
      <c r="K2627" s="61" t="s">
        <v>328</v>
      </c>
      <c r="L2627" s="61"/>
      <c r="M2627" s="61"/>
      <c r="N2627" s="61"/>
      <c r="O2627" s="61"/>
      <c r="P2627" s="61"/>
      <c r="Q2627" s="61"/>
      <c r="R2627" s="61" t="str">
        <f t="shared" si="184"/>
        <v/>
      </c>
      <c r="S2627" s="61" t="str">
        <f t="shared" si="185"/>
        <v/>
      </c>
      <c r="T2627" s="61" t="str">
        <f t="shared" si="183"/>
        <v/>
      </c>
      <c r="U2627" s="61" t="str">
        <f t="shared" si="186"/>
        <v/>
      </c>
      <c r="V2627" s="61"/>
      <c r="W2627" s="61"/>
      <c r="X2627" s="61"/>
      <c r="Y2627" s="61"/>
      <c r="Z2627" s="61"/>
      <c r="AA2627" s="61"/>
      <c r="AB2627" s="61"/>
    </row>
    <row r="2628" spans="1:28" s="2" customFormat="1" ht="15">
      <c r="A2628" s="61" t="s">
        <v>779</v>
      </c>
      <c r="B2628" s="61" t="s">
        <v>1489</v>
      </c>
      <c r="C2628" s="61" t="s">
        <v>918</v>
      </c>
      <c r="D2628" s="61" t="s">
        <v>159</v>
      </c>
      <c r="E2628" s="61">
        <v>1988</v>
      </c>
      <c r="F2628" s="61">
        <v>2252</v>
      </c>
      <c r="G2628" s="61"/>
      <c r="H2628" s="61"/>
      <c r="I2628" s="61" t="s">
        <v>37</v>
      </c>
      <c r="J2628" s="61"/>
      <c r="K2628" s="61" t="s">
        <v>328</v>
      </c>
      <c r="L2628" s="61"/>
      <c r="M2628" s="61"/>
      <c r="N2628" s="61"/>
      <c r="O2628" s="61"/>
      <c r="P2628" s="61"/>
      <c r="Q2628" s="61"/>
      <c r="R2628" s="61" t="str">
        <f t="shared" si="184"/>
        <v/>
      </c>
      <c r="S2628" s="61" t="str">
        <f t="shared" si="185"/>
        <v/>
      </c>
      <c r="T2628" s="61" t="str">
        <f t="shared" si="183"/>
        <v/>
      </c>
      <c r="U2628" s="61" t="str">
        <f t="shared" si="186"/>
        <v/>
      </c>
      <c r="V2628" s="61"/>
      <c r="W2628" s="61"/>
      <c r="X2628" s="61"/>
      <c r="Y2628" s="61"/>
      <c r="Z2628" s="61"/>
      <c r="AA2628" s="61"/>
      <c r="AB2628" s="61"/>
    </row>
    <row r="2629" spans="1:28" s="2" customFormat="1" ht="15">
      <c r="A2629" s="61" t="s">
        <v>779</v>
      </c>
      <c r="B2629" s="61" t="s">
        <v>1489</v>
      </c>
      <c r="C2629" s="61" t="s">
        <v>6088</v>
      </c>
      <c r="D2629" s="61" t="s">
        <v>159</v>
      </c>
      <c r="E2629" s="61">
        <v>1191</v>
      </c>
      <c r="F2629" s="61">
        <v>1402</v>
      </c>
      <c r="G2629" s="61"/>
      <c r="H2629" s="61"/>
      <c r="I2629" s="61" t="s">
        <v>37</v>
      </c>
      <c r="J2629" s="61"/>
      <c r="K2629" s="61" t="s">
        <v>328</v>
      </c>
      <c r="L2629" s="61"/>
      <c r="M2629" s="61"/>
      <c r="N2629" s="61"/>
      <c r="O2629" s="61"/>
      <c r="P2629" s="61"/>
      <c r="Q2629" s="61"/>
      <c r="R2629" s="61" t="str">
        <f t="shared" si="184"/>
        <v/>
      </c>
      <c r="S2629" s="61" t="str">
        <f t="shared" si="185"/>
        <v/>
      </c>
      <c r="T2629" s="61" t="str">
        <f t="shared" si="183"/>
        <v/>
      </c>
      <c r="U2629" s="61" t="str">
        <f t="shared" si="186"/>
        <v/>
      </c>
      <c r="V2629" s="61"/>
      <c r="W2629" s="61"/>
      <c r="X2629" s="61"/>
      <c r="Y2629" s="61"/>
      <c r="Z2629" s="61"/>
      <c r="AA2629" s="61"/>
      <c r="AB2629" s="61"/>
    </row>
    <row r="2630" spans="1:28" s="2" customFormat="1" ht="15">
      <c r="A2630" s="61" t="s">
        <v>779</v>
      </c>
      <c r="B2630" s="61" t="s">
        <v>1489</v>
      </c>
      <c r="C2630" s="61" t="s">
        <v>1253</v>
      </c>
      <c r="D2630" s="61" t="s">
        <v>159</v>
      </c>
      <c r="E2630" s="61">
        <v>797</v>
      </c>
      <c r="F2630" s="61">
        <v>900</v>
      </c>
      <c r="G2630" s="61"/>
      <c r="H2630" s="61"/>
      <c r="I2630" s="61" t="s">
        <v>37</v>
      </c>
      <c r="J2630" s="61"/>
      <c r="K2630" s="61" t="s">
        <v>328</v>
      </c>
      <c r="L2630" s="61"/>
      <c r="M2630" s="61"/>
      <c r="N2630" s="61"/>
      <c r="O2630" s="61"/>
      <c r="P2630" s="61"/>
      <c r="Q2630" s="61"/>
      <c r="R2630" s="61" t="str">
        <f t="shared" si="184"/>
        <v/>
      </c>
      <c r="S2630" s="61" t="str">
        <f t="shared" si="185"/>
        <v/>
      </c>
      <c r="T2630" s="61" t="str">
        <f t="shared" si="183"/>
        <v/>
      </c>
      <c r="U2630" s="61" t="str">
        <f t="shared" si="186"/>
        <v/>
      </c>
      <c r="V2630" s="61"/>
      <c r="W2630" s="61"/>
      <c r="X2630" s="61"/>
      <c r="Y2630" s="61"/>
      <c r="Z2630" s="61"/>
      <c r="AA2630" s="61"/>
      <c r="AB2630" s="61"/>
    </row>
    <row r="2631" spans="1:28" s="2" customFormat="1" ht="15">
      <c r="A2631" s="61" t="s">
        <v>779</v>
      </c>
      <c r="B2631" s="61" t="s">
        <v>1489</v>
      </c>
      <c r="C2631" s="61" t="s">
        <v>6090</v>
      </c>
      <c r="D2631" s="61" t="s">
        <v>159</v>
      </c>
      <c r="E2631" s="61">
        <v>979</v>
      </c>
      <c r="F2631" s="61">
        <v>1058</v>
      </c>
      <c r="G2631" s="61"/>
      <c r="H2631" s="61"/>
      <c r="I2631" s="61" t="s">
        <v>37</v>
      </c>
      <c r="J2631" s="61"/>
      <c r="K2631" s="61" t="s">
        <v>328</v>
      </c>
      <c r="L2631" s="61"/>
      <c r="M2631" s="61"/>
      <c r="N2631" s="61"/>
      <c r="O2631" s="61"/>
      <c r="P2631" s="61"/>
      <c r="Q2631" s="61"/>
      <c r="R2631" s="61" t="str">
        <f t="shared" si="184"/>
        <v/>
      </c>
      <c r="S2631" s="61" t="str">
        <f t="shared" si="185"/>
        <v/>
      </c>
      <c r="T2631" s="61" t="str">
        <f t="shared" si="183"/>
        <v/>
      </c>
      <c r="U2631" s="61" t="str">
        <f t="shared" si="186"/>
        <v/>
      </c>
      <c r="V2631" s="61"/>
      <c r="W2631" s="61"/>
      <c r="X2631" s="61"/>
      <c r="Y2631" s="61"/>
      <c r="Z2631" s="61"/>
      <c r="AA2631" s="61"/>
      <c r="AB2631" s="61"/>
    </row>
    <row r="2632" spans="1:28" s="2" customFormat="1" ht="15">
      <c r="A2632" s="61" t="s">
        <v>779</v>
      </c>
      <c r="B2632" s="61" t="s">
        <v>1489</v>
      </c>
      <c r="C2632" s="61" t="s">
        <v>1424</v>
      </c>
      <c r="D2632" s="61" t="s">
        <v>159</v>
      </c>
      <c r="E2632" s="61">
        <v>1674</v>
      </c>
      <c r="F2632" s="61">
        <v>1769</v>
      </c>
      <c r="G2632" s="61"/>
      <c r="H2632" s="61"/>
      <c r="I2632" s="61" t="s">
        <v>37</v>
      </c>
      <c r="J2632" s="61"/>
      <c r="K2632" s="61" t="s">
        <v>328</v>
      </c>
      <c r="L2632" s="61"/>
      <c r="M2632" s="61"/>
      <c r="N2632" s="61"/>
      <c r="O2632" s="61"/>
      <c r="P2632" s="61"/>
      <c r="Q2632" s="61"/>
      <c r="R2632" s="61" t="str">
        <f t="shared" si="184"/>
        <v/>
      </c>
      <c r="S2632" s="61" t="str">
        <f t="shared" si="185"/>
        <v/>
      </c>
      <c r="T2632" s="61" t="str">
        <f t="shared" si="183"/>
        <v/>
      </c>
      <c r="U2632" s="61" t="str">
        <f t="shared" si="186"/>
        <v/>
      </c>
      <c r="V2632" s="61"/>
      <c r="W2632" s="61"/>
      <c r="X2632" s="61"/>
      <c r="Y2632" s="61"/>
      <c r="Z2632" s="61"/>
      <c r="AA2632" s="61"/>
      <c r="AB2632" s="61"/>
    </row>
    <row r="2633" spans="1:28" s="2" customFormat="1" ht="28.5">
      <c r="A2633" s="61" t="s">
        <v>779</v>
      </c>
      <c r="B2633" s="61" t="s">
        <v>1493</v>
      </c>
      <c r="C2633" s="61" t="s">
        <v>1494</v>
      </c>
      <c r="D2633" s="61" t="s">
        <v>159</v>
      </c>
      <c r="E2633" s="61">
        <v>1296</v>
      </c>
      <c r="F2633" s="61">
        <v>1424</v>
      </c>
      <c r="G2633" s="61">
        <v>2025</v>
      </c>
      <c r="H2633" s="61" t="s">
        <v>3127</v>
      </c>
      <c r="I2633" s="61" t="s">
        <v>37</v>
      </c>
      <c r="J2633" s="61"/>
      <c r="K2633" s="61" t="s">
        <v>328</v>
      </c>
      <c r="L2633" s="61" t="s">
        <v>9234</v>
      </c>
      <c r="M2633" s="475">
        <v>45912</v>
      </c>
      <c r="N2633" s="475">
        <v>45918</v>
      </c>
      <c r="O2633" s="475"/>
      <c r="P2633" s="475">
        <v>45918</v>
      </c>
      <c r="Q2633" s="475">
        <v>45918</v>
      </c>
      <c r="R2633" s="61">
        <f t="shared" si="184"/>
        <v>4</v>
      </c>
      <c r="S2633" s="61" t="str">
        <f t="shared" si="185"/>
        <v/>
      </c>
      <c r="T2633" s="61">
        <f t="shared" si="183"/>
        <v>1</v>
      </c>
      <c r="U2633" s="61">
        <f t="shared" si="186"/>
        <v>1</v>
      </c>
      <c r="V2633" s="61" t="s">
        <v>150</v>
      </c>
      <c r="W2633" s="61" t="s">
        <v>3527</v>
      </c>
      <c r="X2633" s="61" t="s">
        <v>3528</v>
      </c>
      <c r="Y2633" s="61">
        <v>15.643088000000001</v>
      </c>
      <c r="Z2633" s="61">
        <v>120.560338</v>
      </c>
      <c r="AA2633" s="61" t="s">
        <v>8492</v>
      </c>
      <c r="AB2633" s="61"/>
    </row>
    <row r="2634" spans="1:28" s="2" customFormat="1" ht="15">
      <c r="A2634" s="61" t="s">
        <v>779</v>
      </c>
      <c r="B2634" s="61" t="s">
        <v>1493</v>
      </c>
      <c r="C2634" s="61" t="s">
        <v>6097</v>
      </c>
      <c r="D2634" s="61" t="s">
        <v>159</v>
      </c>
      <c r="E2634" s="61">
        <v>4828</v>
      </c>
      <c r="F2634" s="61">
        <v>4612</v>
      </c>
      <c r="G2634" s="61">
        <v>2025</v>
      </c>
      <c r="H2634" s="61" t="s">
        <v>3458</v>
      </c>
      <c r="I2634" s="61" t="s">
        <v>37</v>
      </c>
      <c r="J2634" s="61"/>
      <c r="K2634" s="61" t="s">
        <v>328</v>
      </c>
      <c r="L2634" s="61" t="s">
        <v>9235</v>
      </c>
      <c r="M2634" s="475">
        <v>45693</v>
      </c>
      <c r="N2634" s="475">
        <v>45695</v>
      </c>
      <c r="O2634" s="61"/>
      <c r="P2634" s="475">
        <v>45698</v>
      </c>
      <c r="Q2634" s="475">
        <v>45701</v>
      </c>
      <c r="R2634" s="61">
        <f t="shared" si="184"/>
        <v>2</v>
      </c>
      <c r="S2634" s="61" t="str">
        <f t="shared" si="185"/>
        <v/>
      </c>
      <c r="T2634" s="61">
        <f t="shared" si="183"/>
        <v>1</v>
      </c>
      <c r="U2634" s="61">
        <f t="shared" si="186"/>
        <v>3</v>
      </c>
      <c r="V2634" s="61" t="s">
        <v>150</v>
      </c>
      <c r="W2634" s="61" t="s">
        <v>4</v>
      </c>
      <c r="X2634" s="61" t="s">
        <v>57</v>
      </c>
      <c r="Y2634" s="61"/>
      <c r="Z2634" s="61"/>
      <c r="AA2634" s="61" t="s">
        <v>8361</v>
      </c>
      <c r="AB2634" s="61"/>
    </row>
    <row r="2635" spans="1:28" s="2" customFormat="1" ht="15">
      <c r="A2635" s="61" t="s">
        <v>779</v>
      </c>
      <c r="B2635" s="61" t="s">
        <v>1493</v>
      </c>
      <c r="C2635" s="61" t="s">
        <v>6099</v>
      </c>
      <c r="D2635" s="61" t="s">
        <v>159</v>
      </c>
      <c r="E2635" s="61">
        <v>2049</v>
      </c>
      <c r="F2635" s="61">
        <v>2672</v>
      </c>
      <c r="G2635" s="61">
        <v>2025</v>
      </c>
      <c r="H2635" s="61" t="s">
        <v>3458</v>
      </c>
      <c r="I2635" s="61" t="s">
        <v>37</v>
      </c>
      <c r="J2635" s="61"/>
      <c r="K2635" s="61" t="s">
        <v>328</v>
      </c>
      <c r="L2635" s="61" t="s">
        <v>9236</v>
      </c>
      <c r="M2635" s="475">
        <v>45693</v>
      </c>
      <c r="N2635" s="475">
        <v>45695</v>
      </c>
      <c r="O2635" s="61"/>
      <c r="P2635" s="475">
        <v>45698</v>
      </c>
      <c r="Q2635" s="475">
        <v>45701</v>
      </c>
      <c r="R2635" s="61">
        <f t="shared" si="184"/>
        <v>2</v>
      </c>
      <c r="S2635" s="61" t="str">
        <f t="shared" si="185"/>
        <v/>
      </c>
      <c r="T2635" s="61">
        <f t="shared" si="183"/>
        <v>1</v>
      </c>
      <c r="U2635" s="61">
        <f t="shared" si="186"/>
        <v>3</v>
      </c>
      <c r="V2635" s="61" t="s">
        <v>150</v>
      </c>
      <c r="W2635" s="61" t="s">
        <v>4</v>
      </c>
      <c r="X2635" s="61" t="s">
        <v>50</v>
      </c>
      <c r="Y2635" s="61"/>
      <c r="Z2635" s="61"/>
      <c r="AA2635" s="61" t="s">
        <v>8361</v>
      </c>
      <c r="AB2635" s="61"/>
    </row>
    <row r="2636" spans="1:28" s="2" customFormat="1" ht="28.5">
      <c r="A2636" s="61" t="s">
        <v>779</v>
      </c>
      <c r="B2636" s="61" t="s">
        <v>1493</v>
      </c>
      <c r="C2636" s="61" t="s">
        <v>6101</v>
      </c>
      <c r="D2636" s="61" t="s">
        <v>159</v>
      </c>
      <c r="E2636" s="61">
        <v>1508</v>
      </c>
      <c r="F2636" s="61">
        <v>1836</v>
      </c>
      <c r="G2636" s="61">
        <v>2025</v>
      </c>
      <c r="H2636" s="61" t="s">
        <v>3458</v>
      </c>
      <c r="I2636" s="61" t="s">
        <v>37</v>
      </c>
      <c r="J2636" s="61"/>
      <c r="K2636" s="61" t="s">
        <v>328</v>
      </c>
      <c r="L2636" s="61" t="s">
        <v>9237</v>
      </c>
      <c r="M2636" s="475">
        <v>45693</v>
      </c>
      <c r="N2636" s="475">
        <v>45695</v>
      </c>
      <c r="O2636" s="61"/>
      <c r="P2636" s="475">
        <v>45698</v>
      </c>
      <c r="Q2636" s="475">
        <v>45701</v>
      </c>
      <c r="R2636" s="61">
        <f t="shared" si="184"/>
        <v>2</v>
      </c>
      <c r="S2636" s="61" t="str">
        <f t="shared" si="185"/>
        <v/>
      </c>
      <c r="T2636" s="61">
        <f t="shared" si="183"/>
        <v>1</v>
      </c>
      <c r="U2636" s="61">
        <f t="shared" si="186"/>
        <v>3</v>
      </c>
      <c r="V2636" s="61" t="s">
        <v>150</v>
      </c>
      <c r="W2636" s="61" t="s">
        <v>4</v>
      </c>
      <c r="X2636" s="61" t="s">
        <v>50</v>
      </c>
      <c r="Y2636" s="61">
        <v>120.50873</v>
      </c>
      <c r="Z2636" s="61">
        <v>15.67454</v>
      </c>
      <c r="AA2636" s="61" t="s">
        <v>8492</v>
      </c>
      <c r="AB2636" s="61"/>
    </row>
    <row r="2637" spans="1:28" s="2" customFormat="1" ht="15">
      <c r="A2637" s="61" t="s">
        <v>779</v>
      </c>
      <c r="B2637" s="61" t="s">
        <v>1493</v>
      </c>
      <c r="C2637" s="61" t="s">
        <v>6103</v>
      </c>
      <c r="D2637" s="61" t="s">
        <v>159</v>
      </c>
      <c r="E2637" s="61">
        <v>3314</v>
      </c>
      <c r="F2637" s="61">
        <v>3859</v>
      </c>
      <c r="G2637" s="61">
        <v>2025</v>
      </c>
      <c r="H2637" s="61" t="s">
        <v>3458</v>
      </c>
      <c r="I2637" s="61" t="s">
        <v>37</v>
      </c>
      <c r="J2637" s="61"/>
      <c r="K2637" s="61" t="s">
        <v>328</v>
      </c>
      <c r="L2637" s="61" t="s">
        <v>9238</v>
      </c>
      <c r="M2637" s="475">
        <v>45693</v>
      </c>
      <c r="N2637" s="475">
        <v>45695</v>
      </c>
      <c r="O2637" s="61"/>
      <c r="P2637" s="475">
        <v>45698</v>
      </c>
      <c r="Q2637" s="475">
        <v>45701</v>
      </c>
      <c r="R2637" s="61">
        <f t="shared" si="184"/>
        <v>2</v>
      </c>
      <c r="S2637" s="61" t="str">
        <f t="shared" si="185"/>
        <v/>
      </c>
      <c r="T2637" s="61">
        <f t="shared" si="183"/>
        <v>1</v>
      </c>
      <c r="U2637" s="61">
        <f t="shared" si="186"/>
        <v>3</v>
      </c>
      <c r="V2637" s="61" t="s">
        <v>150</v>
      </c>
      <c r="W2637" s="61" t="s">
        <v>4</v>
      </c>
      <c r="X2637" s="61" t="s">
        <v>57</v>
      </c>
      <c r="Y2637" s="61"/>
      <c r="Z2637" s="61"/>
      <c r="AA2637" s="61" t="s">
        <v>8361</v>
      </c>
      <c r="AB2637" s="61"/>
    </row>
    <row r="2638" spans="1:28" s="2" customFormat="1" ht="28.5">
      <c r="A2638" s="61" t="s">
        <v>779</v>
      </c>
      <c r="B2638" s="61" t="s">
        <v>1493</v>
      </c>
      <c r="C2638" s="61" t="s">
        <v>4946</v>
      </c>
      <c r="D2638" s="61" t="s">
        <v>159</v>
      </c>
      <c r="E2638" s="61">
        <v>4933</v>
      </c>
      <c r="F2638" s="61">
        <v>4719</v>
      </c>
      <c r="G2638" s="61">
        <v>2025</v>
      </c>
      <c r="H2638" s="61" t="s">
        <v>3532</v>
      </c>
      <c r="I2638" s="61" t="s">
        <v>37</v>
      </c>
      <c r="J2638" s="61"/>
      <c r="K2638" s="61" t="s">
        <v>328</v>
      </c>
      <c r="L2638" s="61" t="s">
        <v>9239</v>
      </c>
      <c r="M2638" s="475">
        <v>45790</v>
      </c>
      <c r="N2638" s="475">
        <v>45792</v>
      </c>
      <c r="O2638" s="61"/>
      <c r="P2638" s="475">
        <v>45793</v>
      </c>
      <c r="Q2638" s="475">
        <v>45793</v>
      </c>
      <c r="R2638" s="61">
        <f t="shared" si="184"/>
        <v>2</v>
      </c>
      <c r="S2638" s="61" t="str">
        <f t="shared" si="185"/>
        <v/>
      </c>
      <c r="T2638" s="61">
        <f t="shared" si="183"/>
        <v>1</v>
      </c>
      <c r="U2638" s="61">
        <f t="shared" si="186"/>
        <v>1</v>
      </c>
      <c r="V2638" s="61" t="s">
        <v>150</v>
      </c>
      <c r="W2638" s="61" t="s">
        <v>4</v>
      </c>
      <c r="X2638" s="61" t="s">
        <v>50</v>
      </c>
      <c r="Y2638" s="61">
        <v>15.664070000000001</v>
      </c>
      <c r="Z2638" s="61">
        <v>120.58342</v>
      </c>
      <c r="AA2638" s="61" t="s">
        <v>8492</v>
      </c>
      <c r="AB2638" s="61"/>
    </row>
    <row r="2639" spans="1:28" s="2" customFormat="1" ht="28.5">
      <c r="A2639" s="61" t="s">
        <v>779</v>
      </c>
      <c r="B2639" s="61" t="s">
        <v>1493</v>
      </c>
      <c r="C2639" s="61" t="s">
        <v>6140</v>
      </c>
      <c r="D2639" s="61" t="s">
        <v>159</v>
      </c>
      <c r="E2639" s="61">
        <v>2911</v>
      </c>
      <c r="F2639" s="61">
        <v>3211</v>
      </c>
      <c r="G2639" s="61">
        <v>2025</v>
      </c>
      <c r="H2639" s="61" t="s">
        <v>3126</v>
      </c>
      <c r="I2639" s="61" t="s">
        <v>37</v>
      </c>
      <c r="J2639" s="61"/>
      <c r="K2639" s="61" t="s">
        <v>328</v>
      </c>
      <c r="L2639" s="61" t="s">
        <v>9240</v>
      </c>
      <c r="M2639" s="475">
        <v>45882</v>
      </c>
      <c r="N2639" s="475">
        <v>45886</v>
      </c>
      <c r="O2639" s="61"/>
      <c r="P2639" s="475">
        <v>45886</v>
      </c>
      <c r="Q2639" s="475">
        <v>45888</v>
      </c>
      <c r="R2639" s="61">
        <f t="shared" si="184"/>
        <v>2</v>
      </c>
      <c r="S2639" s="61" t="str">
        <f t="shared" si="185"/>
        <v/>
      </c>
      <c r="T2639" s="61">
        <f t="shared" si="183"/>
        <v>1</v>
      </c>
      <c r="U2639" s="61">
        <f t="shared" si="186"/>
        <v>1</v>
      </c>
      <c r="V2639" s="61" t="s">
        <v>150</v>
      </c>
      <c r="W2639" s="61" t="s">
        <v>1078</v>
      </c>
      <c r="X2639" s="61" t="s">
        <v>50</v>
      </c>
      <c r="Y2639" s="61" t="s">
        <v>69</v>
      </c>
      <c r="Z2639" s="61" t="s">
        <v>69</v>
      </c>
      <c r="AA2639" s="61" t="s">
        <v>8492</v>
      </c>
      <c r="AB2639" s="61"/>
    </row>
    <row r="2640" spans="1:28" s="2" customFormat="1" ht="28.5">
      <c r="A2640" s="61" t="s">
        <v>779</v>
      </c>
      <c r="B2640" s="61" t="s">
        <v>1493</v>
      </c>
      <c r="C2640" s="61" t="s">
        <v>6113</v>
      </c>
      <c r="D2640" s="61" t="s">
        <v>159</v>
      </c>
      <c r="E2640" s="61">
        <v>1675</v>
      </c>
      <c r="F2640" s="61">
        <v>1657</v>
      </c>
      <c r="G2640" s="61">
        <v>2025</v>
      </c>
      <c r="H2640" s="61" t="s">
        <v>3125</v>
      </c>
      <c r="I2640" s="61" t="s">
        <v>37</v>
      </c>
      <c r="J2640" s="61"/>
      <c r="K2640" s="61" t="s">
        <v>328</v>
      </c>
      <c r="L2640" s="61" t="s">
        <v>9241</v>
      </c>
      <c r="M2640" s="475">
        <v>45840</v>
      </c>
      <c r="N2640" s="475">
        <v>45843</v>
      </c>
      <c r="O2640" s="61"/>
      <c r="P2640" s="475">
        <v>45847</v>
      </c>
      <c r="Q2640" s="475">
        <v>45853</v>
      </c>
      <c r="R2640" s="61">
        <f t="shared" si="184"/>
        <v>2</v>
      </c>
      <c r="S2640" s="61" t="str">
        <f t="shared" si="185"/>
        <v/>
      </c>
      <c r="T2640" s="61">
        <f t="shared" si="183"/>
        <v>2</v>
      </c>
      <c r="U2640" s="61">
        <f t="shared" si="186"/>
        <v>4</v>
      </c>
      <c r="V2640" s="61" t="s">
        <v>150</v>
      </c>
      <c r="W2640" s="61" t="s">
        <v>1078</v>
      </c>
      <c r="X2640" s="61" t="s">
        <v>50</v>
      </c>
      <c r="Y2640" s="61">
        <v>15.636760000000001</v>
      </c>
      <c r="Z2640" s="61">
        <v>120.54367000000001</v>
      </c>
      <c r="AA2640" s="61" t="s">
        <v>8492</v>
      </c>
      <c r="AB2640" s="61"/>
    </row>
    <row r="2641" spans="1:28" s="2" customFormat="1" ht="28.5">
      <c r="A2641" s="61" t="s">
        <v>779</v>
      </c>
      <c r="B2641" s="61" t="s">
        <v>1493</v>
      </c>
      <c r="C2641" s="61" t="s">
        <v>6132</v>
      </c>
      <c r="D2641" s="61" t="s">
        <v>159</v>
      </c>
      <c r="E2641" s="61">
        <v>3408</v>
      </c>
      <c r="F2641" s="61">
        <v>3529</v>
      </c>
      <c r="G2641" s="61">
        <v>2025</v>
      </c>
      <c r="H2641" s="61" t="s">
        <v>4334</v>
      </c>
      <c r="I2641" s="61" t="s">
        <v>37</v>
      </c>
      <c r="J2641" s="61"/>
      <c r="K2641" s="61" t="s">
        <v>328</v>
      </c>
      <c r="L2641" s="61" t="s">
        <v>9242</v>
      </c>
      <c r="M2641" s="475">
        <v>45825</v>
      </c>
      <c r="N2641" s="475">
        <v>45826</v>
      </c>
      <c r="O2641" s="61"/>
      <c r="P2641" s="475">
        <v>45827</v>
      </c>
      <c r="Q2641" s="475">
        <v>45827</v>
      </c>
      <c r="R2641" s="61">
        <f t="shared" si="184"/>
        <v>1</v>
      </c>
      <c r="S2641" s="61" t="str">
        <f t="shared" si="185"/>
        <v/>
      </c>
      <c r="T2641" s="61">
        <f t="shared" si="183"/>
        <v>1</v>
      </c>
      <c r="U2641" s="61">
        <f t="shared" si="186"/>
        <v>1</v>
      </c>
      <c r="V2641" s="61" t="s">
        <v>150</v>
      </c>
      <c r="W2641" s="61" t="s">
        <v>1078</v>
      </c>
      <c r="X2641" s="61" t="s">
        <v>50</v>
      </c>
      <c r="Y2641" s="61">
        <v>15.636380000000001</v>
      </c>
      <c r="Z2641" s="61">
        <v>120.60774000000001</v>
      </c>
      <c r="AA2641" s="61" t="s">
        <v>8492</v>
      </c>
      <c r="AB2641" s="61"/>
    </row>
    <row r="2642" spans="1:28" s="2" customFormat="1" ht="28.5">
      <c r="A2642" s="61" t="s">
        <v>779</v>
      </c>
      <c r="B2642" s="61" t="s">
        <v>1493</v>
      </c>
      <c r="C2642" s="61" t="s">
        <v>6117</v>
      </c>
      <c r="D2642" s="61" t="s">
        <v>159</v>
      </c>
      <c r="E2642" s="61">
        <v>4039</v>
      </c>
      <c r="F2642" s="61">
        <v>4755</v>
      </c>
      <c r="G2642" s="61">
        <v>2025</v>
      </c>
      <c r="H2642" s="61" t="s">
        <v>3126</v>
      </c>
      <c r="I2642" s="61" t="s">
        <v>37</v>
      </c>
      <c r="J2642" s="61"/>
      <c r="K2642" s="61" t="s">
        <v>328</v>
      </c>
      <c r="L2642" s="61" t="s">
        <v>9240</v>
      </c>
      <c r="M2642" s="475">
        <v>45882</v>
      </c>
      <c r="N2642" s="475">
        <v>45886</v>
      </c>
      <c r="O2642" s="61"/>
      <c r="P2642" s="475">
        <v>45886</v>
      </c>
      <c r="Q2642" s="475">
        <v>45888</v>
      </c>
      <c r="R2642" s="61">
        <f t="shared" si="184"/>
        <v>2</v>
      </c>
      <c r="S2642" s="61" t="str">
        <f t="shared" si="185"/>
        <v/>
      </c>
      <c r="T2642" s="61">
        <f t="shared" si="183"/>
        <v>1</v>
      </c>
      <c r="U2642" s="61">
        <f t="shared" si="186"/>
        <v>1</v>
      </c>
      <c r="V2642" s="61" t="s">
        <v>150</v>
      </c>
      <c r="W2642" s="61" t="s">
        <v>3527</v>
      </c>
      <c r="X2642" s="61" t="s">
        <v>3528</v>
      </c>
      <c r="Y2642" s="61" t="s">
        <v>69</v>
      </c>
      <c r="Z2642" s="61" t="s">
        <v>69</v>
      </c>
      <c r="AA2642" s="61" t="s">
        <v>8492</v>
      </c>
      <c r="AB2642" s="61"/>
    </row>
    <row r="2643" spans="1:28" s="2" customFormat="1" ht="28.5">
      <c r="A2643" s="61" t="s">
        <v>779</v>
      </c>
      <c r="B2643" s="61" t="s">
        <v>1493</v>
      </c>
      <c r="C2643" s="61" t="s">
        <v>6121</v>
      </c>
      <c r="D2643" s="61" t="s">
        <v>159</v>
      </c>
      <c r="E2643" s="61">
        <v>1753</v>
      </c>
      <c r="F2643" s="61">
        <v>2230</v>
      </c>
      <c r="G2643" s="61">
        <v>2025</v>
      </c>
      <c r="H2643" s="61" t="s">
        <v>3126</v>
      </c>
      <c r="I2643" s="61" t="s">
        <v>37</v>
      </c>
      <c r="J2643" s="61"/>
      <c r="K2643" s="61" t="s">
        <v>328</v>
      </c>
      <c r="L2643" s="61" t="s">
        <v>9240</v>
      </c>
      <c r="M2643" s="475">
        <v>45882</v>
      </c>
      <c r="N2643" s="475">
        <v>45886</v>
      </c>
      <c r="O2643" s="61"/>
      <c r="P2643" s="475">
        <v>45886</v>
      </c>
      <c r="Q2643" s="475">
        <v>45888</v>
      </c>
      <c r="R2643" s="61">
        <f t="shared" si="184"/>
        <v>2</v>
      </c>
      <c r="S2643" s="61" t="str">
        <f t="shared" si="185"/>
        <v/>
      </c>
      <c r="T2643" s="61">
        <f t="shared" si="183"/>
        <v>1</v>
      </c>
      <c r="U2643" s="61">
        <f t="shared" si="186"/>
        <v>1</v>
      </c>
      <c r="V2643" s="61" t="s">
        <v>150</v>
      </c>
      <c r="W2643" s="61" t="s">
        <v>3527</v>
      </c>
      <c r="X2643" s="61" t="s">
        <v>3528</v>
      </c>
      <c r="Y2643" s="61" t="s">
        <v>69</v>
      </c>
      <c r="Z2643" s="61" t="s">
        <v>69</v>
      </c>
      <c r="AA2643" s="61" t="s">
        <v>8492</v>
      </c>
      <c r="AB2643" s="61"/>
    </row>
    <row r="2644" spans="1:28" s="2" customFormat="1" ht="28.5">
      <c r="A2644" s="61" t="s">
        <v>779</v>
      </c>
      <c r="B2644" s="61" t="s">
        <v>1493</v>
      </c>
      <c r="C2644" s="61" t="s">
        <v>6126</v>
      </c>
      <c r="D2644" s="61" t="s">
        <v>159</v>
      </c>
      <c r="E2644" s="61">
        <v>1631</v>
      </c>
      <c r="F2644" s="61">
        <v>1654</v>
      </c>
      <c r="G2644" s="61">
        <v>2025</v>
      </c>
      <c r="H2644" s="61" t="s">
        <v>3458</v>
      </c>
      <c r="I2644" s="61" t="s">
        <v>37</v>
      </c>
      <c r="J2644" s="61"/>
      <c r="K2644" s="61" t="s">
        <v>328</v>
      </c>
      <c r="L2644" s="61" t="s">
        <v>9243</v>
      </c>
      <c r="M2644" s="475">
        <v>45707</v>
      </c>
      <c r="N2644" s="475">
        <v>45707</v>
      </c>
      <c r="O2644" s="475"/>
      <c r="P2644" s="475">
        <v>45707</v>
      </c>
      <c r="Q2644" s="475">
        <v>45707</v>
      </c>
      <c r="R2644" s="61">
        <f t="shared" si="184"/>
        <v>1</v>
      </c>
      <c r="S2644" s="61" t="str">
        <f t="shared" si="185"/>
        <v/>
      </c>
      <c r="T2644" s="61">
        <f t="shared" si="183"/>
        <v>1</v>
      </c>
      <c r="U2644" s="61">
        <f t="shared" si="186"/>
        <v>1</v>
      </c>
      <c r="V2644" s="61" t="s">
        <v>150</v>
      </c>
      <c r="W2644" s="61" t="s">
        <v>3527</v>
      </c>
      <c r="X2644" s="61" t="s">
        <v>3528</v>
      </c>
      <c r="Y2644" s="61"/>
      <c r="Z2644" s="61"/>
      <c r="AA2644" s="61" t="s">
        <v>8492</v>
      </c>
      <c r="AB2644" s="61"/>
    </row>
    <row r="2645" spans="1:28" s="2" customFormat="1" ht="28.5">
      <c r="A2645" s="61" t="s">
        <v>779</v>
      </c>
      <c r="B2645" s="61" t="s">
        <v>1493</v>
      </c>
      <c r="C2645" s="61" t="s">
        <v>6127</v>
      </c>
      <c r="D2645" s="61" t="s">
        <v>159</v>
      </c>
      <c r="E2645" s="61">
        <v>2835</v>
      </c>
      <c r="F2645" s="61">
        <v>3247</v>
      </c>
      <c r="G2645" s="61">
        <v>2025</v>
      </c>
      <c r="H2645" s="61" t="s">
        <v>3532</v>
      </c>
      <c r="I2645" s="61" t="s">
        <v>37</v>
      </c>
      <c r="J2645" s="61"/>
      <c r="K2645" s="61" t="s">
        <v>328</v>
      </c>
      <c r="L2645" s="61" t="s">
        <v>9244</v>
      </c>
      <c r="M2645" s="475">
        <v>45790</v>
      </c>
      <c r="N2645" s="475">
        <v>45792</v>
      </c>
      <c r="O2645" s="61"/>
      <c r="P2645" s="475">
        <v>45793</v>
      </c>
      <c r="Q2645" s="475">
        <v>45793</v>
      </c>
      <c r="R2645" s="61">
        <f t="shared" si="184"/>
        <v>2</v>
      </c>
      <c r="S2645" s="61" t="str">
        <f t="shared" si="185"/>
        <v/>
      </c>
      <c r="T2645" s="61">
        <f t="shared" si="183"/>
        <v>1</v>
      </c>
      <c r="U2645" s="61">
        <f t="shared" si="186"/>
        <v>1</v>
      </c>
      <c r="V2645" s="61" t="s">
        <v>150</v>
      </c>
      <c r="W2645" s="61" t="s">
        <v>3527</v>
      </c>
      <c r="X2645" s="61" t="s">
        <v>3528</v>
      </c>
      <c r="Y2645" s="61">
        <v>15.64528</v>
      </c>
      <c r="Z2645" s="61">
        <v>120.57165000000001</v>
      </c>
      <c r="AA2645" s="61" t="s">
        <v>8492</v>
      </c>
      <c r="AB2645" s="61"/>
    </row>
    <row r="2646" spans="1:28" s="2" customFormat="1" ht="28.5">
      <c r="A2646" s="61" t="s">
        <v>779</v>
      </c>
      <c r="B2646" s="61" t="s">
        <v>1493</v>
      </c>
      <c r="C2646" s="61" t="s">
        <v>1486</v>
      </c>
      <c r="D2646" s="61" t="s">
        <v>159</v>
      </c>
      <c r="E2646" s="61">
        <v>8581</v>
      </c>
      <c r="F2646" s="61">
        <v>8825</v>
      </c>
      <c r="G2646" s="61">
        <v>2025</v>
      </c>
      <c r="H2646" s="61" t="s">
        <v>3532</v>
      </c>
      <c r="I2646" s="61" t="s">
        <v>37</v>
      </c>
      <c r="J2646" s="61"/>
      <c r="K2646" s="61" t="s">
        <v>328</v>
      </c>
      <c r="L2646" s="61" t="s">
        <v>9245</v>
      </c>
      <c r="M2646" s="475">
        <v>45790</v>
      </c>
      <c r="N2646" s="475">
        <v>45792</v>
      </c>
      <c r="O2646" s="61"/>
      <c r="P2646" s="475">
        <v>45793</v>
      </c>
      <c r="Q2646" s="475">
        <v>45793</v>
      </c>
      <c r="R2646" s="61">
        <f t="shared" si="184"/>
        <v>2</v>
      </c>
      <c r="S2646" s="61" t="str">
        <f t="shared" si="185"/>
        <v/>
      </c>
      <c r="T2646" s="61">
        <f t="shared" si="183"/>
        <v>1</v>
      </c>
      <c r="U2646" s="61">
        <f t="shared" si="186"/>
        <v>1</v>
      </c>
      <c r="V2646" s="61" t="s">
        <v>150</v>
      </c>
      <c r="W2646" s="61" t="s">
        <v>3527</v>
      </c>
      <c r="X2646" s="61" t="s">
        <v>3528</v>
      </c>
      <c r="Y2646" s="61">
        <v>15.670680000000001</v>
      </c>
      <c r="Z2646" s="61">
        <v>120.57993999999999</v>
      </c>
      <c r="AA2646" s="61" t="s">
        <v>8492</v>
      </c>
      <c r="AB2646" s="61"/>
    </row>
    <row r="2647" spans="1:28" s="2" customFormat="1" ht="28.5">
      <c r="A2647" s="61" t="s">
        <v>779</v>
      </c>
      <c r="B2647" s="61" t="s">
        <v>1493</v>
      </c>
      <c r="C2647" s="61" t="s">
        <v>6134</v>
      </c>
      <c r="D2647" s="61" t="s">
        <v>159</v>
      </c>
      <c r="E2647" s="61">
        <v>4986</v>
      </c>
      <c r="F2647" s="61">
        <v>6253</v>
      </c>
      <c r="G2647" s="61">
        <v>2025</v>
      </c>
      <c r="H2647" s="61" t="s">
        <v>4334</v>
      </c>
      <c r="I2647" s="61" t="s">
        <v>37</v>
      </c>
      <c r="J2647" s="61"/>
      <c r="K2647" s="61" t="s">
        <v>328</v>
      </c>
      <c r="L2647" s="61" t="s">
        <v>9246</v>
      </c>
      <c r="M2647" s="475">
        <v>45825</v>
      </c>
      <c r="N2647" s="475">
        <v>45826</v>
      </c>
      <c r="O2647" s="61"/>
      <c r="P2647" s="475">
        <v>45827</v>
      </c>
      <c r="Q2647" s="475">
        <v>45827</v>
      </c>
      <c r="R2647" s="61">
        <f t="shared" si="184"/>
        <v>1</v>
      </c>
      <c r="S2647" s="61" t="str">
        <f t="shared" si="185"/>
        <v/>
      </c>
      <c r="T2647" s="61">
        <f t="shared" si="183"/>
        <v>1</v>
      </c>
      <c r="U2647" s="61">
        <f t="shared" si="186"/>
        <v>1</v>
      </c>
      <c r="V2647" s="61" t="s">
        <v>150</v>
      </c>
      <c r="W2647" s="61" t="s">
        <v>3527</v>
      </c>
      <c r="X2647" s="61" t="s">
        <v>3528</v>
      </c>
      <c r="Y2647" s="61">
        <v>15.636380000000001</v>
      </c>
      <c r="Z2647" s="61">
        <v>120.60774000000001</v>
      </c>
      <c r="AA2647" s="61" t="s">
        <v>8492</v>
      </c>
      <c r="AB2647" s="61"/>
    </row>
    <row r="2648" spans="1:28" s="2" customFormat="1" ht="15">
      <c r="A2648" s="61" t="s">
        <v>779</v>
      </c>
      <c r="B2648" s="61" t="s">
        <v>1493</v>
      </c>
      <c r="C2648" s="61" t="s">
        <v>6105</v>
      </c>
      <c r="D2648" s="61" t="s">
        <v>159</v>
      </c>
      <c r="E2648" s="61">
        <v>3620</v>
      </c>
      <c r="F2648" s="61">
        <v>4361</v>
      </c>
      <c r="G2648" s="61"/>
      <c r="H2648" s="61"/>
      <c r="I2648" s="61" t="s">
        <v>37</v>
      </c>
      <c r="J2648" s="61"/>
      <c r="K2648" s="61" t="s">
        <v>328</v>
      </c>
      <c r="L2648" s="61"/>
      <c r="M2648" s="61"/>
      <c r="N2648" s="61"/>
      <c r="O2648" s="61"/>
      <c r="P2648" s="61"/>
      <c r="Q2648" s="61"/>
      <c r="R2648" s="61" t="str">
        <f t="shared" si="184"/>
        <v/>
      </c>
      <c r="S2648" s="61" t="str">
        <f t="shared" si="185"/>
        <v/>
      </c>
      <c r="T2648" s="61" t="str">
        <f t="shared" si="183"/>
        <v/>
      </c>
      <c r="U2648" s="61" t="str">
        <f t="shared" si="186"/>
        <v/>
      </c>
      <c r="V2648" s="61"/>
      <c r="W2648" s="61"/>
      <c r="X2648" s="61"/>
      <c r="Y2648" s="61"/>
      <c r="Z2648" s="61"/>
      <c r="AA2648" s="61"/>
      <c r="AB2648" s="61"/>
    </row>
    <row r="2649" spans="1:28" s="2" customFormat="1" ht="15">
      <c r="A2649" s="61" t="s">
        <v>779</v>
      </c>
      <c r="B2649" s="61" t="s">
        <v>1493</v>
      </c>
      <c r="C2649" s="61" t="s">
        <v>6106</v>
      </c>
      <c r="D2649" s="61" t="s">
        <v>159</v>
      </c>
      <c r="E2649" s="61">
        <v>1174</v>
      </c>
      <c r="F2649" s="61">
        <v>1309</v>
      </c>
      <c r="G2649" s="61"/>
      <c r="H2649" s="61"/>
      <c r="I2649" s="61" t="s">
        <v>37</v>
      </c>
      <c r="J2649" s="61"/>
      <c r="K2649" s="61" t="s">
        <v>328</v>
      </c>
      <c r="L2649" s="61"/>
      <c r="M2649" s="61"/>
      <c r="N2649" s="61"/>
      <c r="O2649" s="61"/>
      <c r="P2649" s="61"/>
      <c r="Q2649" s="61"/>
      <c r="R2649" s="61" t="str">
        <f t="shared" si="184"/>
        <v/>
      </c>
      <c r="S2649" s="61" t="str">
        <f t="shared" si="185"/>
        <v/>
      </c>
      <c r="T2649" s="61" t="str">
        <f t="shared" si="183"/>
        <v/>
      </c>
      <c r="U2649" s="61" t="str">
        <f t="shared" si="186"/>
        <v/>
      </c>
      <c r="V2649" s="61"/>
      <c r="W2649" s="61"/>
      <c r="X2649" s="61"/>
      <c r="Y2649" s="61"/>
      <c r="Z2649" s="61"/>
      <c r="AA2649" s="61"/>
      <c r="AB2649" s="61"/>
    </row>
    <row r="2650" spans="1:28" s="2" customFormat="1" ht="15">
      <c r="A2650" s="61" t="s">
        <v>779</v>
      </c>
      <c r="B2650" s="61" t="s">
        <v>1493</v>
      </c>
      <c r="C2650" s="61" t="s">
        <v>6107</v>
      </c>
      <c r="D2650" s="61" t="s">
        <v>159</v>
      </c>
      <c r="E2650" s="61">
        <v>593</v>
      </c>
      <c r="F2650" s="61">
        <v>707</v>
      </c>
      <c r="G2650" s="61"/>
      <c r="H2650" s="61"/>
      <c r="I2650" s="61" t="s">
        <v>37</v>
      </c>
      <c r="J2650" s="61"/>
      <c r="K2650" s="61" t="s">
        <v>328</v>
      </c>
      <c r="L2650" s="61"/>
      <c r="M2650" s="61"/>
      <c r="N2650" s="61"/>
      <c r="O2650" s="61"/>
      <c r="P2650" s="61"/>
      <c r="Q2650" s="61"/>
      <c r="R2650" s="61" t="str">
        <f t="shared" si="184"/>
        <v/>
      </c>
      <c r="S2650" s="61" t="str">
        <f t="shared" si="185"/>
        <v/>
      </c>
      <c r="T2650" s="61" t="str">
        <f t="shared" si="183"/>
        <v/>
      </c>
      <c r="U2650" s="61" t="str">
        <f t="shared" si="186"/>
        <v/>
      </c>
      <c r="V2650" s="61"/>
      <c r="W2650" s="61"/>
      <c r="X2650" s="61"/>
      <c r="Y2650" s="61"/>
      <c r="Z2650" s="61"/>
      <c r="AA2650" s="61"/>
      <c r="AB2650" s="61"/>
    </row>
    <row r="2651" spans="1:28" s="2" customFormat="1" ht="15">
      <c r="A2651" s="61" t="s">
        <v>779</v>
      </c>
      <c r="B2651" s="61" t="s">
        <v>1493</v>
      </c>
      <c r="C2651" s="61" t="s">
        <v>1490</v>
      </c>
      <c r="D2651" s="61" t="s">
        <v>159</v>
      </c>
      <c r="E2651" s="61">
        <v>2073</v>
      </c>
      <c r="F2651" s="61">
        <v>2345</v>
      </c>
      <c r="G2651" s="61"/>
      <c r="H2651" s="61"/>
      <c r="I2651" s="61" t="s">
        <v>37</v>
      </c>
      <c r="J2651" s="61"/>
      <c r="K2651" s="61" t="s">
        <v>328</v>
      </c>
      <c r="L2651" s="61"/>
      <c r="M2651" s="61"/>
      <c r="N2651" s="61"/>
      <c r="O2651" s="61"/>
      <c r="P2651" s="61"/>
      <c r="Q2651" s="61"/>
      <c r="R2651" s="61" t="str">
        <f t="shared" si="184"/>
        <v/>
      </c>
      <c r="S2651" s="61" t="str">
        <f t="shared" si="185"/>
        <v/>
      </c>
      <c r="T2651" s="61" t="str">
        <f t="shared" ref="T2651:T2714" si="187">IF(
  OR(A2651 = "Nueva_Ecija", A2651 = "Zambales"),
  IF(
    OR(ISBLANK(O2651), ISBLANK(P2651)),
    "",
    MAX(1, IF(
      NETWORKDAYS(O2651, P2651) &lt;= 0,
      1,
      NETWORKDAYS(O2651, P2651) - IF(O2651 = P2651, 0, 1)
    ))
  ),
  IF(
    OR(ISBLANK(N2651), ISBLANK(P2651)),
    "",
    MAX(1, IF(
      NETWORKDAYS(N2651, P2651) &lt;= 0,
      1,
      NETWORKDAYS(N2651, P2651) - IF(N2651 = P2651, 0, 1)
    ))
  )
)</f>
        <v/>
      </c>
      <c r="U2651" s="61" t="str">
        <f t="shared" si="186"/>
        <v/>
      </c>
      <c r="V2651" s="61"/>
      <c r="W2651" s="61"/>
      <c r="X2651" s="61"/>
      <c r="Y2651" s="61"/>
      <c r="Z2651" s="61"/>
      <c r="AA2651" s="61"/>
      <c r="AB2651" s="61"/>
    </row>
    <row r="2652" spans="1:28" s="2" customFormat="1" ht="15">
      <c r="A2652" s="61" t="s">
        <v>779</v>
      </c>
      <c r="B2652" s="61" t="s">
        <v>1493</v>
      </c>
      <c r="C2652" s="61" t="s">
        <v>6108</v>
      </c>
      <c r="D2652" s="61" t="s">
        <v>159</v>
      </c>
      <c r="E2652" s="61">
        <v>2890</v>
      </c>
      <c r="F2652" s="61">
        <v>3128</v>
      </c>
      <c r="G2652" s="61"/>
      <c r="H2652" s="61"/>
      <c r="I2652" s="61" t="s">
        <v>37</v>
      </c>
      <c r="J2652" s="61"/>
      <c r="K2652" s="61" t="s">
        <v>328</v>
      </c>
      <c r="L2652" s="61"/>
      <c r="M2652" s="61"/>
      <c r="N2652" s="61"/>
      <c r="O2652" s="61"/>
      <c r="P2652" s="61"/>
      <c r="Q2652" s="61"/>
      <c r="R2652" s="61" t="str">
        <f t="shared" si="184"/>
        <v/>
      </c>
      <c r="S2652" s="61" t="str">
        <f t="shared" si="185"/>
        <v/>
      </c>
      <c r="T2652" s="61" t="str">
        <f t="shared" si="187"/>
        <v/>
      </c>
      <c r="U2652" s="61" t="str">
        <f t="shared" si="186"/>
        <v/>
      </c>
      <c r="V2652" s="61"/>
      <c r="W2652" s="61"/>
      <c r="X2652" s="61"/>
      <c r="Y2652" s="61"/>
      <c r="Z2652" s="61"/>
      <c r="AA2652" s="61"/>
      <c r="AB2652" s="61"/>
    </row>
    <row r="2653" spans="1:28" s="2" customFormat="1" ht="15">
      <c r="A2653" s="61" t="s">
        <v>779</v>
      </c>
      <c r="B2653" s="61" t="s">
        <v>1493</v>
      </c>
      <c r="C2653" s="61" t="s">
        <v>6109</v>
      </c>
      <c r="D2653" s="61" t="s">
        <v>159</v>
      </c>
      <c r="E2653" s="61">
        <v>4643</v>
      </c>
      <c r="F2653" s="61">
        <v>5196</v>
      </c>
      <c r="G2653" s="61"/>
      <c r="H2653" s="61"/>
      <c r="I2653" s="61" t="s">
        <v>37</v>
      </c>
      <c r="J2653" s="61"/>
      <c r="K2653" s="61" t="s">
        <v>328</v>
      </c>
      <c r="L2653" s="61"/>
      <c r="M2653" s="61"/>
      <c r="N2653" s="61"/>
      <c r="O2653" s="61"/>
      <c r="P2653" s="61"/>
      <c r="Q2653" s="61"/>
      <c r="R2653" s="61" t="str">
        <f t="shared" si="184"/>
        <v/>
      </c>
      <c r="S2653" s="61" t="str">
        <f t="shared" si="185"/>
        <v/>
      </c>
      <c r="T2653" s="61" t="str">
        <f t="shared" si="187"/>
        <v/>
      </c>
      <c r="U2653" s="61" t="str">
        <f t="shared" si="186"/>
        <v/>
      </c>
      <c r="V2653" s="61"/>
      <c r="W2653" s="61"/>
      <c r="X2653" s="61"/>
      <c r="Y2653" s="61"/>
      <c r="Z2653" s="61"/>
      <c r="AA2653" s="61"/>
      <c r="AB2653" s="61"/>
    </row>
    <row r="2654" spans="1:28" s="2" customFormat="1" ht="15">
      <c r="A2654" s="61" t="s">
        <v>779</v>
      </c>
      <c r="B2654" s="61" t="s">
        <v>1493</v>
      </c>
      <c r="C2654" s="61" t="s">
        <v>6111</v>
      </c>
      <c r="D2654" s="61" t="s">
        <v>159</v>
      </c>
      <c r="E2654" s="61">
        <v>1669</v>
      </c>
      <c r="F2654" s="61">
        <v>1872</v>
      </c>
      <c r="G2654" s="61"/>
      <c r="H2654" s="61"/>
      <c r="I2654" s="61" t="s">
        <v>37</v>
      </c>
      <c r="J2654" s="61"/>
      <c r="K2654" s="61" t="s">
        <v>328</v>
      </c>
      <c r="L2654" s="61"/>
      <c r="M2654" s="61"/>
      <c r="N2654" s="61"/>
      <c r="O2654" s="61"/>
      <c r="P2654" s="61"/>
      <c r="Q2654" s="61"/>
      <c r="R2654" s="61" t="str">
        <f t="shared" si="184"/>
        <v/>
      </c>
      <c r="S2654" s="61" t="str">
        <f t="shared" si="185"/>
        <v/>
      </c>
      <c r="T2654" s="61" t="str">
        <f t="shared" si="187"/>
        <v/>
      </c>
      <c r="U2654" s="61" t="str">
        <f t="shared" si="186"/>
        <v/>
      </c>
      <c r="V2654" s="61"/>
      <c r="W2654" s="61"/>
      <c r="X2654" s="61"/>
      <c r="Y2654" s="61"/>
      <c r="Z2654" s="61"/>
      <c r="AA2654" s="61"/>
      <c r="AB2654" s="61"/>
    </row>
    <row r="2655" spans="1:28" s="2" customFormat="1" ht="15">
      <c r="A2655" s="61" t="s">
        <v>779</v>
      </c>
      <c r="B2655" s="61" t="s">
        <v>1493</v>
      </c>
      <c r="C2655" s="61" t="s">
        <v>6115</v>
      </c>
      <c r="D2655" s="61" t="s">
        <v>159</v>
      </c>
      <c r="E2655" s="61">
        <v>2298</v>
      </c>
      <c r="F2655" s="61">
        <v>2329</v>
      </c>
      <c r="G2655" s="61"/>
      <c r="H2655" s="61"/>
      <c r="I2655" s="61" t="s">
        <v>37</v>
      </c>
      <c r="J2655" s="61"/>
      <c r="K2655" s="61" t="s">
        <v>328</v>
      </c>
      <c r="L2655" s="61"/>
      <c r="M2655" s="61"/>
      <c r="N2655" s="61"/>
      <c r="O2655" s="61"/>
      <c r="P2655" s="61"/>
      <c r="Q2655" s="61"/>
      <c r="R2655" s="61" t="str">
        <f t="shared" si="184"/>
        <v/>
      </c>
      <c r="S2655" s="61" t="str">
        <f t="shared" si="185"/>
        <v/>
      </c>
      <c r="T2655" s="61" t="str">
        <f t="shared" si="187"/>
        <v/>
      </c>
      <c r="U2655" s="61" t="str">
        <f t="shared" si="186"/>
        <v/>
      </c>
      <c r="V2655" s="61"/>
      <c r="W2655" s="61"/>
      <c r="X2655" s="61"/>
      <c r="Y2655" s="61"/>
      <c r="Z2655" s="61"/>
      <c r="AA2655" s="61"/>
      <c r="AB2655" s="61"/>
    </row>
    <row r="2656" spans="1:28" s="2" customFormat="1" ht="15">
      <c r="A2656" s="61" t="s">
        <v>779</v>
      </c>
      <c r="B2656" s="61" t="s">
        <v>1493</v>
      </c>
      <c r="C2656" s="61" t="s">
        <v>6119</v>
      </c>
      <c r="D2656" s="61" t="s">
        <v>159</v>
      </c>
      <c r="E2656" s="61">
        <v>2312</v>
      </c>
      <c r="F2656" s="61">
        <v>2520</v>
      </c>
      <c r="G2656" s="61"/>
      <c r="H2656" s="61"/>
      <c r="I2656" s="61" t="s">
        <v>37</v>
      </c>
      <c r="J2656" s="61"/>
      <c r="K2656" s="61" t="s">
        <v>328</v>
      </c>
      <c r="L2656" s="61"/>
      <c r="M2656" s="61"/>
      <c r="N2656" s="61"/>
      <c r="O2656" s="61"/>
      <c r="P2656" s="61"/>
      <c r="Q2656" s="61"/>
      <c r="R2656" s="61" t="str">
        <f t="shared" si="184"/>
        <v/>
      </c>
      <c r="S2656" s="61" t="str">
        <f t="shared" si="185"/>
        <v/>
      </c>
      <c r="T2656" s="61" t="str">
        <f t="shared" si="187"/>
        <v/>
      </c>
      <c r="U2656" s="61" t="str">
        <f t="shared" si="186"/>
        <v/>
      </c>
      <c r="V2656" s="61"/>
      <c r="W2656" s="61"/>
      <c r="X2656" s="61"/>
      <c r="Y2656" s="61"/>
      <c r="Z2656" s="61"/>
      <c r="AA2656" s="61"/>
      <c r="AB2656" s="61"/>
    </row>
    <row r="2657" spans="1:28" s="2" customFormat="1" ht="15">
      <c r="A2657" s="61" t="s">
        <v>779</v>
      </c>
      <c r="B2657" s="61" t="s">
        <v>1493</v>
      </c>
      <c r="C2657" s="61" t="s">
        <v>6120</v>
      </c>
      <c r="D2657" s="61" t="s">
        <v>159</v>
      </c>
      <c r="E2657" s="61">
        <v>1218</v>
      </c>
      <c r="F2657" s="61">
        <v>1552</v>
      </c>
      <c r="G2657" s="61"/>
      <c r="H2657" s="61"/>
      <c r="I2657" s="61" t="s">
        <v>37</v>
      </c>
      <c r="J2657" s="61"/>
      <c r="K2657" s="61" t="s">
        <v>328</v>
      </c>
      <c r="L2657" s="61"/>
      <c r="M2657" s="61"/>
      <c r="N2657" s="61"/>
      <c r="O2657" s="61"/>
      <c r="P2657" s="61"/>
      <c r="Q2657" s="61"/>
      <c r="R2657" s="61" t="str">
        <f t="shared" si="184"/>
        <v/>
      </c>
      <c r="S2657" s="61" t="str">
        <f t="shared" si="185"/>
        <v/>
      </c>
      <c r="T2657" s="61" t="str">
        <f t="shared" si="187"/>
        <v/>
      </c>
      <c r="U2657" s="61" t="str">
        <f t="shared" si="186"/>
        <v/>
      </c>
      <c r="V2657" s="61"/>
      <c r="W2657" s="61"/>
      <c r="X2657" s="61"/>
      <c r="Y2657" s="61"/>
      <c r="Z2657" s="61"/>
      <c r="AA2657" s="61"/>
      <c r="AB2657" s="61"/>
    </row>
    <row r="2658" spans="1:28" s="2" customFormat="1" ht="15">
      <c r="A2658" s="61" t="s">
        <v>779</v>
      </c>
      <c r="B2658" s="61" t="s">
        <v>1493</v>
      </c>
      <c r="C2658" s="61" t="s">
        <v>6123</v>
      </c>
      <c r="D2658" s="61" t="s">
        <v>159</v>
      </c>
      <c r="E2658" s="61">
        <v>1018</v>
      </c>
      <c r="F2658" s="61">
        <v>1090</v>
      </c>
      <c r="G2658" s="61"/>
      <c r="H2658" s="61"/>
      <c r="I2658" s="61" t="s">
        <v>37</v>
      </c>
      <c r="J2658" s="61"/>
      <c r="K2658" s="61" t="s">
        <v>328</v>
      </c>
      <c r="L2658" s="61"/>
      <c r="M2658" s="61"/>
      <c r="N2658" s="61"/>
      <c r="O2658" s="61"/>
      <c r="P2658" s="61"/>
      <c r="Q2658" s="61"/>
      <c r="R2658" s="61" t="str">
        <f t="shared" si="184"/>
        <v/>
      </c>
      <c r="S2658" s="61" t="str">
        <f t="shared" si="185"/>
        <v/>
      </c>
      <c r="T2658" s="61" t="str">
        <f t="shared" si="187"/>
        <v/>
      </c>
      <c r="U2658" s="61" t="str">
        <f t="shared" si="186"/>
        <v/>
      </c>
      <c r="V2658" s="61"/>
      <c r="W2658" s="61"/>
      <c r="X2658" s="61"/>
      <c r="Y2658" s="61"/>
      <c r="Z2658" s="61"/>
      <c r="AA2658" s="61"/>
      <c r="AB2658" s="61"/>
    </row>
    <row r="2659" spans="1:28" s="2" customFormat="1" ht="15">
      <c r="A2659" s="61" t="s">
        <v>779</v>
      </c>
      <c r="B2659" s="61" t="s">
        <v>1493</v>
      </c>
      <c r="C2659" s="61" t="s">
        <v>6124</v>
      </c>
      <c r="D2659" s="61" t="s">
        <v>159</v>
      </c>
      <c r="E2659" s="61">
        <v>3975</v>
      </c>
      <c r="F2659" s="61">
        <v>4494</v>
      </c>
      <c r="G2659" s="61"/>
      <c r="H2659" s="61"/>
      <c r="I2659" s="61" t="s">
        <v>37</v>
      </c>
      <c r="J2659" s="61"/>
      <c r="K2659" s="61" t="s">
        <v>328</v>
      </c>
      <c r="L2659" s="61"/>
      <c r="M2659" s="61"/>
      <c r="N2659" s="61"/>
      <c r="O2659" s="61"/>
      <c r="P2659" s="61"/>
      <c r="Q2659" s="61"/>
      <c r="R2659" s="61" t="str">
        <f t="shared" si="184"/>
        <v/>
      </c>
      <c r="S2659" s="61" t="str">
        <f t="shared" si="185"/>
        <v/>
      </c>
      <c r="T2659" s="61" t="str">
        <f t="shared" si="187"/>
        <v/>
      </c>
      <c r="U2659" s="61" t="str">
        <f t="shared" si="186"/>
        <v/>
      </c>
      <c r="V2659" s="61"/>
      <c r="W2659" s="61"/>
      <c r="X2659" s="61"/>
      <c r="Y2659" s="61"/>
      <c r="Z2659" s="61"/>
      <c r="AA2659" s="61"/>
      <c r="AB2659" s="61"/>
    </row>
    <row r="2660" spans="1:28" s="2" customFormat="1" ht="15">
      <c r="A2660" s="61" t="s">
        <v>779</v>
      </c>
      <c r="B2660" s="61" t="s">
        <v>1493</v>
      </c>
      <c r="C2660" s="61" t="s">
        <v>5233</v>
      </c>
      <c r="D2660" s="61" t="s">
        <v>159</v>
      </c>
      <c r="E2660" s="61">
        <v>2113</v>
      </c>
      <c r="F2660" s="61">
        <v>2399</v>
      </c>
      <c r="G2660" s="61"/>
      <c r="H2660" s="61"/>
      <c r="I2660" s="61" t="s">
        <v>37</v>
      </c>
      <c r="J2660" s="61"/>
      <c r="K2660" s="61" t="s">
        <v>328</v>
      </c>
      <c r="L2660" s="61"/>
      <c r="M2660" s="61"/>
      <c r="N2660" s="61"/>
      <c r="O2660" s="61"/>
      <c r="P2660" s="61"/>
      <c r="Q2660" s="61"/>
      <c r="R2660" s="61" t="str">
        <f t="shared" si="184"/>
        <v/>
      </c>
      <c r="S2660" s="61" t="str">
        <f t="shared" si="185"/>
        <v/>
      </c>
      <c r="T2660" s="61" t="str">
        <f t="shared" si="187"/>
        <v/>
      </c>
      <c r="U2660" s="61" t="str">
        <f t="shared" si="186"/>
        <v/>
      </c>
      <c r="V2660" s="61"/>
      <c r="W2660" s="61"/>
      <c r="X2660" s="61"/>
      <c r="Y2660" s="61"/>
      <c r="Z2660" s="61"/>
      <c r="AA2660" s="61"/>
      <c r="AB2660" s="61"/>
    </row>
    <row r="2661" spans="1:28" s="2" customFormat="1" ht="15">
      <c r="A2661" s="61" t="s">
        <v>779</v>
      </c>
      <c r="B2661" s="61" t="s">
        <v>1493</v>
      </c>
      <c r="C2661" s="61" t="s">
        <v>3809</v>
      </c>
      <c r="D2661" s="61" t="s">
        <v>159</v>
      </c>
      <c r="E2661" s="61">
        <v>1396</v>
      </c>
      <c r="F2661" s="61">
        <v>1682</v>
      </c>
      <c r="G2661" s="61"/>
      <c r="H2661" s="61"/>
      <c r="I2661" s="61" t="s">
        <v>37</v>
      </c>
      <c r="J2661" s="61"/>
      <c r="K2661" s="61" t="s">
        <v>328</v>
      </c>
      <c r="L2661" s="61"/>
      <c r="M2661" s="61"/>
      <c r="N2661" s="61"/>
      <c r="O2661" s="61"/>
      <c r="P2661" s="61"/>
      <c r="Q2661" s="61"/>
      <c r="R2661" s="61" t="str">
        <f t="shared" si="184"/>
        <v/>
      </c>
      <c r="S2661" s="61" t="str">
        <f t="shared" si="185"/>
        <v/>
      </c>
      <c r="T2661" s="61" t="str">
        <f t="shared" si="187"/>
        <v/>
      </c>
      <c r="U2661" s="61" t="str">
        <f t="shared" si="186"/>
        <v/>
      </c>
      <c r="V2661" s="61"/>
      <c r="W2661" s="61"/>
      <c r="X2661" s="61"/>
      <c r="Y2661" s="61"/>
      <c r="Z2661" s="61"/>
      <c r="AA2661" s="61"/>
      <c r="AB2661" s="61"/>
    </row>
    <row r="2662" spans="1:28" s="2" customFormat="1" ht="15">
      <c r="A2662" s="61" t="s">
        <v>779</v>
      </c>
      <c r="B2662" s="61" t="s">
        <v>1493</v>
      </c>
      <c r="C2662" s="61" t="s">
        <v>1180</v>
      </c>
      <c r="D2662" s="61" t="s">
        <v>159</v>
      </c>
      <c r="E2662" s="61">
        <v>2049</v>
      </c>
      <c r="F2662" s="61">
        <v>2202</v>
      </c>
      <c r="G2662" s="61"/>
      <c r="H2662" s="61"/>
      <c r="I2662" s="61" t="s">
        <v>37</v>
      </c>
      <c r="J2662" s="61"/>
      <c r="K2662" s="61" t="s">
        <v>328</v>
      </c>
      <c r="L2662" s="61"/>
      <c r="M2662" s="61"/>
      <c r="N2662" s="61"/>
      <c r="O2662" s="61"/>
      <c r="P2662" s="61"/>
      <c r="Q2662" s="61"/>
      <c r="R2662" s="61" t="str">
        <f t="shared" si="184"/>
        <v/>
      </c>
      <c r="S2662" s="61" t="str">
        <f t="shared" si="185"/>
        <v/>
      </c>
      <c r="T2662" s="61" t="str">
        <f t="shared" si="187"/>
        <v/>
      </c>
      <c r="U2662" s="61" t="str">
        <f t="shared" si="186"/>
        <v/>
      </c>
      <c r="V2662" s="61"/>
      <c r="W2662" s="61"/>
      <c r="X2662" s="61"/>
      <c r="Y2662" s="61"/>
      <c r="Z2662" s="61"/>
      <c r="AA2662" s="61"/>
      <c r="AB2662" s="61"/>
    </row>
    <row r="2663" spans="1:28" s="2" customFormat="1" ht="15">
      <c r="A2663" s="61" t="s">
        <v>779</v>
      </c>
      <c r="B2663" s="61" t="s">
        <v>1493</v>
      </c>
      <c r="C2663" s="61" t="s">
        <v>6136</v>
      </c>
      <c r="D2663" s="61" t="s">
        <v>159</v>
      </c>
      <c r="E2663" s="61">
        <v>926</v>
      </c>
      <c r="F2663" s="61">
        <v>1077</v>
      </c>
      <c r="G2663" s="61"/>
      <c r="H2663" s="61"/>
      <c r="I2663" s="61" t="s">
        <v>37</v>
      </c>
      <c r="J2663" s="61"/>
      <c r="K2663" s="61" t="s">
        <v>328</v>
      </c>
      <c r="L2663" s="61"/>
      <c r="M2663" s="61"/>
      <c r="N2663" s="61"/>
      <c r="O2663" s="61"/>
      <c r="P2663" s="61"/>
      <c r="Q2663" s="61"/>
      <c r="R2663" s="61" t="str">
        <f t="shared" si="184"/>
        <v/>
      </c>
      <c r="S2663" s="61" t="str">
        <f t="shared" si="185"/>
        <v/>
      </c>
      <c r="T2663" s="61" t="str">
        <f t="shared" si="187"/>
        <v/>
      </c>
      <c r="U2663" s="61" t="str">
        <f t="shared" si="186"/>
        <v/>
      </c>
      <c r="V2663" s="61"/>
      <c r="W2663" s="61"/>
      <c r="X2663" s="61"/>
      <c r="Y2663" s="61"/>
      <c r="Z2663" s="61"/>
      <c r="AA2663" s="61"/>
      <c r="AB2663" s="61"/>
    </row>
    <row r="2664" spans="1:28" s="2" customFormat="1" ht="15">
      <c r="A2664" s="61" t="s">
        <v>779</v>
      </c>
      <c r="B2664" s="61" t="s">
        <v>1493</v>
      </c>
      <c r="C2664" s="61" t="s">
        <v>4027</v>
      </c>
      <c r="D2664" s="61" t="s">
        <v>159</v>
      </c>
      <c r="E2664" s="61">
        <v>1711</v>
      </c>
      <c r="F2664" s="61">
        <v>2088</v>
      </c>
      <c r="G2664" s="61"/>
      <c r="H2664" s="61"/>
      <c r="I2664" s="61" t="s">
        <v>37</v>
      </c>
      <c r="J2664" s="61"/>
      <c r="K2664" s="61" t="s">
        <v>328</v>
      </c>
      <c r="L2664" s="61"/>
      <c r="M2664" s="61"/>
      <c r="N2664" s="61"/>
      <c r="O2664" s="61"/>
      <c r="P2664" s="61"/>
      <c r="Q2664" s="61"/>
      <c r="R2664" s="61" t="str">
        <f t="shared" si="184"/>
        <v/>
      </c>
      <c r="S2664" s="61" t="str">
        <f t="shared" si="185"/>
        <v/>
      </c>
      <c r="T2664" s="61" t="str">
        <f t="shared" si="187"/>
        <v/>
      </c>
      <c r="U2664" s="61" t="str">
        <f t="shared" si="186"/>
        <v/>
      </c>
      <c r="V2664" s="61"/>
      <c r="W2664" s="61"/>
      <c r="X2664" s="61"/>
      <c r="Y2664" s="61"/>
      <c r="Z2664" s="61"/>
      <c r="AA2664" s="61"/>
      <c r="AB2664" s="61"/>
    </row>
    <row r="2665" spans="1:28" s="2" customFormat="1" ht="15">
      <c r="A2665" s="61" t="s">
        <v>779</v>
      </c>
      <c r="B2665" s="61" t="s">
        <v>1493</v>
      </c>
      <c r="C2665" s="61" t="s">
        <v>6137</v>
      </c>
      <c r="D2665" s="61" t="s">
        <v>159</v>
      </c>
      <c r="E2665" s="61">
        <v>2051</v>
      </c>
      <c r="F2665" s="61">
        <v>2160</v>
      </c>
      <c r="G2665" s="61"/>
      <c r="H2665" s="61"/>
      <c r="I2665" s="61" t="s">
        <v>37</v>
      </c>
      <c r="J2665" s="61"/>
      <c r="K2665" s="61" t="s">
        <v>328</v>
      </c>
      <c r="L2665" s="61"/>
      <c r="M2665" s="61"/>
      <c r="N2665" s="61"/>
      <c r="O2665" s="61"/>
      <c r="P2665" s="61"/>
      <c r="Q2665" s="61"/>
      <c r="R2665" s="61" t="str">
        <f t="shared" si="184"/>
        <v/>
      </c>
      <c r="S2665" s="61" t="str">
        <f t="shared" si="185"/>
        <v/>
      </c>
      <c r="T2665" s="61" t="str">
        <f t="shared" si="187"/>
        <v/>
      </c>
      <c r="U2665" s="61" t="str">
        <f t="shared" si="186"/>
        <v/>
      </c>
      <c r="V2665" s="61"/>
      <c r="W2665" s="61"/>
      <c r="X2665" s="61"/>
      <c r="Y2665" s="61"/>
      <c r="Z2665" s="61"/>
      <c r="AA2665" s="61"/>
      <c r="AB2665" s="61"/>
    </row>
    <row r="2666" spans="1:28" s="2" customFormat="1" ht="15">
      <c r="A2666" s="61" t="s">
        <v>779</v>
      </c>
      <c r="B2666" s="61" t="s">
        <v>1493</v>
      </c>
      <c r="C2666" s="61" t="s">
        <v>6138</v>
      </c>
      <c r="D2666" s="61" t="s">
        <v>159</v>
      </c>
      <c r="E2666" s="61">
        <v>2689</v>
      </c>
      <c r="F2666" s="61">
        <v>3082</v>
      </c>
      <c r="G2666" s="61"/>
      <c r="H2666" s="61"/>
      <c r="I2666" s="61" t="s">
        <v>37</v>
      </c>
      <c r="J2666" s="61"/>
      <c r="K2666" s="61" t="s">
        <v>328</v>
      </c>
      <c r="L2666" s="61"/>
      <c r="M2666" s="61"/>
      <c r="N2666" s="61"/>
      <c r="O2666" s="61"/>
      <c r="P2666" s="61"/>
      <c r="Q2666" s="61"/>
      <c r="R2666" s="61" t="str">
        <f t="shared" si="184"/>
        <v/>
      </c>
      <c r="S2666" s="61" t="str">
        <f t="shared" si="185"/>
        <v/>
      </c>
      <c r="T2666" s="61" t="str">
        <f t="shared" si="187"/>
        <v/>
      </c>
      <c r="U2666" s="61" t="str">
        <f t="shared" si="186"/>
        <v/>
      </c>
      <c r="V2666" s="61"/>
      <c r="W2666" s="61"/>
      <c r="X2666" s="61"/>
      <c r="Y2666" s="61"/>
      <c r="Z2666" s="61"/>
      <c r="AA2666" s="61"/>
      <c r="AB2666" s="61"/>
    </row>
    <row r="2667" spans="1:28" s="2" customFormat="1" ht="15">
      <c r="A2667" s="61" t="s">
        <v>779</v>
      </c>
      <c r="B2667" s="61" t="s">
        <v>1493</v>
      </c>
      <c r="C2667" s="61" t="s">
        <v>6139</v>
      </c>
      <c r="D2667" s="61" t="s">
        <v>159</v>
      </c>
      <c r="E2667" s="61">
        <v>2441</v>
      </c>
      <c r="F2667" s="61">
        <v>2927</v>
      </c>
      <c r="G2667" s="61"/>
      <c r="H2667" s="61"/>
      <c r="I2667" s="61" t="s">
        <v>37</v>
      </c>
      <c r="J2667" s="61"/>
      <c r="K2667" s="61" t="s">
        <v>328</v>
      </c>
      <c r="L2667" s="61"/>
      <c r="M2667" s="61"/>
      <c r="N2667" s="61"/>
      <c r="O2667" s="61"/>
      <c r="P2667" s="61"/>
      <c r="Q2667" s="61"/>
      <c r="R2667" s="61" t="str">
        <f t="shared" si="184"/>
        <v/>
      </c>
      <c r="S2667" s="61" t="str">
        <f t="shared" si="185"/>
        <v/>
      </c>
      <c r="T2667" s="61" t="str">
        <f t="shared" si="187"/>
        <v/>
      </c>
      <c r="U2667" s="61" t="str">
        <f t="shared" si="186"/>
        <v/>
      </c>
      <c r="V2667" s="61"/>
      <c r="W2667" s="61"/>
      <c r="X2667" s="61"/>
      <c r="Y2667" s="61"/>
      <c r="Z2667" s="61"/>
      <c r="AA2667" s="61"/>
      <c r="AB2667" s="61"/>
    </row>
    <row r="2668" spans="1:28" s="2" customFormat="1" ht="15">
      <c r="A2668" s="61" t="s">
        <v>779</v>
      </c>
      <c r="B2668" s="61" t="s">
        <v>1498</v>
      </c>
      <c r="C2668" s="61" t="s">
        <v>1499</v>
      </c>
      <c r="D2668" s="61" t="s">
        <v>159</v>
      </c>
      <c r="E2668" s="61">
        <v>1193</v>
      </c>
      <c r="F2668" s="61">
        <v>1296</v>
      </c>
      <c r="G2668" s="61">
        <v>2025</v>
      </c>
      <c r="H2668" s="61" t="s">
        <v>3127</v>
      </c>
      <c r="I2668" s="61" t="s">
        <v>37</v>
      </c>
      <c r="J2668" s="61"/>
      <c r="K2668" s="61" t="s">
        <v>328</v>
      </c>
      <c r="L2668" s="61" t="s">
        <v>9247</v>
      </c>
      <c r="M2668" s="475">
        <v>45911</v>
      </c>
      <c r="N2668" s="475">
        <v>45918</v>
      </c>
      <c r="O2668" s="61"/>
      <c r="P2668" s="475">
        <v>45918</v>
      </c>
      <c r="Q2668" s="475">
        <v>45919</v>
      </c>
      <c r="R2668" s="61">
        <f t="shared" si="184"/>
        <v>5</v>
      </c>
      <c r="S2668" s="61" t="str">
        <f t="shared" si="185"/>
        <v/>
      </c>
      <c r="T2668" s="61">
        <f t="shared" si="187"/>
        <v>1</v>
      </c>
      <c r="U2668" s="61">
        <f t="shared" si="186"/>
        <v>1</v>
      </c>
      <c r="V2668" s="61" t="s">
        <v>150</v>
      </c>
      <c r="W2668" s="61" t="s">
        <v>1078</v>
      </c>
      <c r="X2668" s="61" t="s">
        <v>50</v>
      </c>
      <c r="Y2668" s="61">
        <v>15.615933999999999</v>
      </c>
      <c r="Z2668" s="61">
        <v>120.65208199999999</v>
      </c>
      <c r="AA2668" s="61" t="s">
        <v>8361</v>
      </c>
      <c r="AB2668" s="61"/>
    </row>
    <row r="2669" spans="1:28" s="2" customFormat="1" ht="15">
      <c r="A2669" s="61" t="s">
        <v>779</v>
      </c>
      <c r="B2669" s="61" t="s">
        <v>1498</v>
      </c>
      <c r="C2669" s="61" t="s">
        <v>4943</v>
      </c>
      <c r="D2669" s="61" t="s">
        <v>159</v>
      </c>
      <c r="E2669" s="61">
        <v>1437</v>
      </c>
      <c r="F2669" s="61">
        <v>1609</v>
      </c>
      <c r="G2669" s="61">
        <v>2025</v>
      </c>
      <c r="H2669" s="61" t="s">
        <v>3127</v>
      </c>
      <c r="I2669" s="61" t="s">
        <v>37</v>
      </c>
      <c r="J2669" s="61"/>
      <c r="K2669" s="61" t="s">
        <v>328</v>
      </c>
      <c r="L2669" s="61" t="s">
        <v>9247</v>
      </c>
      <c r="M2669" s="475">
        <v>45911</v>
      </c>
      <c r="N2669" s="475">
        <v>45918</v>
      </c>
      <c r="O2669" s="61"/>
      <c r="P2669" s="475">
        <v>45918</v>
      </c>
      <c r="Q2669" s="475">
        <v>45919</v>
      </c>
      <c r="R2669" s="61">
        <f t="shared" si="184"/>
        <v>5</v>
      </c>
      <c r="S2669" s="61" t="str">
        <f t="shared" si="185"/>
        <v/>
      </c>
      <c r="T2669" s="61">
        <f t="shared" si="187"/>
        <v>1</v>
      </c>
      <c r="U2669" s="61">
        <f t="shared" si="186"/>
        <v>1</v>
      </c>
      <c r="V2669" s="61" t="s">
        <v>150</v>
      </c>
      <c r="W2669" s="61" t="s">
        <v>3527</v>
      </c>
      <c r="X2669" s="61" t="s">
        <v>3528</v>
      </c>
      <c r="Y2669" s="61" t="s">
        <v>69</v>
      </c>
      <c r="Z2669" s="61" t="s">
        <v>69</v>
      </c>
      <c r="AA2669" s="61" t="s">
        <v>8361</v>
      </c>
      <c r="AB2669" s="61"/>
    </row>
    <row r="2670" spans="1:28" s="2" customFormat="1" ht="15">
      <c r="A2670" s="61" t="s">
        <v>779</v>
      </c>
      <c r="B2670" s="61" t="s">
        <v>1498</v>
      </c>
      <c r="C2670" s="61" t="s">
        <v>6152</v>
      </c>
      <c r="D2670" s="61" t="s">
        <v>159</v>
      </c>
      <c r="E2670" s="61">
        <v>1406</v>
      </c>
      <c r="F2670" s="61">
        <v>1601</v>
      </c>
      <c r="G2670" s="61">
        <v>2025</v>
      </c>
      <c r="H2670" s="61" t="s">
        <v>3127</v>
      </c>
      <c r="I2670" s="61" t="s">
        <v>37</v>
      </c>
      <c r="J2670" s="61"/>
      <c r="K2670" s="61" t="s">
        <v>328</v>
      </c>
      <c r="L2670" s="61" t="s">
        <v>9247</v>
      </c>
      <c r="M2670" s="475">
        <v>45911</v>
      </c>
      <c r="N2670" s="475">
        <v>45918</v>
      </c>
      <c r="O2670" s="61"/>
      <c r="P2670" s="475">
        <v>45918</v>
      </c>
      <c r="Q2670" s="475">
        <v>45919</v>
      </c>
      <c r="R2670" s="61">
        <f t="shared" si="184"/>
        <v>5</v>
      </c>
      <c r="S2670" s="61" t="str">
        <f t="shared" si="185"/>
        <v/>
      </c>
      <c r="T2670" s="61">
        <f t="shared" si="187"/>
        <v>1</v>
      </c>
      <c r="U2670" s="61">
        <f t="shared" si="186"/>
        <v>1</v>
      </c>
      <c r="V2670" s="61" t="s">
        <v>150</v>
      </c>
      <c r="W2670" s="61" t="s">
        <v>3527</v>
      </c>
      <c r="X2670" s="61" t="s">
        <v>3528</v>
      </c>
      <c r="Y2670" s="61" t="s">
        <v>69</v>
      </c>
      <c r="Z2670" s="61" t="s">
        <v>69</v>
      </c>
      <c r="AA2670" s="61" t="s">
        <v>8361</v>
      </c>
      <c r="AB2670" s="61"/>
    </row>
    <row r="2671" spans="1:28" s="2" customFormat="1" ht="15">
      <c r="A2671" s="61" t="s">
        <v>779</v>
      </c>
      <c r="B2671" s="61" t="s">
        <v>1498</v>
      </c>
      <c r="C2671" s="61" t="s">
        <v>5987</v>
      </c>
      <c r="D2671" s="61" t="s">
        <v>159</v>
      </c>
      <c r="E2671" s="61">
        <v>1266</v>
      </c>
      <c r="F2671" s="61">
        <v>1204</v>
      </c>
      <c r="G2671" s="61">
        <v>2025</v>
      </c>
      <c r="H2671" s="61" t="s">
        <v>3127</v>
      </c>
      <c r="I2671" s="61" t="s">
        <v>37</v>
      </c>
      <c r="J2671" s="61"/>
      <c r="K2671" s="61" t="s">
        <v>328</v>
      </c>
      <c r="L2671" s="61" t="s">
        <v>9247</v>
      </c>
      <c r="M2671" s="475">
        <v>45911</v>
      </c>
      <c r="N2671" s="475">
        <v>45918</v>
      </c>
      <c r="O2671" s="61"/>
      <c r="P2671" s="475">
        <v>45918</v>
      </c>
      <c r="Q2671" s="475">
        <v>45919</v>
      </c>
      <c r="R2671" s="61">
        <f t="shared" si="184"/>
        <v>5</v>
      </c>
      <c r="S2671" s="61" t="str">
        <f t="shared" si="185"/>
        <v/>
      </c>
      <c r="T2671" s="61">
        <f t="shared" si="187"/>
        <v>1</v>
      </c>
      <c r="U2671" s="61">
        <f t="shared" si="186"/>
        <v>1</v>
      </c>
      <c r="V2671" s="61" t="s">
        <v>150</v>
      </c>
      <c r="W2671" s="61" t="s">
        <v>3527</v>
      </c>
      <c r="X2671" s="61" t="s">
        <v>3528</v>
      </c>
      <c r="Y2671" s="61" t="s">
        <v>69</v>
      </c>
      <c r="Z2671" s="61" t="s">
        <v>69</v>
      </c>
      <c r="AA2671" s="61" t="s">
        <v>8361</v>
      </c>
      <c r="AB2671" s="61"/>
    </row>
    <row r="2672" spans="1:28" s="2" customFormat="1" ht="15">
      <c r="A2672" s="61" t="s">
        <v>779</v>
      </c>
      <c r="B2672" s="61" t="s">
        <v>1498</v>
      </c>
      <c r="C2672" s="61" t="s">
        <v>3508</v>
      </c>
      <c r="D2672" s="61" t="s">
        <v>159</v>
      </c>
      <c r="E2672" s="61">
        <v>2932</v>
      </c>
      <c r="F2672" s="61">
        <v>3105</v>
      </c>
      <c r="G2672" s="61">
        <v>2025</v>
      </c>
      <c r="H2672" s="61" t="s">
        <v>3416</v>
      </c>
      <c r="I2672" s="61" t="s">
        <v>37</v>
      </c>
      <c r="J2672" s="61"/>
      <c r="K2672" s="61" t="s">
        <v>328</v>
      </c>
      <c r="L2672" s="61" t="s">
        <v>9248</v>
      </c>
      <c r="M2672" s="475">
        <v>45721</v>
      </c>
      <c r="N2672" s="475">
        <v>45723</v>
      </c>
      <c r="O2672" s="61"/>
      <c r="P2672" s="475">
        <v>45726</v>
      </c>
      <c r="Q2672" s="475">
        <v>45728</v>
      </c>
      <c r="R2672" s="61">
        <f t="shared" si="184"/>
        <v>2</v>
      </c>
      <c r="S2672" s="61" t="str">
        <f t="shared" si="185"/>
        <v/>
      </c>
      <c r="T2672" s="61">
        <f t="shared" si="187"/>
        <v>1</v>
      </c>
      <c r="U2672" s="61">
        <f t="shared" si="186"/>
        <v>2</v>
      </c>
      <c r="V2672" s="61" t="s">
        <v>150</v>
      </c>
      <c r="W2672" s="61" t="s">
        <v>4</v>
      </c>
      <c r="X2672" s="61" t="s">
        <v>50</v>
      </c>
      <c r="Y2672" s="61">
        <v>15.6295</v>
      </c>
      <c r="Z2672" s="61">
        <v>120.6729</v>
      </c>
      <c r="AA2672" s="61" t="s">
        <v>8361</v>
      </c>
      <c r="AB2672" s="61"/>
    </row>
    <row r="2673" spans="1:28" s="2" customFormat="1" ht="28.5">
      <c r="A2673" s="61" t="s">
        <v>779</v>
      </c>
      <c r="B2673" s="61" t="s">
        <v>1498</v>
      </c>
      <c r="C2673" s="61" t="s">
        <v>5995</v>
      </c>
      <c r="D2673" s="61" t="s">
        <v>159</v>
      </c>
      <c r="E2673" s="61">
        <v>1695</v>
      </c>
      <c r="F2673" s="61">
        <v>2004</v>
      </c>
      <c r="G2673" s="61">
        <v>2025</v>
      </c>
      <c r="H2673" s="61" t="s">
        <v>4334</v>
      </c>
      <c r="I2673" s="61" t="s">
        <v>37</v>
      </c>
      <c r="J2673" s="61"/>
      <c r="K2673" s="61" t="s">
        <v>328</v>
      </c>
      <c r="L2673" s="61" t="s">
        <v>9249</v>
      </c>
      <c r="M2673" s="475">
        <v>45821</v>
      </c>
      <c r="N2673" s="475">
        <v>45823</v>
      </c>
      <c r="O2673" s="61"/>
      <c r="P2673" s="475">
        <v>45824</v>
      </c>
      <c r="Q2673" s="475">
        <v>45824</v>
      </c>
      <c r="R2673" s="61">
        <f t="shared" si="184"/>
        <v>1</v>
      </c>
      <c r="S2673" s="61" t="str">
        <f t="shared" si="185"/>
        <v/>
      </c>
      <c r="T2673" s="61">
        <f t="shared" si="187"/>
        <v>1</v>
      </c>
      <c r="U2673" s="61">
        <f t="shared" si="186"/>
        <v>1</v>
      </c>
      <c r="V2673" s="61" t="s">
        <v>150</v>
      </c>
      <c r="W2673" s="61" t="s">
        <v>4</v>
      </c>
      <c r="X2673" s="61" t="s">
        <v>50</v>
      </c>
      <c r="Y2673" s="61">
        <v>15.491849999999999</v>
      </c>
      <c r="Z2673" s="61">
        <v>120.66681</v>
      </c>
      <c r="AA2673" s="61" t="s">
        <v>8492</v>
      </c>
      <c r="AB2673" s="61"/>
    </row>
    <row r="2674" spans="1:28" s="2" customFormat="1" ht="15">
      <c r="A2674" s="61" t="s">
        <v>779</v>
      </c>
      <c r="B2674" s="61" t="s">
        <v>1498</v>
      </c>
      <c r="C2674" s="61" t="s">
        <v>6143</v>
      </c>
      <c r="D2674" s="61" t="s">
        <v>159</v>
      </c>
      <c r="E2674" s="61">
        <v>756</v>
      </c>
      <c r="F2674" s="61">
        <v>886</v>
      </c>
      <c r="G2674" s="61">
        <v>2025</v>
      </c>
      <c r="H2674" s="61" t="s">
        <v>3416</v>
      </c>
      <c r="I2674" s="61" t="s">
        <v>37</v>
      </c>
      <c r="J2674" s="61"/>
      <c r="K2674" s="61" t="s">
        <v>328</v>
      </c>
      <c r="L2674" s="61" t="s">
        <v>9250</v>
      </c>
      <c r="M2674" s="475">
        <v>45721</v>
      </c>
      <c r="N2674" s="475">
        <v>45723</v>
      </c>
      <c r="O2674" s="61"/>
      <c r="P2674" s="475">
        <v>45726</v>
      </c>
      <c r="Q2674" s="475">
        <v>45728</v>
      </c>
      <c r="R2674" s="61">
        <f t="shared" si="184"/>
        <v>2</v>
      </c>
      <c r="S2674" s="61" t="str">
        <f t="shared" si="185"/>
        <v/>
      </c>
      <c r="T2674" s="61">
        <f t="shared" si="187"/>
        <v>1</v>
      </c>
      <c r="U2674" s="61">
        <f t="shared" si="186"/>
        <v>2</v>
      </c>
      <c r="V2674" s="61" t="s">
        <v>150</v>
      </c>
      <c r="W2674" s="61" t="s">
        <v>1078</v>
      </c>
      <c r="X2674" s="61" t="s">
        <v>50</v>
      </c>
      <c r="Y2674" s="61">
        <v>15.646800000000001</v>
      </c>
      <c r="Z2674" s="634">
        <v>120.6512</v>
      </c>
      <c r="AA2674" s="61" t="s">
        <v>8361</v>
      </c>
      <c r="AB2674" s="61"/>
    </row>
    <row r="2675" spans="1:28" s="2" customFormat="1" ht="15">
      <c r="A2675" s="61" t="s">
        <v>779</v>
      </c>
      <c r="B2675" s="61" t="s">
        <v>1498</v>
      </c>
      <c r="C2675" s="61" t="s">
        <v>4045</v>
      </c>
      <c r="D2675" s="61" t="s">
        <v>159</v>
      </c>
      <c r="E2675" s="61">
        <v>1730</v>
      </c>
      <c r="F2675" s="61">
        <v>1835</v>
      </c>
      <c r="G2675" s="61"/>
      <c r="H2675" s="61"/>
      <c r="I2675" s="61" t="s">
        <v>37</v>
      </c>
      <c r="J2675" s="61"/>
      <c r="K2675" s="61" t="s">
        <v>328</v>
      </c>
      <c r="L2675" s="61"/>
      <c r="M2675" s="61"/>
      <c r="N2675" s="61"/>
      <c r="O2675" s="61"/>
      <c r="P2675" s="61"/>
      <c r="Q2675" s="61"/>
      <c r="R2675" s="61" t="str">
        <f t="shared" si="184"/>
        <v/>
      </c>
      <c r="S2675" s="61" t="str">
        <f t="shared" si="185"/>
        <v/>
      </c>
      <c r="T2675" s="61" t="str">
        <f t="shared" si="187"/>
        <v/>
      </c>
      <c r="U2675" s="61" t="str">
        <f t="shared" si="186"/>
        <v/>
      </c>
      <c r="V2675" s="61"/>
      <c r="W2675" s="61"/>
      <c r="X2675" s="61"/>
      <c r="Y2675" s="61"/>
      <c r="Z2675" s="61"/>
      <c r="AA2675" s="61"/>
      <c r="AB2675" s="61"/>
    </row>
    <row r="2676" spans="1:28" s="2" customFormat="1" ht="15">
      <c r="A2676" s="61" t="s">
        <v>779</v>
      </c>
      <c r="B2676" s="61" t="s">
        <v>1498</v>
      </c>
      <c r="C2676" s="61" t="s">
        <v>6145</v>
      </c>
      <c r="D2676" s="61" t="s">
        <v>159</v>
      </c>
      <c r="E2676" s="61">
        <v>4201</v>
      </c>
      <c r="F2676" s="61">
        <v>4505</v>
      </c>
      <c r="G2676" s="61"/>
      <c r="H2676" s="61"/>
      <c r="I2676" s="61" t="s">
        <v>37</v>
      </c>
      <c r="J2676" s="61"/>
      <c r="K2676" s="61" t="s">
        <v>328</v>
      </c>
      <c r="L2676" s="61"/>
      <c r="M2676" s="61"/>
      <c r="N2676" s="61"/>
      <c r="O2676" s="61"/>
      <c r="P2676" s="61"/>
      <c r="Q2676" s="61"/>
      <c r="R2676" s="61" t="str">
        <f t="shared" si="184"/>
        <v/>
      </c>
      <c r="S2676" s="61" t="str">
        <f t="shared" si="185"/>
        <v/>
      </c>
      <c r="T2676" s="61" t="str">
        <f t="shared" si="187"/>
        <v/>
      </c>
      <c r="U2676" s="61" t="str">
        <f t="shared" si="186"/>
        <v/>
      </c>
      <c r="V2676" s="61"/>
      <c r="W2676" s="61"/>
      <c r="X2676" s="61"/>
      <c r="Y2676" s="61"/>
      <c r="Z2676" s="61"/>
      <c r="AA2676" s="61"/>
      <c r="AB2676" s="61"/>
    </row>
    <row r="2677" spans="1:28" s="2" customFormat="1" ht="15">
      <c r="A2677" s="61" t="s">
        <v>779</v>
      </c>
      <c r="B2677" s="61" t="s">
        <v>1498</v>
      </c>
      <c r="C2677" s="61" t="s">
        <v>5309</v>
      </c>
      <c r="D2677" s="61" t="s">
        <v>159</v>
      </c>
      <c r="E2677" s="61">
        <v>783</v>
      </c>
      <c r="F2677" s="61">
        <v>722</v>
      </c>
      <c r="G2677" s="61"/>
      <c r="H2677" s="61"/>
      <c r="I2677" s="61" t="s">
        <v>37</v>
      </c>
      <c r="J2677" s="61"/>
      <c r="K2677" s="61" t="s">
        <v>328</v>
      </c>
      <c r="L2677" s="61"/>
      <c r="M2677" s="61"/>
      <c r="N2677" s="61"/>
      <c r="O2677" s="61"/>
      <c r="P2677" s="61"/>
      <c r="Q2677" s="61"/>
      <c r="R2677" s="61" t="str">
        <f t="shared" si="184"/>
        <v/>
      </c>
      <c r="S2677" s="61" t="str">
        <f t="shared" si="185"/>
        <v/>
      </c>
      <c r="T2677" s="61" t="str">
        <f t="shared" si="187"/>
        <v/>
      </c>
      <c r="U2677" s="61" t="str">
        <f t="shared" si="186"/>
        <v/>
      </c>
      <c r="V2677" s="61"/>
      <c r="W2677" s="61"/>
      <c r="X2677" s="61"/>
      <c r="Y2677" s="61"/>
      <c r="Z2677" s="61"/>
      <c r="AA2677" s="61"/>
      <c r="AB2677" s="61"/>
    </row>
    <row r="2678" spans="1:28" s="2" customFormat="1" ht="15">
      <c r="A2678" s="61" t="s">
        <v>779</v>
      </c>
      <c r="B2678" s="61" t="s">
        <v>1498</v>
      </c>
      <c r="C2678" s="61" t="s">
        <v>6146</v>
      </c>
      <c r="D2678" s="61" t="s">
        <v>159</v>
      </c>
      <c r="E2678" s="61">
        <v>1062</v>
      </c>
      <c r="F2678" s="61">
        <v>1284</v>
      </c>
      <c r="G2678" s="61"/>
      <c r="H2678" s="61"/>
      <c r="I2678" s="61" t="s">
        <v>37</v>
      </c>
      <c r="J2678" s="61"/>
      <c r="K2678" s="61" t="s">
        <v>328</v>
      </c>
      <c r="L2678" s="61"/>
      <c r="M2678" s="61"/>
      <c r="N2678" s="61"/>
      <c r="O2678" s="61"/>
      <c r="P2678" s="61"/>
      <c r="Q2678" s="61"/>
      <c r="R2678" s="61" t="str">
        <f t="shared" si="184"/>
        <v/>
      </c>
      <c r="S2678" s="61" t="str">
        <f t="shared" si="185"/>
        <v/>
      </c>
      <c r="T2678" s="61" t="str">
        <f t="shared" si="187"/>
        <v/>
      </c>
      <c r="U2678" s="61" t="str">
        <f t="shared" si="186"/>
        <v/>
      </c>
      <c r="V2678" s="61"/>
      <c r="W2678" s="61"/>
      <c r="X2678" s="61"/>
      <c r="Y2678" s="61"/>
      <c r="Z2678" s="61"/>
      <c r="AA2678" s="61"/>
      <c r="AB2678" s="61"/>
    </row>
    <row r="2679" spans="1:28" s="2" customFormat="1" ht="15">
      <c r="A2679" s="61" t="s">
        <v>779</v>
      </c>
      <c r="B2679" s="61" t="s">
        <v>1498</v>
      </c>
      <c r="C2679" s="61" t="s">
        <v>6147</v>
      </c>
      <c r="D2679" s="61" t="s">
        <v>159</v>
      </c>
      <c r="E2679" s="61">
        <v>1040</v>
      </c>
      <c r="F2679" s="61">
        <v>1225</v>
      </c>
      <c r="G2679" s="61"/>
      <c r="H2679" s="61"/>
      <c r="I2679" s="61" t="s">
        <v>37</v>
      </c>
      <c r="J2679" s="61"/>
      <c r="K2679" s="61" t="s">
        <v>328</v>
      </c>
      <c r="L2679" s="61"/>
      <c r="M2679" s="61"/>
      <c r="N2679" s="61"/>
      <c r="O2679" s="61"/>
      <c r="P2679" s="61"/>
      <c r="Q2679" s="61"/>
      <c r="R2679" s="61" t="str">
        <f t="shared" ref="R2679:R2742" si="188">IF(
    OR(ISBLANK(M2679), ISBLANK(N2679)),
    "",
    MAX(1, IF(
        NETWORKDAYS(M2679, N2679) &lt;= 0,
        1,
        NETWORKDAYS(M2679, N2679) - IF(M2679 = N2679, 0, 1)
    ))
)</f>
        <v/>
      </c>
      <c r="S2679" s="61" t="str">
        <f t="shared" si="185"/>
        <v/>
      </c>
      <c r="T2679" s="61" t="str">
        <f t="shared" si="187"/>
        <v/>
      </c>
      <c r="U2679" s="61" t="str">
        <f t="shared" si="186"/>
        <v/>
      </c>
      <c r="V2679" s="61"/>
      <c r="W2679" s="61"/>
      <c r="X2679" s="61"/>
      <c r="Y2679" s="61"/>
      <c r="Z2679" s="61"/>
      <c r="AA2679" s="61"/>
      <c r="AB2679" s="61"/>
    </row>
    <row r="2680" spans="1:28" s="2" customFormat="1" ht="15">
      <c r="A2680" s="61" t="s">
        <v>779</v>
      </c>
      <c r="B2680" s="61" t="s">
        <v>1498</v>
      </c>
      <c r="C2680" s="61" t="s">
        <v>6148</v>
      </c>
      <c r="D2680" s="61" t="s">
        <v>159</v>
      </c>
      <c r="E2680" s="61">
        <v>1098</v>
      </c>
      <c r="F2680" s="61">
        <v>1163</v>
      </c>
      <c r="G2680" s="61"/>
      <c r="H2680" s="61"/>
      <c r="I2680" s="61" t="s">
        <v>37</v>
      </c>
      <c r="J2680" s="61"/>
      <c r="K2680" s="61" t="s">
        <v>328</v>
      </c>
      <c r="L2680" s="61"/>
      <c r="M2680" s="61"/>
      <c r="N2680" s="61"/>
      <c r="O2680" s="61"/>
      <c r="P2680" s="61"/>
      <c r="Q2680" s="61"/>
      <c r="R2680" s="61" t="str">
        <f t="shared" si="188"/>
        <v/>
      </c>
      <c r="S2680" s="61" t="str">
        <f t="shared" ref="S2680:S2743" si="189">IF(
    OR(ISBLANK(N2680), ISBLANK(O2680)),
    "",
    MAX(1, IF(
        NETWORKDAYS(N2680, O2680) &lt;= 0,
        1,
        NETWORKDAYS(N2680, O2680) - IF(N2680 = O2680, 0, 1)
    ))
)</f>
        <v/>
      </c>
      <c r="T2680" s="61" t="str">
        <f t="shared" si="187"/>
        <v/>
      </c>
      <c r="U2680" s="61" t="str">
        <f t="shared" si="186"/>
        <v/>
      </c>
      <c r="V2680" s="61"/>
      <c r="W2680" s="61"/>
      <c r="X2680" s="61"/>
      <c r="Y2680" s="61"/>
      <c r="Z2680" s="61"/>
      <c r="AA2680" s="61"/>
      <c r="AB2680" s="61"/>
    </row>
    <row r="2681" spans="1:28" s="2" customFormat="1" ht="15">
      <c r="A2681" s="61" t="s">
        <v>779</v>
      </c>
      <c r="B2681" s="61" t="s">
        <v>1498</v>
      </c>
      <c r="C2681" s="61" t="s">
        <v>5988</v>
      </c>
      <c r="D2681" s="61" t="s">
        <v>159</v>
      </c>
      <c r="E2681" s="61">
        <v>1059</v>
      </c>
      <c r="F2681" s="61">
        <v>1208</v>
      </c>
      <c r="G2681" s="61"/>
      <c r="H2681" s="61"/>
      <c r="I2681" s="61" t="s">
        <v>37</v>
      </c>
      <c r="J2681" s="61"/>
      <c r="K2681" s="61" t="s">
        <v>328</v>
      </c>
      <c r="L2681" s="61"/>
      <c r="M2681" s="61"/>
      <c r="N2681" s="61"/>
      <c r="O2681" s="61"/>
      <c r="P2681" s="61"/>
      <c r="Q2681" s="61"/>
      <c r="R2681" s="61" t="str">
        <f t="shared" si="188"/>
        <v/>
      </c>
      <c r="S2681" s="61" t="str">
        <f t="shared" si="189"/>
        <v/>
      </c>
      <c r="T2681" s="61" t="str">
        <f t="shared" si="187"/>
        <v/>
      </c>
      <c r="U2681" s="61" t="str">
        <f t="shared" si="186"/>
        <v/>
      </c>
      <c r="V2681" s="61"/>
      <c r="W2681" s="61"/>
      <c r="X2681" s="61"/>
      <c r="Y2681" s="61"/>
      <c r="Z2681" s="61"/>
      <c r="AA2681" s="61"/>
      <c r="AB2681" s="61"/>
    </row>
    <row r="2682" spans="1:28" s="2" customFormat="1" ht="15">
      <c r="A2682" s="61" t="s">
        <v>779</v>
      </c>
      <c r="B2682" s="61" t="s">
        <v>1498</v>
      </c>
      <c r="C2682" s="61" t="s">
        <v>5989</v>
      </c>
      <c r="D2682" s="61" t="s">
        <v>159</v>
      </c>
      <c r="E2682" s="61">
        <v>1207</v>
      </c>
      <c r="F2682" s="61">
        <v>1192</v>
      </c>
      <c r="G2682" s="61"/>
      <c r="H2682" s="61"/>
      <c r="I2682" s="61" t="s">
        <v>37</v>
      </c>
      <c r="J2682" s="61"/>
      <c r="K2682" s="61" t="s">
        <v>328</v>
      </c>
      <c r="L2682" s="61"/>
      <c r="M2682" s="61"/>
      <c r="N2682" s="61"/>
      <c r="O2682" s="61"/>
      <c r="P2682" s="61"/>
      <c r="Q2682" s="61"/>
      <c r="R2682" s="61" t="str">
        <f t="shared" si="188"/>
        <v/>
      </c>
      <c r="S2682" s="61" t="str">
        <f t="shared" si="189"/>
        <v/>
      </c>
      <c r="T2682" s="61" t="str">
        <f t="shared" si="187"/>
        <v/>
      </c>
      <c r="U2682" s="61" t="str">
        <f t="shared" ref="U2682:U2745" si="190">IF(
    OR(ISBLANK(P2682), ISBLANK(Q2682)),
    "",
    MAX(1, IF(
        NETWORKDAYS(P2682, Q2682) &lt;= 0,
        1,
        NETWORKDAYS(P2682, Q2682) - IF(P2682 = Q2682, 0, 1)
    ))
)</f>
        <v/>
      </c>
      <c r="V2682" s="61"/>
      <c r="W2682" s="61"/>
      <c r="X2682" s="61"/>
      <c r="Y2682" s="61"/>
      <c r="Z2682" s="61"/>
      <c r="AA2682" s="61"/>
      <c r="AB2682" s="61"/>
    </row>
    <row r="2683" spans="1:28" s="2" customFormat="1" ht="15">
      <c r="A2683" s="61" t="s">
        <v>779</v>
      </c>
      <c r="B2683" s="61" t="s">
        <v>1498</v>
      </c>
      <c r="C2683" s="61" t="s">
        <v>6150</v>
      </c>
      <c r="D2683" s="61" t="s">
        <v>159</v>
      </c>
      <c r="E2683" s="61">
        <v>847</v>
      </c>
      <c r="F2683" s="61">
        <v>942</v>
      </c>
      <c r="G2683" s="61"/>
      <c r="H2683" s="61"/>
      <c r="I2683" s="61" t="s">
        <v>37</v>
      </c>
      <c r="J2683" s="61"/>
      <c r="K2683" s="61" t="s">
        <v>328</v>
      </c>
      <c r="L2683" s="61"/>
      <c r="M2683" s="61"/>
      <c r="N2683" s="61"/>
      <c r="O2683" s="61"/>
      <c r="P2683" s="61"/>
      <c r="Q2683" s="61"/>
      <c r="R2683" s="61" t="str">
        <f t="shared" si="188"/>
        <v/>
      </c>
      <c r="S2683" s="61" t="str">
        <f t="shared" si="189"/>
        <v/>
      </c>
      <c r="T2683" s="61" t="str">
        <f t="shared" si="187"/>
        <v/>
      </c>
      <c r="U2683" s="61" t="str">
        <f t="shared" si="190"/>
        <v/>
      </c>
      <c r="V2683" s="61"/>
      <c r="W2683" s="61"/>
      <c r="X2683" s="61"/>
      <c r="Y2683" s="61"/>
      <c r="Z2683" s="61"/>
      <c r="AA2683" s="61"/>
      <c r="AB2683" s="61"/>
    </row>
    <row r="2684" spans="1:28" s="2" customFormat="1" ht="28.5">
      <c r="A2684" s="61" t="s">
        <v>779</v>
      </c>
      <c r="B2684" s="61" t="s">
        <v>1502</v>
      </c>
      <c r="C2684" s="61" t="s">
        <v>918</v>
      </c>
      <c r="D2684" s="61" t="s">
        <v>159</v>
      </c>
      <c r="E2684" s="61">
        <v>539</v>
      </c>
      <c r="F2684" s="61">
        <v>598</v>
      </c>
      <c r="G2684" s="61">
        <v>2025</v>
      </c>
      <c r="H2684" s="61" t="s">
        <v>3127</v>
      </c>
      <c r="I2684" s="61" t="s">
        <v>5783</v>
      </c>
      <c r="J2684" s="61"/>
      <c r="K2684" s="61" t="s">
        <v>328</v>
      </c>
      <c r="L2684" s="61" t="s">
        <v>9251</v>
      </c>
      <c r="M2684" s="475">
        <v>45897</v>
      </c>
      <c r="N2684" s="475">
        <v>45898</v>
      </c>
      <c r="O2684" s="61"/>
      <c r="P2684" s="475">
        <v>45902</v>
      </c>
      <c r="Q2684" s="475">
        <v>45903</v>
      </c>
      <c r="R2684" s="61">
        <f t="shared" si="188"/>
        <v>1</v>
      </c>
      <c r="S2684" s="61" t="str">
        <f t="shared" si="189"/>
        <v/>
      </c>
      <c r="T2684" s="61">
        <f t="shared" si="187"/>
        <v>2</v>
      </c>
      <c r="U2684" s="61">
        <f t="shared" si="190"/>
        <v>1</v>
      </c>
      <c r="V2684" s="61" t="s">
        <v>150</v>
      </c>
      <c r="W2684" s="61" t="s">
        <v>1078</v>
      </c>
      <c r="X2684" s="61" t="s">
        <v>50</v>
      </c>
      <c r="Y2684" s="61" t="s">
        <v>9252</v>
      </c>
      <c r="Z2684" s="61" t="s">
        <v>9253</v>
      </c>
      <c r="AA2684" s="61" t="s">
        <v>8492</v>
      </c>
      <c r="AB2684" s="61"/>
    </row>
    <row r="2685" spans="1:28" s="2" customFormat="1" ht="28.5">
      <c r="A2685" s="61" t="s">
        <v>779</v>
      </c>
      <c r="B2685" s="61" t="s">
        <v>1502</v>
      </c>
      <c r="C2685" s="61" t="s">
        <v>6163</v>
      </c>
      <c r="D2685" s="61" t="s">
        <v>159</v>
      </c>
      <c r="E2685" s="61">
        <v>1290</v>
      </c>
      <c r="F2685" s="61">
        <v>1422</v>
      </c>
      <c r="G2685" s="61">
        <v>2025</v>
      </c>
      <c r="H2685" s="61" t="s">
        <v>3127</v>
      </c>
      <c r="I2685" s="61" t="s">
        <v>5783</v>
      </c>
      <c r="J2685" s="61"/>
      <c r="K2685" s="61" t="s">
        <v>328</v>
      </c>
      <c r="L2685" s="61" t="s">
        <v>9251</v>
      </c>
      <c r="M2685" s="475">
        <v>45897</v>
      </c>
      <c r="N2685" s="475">
        <v>45898</v>
      </c>
      <c r="O2685" s="61"/>
      <c r="P2685" s="475">
        <v>45902</v>
      </c>
      <c r="Q2685" s="475">
        <v>45903</v>
      </c>
      <c r="R2685" s="61">
        <f t="shared" si="188"/>
        <v>1</v>
      </c>
      <c r="S2685" s="61" t="str">
        <f t="shared" si="189"/>
        <v/>
      </c>
      <c r="T2685" s="61">
        <f t="shared" si="187"/>
        <v>2</v>
      </c>
      <c r="U2685" s="61">
        <f t="shared" si="190"/>
        <v>1</v>
      </c>
      <c r="V2685" s="61" t="s">
        <v>150</v>
      </c>
      <c r="W2685" s="61" t="s">
        <v>1078</v>
      </c>
      <c r="X2685" s="61" t="s">
        <v>50</v>
      </c>
      <c r="Y2685" s="61" t="s">
        <v>9254</v>
      </c>
      <c r="Z2685" s="61" t="s">
        <v>9255</v>
      </c>
      <c r="AA2685" s="61" t="s">
        <v>8492</v>
      </c>
      <c r="AB2685" s="61"/>
    </row>
    <row r="2686" spans="1:28" s="2" customFormat="1" ht="28.5">
      <c r="A2686" s="61" t="s">
        <v>779</v>
      </c>
      <c r="B2686" s="61" t="s">
        <v>1502</v>
      </c>
      <c r="C2686" s="61" t="s">
        <v>1503</v>
      </c>
      <c r="D2686" s="61" t="s">
        <v>159</v>
      </c>
      <c r="E2686" s="61">
        <v>4567</v>
      </c>
      <c r="F2686" s="61">
        <v>5102</v>
      </c>
      <c r="G2686" s="61">
        <v>2025</v>
      </c>
      <c r="H2686" s="61" t="s">
        <v>4334</v>
      </c>
      <c r="I2686" s="61" t="s">
        <v>5783</v>
      </c>
      <c r="J2686" s="61"/>
      <c r="K2686" s="61" t="s">
        <v>328</v>
      </c>
      <c r="L2686" s="61" t="s">
        <v>9256</v>
      </c>
      <c r="M2686" s="475">
        <v>45800</v>
      </c>
      <c r="N2686" s="475">
        <v>45802</v>
      </c>
      <c r="O2686" s="61"/>
      <c r="P2686" s="475">
        <v>45803</v>
      </c>
      <c r="Q2686" s="475">
        <v>45803</v>
      </c>
      <c r="R2686" s="61">
        <f t="shared" si="188"/>
        <v>1</v>
      </c>
      <c r="S2686" s="61" t="str">
        <f t="shared" si="189"/>
        <v/>
      </c>
      <c r="T2686" s="61">
        <f t="shared" si="187"/>
        <v>1</v>
      </c>
      <c r="U2686" s="61">
        <f t="shared" si="190"/>
        <v>1</v>
      </c>
      <c r="V2686" s="61" t="s">
        <v>150</v>
      </c>
      <c r="W2686" s="61" t="s">
        <v>1078</v>
      </c>
      <c r="X2686" s="61" t="s">
        <v>50</v>
      </c>
      <c r="Y2686" s="61">
        <v>15.663553930000001</v>
      </c>
      <c r="Z2686" s="61" t="s">
        <v>9257</v>
      </c>
      <c r="AA2686" s="61" t="s">
        <v>8492</v>
      </c>
      <c r="AB2686" s="61"/>
    </row>
    <row r="2687" spans="1:28" s="2" customFormat="1" ht="28.5">
      <c r="A2687" s="61" t="s">
        <v>779</v>
      </c>
      <c r="B2687" s="61" t="s">
        <v>1502</v>
      </c>
      <c r="C2687" s="61" t="s">
        <v>4991</v>
      </c>
      <c r="D2687" s="61" t="s">
        <v>159</v>
      </c>
      <c r="E2687" s="61">
        <v>1502</v>
      </c>
      <c r="F2687" s="61">
        <v>1415</v>
      </c>
      <c r="G2687" s="61">
        <v>2025</v>
      </c>
      <c r="H2687" s="61" t="s">
        <v>3125</v>
      </c>
      <c r="I2687" s="61" t="s">
        <v>5783</v>
      </c>
      <c r="J2687" s="61"/>
      <c r="K2687" s="61" t="s">
        <v>328</v>
      </c>
      <c r="L2687" s="61" t="s">
        <v>9258</v>
      </c>
      <c r="M2687" s="475">
        <v>45828</v>
      </c>
      <c r="N2687" s="481">
        <v>45830</v>
      </c>
      <c r="O2687" s="61"/>
      <c r="P2687" s="475">
        <v>45838</v>
      </c>
      <c r="Q2687" s="475">
        <v>45840</v>
      </c>
      <c r="R2687" s="61">
        <f t="shared" si="188"/>
        <v>1</v>
      </c>
      <c r="S2687" s="61" t="str">
        <f t="shared" si="189"/>
        <v/>
      </c>
      <c r="T2687" s="61">
        <f t="shared" si="187"/>
        <v>5</v>
      </c>
      <c r="U2687" s="61">
        <f t="shared" si="190"/>
        <v>2</v>
      </c>
      <c r="V2687" s="61" t="s">
        <v>150</v>
      </c>
      <c r="W2687" s="61" t="s">
        <v>1078</v>
      </c>
      <c r="X2687" s="61" t="s">
        <v>50</v>
      </c>
      <c r="Y2687" s="61" t="s">
        <v>9259</v>
      </c>
      <c r="Z2687" s="61" t="s">
        <v>9260</v>
      </c>
      <c r="AA2687" s="61" t="s">
        <v>8492</v>
      </c>
      <c r="AB2687" s="61"/>
    </row>
    <row r="2688" spans="1:28" s="2" customFormat="1" ht="28.5">
      <c r="A2688" s="61" t="s">
        <v>779</v>
      </c>
      <c r="B2688" s="61" t="s">
        <v>1502</v>
      </c>
      <c r="C2688" s="61" t="s">
        <v>2068</v>
      </c>
      <c r="D2688" s="61" t="s">
        <v>159</v>
      </c>
      <c r="E2688" s="61">
        <v>2395</v>
      </c>
      <c r="F2688" s="61">
        <v>2498</v>
      </c>
      <c r="G2688" s="61">
        <v>2025</v>
      </c>
      <c r="H2688" s="61" t="s">
        <v>3689</v>
      </c>
      <c r="I2688" s="61" t="s">
        <v>5783</v>
      </c>
      <c r="J2688" s="61"/>
      <c r="K2688" s="61" t="s">
        <v>328</v>
      </c>
      <c r="L2688" s="61" t="s">
        <v>9261</v>
      </c>
      <c r="M2688" s="475">
        <v>45800</v>
      </c>
      <c r="N2688" s="475">
        <v>45802</v>
      </c>
      <c r="O2688" s="61"/>
      <c r="P2688" s="475">
        <v>45803</v>
      </c>
      <c r="Q2688" s="475">
        <v>45803</v>
      </c>
      <c r="R2688" s="61">
        <f t="shared" si="188"/>
        <v>1</v>
      </c>
      <c r="S2688" s="61" t="str">
        <f t="shared" si="189"/>
        <v/>
      </c>
      <c r="T2688" s="61">
        <f t="shared" si="187"/>
        <v>1</v>
      </c>
      <c r="U2688" s="61">
        <f t="shared" si="190"/>
        <v>1</v>
      </c>
      <c r="V2688" s="61" t="s">
        <v>150</v>
      </c>
      <c r="W2688" s="61" t="s">
        <v>1078</v>
      </c>
      <c r="X2688" s="61" t="s">
        <v>50</v>
      </c>
      <c r="Y2688" s="61" t="s">
        <v>9262</v>
      </c>
      <c r="Z2688" s="61" t="s">
        <v>9257</v>
      </c>
      <c r="AA2688" s="61" t="s">
        <v>8492</v>
      </c>
      <c r="AB2688" s="61"/>
    </row>
    <row r="2689" spans="1:28" s="2" customFormat="1" ht="15">
      <c r="A2689" s="61" t="s">
        <v>779</v>
      </c>
      <c r="B2689" s="61" t="s">
        <v>1502</v>
      </c>
      <c r="C2689" s="61" t="s">
        <v>6155</v>
      </c>
      <c r="D2689" s="61" t="s">
        <v>159</v>
      </c>
      <c r="E2689" s="61">
        <v>3538</v>
      </c>
      <c r="F2689" s="61">
        <v>4270</v>
      </c>
      <c r="G2689" s="61"/>
      <c r="H2689" s="61"/>
      <c r="I2689" s="61" t="s">
        <v>5783</v>
      </c>
      <c r="J2689" s="61"/>
      <c r="K2689" s="61" t="s">
        <v>328</v>
      </c>
      <c r="L2689" s="61"/>
      <c r="M2689" s="61"/>
      <c r="N2689" s="61"/>
      <c r="O2689" s="61"/>
      <c r="P2689" s="61"/>
      <c r="Q2689" s="61"/>
      <c r="R2689" s="61" t="str">
        <f t="shared" si="188"/>
        <v/>
      </c>
      <c r="S2689" s="61" t="str">
        <f t="shared" si="189"/>
        <v/>
      </c>
      <c r="T2689" s="61" t="str">
        <f t="shared" si="187"/>
        <v/>
      </c>
      <c r="U2689" s="61" t="str">
        <f t="shared" si="190"/>
        <v/>
      </c>
      <c r="V2689" s="61"/>
      <c r="W2689" s="61"/>
      <c r="X2689" s="61"/>
      <c r="Y2689" s="61"/>
      <c r="Z2689" s="61"/>
      <c r="AA2689" s="61"/>
      <c r="AB2689" s="61"/>
    </row>
    <row r="2690" spans="1:28" s="2" customFormat="1" ht="15">
      <c r="A2690" s="61" t="s">
        <v>779</v>
      </c>
      <c r="B2690" s="61" t="s">
        <v>1502</v>
      </c>
      <c r="C2690" s="61" t="s">
        <v>6156</v>
      </c>
      <c r="D2690" s="61" t="s">
        <v>159</v>
      </c>
      <c r="E2690" s="61">
        <v>3634</v>
      </c>
      <c r="F2690" s="61">
        <v>3680</v>
      </c>
      <c r="G2690" s="61"/>
      <c r="H2690" s="61"/>
      <c r="I2690" s="61" t="s">
        <v>5783</v>
      </c>
      <c r="J2690" s="61"/>
      <c r="K2690" s="61" t="s">
        <v>328</v>
      </c>
      <c r="L2690" s="61"/>
      <c r="M2690" s="61"/>
      <c r="N2690" s="61"/>
      <c r="O2690" s="61"/>
      <c r="P2690" s="61"/>
      <c r="Q2690" s="61"/>
      <c r="R2690" s="61" t="str">
        <f t="shared" si="188"/>
        <v/>
      </c>
      <c r="S2690" s="61" t="str">
        <f t="shared" si="189"/>
        <v/>
      </c>
      <c r="T2690" s="61" t="str">
        <f t="shared" si="187"/>
        <v/>
      </c>
      <c r="U2690" s="61" t="str">
        <f t="shared" si="190"/>
        <v/>
      </c>
      <c r="V2690" s="61"/>
      <c r="W2690" s="61"/>
      <c r="X2690" s="61"/>
      <c r="Y2690" s="61"/>
      <c r="Z2690" s="61"/>
      <c r="AA2690" s="61"/>
      <c r="AB2690" s="61"/>
    </row>
    <row r="2691" spans="1:28" s="2" customFormat="1" ht="15">
      <c r="A2691" s="61" t="s">
        <v>779</v>
      </c>
      <c r="B2691" s="61" t="s">
        <v>1502</v>
      </c>
      <c r="C2691" s="61" t="s">
        <v>6158</v>
      </c>
      <c r="D2691" s="61" t="s">
        <v>159</v>
      </c>
      <c r="E2691" s="61">
        <v>1788</v>
      </c>
      <c r="F2691" s="61">
        <v>1791</v>
      </c>
      <c r="G2691" s="61"/>
      <c r="H2691" s="61"/>
      <c r="I2691" s="61" t="s">
        <v>5783</v>
      </c>
      <c r="J2691" s="61"/>
      <c r="K2691" s="61" t="s">
        <v>328</v>
      </c>
      <c r="L2691" s="61"/>
      <c r="M2691" s="61"/>
      <c r="N2691" s="475"/>
      <c r="O2691" s="61"/>
      <c r="P2691" s="475"/>
      <c r="Q2691" s="475"/>
      <c r="R2691" s="61" t="str">
        <f t="shared" si="188"/>
        <v/>
      </c>
      <c r="S2691" s="61" t="str">
        <f t="shared" si="189"/>
        <v/>
      </c>
      <c r="T2691" s="61" t="str">
        <f t="shared" si="187"/>
        <v/>
      </c>
      <c r="U2691" s="61" t="str">
        <f t="shared" si="190"/>
        <v/>
      </c>
      <c r="V2691" s="61"/>
      <c r="W2691" s="61"/>
      <c r="X2691" s="61"/>
      <c r="Y2691" s="61"/>
      <c r="Z2691" s="61"/>
      <c r="AA2691" s="61"/>
      <c r="AB2691" s="61"/>
    </row>
    <row r="2692" spans="1:28" s="2" customFormat="1" ht="15">
      <c r="A2692" s="61" t="s">
        <v>779</v>
      </c>
      <c r="B2692" s="61" t="s">
        <v>1502</v>
      </c>
      <c r="C2692" s="61" t="s">
        <v>6161</v>
      </c>
      <c r="D2692" s="61" t="s">
        <v>159</v>
      </c>
      <c r="E2692" s="61">
        <v>2097</v>
      </c>
      <c r="F2692" s="61">
        <v>2103</v>
      </c>
      <c r="G2692" s="61"/>
      <c r="H2692" s="61"/>
      <c r="I2692" s="61" t="s">
        <v>5783</v>
      </c>
      <c r="J2692" s="61"/>
      <c r="K2692" s="61" t="s">
        <v>328</v>
      </c>
      <c r="L2692" s="61"/>
      <c r="M2692" s="61"/>
      <c r="N2692" s="61"/>
      <c r="O2692" s="61"/>
      <c r="P2692" s="61"/>
      <c r="Q2692" s="61"/>
      <c r="R2692" s="61" t="str">
        <f t="shared" si="188"/>
        <v/>
      </c>
      <c r="S2692" s="61" t="str">
        <f t="shared" si="189"/>
        <v/>
      </c>
      <c r="T2692" s="61" t="str">
        <f t="shared" si="187"/>
        <v/>
      </c>
      <c r="U2692" s="61" t="str">
        <f t="shared" si="190"/>
        <v/>
      </c>
      <c r="V2692" s="61"/>
      <c r="W2692" s="61"/>
      <c r="X2692" s="61"/>
      <c r="Y2692" s="61"/>
      <c r="Z2692" s="61"/>
      <c r="AA2692" s="61"/>
      <c r="AB2692" s="61"/>
    </row>
    <row r="2693" spans="1:28" s="2" customFormat="1" ht="28.5">
      <c r="A2693" s="61" t="s">
        <v>779</v>
      </c>
      <c r="B2693" s="61" t="s">
        <v>1506</v>
      </c>
      <c r="C2693" s="61" t="s">
        <v>6172</v>
      </c>
      <c r="D2693" s="61" t="s">
        <v>159</v>
      </c>
      <c r="E2693" s="61">
        <v>791</v>
      </c>
      <c r="F2693" s="61">
        <v>804</v>
      </c>
      <c r="G2693" s="61">
        <v>2025</v>
      </c>
      <c r="H2693" s="61" t="s">
        <v>3127</v>
      </c>
      <c r="I2693" s="61" t="s">
        <v>5783</v>
      </c>
      <c r="J2693" s="61"/>
      <c r="K2693" s="61" t="s">
        <v>328</v>
      </c>
      <c r="L2693" s="61" t="s">
        <v>9263</v>
      </c>
      <c r="M2693" s="475">
        <v>45889</v>
      </c>
      <c r="N2693" s="475">
        <v>45891</v>
      </c>
      <c r="O2693" s="61"/>
      <c r="P2693" s="475">
        <v>45902</v>
      </c>
      <c r="Q2693" s="475">
        <v>45903</v>
      </c>
      <c r="R2693" s="61">
        <f t="shared" si="188"/>
        <v>2</v>
      </c>
      <c r="S2693" s="61" t="str">
        <f t="shared" si="189"/>
        <v/>
      </c>
      <c r="T2693" s="61">
        <f t="shared" si="187"/>
        <v>7</v>
      </c>
      <c r="U2693" s="61">
        <f t="shared" si="190"/>
        <v>1</v>
      </c>
      <c r="V2693" s="61" t="s">
        <v>150</v>
      </c>
      <c r="W2693" s="61" t="s">
        <v>1078</v>
      </c>
      <c r="X2693" s="61" t="s">
        <v>50</v>
      </c>
      <c r="Y2693" s="560" t="s">
        <v>9264</v>
      </c>
      <c r="Z2693" s="61" t="s">
        <v>9265</v>
      </c>
      <c r="AA2693" s="61" t="s">
        <v>8492</v>
      </c>
      <c r="AB2693" s="61"/>
    </row>
    <row r="2694" spans="1:28" s="2" customFormat="1" ht="28.5">
      <c r="A2694" s="61" t="s">
        <v>779</v>
      </c>
      <c r="B2694" s="61" t="s">
        <v>1506</v>
      </c>
      <c r="C2694" s="61" t="s">
        <v>6174</v>
      </c>
      <c r="D2694" s="61" t="s">
        <v>159</v>
      </c>
      <c r="E2694" s="61">
        <v>673</v>
      </c>
      <c r="F2694" s="61">
        <v>764</v>
      </c>
      <c r="G2694" s="61">
        <v>2025</v>
      </c>
      <c r="H2694" s="61" t="s">
        <v>3127</v>
      </c>
      <c r="I2694" s="61" t="s">
        <v>5783</v>
      </c>
      <c r="J2694" s="61"/>
      <c r="K2694" s="61" t="s">
        <v>328</v>
      </c>
      <c r="L2694" s="61" t="s">
        <v>9263</v>
      </c>
      <c r="M2694" s="475">
        <v>45889</v>
      </c>
      <c r="N2694" s="475">
        <v>45891</v>
      </c>
      <c r="O2694" s="61"/>
      <c r="P2694" s="475">
        <v>45902</v>
      </c>
      <c r="Q2694" s="475">
        <v>45903</v>
      </c>
      <c r="R2694" s="61">
        <f t="shared" si="188"/>
        <v>2</v>
      </c>
      <c r="S2694" s="61" t="str">
        <f t="shared" si="189"/>
        <v/>
      </c>
      <c r="T2694" s="61">
        <f t="shared" si="187"/>
        <v>7</v>
      </c>
      <c r="U2694" s="61">
        <f t="shared" si="190"/>
        <v>1</v>
      </c>
      <c r="V2694" s="61" t="s">
        <v>150</v>
      </c>
      <c r="W2694" s="61" t="s">
        <v>1078</v>
      </c>
      <c r="X2694" s="61" t="s">
        <v>50</v>
      </c>
      <c r="Y2694" s="61" t="s">
        <v>9266</v>
      </c>
      <c r="Z2694" s="61" t="s">
        <v>9267</v>
      </c>
      <c r="AA2694" s="61" t="s">
        <v>8492</v>
      </c>
      <c r="AB2694" s="61"/>
    </row>
    <row r="2695" spans="1:28" s="2" customFormat="1" ht="28.5">
      <c r="A2695" s="61" t="s">
        <v>779</v>
      </c>
      <c r="B2695" s="61" t="s">
        <v>1506</v>
      </c>
      <c r="C2695" s="61" t="s">
        <v>1486</v>
      </c>
      <c r="D2695" s="61" t="s">
        <v>159</v>
      </c>
      <c r="E2695" s="61">
        <v>986</v>
      </c>
      <c r="F2695" s="61">
        <v>1022</v>
      </c>
      <c r="G2695" s="61"/>
      <c r="H2695" s="61" t="s">
        <v>3458</v>
      </c>
      <c r="I2695" s="61" t="s">
        <v>5783</v>
      </c>
      <c r="J2695" s="61"/>
      <c r="K2695" s="61" t="s">
        <v>328</v>
      </c>
      <c r="L2695" s="61"/>
      <c r="M2695" s="475"/>
      <c r="N2695" s="475"/>
      <c r="O2695" s="61"/>
      <c r="P2695" s="475"/>
      <c r="Q2695" s="475"/>
      <c r="R2695" s="61" t="str">
        <f t="shared" si="188"/>
        <v/>
      </c>
      <c r="S2695" s="61" t="str">
        <f t="shared" si="189"/>
        <v/>
      </c>
      <c r="T2695" s="61" t="str">
        <f t="shared" si="187"/>
        <v/>
      </c>
      <c r="U2695" s="61" t="str">
        <f t="shared" si="190"/>
        <v/>
      </c>
      <c r="V2695" s="61"/>
      <c r="W2695" s="61" t="s">
        <v>4</v>
      </c>
      <c r="X2695" s="61" t="s">
        <v>50</v>
      </c>
      <c r="Y2695" s="61"/>
      <c r="Z2695" s="61"/>
      <c r="AA2695" s="61" t="s">
        <v>8492</v>
      </c>
      <c r="AB2695" s="61"/>
    </row>
    <row r="2696" spans="1:28" s="2" customFormat="1" ht="28.5">
      <c r="A2696" s="61" t="s">
        <v>779</v>
      </c>
      <c r="B2696" s="61" t="s">
        <v>1506</v>
      </c>
      <c r="C2696" s="61" t="s">
        <v>1445</v>
      </c>
      <c r="D2696" s="61" t="s">
        <v>159</v>
      </c>
      <c r="E2696" s="61">
        <v>1204</v>
      </c>
      <c r="F2696" s="61">
        <v>1261</v>
      </c>
      <c r="G2696" s="61">
        <v>2025</v>
      </c>
      <c r="H2696" s="61" t="s">
        <v>3125</v>
      </c>
      <c r="I2696" s="61" t="s">
        <v>5783</v>
      </c>
      <c r="J2696" s="61"/>
      <c r="K2696" s="61" t="s">
        <v>328</v>
      </c>
      <c r="L2696" s="61" t="s">
        <v>9268</v>
      </c>
      <c r="M2696" s="481">
        <v>45833</v>
      </c>
      <c r="N2696" s="475">
        <v>45835</v>
      </c>
      <c r="O2696" s="61"/>
      <c r="P2696" s="475">
        <v>45847</v>
      </c>
      <c r="Q2696" s="475">
        <v>45853</v>
      </c>
      <c r="R2696" s="61">
        <f t="shared" si="188"/>
        <v>2</v>
      </c>
      <c r="S2696" s="61" t="str">
        <f t="shared" si="189"/>
        <v/>
      </c>
      <c r="T2696" s="61">
        <f t="shared" si="187"/>
        <v>8</v>
      </c>
      <c r="U2696" s="61">
        <f t="shared" si="190"/>
        <v>4</v>
      </c>
      <c r="V2696" s="61" t="s">
        <v>150</v>
      </c>
      <c r="W2696" s="61" t="s">
        <v>1078</v>
      </c>
      <c r="X2696" s="61" t="s">
        <v>50</v>
      </c>
      <c r="Y2696" s="61" t="s">
        <v>9269</v>
      </c>
      <c r="Z2696" s="61" t="s">
        <v>9270</v>
      </c>
      <c r="AA2696" s="61" t="s">
        <v>8492</v>
      </c>
      <c r="AB2696" s="61"/>
    </row>
    <row r="2697" spans="1:28" s="2" customFormat="1" ht="15">
      <c r="A2697" s="61" t="s">
        <v>779</v>
      </c>
      <c r="B2697" s="61" t="s">
        <v>1506</v>
      </c>
      <c r="C2697" s="61" t="s">
        <v>2028</v>
      </c>
      <c r="D2697" s="61" t="s">
        <v>159</v>
      </c>
      <c r="E2697" s="61">
        <v>1621</v>
      </c>
      <c r="F2697" s="61">
        <v>1785</v>
      </c>
      <c r="G2697" s="61"/>
      <c r="H2697" s="61"/>
      <c r="I2697" s="61" t="s">
        <v>5783</v>
      </c>
      <c r="J2697" s="61"/>
      <c r="K2697" s="61" t="s">
        <v>328</v>
      </c>
      <c r="L2697" s="61"/>
      <c r="M2697" s="61"/>
      <c r="N2697" s="61"/>
      <c r="O2697" s="61"/>
      <c r="P2697" s="61"/>
      <c r="Q2697" s="61"/>
      <c r="R2697" s="61" t="str">
        <f t="shared" si="188"/>
        <v/>
      </c>
      <c r="S2697" s="61" t="str">
        <f t="shared" si="189"/>
        <v/>
      </c>
      <c r="T2697" s="61" t="str">
        <f t="shared" si="187"/>
        <v/>
      </c>
      <c r="U2697" s="61" t="str">
        <f t="shared" si="190"/>
        <v/>
      </c>
      <c r="V2697" s="61"/>
      <c r="W2697" s="61"/>
      <c r="X2697" s="61"/>
      <c r="Y2697" s="61"/>
      <c r="Z2697" s="61"/>
      <c r="AA2697" s="61"/>
      <c r="AB2697" s="61"/>
    </row>
    <row r="2698" spans="1:28" s="2" customFormat="1" ht="15">
      <c r="A2698" s="61" t="s">
        <v>779</v>
      </c>
      <c r="B2698" s="61" t="s">
        <v>1506</v>
      </c>
      <c r="C2698" s="61" t="s">
        <v>6166</v>
      </c>
      <c r="D2698" s="61" t="s">
        <v>159</v>
      </c>
      <c r="E2698" s="61">
        <v>321</v>
      </c>
      <c r="F2698" s="61">
        <v>315</v>
      </c>
      <c r="G2698" s="61"/>
      <c r="H2698" s="61"/>
      <c r="I2698" s="61" t="s">
        <v>5783</v>
      </c>
      <c r="J2698" s="61"/>
      <c r="K2698" s="61" t="s">
        <v>328</v>
      </c>
      <c r="L2698" s="61"/>
      <c r="M2698" s="61"/>
      <c r="N2698" s="61"/>
      <c r="O2698" s="61"/>
      <c r="P2698" s="61"/>
      <c r="Q2698" s="61"/>
      <c r="R2698" s="61" t="str">
        <f t="shared" si="188"/>
        <v/>
      </c>
      <c r="S2698" s="61" t="str">
        <f t="shared" si="189"/>
        <v/>
      </c>
      <c r="T2698" s="61" t="str">
        <f t="shared" si="187"/>
        <v/>
      </c>
      <c r="U2698" s="61" t="str">
        <f t="shared" si="190"/>
        <v/>
      </c>
      <c r="V2698" s="61"/>
      <c r="W2698" s="61"/>
      <c r="X2698" s="61"/>
      <c r="Y2698" s="634"/>
      <c r="Z2698" s="61"/>
      <c r="AA2698" s="61"/>
      <c r="AB2698" s="61"/>
    </row>
    <row r="2699" spans="1:28" s="2" customFormat="1" ht="15">
      <c r="A2699" s="61" t="s">
        <v>779</v>
      </c>
      <c r="B2699" s="61" t="s">
        <v>1506</v>
      </c>
      <c r="C2699" s="61" t="s">
        <v>6167</v>
      </c>
      <c r="D2699" s="61" t="s">
        <v>159</v>
      </c>
      <c r="E2699" s="61">
        <v>737</v>
      </c>
      <c r="F2699" s="61">
        <v>690</v>
      </c>
      <c r="G2699" s="61"/>
      <c r="H2699" s="61"/>
      <c r="I2699" s="61" t="s">
        <v>5783</v>
      </c>
      <c r="J2699" s="61"/>
      <c r="K2699" s="61" t="s">
        <v>328</v>
      </c>
      <c r="L2699" s="61"/>
      <c r="M2699" s="61"/>
      <c r="N2699" s="61"/>
      <c r="O2699" s="61"/>
      <c r="P2699" s="61"/>
      <c r="Q2699" s="61"/>
      <c r="R2699" s="61" t="str">
        <f t="shared" si="188"/>
        <v/>
      </c>
      <c r="S2699" s="61" t="str">
        <f t="shared" si="189"/>
        <v/>
      </c>
      <c r="T2699" s="61" t="str">
        <f t="shared" si="187"/>
        <v/>
      </c>
      <c r="U2699" s="61" t="str">
        <f t="shared" si="190"/>
        <v/>
      </c>
      <c r="V2699" s="61"/>
      <c r="W2699" s="61"/>
      <c r="X2699" s="61"/>
      <c r="Y2699" s="61"/>
      <c r="Z2699" s="61"/>
      <c r="AA2699" s="61"/>
      <c r="AB2699" s="61"/>
    </row>
    <row r="2700" spans="1:28" s="2" customFormat="1" ht="15">
      <c r="A2700" s="61" t="s">
        <v>779</v>
      </c>
      <c r="B2700" s="61" t="s">
        <v>1506</v>
      </c>
      <c r="C2700" s="61" t="s">
        <v>6168</v>
      </c>
      <c r="D2700" s="61" t="s">
        <v>159</v>
      </c>
      <c r="E2700" s="61">
        <v>682</v>
      </c>
      <c r="F2700" s="61">
        <v>761</v>
      </c>
      <c r="G2700" s="61"/>
      <c r="H2700" s="61"/>
      <c r="I2700" s="61" t="s">
        <v>5783</v>
      </c>
      <c r="J2700" s="61"/>
      <c r="K2700" s="61" t="s">
        <v>328</v>
      </c>
      <c r="L2700" s="61"/>
      <c r="M2700" s="61"/>
      <c r="N2700" s="61"/>
      <c r="O2700" s="61"/>
      <c r="P2700" s="61"/>
      <c r="Q2700" s="61"/>
      <c r="R2700" s="61" t="str">
        <f t="shared" si="188"/>
        <v/>
      </c>
      <c r="S2700" s="61" t="str">
        <f t="shared" si="189"/>
        <v/>
      </c>
      <c r="T2700" s="61" t="str">
        <f t="shared" si="187"/>
        <v/>
      </c>
      <c r="U2700" s="61" t="str">
        <f t="shared" si="190"/>
        <v/>
      </c>
      <c r="V2700" s="61"/>
      <c r="W2700" s="61"/>
      <c r="X2700" s="61"/>
      <c r="Y2700" s="61"/>
      <c r="Z2700" s="61"/>
      <c r="AA2700" s="61"/>
      <c r="AB2700" s="61"/>
    </row>
    <row r="2701" spans="1:28" s="2" customFormat="1" ht="15">
      <c r="A2701" s="61" t="s">
        <v>779</v>
      </c>
      <c r="B2701" s="61" t="s">
        <v>1506</v>
      </c>
      <c r="C2701" s="61" t="s">
        <v>5309</v>
      </c>
      <c r="D2701" s="61" t="s">
        <v>159</v>
      </c>
      <c r="E2701" s="61">
        <v>1761</v>
      </c>
      <c r="F2701" s="61">
        <v>1771</v>
      </c>
      <c r="G2701" s="61"/>
      <c r="H2701" s="61"/>
      <c r="I2701" s="61" t="s">
        <v>5783</v>
      </c>
      <c r="J2701" s="61"/>
      <c r="K2701" s="61" t="s">
        <v>328</v>
      </c>
      <c r="L2701" s="61"/>
      <c r="M2701" s="634"/>
      <c r="N2701" s="634"/>
      <c r="O2701" s="61"/>
      <c r="P2701" s="634"/>
      <c r="Q2701" s="61"/>
      <c r="R2701" s="61" t="str">
        <f t="shared" si="188"/>
        <v/>
      </c>
      <c r="S2701" s="61" t="str">
        <f t="shared" si="189"/>
        <v/>
      </c>
      <c r="T2701" s="61" t="str">
        <f t="shared" si="187"/>
        <v/>
      </c>
      <c r="U2701" s="61" t="str">
        <f t="shared" si="190"/>
        <v/>
      </c>
      <c r="V2701" s="61"/>
      <c r="W2701" s="61"/>
      <c r="X2701" s="61"/>
      <c r="Y2701" s="61"/>
      <c r="Z2701" s="61"/>
      <c r="AA2701" s="61"/>
      <c r="AB2701" s="61"/>
    </row>
    <row r="2702" spans="1:28" s="2" customFormat="1" ht="15">
      <c r="A2702" s="61" t="s">
        <v>779</v>
      </c>
      <c r="B2702" s="61" t="s">
        <v>1506</v>
      </c>
      <c r="C2702" s="61" t="s">
        <v>1507</v>
      </c>
      <c r="D2702" s="61" t="s">
        <v>159</v>
      </c>
      <c r="E2702" s="61">
        <v>1040</v>
      </c>
      <c r="F2702" s="61">
        <v>1102</v>
      </c>
      <c r="G2702" s="61"/>
      <c r="H2702" s="61"/>
      <c r="I2702" s="61" t="s">
        <v>5783</v>
      </c>
      <c r="J2702" s="61"/>
      <c r="K2702" s="61" t="s">
        <v>328</v>
      </c>
      <c r="L2702" s="61"/>
      <c r="M2702" s="61"/>
      <c r="N2702" s="61"/>
      <c r="O2702" s="61"/>
      <c r="P2702" s="61"/>
      <c r="Q2702" s="61"/>
      <c r="R2702" s="61" t="str">
        <f t="shared" si="188"/>
        <v/>
      </c>
      <c r="S2702" s="61" t="str">
        <f t="shared" si="189"/>
        <v/>
      </c>
      <c r="T2702" s="61" t="str">
        <f t="shared" si="187"/>
        <v/>
      </c>
      <c r="U2702" s="61" t="str">
        <f t="shared" si="190"/>
        <v/>
      </c>
      <c r="V2702" s="61"/>
      <c r="W2702" s="61"/>
      <c r="X2702" s="61"/>
      <c r="Y2702" s="61"/>
      <c r="Z2702" s="61"/>
      <c r="AA2702" s="61"/>
      <c r="AB2702" s="61"/>
    </row>
    <row r="2703" spans="1:28" s="2" customFormat="1" ht="15">
      <c r="A2703" s="61" t="s">
        <v>779</v>
      </c>
      <c r="B2703" s="61" t="s">
        <v>1506</v>
      </c>
      <c r="C2703" s="61" t="s">
        <v>6170</v>
      </c>
      <c r="D2703" s="61" t="s">
        <v>159</v>
      </c>
      <c r="E2703" s="61">
        <v>1238</v>
      </c>
      <c r="F2703" s="61">
        <v>1285</v>
      </c>
      <c r="G2703" s="61"/>
      <c r="H2703" s="61"/>
      <c r="I2703" s="61" t="s">
        <v>5783</v>
      </c>
      <c r="J2703" s="61"/>
      <c r="K2703" s="61" t="s">
        <v>328</v>
      </c>
      <c r="L2703" s="61"/>
      <c r="M2703" s="61"/>
      <c r="N2703" s="61"/>
      <c r="O2703" s="61"/>
      <c r="P2703" s="61"/>
      <c r="Q2703" s="61"/>
      <c r="R2703" s="61" t="str">
        <f t="shared" si="188"/>
        <v/>
      </c>
      <c r="S2703" s="61" t="str">
        <f t="shared" si="189"/>
        <v/>
      </c>
      <c r="T2703" s="61" t="str">
        <f t="shared" si="187"/>
        <v/>
      </c>
      <c r="U2703" s="61" t="str">
        <f t="shared" si="190"/>
        <v/>
      </c>
      <c r="V2703" s="61"/>
      <c r="W2703" s="61"/>
      <c r="X2703" s="61"/>
      <c r="Y2703" s="61"/>
      <c r="Z2703" s="61"/>
      <c r="AA2703" s="61"/>
      <c r="AB2703" s="61"/>
    </row>
    <row r="2704" spans="1:28" s="2" customFormat="1" ht="15">
      <c r="A2704" s="61" t="s">
        <v>779</v>
      </c>
      <c r="B2704" s="61" t="s">
        <v>1506</v>
      </c>
      <c r="C2704" s="61" t="s">
        <v>4946</v>
      </c>
      <c r="D2704" s="61" t="s">
        <v>159</v>
      </c>
      <c r="E2704" s="61">
        <v>1603</v>
      </c>
      <c r="F2704" s="61">
        <v>1621</v>
      </c>
      <c r="G2704" s="61"/>
      <c r="H2704" s="61"/>
      <c r="I2704" s="61" t="s">
        <v>5783</v>
      </c>
      <c r="J2704" s="61"/>
      <c r="K2704" s="61" t="s">
        <v>328</v>
      </c>
      <c r="L2704" s="61"/>
      <c r="M2704" s="61"/>
      <c r="N2704" s="61"/>
      <c r="O2704" s="61"/>
      <c r="P2704" s="61"/>
      <c r="Q2704" s="475"/>
      <c r="R2704" s="61" t="str">
        <f t="shared" si="188"/>
        <v/>
      </c>
      <c r="S2704" s="61" t="str">
        <f t="shared" si="189"/>
        <v/>
      </c>
      <c r="T2704" s="61" t="str">
        <f t="shared" si="187"/>
        <v/>
      </c>
      <c r="U2704" s="61" t="str">
        <f t="shared" si="190"/>
        <v/>
      </c>
      <c r="V2704" s="61"/>
      <c r="W2704" s="61"/>
      <c r="X2704" s="61"/>
      <c r="Y2704" s="61"/>
      <c r="Z2704" s="61"/>
      <c r="AA2704" s="61"/>
      <c r="AB2704" s="61"/>
    </row>
    <row r="2705" spans="1:28" s="2" customFormat="1" ht="28.5">
      <c r="A2705" s="61" t="s">
        <v>779</v>
      </c>
      <c r="B2705" s="61" t="s">
        <v>858</v>
      </c>
      <c r="C2705" s="61" t="s">
        <v>6182</v>
      </c>
      <c r="D2705" s="61" t="s">
        <v>159</v>
      </c>
      <c r="E2705" s="61">
        <v>3705</v>
      </c>
      <c r="F2705" s="61">
        <v>4401</v>
      </c>
      <c r="G2705" s="61">
        <v>2025</v>
      </c>
      <c r="H2705" s="61" t="s">
        <v>3470</v>
      </c>
      <c r="I2705" s="61" t="s">
        <v>39</v>
      </c>
      <c r="J2705" s="61"/>
      <c r="K2705" s="61" t="s">
        <v>328</v>
      </c>
      <c r="L2705" s="61" t="s">
        <v>9271</v>
      </c>
      <c r="M2705" s="475">
        <v>45758</v>
      </c>
      <c r="N2705" s="475">
        <v>45762</v>
      </c>
      <c r="O2705" s="61"/>
      <c r="P2705" s="475">
        <v>45768</v>
      </c>
      <c r="Q2705" s="475">
        <v>45769</v>
      </c>
      <c r="R2705" s="61">
        <f t="shared" si="188"/>
        <v>2</v>
      </c>
      <c r="S2705" s="61" t="str">
        <f t="shared" si="189"/>
        <v/>
      </c>
      <c r="T2705" s="61">
        <f t="shared" si="187"/>
        <v>4</v>
      </c>
      <c r="U2705" s="61">
        <f t="shared" si="190"/>
        <v>1</v>
      </c>
      <c r="V2705" s="61" t="s">
        <v>150</v>
      </c>
      <c r="W2705" s="61" t="s">
        <v>1078</v>
      </c>
      <c r="X2705" s="61" t="s">
        <v>50</v>
      </c>
      <c r="Y2705" s="61">
        <v>15.452299999999999</v>
      </c>
      <c r="Z2705" s="61">
        <v>120.4669</v>
      </c>
      <c r="AA2705" s="61" t="s">
        <v>8492</v>
      </c>
      <c r="AB2705" s="61"/>
    </row>
    <row r="2706" spans="1:28" s="2" customFormat="1" ht="28.5">
      <c r="A2706" s="61" t="s">
        <v>779</v>
      </c>
      <c r="B2706" s="61" t="s">
        <v>858</v>
      </c>
      <c r="C2706" s="61" t="s">
        <v>6178</v>
      </c>
      <c r="D2706" s="61" t="s">
        <v>159</v>
      </c>
      <c r="E2706" s="61">
        <v>1421</v>
      </c>
      <c r="F2706" s="61">
        <v>1709</v>
      </c>
      <c r="G2706" s="61">
        <v>2025</v>
      </c>
      <c r="H2706" s="61" t="s">
        <v>3689</v>
      </c>
      <c r="I2706" s="61" t="s">
        <v>39</v>
      </c>
      <c r="J2706" s="61"/>
      <c r="K2706" s="61" t="s">
        <v>328</v>
      </c>
      <c r="L2706" s="61" t="s">
        <v>9272</v>
      </c>
      <c r="M2706" s="475">
        <v>45826</v>
      </c>
      <c r="N2706" s="475">
        <v>45826</v>
      </c>
      <c r="O2706" s="61"/>
      <c r="P2706" s="475">
        <v>45827</v>
      </c>
      <c r="Q2706" s="475">
        <v>45827</v>
      </c>
      <c r="R2706" s="61">
        <f t="shared" si="188"/>
        <v>1</v>
      </c>
      <c r="S2706" s="61" t="str">
        <f t="shared" si="189"/>
        <v/>
      </c>
      <c r="T2706" s="61">
        <f t="shared" si="187"/>
        <v>1</v>
      </c>
      <c r="U2706" s="61">
        <f t="shared" si="190"/>
        <v>1</v>
      </c>
      <c r="V2706" s="61" t="s">
        <v>150</v>
      </c>
      <c r="W2706" s="61" t="s">
        <v>3527</v>
      </c>
      <c r="X2706" s="61" t="s">
        <v>3528</v>
      </c>
      <c r="Y2706" s="61" t="s">
        <v>9273</v>
      </c>
      <c r="Z2706" s="61" t="s">
        <v>9274</v>
      </c>
      <c r="AA2706" s="61" t="s">
        <v>8492</v>
      </c>
      <c r="AB2706" s="61"/>
    </row>
    <row r="2707" spans="1:28" s="2" customFormat="1" ht="15">
      <c r="A2707" s="61" t="s">
        <v>779</v>
      </c>
      <c r="B2707" s="61" t="s">
        <v>858</v>
      </c>
      <c r="C2707" s="61" t="s">
        <v>1490</v>
      </c>
      <c r="D2707" s="61" t="s">
        <v>159</v>
      </c>
      <c r="E2707" s="61">
        <v>2972</v>
      </c>
      <c r="F2707" s="61">
        <v>3172</v>
      </c>
      <c r="G2707" s="61"/>
      <c r="H2707" s="61"/>
      <c r="I2707" s="61" t="s">
        <v>39</v>
      </c>
      <c r="J2707" s="61"/>
      <c r="K2707" s="61" t="s">
        <v>328</v>
      </c>
      <c r="L2707" s="61"/>
      <c r="M2707" s="61"/>
      <c r="N2707" s="61"/>
      <c r="O2707" s="61"/>
      <c r="P2707" s="61"/>
      <c r="Q2707" s="61"/>
      <c r="R2707" s="61" t="str">
        <f t="shared" si="188"/>
        <v/>
      </c>
      <c r="S2707" s="61" t="str">
        <f t="shared" si="189"/>
        <v/>
      </c>
      <c r="T2707" s="61" t="str">
        <f t="shared" si="187"/>
        <v/>
      </c>
      <c r="U2707" s="61" t="str">
        <f t="shared" si="190"/>
        <v/>
      </c>
      <c r="V2707" s="61"/>
      <c r="W2707" s="61"/>
      <c r="X2707" s="61"/>
      <c r="Y2707" s="61"/>
      <c r="Z2707" s="61"/>
      <c r="AA2707" s="61"/>
      <c r="AB2707" s="61"/>
    </row>
    <row r="2708" spans="1:28" s="2" customFormat="1" ht="15">
      <c r="A2708" s="61" t="s">
        <v>779</v>
      </c>
      <c r="B2708" s="61" t="s">
        <v>858</v>
      </c>
      <c r="C2708" s="61" t="s">
        <v>6176</v>
      </c>
      <c r="D2708" s="61" t="s">
        <v>159</v>
      </c>
      <c r="E2708" s="61">
        <v>1579</v>
      </c>
      <c r="F2708" s="61">
        <v>1749</v>
      </c>
      <c r="G2708" s="61"/>
      <c r="H2708" s="61"/>
      <c r="I2708" s="61" t="s">
        <v>39</v>
      </c>
      <c r="J2708" s="61"/>
      <c r="K2708" s="61" t="s">
        <v>328</v>
      </c>
      <c r="L2708" s="61"/>
      <c r="M2708" s="61"/>
      <c r="N2708" s="475"/>
      <c r="O2708" s="61"/>
      <c r="P2708" s="475"/>
      <c r="Q2708" s="475"/>
      <c r="R2708" s="61" t="str">
        <f t="shared" si="188"/>
        <v/>
      </c>
      <c r="S2708" s="61" t="str">
        <f t="shared" si="189"/>
        <v/>
      </c>
      <c r="T2708" s="61" t="str">
        <f t="shared" si="187"/>
        <v/>
      </c>
      <c r="U2708" s="61" t="str">
        <f t="shared" si="190"/>
        <v/>
      </c>
      <c r="V2708" s="61"/>
      <c r="W2708" s="61"/>
      <c r="X2708" s="61"/>
      <c r="Y2708" s="61"/>
      <c r="Z2708" s="61"/>
      <c r="AA2708" s="61"/>
      <c r="AB2708" s="61"/>
    </row>
    <row r="2709" spans="1:28" s="2" customFormat="1" ht="15">
      <c r="A2709" s="61" t="s">
        <v>779</v>
      </c>
      <c r="B2709" s="61" t="s">
        <v>858</v>
      </c>
      <c r="C2709" s="61" t="s">
        <v>1539</v>
      </c>
      <c r="D2709" s="61" t="s">
        <v>159</v>
      </c>
      <c r="E2709" s="61">
        <v>4983</v>
      </c>
      <c r="F2709" s="61">
        <v>5598</v>
      </c>
      <c r="G2709" s="61"/>
      <c r="H2709" s="61"/>
      <c r="I2709" s="61" t="s">
        <v>39</v>
      </c>
      <c r="J2709" s="61"/>
      <c r="K2709" s="61" t="s">
        <v>328</v>
      </c>
      <c r="L2709" s="61"/>
      <c r="M2709" s="61"/>
      <c r="N2709" s="61"/>
      <c r="O2709" s="61"/>
      <c r="P2709" s="61"/>
      <c r="Q2709" s="61"/>
      <c r="R2709" s="61" t="str">
        <f t="shared" si="188"/>
        <v/>
      </c>
      <c r="S2709" s="61" t="str">
        <f t="shared" si="189"/>
        <v/>
      </c>
      <c r="T2709" s="61" t="str">
        <f t="shared" si="187"/>
        <v/>
      </c>
      <c r="U2709" s="61" t="str">
        <f t="shared" si="190"/>
        <v/>
      </c>
      <c r="V2709" s="61"/>
      <c r="W2709" s="61"/>
      <c r="X2709" s="61"/>
      <c r="Y2709" s="61"/>
      <c r="Z2709" s="61"/>
      <c r="AA2709" s="61"/>
      <c r="AB2709" s="61"/>
    </row>
    <row r="2710" spans="1:28" s="2" customFormat="1" ht="15">
      <c r="A2710" s="61" t="s">
        <v>779</v>
      </c>
      <c r="B2710" s="61" t="s">
        <v>858</v>
      </c>
      <c r="C2710" s="61" t="s">
        <v>5219</v>
      </c>
      <c r="D2710" s="61" t="s">
        <v>159</v>
      </c>
      <c r="E2710" s="61">
        <v>1878</v>
      </c>
      <c r="F2710" s="61">
        <v>2073</v>
      </c>
      <c r="G2710" s="61"/>
      <c r="H2710" s="61"/>
      <c r="I2710" s="61" t="s">
        <v>39</v>
      </c>
      <c r="J2710" s="61"/>
      <c r="K2710" s="61" t="s">
        <v>328</v>
      </c>
      <c r="L2710" s="61"/>
      <c r="M2710" s="61"/>
      <c r="N2710" s="61"/>
      <c r="O2710" s="61"/>
      <c r="P2710" s="61"/>
      <c r="Q2710" s="61"/>
      <c r="R2710" s="61" t="str">
        <f t="shared" si="188"/>
        <v/>
      </c>
      <c r="S2710" s="61" t="str">
        <f t="shared" si="189"/>
        <v/>
      </c>
      <c r="T2710" s="61" t="str">
        <f t="shared" si="187"/>
        <v/>
      </c>
      <c r="U2710" s="61" t="str">
        <f t="shared" si="190"/>
        <v/>
      </c>
      <c r="V2710" s="61"/>
      <c r="W2710" s="61"/>
      <c r="X2710" s="61"/>
      <c r="Y2710" s="61"/>
      <c r="Z2710" s="61"/>
      <c r="AA2710" s="61"/>
      <c r="AB2710" s="61"/>
    </row>
    <row r="2711" spans="1:28" s="2" customFormat="1" ht="15">
      <c r="A2711" s="61" t="s">
        <v>779</v>
      </c>
      <c r="B2711" s="61" t="s">
        <v>858</v>
      </c>
      <c r="C2711" s="61" t="s">
        <v>1199</v>
      </c>
      <c r="D2711" s="61" t="s">
        <v>159</v>
      </c>
      <c r="E2711" s="61">
        <v>1209</v>
      </c>
      <c r="F2711" s="61">
        <v>1371</v>
      </c>
      <c r="G2711" s="61"/>
      <c r="H2711" s="61"/>
      <c r="I2711" s="61" t="s">
        <v>39</v>
      </c>
      <c r="J2711" s="61"/>
      <c r="K2711" s="61" t="s">
        <v>328</v>
      </c>
      <c r="L2711" s="61"/>
      <c r="M2711" s="61"/>
      <c r="N2711" s="61"/>
      <c r="O2711" s="61"/>
      <c r="P2711" s="61"/>
      <c r="Q2711" s="61"/>
      <c r="R2711" s="61" t="str">
        <f t="shared" si="188"/>
        <v/>
      </c>
      <c r="S2711" s="61" t="str">
        <f t="shared" si="189"/>
        <v/>
      </c>
      <c r="T2711" s="61" t="str">
        <f t="shared" si="187"/>
        <v/>
      </c>
      <c r="U2711" s="61" t="str">
        <f t="shared" si="190"/>
        <v/>
      </c>
      <c r="V2711" s="61"/>
      <c r="W2711" s="61"/>
      <c r="X2711" s="61"/>
      <c r="Y2711" s="61"/>
      <c r="Z2711" s="61"/>
      <c r="AA2711" s="61"/>
      <c r="AB2711" s="61"/>
    </row>
    <row r="2712" spans="1:28" s="2" customFormat="1" ht="15">
      <c r="A2712" s="61" t="s">
        <v>779</v>
      </c>
      <c r="B2712" s="61" t="s">
        <v>858</v>
      </c>
      <c r="C2712" s="61" t="s">
        <v>6180</v>
      </c>
      <c r="D2712" s="61" t="s">
        <v>159</v>
      </c>
      <c r="E2712" s="61">
        <v>2726</v>
      </c>
      <c r="F2712" s="61">
        <v>2627</v>
      </c>
      <c r="G2712" s="61"/>
      <c r="H2712" s="61"/>
      <c r="I2712" s="61" t="s">
        <v>39</v>
      </c>
      <c r="J2712" s="61"/>
      <c r="K2712" s="61" t="s">
        <v>328</v>
      </c>
      <c r="L2712" s="61"/>
      <c r="M2712" s="61"/>
      <c r="N2712" s="61"/>
      <c r="O2712" s="61"/>
      <c r="P2712" s="61"/>
      <c r="Q2712" s="61"/>
      <c r="R2712" s="61" t="str">
        <f t="shared" si="188"/>
        <v/>
      </c>
      <c r="S2712" s="61" t="str">
        <f t="shared" si="189"/>
        <v/>
      </c>
      <c r="T2712" s="61" t="str">
        <f t="shared" si="187"/>
        <v/>
      </c>
      <c r="U2712" s="61" t="str">
        <f t="shared" si="190"/>
        <v/>
      </c>
      <c r="V2712" s="61"/>
      <c r="W2712" s="61"/>
      <c r="X2712" s="61"/>
      <c r="Y2712" s="61"/>
      <c r="Z2712" s="61"/>
      <c r="AA2712" s="61"/>
      <c r="AB2712" s="61"/>
    </row>
    <row r="2713" spans="1:28" s="2" customFormat="1" ht="15">
      <c r="A2713" s="61" t="s">
        <v>779</v>
      </c>
      <c r="B2713" s="61" t="s">
        <v>858</v>
      </c>
      <c r="C2713" s="61" t="s">
        <v>6181</v>
      </c>
      <c r="D2713" s="61" t="s">
        <v>159</v>
      </c>
      <c r="E2713" s="61">
        <v>3919</v>
      </c>
      <c r="F2713" s="61">
        <v>4404</v>
      </c>
      <c r="G2713" s="61"/>
      <c r="H2713" s="61"/>
      <c r="I2713" s="61" t="s">
        <v>39</v>
      </c>
      <c r="J2713" s="61"/>
      <c r="K2713" s="61" t="s">
        <v>328</v>
      </c>
      <c r="L2713" s="61"/>
      <c r="M2713" s="61"/>
      <c r="N2713" s="61"/>
      <c r="O2713" s="61"/>
      <c r="P2713" s="61"/>
      <c r="Q2713" s="61"/>
      <c r="R2713" s="61" t="str">
        <f t="shared" si="188"/>
        <v/>
      </c>
      <c r="S2713" s="61" t="str">
        <f t="shared" si="189"/>
        <v/>
      </c>
      <c r="T2713" s="61" t="str">
        <f t="shared" si="187"/>
        <v/>
      </c>
      <c r="U2713" s="61" t="str">
        <f t="shared" si="190"/>
        <v/>
      </c>
      <c r="V2713" s="61"/>
      <c r="W2713" s="61"/>
      <c r="X2713" s="61"/>
      <c r="Y2713" s="61"/>
      <c r="Z2713" s="61"/>
      <c r="AA2713" s="61"/>
      <c r="AB2713" s="61"/>
    </row>
    <row r="2714" spans="1:28" s="2" customFormat="1" ht="15">
      <c r="A2714" s="61" t="s">
        <v>779</v>
      </c>
      <c r="B2714" s="61" t="s">
        <v>858</v>
      </c>
      <c r="C2714" s="61" t="s">
        <v>6183</v>
      </c>
      <c r="D2714" s="61" t="s">
        <v>159</v>
      </c>
      <c r="E2714" s="61">
        <v>1709</v>
      </c>
      <c r="F2714" s="61">
        <v>1737</v>
      </c>
      <c r="G2714" s="61"/>
      <c r="H2714" s="61"/>
      <c r="I2714" s="61" t="s">
        <v>39</v>
      </c>
      <c r="J2714" s="61"/>
      <c r="K2714" s="61" t="s">
        <v>328</v>
      </c>
      <c r="L2714" s="61"/>
      <c r="M2714" s="61"/>
      <c r="N2714" s="61"/>
      <c r="O2714" s="61"/>
      <c r="P2714" s="61"/>
      <c r="Q2714" s="61"/>
      <c r="R2714" s="61" t="str">
        <f t="shared" si="188"/>
        <v/>
      </c>
      <c r="S2714" s="61" t="str">
        <f t="shared" si="189"/>
        <v/>
      </c>
      <c r="T2714" s="61" t="str">
        <f t="shared" si="187"/>
        <v/>
      </c>
      <c r="U2714" s="61" t="str">
        <f t="shared" si="190"/>
        <v/>
      </c>
      <c r="V2714" s="61"/>
      <c r="W2714" s="61"/>
      <c r="X2714" s="61"/>
      <c r="Y2714" s="61"/>
      <c r="Z2714" s="61"/>
      <c r="AA2714" s="61"/>
      <c r="AB2714" s="61"/>
    </row>
    <row r="2715" spans="1:28" s="2" customFormat="1" ht="15">
      <c r="A2715" s="61" t="s">
        <v>779</v>
      </c>
      <c r="B2715" s="61" t="s">
        <v>858</v>
      </c>
      <c r="C2715" s="61" t="s">
        <v>6184</v>
      </c>
      <c r="D2715" s="61" t="s">
        <v>159</v>
      </c>
      <c r="E2715" s="61">
        <v>1546</v>
      </c>
      <c r="F2715" s="61">
        <v>1572</v>
      </c>
      <c r="G2715" s="61"/>
      <c r="H2715" s="61"/>
      <c r="I2715" s="61" t="s">
        <v>39</v>
      </c>
      <c r="J2715" s="61"/>
      <c r="K2715" s="61" t="s">
        <v>328</v>
      </c>
      <c r="L2715" s="61"/>
      <c r="M2715" s="61"/>
      <c r="N2715" s="475"/>
      <c r="O2715" s="61"/>
      <c r="P2715" s="475"/>
      <c r="Q2715" s="475"/>
      <c r="R2715" s="61" t="str">
        <f t="shared" si="188"/>
        <v/>
      </c>
      <c r="S2715" s="61" t="str">
        <f t="shared" si="189"/>
        <v/>
      </c>
      <c r="T2715" s="61" t="str">
        <f t="shared" ref="T2715:T2778" si="191">IF(
  OR(A2715 = "Nueva_Ecija", A2715 = "Zambales"),
  IF(
    OR(ISBLANK(O2715), ISBLANK(P2715)),
    "",
    MAX(1, IF(
      NETWORKDAYS(O2715, P2715) &lt;= 0,
      1,
      NETWORKDAYS(O2715, P2715) - IF(O2715 = P2715, 0, 1)
    ))
  ),
  IF(
    OR(ISBLANK(N2715), ISBLANK(P2715)),
    "",
    MAX(1, IF(
      NETWORKDAYS(N2715, P2715) &lt;= 0,
      1,
      NETWORKDAYS(N2715, P2715) - IF(N2715 = P2715, 0, 1)
    ))
  )
)</f>
        <v/>
      </c>
      <c r="U2715" s="61" t="str">
        <f t="shared" si="190"/>
        <v/>
      </c>
      <c r="V2715" s="61"/>
      <c r="W2715" s="61"/>
      <c r="X2715" s="61"/>
      <c r="Y2715" s="61"/>
      <c r="Z2715" s="61"/>
      <c r="AA2715" s="61"/>
      <c r="AB2715" s="61"/>
    </row>
    <row r="2716" spans="1:28" s="2" customFormat="1" ht="15">
      <c r="A2716" s="61" t="s">
        <v>779</v>
      </c>
      <c r="B2716" s="61" t="s">
        <v>858</v>
      </c>
      <c r="C2716" s="61" t="s">
        <v>6186</v>
      </c>
      <c r="D2716" s="61" t="s">
        <v>159</v>
      </c>
      <c r="E2716" s="61">
        <v>3682</v>
      </c>
      <c r="F2716" s="61">
        <v>5122</v>
      </c>
      <c r="G2716" s="61"/>
      <c r="H2716" s="61"/>
      <c r="I2716" s="61" t="s">
        <v>39</v>
      </c>
      <c r="J2716" s="61"/>
      <c r="K2716" s="61" t="s">
        <v>328</v>
      </c>
      <c r="L2716" s="61"/>
      <c r="M2716" s="61"/>
      <c r="N2716" s="61"/>
      <c r="O2716" s="61"/>
      <c r="P2716" s="61"/>
      <c r="Q2716" s="61"/>
      <c r="R2716" s="61" t="str">
        <f t="shared" si="188"/>
        <v/>
      </c>
      <c r="S2716" s="61" t="str">
        <f t="shared" si="189"/>
        <v/>
      </c>
      <c r="T2716" s="61" t="str">
        <f t="shared" si="191"/>
        <v/>
      </c>
      <c r="U2716" s="61" t="str">
        <f t="shared" si="190"/>
        <v/>
      </c>
      <c r="V2716" s="61"/>
      <c r="W2716" s="61"/>
      <c r="X2716" s="61"/>
      <c r="Y2716" s="61"/>
      <c r="Z2716" s="61"/>
      <c r="AA2716" s="61"/>
      <c r="AB2716" s="61"/>
    </row>
    <row r="2717" spans="1:28" s="2" customFormat="1" ht="15">
      <c r="A2717" s="61" t="s">
        <v>779</v>
      </c>
      <c r="B2717" s="61" t="s">
        <v>858</v>
      </c>
      <c r="C2717" s="61" t="s">
        <v>6187</v>
      </c>
      <c r="D2717" s="61" t="s">
        <v>159</v>
      </c>
      <c r="E2717" s="61">
        <v>4924</v>
      </c>
      <c r="F2717" s="61">
        <v>5647</v>
      </c>
      <c r="G2717" s="61"/>
      <c r="H2717" s="61"/>
      <c r="I2717" s="61" t="s">
        <v>39</v>
      </c>
      <c r="J2717" s="61"/>
      <c r="K2717" s="61" t="s">
        <v>328</v>
      </c>
      <c r="L2717" s="61"/>
      <c r="M2717" s="61"/>
      <c r="N2717" s="61"/>
      <c r="O2717" s="61"/>
      <c r="P2717" s="61"/>
      <c r="Q2717" s="61"/>
      <c r="R2717" s="61" t="str">
        <f t="shared" si="188"/>
        <v/>
      </c>
      <c r="S2717" s="61" t="str">
        <f t="shared" si="189"/>
        <v/>
      </c>
      <c r="T2717" s="61" t="str">
        <f t="shared" si="191"/>
        <v/>
      </c>
      <c r="U2717" s="61" t="str">
        <f t="shared" si="190"/>
        <v/>
      </c>
      <c r="V2717" s="61"/>
      <c r="W2717" s="61"/>
      <c r="X2717" s="61"/>
      <c r="Y2717" s="61"/>
      <c r="Z2717" s="61"/>
      <c r="AA2717" s="61"/>
      <c r="AB2717" s="61"/>
    </row>
    <row r="2718" spans="1:28" s="2" customFormat="1" ht="28.5">
      <c r="A2718" s="61" t="s">
        <v>779</v>
      </c>
      <c r="B2718" s="61" t="s">
        <v>1511</v>
      </c>
      <c r="C2718" s="61" t="s">
        <v>6196</v>
      </c>
      <c r="D2718" s="61" t="s">
        <v>159</v>
      </c>
      <c r="E2718" s="61">
        <v>1070</v>
      </c>
      <c r="F2718" s="61">
        <v>1142</v>
      </c>
      <c r="G2718" s="61">
        <v>2025</v>
      </c>
      <c r="H2718" s="61" t="s">
        <v>3127</v>
      </c>
      <c r="I2718" s="61" t="s">
        <v>5783</v>
      </c>
      <c r="J2718" s="61"/>
      <c r="K2718" s="61" t="s">
        <v>328</v>
      </c>
      <c r="L2718" s="61" t="s">
        <v>9275</v>
      </c>
      <c r="M2718" s="475">
        <v>45911</v>
      </c>
      <c r="N2718" s="475">
        <v>45912</v>
      </c>
      <c r="O2718" s="61"/>
      <c r="P2718" s="475">
        <v>45916</v>
      </c>
      <c r="Q2718" s="475">
        <v>45917</v>
      </c>
      <c r="R2718" s="61">
        <f t="shared" si="188"/>
        <v>1</v>
      </c>
      <c r="S2718" s="61" t="str">
        <f t="shared" si="189"/>
        <v/>
      </c>
      <c r="T2718" s="61">
        <f t="shared" si="191"/>
        <v>2</v>
      </c>
      <c r="U2718" s="61">
        <f t="shared" si="190"/>
        <v>1</v>
      </c>
      <c r="V2718" s="61" t="s">
        <v>150</v>
      </c>
      <c r="W2718" s="61" t="s">
        <v>1078</v>
      </c>
      <c r="X2718" s="61" t="s">
        <v>50</v>
      </c>
      <c r="Y2718" s="61" t="s">
        <v>9034</v>
      </c>
      <c r="Z2718" s="61" t="s">
        <v>9035</v>
      </c>
      <c r="AA2718" s="61" t="s">
        <v>8492</v>
      </c>
      <c r="AB2718" s="61" t="s">
        <v>9276</v>
      </c>
    </row>
    <row r="2719" spans="1:28" s="2" customFormat="1" ht="28.5">
      <c r="A2719" s="61" t="s">
        <v>779</v>
      </c>
      <c r="B2719" s="61" t="s">
        <v>1511</v>
      </c>
      <c r="C2719" s="61" t="s">
        <v>6200</v>
      </c>
      <c r="D2719" s="61" t="s">
        <v>159</v>
      </c>
      <c r="E2719" s="61">
        <v>926</v>
      </c>
      <c r="F2719" s="61">
        <v>1135</v>
      </c>
      <c r="G2719" s="61">
        <v>2025</v>
      </c>
      <c r="H2719" s="61" t="s">
        <v>3127</v>
      </c>
      <c r="I2719" s="61" t="s">
        <v>5783</v>
      </c>
      <c r="J2719" s="61"/>
      <c r="K2719" s="61" t="s">
        <v>328</v>
      </c>
      <c r="L2719" s="61" t="s">
        <v>9275</v>
      </c>
      <c r="M2719" s="475">
        <v>45911</v>
      </c>
      <c r="N2719" s="475">
        <v>45912</v>
      </c>
      <c r="O2719" s="61"/>
      <c r="P2719" s="475">
        <v>45916</v>
      </c>
      <c r="Q2719" s="475">
        <v>45917</v>
      </c>
      <c r="R2719" s="61">
        <f t="shared" si="188"/>
        <v>1</v>
      </c>
      <c r="S2719" s="61" t="str">
        <f t="shared" si="189"/>
        <v/>
      </c>
      <c r="T2719" s="61">
        <f t="shared" si="191"/>
        <v>2</v>
      </c>
      <c r="U2719" s="61">
        <f t="shared" si="190"/>
        <v>1</v>
      </c>
      <c r="V2719" s="61" t="s">
        <v>150</v>
      </c>
      <c r="W2719" s="61" t="s">
        <v>1078</v>
      </c>
      <c r="X2719" s="61" t="s">
        <v>50</v>
      </c>
      <c r="Y2719" s="495" t="s">
        <v>9036</v>
      </c>
      <c r="Z2719" s="61" t="s">
        <v>9037</v>
      </c>
      <c r="AA2719" s="61" t="s">
        <v>8492</v>
      </c>
      <c r="AB2719" s="61" t="s">
        <v>9276</v>
      </c>
    </row>
    <row r="2720" spans="1:28" s="2" customFormat="1" ht="28.5">
      <c r="A2720" s="61" t="s">
        <v>779</v>
      </c>
      <c r="B2720" s="61" t="s">
        <v>1511</v>
      </c>
      <c r="C2720" s="61" t="s">
        <v>6198</v>
      </c>
      <c r="D2720" s="61" t="s">
        <v>159</v>
      </c>
      <c r="E2720" s="61">
        <v>2335</v>
      </c>
      <c r="F2720" s="61">
        <v>2859</v>
      </c>
      <c r="G2720" s="61">
        <v>2025</v>
      </c>
      <c r="H2720" s="61" t="s">
        <v>3127</v>
      </c>
      <c r="I2720" s="61" t="s">
        <v>5783</v>
      </c>
      <c r="J2720" s="61"/>
      <c r="K2720" s="61" t="s">
        <v>328</v>
      </c>
      <c r="L2720" s="61" t="s">
        <v>9275</v>
      </c>
      <c r="M2720" s="475">
        <v>45911</v>
      </c>
      <c r="N2720" s="475">
        <v>45912</v>
      </c>
      <c r="O2720" s="61"/>
      <c r="P2720" s="475">
        <v>45916</v>
      </c>
      <c r="Q2720" s="475">
        <v>45917</v>
      </c>
      <c r="R2720" s="61">
        <f t="shared" si="188"/>
        <v>1</v>
      </c>
      <c r="S2720" s="61" t="str">
        <f t="shared" si="189"/>
        <v/>
      </c>
      <c r="T2720" s="61">
        <f t="shared" si="191"/>
        <v>2</v>
      </c>
      <c r="U2720" s="61">
        <f t="shared" si="190"/>
        <v>1</v>
      </c>
      <c r="V2720" s="61" t="s">
        <v>150</v>
      </c>
      <c r="W2720" s="61" t="s">
        <v>3527</v>
      </c>
      <c r="X2720" s="61" t="s">
        <v>3528</v>
      </c>
      <c r="Y2720" s="61" t="s">
        <v>69</v>
      </c>
      <c r="Z2720" s="61" t="s">
        <v>69</v>
      </c>
      <c r="AA2720" s="61" t="s">
        <v>8492</v>
      </c>
      <c r="AB2720" s="61" t="s">
        <v>9276</v>
      </c>
    </row>
    <row r="2721" spans="1:28" s="2" customFormat="1" ht="28.5">
      <c r="A2721" s="61" t="s">
        <v>779</v>
      </c>
      <c r="B2721" s="61" t="s">
        <v>1511</v>
      </c>
      <c r="C2721" s="61" t="s">
        <v>1056</v>
      </c>
      <c r="D2721" s="61" t="s">
        <v>159</v>
      </c>
      <c r="E2721" s="61">
        <v>1417</v>
      </c>
      <c r="F2721" s="61">
        <v>1549</v>
      </c>
      <c r="G2721" s="61">
        <v>2025</v>
      </c>
      <c r="H2721" s="61" t="s">
        <v>3458</v>
      </c>
      <c r="I2721" s="61" t="s">
        <v>5783</v>
      </c>
      <c r="J2721" s="61"/>
      <c r="K2721" s="61" t="s">
        <v>328</v>
      </c>
      <c r="L2721" s="61" t="s">
        <v>9277</v>
      </c>
      <c r="M2721" s="475">
        <v>45701</v>
      </c>
      <c r="N2721" s="475">
        <v>45702</v>
      </c>
      <c r="O2721" s="61"/>
      <c r="P2721" s="475">
        <v>45705</v>
      </c>
      <c r="Q2721" s="475">
        <v>45705</v>
      </c>
      <c r="R2721" s="61">
        <f t="shared" si="188"/>
        <v>1</v>
      </c>
      <c r="S2721" s="61" t="str">
        <f t="shared" si="189"/>
        <v/>
      </c>
      <c r="T2721" s="61">
        <f t="shared" si="191"/>
        <v>1</v>
      </c>
      <c r="U2721" s="61">
        <f t="shared" si="190"/>
        <v>1</v>
      </c>
      <c r="V2721" s="61" t="s">
        <v>150</v>
      </c>
      <c r="W2721" s="61" t="s">
        <v>4</v>
      </c>
      <c r="X2721" s="61" t="s">
        <v>50</v>
      </c>
      <c r="Y2721" s="61"/>
      <c r="Z2721" s="61"/>
      <c r="AA2721" s="61" t="s">
        <v>8492</v>
      </c>
      <c r="AB2721" s="61"/>
    </row>
    <row r="2722" spans="1:28" s="2" customFormat="1" ht="28.5">
      <c r="A2722" s="61" t="s">
        <v>779</v>
      </c>
      <c r="B2722" s="61" t="s">
        <v>1511</v>
      </c>
      <c r="C2722" s="61" t="s">
        <v>4950</v>
      </c>
      <c r="D2722" s="61" t="s">
        <v>159</v>
      </c>
      <c r="E2722" s="61">
        <v>1598</v>
      </c>
      <c r="F2722" s="61">
        <v>1644</v>
      </c>
      <c r="G2722" s="61">
        <v>2025</v>
      </c>
      <c r="H2722" s="61" t="s">
        <v>3458</v>
      </c>
      <c r="I2722" s="61" t="s">
        <v>5783</v>
      </c>
      <c r="J2722" s="61"/>
      <c r="K2722" s="61" t="s">
        <v>328</v>
      </c>
      <c r="L2722" s="61" t="s">
        <v>9278</v>
      </c>
      <c r="M2722" s="475">
        <v>45701</v>
      </c>
      <c r="N2722" s="475">
        <v>45702</v>
      </c>
      <c r="O2722" s="61"/>
      <c r="P2722" s="475">
        <v>45705</v>
      </c>
      <c r="Q2722" s="475">
        <v>45705</v>
      </c>
      <c r="R2722" s="61">
        <f t="shared" si="188"/>
        <v>1</v>
      </c>
      <c r="S2722" s="61" t="str">
        <f t="shared" si="189"/>
        <v/>
      </c>
      <c r="T2722" s="61">
        <f t="shared" si="191"/>
        <v>1</v>
      </c>
      <c r="U2722" s="61">
        <f t="shared" si="190"/>
        <v>1</v>
      </c>
      <c r="V2722" s="61" t="s">
        <v>150</v>
      </c>
      <c r="W2722" s="61" t="s">
        <v>4</v>
      </c>
      <c r="X2722" s="61" t="s">
        <v>50</v>
      </c>
      <c r="Y2722" s="634"/>
      <c r="Z2722" s="61"/>
      <c r="AA2722" s="61" t="s">
        <v>8492</v>
      </c>
      <c r="AB2722" s="61"/>
    </row>
    <row r="2723" spans="1:28" s="2" customFormat="1" ht="28.5">
      <c r="A2723" s="61" t="s">
        <v>779</v>
      </c>
      <c r="B2723" s="61" t="s">
        <v>1511</v>
      </c>
      <c r="C2723" s="61" t="s">
        <v>4126</v>
      </c>
      <c r="D2723" s="61" t="s">
        <v>159</v>
      </c>
      <c r="E2723" s="61">
        <v>1896</v>
      </c>
      <c r="F2723" s="61">
        <v>2238</v>
      </c>
      <c r="G2723" s="61">
        <v>2025</v>
      </c>
      <c r="H2723" s="61" t="s">
        <v>3126</v>
      </c>
      <c r="I2723" s="61" t="s">
        <v>5783</v>
      </c>
      <c r="J2723" s="61"/>
      <c r="K2723" s="61" t="s">
        <v>328</v>
      </c>
      <c r="L2723" s="61" t="s">
        <v>9279</v>
      </c>
      <c r="M2723" s="475">
        <v>45883</v>
      </c>
      <c r="N2723" s="475">
        <v>45884</v>
      </c>
      <c r="O2723" s="61"/>
      <c r="P2723" s="475">
        <v>45887</v>
      </c>
      <c r="Q2723" s="475">
        <v>45888</v>
      </c>
      <c r="R2723" s="61">
        <f t="shared" si="188"/>
        <v>1</v>
      </c>
      <c r="S2723" s="61" t="str">
        <f t="shared" si="189"/>
        <v/>
      </c>
      <c r="T2723" s="61">
        <f t="shared" si="191"/>
        <v>1</v>
      </c>
      <c r="U2723" s="61">
        <f t="shared" si="190"/>
        <v>1</v>
      </c>
      <c r="V2723" s="61" t="s">
        <v>150</v>
      </c>
      <c r="W2723" s="61" t="s">
        <v>1078</v>
      </c>
      <c r="X2723" s="61" t="s">
        <v>50</v>
      </c>
      <c r="Y2723" s="560">
        <v>15.83841</v>
      </c>
      <c r="Z2723" s="560">
        <v>120.60948999999999</v>
      </c>
      <c r="AA2723" s="61" t="s">
        <v>8492</v>
      </c>
      <c r="AB2723" s="61" t="s">
        <v>8801</v>
      </c>
    </row>
    <row r="2724" spans="1:28" s="2" customFormat="1" ht="28.5">
      <c r="A2724" s="61" t="s">
        <v>779</v>
      </c>
      <c r="B2724" s="61" t="s">
        <v>1511</v>
      </c>
      <c r="C2724" s="61" t="s">
        <v>1225</v>
      </c>
      <c r="D2724" s="61" t="s">
        <v>159</v>
      </c>
      <c r="E2724" s="61">
        <v>2676</v>
      </c>
      <c r="F2724" s="61">
        <v>2930</v>
      </c>
      <c r="G2724" s="61">
        <v>2025</v>
      </c>
      <c r="H2724" s="61" t="s">
        <v>3126</v>
      </c>
      <c r="I2724" s="61" t="s">
        <v>5783</v>
      </c>
      <c r="J2724" s="61"/>
      <c r="K2724" s="61" t="s">
        <v>328</v>
      </c>
      <c r="L2724" s="61" t="s">
        <v>9279</v>
      </c>
      <c r="M2724" s="475">
        <v>45883</v>
      </c>
      <c r="N2724" s="475">
        <v>45884</v>
      </c>
      <c r="O2724" s="61"/>
      <c r="P2724" s="475">
        <v>45887</v>
      </c>
      <c r="Q2724" s="475">
        <v>45888</v>
      </c>
      <c r="R2724" s="61">
        <f t="shared" si="188"/>
        <v>1</v>
      </c>
      <c r="S2724" s="61" t="str">
        <f t="shared" si="189"/>
        <v/>
      </c>
      <c r="T2724" s="61">
        <f t="shared" si="191"/>
        <v>1</v>
      </c>
      <c r="U2724" s="61">
        <f t="shared" si="190"/>
        <v>1</v>
      </c>
      <c r="V2724" s="61" t="s">
        <v>150</v>
      </c>
      <c r="W2724" s="61" t="s">
        <v>1078</v>
      </c>
      <c r="X2724" s="61" t="s">
        <v>50</v>
      </c>
      <c r="Y2724" s="560">
        <v>15.822900000000001</v>
      </c>
      <c r="Z2724" s="560">
        <v>120.601023</v>
      </c>
      <c r="AA2724" s="61" t="s">
        <v>8492</v>
      </c>
      <c r="AB2724" s="61" t="s">
        <v>8801</v>
      </c>
    </row>
    <row r="2725" spans="1:28" s="2" customFormat="1" ht="28.5">
      <c r="A2725" s="61" t="s">
        <v>779</v>
      </c>
      <c r="B2725" s="61" t="s">
        <v>1511</v>
      </c>
      <c r="C2725" s="61" t="s">
        <v>1233</v>
      </c>
      <c r="D2725" s="61" t="s">
        <v>159</v>
      </c>
      <c r="E2725" s="61">
        <v>1443</v>
      </c>
      <c r="F2725" s="61">
        <v>1638</v>
      </c>
      <c r="G2725" s="61">
        <v>2025</v>
      </c>
      <c r="H2725" s="61" t="s">
        <v>3126</v>
      </c>
      <c r="I2725" s="61" t="s">
        <v>5783</v>
      </c>
      <c r="J2725" s="61"/>
      <c r="K2725" s="61" t="s">
        <v>328</v>
      </c>
      <c r="L2725" s="61" t="s">
        <v>9279</v>
      </c>
      <c r="M2725" s="475">
        <v>45883</v>
      </c>
      <c r="N2725" s="475">
        <v>45884</v>
      </c>
      <c r="O2725" s="61"/>
      <c r="P2725" s="475">
        <v>45887</v>
      </c>
      <c r="Q2725" s="475">
        <v>45888</v>
      </c>
      <c r="R2725" s="61">
        <f t="shared" si="188"/>
        <v>1</v>
      </c>
      <c r="S2725" s="61" t="str">
        <f t="shared" si="189"/>
        <v/>
      </c>
      <c r="T2725" s="61">
        <f t="shared" si="191"/>
        <v>1</v>
      </c>
      <c r="U2725" s="61">
        <f t="shared" si="190"/>
        <v>1</v>
      </c>
      <c r="V2725" s="61" t="s">
        <v>150</v>
      </c>
      <c r="W2725" s="61" t="s">
        <v>1078</v>
      </c>
      <c r="X2725" s="61" t="s">
        <v>50</v>
      </c>
      <c r="Y2725" s="560">
        <v>15.83525</v>
      </c>
      <c r="Z2725" s="560">
        <v>120.58747</v>
      </c>
      <c r="AA2725" s="61" t="s">
        <v>8492</v>
      </c>
      <c r="AB2725" s="61" t="s">
        <v>8801</v>
      </c>
    </row>
    <row r="2726" spans="1:28" s="2" customFormat="1" ht="28.5">
      <c r="A2726" s="61" t="s">
        <v>779</v>
      </c>
      <c r="B2726" s="61" t="s">
        <v>1511</v>
      </c>
      <c r="C2726" s="61" t="s">
        <v>1166</v>
      </c>
      <c r="D2726" s="61" t="s">
        <v>159</v>
      </c>
      <c r="E2726" s="61">
        <v>1630</v>
      </c>
      <c r="F2726" s="61">
        <v>1939</v>
      </c>
      <c r="G2726" s="61">
        <v>2025</v>
      </c>
      <c r="H2726" s="61" t="s">
        <v>3125</v>
      </c>
      <c r="I2726" s="61" t="s">
        <v>5783</v>
      </c>
      <c r="J2726" s="61"/>
      <c r="K2726" s="61" t="s">
        <v>328</v>
      </c>
      <c r="L2726" s="61" t="s">
        <v>9280</v>
      </c>
      <c r="M2726" s="475">
        <v>45854</v>
      </c>
      <c r="N2726" s="475">
        <v>45858</v>
      </c>
      <c r="O2726" s="61"/>
      <c r="P2726" s="475">
        <v>45859</v>
      </c>
      <c r="Q2726" s="475">
        <v>45859</v>
      </c>
      <c r="R2726" s="61">
        <f t="shared" si="188"/>
        <v>2</v>
      </c>
      <c r="S2726" s="61" t="str">
        <f t="shared" si="189"/>
        <v/>
      </c>
      <c r="T2726" s="61">
        <f t="shared" si="191"/>
        <v>1</v>
      </c>
      <c r="U2726" s="61">
        <f t="shared" si="190"/>
        <v>1</v>
      </c>
      <c r="V2726" s="61" t="s">
        <v>150</v>
      </c>
      <c r="W2726" s="61" t="s">
        <v>1078</v>
      </c>
      <c r="X2726" s="61" t="s">
        <v>50</v>
      </c>
      <c r="Y2726" s="61" t="s">
        <v>9281</v>
      </c>
      <c r="Z2726" s="61" t="s">
        <v>9282</v>
      </c>
      <c r="AA2726" s="61" t="s">
        <v>8492</v>
      </c>
      <c r="AB2726" s="61"/>
    </row>
    <row r="2727" spans="1:28" s="2" customFormat="1" ht="15">
      <c r="A2727" s="61" t="s">
        <v>779</v>
      </c>
      <c r="B2727" s="61" t="s">
        <v>1511</v>
      </c>
      <c r="C2727" s="61" t="s">
        <v>1512</v>
      </c>
      <c r="D2727" s="61" t="s">
        <v>159</v>
      </c>
      <c r="E2727" s="61">
        <v>2225</v>
      </c>
      <c r="F2727" s="61">
        <v>2329</v>
      </c>
      <c r="G2727" s="61"/>
      <c r="H2727" s="61"/>
      <c r="I2727" s="61" t="s">
        <v>5783</v>
      </c>
      <c r="J2727" s="61"/>
      <c r="K2727" s="61" t="s">
        <v>328</v>
      </c>
      <c r="L2727" s="61"/>
      <c r="M2727" s="61"/>
      <c r="N2727" s="475"/>
      <c r="O2727" s="61"/>
      <c r="P2727" s="475"/>
      <c r="Q2727" s="475"/>
      <c r="R2727" s="61" t="str">
        <f t="shared" si="188"/>
        <v/>
      </c>
      <c r="S2727" s="61" t="str">
        <f t="shared" si="189"/>
        <v/>
      </c>
      <c r="T2727" s="61" t="str">
        <f t="shared" si="191"/>
        <v/>
      </c>
      <c r="U2727" s="61" t="str">
        <f t="shared" si="190"/>
        <v/>
      </c>
      <c r="V2727" s="61"/>
      <c r="W2727" s="61"/>
      <c r="X2727" s="61"/>
      <c r="Y2727" s="61"/>
      <c r="Z2727" s="61"/>
      <c r="AA2727" s="61"/>
      <c r="AB2727" s="61"/>
    </row>
    <row r="2728" spans="1:28" s="2" customFormat="1" ht="15">
      <c r="A2728" s="61" t="s">
        <v>779</v>
      </c>
      <c r="B2728" s="61" t="s">
        <v>1511</v>
      </c>
      <c r="C2728" s="61" t="s">
        <v>5225</v>
      </c>
      <c r="D2728" s="61" t="s">
        <v>159</v>
      </c>
      <c r="E2728" s="61">
        <v>1206</v>
      </c>
      <c r="F2728" s="61">
        <v>1395</v>
      </c>
      <c r="G2728" s="61"/>
      <c r="H2728" s="61"/>
      <c r="I2728" s="61" t="s">
        <v>5783</v>
      </c>
      <c r="J2728" s="61"/>
      <c r="K2728" s="61" t="s">
        <v>328</v>
      </c>
      <c r="L2728" s="61"/>
      <c r="M2728" s="61"/>
      <c r="N2728" s="61"/>
      <c r="O2728" s="61"/>
      <c r="P2728" s="61"/>
      <c r="Q2728" s="61"/>
      <c r="R2728" s="61" t="str">
        <f t="shared" si="188"/>
        <v/>
      </c>
      <c r="S2728" s="61" t="str">
        <f t="shared" si="189"/>
        <v/>
      </c>
      <c r="T2728" s="61" t="str">
        <f t="shared" si="191"/>
        <v/>
      </c>
      <c r="U2728" s="61" t="str">
        <f t="shared" si="190"/>
        <v/>
      </c>
      <c r="V2728" s="61"/>
      <c r="W2728" s="61"/>
      <c r="X2728" s="61"/>
      <c r="Y2728" s="671"/>
      <c r="Z2728" s="671"/>
      <c r="AA2728" s="61"/>
      <c r="AB2728" s="61"/>
    </row>
    <row r="2729" spans="1:28" s="2" customFormat="1" ht="28.5">
      <c r="A2729" s="61" t="s">
        <v>779</v>
      </c>
      <c r="B2729" s="61" t="s">
        <v>1511</v>
      </c>
      <c r="C2729" s="61" t="s">
        <v>6189</v>
      </c>
      <c r="D2729" s="61" t="s">
        <v>159</v>
      </c>
      <c r="E2729" s="61">
        <v>1266</v>
      </c>
      <c r="F2729" s="61">
        <v>1418</v>
      </c>
      <c r="G2729" s="61">
        <v>2025</v>
      </c>
      <c r="H2729" s="61" t="s">
        <v>3128</v>
      </c>
      <c r="I2729" s="61" t="s">
        <v>5783</v>
      </c>
      <c r="J2729" s="61"/>
      <c r="K2729" s="61" t="s">
        <v>28</v>
      </c>
      <c r="L2729" s="61" t="s">
        <v>9283</v>
      </c>
      <c r="M2729" s="475">
        <v>45925</v>
      </c>
      <c r="N2729" s="475">
        <v>45926</v>
      </c>
      <c r="O2729" s="61"/>
      <c r="P2729" s="475">
        <v>45944</v>
      </c>
      <c r="Q2729" s="475">
        <v>45944</v>
      </c>
      <c r="R2729" s="61">
        <f t="shared" si="188"/>
        <v>1</v>
      </c>
      <c r="S2729" s="61" t="str">
        <f t="shared" si="189"/>
        <v/>
      </c>
      <c r="T2729" s="61">
        <f t="shared" si="191"/>
        <v>12</v>
      </c>
      <c r="U2729" s="61">
        <f t="shared" si="190"/>
        <v>1</v>
      </c>
      <c r="V2729" s="61" t="s">
        <v>7058</v>
      </c>
      <c r="W2729" s="61" t="s">
        <v>1078</v>
      </c>
      <c r="X2729" s="61" t="s">
        <v>50</v>
      </c>
      <c r="Y2729" s="61" t="s">
        <v>9284</v>
      </c>
      <c r="Z2729" s="61" t="s">
        <v>9285</v>
      </c>
      <c r="AA2729" s="61" t="s">
        <v>9286</v>
      </c>
      <c r="AB2729" s="61"/>
    </row>
    <row r="2730" spans="1:28" s="2" customFormat="1" ht="28.5">
      <c r="A2730" s="61" t="s">
        <v>779</v>
      </c>
      <c r="B2730" s="61" t="s">
        <v>1511</v>
      </c>
      <c r="C2730" s="61" t="s">
        <v>6192</v>
      </c>
      <c r="D2730" s="61" t="s">
        <v>159</v>
      </c>
      <c r="E2730" s="61">
        <v>2368</v>
      </c>
      <c r="F2730" s="61">
        <v>2420</v>
      </c>
      <c r="G2730" s="61">
        <v>2025</v>
      </c>
      <c r="H2730" s="61" t="s">
        <v>3128</v>
      </c>
      <c r="I2730" s="61" t="s">
        <v>5783</v>
      </c>
      <c r="J2730" s="61"/>
      <c r="K2730" s="61" t="s">
        <v>28</v>
      </c>
      <c r="L2730" s="61" t="s">
        <v>9283</v>
      </c>
      <c r="M2730" s="475">
        <v>45925</v>
      </c>
      <c r="N2730" s="475">
        <v>45926</v>
      </c>
      <c r="O2730" s="61"/>
      <c r="P2730" s="475">
        <v>45944</v>
      </c>
      <c r="Q2730" s="475">
        <v>45944</v>
      </c>
      <c r="R2730" s="61">
        <f t="shared" si="188"/>
        <v>1</v>
      </c>
      <c r="S2730" s="61" t="str">
        <f t="shared" si="189"/>
        <v/>
      </c>
      <c r="T2730" s="61">
        <f t="shared" si="191"/>
        <v>12</v>
      </c>
      <c r="U2730" s="61">
        <f t="shared" si="190"/>
        <v>1</v>
      </c>
      <c r="V2730" s="61" t="s">
        <v>7058</v>
      </c>
      <c r="W2730" s="61" t="s">
        <v>1078</v>
      </c>
      <c r="X2730" s="61" t="s">
        <v>50</v>
      </c>
      <c r="Y2730" s="61" t="s">
        <v>9287</v>
      </c>
      <c r="Z2730" s="61" t="s">
        <v>9288</v>
      </c>
      <c r="AA2730" s="61" t="s">
        <v>9286</v>
      </c>
      <c r="AB2730" s="61"/>
    </row>
    <row r="2731" spans="1:28" s="2" customFormat="1" ht="28.5">
      <c r="A2731" s="61" t="s">
        <v>779</v>
      </c>
      <c r="B2731" s="61" t="s">
        <v>1511</v>
      </c>
      <c r="C2731" s="61" t="s">
        <v>6194</v>
      </c>
      <c r="D2731" s="61" t="s">
        <v>159</v>
      </c>
      <c r="E2731" s="61">
        <v>1238</v>
      </c>
      <c r="F2731" s="61">
        <v>1304</v>
      </c>
      <c r="G2731" s="61">
        <v>2025</v>
      </c>
      <c r="H2731" s="61" t="s">
        <v>3128</v>
      </c>
      <c r="I2731" s="61" t="s">
        <v>5783</v>
      </c>
      <c r="J2731" s="61"/>
      <c r="K2731" s="61" t="s">
        <v>28</v>
      </c>
      <c r="L2731" s="61" t="s">
        <v>9283</v>
      </c>
      <c r="M2731" s="475">
        <v>45925</v>
      </c>
      <c r="N2731" s="475">
        <v>45926</v>
      </c>
      <c r="O2731" s="61"/>
      <c r="P2731" s="475">
        <v>45944</v>
      </c>
      <c r="Q2731" s="475">
        <v>45944</v>
      </c>
      <c r="R2731" s="61">
        <f t="shared" si="188"/>
        <v>1</v>
      </c>
      <c r="S2731" s="61" t="str">
        <f t="shared" si="189"/>
        <v/>
      </c>
      <c r="T2731" s="61">
        <f t="shared" si="191"/>
        <v>12</v>
      </c>
      <c r="U2731" s="61">
        <f t="shared" si="190"/>
        <v>1</v>
      </c>
      <c r="V2731" s="61" t="s">
        <v>7058</v>
      </c>
      <c r="W2731" s="61" t="s">
        <v>1078</v>
      </c>
      <c r="X2731" s="61" t="s">
        <v>50</v>
      </c>
      <c r="Y2731" s="61" t="s">
        <v>9289</v>
      </c>
      <c r="Z2731" s="61" t="s">
        <v>9290</v>
      </c>
      <c r="AA2731" s="61" t="s">
        <v>9286</v>
      </c>
      <c r="AB2731" s="61"/>
    </row>
    <row r="2732" spans="1:28" s="2" customFormat="1" ht="15">
      <c r="A2732" s="61" t="s">
        <v>779</v>
      </c>
      <c r="B2732" s="61" t="s">
        <v>1511</v>
      </c>
      <c r="C2732" s="61" t="s">
        <v>1151</v>
      </c>
      <c r="D2732" s="61" t="s">
        <v>159</v>
      </c>
      <c r="E2732" s="61">
        <v>2210</v>
      </c>
      <c r="F2732" s="61">
        <v>2447</v>
      </c>
      <c r="G2732" s="61"/>
      <c r="H2732" s="61"/>
      <c r="I2732" s="61" t="s">
        <v>5783</v>
      </c>
      <c r="J2732" s="61"/>
      <c r="K2732" s="61" t="s">
        <v>328</v>
      </c>
      <c r="L2732" s="61"/>
      <c r="M2732" s="61"/>
      <c r="N2732" s="61"/>
      <c r="O2732" s="61"/>
      <c r="P2732" s="61"/>
      <c r="Q2732" s="61"/>
      <c r="R2732" s="61" t="str">
        <f t="shared" si="188"/>
        <v/>
      </c>
      <c r="S2732" s="61" t="str">
        <f t="shared" si="189"/>
        <v/>
      </c>
      <c r="T2732" s="61" t="str">
        <f t="shared" si="191"/>
        <v/>
      </c>
      <c r="U2732" s="61" t="str">
        <f t="shared" si="190"/>
        <v/>
      </c>
      <c r="V2732" s="61"/>
      <c r="W2732" s="61"/>
      <c r="X2732" s="61"/>
      <c r="Y2732" s="672"/>
      <c r="Z2732" s="672"/>
      <c r="AA2732" s="61"/>
      <c r="AB2732" s="61"/>
    </row>
    <row r="2733" spans="1:28" s="2" customFormat="1" ht="28.5">
      <c r="A2733" s="61" t="s">
        <v>779</v>
      </c>
      <c r="B2733" s="61" t="s">
        <v>6202</v>
      </c>
      <c r="C2733" s="61" t="s">
        <v>5982</v>
      </c>
      <c r="D2733" s="61" t="s">
        <v>159</v>
      </c>
      <c r="E2733" s="61">
        <v>3366</v>
      </c>
      <c r="F2733" s="61">
        <v>3524</v>
      </c>
      <c r="G2733" s="61">
        <v>2025</v>
      </c>
      <c r="H2733" s="61" t="s">
        <v>3470</v>
      </c>
      <c r="I2733" s="61" t="s">
        <v>37</v>
      </c>
      <c r="J2733" s="61"/>
      <c r="K2733" s="61" t="s">
        <v>328</v>
      </c>
      <c r="L2733" s="61" t="s">
        <v>9291</v>
      </c>
      <c r="M2733" s="475">
        <v>45751</v>
      </c>
      <c r="N2733" s="475">
        <v>45754</v>
      </c>
      <c r="O2733" s="61"/>
      <c r="P2733" s="475">
        <v>45754</v>
      </c>
      <c r="Q2733" s="475">
        <v>45757</v>
      </c>
      <c r="R2733" s="61">
        <f t="shared" si="188"/>
        <v>1</v>
      </c>
      <c r="S2733" s="61" t="str">
        <f t="shared" si="189"/>
        <v/>
      </c>
      <c r="T2733" s="61">
        <f t="shared" si="191"/>
        <v>1</v>
      </c>
      <c r="U2733" s="61">
        <f t="shared" si="190"/>
        <v>3</v>
      </c>
      <c r="V2733" s="61" t="s">
        <v>150</v>
      </c>
      <c r="W2733" s="61" t="s">
        <v>4</v>
      </c>
      <c r="X2733" s="61" t="s">
        <v>50</v>
      </c>
      <c r="Y2733" s="482">
        <v>15.55067</v>
      </c>
      <c r="Z2733" s="482">
        <v>120.51683</v>
      </c>
      <c r="AA2733" s="61" t="s">
        <v>8492</v>
      </c>
      <c r="AB2733" s="61"/>
    </row>
    <row r="2734" spans="1:28" s="2" customFormat="1" ht="28.5">
      <c r="A2734" s="61" t="s">
        <v>779</v>
      </c>
      <c r="B2734" s="61" t="s">
        <v>6202</v>
      </c>
      <c r="C2734" s="61" t="s">
        <v>6203</v>
      </c>
      <c r="D2734" s="61" t="s">
        <v>159</v>
      </c>
      <c r="E2734" s="61">
        <v>2084</v>
      </c>
      <c r="F2734" s="61">
        <v>2162</v>
      </c>
      <c r="G2734" s="61">
        <v>2025</v>
      </c>
      <c r="H2734" s="61" t="s">
        <v>3416</v>
      </c>
      <c r="I2734" s="61" t="s">
        <v>37</v>
      </c>
      <c r="J2734" s="61"/>
      <c r="K2734" s="61" t="s">
        <v>328</v>
      </c>
      <c r="L2734" s="61" t="s">
        <v>9292</v>
      </c>
      <c r="M2734" s="475">
        <v>45730</v>
      </c>
      <c r="N2734" s="475">
        <v>45733</v>
      </c>
      <c r="O2734" s="61"/>
      <c r="P2734" s="475">
        <v>45733</v>
      </c>
      <c r="Q2734" s="475">
        <v>45734</v>
      </c>
      <c r="R2734" s="61">
        <f t="shared" si="188"/>
        <v>1</v>
      </c>
      <c r="S2734" s="61" t="str">
        <f t="shared" si="189"/>
        <v/>
      </c>
      <c r="T2734" s="61">
        <f t="shared" si="191"/>
        <v>1</v>
      </c>
      <c r="U2734" s="61">
        <f t="shared" si="190"/>
        <v>1</v>
      </c>
      <c r="V2734" s="61" t="s">
        <v>150</v>
      </c>
      <c r="W2734" s="61" t="s">
        <v>1078</v>
      </c>
      <c r="X2734" s="61" t="s">
        <v>50</v>
      </c>
      <c r="Y2734" s="482">
        <v>15.492599999999999</v>
      </c>
      <c r="Z2734" s="482">
        <v>120.59520000000001</v>
      </c>
      <c r="AA2734" s="61" t="s">
        <v>8492</v>
      </c>
      <c r="AB2734" s="61"/>
    </row>
    <row r="2735" spans="1:28" s="2" customFormat="1" ht="28.5">
      <c r="A2735" s="61" t="s">
        <v>779</v>
      </c>
      <c r="B2735" s="61" t="s">
        <v>6202</v>
      </c>
      <c r="C2735" s="61" t="s">
        <v>6204</v>
      </c>
      <c r="D2735" s="61" t="s">
        <v>159</v>
      </c>
      <c r="E2735" s="61">
        <v>1674</v>
      </c>
      <c r="F2735" s="61">
        <v>1682</v>
      </c>
      <c r="G2735" s="61">
        <v>2025</v>
      </c>
      <c r="H2735" s="61" t="s">
        <v>3126</v>
      </c>
      <c r="I2735" s="61" t="s">
        <v>37</v>
      </c>
      <c r="J2735" s="61"/>
      <c r="K2735" s="61" t="s">
        <v>328</v>
      </c>
      <c r="L2735" s="61" t="s">
        <v>9293</v>
      </c>
      <c r="M2735" s="475">
        <v>45887</v>
      </c>
      <c r="N2735" s="475">
        <v>45887</v>
      </c>
      <c r="O2735" s="61"/>
      <c r="P2735" s="475">
        <v>45887</v>
      </c>
      <c r="Q2735" s="475">
        <v>45888</v>
      </c>
      <c r="R2735" s="61">
        <f t="shared" si="188"/>
        <v>1</v>
      </c>
      <c r="S2735" s="61" t="str">
        <f t="shared" si="189"/>
        <v/>
      </c>
      <c r="T2735" s="61">
        <f t="shared" si="191"/>
        <v>1</v>
      </c>
      <c r="U2735" s="61">
        <f t="shared" si="190"/>
        <v>1</v>
      </c>
      <c r="V2735" s="61" t="s">
        <v>150</v>
      </c>
      <c r="W2735" s="61" t="s">
        <v>1078</v>
      </c>
      <c r="X2735" s="61" t="s">
        <v>50</v>
      </c>
      <c r="Y2735" s="482">
        <v>15.63392</v>
      </c>
      <c r="Z2735" s="482">
        <v>120.46339999999999</v>
      </c>
      <c r="AA2735" s="61" t="s">
        <v>8492</v>
      </c>
      <c r="AB2735" s="61"/>
    </row>
    <row r="2736" spans="1:28" s="2" customFormat="1" ht="15.75">
      <c r="A2736" s="61" t="s">
        <v>779</v>
      </c>
      <c r="B2736" s="61" t="s">
        <v>6202</v>
      </c>
      <c r="C2736" s="61" t="s">
        <v>6205</v>
      </c>
      <c r="D2736" s="61" t="s">
        <v>159</v>
      </c>
      <c r="E2736" s="61">
        <v>1712</v>
      </c>
      <c r="F2736" s="61">
        <v>1868</v>
      </c>
      <c r="G2736" s="61">
        <v>2025</v>
      </c>
      <c r="H2736" s="61" t="s">
        <v>3458</v>
      </c>
      <c r="I2736" s="61" t="s">
        <v>37</v>
      </c>
      <c r="J2736" s="61"/>
      <c r="K2736" s="61" t="s">
        <v>328</v>
      </c>
      <c r="L2736" s="61" t="s">
        <v>9294</v>
      </c>
      <c r="M2736" s="475">
        <v>45699</v>
      </c>
      <c r="N2736" s="475">
        <v>45701</v>
      </c>
      <c r="O2736" s="61"/>
      <c r="P2736" s="475">
        <v>45705</v>
      </c>
      <c r="Q2736" s="475">
        <v>45705</v>
      </c>
      <c r="R2736" s="61">
        <f t="shared" si="188"/>
        <v>2</v>
      </c>
      <c r="S2736" s="61" t="str">
        <f t="shared" si="189"/>
        <v/>
      </c>
      <c r="T2736" s="61">
        <f t="shared" si="191"/>
        <v>2</v>
      </c>
      <c r="U2736" s="61">
        <f t="shared" si="190"/>
        <v>1</v>
      </c>
      <c r="V2736" s="61" t="s">
        <v>150</v>
      </c>
      <c r="W2736" s="61" t="s">
        <v>1078</v>
      </c>
      <c r="X2736" s="61" t="s">
        <v>50</v>
      </c>
      <c r="Y2736" s="482"/>
      <c r="Z2736" s="482"/>
      <c r="AA2736" s="61" t="s">
        <v>8015</v>
      </c>
      <c r="AB2736" s="61"/>
    </row>
    <row r="2737" spans="1:28" s="2" customFormat="1" ht="28.5">
      <c r="A2737" s="61" t="s">
        <v>779</v>
      </c>
      <c r="B2737" s="61" t="s">
        <v>6202</v>
      </c>
      <c r="C2737" s="61" t="s">
        <v>4849</v>
      </c>
      <c r="D2737" s="61" t="s">
        <v>159</v>
      </c>
      <c r="E2737" s="61">
        <v>1071</v>
      </c>
      <c r="F2737" s="61">
        <v>1237</v>
      </c>
      <c r="G2737" s="61">
        <v>2025</v>
      </c>
      <c r="H2737" s="61" t="s">
        <v>3458</v>
      </c>
      <c r="I2737" s="61" t="s">
        <v>37</v>
      </c>
      <c r="J2737" s="61"/>
      <c r="K2737" s="61" t="s">
        <v>328</v>
      </c>
      <c r="L2737" s="61" t="s">
        <v>9295</v>
      </c>
      <c r="M2737" s="475">
        <v>45695</v>
      </c>
      <c r="N2737" s="475">
        <v>45701</v>
      </c>
      <c r="O2737" s="61"/>
      <c r="P2737" s="475">
        <v>45705</v>
      </c>
      <c r="Q2737" s="475">
        <v>45706</v>
      </c>
      <c r="R2737" s="61">
        <f t="shared" si="188"/>
        <v>4</v>
      </c>
      <c r="S2737" s="61" t="str">
        <f t="shared" si="189"/>
        <v/>
      </c>
      <c r="T2737" s="61">
        <f t="shared" si="191"/>
        <v>2</v>
      </c>
      <c r="U2737" s="61">
        <f t="shared" si="190"/>
        <v>1</v>
      </c>
      <c r="V2737" s="61" t="s">
        <v>150</v>
      </c>
      <c r="W2737" s="61" t="s">
        <v>1078</v>
      </c>
      <c r="X2737" s="61" t="s">
        <v>50</v>
      </c>
      <c r="Y2737" s="482"/>
      <c r="Z2737" s="482"/>
      <c r="AA2737" s="61" t="s">
        <v>8492</v>
      </c>
      <c r="AB2737" s="61"/>
    </row>
    <row r="2738" spans="1:28" s="2" customFormat="1" ht="15.75">
      <c r="A2738" s="61" t="s">
        <v>779</v>
      </c>
      <c r="B2738" s="61" t="s">
        <v>6202</v>
      </c>
      <c r="C2738" s="61" t="s">
        <v>6208</v>
      </c>
      <c r="D2738" s="61" t="s">
        <v>159</v>
      </c>
      <c r="E2738" s="61">
        <v>1381</v>
      </c>
      <c r="F2738" s="61">
        <v>1540</v>
      </c>
      <c r="G2738" s="61">
        <v>2025</v>
      </c>
      <c r="H2738" s="61" t="s">
        <v>3689</v>
      </c>
      <c r="I2738" s="61" t="s">
        <v>37</v>
      </c>
      <c r="J2738" s="61"/>
      <c r="K2738" s="61" t="s">
        <v>328</v>
      </c>
      <c r="L2738" s="61" t="s">
        <v>9296</v>
      </c>
      <c r="M2738" s="475">
        <v>45812</v>
      </c>
      <c r="N2738" s="475">
        <v>45814</v>
      </c>
      <c r="O2738" s="61"/>
      <c r="P2738" s="475">
        <v>45824</v>
      </c>
      <c r="Q2738" s="475">
        <v>45824</v>
      </c>
      <c r="R2738" s="61">
        <f t="shared" si="188"/>
        <v>2</v>
      </c>
      <c r="S2738" s="61" t="str">
        <f t="shared" si="189"/>
        <v/>
      </c>
      <c r="T2738" s="61">
        <f t="shared" si="191"/>
        <v>6</v>
      </c>
      <c r="U2738" s="61">
        <f t="shared" si="190"/>
        <v>1</v>
      </c>
      <c r="V2738" s="61" t="s">
        <v>150</v>
      </c>
      <c r="W2738" s="61" t="s">
        <v>1078</v>
      </c>
      <c r="X2738" s="61" t="s">
        <v>50</v>
      </c>
      <c r="Y2738" s="482">
        <v>15.57987</v>
      </c>
      <c r="Z2738" s="482">
        <v>120.42081</v>
      </c>
      <c r="AA2738" s="61" t="s">
        <v>9297</v>
      </c>
      <c r="AB2738" s="61"/>
    </row>
    <row r="2739" spans="1:28" s="2" customFormat="1" ht="15.75">
      <c r="A2739" s="61" t="s">
        <v>779</v>
      </c>
      <c r="B2739" s="61" t="s">
        <v>6202</v>
      </c>
      <c r="C2739" s="61" t="s">
        <v>6211</v>
      </c>
      <c r="D2739" s="61" t="s">
        <v>159</v>
      </c>
      <c r="E2739" s="61">
        <v>1604</v>
      </c>
      <c r="F2739" s="61">
        <v>1662</v>
      </c>
      <c r="G2739" s="61">
        <v>2025</v>
      </c>
      <c r="H2739" s="61" t="s">
        <v>3689</v>
      </c>
      <c r="I2739" s="61" t="s">
        <v>37</v>
      </c>
      <c r="J2739" s="61"/>
      <c r="K2739" s="61" t="s">
        <v>328</v>
      </c>
      <c r="L2739" s="61" t="s">
        <v>9298</v>
      </c>
      <c r="M2739" s="475">
        <v>45812</v>
      </c>
      <c r="N2739" s="475">
        <v>45814</v>
      </c>
      <c r="O2739" s="475"/>
      <c r="P2739" s="475">
        <v>45824</v>
      </c>
      <c r="Q2739" s="475">
        <v>45824</v>
      </c>
      <c r="R2739" s="61">
        <f t="shared" si="188"/>
        <v>2</v>
      </c>
      <c r="S2739" s="61" t="str">
        <f t="shared" si="189"/>
        <v/>
      </c>
      <c r="T2739" s="61">
        <f t="shared" si="191"/>
        <v>6</v>
      </c>
      <c r="U2739" s="61">
        <f t="shared" si="190"/>
        <v>1</v>
      </c>
      <c r="V2739" s="61" t="s">
        <v>150</v>
      </c>
      <c r="W2739" s="61" t="s">
        <v>1078</v>
      </c>
      <c r="X2739" s="61" t="s">
        <v>50</v>
      </c>
      <c r="Y2739" s="482">
        <v>15.54477</v>
      </c>
      <c r="Z2739" s="482">
        <v>120.42471</v>
      </c>
      <c r="AA2739" s="61" t="s">
        <v>9297</v>
      </c>
      <c r="AB2739" s="61"/>
    </row>
    <row r="2740" spans="1:28" s="2" customFormat="1" ht="15.75">
      <c r="A2740" s="61" t="s">
        <v>779</v>
      </c>
      <c r="B2740" s="61" t="s">
        <v>6202</v>
      </c>
      <c r="C2740" s="61" t="s">
        <v>6213</v>
      </c>
      <c r="D2740" s="61" t="s">
        <v>159</v>
      </c>
      <c r="E2740" s="61">
        <v>706</v>
      </c>
      <c r="F2740" s="61">
        <v>707</v>
      </c>
      <c r="G2740" s="61">
        <v>2025</v>
      </c>
      <c r="H2740" s="61" t="s">
        <v>3689</v>
      </c>
      <c r="I2740" s="61" t="s">
        <v>37</v>
      </c>
      <c r="J2740" s="61"/>
      <c r="K2740" s="61" t="s">
        <v>328</v>
      </c>
      <c r="L2740" s="61" t="s">
        <v>9299</v>
      </c>
      <c r="M2740" s="475">
        <v>45812</v>
      </c>
      <c r="N2740" s="475">
        <v>45814</v>
      </c>
      <c r="O2740" s="61"/>
      <c r="P2740" s="475">
        <v>45824</v>
      </c>
      <c r="Q2740" s="475">
        <v>45824</v>
      </c>
      <c r="R2740" s="61">
        <f t="shared" si="188"/>
        <v>2</v>
      </c>
      <c r="S2740" s="61" t="str">
        <f t="shared" si="189"/>
        <v/>
      </c>
      <c r="T2740" s="61">
        <f t="shared" si="191"/>
        <v>6</v>
      </c>
      <c r="U2740" s="61">
        <f t="shared" si="190"/>
        <v>1</v>
      </c>
      <c r="V2740" s="61" t="s">
        <v>150</v>
      </c>
      <c r="W2740" s="61" t="s">
        <v>1078</v>
      </c>
      <c r="X2740" s="61" t="s">
        <v>50</v>
      </c>
      <c r="Y2740" s="482">
        <v>15.54477</v>
      </c>
      <c r="Z2740" s="482">
        <v>120.42471</v>
      </c>
      <c r="AA2740" s="61" t="s">
        <v>9297</v>
      </c>
      <c r="AB2740" s="61"/>
    </row>
    <row r="2741" spans="1:28" s="2" customFormat="1" ht="28.5">
      <c r="A2741" s="61" t="s">
        <v>779</v>
      </c>
      <c r="B2741" s="61" t="s">
        <v>6202</v>
      </c>
      <c r="C2741" s="61" t="s">
        <v>6044</v>
      </c>
      <c r="D2741" s="61" t="s">
        <v>159</v>
      </c>
      <c r="E2741" s="61">
        <v>2539</v>
      </c>
      <c r="F2741" s="61">
        <v>2700</v>
      </c>
      <c r="G2741" s="61">
        <v>2025</v>
      </c>
      <c r="H2741" s="61" t="s">
        <v>3470</v>
      </c>
      <c r="I2741" s="61" t="s">
        <v>37</v>
      </c>
      <c r="J2741" s="61"/>
      <c r="K2741" s="61" t="s">
        <v>328</v>
      </c>
      <c r="L2741" s="61" t="s">
        <v>9300</v>
      </c>
      <c r="M2741" s="475">
        <v>45751</v>
      </c>
      <c r="N2741" s="475">
        <v>45754</v>
      </c>
      <c r="O2741" s="61"/>
      <c r="P2741" s="475">
        <v>45754</v>
      </c>
      <c r="Q2741" s="475">
        <v>45757</v>
      </c>
      <c r="R2741" s="61">
        <f t="shared" si="188"/>
        <v>1</v>
      </c>
      <c r="S2741" s="61" t="str">
        <f t="shared" si="189"/>
        <v/>
      </c>
      <c r="T2741" s="61">
        <f t="shared" si="191"/>
        <v>1</v>
      </c>
      <c r="U2741" s="61">
        <f t="shared" si="190"/>
        <v>3</v>
      </c>
      <c r="V2741" s="61" t="s">
        <v>150</v>
      </c>
      <c r="W2741" s="61" t="s">
        <v>1078</v>
      </c>
      <c r="X2741" s="61" t="s">
        <v>50</v>
      </c>
      <c r="Y2741" s="482">
        <v>15.600709999999999</v>
      </c>
      <c r="Z2741" s="482">
        <v>120.45923000000001</v>
      </c>
      <c r="AA2741" s="61" t="s">
        <v>8492</v>
      </c>
      <c r="AB2741" s="61" t="s">
        <v>9145</v>
      </c>
    </row>
    <row r="2742" spans="1:28" s="2" customFormat="1" ht="28.5">
      <c r="A2742" s="61" t="s">
        <v>779</v>
      </c>
      <c r="B2742" s="61" t="s">
        <v>6202</v>
      </c>
      <c r="C2742" s="61" t="s">
        <v>6226</v>
      </c>
      <c r="D2742" s="61" t="s">
        <v>159</v>
      </c>
      <c r="E2742" s="61">
        <v>2934</v>
      </c>
      <c r="F2742" s="61">
        <v>3274</v>
      </c>
      <c r="G2742" s="61">
        <v>2025</v>
      </c>
      <c r="H2742" s="61" t="s">
        <v>3416</v>
      </c>
      <c r="I2742" s="61" t="s">
        <v>37</v>
      </c>
      <c r="J2742" s="61"/>
      <c r="K2742" s="61" t="s">
        <v>328</v>
      </c>
      <c r="L2742" s="61" t="s">
        <v>9301</v>
      </c>
      <c r="M2742" s="475">
        <v>45730</v>
      </c>
      <c r="N2742" s="475">
        <v>45733</v>
      </c>
      <c r="O2742" s="61"/>
      <c r="P2742" s="475">
        <v>45733</v>
      </c>
      <c r="Q2742" s="475">
        <v>45734</v>
      </c>
      <c r="R2742" s="61">
        <f t="shared" si="188"/>
        <v>1</v>
      </c>
      <c r="S2742" s="61" t="str">
        <f t="shared" si="189"/>
        <v/>
      </c>
      <c r="T2742" s="61">
        <f t="shared" si="191"/>
        <v>1</v>
      </c>
      <c r="U2742" s="61">
        <f t="shared" si="190"/>
        <v>1</v>
      </c>
      <c r="V2742" s="61" t="s">
        <v>150</v>
      </c>
      <c r="W2742" s="61" t="s">
        <v>1078</v>
      </c>
      <c r="X2742" s="61" t="s">
        <v>50</v>
      </c>
      <c r="Y2742" s="674">
        <v>15.593439999999999</v>
      </c>
      <c r="Z2742" s="674">
        <v>120.48675</v>
      </c>
      <c r="AA2742" s="61" t="s">
        <v>8492</v>
      </c>
      <c r="AB2742" s="61" t="s">
        <v>9145</v>
      </c>
    </row>
    <row r="2743" spans="1:28" s="2" customFormat="1" ht="28.5">
      <c r="A2743" s="61" t="s">
        <v>779</v>
      </c>
      <c r="B2743" s="61" t="s">
        <v>6202</v>
      </c>
      <c r="C2743" s="61" t="s">
        <v>6210</v>
      </c>
      <c r="D2743" s="61" t="s">
        <v>159</v>
      </c>
      <c r="E2743" s="61">
        <v>763</v>
      </c>
      <c r="F2743" s="61">
        <v>777</v>
      </c>
      <c r="G2743" s="61">
        <v>2025</v>
      </c>
      <c r="H2743" s="61" t="s">
        <v>3128</v>
      </c>
      <c r="I2743" s="61" t="s">
        <v>37</v>
      </c>
      <c r="J2743" s="61"/>
      <c r="K2743" s="61" t="s">
        <v>28</v>
      </c>
      <c r="L2743" s="61" t="s">
        <v>9302</v>
      </c>
      <c r="M2743" s="475">
        <v>45933</v>
      </c>
      <c r="N2743" s="475">
        <v>45936</v>
      </c>
      <c r="O2743" s="61"/>
      <c r="P2743" s="475">
        <v>45945</v>
      </c>
      <c r="Q2743" s="475">
        <v>45945</v>
      </c>
      <c r="R2743" s="61">
        <f t="shared" ref="R2743:R2806" si="192">IF(
    OR(ISBLANK(M2743), ISBLANK(N2743)),
    "",
    MAX(1, IF(
        NETWORKDAYS(M2743, N2743) &lt;= 0,
        1,
        NETWORKDAYS(M2743, N2743) - IF(M2743 = N2743, 0, 1)
    ))
)</f>
        <v>1</v>
      </c>
      <c r="S2743" s="61" t="str">
        <f t="shared" si="189"/>
        <v/>
      </c>
      <c r="T2743" s="61">
        <f t="shared" si="191"/>
        <v>7</v>
      </c>
      <c r="U2743" s="61">
        <f t="shared" si="190"/>
        <v>1</v>
      </c>
      <c r="V2743" s="61" t="s">
        <v>150</v>
      </c>
      <c r="W2743" s="61" t="s">
        <v>1078</v>
      </c>
      <c r="X2743" s="211" t="s">
        <v>50</v>
      </c>
      <c r="Y2743" s="211" t="s">
        <v>69</v>
      </c>
      <c r="Z2743" s="211" t="s">
        <v>69</v>
      </c>
      <c r="AA2743" s="61" t="s">
        <v>8492</v>
      </c>
      <c r="AB2743" s="61" t="s">
        <v>9303</v>
      </c>
    </row>
    <row r="2744" spans="1:28" s="2" customFormat="1" ht="28.5">
      <c r="A2744" s="61" t="s">
        <v>779</v>
      </c>
      <c r="B2744" s="61" t="s">
        <v>6202</v>
      </c>
      <c r="C2744" s="61" t="s">
        <v>6217</v>
      </c>
      <c r="D2744" s="61" t="s">
        <v>159</v>
      </c>
      <c r="E2744" s="61">
        <v>2152</v>
      </c>
      <c r="F2744" s="61">
        <v>2222</v>
      </c>
      <c r="G2744" s="61">
        <v>2025</v>
      </c>
      <c r="H2744" s="61" t="s">
        <v>3128</v>
      </c>
      <c r="I2744" s="61" t="s">
        <v>37</v>
      </c>
      <c r="J2744" s="61"/>
      <c r="K2744" s="61" t="s">
        <v>28</v>
      </c>
      <c r="L2744" s="61" t="s">
        <v>9302</v>
      </c>
      <c r="M2744" s="475">
        <v>45933</v>
      </c>
      <c r="N2744" s="475">
        <v>45936</v>
      </c>
      <c r="O2744" s="61"/>
      <c r="P2744" s="475">
        <v>45945</v>
      </c>
      <c r="Q2744" s="475">
        <v>45945</v>
      </c>
      <c r="R2744" s="61">
        <f t="shared" si="192"/>
        <v>1</v>
      </c>
      <c r="S2744" s="61" t="str">
        <f t="shared" ref="S2744:S2807" si="193">IF(
    OR(ISBLANK(N2744), ISBLANK(O2744)),
    "",
    MAX(1, IF(
        NETWORKDAYS(N2744, O2744) &lt;= 0,
        1,
        NETWORKDAYS(N2744, O2744) - IF(N2744 = O2744, 0, 1)
    ))
)</f>
        <v/>
      </c>
      <c r="T2744" s="61">
        <f t="shared" si="191"/>
        <v>7</v>
      </c>
      <c r="U2744" s="61">
        <f t="shared" si="190"/>
        <v>1</v>
      </c>
      <c r="V2744" s="61" t="s">
        <v>150</v>
      </c>
      <c r="W2744" s="61" t="s">
        <v>1078</v>
      </c>
      <c r="X2744" s="61" t="s">
        <v>50</v>
      </c>
      <c r="Y2744" s="211" t="s">
        <v>69</v>
      </c>
      <c r="Z2744" s="211" t="s">
        <v>69</v>
      </c>
      <c r="AA2744" s="61" t="s">
        <v>8492</v>
      </c>
      <c r="AB2744" s="61" t="s">
        <v>9303</v>
      </c>
    </row>
    <row r="2745" spans="1:28" s="2" customFormat="1" ht="28.5">
      <c r="A2745" s="61" t="s">
        <v>779</v>
      </c>
      <c r="B2745" s="61" t="s">
        <v>6202</v>
      </c>
      <c r="C2745" s="61" t="s">
        <v>6218</v>
      </c>
      <c r="D2745" s="61" t="s">
        <v>159</v>
      </c>
      <c r="E2745" s="61">
        <v>1209</v>
      </c>
      <c r="F2745" s="61">
        <v>1340</v>
      </c>
      <c r="G2745" s="61">
        <v>2025</v>
      </c>
      <c r="H2745" s="61" t="s">
        <v>3128</v>
      </c>
      <c r="I2745" s="61" t="s">
        <v>37</v>
      </c>
      <c r="J2745" s="61"/>
      <c r="K2745" s="61" t="s">
        <v>28</v>
      </c>
      <c r="L2745" s="61" t="s">
        <v>9302</v>
      </c>
      <c r="M2745" s="475">
        <v>45933</v>
      </c>
      <c r="N2745" s="475">
        <v>45936</v>
      </c>
      <c r="O2745" s="61"/>
      <c r="P2745" s="475">
        <v>45945</v>
      </c>
      <c r="Q2745" s="475">
        <v>45945</v>
      </c>
      <c r="R2745" s="61">
        <f t="shared" si="192"/>
        <v>1</v>
      </c>
      <c r="S2745" s="61" t="str">
        <f t="shared" si="193"/>
        <v/>
      </c>
      <c r="T2745" s="61">
        <f t="shared" si="191"/>
        <v>7</v>
      </c>
      <c r="U2745" s="61">
        <f t="shared" si="190"/>
        <v>1</v>
      </c>
      <c r="V2745" s="61" t="s">
        <v>150</v>
      </c>
      <c r="W2745" s="61" t="s">
        <v>3527</v>
      </c>
      <c r="X2745" s="61" t="s">
        <v>3528</v>
      </c>
      <c r="Y2745" s="211" t="s">
        <v>69</v>
      </c>
      <c r="Z2745" s="211" t="s">
        <v>69</v>
      </c>
      <c r="AA2745" s="61" t="s">
        <v>8492</v>
      </c>
      <c r="AB2745" s="61" t="s">
        <v>9303</v>
      </c>
    </row>
    <row r="2746" spans="1:28" s="2" customFormat="1" ht="28.5">
      <c r="A2746" s="61" t="s">
        <v>779</v>
      </c>
      <c r="B2746" s="61" t="s">
        <v>6202</v>
      </c>
      <c r="C2746" s="61" t="s">
        <v>1286</v>
      </c>
      <c r="D2746" s="61" t="s">
        <v>159</v>
      </c>
      <c r="E2746" s="61">
        <v>3556</v>
      </c>
      <c r="F2746" s="61">
        <v>3846</v>
      </c>
      <c r="G2746" s="61">
        <v>2025</v>
      </c>
      <c r="H2746" s="61" t="s">
        <v>3128</v>
      </c>
      <c r="I2746" s="61" t="s">
        <v>37</v>
      </c>
      <c r="J2746" s="61"/>
      <c r="K2746" s="61" t="s">
        <v>28</v>
      </c>
      <c r="L2746" s="61" t="s">
        <v>9302</v>
      </c>
      <c r="M2746" s="475">
        <v>45933</v>
      </c>
      <c r="N2746" s="475">
        <v>45936</v>
      </c>
      <c r="O2746" s="61"/>
      <c r="P2746" s="475">
        <v>45945</v>
      </c>
      <c r="Q2746" s="475">
        <v>45945</v>
      </c>
      <c r="R2746" s="61">
        <f t="shared" si="192"/>
        <v>1</v>
      </c>
      <c r="S2746" s="61" t="str">
        <f t="shared" si="193"/>
        <v/>
      </c>
      <c r="T2746" s="61">
        <f t="shared" si="191"/>
        <v>7</v>
      </c>
      <c r="U2746" s="61">
        <f t="shared" ref="U2746:U2809" si="194">IF(
    OR(ISBLANK(P2746), ISBLANK(Q2746)),
    "",
    MAX(1, IF(
        NETWORKDAYS(P2746, Q2746) &lt;= 0,
        1,
        NETWORKDAYS(P2746, Q2746) - IF(P2746 = Q2746, 0, 1)
    ))
)</f>
        <v>1</v>
      </c>
      <c r="V2746" s="61" t="s">
        <v>150</v>
      </c>
      <c r="W2746" s="61" t="s">
        <v>3527</v>
      </c>
      <c r="X2746" s="61" t="s">
        <v>3528</v>
      </c>
      <c r="Y2746" s="211" t="s">
        <v>69</v>
      </c>
      <c r="Z2746" s="211" t="s">
        <v>69</v>
      </c>
      <c r="AA2746" s="61" t="s">
        <v>8492</v>
      </c>
      <c r="AB2746" s="61" t="s">
        <v>9303</v>
      </c>
    </row>
    <row r="2747" spans="1:28" s="2" customFormat="1" ht="28.5">
      <c r="A2747" s="61" t="s">
        <v>779</v>
      </c>
      <c r="B2747" s="61" t="s">
        <v>6202</v>
      </c>
      <c r="C2747" s="61" t="s">
        <v>4830</v>
      </c>
      <c r="D2747" s="61" t="s">
        <v>159</v>
      </c>
      <c r="E2747" s="61">
        <v>3714</v>
      </c>
      <c r="F2747" s="61">
        <v>4053</v>
      </c>
      <c r="G2747" s="61">
        <v>2025</v>
      </c>
      <c r="H2747" s="61" t="s">
        <v>3128</v>
      </c>
      <c r="I2747" s="61" t="s">
        <v>37</v>
      </c>
      <c r="J2747" s="61"/>
      <c r="K2747" s="61" t="s">
        <v>28</v>
      </c>
      <c r="L2747" s="61" t="s">
        <v>9302</v>
      </c>
      <c r="M2747" s="475">
        <v>45933</v>
      </c>
      <c r="N2747" s="475">
        <v>45936</v>
      </c>
      <c r="O2747" s="61"/>
      <c r="P2747" s="475">
        <v>45945</v>
      </c>
      <c r="Q2747" s="475">
        <v>45945</v>
      </c>
      <c r="R2747" s="61">
        <f t="shared" si="192"/>
        <v>1</v>
      </c>
      <c r="S2747" s="61" t="str">
        <f t="shared" si="193"/>
        <v/>
      </c>
      <c r="T2747" s="61">
        <f t="shared" si="191"/>
        <v>7</v>
      </c>
      <c r="U2747" s="61">
        <f t="shared" si="194"/>
        <v>1</v>
      </c>
      <c r="V2747" s="61" t="s">
        <v>150</v>
      </c>
      <c r="W2747" s="61" t="s">
        <v>3527</v>
      </c>
      <c r="X2747" s="61" t="s">
        <v>3528</v>
      </c>
      <c r="Y2747" s="211" t="s">
        <v>69</v>
      </c>
      <c r="Z2747" s="211" t="s">
        <v>69</v>
      </c>
      <c r="AA2747" s="61" t="s">
        <v>8492</v>
      </c>
      <c r="AB2747" s="61" t="s">
        <v>9303</v>
      </c>
    </row>
    <row r="2748" spans="1:28" s="2" customFormat="1" ht="28.5">
      <c r="A2748" s="61" t="s">
        <v>779</v>
      </c>
      <c r="B2748" s="61" t="s">
        <v>6202</v>
      </c>
      <c r="C2748" s="61" t="s">
        <v>6219</v>
      </c>
      <c r="D2748" s="61" t="s">
        <v>159</v>
      </c>
      <c r="E2748" s="61">
        <v>1870</v>
      </c>
      <c r="F2748" s="61">
        <v>2554</v>
      </c>
      <c r="G2748" s="61">
        <v>2025</v>
      </c>
      <c r="H2748" s="61" t="s">
        <v>3128</v>
      </c>
      <c r="I2748" s="61" t="s">
        <v>37</v>
      </c>
      <c r="J2748" s="61"/>
      <c r="K2748" s="61" t="s">
        <v>28</v>
      </c>
      <c r="L2748" s="61" t="s">
        <v>9302</v>
      </c>
      <c r="M2748" s="475">
        <v>45933</v>
      </c>
      <c r="N2748" s="475">
        <v>45936</v>
      </c>
      <c r="O2748" s="61"/>
      <c r="P2748" s="475">
        <v>45945</v>
      </c>
      <c r="Q2748" s="475">
        <v>45945</v>
      </c>
      <c r="R2748" s="61">
        <f t="shared" si="192"/>
        <v>1</v>
      </c>
      <c r="S2748" s="61" t="str">
        <f t="shared" si="193"/>
        <v/>
      </c>
      <c r="T2748" s="61">
        <f t="shared" si="191"/>
        <v>7</v>
      </c>
      <c r="U2748" s="61">
        <f t="shared" si="194"/>
        <v>1</v>
      </c>
      <c r="V2748" s="61" t="s">
        <v>150</v>
      </c>
      <c r="W2748" s="61" t="s">
        <v>1078</v>
      </c>
      <c r="X2748" s="61" t="s">
        <v>50</v>
      </c>
      <c r="Y2748" s="211" t="s">
        <v>69</v>
      </c>
      <c r="Z2748" s="211" t="s">
        <v>69</v>
      </c>
      <c r="AA2748" s="61" t="s">
        <v>8492</v>
      </c>
      <c r="AB2748" s="61" t="s">
        <v>9303</v>
      </c>
    </row>
    <row r="2749" spans="1:28" s="2" customFormat="1" ht="28.5">
      <c r="A2749" s="61" t="s">
        <v>779</v>
      </c>
      <c r="B2749" s="61" t="s">
        <v>6202</v>
      </c>
      <c r="C2749" s="61" t="s">
        <v>4024</v>
      </c>
      <c r="D2749" s="61" t="s">
        <v>159</v>
      </c>
      <c r="E2749" s="61">
        <v>2318</v>
      </c>
      <c r="F2749" s="61">
        <v>2565</v>
      </c>
      <c r="G2749" s="61">
        <v>2025</v>
      </c>
      <c r="H2749" s="61" t="s">
        <v>3128</v>
      </c>
      <c r="I2749" s="61" t="s">
        <v>37</v>
      </c>
      <c r="J2749" s="61"/>
      <c r="K2749" s="61" t="s">
        <v>28</v>
      </c>
      <c r="L2749" s="61" t="s">
        <v>9302</v>
      </c>
      <c r="M2749" s="475">
        <v>45933</v>
      </c>
      <c r="N2749" s="475">
        <v>45936</v>
      </c>
      <c r="O2749" s="61"/>
      <c r="P2749" s="475">
        <v>45945</v>
      </c>
      <c r="Q2749" s="475">
        <v>45945</v>
      </c>
      <c r="R2749" s="61">
        <f t="shared" si="192"/>
        <v>1</v>
      </c>
      <c r="S2749" s="61" t="str">
        <f t="shared" si="193"/>
        <v/>
      </c>
      <c r="T2749" s="61">
        <f t="shared" si="191"/>
        <v>7</v>
      </c>
      <c r="U2749" s="61">
        <f t="shared" si="194"/>
        <v>1</v>
      </c>
      <c r="V2749" s="61" t="s">
        <v>150</v>
      </c>
      <c r="W2749" s="61" t="s">
        <v>1078</v>
      </c>
      <c r="X2749" s="61" t="s">
        <v>50</v>
      </c>
      <c r="Y2749" s="211" t="s">
        <v>69</v>
      </c>
      <c r="Z2749" s="211" t="s">
        <v>69</v>
      </c>
      <c r="AA2749" s="61" t="s">
        <v>8492</v>
      </c>
      <c r="AB2749" s="61" t="s">
        <v>9303</v>
      </c>
    </row>
    <row r="2750" spans="1:28" s="2" customFormat="1" ht="28.5">
      <c r="A2750" s="61" t="s">
        <v>779</v>
      </c>
      <c r="B2750" s="61" t="s">
        <v>6202</v>
      </c>
      <c r="C2750" s="61" t="s">
        <v>6220</v>
      </c>
      <c r="D2750" s="61" t="s">
        <v>159</v>
      </c>
      <c r="E2750" s="61">
        <v>957</v>
      </c>
      <c r="F2750" s="61">
        <v>1083</v>
      </c>
      <c r="G2750" s="61">
        <v>2025</v>
      </c>
      <c r="H2750" s="61" t="s">
        <v>3128</v>
      </c>
      <c r="I2750" s="61" t="s">
        <v>37</v>
      </c>
      <c r="J2750" s="61"/>
      <c r="K2750" s="61" t="s">
        <v>28</v>
      </c>
      <c r="L2750" s="61" t="s">
        <v>9302</v>
      </c>
      <c r="M2750" s="475">
        <v>45933</v>
      </c>
      <c r="N2750" s="475">
        <v>45936</v>
      </c>
      <c r="O2750" s="61"/>
      <c r="P2750" s="475">
        <v>45945</v>
      </c>
      <c r="Q2750" s="475">
        <v>45945</v>
      </c>
      <c r="R2750" s="61">
        <f t="shared" si="192"/>
        <v>1</v>
      </c>
      <c r="S2750" s="61" t="str">
        <f t="shared" si="193"/>
        <v/>
      </c>
      <c r="T2750" s="61">
        <f t="shared" si="191"/>
        <v>7</v>
      </c>
      <c r="U2750" s="61">
        <f t="shared" si="194"/>
        <v>1</v>
      </c>
      <c r="V2750" s="61" t="s">
        <v>150</v>
      </c>
      <c r="W2750" s="61" t="s">
        <v>1078</v>
      </c>
      <c r="X2750" s="61" t="s">
        <v>50</v>
      </c>
      <c r="Y2750" s="211" t="s">
        <v>69</v>
      </c>
      <c r="Z2750" s="211" t="s">
        <v>69</v>
      </c>
      <c r="AA2750" s="61" t="s">
        <v>8492</v>
      </c>
      <c r="AB2750" s="61" t="s">
        <v>9303</v>
      </c>
    </row>
    <row r="2751" spans="1:28" s="2" customFormat="1" ht="28.5">
      <c r="A2751" s="61" t="s">
        <v>779</v>
      </c>
      <c r="B2751" s="61" t="s">
        <v>6202</v>
      </c>
      <c r="C2751" s="61" t="s">
        <v>1166</v>
      </c>
      <c r="D2751" s="61" t="s">
        <v>159</v>
      </c>
      <c r="E2751" s="61">
        <v>2394</v>
      </c>
      <c r="F2751" s="61">
        <v>2574</v>
      </c>
      <c r="G2751" s="61">
        <v>2025</v>
      </c>
      <c r="H2751" s="61" t="s">
        <v>3128</v>
      </c>
      <c r="I2751" s="61" t="s">
        <v>37</v>
      </c>
      <c r="J2751" s="61"/>
      <c r="K2751" s="61" t="s">
        <v>28</v>
      </c>
      <c r="L2751" s="61" t="s">
        <v>9302</v>
      </c>
      <c r="M2751" s="475">
        <v>45933</v>
      </c>
      <c r="N2751" s="475">
        <v>45936</v>
      </c>
      <c r="O2751" s="61"/>
      <c r="P2751" s="475">
        <v>45945</v>
      </c>
      <c r="Q2751" s="475">
        <v>45945</v>
      </c>
      <c r="R2751" s="61">
        <f t="shared" si="192"/>
        <v>1</v>
      </c>
      <c r="S2751" s="61" t="str">
        <f t="shared" si="193"/>
        <v/>
      </c>
      <c r="T2751" s="61">
        <f t="shared" si="191"/>
        <v>7</v>
      </c>
      <c r="U2751" s="61">
        <f t="shared" si="194"/>
        <v>1</v>
      </c>
      <c r="V2751" s="61" t="s">
        <v>150</v>
      </c>
      <c r="W2751" s="61" t="s">
        <v>1078</v>
      </c>
      <c r="X2751" s="61" t="s">
        <v>50</v>
      </c>
      <c r="Y2751" s="211" t="s">
        <v>69</v>
      </c>
      <c r="Z2751" s="211" t="s">
        <v>69</v>
      </c>
      <c r="AA2751" s="61" t="s">
        <v>8492</v>
      </c>
      <c r="AB2751" s="61" t="s">
        <v>9303</v>
      </c>
    </row>
    <row r="2752" spans="1:28" s="2" customFormat="1" ht="28.5">
      <c r="A2752" s="61" t="s">
        <v>779</v>
      </c>
      <c r="B2752" s="61" t="s">
        <v>6202</v>
      </c>
      <c r="C2752" s="61" t="s">
        <v>6221</v>
      </c>
      <c r="D2752" s="61" t="s">
        <v>159</v>
      </c>
      <c r="E2752" s="61">
        <v>2298</v>
      </c>
      <c r="F2752" s="61">
        <v>2303</v>
      </c>
      <c r="G2752" s="61">
        <v>2025</v>
      </c>
      <c r="H2752" s="61" t="s">
        <v>3128</v>
      </c>
      <c r="I2752" s="61" t="s">
        <v>37</v>
      </c>
      <c r="J2752" s="61"/>
      <c r="K2752" s="61" t="s">
        <v>28</v>
      </c>
      <c r="L2752" s="61" t="s">
        <v>9302</v>
      </c>
      <c r="M2752" s="475">
        <v>45933</v>
      </c>
      <c r="N2752" s="475">
        <v>45936</v>
      </c>
      <c r="O2752" s="61"/>
      <c r="P2752" s="475">
        <v>45945</v>
      </c>
      <c r="Q2752" s="475">
        <v>45945</v>
      </c>
      <c r="R2752" s="61">
        <f t="shared" si="192"/>
        <v>1</v>
      </c>
      <c r="S2752" s="61" t="str">
        <f t="shared" si="193"/>
        <v/>
      </c>
      <c r="T2752" s="61">
        <f t="shared" si="191"/>
        <v>7</v>
      </c>
      <c r="U2752" s="61">
        <f t="shared" si="194"/>
        <v>1</v>
      </c>
      <c r="V2752" s="61" t="s">
        <v>150</v>
      </c>
      <c r="W2752" s="61" t="s">
        <v>3527</v>
      </c>
      <c r="X2752" s="61" t="s">
        <v>3528</v>
      </c>
      <c r="Y2752" s="211" t="s">
        <v>69</v>
      </c>
      <c r="Z2752" s="211" t="s">
        <v>69</v>
      </c>
      <c r="AA2752" s="61" t="s">
        <v>8492</v>
      </c>
      <c r="AB2752" s="61" t="s">
        <v>9303</v>
      </c>
    </row>
    <row r="2753" spans="1:28" s="2" customFormat="1" ht="28.5">
      <c r="A2753" s="61" t="s">
        <v>779</v>
      </c>
      <c r="B2753" s="61" t="s">
        <v>6202</v>
      </c>
      <c r="C2753" s="61" t="s">
        <v>6222</v>
      </c>
      <c r="D2753" s="61" t="s">
        <v>159</v>
      </c>
      <c r="E2753" s="61">
        <v>2446</v>
      </c>
      <c r="F2753" s="61">
        <v>2626</v>
      </c>
      <c r="G2753" s="61">
        <v>2025</v>
      </c>
      <c r="H2753" s="61" t="s">
        <v>3128</v>
      </c>
      <c r="I2753" s="61" t="s">
        <v>37</v>
      </c>
      <c r="J2753" s="61"/>
      <c r="K2753" s="61" t="s">
        <v>28</v>
      </c>
      <c r="L2753" s="61" t="s">
        <v>9302</v>
      </c>
      <c r="M2753" s="475">
        <v>45933</v>
      </c>
      <c r="N2753" s="475">
        <v>45936</v>
      </c>
      <c r="O2753" s="61"/>
      <c r="P2753" s="475">
        <v>45945</v>
      </c>
      <c r="Q2753" s="475">
        <v>45945</v>
      </c>
      <c r="R2753" s="61">
        <f t="shared" si="192"/>
        <v>1</v>
      </c>
      <c r="S2753" s="61" t="str">
        <f t="shared" si="193"/>
        <v/>
      </c>
      <c r="T2753" s="61">
        <f t="shared" si="191"/>
        <v>7</v>
      </c>
      <c r="U2753" s="61">
        <f t="shared" si="194"/>
        <v>1</v>
      </c>
      <c r="V2753" s="61" t="s">
        <v>150</v>
      </c>
      <c r="W2753" s="61" t="s">
        <v>4</v>
      </c>
      <c r="X2753" s="61" t="s">
        <v>50</v>
      </c>
      <c r="Y2753" s="211" t="s">
        <v>69</v>
      </c>
      <c r="Z2753" s="211" t="s">
        <v>69</v>
      </c>
      <c r="AA2753" s="61" t="s">
        <v>8492</v>
      </c>
      <c r="AB2753" s="61" t="s">
        <v>9303</v>
      </c>
    </row>
    <row r="2754" spans="1:28" s="2" customFormat="1" ht="28.5">
      <c r="A2754" s="61" t="s">
        <v>779</v>
      </c>
      <c r="B2754" s="61" t="s">
        <v>6202</v>
      </c>
      <c r="C2754" s="61" t="s">
        <v>6223</v>
      </c>
      <c r="D2754" s="61" t="s">
        <v>159</v>
      </c>
      <c r="E2754" s="61">
        <v>2063</v>
      </c>
      <c r="F2754" s="61">
        <v>2295</v>
      </c>
      <c r="G2754" s="61">
        <v>2025</v>
      </c>
      <c r="H2754" s="61" t="s">
        <v>3128</v>
      </c>
      <c r="I2754" s="61" t="s">
        <v>37</v>
      </c>
      <c r="J2754" s="61"/>
      <c r="K2754" s="61" t="s">
        <v>28</v>
      </c>
      <c r="L2754" s="61" t="s">
        <v>9302</v>
      </c>
      <c r="M2754" s="475">
        <v>45933</v>
      </c>
      <c r="N2754" s="475">
        <v>45936</v>
      </c>
      <c r="O2754" s="61"/>
      <c r="P2754" s="475">
        <v>45945</v>
      </c>
      <c r="Q2754" s="475">
        <v>45945</v>
      </c>
      <c r="R2754" s="61">
        <f t="shared" si="192"/>
        <v>1</v>
      </c>
      <c r="S2754" s="61" t="str">
        <f t="shared" si="193"/>
        <v/>
      </c>
      <c r="T2754" s="61">
        <f t="shared" si="191"/>
        <v>7</v>
      </c>
      <c r="U2754" s="61">
        <f t="shared" si="194"/>
        <v>1</v>
      </c>
      <c r="V2754" s="61" t="s">
        <v>150</v>
      </c>
      <c r="W2754" s="61" t="s">
        <v>1078</v>
      </c>
      <c r="X2754" s="61" t="s">
        <v>50</v>
      </c>
      <c r="Y2754" s="211" t="s">
        <v>69</v>
      </c>
      <c r="Z2754" s="211" t="s">
        <v>69</v>
      </c>
      <c r="AA2754" s="61" t="s">
        <v>8492</v>
      </c>
      <c r="AB2754" s="61" t="s">
        <v>9303</v>
      </c>
    </row>
    <row r="2755" spans="1:28" s="2" customFormat="1" ht="28.5">
      <c r="A2755" s="61" t="s">
        <v>779</v>
      </c>
      <c r="B2755" s="61" t="s">
        <v>6202</v>
      </c>
      <c r="C2755" s="61" t="s">
        <v>6224</v>
      </c>
      <c r="D2755" s="61" t="s">
        <v>159</v>
      </c>
      <c r="E2755" s="61">
        <v>402</v>
      </c>
      <c r="F2755" s="61">
        <v>476</v>
      </c>
      <c r="G2755" s="61">
        <v>2025</v>
      </c>
      <c r="H2755" s="61" t="s">
        <v>3128</v>
      </c>
      <c r="I2755" s="61" t="s">
        <v>37</v>
      </c>
      <c r="J2755" s="61"/>
      <c r="K2755" s="61" t="s">
        <v>28</v>
      </c>
      <c r="L2755" s="61" t="s">
        <v>9302</v>
      </c>
      <c r="M2755" s="475">
        <v>45933</v>
      </c>
      <c r="N2755" s="475">
        <v>45936</v>
      </c>
      <c r="O2755" s="61"/>
      <c r="P2755" s="475">
        <v>45945</v>
      </c>
      <c r="Q2755" s="475">
        <v>45945</v>
      </c>
      <c r="R2755" s="61">
        <f t="shared" si="192"/>
        <v>1</v>
      </c>
      <c r="S2755" s="61" t="str">
        <f t="shared" si="193"/>
        <v/>
      </c>
      <c r="T2755" s="61">
        <f t="shared" si="191"/>
        <v>7</v>
      </c>
      <c r="U2755" s="61">
        <f t="shared" si="194"/>
        <v>1</v>
      </c>
      <c r="V2755" s="61" t="s">
        <v>150</v>
      </c>
      <c r="W2755" s="61" t="s">
        <v>1078</v>
      </c>
      <c r="X2755" s="61" t="s">
        <v>50</v>
      </c>
      <c r="Y2755" s="211" t="s">
        <v>69</v>
      </c>
      <c r="Z2755" s="211" t="s">
        <v>69</v>
      </c>
      <c r="AA2755" s="61" t="s">
        <v>8492</v>
      </c>
      <c r="AB2755" s="61" t="s">
        <v>9303</v>
      </c>
    </row>
    <row r="2756" spans="1:28" s="2" customFormat="1" ht="28.5">
      <c r="A2756" s="61" t="s">
        <v>779</v>
      </c>
      <c r="B2756" s="61" t="s">
        <v>6202</v>
      </c>
      <c r="C2756" s="61" t="s">
        <v>6225</v>
      </c>
      <c r="D2756" s="61" t="s">
        <v>159</v>
      </c>
      <c r="E2756" s="61">
        <v>2325</v>
      </c>
      <c r="F2756" s="61">
        <v>2556</v>
      </c>
      <c r="G2756" s="61">
        <v>2025</v>
      </c>
      <c r="H2756" s="61" t="s">
        <v>3128</v>
      </c>
      <c r="I2756" s="61" t="s">
        <v>37</v>
      </c>
      <c r="J2756" s="61"/>
      <c r="K2756" s="61" t="s">
        <v>28</v>
      </c>
      <c r="L2756" s="61" t="s">
        <v>9302</v>
      </c>
      <c r="M2756" s="475">
        <v>45933</v>
      </c>
      <c r="N2756" s="475">
        <v>45936</v>
      </c>
      <c r="O2756" s="61"/>
      <c r="P2756" s="475">
        <v>45945</v>
      </c>
      <c r="Q2756" s="475">
        <v>45945</v>
      </c>
      <c r="R2756" s="61">
        <f t="shared" si="192"/>
        <v>1</v>
      </c>
      <c r="S2756" s="61" t="str">
        <f t="shared" si="193"/>
        <v/>
      </c>
      <c r="T2756" s="61">
        <f t="shared" si="191"/>
        <v>7</v>
      </c>
      <c r="U2756" s="61">
        <f t="shared" si="194"/>
        <v>1</v>
      </c>
      <c r="V2756" s="61" t="s">
        <v>150</v>
      </c>
      <c r="W2756" s="61" t="s">
        <v>1078</v>
      </c>
      <c r="X2756" s="61" t="s">
        <v>50</v>
      </c>
      <c r="Y2756" s="211" t="s">
        <v>69</v>
      </c>
      <c r="Z2756" s="211" t="s">
        <v>69</v>
      </c>
      <c r="AA2756" s="61" t="s">
        <v>8492</v>
      </c>
      <c r="AB2756" s="61" t="s">
        <v>9303</v>
      </c>
    </row>
    <row r="2757" spans="1:28" s="2" customFormat="1" ht="28.5">
      <c r="A2757" s="61" t="s">
        <v>779</v>
      </c>
      <c r="B2757" s="61" t="s">
        <v>6227</v>
      </c>
      <c r="C2757" s="61" t="s">
        <v>4475</v>
      </c>
      <c r="D2757" s="61" t="s">
        <v>7838</v>
      </c>
      <c r="E2757" s="61">
        <v>1740</v>
      </c>
      <c r="F2757" s="61">
        <v>2015</v>
      </c>
      <c r="G2757" s="61">
        <v>2025</v>
      </c>
      <c r="H2757" s="61" t="s">
        <v>3470</v>
      </c>
      <c r="I2757" s="61" t="s">
        <v>39</v>
      </c>
      <c r="J2757" s="61"/>
      <c r="K2757" s="61" t="s">
        <v>328</v>
      </c>
      <c r="L2757" s="61" t="s">
        <v>9304</v>
      </c>
      <c r="M2757" s="475">
        <v>45749</v>
      </c>
      <c r="N2757" s="475">
        <v>45750</v>
      </c>
      <c r="O2757" s="61"/>
      <c r="P2757" s="475">
        <v>45754</v>
      </c>
      <c r="Q2757" s="475">
        <v>45757</v>
      </c>
      <c r="R2757" s="61">
        <f t="shared" si="192"/>
        <v>1</v>
      </c>
      <c r="S2757" s="61" t="str">
        <f t="shared" si="193"/>
        <v/>
      </c>
      <c r="T2757" s="61">
        <f t="shared" si="191"/>
        <v>2</v>
      </c>
      <c r="U2757" s="61">
        <f t="shared" si="194"/>
        <v>3</v>
      </c>
      <c r="V2757" s="61" t="s">
        <v>150</v>
      </c>
      <c r="W2757" s="61" t="s">
        <v>1078</v>
      </c>
      <c r="X2757" s="61" t="s">
        <v>50</v>
      </c>
      <c r="Y2757" s="482">
        <v>15.491849999999999</v>
      </c>
      <c r="Z2757" s="482">
        <v>120.66681</v>
      </c>
      <c r="AA2757" s="61" t="s">
        <v>8492</v>
      </c>
      <c r="AB2757" s="61"/>
    </row>
    <row r="2758" spans="1:28" s="2" customFormat="1" ht="28.5">
      <c r="A2758" s="61" t="s">
        <v>779</v>
      </c>
      <c r="B2758" s="61" t="s">
        <v>6227</v>
      </c>
      <c r="C2758" s="61" t="s">
        <v>3974</v>
      </c>
      <c r="D2758" s="61" t="s">
        <v>7838</v>
      </c>
      <c r="E2758" s="61">
        <v>6514</v>
      </c>
      <c r="F2758" s="61">
        <v>6008</v>
      </c>
      <c r="G2758" s="61">
        <v>2025</v>
      </c>
      <c r="H2758" s="61" t="s">
        <v>3125</v>
      </c>
      <c r="I2758" s="61" t="s">
        <v>37</v>
      </c>
      <c r="J2758" s="61"/>
      <c r="K2758" s="61" t="s">
        <v>328</v>
      </c>
      <c r="L2758" s="61" t="s">
        <v>9305</v>
      </c>
      <c r="M2758" s="475">
        <v>45847</v>
      </c>
      <c r="N2758" s="475">
        <v>45850</v>
      </c>
      <c r="O2758" s="61"/>
      <c r="P2758" s="475">
        <v>45853</v>
      </c>
      <c r="Q2758" s="475">
        <v>45855</v>
      </c>
      <c r="R2758" s="61">
        <f t="shared" si="192"/>
        <v>2</v>
      </c>
      <c r="S2758" s="61" t="str">
        <f t="shared" si="193"/>
        <v/>
      </c>
      <c r="T2758" s="61">
        <f t="shared" si="191"/>
        <v>1</v>
      </c>
      <c r="U2758" s="61">
        <f t="shared" si="194"/>
        <v>2</v>
      </c>
      <c r="V2758" s="61" t="s">
        <v>150</v>
      </c>
      <c r="W2758" s="61" t="s">
        <v>1078</v>
      </c>
      <c r="X2758" s="61" t="s">
        <v>50</v>
      </c>
      <c r="Y2758" s="61">
        <v>15.48034</v>
      </c>
      <c r="Z2758" s="61">
        <v>120.59238000000001</v>
      </c>
      <c r="AA2758" s="61" t="s">
        <v>8492</v>
      </c>
      <c r="AB2758" s="61"/>
    </row>
    <row r="2759" spans="1:28" s="2" customFormat="1" ht="28.5">
      <c r="A2759" s="61" t="s">
        <v>779</v>
      </c>
      <c r="B2759" s="61" t="s">
        <v>6227</v>
      </c>
      <c r="C2759" s="61" t="s">
        <v>4258</v>
      </c>
      <c r="D2759" s="61" t="s">
        <v>7838</v>
      </c>
      <c r="E2759" s="61">
        <v>3654</v>
      </c>
      <c r="F2759" s="61">
        <v>4231</v>
      </c>
      <c r="G2759" s="61">
        <v>2025</v>
      </c>
      <c r="H2759" s="61" t="s">
        <v>3125</v>
      </c>
      <c r="I2759" s="61" t="s">
        <v>37</v>
      </c>
      <c r="J2759" s="61"/>
      <c r="K2759" s="61" t="s">
        <v>328</v>
      </c>
      <c r="L2759" s="61" t="s">
        <v>9306</v>
      </c>
      <c r="M2759" s="475">
        <v>45847</v>
      </c>
      <c r="N2759" s="475">
        <v>45850</v>
      </c>
      <c r="O2759" s="61"/>
      <c r="P2759" s="475">
        <v>45854</v>
      </c>
      <c r="Q2759" s="475">
        <v>45855</v>
      </c>
      <c r="R2759" s="61">
        <f t="shared" si="192"/>
        <v>2</v>
      </c>
      <c r="S2759" s="61" t="str">
        <f t="shared" si="193"/>
        <v/>
      </c>
      <c r="T2759" s="61">
        <f t="shared" si="191"/>
        <v>2</v>
      </c>
      <c r="U2759" s="61">
        <f t="shared" si="194"/>
        <v>1</v>
      </c>
      <c r="V2759" s="61" t="s">
        <v>150</v>
      </c>
      <c r="W2759" s="61" t="s">
        <v>1078</v>
      </c>
      <c r="X2759" s="61" t="s">
        <v>50</v>
      </c>
      <c r="Y2759" s="61">
        <v>15.48034</v>
      </c>
      <c r="Z2759" s="61">
        <v>120.59238000000001</v>
      </c>
      <c r="AA2759" s="61" t="s">
        <v>8492</v>
      </c>
      <c r="AB2759" s="61"/>
    </row>
    <row r="2760" spans="1:28" s="2" customFormat="1" ht="28.5">
      <c r="A2760" s="61" t="s">
        <v>779</v>
      </c>
      <c r="B2760" s="61" t="s">
        <v>6227</v>
      </c>
      <c r="C2760" s="61" t="s">
        <v>6245</v>
      </c>
      <c r="D2760" s="61" t="s">
        <v>7838</v>
      </c>
      <c r="E2760" s="61">
        <v>2208</v>
      </c>
      <c r="F2760" s="61">
        <v>2118</v>
      </c>
      <c r="G2760" s="61">
        <v>2025</v>
      </c>
      <c r="H2760" s="61" t="s">
        <v>3689</v>
      </c>
      <c r="I2760" s="61" t="s">
        <v>37</v>
      </c>
      <c r="J2760" s="61"/>
      <c r="K2760" s="61" t="s">
        <v>328</v>
      </c>
      <c r="L2760" s="61" t="s">
        <v>9307</v>
      </c>
      <c r="M2760" s="475">
        <v>45813</v>
      </c>
      <c r="N2760" s="475">
        <v>45814</v>
      </c>
      <c r="O2760" s="61"/>
      <c r="P2760" s="475">
        <v>45824</v>
      </c>
      <c r="Q2760" s="475">
        <v>45824</v>
      </c>
      <c r="R2760" s="61">
        <f t="shared" si="192"/>
        <v>1</v>
      </c>
      <c r="S2760" s="61" t="str">
        <f t="shared" si="193"/>
        <v/>
      </c>
      <c r="T2760" s="61">
        <f t="shared" si="191"/>
        <v>6</v>
      </c>
      <c r="U2760" s="61">
        <f t="shared" si="194"/>
        <v>1</v>
      </c>
      <c r="V2760" s="61" t="s">
        <v>150</v>
      </c>
      <c r="W2760" s="61" t="s">
        <v>3527</v>
      </c>
      <c r="X2760" s="61" t="s">
        <v>3528</v>
      </c>
      <c r="Y2760" s="61" t="s">
        <v>9308</v>
      </c>
      <c r="Z2760" s="61" t="s">
        <v>9309</v>
      </c>
      <c r="AA2760" s="61" t="s">
        <v>8492</v>
      </c>
      <c r="AB2760" s="61"/>
    </row>
    <row r="2761" spans="1:28" s="2" customFormat="1" ht="28.5">
      <c r="A2761" s="61" t="s">
        <v>779</v>
      </c>
      <c r="B2761" s="61" t="s">
        <v>6227</v>
      </c>
      <c r="C2761" s="61" t="s">
        <v>6260</v>
      </c>
      <c r="D2761" s="61" t="s">
        <v>7838</v>
      </c>
      <c r="E2761" s="61">
        <v>400</v>
      </c>
      <c r="F2761" s="61">
        <v>456</v>
      </c>
      <c r="G2761" s="61">
        <v>2025</v>
      </c>
      <c r="H2761" s="61" t="s">
        <v>3458</v>
      </c>
      <c r="I2761" s="61" t="s">
        <v>37</v>
      </c>
      <c r="J2761" s="61"/>
      <c r="K2761" s="61" t="s">
        <v>328</v>
      </c>
      <c r="L2761" s="61" t="s">
        <v>9310</v>
      </c>
      <c r="M2761" s="475">
        <v>45707</v>
      </c>
      <c r="N2761" s="475">
        <v>45707</v>
      </c>
      <c r="O2761" s="475"/>
      <c r="P2761" s="475">
        <v>45707</v>
      </c>
      <c r="Q2761" s="475">
        <v>45707</v>
      </c>
      <c r="R2761" s="61">
        <f t="shared" si="192"/>
        <v>1</v>
      </c>
      <c r="S2761" s="61" t="str">
        <f t="shared" si="193"/>
        <v/>
      </c>
      <c r="T2761" s="61">
        <f t="shared" si="191"/>
        <v>1</v>
      </c>
      <c r="U2761" s="61">
        <f t="shared" si="194"/>
        <v>1</v>
      </c>
      <c r="V2761" s="61" t="s">
        <v>150</v>
      </c>
      <c r="W2761" s="61" t="s">
        <v>3527</v>
      </c>
      <c r="X2761" s="61" t="s">
        <v>3528</v>
      </c>
      <c r="Y2761" s="61">
        <v>120.58669999999999</v>
      </c>
      <c r="Z2761" s="61">
        <v>15.4872</v>
      </c>
      <c r="AA2761" s="61" t="s">
        <v>8492</v>
      </c>
      <c r="AB2761" s="61"/>
    </row>
    <row r="2762" spans="1:28" s="2" customFormat="1" ht="28.5">
      <c r="A2762" s="61" t="s">
        <v>779</v>
      </c>
      <c r="B2762" s="61" t="s">
        <v>6227</v>
      </c>
      <c r="C2762" s="61" t="s">
        <v>6230</v>
      </c>
      <c r="D2762" s="61" t="s">
        <v>7838</v>
      </c>
      <c r="E2762" s="61">
        <v>7211</v>
      </c>
      <c r="F2762" s="61">
        <v>8250</v>
      </c>
      <c r="G2762" s="61">
        <v>2025</v>
      </c>
      <c r="H2762" s="61" t="s">
        <v>3458</v>
      </c>
      <c r="I2762" s="61" t="s">
        <v>37</v>
      </c>
      <c r="J2762" s="61"/>
      <c r="K2762" s="61" t="s">
        <v>328</v>
      </c>
      <c r="L2762" s="61" t="s">
        <v>9311</v>
      </c>
      <c r="M2762" s="475">
        <v>45706</v>
      </c>
      <c r="N2762" s="475">
        <v>45707</v>
      </c>
      <c r="O2762" s="475"/>
      <c r="P2762" s="475">
        <v>45707</v>
      </c>
      <c r="Q2762" s="475">
        <v>45707</v>
      </c>
      <c r="R2762" s="61">
        <f t="shared" si="192"/>
        <v>1</v>
      </c>
      <c r="S2762" s="61" t="str">
        <f t="shared" si="193"/>
        <v/>
      </c>
      <c r="T2762" s="61">
        <f t="shared" si="191"/>
        <v>1</v>
      </c>
      <c r="U2762" s="61">
        <f t="shared" si="194"/>
        <v>1</v>
      </c>
      <c r="V2762" s="61" t="s">
        <v>150</v>
      </c>
      <c r="W2762" s="61" t="s">
        <v>3527</v>
      </c>
      <c r="X2762" s="61" t="s">
        <v>3528</v>
      </c>
      <c r="Y2762" s="61"/>
      <c r="Z2762" s="61"/>
      <c r="AA2762" s="61" t="s">
        <v>8492</v>
      </c>
      <c r="AB2762" s="61"/>
    </row>
    <row r="2763" spans="1:28" s="2" customFormat="1" ht="28.5">
      <c r="A2763" s="61" t="s">
        <v>779</v>
      </c>
      <c r="B2763" s="61" t="s">
        <v>6227</v>
      </c>
      <c r="C2763" s="61" t="s">
        <v>1511</v>
      </c>
      <c r="D2763" s="61" t="s">
        <v>7838</v>
      </c>
      <c r="E2763" s="61">
        <v>6344</v>
      </c>
      <c r="F2763" s="61">
        <v>7930</v>
      </c>
      <c r="G2763" s="61">
        <v>2025</v>
      </c>
      <c r="H2763" s="61" t="s">
        <v>3416</v>
      </c>
      <c r="I2763" s="61" t="s">
        <v>37</v>
      </c>
      <c r="J2763" s="61"/>
      <c r="K2763" s="61" t="s">
        <v>328</v>
      </c>
      <c r="L2763" s="61" t="s">
        <v>9312</v>
      </c>
      <c r="M2763" s="475">
        <v>45723</v>
      </c>
      <c r="N2763" s="475">
        <v>45725</v>
      </c>
      <c r="O2763" s="61"/>
      <c r="P2763" s="475">
        <v>45727</v>
      </c>
      <c r="Q2763" s="475">
        <v>45728</v>
      </c>
      <c r="R2763" s="61">
        <f t="shared" si="192"/>
        <v>1</v>
      </c>
      <c r="S2763" s="61" t="str">
        <f t="shared" si="193"/>
        <v/>
      </c>
      <c r="T2763" s="61">
        <f t="shared" si="191"/>
        <v>1</v>
      </c>
      <c r="U2763" s="61">
        <f t="shared" si="194"/>
        <v>1</v>
      </c>
      <c r="V2763" s="61" t="s">
        <v>150</v>
      </c>
      <c r="W2763" s="61" t="s">
        <v>3527</v>
      </c>
      <c r="X2763" s="61" t="s">
        <v>3528</v>
      </c>
      <c r="Y2763" s="61">
        <v>15.491849999999999</v>
      </c>
      <c r="Z2763" s="501">
        <v>120.66681</v>
      </c>
      <c r="AA2763" s="61" t="s">
        <v>8492</v>
      </c>
      <c r="AB2763" s="61"/>
    </row>
    <row r="2764" spans="1:28" s="2" customFormat="1" ht="28.5">
      <c r="A2764" s="61" t="s">
        <v>779</v>
      </c>
      <c r="B2764" s="61" t="s">
        <v>6227</v>
      </c>
      <c r="C2764" s="61" t="s">
        <v>1439</v>
      </c>
      <c r="D2764" s="61" t="s">
        <v>7838</v>
      </c>
      <c r="E2764" s="61">
        <v>7103</v>
      </c>
      <c r="F2764" s="61">
        <v>6807</v>
      </c>
      <c r="G2764" s="61">
        <v>2025</v>
      </c>
      <c r="H2764" s="61" t="s">
        <v>3416</v>
      </c>
      <c r="I2764" s="61" t="s">
        <v>37</v>
      </c>
      <c r="J2764" s="61"/>
      <c r="K2764" s="61" t="s">
        <v>328</v>
      </c>
      <c r="L2764" s="61" t="s">
        <v>9313</v>
      </c>
      <c r="M2764" s="475">
        <v>45723</v>
      </c>
      <c r="N2764" s="475">
        <v>45725</v>
      </c>
      <c r="O2764" s="61"/>
      <c r="P2764" s="475">
        <v>45727</v>
      </c>
      <c r="Q2764" s="475">
        <v>45728</v>
      </c>
      <c r="R2764" s="61">
        <f t="shared" si="192"/>
        <v>1</v>
      </c>
      <c r="S2764" s="61" t="str">
        <f t="shared" si="193"/>
        <v/>
      </c>
      <c r="T2764" s="61">
        <f t="shared" si="191"/>
        <v>1</v>
      </c>
      <c r="U2764" s="61">
        <f t="shared" si="194"/>
        <v>1</v>
      </c>
      <c r="V2764" s="61" t="s">
        <v>150</v>
      </c>
      <c r="W2764" s="61" t="s">
        <v>3527</v>
      </c>
      <c r="X2764" s="61" t="s">
        <v>3528</v>
      </c>
      <c r="Y2764" s="501">
        <v>15.492599999999999</v>
      </c>
      <c r="Z2764" s="501">
        <v>120.59520000000001</v>
      </c>
      <c r="AA2764" s="61" t="s">
        <v>8492</v>
      </c>
      <c r="AB2764" s="61"/>
    </row>
    <row r="2765" spans="1:28" s="2" customFormat="1" ht="28.5">
      <c r="A2765" s="61" t="s">
        <v>779</v>
      </c>
      <c r="B2765" s="61" t="s">
        <v>6227</v>
      </c>
      <c r="C2765" s="61" t="s">
        <v>6235</v>
      </c>
      <c r="D2765" s="61" t="s">
        <v>7838</v>
      </c>
      <c r="E2765" s="61">
        <v>2723</v>
      </c>
      <c r="F2765" s="61">
        <v>3076</v>
      </c>
      <c r="G2765" s="61">
        <v>2025</v>
      </c>
      <c r="H2765" s="61" t="s">
        <v>3126</v>
      </c>
      <c r="I2765" s="61" t="s">
        <v>37</v>
      </c>
      <c r="J2765" s="61"/>
      <c r="K2765" s="61" t="s">
        <v>328</v>
      </c>
      <c r="L2765" s="61" t="s">
        <v>9314</v>
      </c>
      <c r="M2765" s="475">
        <v>45875</v>
      </c>
      <c r="N2765" s="475">
        <v>45878</v>
      </c>
      <c r="O2765" s="61"/>
      <c r="P2765" s="475">
        <v>45881</v>
      </c>
      <c r="Q2765" s="475">
        <v>45882</v>
      </c>
      <c r="R2765" s="61">
        <f t="shared" si="192"/>
        <v>2</v>
      </c>
      <c r="S2765" s="61" t="str">
        <f t="shared" si="193"/>
        <v/>
      </c>
      <c r="T2765" s="61">
        <f t="shared" si="191"/>
        <v>1</v>
      </c>
      <c r="U2765" s="61">
        <f t="shared" si="194"/>
        <v>1</v>
      </c>
      <c r="V2765" s="61" t="s">
        <v>150</v>
      </c>
      <c r="W2765" s="61" t="s">
        <v>3527</v>
      </c>
      <c r="X2765" s="61" t="s">
        <v>3528</v>
      </c>
      <c r="Y2765" s="61" t="s">
        <v>69</v>
      </c>
      <c r="Z2765" s="61" t="s">
        <v>69</v>
      </c>
      <c r="AA2765" s="61" t="s">
        <v>8492</v>
      </c>
      <c r="AB2765" s="61"/>
    </row>
    <row r="2766" spans="1:28" s="2" customFormat="1" ht="28.5">
      <c r="A2766" s="61" t="s">
        <v>779</v>
      </c>
      <c r="B2766" s="61" t="s">
        <v>6227</v>
      </c>
      <c r="C2766" s="61" t="s">
        <v>6286</v>
      </c>
      <c r="D2766" s="61" t="s">
        <v>7838</v>
      </c>
      <c r="E2766" s="61">
        <v>2123</v>
      </c>
      <c r="F2766" s="61">
        <v>2447</v>
      </c>
      <c r="G2766" s="61">
        <v>2025</v>
      </c>
      <c r="H2766" s="61" t="s">
        <v>3470</v>
      </c>
      <c r="I2766" s="61" t="s">
        <v>37</v>
      </c>
      <c r="J2766" s="61"/>
      <c r="K2766" s="61" t="s">
        <v>328</v>
      </c>
      <c r="L2766" s="61" t="s">
        <v>9315</v>
      </c>
      <c r="M2766" s="475">
        <v>45749</v>
      </c>
      <c r="N2766" s="475">
        <v>45750</v>
      </c>
      <c r="O2766" s="61"/>
      <c r="P2766" s="475">
        <v>45754</v>
      </c>
      <c r="Q2766" s="475">
        <v>45757</v>
      </c>
      <c r="R2766" s="61">
        <f t="shared" si="192"/>
        <v>1</v>
      </c>
      <c r="S2766" s="61" t="str">
        <f t="shared" si="193"/>
        <v/>
      </c>
      <c r="T2766" s="61">
        <f t="shared" si="191"/>
        <v>2</v>
      </c>
      <c r="U2766" s="61">
        <f t="shared" si="194"/>
        <v>3</v>
      </c>
      <c r="V2766" s="61" t="s">
        <v>150</v>
      </c>
      <c r="W2766" s="61" t="s">
        <v>3527</v>
      </c>
      <c r="X2766" s="61" t="s">
        <v>3528</v>
      </c>
      <c r="Y2766" s="61">
        <v>15.491849999999999</v>
      </c>
      <c r="Z2766" s="482">
        <v>120.66681</v>
      </c>
      <c r="AA2766" s="61" t="s">
        <v>8492</v>
      </c>
      <c r="AB2766" s="61"/>
    </row>
    <row r="2767" spans="1:28" s="2" customFormat="1" ht="15">
      <c r="A2767" s="61" t="s">
        <v>779</v>
      </c>
      <c r="B2767" s="61" t="s">
        <v>6227</v>
      </c>
      <c r="C2767" s="61" t="s">
        <v>6237</v>
      </c>
      <c r="D2767" s="61" t="s">
        <v>7838</v>
      </c>
      <c r="E2767" s="61">
        <v>6893</v>
      </c>
      <c r="F2767" s="61">
        <v>7718</v>
      </c>
      <c r="G2767" s="61"/>
      <c r="H2767" s="61"/>
      <c r="I2767" s="61" t="s">
        <v>37</v>
      </c>
      <c r="J2767" s="61"/>
      <c r="K2767" s="61" t="s">
        <v>328</v>
      </c>
      <c r="L2767" s="61"/>
      <c r="M2767" s="61"/>
      <c r="N2767" s="61"/>
      <c r="O2767" s="61"/>
      <c r="P2767" s="61"/>
      <c r="Q2767" s="61"/>
      <c r="R2767" s="61" t="str">
        <f t="shared" si="192"/>
        <v/>
      </c>
      <c r="S2767" s="61" t="str">
        <f t="shared" si="193"/>
        <v/>
      </c>
      <c r="T2767" s="61" t="str">
        <f t="shared" si="191"/>
        <v/>
      </c>
      <c r="U2767" s="61" t="str">
        <f t="shared" si="194"/>
        <v/>
      </c>
      <c r="V2767" s="61"/>
      <c r="W2767" s="61"/>
      <c r="X2767" s="61"/>
      <c r="Y2767" s="61"/>
      <c r="Z2767" s="61"/>
      <c r="AA2767" s="61"/>
      <c r="AB2767" s="61"/>
    </row>
    <row r="2768" spans="1:28" s="2" customFormat="1" ht="15">
      <c r="A2768" s="61" t="s">
        <v>779</v>
      </c>
      <c r="B2768" s="61" t="s">
        <v>6227</v>
      </c>
      <c r="C2768" s="61" t="s">
        <v>6238</v>
      </c>
      <c r="D2768" s="61" t="s">
        <v>7838</v>
      </c>
      <c r="E2768" s="61">
        <v>1573</v>
      </c>
      <c r="F2768" s="61">
        <v>1926</v>
      </c>
      <c r="G2768" s="61"/>
      <c r="H2768" s="61"/>
      <c r="I2768" s="61" t="s">
        <v>37</v>
      </c>
      <c r="J2768" s="61"/>
      <c r="K2768" s="61" t="s">
        <v>328</v>
      </c>
      <c r="L2768" s="61"/>
      <c r="M2768" s="61"/>
      <c r="N2768" s="61"/>
      <c r="O2768" s="61"/>
      <c r="P2768" s="61"/>
      <c r="Q2768" s="61"/>
      <c r="R2768" s="61" t="str">
        <f t="shared" si="192"/>
        <v/>
      </c>
      <c r="S2768" s="61" t="str">
        <f t="shared" si="193"/>
        <v/>
      </c>
      <c r="T2768" s="61" t="str">
        <f t="shared" si="191"/>
        <v/>
      </c>
      <c r="U2768" s="61" t="str">
        <f t="shared" si="194"/>
        <v/>
      </c>
      <c r="V2768" s="61"/>
      <c r="W2768" s="61"/>
      <c r="X2768" s="61"/>
      <c r="Y2768" s="61"/>
      <c r="Z2768" s="61"/>
      <c r="AA2768" s="61"/>
      <c r="AB2768" s="61"/>
    </row>
    <row r="2769" spans="1:28" s="2" customFormat="1" ht="15">
      <c r="A2769" s="61" t="s">
        <v>779</v>
      </c>
      <c r="B2769" s="61" t="s">
        <v>6227</v>
      </c>
      <c r="C2769" s="61" t="s">
        <v>6239</v>
      </c>
      <c r="D2769" s="61" t="s">
        <v>7838</v>
      </c>
      <c r="E2769" s="61">
        <v>2220</v>
      </c>
      <c r="F2769" s="61">
        <v>2660</v>
      </c>
      <c r="G2769" s="61"/>
      <c r="H2769" s="61"/>
      <c r="I2769" s="61" t="s">
        <v>37</v>
      </c>
      <c r="J2769" s="61"/>
      <c r="K2769" s="61" t="s">
        <v>328</v>
      </c>
      <c r="L2769" s="61"/>
      <c r="M2769" s="61"/>
      <c r="N2769" s="61"/>
      <c r="O2769" s="61"/>
      <c r="P2769" s="61"/>
      <c r="Q2769" s="61"/>
      <c r="R2769" s="61" t="str">
        <f t="shared" si="192"/>
        <v/>
      </c>
      <c r="S2769" s="61" t="str">
        <f t="shared" si="193"/>
        <v/>
      </c>
      <c r="T2769" s="61" t="str">
        <f t="shared" si="191"/>
        <v/>
      </c>
      <c r="U2769" s="61" t="str">
        <f t="shared" si="194"/>
        <v/>
      </c>
      <c r="V2769" s="61"/>
      <c r="W2769" s="61"/>
      <c r="X2769" s="61"/>
      <c r="Y2769" s="61"/>
      <c r="Z2769" s="61"/>
      <c r="AA2769" s="61"/>
      <c r="AB2769" s="61"/>
    </row>
    <row r="2770" spans="1:28" s="2" customFormat="1" ht="15">
      <c r="A2770" s="61" t="s">
        <v>779</v>
      </c>
      <c r="B2770" s="61" t="s">
        <v>6227</v>
      </c>
      <c r="C2770" s="61" t="s">
        <v>6240</v>
      </c>
      <c r="D2770" s="61" t="s">
        <v>7838</v>
      </c>
      <c r="E2770" s="61">
        <v>4985</v>
      </c>
      <c r="F2770" s="61">
        <v>5608</v>
      </c>
      <c r="G2770" s="61"/>
      <c r="H2770" s="61"/>
      <c r="I2770" s="61" t="s">
        <v>37</v>
      </c>
      <c r="J2770" s="61"/>
      <c r="K2770" s="61" t="s">
        <v>328</v>
      </c>
      <c r="L2770" s="61"/>
      <c r="M2770" s="61"/>
      <c r="N2770" s="61"/>
      <c r="O2770" s="61"/>
      <c r="P2770" s="61"/>
      <c r="Q2770" s="61"/>
      <c r="R2770" s="61" t="str">
        <f t="shared" si="192"/>
        <v/>
      </c>
      <c r="S2770" s="61" t="str">
        <f t="shared" si="193"/>
        <v/>
      </c>
      <c r="T2770" s="61" t="str">
        <f t="shared" si="191"/>
        <v/>
      </c>
      <c r="U2770" s="61" t="str">
        <f t="shared" si="194"/>
        <v/>
      </c>
      <c r="V2770" s="61"/>
      <c r="W2770" s="61"/>
      <c r="X2770" s="61"/>
      <c r="Y2770" s="61"/>
      <c r="Z2770" s="61"/>
      <c r="AA2770" s="61"/>
      <c r="AB2770" s="61"/>
    </row>
    <row r="2771" spans="1:28" s="2" customFormat="1" ht="15">
      <c r="A2771" s="61" t="s">
        <v>779</v>
      </c>
      <c r="B2771" s="61" t="s">
        <v>6227</v>
      </c>
      <c r="C2771" s="61" t="s">
        <v>6241</v>
      </c>
      <c r="D2771" s="61" t="s">
        <v>7838</v>
      </c>
      <c r="E2771" s="61">
        <v>1771</v>
      </c>
      <c r="F2771" s="61">
        <v>1815</v>
      </c>
      <c r="G2771" s="61"/>
      <c r="H2771" s="61"/>
      <c r="I2771" s="61" t="s">
        <v>37</v>
      </c>
      <c r="J2771" s="61"/>
      <c r="K2771" s="61" t="s">
        <v>328</v>
      </c>
      <c r="L2771" s="61"/>
      <c r="M2771" s="61"/>
      <c r="N2771" s="61"/>
      <c r="O2771" s="61"/>
      <c r="P2771" s="61"/>
      <c r="Q2771" s="61"/>
      <c r="R2771" s="61" t="str">
        <f t="shared" si="192"/>
        <v/>
      </c>
      <c r="S2771" s="61" t="str">
        <f t="shared" si="193"/>
        <v/>
      </c>
      <c r="T2771" s="61" t="str">
        <f t="shared" si="191"/>
        <v/>
      </c>
      <c r="U2771" s="61" t="str">
        <f t="shared" si="194"/>
        <v/>
      </c>
      <c r="V2771" s="61"/>
      <c r="W2771" s="61"/>
      <c r="X2771" s="61"/>
      <c r="Y2771" s="61"/>
      <c r="Z2771" s="61"/>
      <c r="AA2771" s="61"/>
      <c r="AB2771" s="61"/>
    </row>
    <row r="2772" spans="1:28" s="2" customFormat="1" ht="15">
      <c r="A2772" s="61" t="s">
        <v>779</v>
      </c>
      <c r="B2772" s="61" t="s">
        <v>6227</v>
      </c>
      <c r="C2772" s="61" t="s">
        <v>6242</v>
      </c>
      <c r="D2772" s="61" t="s">
        <v>7838</v>
      </c>
      <c r="E2772" s="61">
        <v>2232</v>
      </c>
      <c r="F2772" s="61">
        <v>2560</v>
      </c>
      <c r="G2772" s="61"/>
      <c r="H2772" s="61"/>
      <c r="I2772" s="61" t="s">
        <v>37</v>
      </c>
      <c r="J2772" s="61"/>
      <c r="K2772" s="61" t="s">
        <v>328</v>
      </c>
      <c r="L2772" s="61"/>
      <c r="M2772" s="61"/>
      <c r="N2772" s="61"/>
      <c r="O2772" s="61"/>
      <c r="P2772" s="61"/>
      <c r="Q2772" s="61"/>
      <c r="R2772" s="61" t="str">
        <f t="shared" si="192"/>
        <v/>
      </c>
      <c r="S2772" s="61" t="str">
        <f t="shared" si="193"/>
        <v/>
      </c>
      <c r="T2772" s="61" t="str">
        <f t="shared" si="191"/>
        <v/>
      </c>
      <c r="U2772" s="61" t="str">
        <f t="shared" si="194"/>
        <v/>
      </c>
      <c r="V2772" s="61"/>
      <c r="W2772" s="61"/>
      <c r="X2772" s="61"/>
      <c r="Y2772" s="61"/>
      <c r="Z2772" s="61"/>
      <c r="AA2772" s="61"/>
      <c r="AB2772" s="61"/>
    </row>
    <row r="2773" spans="1:28" s="2" customFormat="1" ht="15">
      <c r="A2773" s="61" t="s">
        <v>779</v>
      </c>
      <c r="B2773" s="61" t="s">
        <v>6227</v>
      </c>
      <c r="C2773" s="61" t="s">
        <v>6243</v>
      </c>
      <c r="D2773" s="61" t="s">
        <v>7838</v>
      </c>
      <c r="E2773" s="61">
        <v>1725</v>
      </c>
      <c r="F2773" s="61">
        <v>1961</v>
      </c>
      <c r="G2773" s="61"/>
      <c r="H2773" s="61"/>
      <c r="I2773" s="61" t="s">
        <v>37</v>
      </c>
      <c r="J2773" s="61"/>
      <c r="K2773" s="61" t="s">
        <v>328</v>
      </c>
      <c r="L2773" s="61"/>
      <c r="M2773" s="61"/>
      <c r="N2773" s="61"/>
      <c r="O2773" s="61"/>
      <c r="P2773" s="61"/>
      <c r="Q2773" s="61"/>
      <c r="R2773" s="61" t="str">
        <f t="shared" si="192"/>
        <v/>
      </c>
      <c r="S2773" s="61" t="str">
        <f t="shared" si="193"/>
        <v/>
      </c>
      <c r="T2773" s="61" t="str">
        <f t="shared" si="191"/>
        <v/>
      </c>
      <c r="U2773" s="61" t="str">
        <f t="shared" si="194"/>
        <v/>
      </c>
      <c r="V2773" s="61"/>
      <c r="W2773" s="61"/>
      <c r="X2773" s="61"/>
      <c r="Y2773" s="61"/>
      <c r="Z2773" s="61"/>
      <c r="AA2773" s="61"/>
      <c r="AB2773" s="61"/>
    </row>
    <row r="2774" spans="1:28" s="2" customFormat="1" ht="15">
      <c r="A2774" s="61" t="s">
        <v>779</v>
      </c>
      <c r="B2774" s="61" t="s">
        <v>6227</v>
      </c>
      <c r="C2774" s="61" t="s">
        <v>6244</v>
      </c>
      <c r="D2774" s="61" t="s">
        <v>7838</v>
      </c>
      <c r="E2774" s="61">
        <v>4684</v>
      </c>
      <c r="F2774" s="61">
        <v>5445</v>
      </c>
      <c r="G2774" s="61"/>
      <c r="H2774" s="61"/>
      <c r="I2774" s="61" t="s">
        <v>37</v>
      </c>
      <c r="J2774" s="61"/>
      <c r="K2774" s="61" t="s">
        <v>328</v>
      </c>
      <c r="L2774" s="61"/>
      <c r="M2774" s="61"/>
      <c r="N2774" s="61"/>
      <c r="O2774" s="61"/>
      <c r="P2774" s="61"/>
      <c r="Q2774" s="61"/>
      <c r="R2774" s="61" t="str">
        <f t="shared" si="192"/>
        <v/>
      </c>
      <c r="S2774" s="61" t="str">
        <f t="shared" si="193"/>
        <v/>
      </c>
      <c r="T2774" s="61" t="str">
        <f t="shared" si="191"/>
        <v/>
      </c>
      <c r="U2774" s="61" t="str">
        <f t="shared" si="194"/>
        <v/>
      </c>
      <c r="V2774" s="61"/>
      <c r="W2774" s="61"/>
      <c r="X2774" s="61"/>
      <c r="Y2774" s="61"/>
      <c r="Z2774" s="61"/>
      <c r="AA2774" s="61"/>
      <c r="AB2774" s="61"/>
    </row>
    <row r="2775" spans="1:28" s="2" customFormat="1" ht="15">
      <c r="A2775" s="61" t="s">
        <v>779</v>
      </c>
      <c r="B2775" s="61" t="s">
        <v>6227</v>
      </c>
      <c r="C2775" s="61" t="s">
        <v>6247</v>
      </c>
      <c r="D2775" s="61" t="s">
        <v>7838</v>
      </c>
      <c r="E2775" s="61">
        <v>3533</v>
      </c>
      <c r="F2775" s="61">
        <v>4180</v>
      </c>
      <c r="G2775" s="61"/>
      <c r="H2775" s="61"/>
      <c r="I2775" s="61" t="s">
        <v>37</v>
      </c>
      <c r="J2775" s="61"/>
      <c r="K2775" s="61" t="s">
        <v>328</v>
      </c>
      <c r="L2775" s="61"/>
      <c r="M2775" s="61"/>
      <c r="N2775" s="61"/>
      <c r="O2775" s="61"/>
      <c r="P2775" s="61"/>
      <c r="Q2775" s="61"/>
      <c r="R2775" s="61" t="str">
        <f t="shared" si="192"/>
        <v/>
      </c>
      <c r="S2775" s="61" t="str">
        <f t="shared" si="193"/>
        <v/>
      </c>
      <c r="T2775" s="61" t="str">
        <f t="shared" si="191"/>
        <v/>
      </c>
      <c r="U2775" s="61" t="str">
        <f t="shared" si="194"/>
        <v/>
      </c>
      <c r="V2775" s="61"/>
      <c r="W2775" s="61"/>
      <c r="X2775" s="61"/>
      <c r="Y2775" s="61"/>
      <c r="Z2775" s="61"/>
      <c r="AA2775" s="61"/>
      <c r="AB2775" s="61"/>
    </row>
    <row r="2776" spans="1:28" s="2" customFormat="1" ht="15">
      <c r="A2776" s="61" t="s">
        <v>779</v>
      </c>
      <c r="B2776" s="61" t="s">
        <v>6227</v>
      </c>
      <c r="C2776" s="61" t="s">
        <v>6248</v>
      </c>
      <c r="D2776" s="61" t="s">
        <v>7838</v>
      </c>
      <c r="E2776" s="61">
        <v>5962</v>
      </c>
      <c r="F2776" s="61">
        <v>6769</v>
      </c>
      <c r="G2776" s="61"/>
      <c r="H2776" s="61"/>
      <c r="I2776" s="61" t="s">
        <v>37</v>
      </c>
      <c r="J2776" s="61"/>
      <c r="K2776" s="61" t="s">
        <v>328</v>
      </c>
      <c r="L2776" s="61"/>
      <c r="M2776" s="61"/>
      <c r="N2776" s="61"/>
      <c r="O2776" s="61"/>
      <c r="P2776" s="61"/>
      <c r="Q2776" s="61"/>
      <c r="R2776" s="61" t="str">
        <f t="shared" si="192"/>
        <v/>
      </c>
      <c r="S2776" s="61" t="str">
        <f t="shared" si="193"/>
        <v/>
      </c>
      <c r="T2776" s="61" t="str">
        <f t="shared" si="191"/>
        <v/>
      </c>
      <c r="U2776" s="61" t="str">
        <f t="shared" si="194"/>
        <v/>
      </c>
      <c r="V2776" s="61"/>
      <c r="W2776" s="61"/>
      <c r="X2776" s="61"/>
      <c r="Y2776" s="61"/>
      <c r="Z2776" s="61"/>
      <c r="AA2776" s="61"/>
      <c r="AB2776" s="61"/>
    </row>
    <row r="2777" spans="1:28" s="2" customFormat="1" ht="15">
      <c r="A2777" s="61" t="s">
        <v>779</v>
      </c>
      <c r="B2777" s="61" t="s">
        <v>6227</v>
      </c>
      <c r="C2777" s="61" t="s">
        <v>5803</v>
      </c>
      <c r="D2777" s="61" t="s">
        <v>7838</v>
      </c>
      <c r="E2777" s="61">
        <v>1048</v>
      </c>
      <c r="F2777" s="61">
        <v>1245</v>
      </c>
      <c r="G2777" s="61"/>
      <c r="H2777" s="61"/>
      <c r="I2777" s="61" t="s">
        <v>37</v>
      </c>
      <c r="J2777" s="61"/>
      <c r="K2777" s="61" t="s">
        <v>328</v>
      </c>
      <c r="L2777" s="61"/>
      <c r="M2777" s="61"/>
      <c r="N2777" s="61"/>
      <c r="O2777" s="61"/>
      <c r="P2777" s="61"/>
      <c r="Q2777" s="61"/>
      <c r="R2777" s="61" t="str">
        <f t="shared" si="192"/>
        <v/>
      </c>
      <c r="S2777" s="61" t="str">
        <f t="shared" si="193"/>
        <v/>
      </c>
      <c r="T2777" s="61" t="str">
        <f t="shared" si="191"/>
        <v/>
      </c>
      <c r="U2777" s="61" t="str">
        <f t="shared" si="194"/>
        <v/>
      </c>
      <c r="V2777" s="61"/>
      <c r="W2777" s="61"/>
      <c r="X2777" s="61"/>
      <c r="Y2777" s="61"/>
      <c r="Z2777" s="61"/>
      <c r="AA2777" s="61"/>
      <c r="AB2777" s="61"/>
    </row>
    <row r="2778" spans="1:28" s="2" customFormat="1" ht="15">
      <c r="A2778" s="61" t="s">
        <v>779</v>
      </c>
      <c r="B2778" s="61" t="s">
        <v>6227</v>
      </c>
      <c r="C2778" s="61" t="s">
        <v>1475</v>
      </c>
      <c r="D2778" s="61" t="s">
        <v>7838</v>
      </c>
      <c r="E2778" s="61">
        <v>2192</v>
      </c>
      <c r="F2778" s="61">
        <v>2410</v>
      </c>
      <c r="G2778" s="61"/>
      <c r="H2778" s="61"/>
      <c r="I2778" s="61" t="s">
        <v>37</v>
      </c>
      <c r="J2778" s="61"/>
      <c r="K2778" s="61" t="s">
        <v>328</v>
      </c>
      <c r="L2778" s="61"/>
      <c r="M2778" s="61"/>
      <c r="N2778" s="61"/>
      <c r="O2778" s="61"/>
      <c r="P2778" s="61"/>
      <c r="Q2778" s="61"/>
      <c r="R2778" s="61" t="str">
        <f t="shared" si="192"/>
        <v/>
      </c>
      <c r="S2778" s="61" t="str">
        <f t="shared" si="193"/>
        <v/>
      </c>
      <c r="T2778" s="61" t="str">
        <f t="shared" si="191"/>
        <v/>
      </c>
      <c r="U2778" s="61" t="str">
        <f t="shared" si="194"/>
        <v/>
      </c>
      <c r="V2778" s="61"/>
      <c r="W2778" s="61"/>
      <c r="X2778" s="61"/>
      <c r="Y2778" s="61"/>
      <c r="Z2778" s="61"/>
      <c r="AA2778" s="61"/>
      <c r="AB2778" s="61"/>
    </row>
    <row r="2779" spans="1:28" s="2" customFormat="1" ht="15">
      <c r="A2779" s="61" t="s">
        <v>779</v>
      </c>
      <c r="B2779" s="61" t="s">
        <v>6227</v>
      </c>
      <c r="C2779" s="61" t="s">
        <v>6249</v>
      </c>
      <c r="D2779" s="61" t="s">
        <v>7838</v>
      </c>
      <c r="E2779" s="61">
        <v>4338</v>
      </c>
      <c r="F2779" s="61">
        <v>5173</v>
      </c>
      <c r="G2779" s="61"/>
      <c r="H2779" s="61"/>
      <c r="I2779" s="61" t="s">
        <v>37</v>
      </c>
      <c r="J2779" s="61"/>
      <c r="K2779" s="61" t="s">
        <v>328</v>
      </c>
      <c r="L2779" s="61"/>
      <c r="M2779" s="61"/>
      <c r="N2779" s="61"/>
      <c r="O2779" s="61"/>
      <c r="P2779" s="61"/>
      <c r="Q2779" s="61"/>
      <c r="R2779" s="61" t="str">
        <f t="shared" si="192"/>
        <v/>
      </c>
      <c r="S2779" s="61" t="str">
        <f t="shared" si="193"/>
        <v/>
      </c>
      <c r="T2779" s="61" t="str">
        <f t="shared" ref="T2779:T2842" si="195">IF(
  OR(A2779 = "Nueva_Ecija", A2779 = "Zambales"),
  IF(
    OR(ISBLANK(O2779), ISBLANK(P2779)),
    "",
    MAX(1, IF(
      NETWORKDAYS(O2779, P2779) &lt;= 0,
      1,
      NETWORKDAYS(O2779, P2779) - IF(O2779 = P2779, 0, 1)
    ))
  ),
  IF(
    OR(ISBLANK(N2779), ISBLANK(P2779)),
    "",
    MAX(1, IF(
      NETWORKDAYS(N2779, P2779) &lt;= 0,
      1,
      NETWORKDAYS(N2779, P2779) - IF(N2779 = P2779, 0, 1)
    ))
  )
)</f>
        <v/>
      </c>
      <c r="U2779" s="61" t="str">
        <f t="shared" si="194"/>
        <v/>
      </c>
      <c r="V2779" s="61"/>
      <c r="W2779" s="61"/>
      <c r="X2779" s="61"/>
      <c r="Y2779" s="61"/>
      <c r="Z2779" s="61"/>
      <c r="AA2779" s="61"/>
      <c r="AB2779" s="61"/>
    </row>
    <row r="2780" spans="1:28" s="2" customFormat="1" ht="15">
      <c r="A2780" s="61" t="s">
        <v>779</v>
      </c>
      <c r="B2780" s="61" t="s">
        <v>6227</v>
      </c>
      <c r="C2780" s="61" t="s">
        <v>6250</v>
      </c>
      <c r="D2780" s="61" t="s">
        <v>7838</v>
      </c>
      <c r="E2780" s="61">
        <v>1666</v>
      </c>
      <c r="F2780" s="61">
        <v>2258</v>
      </c>
      <c r="G2780" s="61"/>
      <c r="H2780" s="61"/>
      <c r="I2780" s="61" t="s">
        <v>37</v>
      </c>
      <c r="J2780" s="61"/>
      <c r="K2780" s="61" t="s">
        <v>328</v>
      </c>
      <c r="L2780" s="61"/>
      <c r="M2780" s="61"/>
      <c r="N2780" s="61"/>
      <c r="O2780" s="61"/>
      <c r="P2780" s="61"/>
      <c r="Q2780" s="61"/>
      <c r="R2780" s="61" t="str">
        <f t="shared" si="192"/>
        <v/>
      </c>
      <c r="S2780" s="61" t="str">
        <f t="shared" si="193"/>
        <v/>
      </c>
      <c r="T2780" s="61" t="str">
        <f t="shared" si="195"/>
        <v/>
      </c>
      <c r="U2780" s="61" t="str">
        <f t="shared" si="194"/>
        <v/>
      </c>
      <c r="V2780" s="61"/>
      <c r="W2780" s="61"/>
      <c r="X2780" s="61"/>
      <c r="Y2780" s="61"/>
      <c r="Z2780" s="61"/>
      <c r="AA2780" s="61"/>
      <c r="AB2780" s="61"/>
    </row>
    <row r="2781" spans="1:28" s="2" customFormat="1" ht="15">
      <c r="A2781" s="61" t="s">
        <v>779</v>
      </c>
      <c r="B2781" s="61" t="s">
        <v>6227</v>
      </c>
      <c r="C2781" s="61" t="s">
        <v>6251</v>
      </c>
      <c r="D2781" s="61" t="s">
        <v>7838</v>
      </c>
      <c r="E2781" s="61">
        <v>4498</v>
      </c>
      <c r="F2781" s="61">
        <v>5791</v>
      </c>
      <c r="G2781" s="61"/>
      <c r="H2781" s="61"/>
      <c r="I2781" s="61" t="s">
        <v>37</v>
      </c>
      <c r="J2781" s="61"/>
      <c r="K2781" s="61" t="s">
        <v>328</v>
      </c>
      <c r="L2781" s="61"/>
      <c r="M2781" s="61"/>
      <c r="N2781" s="61"/>
      <c r="O2781" s="61"/>
      <c r="P2781" s="61"/>
      <c r="Q2781" s="61"/>
      <c r="R2781" s="61" t="str">
        <f t="shared" si="192"/>
        <v/>
      </c>
      <c r="S2781" s="61" t="str">
        <f t="shared" si="193"/>
        <v/>
      </c>
      <c r="T2781" s="61" t="str">
        <f t="shared" si="195"/>
        <v/>
      </c>
      <c r="U2781" s="61" t="str">
        <f t="shared" si="194"/>
        <v/>
      </c>
      <c r="V2781" s="61"/>
      <c r="W2781" s="61"/>
      <c r="X2781" s="61"/>
      <c r="Y2781" s="61"/>
      <c r="Z2781" s="61"/>
      <c r="AA2781" s="61"/>
      <c r="AB2781" s="61"/>
    </row>
    <row r="2782" spans="1:28" s="2" customFormat="1" ht="15">
      <c r="A2782" s="61" t="s">
        <v>779</v>
      </c>
      <c r="B2782" s="61" t="s">
        <v>6227</v>
      </c>
      <c r="C2782" s="61" t="s">
        <v>6252</v>
      </c>
      <c r="D2782" s="61" t="s">
        <v>7838</v>
      </c>
      <c r="E2782" s="61">
        <v>1708</v>
      </c>
      <c r="F2782" s="61">
        <v>2083</v>
      </c>
      <c r="G2782" s="61"/>
      <c r="H2782" s="61"/>
      <c r="I2782" s="61" t="s">
        <v>37</v>
      </c>
      <c r="J2782" s="61"/>
      <c r="K2782" s="61" t="s">
        <v>328</v>
      </c>
      <c r="L2782" s="61"/>
      <c r="M2782" s="61"/>
      <c r="N2782" s="61"/>
      <c r="O2782" s="61"/>
      <c r="P2782" s="61"/>
      <c r="Q2782" s="61"/>
      <c r="R2782" s="61" t="str">
        <f t="shared" si="192"/>
        <v/>
      </c>
      <c r="S2782" s="61" t="str">
        <f t="shared" si="193"/>
        <v/>
      </c>
      <c r="T2782" s="61" t="str">
        <f t="shared" si="195"/>
        <v/>
      </c>
      <c r="U2782" s="61" t="str">
        <f t="shared" si="194"/>
        <v/>
      </c>
      <c r="V2782" s="61"/>
      <c r="W2782" s="61"/>
      <c r="X2782" s="61"/>
      <c r="Y2782" s="61"/>
      <c r="Z2782" s="61"/>
      <c r="AA2782" s="61"/>
      <c r="AB2782" s="61"/>
    </row>
    <row r="2783" spans="1:28" s="2" customFormat="1" ht="15">
      <c r="A2783" s="61" t="s">
        <v>779</v>
      </c>
      <c r="B2783" s="61" t="s">
        <v>6227</v>
      </c>
      <c r="C2783" s="61" t="s">
        <v>3508</v>
      </c>
      <c r="D2783" s="61" t="s">
        <v>7838</v>
      </c>
      <c r="E2783" s="61">
        <v>1249</v>
      </c>
      <c r="F2783" s="61">
        <v>1517</v>
      </c>
      <c r="G2783" s="61"/>
      <c r="H2783" s="61"/>
      <c r="I2783" s="61" t="s">
        <v>37</v>
      </c>
      <c r="J2783" s="61"/>
      <c r="K2783" s="61" t="s">
        <v>328</v>
      </c>
      <c r="L2783" s="61"/>
      <c r="M2783" s="61"/>
      <c r="N2783" s="61"/>
      <c r="O2783" s="61"/>
      <c r="P2783" s="61"/>
      <c r="Q2783" s="61"/>
      <c r="R2783" s="61" t="str">
        <f t="shared" si="192"/>
        <v/>
      </c>
      <c r="S2783" s="61" t="str">
        <f t="shared" si="193"/>
        <v/>
      </c>
      <c r="T2783" s="61" t="str">
        <f t="shared" si="195"/>
        <v/>
      </c>
      <c r="U2783" s="61" t="str">
        <f t="shared" si="194"/>
        <v/>
      </c>
      <c r="V2783" s="61"/>
      <c r="W2783" s="61"/>
      <c r="X2783" s="61"/>
      <c r="Y2783" s="61"/>
      <c r="Z2783" s="61"/>
      <c r="AA2783" s="61"/>
      <c r="AB2783" s="61"/>
    </row>
    <row r="2784" spans="1:28" s="2" customFormat="1" ht="15">
      <c r="A2784" s="61" t="s">
        <v>779</v>
      </c>
      <c r="B2784" s="61" t="s">
        <v>6227</v>
      </c>
      <c r="C2784" s="61" t="s">
        <v>6253</v>
      </c>
      <c r="D2784" s="61" t="s">
        <v>7838</v>
      </c>
      <c r="E2784" s="61">
        <v>1771</v>
      </c>
      <c r="F2784" s="61">
        <v>2109</v>
      </c>
      <c r="G2784" s="61"/>
      <c r="H2784" s="61"/>
      <c r="I2784" s="61" t="s">
        <v>37</v>
      </c>
      <c r="J2784" s="61"/>
      <c r="K2784" s="61" t="s">
        <v>328</v>
      </c>
      <c r="L2784" s="61"/>
      <c r="M2784" s="61"/>
      <c r="N2784" s="61"/>
      <c r="O2784" s="61"/>
      <c r="P2784" s="61"/>
      <c r="Q2784" s="61"/>
      <c r="R2784" s="61" t="str">
        <f t="shared" si="192"/>
        <v/>
      </c>
      <c r="S2784" s="61" t="str">
        <f t="shared" si="193"/>
        <v/>
      </c>
      <c r="T2784" s="61" t="str">
        <f t="shared" si="195"/>
        <v/>
      </c>
      <c r="U2784" s="61" t="str">
        <f t="shared" si="194"/>
        <v/>
      </c>
      <c r="V2784" s="61"/>
      <c r="W2784" s="61"/>
      <c r="X2784" s="61"/>
      <c r="Y2784" s="61"/>
      <c r="Z2784" s="61"/>
      <c r="AA2784" s="61"/>
      <c r="AB2784" s="61"/>
    </row>
    <row r="2785" spans="1:28" s="2" customFormat="1" ht="15">
      <c r="A2785" s="61" t="s">
        <v>779</v>
      </c>
      <c r="B2785" s="61" t="s">
        <v>6227</v>
      </c>
      <c r="C2785" s="61" t="s">
        <v>6254</v>
      </c>
      <c r="D2785" s="61" t="s">
        <v>7838</v>
      </c>
      <c r="E2785" s="61">
        <v>6105</v>
      </c>
      <c r="F2785" s="61">
        <v>7682</v>
      </c>
      <c r="G2785" s="61"/>
      <c r="H2785" s="61"/>
      <c r="I2785" s="61" t="s">
        <v>37</v>
      </c>
      <c r="J2785" s="61"/>
      <c r="K2785" s="61" t="s">
        <v>328</v>
      </c>
      <c r="L2785" s="61"/>
      <c r="M2785" s="61"/>
      <c r="N2785" s="61"/>
      <c r="O2785" s="61"/>
      <c r="P2785" s="61"/>
      <c r="Q2785" s="61"/>
      <c r="R2785" s="61" t="str">
        <f t="shared" si="192"/>
        <v/>
      </c>
      <c r="S2785" s="61" t="str">
        <f t="shared" si="193"/>
        <v/>
      </c>
      <c r="T2785" s="61" t="str">
        <f t="shared" si="195"/>
        <v/>
      </c>
      <c r="U2785" s="61" t="str">
        <f t="shared" si="194"/>
        <v/>
      </c>
      <c r="V2785" s="61"/>
      <c r="W2785" s="61"/>
      <c r="X2785" s="61"/>
      <c r="Y2785" s="61"/>
      <c r="Z2785" s="61"/>
      <c r="AA2785" s="61"/>
      <c r="AB2785" s="61"/>
    </row>
    <row r="2786" spans="1:28" s="2" customFormat="1" ht="15">
      <c r="A2786" s="61" t="s">
        <v>779</v>
      </c>
      <c r="B2786" s="61" t="s">
        <v>6227</v>
      </c>
      <c r="C2786" s="61" t="s">
        <v>6256</v>
      </c>
      <c r="D2786" s="61" t="s">
        <v>7838</v>
      </c>
      <c r="E2786" s="61">
        <v>3353</v>
      </c>
      <c r="F2786" s="61">
        <v>3679</v>
      </c>
      <c r="G2786" s="61"/>
      <c r="H2786" s="61"/>
      <c r="I2786" s="61" t="s">
        <v>37</v>
      </c>
      <c r="J2786" s="61"/>
      <c r="K2786" s="61" t="s">
        <v>328</v>
      </c>
      <c r="L2786" s="61"/>
      <c r="M2786" s="61"/>
      <c r="N2786" s="61"/>
      <c r="O2786" s="61"/>
      <c r="P2786" s="61"/>
      <c r="Q2786" s="61"/>
      <c r="R2786" s="61" t="str">
        <f t="shared" si="192"/>
        <v/>
      </c>
      <c r="S2786" s="61" t="str">
        <f t="shared" si="193"/>
        <v/>
      </c>
      <c r="T2786" s="61" t="str">
        <f t="shared" si="195"/>
        <v/>
      </c>
      <c r="U2786" s="61" t="str">
        <f t="shared" si="194"/>
        <v/>
      </c>
      <c r="V2786" s="61"/>
      <c r="W2786" s="61"/>
      <c r="X2786" s="61"/>
      <c r="Y2786" s="61"/>
      <c r="Z2786" s="61"/>
      <c r="AA2786" s="61"/>
      <c r="AB2786" s="61"/>
    </row>
    <row r="2787" spans="1:28" s="2" customFormat="1" ht="15">
      <c r="A2787" s="61" t="s">
        <v>779</v>
      </c>
      <c r="B2787" s="61" t="s">
        <v>6227</v>
      </c>
      <c r="C2787" s="61" t="s">
        <v>6257</v>
      </c>
      <c r="D2787" s="61" t="s">
        <v>7838</v>
      </c>
      <c r="E2787" s="61">
        <v>1834</v>
      </c>
      <c r="F2787" s="61">
        <v>2239</v>
      </c>
      <c r="G2787" s="61"/>
      <c r="H2787" s="61"/>
      <c r="I2787" s="61" t="s">
        <v>37</v>
      </c>
      <c r="J2787" s="61"/>
      <c r="K2787" s="61" t="s">
        <v>328</v>
      </c>
      <c r="L2787" s="61"/>
      <c r="M2787" s="61"/>
      <c r="N2787" s="61"/>
      <c r="O2787" s="61"/>
      <c r="P2787" s="61"/>
      <c r="Q2787" s="61"/>
      <c r="R2787" s="61" t="str">
        <f t="shared" si="192"/>
        <v/>
      </c>
      <c r="S2787" s="61" t="str">
        <f t="shared" si="193"/>
        <v/>
      </c>
      <c r="T2787" s="61" t="str">
        <f t="shared" si="195"/>
        <v/>
      </c>
      <c r="U2787" s="61" t="str">
        <f t="shared" si="194"/>
        <v/>
      </c>
      <c r="V2787" s="61"/>
      <c r="W2787" s="61"/>
      <c r="X2787" s="61"/>
      <c r="Y2787" s="61"/>
      <c r="Z2787" s="61"/>
      <c r="AA2787" s="61"/>
      <c r="AB2787" s="61"/>
    </row>
    <row r="2788" spans="1:28" s="2" customFormat="1" ht="15">
      <c r="A2788" s="61" t="s">
        <v>779</v>
      </c>
      <c r="B2788" s="61" t="s">
        <v>6227</v>
      </c>
      <c r="C2788" s="61" t="s">
        <v>6258</v>
      </c>
      <c r="D2788" s="61" t="s">
        <v>7838</v>
      </c>
      <c r="E2788" s="61">
        <v>9919</v>
      </c>
      <c r="F2788" s="61">
        <v>10195</v>
      </c>
      <c r="G2788" s="61"/>
      <c r="H2788" s="61"/>
      <c r="I2788" s="61" t="s">
        <v>37</v>
      </c>
      <c r="J2788" s="61"/>
      <c r="K2788" s="61" t="s">
        <v>328</v>
      </c>
      <c r="L2788" s="61"/>
      <c r="M2788" s="61"/>
      <c r="N2788" s="61"/>
      <c r="O2788" s="61"/>
      <c r="P2788" s="61"/>
      <c r="Q2788" s="61"/>
      <c r="R2788" s="61" t="str">
        <f t="shared" si="192"/>
        <v/>
      </c>
      <c r="S2788" s="61" t="str">
        <f t="shared" si="193"/>
        <v/>
      </c>
      <c r="T2788" s="61" t="str">
        <f t="shared" si="195"/>
        <v/>
      </c>
      <c r="U2788" s="61" t="str">
        <f t="shared" si="194"/>
        <v/>
      </c>
      <c r="V2788" s="61"/>
      <c r="W2788" s="61"/>
      <c r="X2788" s="61"/>
      <c r="Y2788" s="61"/>
      <c r="Z2788" s="61"/>
      <c r="AA2788" s="61"/>
      <c r="AB2788" s="61"/>
    </row>
    <row r="2789" spans="1:28" s="2" customFormat="1" ht="15">
      <c r="A2789" s="61" t="s">
        <v>779</v>
      </c>
      <c r="B2789" s="61" t="s">
        <v>6227</v>
      </c>
      <c r="C2789" s="61" t="s">
        <v>3630</v>
      </c>
      <c r="D2789" s="61" t="s">
        <v>7838</v>
      </c>
      <c r="E2789" s="61">
        <v>4127</v>
      </c>
      <c r="F2789" s="61">
        <v>4008</v>
      </c>
      <c r="G2789" s="61"/>
      <c r="H2789" s="61"/>
      <c r="I2789" s="61" t="s">
        <v>37</v>
      </c>
      <c r="J2789" s="61"/>
      <c r="K2789" s="61" t="s">
        <v>328</v>
      </c>
      <c r="L2789" s="61"/>
      <c r="M2789" s="61"/>
      <c r="N2789" s="61"/>
      <c r="O2789" s="61"/>
      <c r="P2789" s="61"/>
      <c r="Q2789" s="61"/>
      <c r="R2789" s="61" t="str">
        <f t="shared" si="192"/>
        <v/>
      </c>
      <c r="S2789" s="61" t="str">
        <f t="shared" si="193"/>
        <v/>
      </c>
      <c r="T2789" s="61" t="str">
        <f t="shared" si="195"/>
        <v/>
      </c>
      <c r="U2789" s="61" t="str">
        <f t="shared" si="194"/>
        <v/>
      </c>
      <c r="V2789" s="61"/>
      <c r="W2789" s="61"/>
      <c r="X2789" s="61"/>
      <c r="Y2789" s="61"/>
      <c r="Z2789" s="61"/>
      <c r="AA2789" s="61"/>
      <c r="AB2789" s="61"/>
    </row>
    <row r="2790" spans="1:28" s="2" customFormat="1" ht="15">
      <c r="A2790" s="61" t="s">
        <v>779</v>
      </c>
      <c r="B2790" s="61" t="s">
        <v>6227</v>
      </c>
      <c r="C2790" s="61" t="s">
        <v>6259</v>
      </c>
      <c r="D2790" s="61" t="s">
        <v>7838</v>
      </c>
      <c r="E2790" s="61">
        <v>1898</v>
      </c>
      <c r="F2790" s="61">
        <v>2764</v>
      </c>
      <c r="G2790" s="61"/>
      <c r="H2790" s="61"/>
      <c r="I2790" s="61" t="s">
        <v>37</v>
      </c>
      <c r="J2790" s="61"/>
      <c r="K2790" s="61" t="s">
        <v>328</v>
      </c>
      <c r="L2790" s="61"/>
      <c r="M2790" s="61"/>
      <c r="N2790" s="61"/>
      <c r="O2790" s="61"/>
      <c r="P2790" s="61"/>
      <c r="Q2790" s="61"/>
      <c r="R2790" s="61" t="str">
        <f t="shared" si="192"/>
        <v/>
      </c>
      <c r="S2790" s="61" t="str">
        <f t="shared" si="193"/>
        <v/>
      </c>
      <c r="T2790" s="61" t="str">
        <f t="shared" si="195"/>
        <v/>
      </c>
      <c r="U2790" s="61" t="str">
        <f t="shared" si="194"/>
        <v/>
      </c>
      <c r="V2790" s="61"/>
      <c r="W2790" s="61"/>
      <c r="X2790" s="61"/>
      <c r="Y2790" s="61"/>
      <c r="Z2790" s="61"/>
      <c r="AA2790" s="61"/>
      <c r="AB2790" s="61"/>
    </row>
    <row r="2791" spans="1:28" s="2" customFormat="1" ht="15">
      <c r="A2791" s="61" t="s">
        <v>779</v>
      </c>
      <c r="B2791" s="61" t="s">
        <v>6227</v>
      </c>
      <c r="C2791" s="61" t="s">
        <v>5456</v>
      </c>
      <c r="D2791" s="61" t="s">
        <v>7838</v>
      </c>
      <c r="E2791" s="61">
        <v>3401</v>
      </c>
      <c r="F2791" s="61">
        <v>3912</v>
      </c>
      <c r="G2791" s="61"/>
      <c r="H2791" s="61"/>
      <c r="I2791" s="61" t="s">
        <v>37</v>
      </c>
      <c r="J2791" s="61"/>
      <c r="K2791" s="61" t="s">
        <v>328</v>
      </c>
      <c r="L2791" s="61"/>
      <c r="M2791" s="61"/>
      <c r="N2791" s="61"/>
      <c r="O2791" s="61"/>
      <c r="P2791" s="61"/>
      <c r="Q2791" s="61"/>
      <c r="R2791" s="61" t="str">
        <f t="shared" si="192"/>
        <v/>
      </c>
      <c r="S2791" s="61" t="str">
        <f t="shared" si="193"/>
        <v/>
      </c>
      <c r="T2791" s="61" t="str">
        <f t="shared" si="195"/>
        <v/>
      </c>
      <c r="U2791" s="61" t="str">
        <f t="shared" si="194"/>
        <v/>
      </c>
      <c r="V2791" s="61"/>
      <c r="W2791" s="61"/>
      <c r="X2791" s="61"/>
      <c r="Y2791" s="61"/>
      <c r="Z2791" s="61"/>
      <c r="AA2791" s="61"/>
      <c r="AB2791" s="61"/>
    </row>
    <row r="2792" spans="1:28" s="2" customFormat="1" ht="15">
      <c r="A2792" s="61" t="s">
        <v>779</v>
      </c>
      <c r="B2792" s="61" t="s">
        <v>6227</v>
      </c>
      <c r="C2792" s="61" t="s">
        <v>6261</v>
      </c>
      <c r="D2792" s="61" t="s">
        <v>7838</v>
      </c>
      <c r="E2792" s="61">
        <v>2856</v>
      </c>
      <c r="F2792" s="61">
        <v>3410</v>
      </c>
      <c r="G2792" s="61"/>
      <c r="H2792" s="61"/>
      <c r="I2792" s="61" t="s">
        <v>37</v>
      </c>
      <c r="J2792" s="61"/>
      <c r="K2792" s="61" t="s">
        <v>328</v>
      </c>
      <c r="L2792" s="61"/>
      <c r="M2792" s="61"/>
      <c r="N2792" s="61"/>
      <c r="O2792" s="61"/>
      <c r="P2792" s="61"/>
      <c r="Q2792" s="61"/>
      <c r="R2792" s="61" t="str">
        <f t="shared" si="192"/>
        <v/>
      </c>
      <c r="S2792" s="61" t="str">
        <f t="shared" si="193"/>
        <v/>
      </c>
      <c r="T2792" s="61" t="str">
        <f t="shared" si="195"/>
        <v/>
      </c>
      <c r="U2792" s="61" t="str">
        <f t="shared" si="194"/>
        <v/>
      </c>
      <c r="V2792" s="61"/>
      <c r="W2792" s="61"/>
      <c r="X2792" s="61"/>
      <c r="Y2792" s="61"/>
      <c r="Z2792" s="61"/>
      <c r="AA2792" s="61"/>
      <c r="AB2792" s="61"/>
    </row>
    <row r="2793" spans="1:28" s="2" customFormat="1" ht="15">
      <c r="A2793" s="61" t="s">
        <v>779</v>
      </c>
      <c r="B2793" s="61" t="s">
        <v>6227</v>
      </c>
      <c r="C2793" s="61" t="s">
        <v>5197</v>
      </c>
      <c r="D2793" s="61" t="s">
        <v>7838</v>
      </c>
      <c r="E2793" s="61">
        <v>3248</v>
      </c>
      <c r="F2793" s="61">
        <v>3972</v>
      </c>
      <c r="G2793" s="61"/>
      <c r="H2793" s="61"/>
      <c r="I2793" s="61" t="s">
        <v>37</v>
      </c>
      <c r="J2793" s="61"/>
      <c r="K2793" s="61" t="s">
        <v>328</v>
      </c>
      <c r="L2793" s="61"/>
      <c r="M2793" s="61"/>
      <c r="N2793" s="475"/>
      <c r="O2793" s="61"/>
      <c r="P2793" s="475"/>
      <c r="Q2793" s="475"/>
      <c r="R2793" s="61" t="str">
        <f t="shared" si="192"/>
        <v/>
      </c>
      <c r="S2793" s="61" t="str">
        <f t="shared" si="193"/>
        <v/>
      </c>
      <c r="T2793" s="61" t="str">
        <f t="shared" si="195"/>
        <v/>
      </c>
      <c r="U2793" s="61" t="str">
        <f t="shared" si="194"/>
        <v/>
      </c>
      <c r="V2793" s="61"/>
      <c r="W2793" s="61"/>
      <c r="X2793" s="61"/>
      <c r="Y2793" s="61"/>
      <c r="Z2793" s="61"/>
      <c r="AA2793" s="61"/>
      <c r="AB2793" s="61"/>
    </row>
    <row r="2794" spans="1:28" s="2" customFormat="1" ht="15">
      <c r="A2794" s="61" t="s">
        <v>779</v>
      </c>
      <c r="B2794" s="61" t="s">
        <v>6227</v>
      </c>
      <c r="C2794" s="61" t="s">
        <v>6263</v>
      </c>
      <c r="D2794" s="61" t="s">
        <v>7838</v>
      </c>
      <c r="E2794" s="61">
        <v>2596</v>
      </c>
      <c r="F2794" s="61">
        <v>2376</v>
      </c>
      <c r="G2794" s="61"/>
      <c r="H2794" s="61"/>
      <c r="I2794" s="61" t="s">
        <v>37</v>
      </c>
      <c r="J2794" s="61"/>
      <c r="K2794" s="61" t="s">
        <v>328</v>
      </c>
      <c r="L2794" s="61"/>
      <c r="M2794" s="61"/>
      <c r="N2794" s="61"/>
      <c r="O2794" s="61"/>
      <c r="P2794" s="61"/>
      <c r="Q2794" s="61"/>
      <c r="R2794" s="61" t="str">
        <f t="shared" si="192"/>
        <v/>
      </c>
      <c r="S2794" s="61" t="str">
        <f t="shared" si="193"/>
        <v/>
      </c>
      <c r="T2794" s="61" t="str">
        <f t="shared" si="195"/>
        <v/>
      </c>
      <c r="U2794" s="61" t="str">
        <f t="shared" si="194"/>
        <v/>
      </c>
      <c r="V2794" s="61"/>
      <c r="W2794" s="61"/>
      <c r="X2794" s="61"/>
      <c r="Y2794" s="61"/>
      <c r="Z2794" s="61"/>
      <c r="AA2794" s="61"/>
      <c r="AB2794" s="61"/>
    </row>
    <row r="2795" spans="1:28" s="2" customFormat="1" ht="15">
      <c r="A2795" s="61" t="s">
        <v>779</v>
      </c>
      <c r="B2795" s="61" t="s">
        <v>6227</v>
      </c>
      <c r="C2795" s="61" t="s">
        <v>4613</v>
      </c>
      <c r="D2795" s="61" t="s">
        <v>7838</v>
      </c>
      <c r="E2795" s="61">
        <v>2649</v>
      </c>
      <c r="F2795" s="61">
        <v>2888</v>
      </c>
      <c r="G2795" s="61"/>
      <c r="H2795" s="61"/>
      <c r="I2795" s="61" t="s">
        <v>37</v>
      </c>
      <c r="J2795" s="61"/>
      <c r="K2795" s="61" t="s">
        <v>328</v>
      </c>
      <c r="L2795" s="61"/>
      <c r="M2795" s="61"/>
      <c r="N2795" s="61"/>
      <c r="O2795" s="61"/>
      <c r="P2795" s="61"/>
      <c r="Q2795" s="61"/>
      <c r="R2795" s="61" t="str">
        <f t="shared" si="192"/>
        <v/>
      </c>
      <c r="S2795" s="61" t="str">
        <f t="shared" si="193"/>
        <v/>
      </c>
      <c r="T2795" s="61" t="str">
        <f t="shared" si="195"/>
        <v/>
      </c>
      <c r="U2795" s="61" t="str">
        <f t="shared" si="194"/>
        <v/>
      </c>
      <c r="V2795" s="61"/>
      <c r="W2795" s="61"/>
      <c r="X2795" s="61"/>
      <c r="Y2795" s="61"/>
      <c r="Z2795" s="61"/>
      <c r="AA2795" s="61"/>
      <c r="AB2795" s="61"/>
    </row>
    <row r="2796" spans="1:28" s="2" customFormat="1" ht="15">
      <c r="A2796" s="61" t="s">
        <v>779</v>
      </c>
      <c r="B2796" s="61" t="s">
        <v>6227</v>
      </c>
      <c r="C2796" s="61" t="s">
        <v>4969</v>
      </c>
      <c r="D2796" s="61" t="s">
        <v>7838</v>
      </c>
      <c r="E2796" s="61">
        <v>628</v>
      </c>
      <c r="F2796" s="61">
        <v>851</v>
      </c>
      <c r="G2796" s="61"/>
      <c r="H2796" s="61"/>
      <c r="I2796" s="61" t="s">
        <v>37</v>
      </c>
      <c r="J2796" s="61"/>
      <c r="K2796" s="61" t="s">
        <v>328</v>
      </c>
      <c r="L2796" s="61"/>
      <c r="M2796" s="61"/>
      <c r="N2796" s="61"/>
      <c r="O2796" s="61"/>
      <c r="P2796" s="61"/>
      <c r="Q2796" s="61"/>
      <c r="R2796" s="61" t="str">
        <f t="shared" si="192"/>
        <v/>
      </c>
      <c r="S2796" s="61" t="str">
        <f t="shared" si="193"/>
        <v/>
      </c>
      <c r="T2796" s="61" t="str">
        <f t="shared" si="195"/>
        <v/>
      </c>
      <c r="U2796" s="61" t="str">
        <f t="shared" si="194"/>
        <v/>
      </c>
      <c r="V2796" s="61"/>
      <c r="W2796" s="61"/>
      <c r="X2796" s="61"/>
      <c r="Y2796" s="61"/>
      <c r="Z2796" s="61"/>
      <c r="AA2796" s="61"/>
      <c r="AB2796" s="61"/>
    </row>
    <row r="2797" spans="1:28" s="2" customFormat="1" ht="15">
      <c r="A2797" s="61" t="s">
        <v>779</v>
      </c>
      <c r="B2797" s="61" t="s">
        <v>6227</v>
      </c>
      <c r="C2797" s="61" t="s">
        <v>1245</v>
      </c>
      <c r="D2797" s="61" t="s">
        <v>7838</v>
      </c>
      <c r="E2797" s="61">
        <v>3615</v>
      </c>
      <c r="F2797" s="61">
        <v>4152</v>
      </c>
      <c r="G2797" s="61"/>
      <c r="H2797" s="61"/>
      <c r="I2797" s="61" t="s">
        <v>37</v>
      </c>
      <c r="J2797" s="61"/>
      <c r="K2797" s="61" t="s">
        <v>328</v>
      </c>
      <c r="L2797" s="61"/>
      <c r="M2797" s="61"/>
      <c r="N2797" s="61"/>
      <c r="O2797" s="61"/>
      <c r="P2797" s="61"/>
      <c r="Q2797" s="61"/>
      <c r="R2797" s="61" t="str">
        <f t="shared" si="192"/>
        <v/>
      </c>
      <c r="S2797" s="61" t="str">
        <f t="shared" si="193"/>
        <v/>
      </c>
      <c r="T2797" s="61" t="str">
        <f t="shared" si="195"/>
        <v/>
      </c>
      <c r="U2797" s="61" t="str">
        <f t="shared" si="194"/>
        <v/>
      </c>
      <c r="V2797" s="61"/>
      <c r="W2797" s="61"/>
      <c r="X2797" s="61"/>
      <c r="Y2797" s="61"/>
      <c r="Z2797" s="61"/>
      <c r="AA2797" s="61"/>
      <c r="AB2797" s="61"/>
    </row>
    <row r="2798" spans="1:28" s="2" customFormat="1" ht="15">
      <c r="A2798" s="61" t="s">
        <v>779</v>
      </c>
      <c r="B2798" s="61" t="s">
        <v>6227</v>
      </c>
      <c r="C2798" s="61" t="s">
        <v>2193</v>
      </c>
      <c r="D2798" s="61" t="s">
        <v>7838</v>
      </c>
      <c r="E2798" s="61">
        <v>11891</v>
      </c>
      <c r="F2798" s="61">
        <v>16106</v>
      </c>
      <c r="G2798" s="61"/>
      <c r="H2798" s="61"/>
      <c r="I2798" s="61" t="s">
        <v>37</v>
      </c>
      <c r="J2798" s="61"/>
      <c r="K2798" s="61" t="s">
        <v>328</v>
      </c>
      <c r="L2798" s="61"/>
      <c r="M2798" s="61"/>
      <c r="N2798" s="61"/>
      <c r="O2798" s="61"/>
      <c r="P2798" s="61"/>
      <c r="Q2798" s="61"/>
      <c r="R2798" s="61" t="str">
        <f t="shared" si="192"/>
        <v/>
      </c>
      <c r="S2798" s="61" t="str">
        <f t="shared" si="193"/>
        <v/>
      </c>
      <c r="T2798" s="61" t="str">
        <f t="shared" si="195"/>
        <v/>
      </c>
      <c r="U2798" s="61" t="str">
        <f t="shared" si="194"/>
        <v/>
      </c>
      <c r="V2798" s="61"/>
      <c r="W2798" s="61"/>
      <c r="X2798" s="61"/>
      <c r="Y2798" s="61"/>
      <c r="Z2798" s="61"/>
      <c r="AA2798" s="61"/>
      <c r="AB2798" s="61"/>
    </row>
    <row r="2799" spans="1:28" s="2" customFormat="1" ht="15">
      <c r="A2799" s="61" t="s">
        <v>779</v>
      </c>
      <c r="B2799" s="61" t="s">
        <v>6227</v>
      </c>
      <c r="C2799" s="61" t="s">
        <v>6264</v>
      </c>
      <c r="D2799" s="61" t="s">
        <v>7838</v>
      </c>
      <c r="E2799" s="61">
        <v>5252</v>
      </c>
      <c r="F2799" s="61">
        <v>5922</v>
      </c>
      <c r="G2799" s="61"/>
      <c r="H2799" s="61"/>
      <c r="I2799" s="61" t="s">
        <v>37</v>
      </c>
      <c r="J2799" s="61"/>
      <c r="K2799" s="61" t="s">
        <v>328</v>
      </c>
      <c r="L2799" s="61"/>
      <c r="M2799" s="61"/>
      <c r="N2799" s="61"/>
      <c r="O2799" s="61"/>
      <c r="P2799" s="61"/>
      <c r="Q2799" s="61"/>
      <c r="R2799" s="61" t="str">
        <f t="shared" si="192"/>
        <v/>
      </c>
      <c r="S2799" s="61" t="str">
        <f t="shared" si="193"/>
        <v/>
      </c>
      <c r="T2799" s="61" t="str">
        <f t="shared" si="195"/>
        <v/>
      </c>
      <c r="U2799" s="61" t="str">
        <f t="shared" si="194"/>
        <v/>
      </c>
      <c r="V2799" s="61"/>
      <c r="W2799" s="61"/>
      <c r="X2799" s="61"/>
      <c r="Y2799" s="61"/>
      <c r="Z2799" s="61"/>
      <c r="AA2799" s="61"/>
      <c r="AB2799" s="61"/>
    </row>
    <row r="2800" spans="1:28" s="2" customFormat="1" ht="15">
      <c r="A2800" s="61" t="s">
        <v>779</v>
      </c>
      <c r="B2800" s="61" t="s">
        <v>6227</v>
      </c>
      <c r="C2800" s="61" t="s">
        <v>3474</v>
      </c>
      <c r="D2800" s="61" t="s">
        <v>7838</v>
      </c>
      <c r="E2800" s="61">
        <v>612</v>
      </c>
      <c r="F2800" s="61">
        <v>678</v>
      </c>
      <c r="G2800" s="61"/>
      <c r="H2800" s="61"/>
      <c r="I2800" s="61" t="s">
        <v>37</v>
      </c>
      <c r="J2800" s="61"/>
      <c r="K2800" s="61" t="s">
        <v>328</v>
      </c>
      <c r="L2800" s="61"/>
      <c r="M2800" s="61"/>
      <c r="N2800" s="475"/>
      <c r="O2800" s="61"/>
      <c r="P2800" s="475"/>
      <c r="Q2800" s="475"/>
      <c r="R2800" s="61" t="str">
        <f t="shared" si="192"/>
        <v/>
      </c>
      <c r="S2800" s="61" t="str">
        <f t="shared" si="193"/>
        <v/>
      </c>
      <c r="T2800" s="61" t="str">
        <f t="shared" si="195"/>
        <v/>
      </c>
      <c r="U2800" s="61" t="str">
        <f t="shared" si="194"/>
        <v/>
      </c>
      <c r="V2800" s="61"/>
      <c r="W2800" s="61"/>
      <c r="X2800" s="61"/>
      <c r="Y2800" s="61"/>
      <c r="Z2800" s="61"/>
      <c r="AA2800" s="61"/>
      <c r="AB2800" s="61"/>
    </row>
    <row r="2801" spans="1:28" s="2" customFormat="1" ht="15">
      <c r="A2801" s="61" t="s">
        <v>779</v>
      </c>
      <c r="B2801" s="61" t="s">
        <v>6227</v>
      </c>
      <c r="C2801" s="61" t="s">
        <v>6266</v>
      </c>
      <c r="D2801" s="61" t="s">
        <v>7838</v>
      </c>
      <c r="E2801" s="61">
        <v>2330</v>
      </c>
      <c r="F2801" s="61">
        <v>2184</v>
      </c>
      <c r="G2801" s="61"/>
      <c r="H2801" s="61"/>
      <c r="I2801" s="61" t="s">
        <v>37</v>
      </c>
      <c r="J2801" s="61"/>
      <c r="K2801" s="61" t="s">
        <v>328</v>
      </c>
      <c r="L2801" s="61"/>
      <c r="M2801" s="61"/>
      <c r="N2801" s="61"/>
      <c r="O2801" s="61"/>
      <c r="P2801" s="61"/>
      <c r="Q2801" s="61"/>
      <c r="R2801" s="61" t="str">
        <f t="shared" si="192"/>
        <v/>
      </c>
      <c r="S2801" s="61" t="str">
        <f t="shared" si="193"/>
        <v/>
      </c>
      <c r="T2801" s="61" t="str">
        <f t="shared" si="195"/>
        <v/>
      </c>
      <c r="U2801" s="61" t="str">
        <f t="shared" si="194"/>
        <v/>
      </c>
      <c r="V2801" s="61"/>
      <c r="W2801" s="61"/>
      <c r="X2801" s="61"/>
      <c r="Y2801" s="61"/>
      <c r="Z2801" s="61"/>
      <c r="AA2801" s="61"/>
      <c r="AB2801" s="61"/>
    </row>
    <row r="2802" spans="1:28" s="2" customFormat="1" ht="15">
      <c r="A2802" s="61" t="s">
        <v>779</v>
      </c>
      <c r="B2802" s="61" t="s">
        <v>6227</v>
      </c>
      <c r="C2802" s="61" t="s">
        <v>6267</v>
      </c>
      <c r="D2802" s="61" t="s">
        <v>7838</v>
      </c>
      <c r="E2802" s="61">
        <v>24140</v>
      </c>
      <c r="F2802" s="61">
        <v>24944</v>
      </c>
      <c r="G2802" s="61"/>
      <c r="H2802" s="61"/>
      <c r="I2802" s="61" t="s">
        <v>37</v>
      </c>
      <c r="J2802" s="61"/>
      <c r="K2802" s="61" t="s">
        <v>328</v>
      </c>
      <c r="L2802" s="61"/>
      <c r="M2802" s="61"/>
      <c r="N2802" s="61"/>
      <c r="O2802" s="61"/>
      <c r="P2802" s="61"/>
      <c r="Q2802" s="61"/>
      <c r="R2802" s="61" t="str">
        <f t="shared" si="192"/>
        <v/>
      </c>
      <c r="S2802" s="61" t="str">
        <f t="shared" si="193"/>
        <v/>
      </c>
      <c r="T2802" s="61" t="str">
        <f t="shared" si="195"/>
        <v/>
      </c>
      <c r="U2802" s="61" t="str">
        <f t="shared" si="194"/>
        <v/>
      </c>
      <c r="V2802" s="61"/>
      <c r="W2802" s="61"/>
      <c r="X2802" s="61"/>
      <c r="Y2802" s="61"/>
      <c r="Z2802" s="61"/>
      <c r="AA2802" s="61"/>
      <c r="AB2802" s="61"/>
    </row>
    <row r="2803" spans="1:28" s="2" customFormat="1" ht="15">
      <c r="A2803" s="61" t="s">
        <v>779</v>
      </c>
      <c r="B2803" s="61" t="s">
        <v>6227</v>
      </c>
      <c r="C2803" s="61" t="s">
        <v>6268</v>
      </c>
      <c r="D2803" s="61" t="s">
        <v>7838</v>
      </c>
      <c r="E2803" s="61">
        <v>3439</v>
      </c>
      <c r="F2803" s="61">
        <v>3435</v>
      </c>
      <c r="G2803" s="61"/>
      <c r="H2803" s="61"/>
      <c r="I2803" s="61" t="s">
        <v>37</v>
      </c>
      <c r="J2803" s="61"/>
      <c r="K2803" s="61" t="s">
        <v>328</v>
      </c>
      <c r="L2803" s="61"/>
      <c r="M2803" s="61"/>
      <c r="N2803" s="61"/>
      <c r="O2803" s="61"/>
      <c r="P2803" s="61"/>
      <c r="Q2803" s="61"/>
      <c r="R2803" s="61" t="str">
        <f t="shared" si="192"/>
        <v/>
      </c>
      <c r="S2803" s="61" t="str">
        <f t="shared" si="193"/>
        <v/>
      </c>
      <c r="T2803" s="61" t="str">
        <f t="shared" si="195"/>
        <v/>
      </c>
      <c r="U2803" s="61" t="str">
        <f t="shared" si="194"/>
        <v/>
      </c>
      <c r="V2803" s="61"/>
      <c r="W2803" s="61"/>
      <c r="X2803" s="61"/>
      <c r="Y2803" s="61"/>
      <c r="Z2803" s="61"/>
      <c r="AA2803" s="61"/>
      <c r="AB2803" s="61"/>
    </row>
    <row r="2804" spans="1:28" s="2" customFormat="1" ht="15">
      <c r="A2804" s="61" t="s">
        <v>779</v>
      </c>
      <c r="B2804" s="61" t="s">
        <v>6227</v>
      </c>
      <c r="C2804" s="61" t="s">
        <v>1056</v>
      </c>
      <c r="D2804" s="61" t="s">
        <v>7838</v>
      </c>
      <c r="E2804" s="61">
        <v>313</v>
      </c>
      <c r="F2804" s="61">
        <v>329</v>
      </c>
      <c r="G2804" s="61"/>
      <c r="H2804" s="61"/>
      <c r="I2804" s="61" t="s">
        <v>37</v>
      </c>
      <c r="J2804" s="61"/>
      <c r="K2804" s="61" t="s">
        <v>328</v>
      </c>
      <c r="L2804" s="61"/>
      <c r="M2804" s="61"/>
      <c r="N2804" s="61"/>
      <c r="O2804" s="61"/>
      <c r="P2804" s="61"/>
      <c r="Q2804" s="61"/>
      <c r="R2804" s="61" t="str">
        <f t="shared" si="192"/>
        <v/>
      </c>
      <c r="S2804" s="61" t="str">
        <f t="shared" si="193"/>
        <v/>
      </c>
      <c r="T2804" s="61" t="str">
        <f t="shared" si="195"/>
        <v/>
      </c>
      <c r="U2804" s="61" t="str">
        <f t="shared" si="194"/>
        <v/>
      </c>
      <c r="V2804" s="61"/>
      <c r="W2804" s="61"/>
      <c r="X2804" s="61"/>
      <c r="Y2804" s="61"/>
      <c r="Z2804" s="61"/>
      <c r="AA2804" s="61"/>
      <c r="AB2804" s="61"/>
    </row>
    <row r="2805" spans="1:28" s="2" customFormat="1" ht="15">
      <c r="A2805" s="61" t="s">
        <v>779</v>
      </c>
      <c r="B2805" s="61" t="s">
        <v>6227</v>
      </c>
      <c r="C2805" s="61" t="s">
        <v>3809</v>
      </c>
      <c r="D2805" s="61" t="s">
        <v>7838</v>
      </c>
      <c r="E2805" s="61">
        <v>1660</v>
      </c>
      <c r="F2805" s="61">
        <v>1703</v>
      </c>
      <c r="G2805" s="61"/>
      <c r="H2805" s="61"/>
      <c r="I2805" s="61" t="s">
        <v>37</v>
      </c>
      <c r="J2805" s="61"/>
      <c r="K2805" s="61" t="s">
        <v>328</v>
      </c>
      <c r="L2805" s="61"/>
      <c r="M2805" s="61"/>
      <c r="N2805" s="61"/>
      <c r="O2805" s="61"/>
      <c r="P2805" s="61"/>
      <c r="Q2805" s="61"/>
      <c r="R2805" s="61" t="str">
        <f t="shared" si="192"/>
        <v/>
      </c>
      <c r="S2805" s="61" t="str">
        <f t="shared" si="193"/>
        <v/>
      </c>
      <c r="T2805" s="61" t="str">
        <f t="shared" si="195"/>
        <v/>
      </c>
      <c r="U2805" s="61" t="str">
        <f t="shared" si="194"/>
        <v/>
      </c>
      <c r="V2805" s="61"/>
      <c r="W2805" s="61"/>
      <c r="X2805" s="61"/>
      <c r="Y2805" s="61"/>
      <c r="Z2805" s="61"/>
      <c r="AA2805" s="61"/>
      <c r="AB2805" s="61"/>
    </row>
    <row r="2806" spans="1:28" s="2" customFormat="1" ht="15">
      <c r="A2806" s="61" t="s">
        <v>779</v>
      </c>
      <c r="B2806" s="61" t="s">
        <v>6227</v>
      </c>
      <c r="C2806" s="61" t="s">
        <v>4024</v>
      </c>
      <c r="D2806" s="61" t="s">
        <v>7838</v>
      </c>
      <c r="E2806" s="61">
        <v>2650</v>
      </c>
      <c r="F2806" s="61">
        <v>2880</v>
      </c>
      <c r="G2806" s="61"/>
      <c r="H2806" s="61"/>
      <c r="I2806" s="61" t="s">
        <v>37</v>
      </c>
      <c r="J2806" s="61"/>
      <c r="K2806" s="61" t="s">
        <v>328</v>
      </c>
      <c r="L2806" s="61"/>
      <c r="M2806" s="61"/>
      <c r="N2806" s="61"/>
      <c r="O2806" s="61"/>
      <c r="P2806" s="61"/>
      <c r="Q2806" s="61"/>
      <c r="R2806" s="61" t="str">
        <f t="shared" si="192"/>
        <v/>
      </c>
      <c r="S2806" s="61" t="str">
        <f t="shared" si="193"/>
        <v/>
      </c>
      <c r="T2806" s="61" t="str">
        <f t="shared" si="195"/>
        <v/>
      </c>
      <c r="U2806" s="61" t="str">
        <f t="shared" si="194"/>
        <v/>
      </c>
      <c r="V2806" s="61"/>
      <c r="W2806" s="61"/>
      <c r="X2806" s="61"/>
      <c r="Y2806" s="61"/>
      <c r="Z2806" s="61"/>
      <c r="AA2806" s="61"/>
      <c r="AB2806" s="61"/>
    </row>
    <row r="2807" spans="1:28" s="2" customFormat="1" ht="15">
      <c r="A2807" s="61" t="s">
        <v>779</v>
      </c>
      <c r="B2807" s="61" t="s">
        <v>6227</v>
      </c>
      <c r="C2807" s="61" t="s">
        <v>1180</v>
      </c>
      <c r="D2807" s="61" t="s">
        <v>7838</v>
      </c>
      <c r="E2807" s="61">
        <v>12555</v>
      </c>
      <c r="F2807" s="61">
        <v>14614</v>
      </c>
      <c r="G2807" s="61"/>
      <c r="H2807" s="61"/>
      <c r="I2807" s="61" t="s">
        <v>37</v>
      </c>
      <c r="J2807" s="61"/>
      <c r="K2807" s="61" t="s">
        <v>328</v>
      </c>
      <c r="L2807" s="61"/>
      <c r="M2807" s="61"/>
      <c r="N2807" s="61"/>
      <c r="O2807" s="61"/>
      <c r="P2807" s="61"/>
      <c r="Q2807" s="61"/>
      <c r="R2807" s="61" t="str">
        <f t="shared" ref="R2807:R2870" si="196">IF(
    OR(ISBLANK(M2807), ISBLANK(N2807)),
    "",
    MAX(1, IF(
        NETWORKDAYS(M2807, N2807) &lt;= 0,
        1,
        NETWORKDAYS(M2807, N2807) - IF(M2807 = N2807, 0, 1)
    ))
)</f>
        <v/>
      </c>
      <c r="S2807" s="61" t="str">
        <f t="shared" si="193"/>
        <v/>
      </c>
      <c r="T2807" s="61" t="str">
        <f t="shared" si="195"/>
        <v/>
      </c>
      <c r="U2807" s="61" t="str">
        <f t="shared" si="194"/>
        <v/>
      </c>
      <c r="V2807" s="61"/>
      <c r="W2807" s="61"/>
      <c r="X2807" s="61"/>
      <c r="Y2807" s="61"/>
      <c r="Z2807" s="61"/>
      <c r="AA2807" s="61"/>
      <c r="AB2807" s="61"/>
    </row>
    <row r="2808" spans="1:28" s="2" customFormat="1" ht="15">
      <c r="A2808" s="61" t="s">
        <v>779</v>
      </c>
      <c r="B2808" s="61" t="s">
        <v>6227</v>
      </c>
      <c r="C2808" s="61" t="s">
        <v>858</v>
      </c>
      <c r="D2808" s="61" t="s">
        <v>7838</v>
      </c>
      <c r="E2808" s="61">
        <v>6974</v>
      </c>
      <c r="F2808" s="61">
        <v>9606</v>
      </c>
      <c r="G2808" s="61"/>
      <c r="H2808" s="61"/>
      <c r="I2808" s="61" t="s">
        <v>37</v>
      </c>
      <c r="J2808" s="61"/>
      <c r="K2808" s="61" t="s">
        <v>328</v>
      </c>
      <c r="L2808" s="61"/>
      <c r="M2808" s="61"/>
      <c r="N2808" s="61"/>
      <c r="O2808" s="61"/>
      <c r="P2808" s="61"/>
      <c r="Q2808" s="61"/>
      <c r="R2808" s="61" t="str">
        <f t="shared" si="196"/>
        <v/>
      </c>
      <c r="S2808" s="61" t="str">
        <f t="shared" ref="S2808:S2871" si="197">IF(
    OR(ISBLANK(N2808), ISBLANK(O2808)),
    "",
    MAX(1, IF(
        NETWORKDAYS(N2808, O2808) &lt;= 0,
        1,
        NETWORKDAYS(N2808, O2808) - IF(N2808 = O2808, 0, 1)
    ))
)</f>
        <v/>
      </c>
      <c r="T2808" s="61" t="str">
        <f t="shared" si="195"/>
        <v/>
      </c>
      <c r="U2808" s="61" t="str">
        <f t="shared" si="194"/>
        <v/>
      </c>
      <c r="V2808" s="61"/>
      <c r="W2808" s="61"/>
      <c r="X2808" s="61"/>
      <c r="Y2808" s="61"/>
      <c r="Z2808" s="61"/>
      <c r="AA2808" s="61"/>
      <c r="AB2808" s="61"/>
    </row>
    <row r="2809" spans="1:28" s="2" customFormat="1" ht="15">
      <c r="A2809" s="61" t="s">
        <v>779</v>
      </c>
      <c r="B2809" s="61" t="s">
        <v>6227</v>
      </c>
      <c r="C2809" s="61" t="s">
        <v>6270</v>
      </c>
      <c r="D2809" s="61" t="s">
        <v>7838</v>
      </c>
      <c r="E2809" s="61">
        <v>1996</v>
      </c>
      <c r="F2809" s="61">
        <v>2441</v>
      </c>
      <c r="G2809" s="61"/>
      <c r="H2809" s="61"/>
      <c r="I2809" s="61" t="s">
        <v>37</v>
      </c>
      <c r="J2809" s="61"/>
      <c r="K2809" s="61" t="s">
        <v>328</v>
      </c>
      <c r="L2809" s="61"/>
      <c r="M2809" s="61"/>
      <c r="N2809" s="61"/>
      <c r="O2809" s="61"/>
      <c r="P2809" s="61"/>
      <c r="Q2809" s="61"/>
      <c r="R2809" s="61" t="str">
        <f t="shared" si="196"/>
        <v/>
      </c>
      <c r="S2809" s="61" t="str">
        <f t="shared" si="197"/>
        <v/>
      </c>
      <c r="T2809" s="61" t="str">
        <f t="shared" si="195"/>
        <v/>
      </c>
      <c r="U2809" s="61" t="str">
        <f t="shared" si="194"/>
        <v/>
      </c>
      <c r="V2809" s="61"/>
      <c r="W2809" s="61"/>
      <c r="X2809" s="61"/>
      <c r="Y2809" s="61"/>
      <c r="Z2809" s="61"/>
      <c r="AA2809" s="61"/>
      <c r="AB2809" s="61"/>
    </row>
    <row r="2810" spans="1:28" s="2" customFormat="1" ht="15">
      <c r="A2810" s="61" t="s">
        <v>779</v>
      </c>
      <c r="B2810" s="61" t="s">
        <v>6227</v>
      </c>
      <c r="C2810" s="61" t="s">
        <v>6271</v>
      </c>
      <c r="D2810" s="61" t="s">
        <v>7838</v>
      </c>
      <c r="E2810" s="61">
        <v>3890</v>
      </c>
      <c r="F2810" s="61">
        <v>4412</v>
      </c>
      <c r="G2810" s="61"/>
      <c r="H2810" s="61"/>
      <c r="I2810" s="61" t="s">
        <v>37</v>
      </c>
      <c r="J2810" s="61"/>
      <c r="K2810" s="61" t="s">
        <v>328</v>
      </c>
      <c r="L2810" s="61"/>
      <c r="M2810" s="61"/>
      <c r="N2810" s="61"/>
      <c r="O2810" s="61"/>
      <c r="P2810" s="61"/>
      <c r="Q2810" s="61"/>
      <c r="R2810" s="61" t="str">
        <f t="shared" si="196"/>
        <v/>
      </c>
      <c r="S2810" s="61" t="str">
        <f t="shared" si="197"/>
        <v/>
      </c>
      <c r="T2810" s="61" t="str">
        <f t="shared" si="195"/>
        <v/>
      </c>
      <c r="U2810" s="61" t="str">
        <f t="shared" ref="U2810:U2873" si="198">IF(
    OR(ISBLANK(P2810), ISBLANK(Q2810)),
    "",
    MAX(1, IF(
        NETWORKDAYS(P2810, Q2810) &lt;= 0,
        1,
        NETWORKDAYS(P2810, Q2810) - IF(P2810 = Q2810, 0, 1)
    ))
)</f>
        <v/>
      </c>
      <c r="V2810" s="61"/>
      <c r="W2810" s="61"/>
      <c r="X2810" s="61"/>
      <c r="Y2810" s="61"/>
      <c r="Z2810" s="61"/>
      <c r="AA2810" s="61"/>
      <c r="AB2810" s="61"/>
    </row>
    <row r="2811" spans="1:28" s="2" customFormat="1" ht="15">
      <c r="A2811" s="61" t="s">
        <v>779</v>
      </c>
      <c r="B2811" s="61" t="s">
        <v>6227</v>
      </c>
      <c r="C2811" s="61" t="s">
        <v>992</v>
      </c>
      <c r="D2811" s="61" t="s">
        <v>7838</v>
      </c>
      <c r="E2811" s="61">
        <v>3144</v>
      </c>
      <c r="F2811" s="61">
        <v>3383</v>
      </c>
      <c r="G2811" s="61"/>
      <c r="H2811" s="61"/>
      <c r="I2811" s="61" t="s">
        <v>37</v>
      </c>
      <c r="J2811" s="61"/>
      <c r="K2811" s="61" t="s">
        <v>328</v>
      </c>
      <c r="L2811" s="61"/>
      <c r="M2811" s="61"/>
      <c r="N2811" s="61"/>
      <c r="O2811" s="61"/>
      <c r="P2811" s="61"/>
      <c r="Q2811" s="61"/>
      <c r="R2811" s="61" t="str">
        <f t="shared" si="196"/>
        <v/>
      </c>
      <c r="S2811" s="61" t="str">
        <f t="shared" si="197"/>
        <v/>
      </c>
      <c r="T2811" s="61" t="str">
        <f t="shared" si="195"/>
        <v/>
      </c>
      <c r="U2811" s="61" t="str">
        <f t="shared" si="198"/>
        <v/>
      </c>
      <c r="V2811" s="61"/>
      <c r="W2811" s="61"/>
      <c r="X2811" s="61"/>
      <c r="Y2811" s="61"/>
      <c r="Z2811" s="61"/>
      <c r="AA2811" s="61"/>
      <c r="AB2811" s="61"/>
    </row>
    <row r="2812" spans="1:28" s="2" customFormat="1" ht="15">
      <c r="A2812" s="61" t="s">
        <v>779</v>
      </c>
      <c r="B2812" s="61" t="s">
        <v>6227</v>
      </c>
      <c r="C2812" s="61" t="s">
        <v>1151</v>
      </c>
      <c r="D2812" s="61" t="s">
        <v>7838</v>
      </c>
      <c r="E2812" s="61">
        <v>8620</v>
      </c>
      <c r="F2812" s="61">
        <v>8515</v>
      </c>
      <c r="G2812" s="61"/>
      <c r="H2812" s="61"/>
      <c r="I2812" s="61" t="s">
        <v>37</v>
      </c>
      <c r="J2812" s="61"/>
      <c r="K2812" s="61" t="s">
        <v>328</v>
      </c>
      <c r="L2812" s="61"/>
      <c r="M2812" s="61"/>
      <c r="N2812" s="61"/>
      <c r="O2812" s="61"/>
      <c r="P2812" s="61"/>
      <c r="Q2812" s="61"/>
      <c r="R2812" s="61" t="str">
        <f t="shared" si="196"/>
        <v/>
      </c>
      <c r="S2812" s="61" t="str">
        <f t="shared" si="197"/>
        <v/>
      </c>
      <c r="T2812" s="61" t="str">
        <f t="shared" si="195"/>
        <v/>
      </c>
      <c r="U2812" s="61" t="str">
        <f t="shared" si="198"/>
        <v/>
      </c>
      <c r="V2812" s="61"/>
      <c r="W2812" s="61"/>
      <c r="X2812" s="61"/>
      <c r="Y2812" s="61"/>
      <c r="Z2812" s="61"/>
      <c r="AA2812" s="61"/>
      <c r="AB2812" s="61"/>
    </row>
    <row r="2813" spans="1:28" s="2" customFormat="1" ht="15">
      <c r="A2813" s="61" t="s">
        <v>779</v>
      </c>
      <c r="B2813" s="61" t="s">
        <v>6227</v>
      </c>
      <c r="C2813" s="61" t="s">
        <v>3723</v>
      </c>
      <c r="D2813" s="61" t="s">
        <v>7838</v>
      </c>
      <c r="E2813" s="61">
        <v>4582</v>
      </c>
      <c r="F2813" s="61">
        <v>4792</v>
      </c>
      <c r="G2813" s="61"/>
      <c r="H2813" s="61"/>
      <c r="I2813" s="61" t="s">
        <v>37</v>
      </c>
      <c r="J2813" s="61"/>
      <c r="K2813" s="61" t="s">
        <v>328</v>
      </c>
      <c r="L2813" s="61"/>
      <c r="M2813" s="61"/>
      <c r="N2813" s="61"/>
      <c r="O2813" s="61"/>
      <c r="P2813" s="61"/>
      <c r="Q2813" s="61"/>
      <c r="R2813" s="61" t="str">
        <f t="shared" si="196"/>
        <v/>
      </c>
      <c r="S2813" s="61" t="str">
        <f t="shared" si="197"/>
        <v/>
      </c>
      <c r="T2813" s="61" t="str">
        <f t="shared" si="195"/>
        <v/>
      </c>
      <c r="U2813" s="61" t="str">
        <f t="shared" si="198"/>
        <v/>
      </c>
      <c r="V2813" s="61"/>
      <c r="W2813" s="61"/>
      <c r="X2813" s="61"/>
      <c r="Y2813" s="61"/>
      <c r="Z2813" s="61"/>
      <c r="AA2813" s="61"/>
      <c r="AB2813" s="61"/>
    </row>
    <row r="2814" spans="1:28" s="2" customFormat="1" ht="15">
      <c r="A2814" s="61" t="s">
        <v>779</v>
      </c>
      <c r="B2814" s="61" t="s">
        <v>6227</v>
      </c>
      <c r="C2814" s="61" t="s">
        <v>1234</v>
      </c>
      <c r="D2814" s="61" t="s">
        <v>7838</v>
      </c>
      <c r="E2814" s="61">
        <v>3080</v>
      </c>
      <c r="F2814" s="61">
        <v>3568</v>
      </c>
      <c r="G2814" s="61"/>
      <c r="H2814" s="61"/>
      <c r="I2814" s="61" t="s">
        <v>37</v>
      </c>
      <c r="J2814" s="61"/>
      <c r="K2814" s="61" t="s">
        <v>328</v>
      </c>
      <c r="L2814" s="61"/>
      <c r="M2814" s="61"/>
      <c r="N2814" s="61"/>
      <c r="O2814" s="61"/>
      <c r="P2814" s="61"/>
      <c r="Q2814" s="61"/>
      <c r="R2814" s="61" t="str">
        <f t="shared" si="196"/>
        <v/>
      </c>
      <c r="S2814" s="61" t="str">
        <f t="shared" si="197"/>
        <v/>
      </c>
      <c r="T2814" s="61" t="str">
        <f t="shared" si="195"/>
        <v/>
      </c>
      <c r="U2814" s="61" t="str">
        <f t="shared" si="198"/>
        <v/>
      </c>
      <c r="V2814" s="61"/>
      <c r="W2814" s="61"/>
      <c r="X2814" s="61"/>
      <c r="Y2814" s="61"/>
      <c r="Z2814" s="61"/>
      <c r="AA2814" s="61"/>
      <c r="AB2814" s="61"/>
    </row>
    <row r="2815" spans="1:28" s="2" customFormat="1" ht="15">
      <c r="A2815" s="61" t="s">
        <v>779</v>
      </c>
      <c r="B2815" s="61" t="s">
        <v>6227</v>
      </c>
      <c r="C2815" s="61" t="s">
        <v>1155</v>
      </c>
      <c r="D2815" s="61" t="s">
        <v>7838</v>
      </c>
      <c r="E2815" s="61">
        <v>14341</v>
      </c>
      <c r="F2815" s="61">
        <v>20999</v>
      </c>
      <c r="G2815" s="61"/>
      <c r="H2815" s="61"/>
      <c r="I2815" s="61" t="s">
        <v>37</v>
      </c>
      <c r="J2815" s="61"/>
      <c r="K2815" s="61" t="s">
        <v>328</v>
      </c>
      <c r="L2815" s="61"/>
      <c r="M2815" s="61"/>
      <c r="N2815" s="61"/>
      <c r="O2815" s="61"/>
      <c r="P2815" s="61"/>
      <c r="Q2815" s="61"/>
      <c r="R2815" s="61" t="str">
        <f t="shared" si="196"/>
        <v/>
      </c>
      <c r="S2815" s="61" t="str">
        <f t="shared" si="197"/>
        <v/>
      </c>
      <c r="T2815" s="61" t="str">
        <f t="shared" si="195"/>
        <v/>
      </c>
      <c r="U2815" s="61" t="str">
        <f t="shared" si="198"/>
        <v/>
      </c>
      <c r="V2815" s="61"/>
      <c r="W2815" s="61"/>
      <c r="X2815" s="61"/>
      <c r="Y2815" s="61"/>
      <c r="Z2815" s="61"/>
      <c r="AA2815" s="61"/>
      <c r="AB2815" s="61"/>
    </row>
    <row r="2816" spans="1:28" s="2" customFormat="1" ht="15">
      <c r="A2816" s="61" t="s">
        <v>779</v>
      </c>
      <c r="B2816" s="61" t="s">
        <v>6227</v>
      </c>
      <c r="C2816" s="61" t="s">
        <v>1166</v>
      </c>
      <c r="D2816" s="61" t="s">
        <v>7838</v>
      </c>
      <c r="E2816" s="61">
        <v>19040</v>
      </c>
      <c r="F2816" s="61">
        <v>18105</v>
      </c>
      <c r="G2816" s="61"/>
      <c r="H2816" s="61"/>
      <c r="I2816" s="61" t="s">
        <v>37</v>
      </c>
      <c r="J2816" s="61"/>
      <c r="K2816" s="61" t="s">
        <v>328</v>
      </c>
      <c r="L2816" s="61"/>
      <c r="M2816" s="61"/>
      <c r="N2816" s="61"/>
      <c r="O2816" s="61"/>
      <c r="P2816" s="61"/>
      <c r="Q2816" s="61"/>
      <c r="R2816" s="61" t="str">
        <f t="shared" si="196"/>
        <v/>
      </c>
      <c r="S2816" s="61" t="str">
        <f t="shared" si="197"/>
        <v/>
      </c>
      <c r="T2816" s="61" t="str">
        <f t="shared" si="195"/>
        <v/>
      </c>
      <c r="U2816" s="61" t="str">
        <f t="shared" si="198"/>
        <v/>
      </c>
      <c r="V2816" s="61"/>
      <c r="W2816" s="61"/>
      <c r="X2816" s="61"/>
      <c r="Y2816" s="61"/>
      <c r="Z2816" s="61"/>
      <c r="AA2816" s="61"/>
      <c r="AB2816" s="61"/>
    </row>
    <row r="2817" spans="1:28" s="2" customFormat="1" ht="15">
      <c r="A2817" s="61" t="s">
        <v>779</v>
      </c>
      <c r="B2817" s="61" t="s">
        <v>6227</v>
      </c>
      <c r="C2817" s="61" t="s">
        <v>1899</v>
      </c>
      <c r="D2817" s="61" t="s">
        <v>7838</v>
      </c>
      <c r="E2817" s="61">
        <v>3918</v>
      </c>
      <c r="F2817" s="61">
        <v>4265</v>
      </c>
      <c r="G2817" s="61"/>
      <c r="H2817" s="61"/>
      <c r="I2817" s="61" t="s">
        <v>37</v>
      </c>
      <c r="J2817" s="61"/>
      <c r="K2817" s="61" t="s">
        <v>328</v>
      </c>
      <c r="L2817" s="61"/>
      <c r="M2817" s="61"/>
      <c r="N2817" s="61"/>
      <c r="O2817" s="61"/>
      <c r="P2817" s="61"/>
      <c r="Q2817" s="61"/>
      <c r="R2817" s="61" t="str">
        <f t="shared" si="196"/>
        <v/>
      </c>
      <c r="S2817" s="61" t="str">
        <f t="shared" si="197"/>
        <v/>
      </c>
      <c r="T2817" s="61" t="str">
        <f t="shared" si="195"/>
        <v/>
      </c>
      <c r="U2817" s="61" t="str">
        <f t="shared" si="198"/>
        <v/>
      </c>
      <c r="V2817" s="61"/>
      <c r="W2817" s="61"/>
      <c r="X2817" s="61"/>
      <c r="Y2817" s="61"/>
      <c r="Z2817" s="61"/>
      <c r="AA2817" s="61"/>
      <c r="AB2817" s="61"/>
    </row>
    <row r="2818" spans="1:28" s="2" customFormat="1" ht="15">
      <c r="A2818" s="61" t="s">
        <v>779</v>
      </c>
      <c r="B2818" s="61" t="s">
        <v>6227</v>
      </c>
      <c r="C2818" s="61" t="s">
        <v>4950</v>
      </c>
      <c r="D2818" s="61" t="s">
        <v>7838</v>
      </c>
      <c r="E2818" s="61">
        <v>1254</v>
      </c>
      <c r="F2818" s="61">
        <v>1256</v>
      </c>
      <c r="G2818" s="61"/>
      <c r="H2818" s="61"/>
      <c r="I2818" s="61" t="s">
        <v>37</v>
      </c>
      <c r="J2818" s="61"/>
      <c r="K2818" s="61" t="s">
        <v>328</v>
      </c>
      <c r="L2818" s="61"/>
      <c r="M2818" s="61"/>
      <c r="N2818" s="475"/>
      <c r="O2818" s="61"/>
      <c r="P2818" s="475"/>
      <c r="Q2818" s="475"/>
      <c r="R2818" s="61" t="str">
        <f t="shared" si="196"/>
        <v/>
      </c>
      <c r="S2818" s="61" t="str">
        <f t="shared" si="197"/>
        <v/>
      </c>
      <c r="T2818" s="61" t="str">
        <f t="shared" si="195"/>
        <v/>
      </c>
      <c r="U2818" s="61" t="str">
        <f t="shared" si="198"/>
        <v/>
      </c>
      <c r="V2818" s="61"/>
      <c r="W2818" s="61"/>
      <c r="X2818" s="61"/>
      <c r="Y2818" s="61"/>
      <c r="Z2818" s="61"/>
      <c r="AA2818" s="61"/>
      <c r="AB2818" s="61"/>
    </row>
    <row r="2819" spans="1:28" s="2" customFormat="1" ht="15">
      <c r="A2819" s="61" t="s">
        <v>779</v>
      </c>
      <c r="B2819" s="61" t="s">
        <v>6227</v>
      </c>
      <c r="C2819" s="61" t="s">
        <v>3727</v>
      </c>
      <c r="D2819" s="61" t="s">
        <v>7838</v>
      </c>
      <c r="E2819" s="61">
        <v>653</v>
      </c>
      <c r="F2819" s="61">
        <v>720</v>
      </c>
      <c r="G2819" s="61"/>
      <c r="H2819" s="61"/>
      <c r="I2819" s="61" t="s">
        <v>37</v>
      </c>
      <c r="J2819" s="61"/>
      <c r="K2819" s="61" t="s">
        <v>328</v>
      </c>
      <c r="L2819" s="61"/>
      <c r="M2819" s="61"/>
      <c r="N2819" s="475"/>
      <c r="O2819" s="61"/>
      <c r="P2819" s="475"/>
      <c r="Q2819" s="475"/>
      <c r="R2819" s="61" t="str">
        <f t="shared" si="196"/>
        <v/>
      </c>
      <c r="S2819" s="61" t="str">
        <f t="shared" si="197"/>
        <v/>
      </c>
      <c r="T2819" s="61" t="str">
        <f t="shared" si="195"/>
        <v/>
      </c>
      <c r="U2819" s="61" t="str">
        <f t="shared" si="198"/>
        <v/>
      </c>
      <c r="V2819" s="61"/>
      <c r="W2819" s="61"/>
      <c r="X2819" s="61"/>
      <c r="Y2819" s="61"/>
      <c r="Z2819" s="61"/>
      <c r="AA2819" s="61"/>
      <c r="AB2819" s="61"/>
    </row>
    <row r="2820" spans="1:28" s="2" customFormat="1" ht="15">
      <c r="A2820" s="61" t="s">
        <v>779</v>
      </c>
      <c r="B2820" s="61" t="s">
        <v>6227</v>
      </c>
      <c r="C2820" s="61" t="s">
        <v>6279</v>
      </c>
      <c r="D2820" s="61" t="s">
        <v>7838</v>
      </c>
      <c r="E2820" s="61">
        <v>10682</v>
      </c>
      <c r="F2820" s="61">
        <v>12307</v>
      </c>
      <c r="G2820" s="61"/>
      <c r="H2820" s="61"/>
      <c r="I2820" s="61" t="s">
        <v>37</v>
      </c>
      <c r="J2820" s="61"/>
      <c r="K2820" s="61" t="s">
        <v>328</v>
      </c>
      <c r="L2820" s="61"/>
      <c r="M2820" s="61"/>
      <c r="N2820" s="61"/>
      <c r="O2820" s="61"/>
      <c r="P2820" s="61"/>
      <c r="Q2820" s="61"/>
      <c r="R2820" s="61" t="str">
        <f t="shared" si="196"/>
        <v/>
      </c>
      <c r="S2820" s="61" t="str">
        <f t="shared" si="197"/>
        <v/>
      </c>
      <c r="T2820" s="61" t="str">
        <f t="shared" si="195"/>
        <v/>
      </c>
      <c r="U2820" s="61" t="str">
        <f t="shared" si="198"/>
        <v/>
      </c>
      <c r="V2820" s="61"/>
      <c r="W2820" s="61"/>
      <c r="X2820" s="61"/>
      <c r="Y2820" s="61"/>
      <c r="Z2820" s="61"/>
      <c r="AA2820" s="61"/>
      <c r="AB2820" s="61"/>
    </row>
    <row r="2821" spans="1:28" s="2" customFormat="1" ht="15">
      <c r="A2821" s="61" t="s">
        <v>779</v>
      </c>
      <c r="B2821" s="61" t="s">
        <v>6227</v>
      </c>
      <c r="C2821" s="61" t="s">
        <v>6280</v>
      </c>
      <c r="D2821" s="61" t="s">
        <v>7838</v>
      </c>
      <c r="E2821" s="61">
        <v>5550</v>
      </c>
      <c r="F2821" s="61">
        <v>5226</v>
      </c>
      <c r="G2821" s="61"/>
      <c r="H2821" s="61"/>
      <c r="I2821" s="61" t="s">
        <v>37</v>
      </c>
      <c r="J2821" s="61"/>
      <c r="K2821" s="61" t="s">
        <v>328</v>
      </c>
      <c r="L2821" s="61"/>
      <c r="M2821" s="61"/>
      <c r="N2821" s="61"/>
      <c r="O2821" s="61"/>
      <c r="P2821" s="61"/>
      <c r="Q2821" s="61"/>
      <c r="R2821" s="61" t="str">
        <f t="shared" si="196"/>
        <v/>
      </c>
      <c r="S2821" s="61" t="str">
        <f t="shared" si="197"/>
        <v/>
      </c>
      <c r="T2821" s="61" t="str">
        <f t="shared" si="195"/>
        <v/>
      </c>
      <c r="U2821" s="61" t="str">
        <f t="shared" si="198"/>
        <v/>
      </c>
      <c r="V2821" s="61"/>
      <c r="W2821" s="61"/>
      <c r="X2821" s="61"/>
      <c r="Y2821" s="61"/>
      <c r="Z2821" s="61"/>
      <c r="AA2821" s="61"/>
      <c r="AB2821" s="61"/>
    </row>
    <row r="2822" spans="1:28" s="2" customFormat="1" ht="15">
      <c r="A2822" s="61" t="s">
        <v>779</v>
      </c>
      <c r="B2822" s="61" t="s">
        <v>6227</v>
      </c>
      <c r="C2822" s="61" t="s">
        <v>6281</v>
      </c>
      <c r="D2822" s="61" t="s">
        <v>7838</v>
      </c>
      <c r="E2822" s="61">
        <v>4817</v>
      </c>
      <c r="F2822" s="61">
        <v>4817</v>
      </c>
      <c r="G2822" s="61"/>
      <c r="H2822" s="61"/>
      <c r="I2822" s="61" t="s">
        <v>37</v>
      </c>
      <c r="J2822" s="61"/>
      <c r="K2822" s="61" t="s">
        <v>328</v>
      </c>
      <c r="L2822" s="61"/>
      <c r="M2822" s="61"/>
      <c r="N2822" s="61"/>
      <c r="O2822" s="61"/>
      <c r="P2822" s="61"/>
      <c r="Q2822" s="61"/>
      <c r="R2822" s="61" t="str">
        <f t="shared" si="196"/>
        <v/>
      </c>
      <c r="S2822" s="61" t="str">
        <f t="shared" si="197"/>
        <v/>
      </c>
      <c r="T2822" s="61" t="str">
        <f t="shared" si="195"/>
        <v/>
      </c>
      <c r="U2822" s="61" t="str">
        <f t="shared" si="198"/>
        <v/>
      </c>
      <c r="V2822" s="61"/>
      <c r="W2822" s="61"/>
      <c r="X2822" s="61"/>
      <c r="Y2822" s="61"/>
      <c r="Z2822" s="61"/>
      <c r="AA2822" s="61"/>
      <c r="AB2822" s="61"/>
    </row>
    <row r="2823" spans="1:28" s="2" customFormat="1" ht="15">
      <c r="A2823" s="61" t="s">
        <v>779</v>
      </c>
      <c r="B2823" s="61" t="s">
        <v>6227</v>
      </c>
      <c r="C2823" s="61" t="s">
        <v>6282</v>
      </c>
      <c r="D2823" s="61" t="s">
        <v>7838</v>
      </c>
      <c r="E2823" s="61">
        <v>2234</v>
      </c>
      <c r="F2823" s="61">
        <v>2533</v>
      </c>
      <c r="G2823" s="61"/>
      <c r="H2823" s="61"/>
      <c r="I2823" s="61" t="s">
        <v>37</v>
      </c>
      <c r="J2823" s="61"/>
      <c r="K2823" s="61" t="s">
        <v>328</v>
      </c>
      <c r="L2823" s="61"/>
      <c r="M2823" s="61"/>
      <c r="N2823" s="61"/>
      <c r="O2823" s="61"/>
      <c r="P2823" s="61"/>
      <c r="Q2823" s="61"/>
      <c r="R2823" s="61" t="str">
        <f t="shared" si="196"/>
        <v/>
      </c>
      <c r="S2823" s="61" t="str">
        <f t="shared" si="197"/>
        <v/>
      </c>
      <c r="T2823" s="61" t="str">
        <f t="shared" si="195"/>
        <v/>
      </c>
      <c r="U2823" s="61" t="str">
        <f t="shared" si="198"/>
        <v/>
      </c>
      <c r="V2823" s="61"/>
      <c r="W2823" s="61"/>
      <c r="X2823" s="61"/>
      <c r="Y2823" s="61"/>
      <c r="Z2823" s="61"/>
      <c r="AA2823" s="61"/>
      <c r="AB2823" s="61"/>
    </row>
    <row r="2824" spans="1:28" s="2" customFormat="1" ht="15">
      <c r="A2824" s="61" t="s">
        <v>779</v>
      </c>
      <c r="B2824" s="61" t="s">
        <v>6227</v>
      </c>
      <c r="C2824" s="61" t="s">
        <v>6283</v>
      </c>
      <c r="D2824" s="61" t="s">
        <v>7838</v>
      </c>
      <c r="E2824" s="61">
        <v>4276</v>
      </c>
      <c r="F2824" s="61">
        <v>3967</v>
      </c>
      <c r="G2824" s="61"/>
      <c r="H2824" s="61"/>
      <c r="I2824" s="61" t="s">
        <v>37</v>
      </c>
      <c r="J2824" s="61"/>
      <c r="K2824" s="61" t="s">
        <v>328</v>
      </c>
      <c r="L2824" s="61"/>
      <c r="M2824" s="61"/>
      <c r="N2824" s="61"/>
      <c r="O2824" s="61"/>
      <c r="P2824" s="61"/>
      <c r="Q2824" s="61"/>
      <c r="R2824" s="61" t="str">
        <f t="shared" si="196"/>
        <v/>
      </c>
      <c r="S2824" s="61" t="str">
        <f t="shared" si="197"/>
        <v/>
      </c>
      <c r="T2824" s="61" t="str">
        <f t="shared" si="195"/>
        <v/>
      </c>
      <c r="U2824" s="61" t="str">
        <f t="shared" si="198"/>
        <v/>
      </c>
      <c r="V2824" s="61"/>
      <c r="W2824" s="61"/>
      <c r="X2824" s="61"/>
      <c r="Y2824" s="61"/>
      <c r="Z2824" s="61"/>
      <c r="AA2824" s="61"/>
      <c r="AB2824" s="61"/>
    </row>
    <row r="2825" spans="1:28" s="2" customFormat="1" ht="15">
      <c r="A2825" s="61" t="s">
        <v>779</v>
      </c>
      <c r="B2825" s="61" t="s">
        <v>6227</v>
      </c>
      <c r="C2825" s="61" t="s">
        <v>1462</v>
      </c>
      <c r="D2825" s="61" t="s">
        <v>7838</v>
      </c>
      <c r="E2825" s="61">
        <v>16328</v>
      </c>
      <c r="F2825" s="61">
        <v>17800</v>
      </c>
      <c r="G2825" s="61"/>
      <c r="H2825" s="61"/>
      <c r="I2825" s="61" t="s">
        <v>37</v>
      </c>
      <c r="J2825" s="61"/>
      <c r="K2825" s="61" t="s">
        <v>328</v>
      </c>
      <c r="L2825" s="61"/>
      <c r="M2825" s="61"/>
      <c r="N2825" s="61"/>
      <c r="O2825" s="61"/>
      <c r="P2825" s="61"/>
      <c r="Q2825" s="61"/>
      <c r="R2825" s="61" t="str">
        <f t="shared" si="196"/>
        <v/>
      </c>
      <c r="S2825" s="61" t="str">
        <f t="shared" si="197"/>
        <v/>
      </c>
      <c r="T2825" s="61" t="str">
        <f t="shared" si="195"/>
        <v/>
      </c>
      <c r="U2825" s="61" t="str">
        <f t="shared" si="198"/>
        <v/>
      </c>
      <c r="V2825" s="61"/>
      <c r="W2825" s="61"/>
      <c r="X2825" s="61"/>
      <c r="Y2825" s="61"/>
      <c r="Z2825" s="61"/>
      <c r="AA2825" s="61"/>
      <c r="AB2825" s="61"/>
    </row>
    <row r="2826" spans="1:28" s="2" customFormat="1" ht="15">
      <c r="A2826" s="61" t="s">
        <v>779</v>
      </c>
      <c r="B2826" s="61" t="s">
        <v>6227</v>
      </c>
      <c r="C2826" s="61" t="s">
        <v>4044</v>
      </c>
      <c r="D2826" s="61" t="s">
        <v>7838</v>
      </c>
      <c r="E2826" s="61">
        <v>5459</v>
      </c>
      <c r="F2826" s="61">
        <v>6486</v>
      </c>
      <c r="G2826" s="61"/>
      <c r="H2826" s="61"/>
      <c r="I2826" s="61" t="s">
        <v>37</v>
      </c>
      <c r="J2826" s="61"/>
      <c r="K2826" s="61" t="s">
        <v>328</v>
      </c>
      <c r="L2826" s="61"/>
      <c r="M2826" s="61"/>
      <c r="N2826" s="61"/>
      <c r="O2826" s="61"/>
      <c r="P2826" s="61"/>
      <c r="Q2826" s="61"/>
      <c r="R2826" s="61" t="str">
        <f t="shared" si="196"/>
        <v/>
      </c>
      <c r="S2826" s="61" t="str">
        <f t="shared" si="197"/>
        <v/>
      </c>
      <c r="T2826" s="61" t="str">
        <f t="shared" si="195"/>
        <v/>
      </c>
      <c r="U2826" s="61" t="str">
        <f t="shared" si="198"/>
        <v/>
      </c>
      <c r="V2826" s="61"/>
      <c r="W2826" s="61"/>
      <c r="X2826" s="61"/>
      <c r="Y2826" s="61"/>
      <c r="Z2826" s="61"/>
      <c r="AA2826" s="61"/>
      <c r="AB2826" s="61"/>
    </row>
    <row r="2827" spans="1:28" s="2" customFormat="1" ht="15">
      <c r="A2827" s="61" t="s">
        <v>779</v>
      </c>
      <c r="B2827" s="61" t="s">
        <v>6227</v>
      </c>
      <c r="C2827" s="61" t="s">
        <v>6284</v>
      </c>
      <c r="D2827" s="61" t="s">
        <v>7838</v>
      </c>
      <c r="E2827" s="61">
        <v>1516</v>
      </c>
      <c r="F2827" s="61">
        <v>2095</v>
      </c>
      <c r="G2827" s="61"/>
      <c r="H2827" s="61"/>
      <c r="I2827" s="61" t="s">
        <v>37</v>
      </c>
      <c r="J2827" s="61"/>
      <c r="K2827" s="61" t="s">
        <v>328</v>
      </c>
      <c r="L2827" s="61"/>
      <c r="M2827" s="61"/>
      <c r="N2827" s="61"/>
      <c r="O2827" s="61"/>
      <c r="P2827" s="61"/>
      <c r="Q2827" s="61"/>
      <c r="R2827" s="61" t="str">
        <f t="shared" si="196"/>
        <v/>
      </c>
      <c r="S2827" s="61" t="str">
        <f t="shared" si="197"/>
        <v/>
      </c>
      <c r="T2827" s="61" t="str">
        <f t="shared" si="195"/>
        <v/>
      </c>
      <c r="U2827" s="61" t="str">
        <f t="shared" si="198"/>
        <v/>
      </c>
      <c r="V2827" s="61"/>
      <c r="W2827" s="61"/>
      <c r="X2827" s="61"/>
      <c r="Y2827" s="61"/>
      <c r="Z2827" s="61"/>
      <c r="AA2827" s="61"/>
      <c r="AB2827" s="61"/>
    </row>
    <row r="2828" spans="1:28" s="2" customFormat="1" ht="15">
      <c r="A2828" s="61" t="s">
        <v>779</v>
      </c>
      <c r="B2828" s="61" t="s">
        <v>6227</v>
      </c>
      <c r="C2828" s="61" t="s">
        <v>6285</v>
      </c>
      <c r="D2828" s="61" t="s">
        <v>7838</v>
      </c>
      <c r="E2828" s="61">
        <v>3343</v>
      </c>
      <c r="F2828" s="61">
        <v>4006</v>
      </c>
      <c r="G2828" s="61"/>
      <c r="H2828" s="61"/>
      <c r="I2828" s="61" t="s">
        <v>37</v>
      </c>
      <c r="J2828" s="61"/>
      <c r="K2828" s="61" t="s">
        <v>328</v>
      </c>
      <c r="L2828" s="61"/>
      <c r="M2828" s="61"/>
      <c r="N2828" s="61"/>
      <c r="O2828" s="61"/>
      <c r="P2828" s="61"/>
      <c r="Q2828" s="61"/>
      <c r="R2828" s="61" t="str">
        <f t="shared" si="196"/>
        <v/>
      </c>
      <c r="S2828" s="61" t="str">
        <f t="shared" si="197"/>
        <v/>
      </c>
      <c r="T2828" s="61" t="str">
        <f t="shared" si="195"/>
        <v/>
      </c>
      <c r="U2828" s="61" t="str">
        <f t="shared" si="198"/>
        <v/>
      </c>
      <c r="V2828" s="61"/>
      <c r="W2828" s="61"/>
      <c r="X2828" s="61"/>
      <c r="Y2828" s="61"/>
      <c r="Z2828" s="61"/>
      <c r="AA2828" s="61"/>
      <c r="AB2828" s="61"/>
    </row>
    <row r="2829" spans="1:28" s="2" customFormat="1" ht="28.5">
      <c r="A2829" s="61" t="s">
        <v>779</v>
      </c>
      <c r="B2829" s="61" t="s">
        <v>6227</v>
      </c>
      <c r="C2829" s="61" t="s">
        <v>6231</v>
      </c>
      <c r="D2829" s="61" t="s">
        <v>7838</v>
      </c>
      <c r="E2829" s="61">
        <v>3053</v>
      </c>
      <c r="F2829" s="61">
        <v>3277</v>
      </c>
      <c r="G2829" s="61">
        <v>2025</v>
      </c>
      <c r="H2829" s="61" t="s">
        <v>3127</v>
      </c>
      <c r="I2829" s="61" t="s">
        <v>37</v>
      </c>
      <c r="J2829" s="61"/>
      <c r="K2829" s="61" t="s">
        <v>328</v>
      </c>
      <c r="L2829" s="61" t="s">
        <v>9316</v>
      </c>
      <c r="M2829" s="475">
        <v>45910</v>
      </c>
      <c r="N2829" s="475">
        <v>45913</v>
      </c>
      <c r="O2829" s="61"/>
      <c r="P2829" s="475">
        <v>45916</v>
      </c>
      <c r="Q2829" s="475">
        <v>45917</v>
      </c>
      <c r="R2829" s="61">
        <f t="shared" si="196"/>
        <v>2</v>
      </c>
      <c r="S2829" s="61" t="str">
        <f t="shared" si="197"/>
        <v/>
      </c>
      <c r="T2829" s="61">
        <f t="shared" si="195"/>
        <v>1</v>
      </c>
      <c r="U2829" s="61">
        <f t="shared" si="198"/>
        <v>1</v>
      </c>
      <c r="V2829" s="61" t="s">
        <v>150</v>
      </c>
      <c r="W2829" s="61" t="s">
        <v>4</v>
      </c>
      <c r="X2829" s="61" t="s">
        <v>50</v>
      </c>
      <c r="Y2829" s="61" t="s">
        <v>9317</v>
      </c>
      <c r="Z2829" s="61" t="s">
        <v>9318</v>
      </c>
      <c r="AA2829" s="61" t="s">
        <v>8492</v>
      </c>
      <c r="AB2829" s="61"/>
    </row>
    <row r="2830" spans="1:28" s="2" customFormat="1" ht="28.5">
      <c r="A2830" s="61" t="s">
        <v>779</v>
      </c>
      <c r="B2830" s="61" t="s">
        <v>6227</v>
      </c>
      <c r="C2830" s="61" t="s">
        <v>3133</v>
      </c>
      <c r="D2830" s="61" t="s">
        <v>7838</v>
      </c>
      <c r="E2830" s="61">
        <v>1156</v>
      </c>
      <c r="F2830" s="61">
        <v>1319</v>
      </c>
      <c r="G2830" s="61">
        <v>2025</v>
      </c>
      <c r="H2830" s="61" t="s">
        <v>3127</v>
      </c>
      <c r="I2830" s="61" t="s">
        <v>37</v>
      </c>
      <c r="J2830" s="61"/>
      <c r="K2830" s="61" t="s">
        <v>328</v>
      </c>
      <c r="L2830" s="61" t="s">
        <v>9316</v>
      </c>
      <c r="M2830" s="475">
        <v>45910</v>
      </c>
      <c r="N2830" s="475">
        <v>45913</v>
      </c>
      <c r="O2830" s="61"/>
      <c r="P2830" s="475">
        <v>45916</v>
      </c>
      <c r="Q2830" s="475">
        <v>45917</v>
      </c>
      <c r="R2830" s="61">
        <f t="shared" si="196"/>
        <v>2</v>
      </c>
      <c r="S2830" s="61" t="str">
        <f t="shared" si="197"/>
        <v/>
      </c>
      <c r="T2830" s="61">
        <f t="shared" si="195"/>
        <v>1</v>
      </c>
      <c r="U2830" s="61">
        <f t="shared" si="198"/>
        <v>1</v>
      </c>
      <c r="V2830" s="61" t="s">
        <v>150</v>
      </c>
      <c r="W2830" s="61" t="s">
        <v>1078</v>
      </c>
      <c r="X2830" s="61" t="s">
        <v>50</v>
      </c>
      <c r="Y2830" s="61" t="s">
        <v>9319</v>
      </c>
      <c r="Z2830" s="61">
        <v>120.52185</v>
      </c>
      <c r="AA2830" s="61" t="s">
        <v>8492</v>
      </c>
      <c r="AB2830" s="61"/>
    </row>
    <row r="2831" spans="1:28" s="2" customFormat="1" ht="28.5">
      <c r="A2831" s="61" t="s">
        <v>779</v>
      </c>
      <c r="B2831" s="61" t="s">
        <v>6227</v>
      </c>
      <c r="C2831" s="61" t="s">
        <v>6228</v>
      </c>
      <c r="D2831" s="61" t="s">
        <v>7838</v>
      </c>
      <c r="E2831" s="61">
        <v>4465</v>
      </c>
      <c r="F2831" s="61">
        <v>5126</v>
      </c>
      <c r="G2831" s="61">
        <v>2025</v>
      </c>
      <c r="H2831" s="61" t="s">
        <v>3127</v>
      </c>
      <c r="I2831" s="61" t="s">
        <v>37</v>
      </c>
      <c r="J2831" s="61"/>
      <c r="K2831" s="61" t="s">
        <v>328</v>
      </c>
      <c r="L2831" s="61" t="s">
        <v>9316</v>
      </c>
      <c r="M2831" s="475">
        <v>45910</v>
      </c>
      <c r="N2831" s="475">
        <v>45913</v>
      </c>
      <c r="O2831" s="61"/>
      <c r="P2831" s="475">
        <v>45916</v>
      </c>
      <c r="Q2831" s="475">
        <v>45917</v>
      </c>
      <c r="R2831" s="61">
        <f t="shared" si="196"/>
        <v>2</v>
      </c>
      <c r="S2831" s="61" t="str">
        <f t="shared" si="197"/>
        <v/>
      </c>
      <c r="T2831" s="61">
        <f t="shared" si="195"/>
        <v>1</v>
      </c>
      <c r="U2831" s="61">
        <f t="shared" si="198"/>
        <v>1</v>
      </c>
      <c r="V2831" s="61" t="s">
        <v>150</v>
      </c>
      <c r="W2831" s="61" t="s">
        <v>3527</v>
      </c>
      <c r="X2831" s="61" t="s">
        <v>3528</v>
      </c>
      <c r="Y2831" s="61" t="s">
        <v>69</v>
      </c>
      <c r="Z2831" s="61" t="s">
        <v>69</v>
      </c>
      <c r="AA2831" s="61" t="s">
        <v>8492</v>
      </c>
      <c r="AB2831" s="61"/>
    </row>
    <row r="2832" spans="1:28" s="2" customFormat="1" ht="28.5">
      <c r="A2832" s="61" t="s">
        <v>779</v>
      </c>
      <c r="B2832" s="61" t="s">
        <v>6227</v>
      </c>
      <c r="C2832" s="61" t="s">
        <v>3977</v>
      </c>
      <c r="D2832" s="61" t="s">
        <v>7838</v>
      </c>
      <c r="E2832" s="61">
        <v>2983</v>
      </c>
      <c r="F2832" s="61">
        <v>2888</v>
      </c>
      <c r="G2832" s="61">
        <v>2025</v>
      </c>
      <c r="H2832" s="61" t="s">
        <v>3127</v>
      </c>
      <c r="I2832" s="61" t="s">
        <v>37</v>
      </c>
      <c r="J2832" s="61"/>
      <c r="K2832" s="61" t="s">
        <v>328</v>
      </c>
      <c r="L2832" s="61" t="s">
        <v>9316</v>
      </c>
      <c r="M2832" s="475">
        <v>45910</v>
      </c>
      <c r="N2832" s="475">
        <v>45913</v>
      </c>
      <c r="O2832" s="61"/>
      <c r="P2832" s="475">
        <v>45916</v>
      </c>
      <c r="Q2832" s="475">
        <v>45917</v>
      </c>
      <c r="R2832" s="61">
        <f t="shared" si="196"/>
        <v>2</v>
      </c>
      <c r="S2832" s="61" t="str">
        <f t="shared" si="197"/>
        <v/>
      </c>
      <c r="T2832" s="61">
        <f t="shared" si="195"/>
        <v>1</v>
      </c>
      <c r="U2832" s="61">
        <f t="shared" si="198"/>
        <v>1</v>
      </c>
      <c r="V2832" s="61" t="s">
        <v>150</v>
      </c>
      <c r="W2832" s="61" t="s">
        <v>3527</v>
      </c>
      <c r="X2832" s="61" t="s">
        <v>3528</v>
      </c>
      <c r="Y2832" s="61" t="s">
        <v>69</v>
      </c>
      <c r="Z2832" s="61" t="s">
        <v>69</v>
      </c>
      <c r="AA2832" s="61" t="s">
        <v>8492</v>
      </c>
      <c r="AB2832" s="61"/>
    </row>
    <row r="2833" spans="1:28" s="2" customFormat="1" ht="28.5">
      <c r="A2833" s="61" t="s">
        <v>779</v>
      </c>
      <c r="B2833" s="61" t="s">
        <v>1474</v>
      </c>
      <c r="C2833" s="61" t="s">
        <v>6292</v>
      </c>
      <c r="D2833" s="61" t="s">
        <v>7838</v>
      </c>
      <c r="E2833" s="61">
        <v>1942</v>
      </c>
      <c r="F2833" s="61">
        <v>2211</v>
      </c>
      <c r="G2833" s="61">
        <v>2025</v>
      </c>
      <c r="H2833" s="61" t="s">
        <v>3126</v>
      </c>
      <c r="I2833" s="61" t="s">
        <v>39</v>
      </c>
      <c r="J2833" s="61"/>
      <c r="K2833" s="61" t="s">
        <v>328</v>
      </c>
      <c r="L2833" s="61" t="s">
        <v>9320</v>
      </c>
      <c r="M2833" s="475">
        <v>45874</v>
      </c>
      <c r="N2833" s="475">
        <v>45883</v>
      </c>
      <c r="O2833" s="61"/>
      <c r="P2833" s="475">
        <v>45887</v>
      </c>
      <c r="Q2833" s="475">
        <v>45888</v>
      </c>
      <c r="R2833" s="61">
        <f t="shared" si="196"/>
        <v>7</v>
      </c>
      <c r="S2833" s="61" t="str">
        <f t="shared" si="197"/>
        <v/>
      </c>
      <c r="T2833" s="61">
        <f t="shared" si="195"/>
        <v>2</v>
      </c>
      <c r="U2833" s="61">
        <f t="shared" si="198"/>
        <v>1</v>
      </c>
      <c r="V2833" s="61" t="s">
        <v>150</v>
      </c>
      <c r="W2833" s="61" t="s">
        <v>4</v>
      </c>
      <c r="X2833" s="61" t="s">
        <v>50</v>
      </c>
      <c r="Y2833" s="61" t="s">
        <v>69</v>
      </c>
      <c r="Z2833" s="61" t="s">
        <v>69</v>
      </c>
      <c r="AA2833" s="61" t="s">
        <v>8492</v>
      </c>
      <c r="AB2833" s="61" t="s">
        <v>8801</v>
      </c>
    </row>
    <row r="2834" spans="1:28" s="2" customFormat="1" ht="28.5">
      <c r="A2834" s="61" t="s">
        <v>779</v>
      </c>
      <c r="B2834" s="61" t="s">
        <v>1474</v>
      </c>
      <c r="C2834" s="61" t="s">
        <v>6301</v>
      </c>
      <c r="D2834" s="61" t="s">
        <v>7838</v>
      </c>
      <c r="E2834" s="61">
        <v>2363</v>
      </c>
      <c r="F2834" s="61">
        <v>2569</v>
      </c>
      <c r="G2834" s="61">
        <v>2025</v>
      </c>
      <c r="H2834" s="61" t="s">
        <v>3470</v>
      </c>
      <c r="I2834" s="61" t="s">
        <v>39</v>
      </c>
      <c r="J2834" s="61"/>
      <c r="K2834" s="61" t="s">
        <v>328</v>
      </c>
      <c r="L2834" s="61" t="s">
        <v>9321</v>
      </c>
      <c r="M2834" s="475">
        <v>45750</v>
      </c>
      <c r="N2834" s="475">
        <v>45761</v>
      </c>
      <c r="O2834" s="61"/>
      <c r="P2834" s="475">
        <v>45762</v>
      </c>
      <c r="Q2834" s="475">
        <v>45762</v>
      </c>
      <c r="R2834" s="61">
        <f t="shared" si="196"/>
        <v>7</v>
      </c>
      <c r="S2834" s="61" t="str">
        <f t="shared" si="197"/>
        <v/>
      </c>
      <c r="T2834" s="61">
        <f t="shared" si="195"/>
        <v>1</v>
      </c>
      <c r="U2834" s="61">
        <f t="shared" si="198"/>
        <v>1</v>
      </c>
      <c r="V2834" s="61" t="s">
        <v>150</v>
      </c>
      <c r="W2834" s="61" t="s">
        <v>4</v>
      </c>
      <c r="X2834" s="61" t="s">
        <v>50</v>
      </c>
      <c r="Y2834" s="61">
        <v>15.595000000000001</v>
      </c>
      <c r="Z2834" s="61">
        <v>120.7312</v>
      </c>
      <c r="AA2834" s="61" t="s">
        <v>8492</v>
      </c>
      <c r="AB2834" s="61"/>
    </row>
    <row r="2835" spans="1:28" s="2" customFormat="1" ht="15">
      <c r="A2835" s="61" t="s">
        <v>779</v>
      </c>
      <c r="B2835" s="61" t="s">
        <v>1474</v>
      </c>
      <c r="C2835" s="61" t="s">
        <v>6302</v>
      </c>
      <c r="D2835" s="61" t="s">
        <v>7838</v>
      </c>
      <c r="E2835" s="61">
        <v>2181</v>
      </c>
      <c r="F2835" s="61">
        <v>2401</v>
      </c>
      <c r="G2835" s="61">
        <v>2025</v>
      </c>
      <c r="H2835" s="61" t="s">
        <v>3458</v>
      </c>
      <c r="I2835" s="61" t="s">
        <v>39</v>
      </c>
      <c r="J2835" s="61"/>
      <c r="K2835" s="61" t="s">
        <v>328</v>
      </c>
      <c r="L2835" s="61" t="s">
        <v>9322</v>
      </c>
      <c r="M2835" s="475">
        <v>45700</v>
      </c>
      <c r="N2835" s="475">
        <v>45703</v>
      </c>
      <c r="O2835" s="61"/>
      <c r="P2835" s="475">
        <v>45705</v>
      </c>
      <c r="Q2835" s="475">
        <v>45706</v>
      </c>
      <c r="R2835" s="61">
        <f t="shared" si="196"/>
        <v>2</v>
      </c>
      <c r="S2835" s="61" t="str">
        <f t="shared" si="197"/>
        <v/>
      </c>
      <c r="T2835" s="61">
        <f t="shared" si="195"/>
        <v>1</v>
      </c>
      <c r="U2835" s="61">
        <f t="shared" si="198"/>
        <v>1</v>
      </c>
      <c r="V2835" s="61" t="s">
        <v>150</v>
      </c>
      <c r="W2835" s="61" t="s">
        <v>4</v>
      </c>
      <c r="X2835" s="61" t="s">
        <v>50</v>
      </c>
      <c r="Y2835" s="61"/>
      <c r="Z2835" s="61"/>
      <c r="AA2835" s="61"/>
      <c r="AB2835" s="61"/>
    </row>
    <row r="2836" spans="1:28" s="2" customFormat="1" ht="15">
      <c r="A2836" s="61" t="s">
        <v>779</v>
      </c>
      <c r="B2836" s="61" t="s">
        <v>1474</v>
      </c>
      <c r="C2836" s="61" t="s">
        <v>6305</v>
      </c>
      <c r="D2836" s="61" t="s">
        <v>7838</v>
      </c>
      <c r="E2836" s="61">
        <v>2221</v>
      </c>
      <c r="F2836" s="61">
        <v>2428</v>
      </c>
      <c r="G2836" s="61">
        <v>2025</v>
      </c>
      <c r="H2836" s="61" t="s">
        <v>3416</v>
      </c>
      <c r="I2836" s="61" t="s">
        <v>39</v>
      </c>
      <c r="J2836" s="61"/>
      <c r="K2836" s="61" t="s">
        <v>328</v>
      </c>
      <c r="L2836" s="61" t="s">
        <v>9323</v>
      </c>
      <c r="M2836" s="475">
        <v>45716</v>
      </c>
      <c r="N2836" s="475">
        <v>45719</v>
      </c>
      <c r="O2836" s="61"/>
      <c r="P2836" s="475">
        <v>45726</v>
      </c>
      <c r="Q2836" s="475">
        <v>45728</v>
      </c>
      <c r="R2836" s="61">
        <f t="shared" si="196"/>
        <v>1</v>
      </c>
      <c r="S2836" s="61" t="str">
        <f t="shared" si="197"/>
        <v/>
      </c>
      <c r="T2836" s="61">
        <f t="shared" si="195"/>
        <v>5</v>
      </c>
      <c r="U2836" s="61">
        <f t="shared" si="198"/>
        <v>2</v>
      </c>
      <c r="V2836" s="61" t="s">
        <v>150</v>
      </c>
      <c r="W2836" s="61" t="s">
        <v>4</v>
      </c>
      <c r="X2836" s="61" t="s">
        <v>50</v>
      </c>
      <c r="Y2836" s="61">
        <v>15.5227</v>
      </c>
      <c r="Z2836" s="61">
        <v>120.6793</v>
      </c>
      <c r="AA2836" s="61" t="s">
        <v>8361</v>
      </c>
      <c r="AB2836" s="61"/>
    </row>
    <row r="2837" spans="1:28" s="2" customFormat="1" ht="15">
      <c r="A2837" s="61" t="s">
        <v>779</v>
      </c>
      <c r="B2837" s="61" t="s">
        <v>1474</v>
      </c>
      <c r="C2837" s="61" t="s">
        <v>6310</v>
      </c>
      <c r="D2837" s="61" t="s">
        <v>7838</v>
      </c>
      <c r="E2837" s="61">
        <v>1691</v>
      </c>
      <c r="F2837" s="61">
        <v>1849</v>
      </c>
      <c r="G2837" s="61">
        <v>2025</v>
      </c>
      <c r="H2837" s="61" t="s">
        <v>3458</v>
      </c>
      <c r="I2837" s="61" t="s">
        <v>39</v>
      </c>
      <c r="J2837" s="61"/>
      <c r="K2837" s="61" t="s">
        <v>328</v>
      </c>
      <c r="L2837" s="61" t="s">
        <v>9324</v>
      </c>
      <c r="M2837" s="475">
        <v>45700</v>
      </c>
      <c r="N2837" s="475">
        <v>45703</v>
      </c>
      <c r="O2837" s="61"/>
      <c r="P2837" s="475">
        <v>45705</v>
      </c>
      <c r="Q2837" s="475">
        <v>45706</v>
      </c>
      <c r="R2837" s="61">
        <f t="shared" si="196"/>
        <v>2</v>
      </c>
      <c r="S2837" s="61" t="str">
        <f t="shared" si="197"/>
        <v/>
      </c>
      <c r="T2837" s="61">
        <f t="shared" si="195"/>
        <v>1</v>
      </c>
      <c r="U2837" s="61">
        <f t="shared" si="198"/>
        <v>1</v>
      </c>
      <c r="V2837" s="61" t="s">
        <v>150</v>
      </c>
      <c r="W2837" s="61" t="s">
        <v>4</v>
      </c>
      <c r="X2837" s="61" t="s">
        <v>50</v>
      </c>
      <c r="Y2837" s="61"/>
      <c r="Z2837" s="61"/>
      <c r="AA2837" s="61" t="s">
        <v>8361</v>
      </c>
      <c r="AB2837" s="61"/>
    </row>
    <row r="2838" spans="1:28" s="2" customFormat="1" ht="15">
      <c r="A2838" s="61" t="s">
        <v>779</v>
      </c>
      <c r="B2838" s="61" t="s">
        <v>1474</v>
      </c>
      <c r="C2838" s="61" t="s">
        <v>4024</v>
      </c>
      <c r="D2838" s="61" t="s">
        <v>7838</v>
      </c>
      <c r="E2838" s="61">
        <v>1603</v>
      </c>
      <c r="F2838" s="61">
        <v>1828</v>
      </c>
      <c r="G2838" s="61">
        <v>2025</v>
      </c>
      <c r="H2838" s="61" t="s">
        <v>3416</v>
      </c>
      <c r="I2838" s="61" t="s">
        <v>39</v>
      </c>
      <c r="J2838" s="61"/>
      <c r="K2838" s="61" t="s">
        <v>328</v>
      </c>
      <c r="L2838" s="61" t="s">
        <v>9325</v>
      </c>
      <c r="M2838" s="475">
        <v>45728</v>
      </c>
      <c r="N2838" s="475">
        <v>45728</v>
      </c>
      <c r="O2838" s="61"/>
      <c r="P2838" s="475">
        <v>45733</v>
      </c>
      <c r="Q2838" s="475">
        <v>45734</v>
      </c>
      <c r="R2838" s="61">
        <f t="shared" si="196"/>
        <v>1</v>
      </c>
      <c r="S2838" s="61" t="str">
        <f t="shared" si="197"/>
        <v/>
      </c>
      <c r="T2838" s="61">
        <f t="shared" si="195"/>
        <v>3</v>
      </c>
      <c r="U2838" s="61">
        <f t="shared" si="198"/>
        <v>1</v>
      </c>
      <c r="V2838" s="61" t="s">
        <v>150</v>
      </c>
      <c r="W2838" s="61" t="s">
        <v>4</v>
      </c>
      <c r="X2838" s="61" t="s">
        <v>50</v>
      </c>
      <c r="Y2838" s="61">
        <v>15.656700000000001</v>
      </c>
      <c r="Z2838" s="61">
        <v>120.62350000000001</v>
      </c>
      <c r="AA2838" s="61" t="s">
        <v>8361</v>
      </c>
      <c r="AB2838" s="61"/>
    </row>
    <row r="2839" spans="1:28" s="2" customFormat="1" ht="28.5">
      <c r="A2839" s="61" t="s">
        <v>779</v>
      </c>
      <c r="B2839" s="61" t="s">
        <v>1474</v>
      </c>
      <c r="C2839" s="61" t="s">
        <v>5659</v>
      </c>
      <c r="D2839" s="61" t="s">
        <v>7838</v>
      </c>
      <c r="E2839" s="61">
        <v>2739</v>
      </c>
      <c r="F2839" s="61">
        <v>2756</v>
      </c>
      <c r="G2839" s="61">
        <v>2025</v>
      </c>
      <c r="H2839" s="61" t="s">
        <v>3416</v>
      </c>
      <c r="I2839" s="61" t="s">
        <v>39</v>
      </c>
      <c r="J2839" s="61"/>
      <c r="K2839" s="61" t="s">
        <v>328</v>
      </c>
      <c r="L2839" s="61" t="s">
        <v>9326</v>
      </c>
      <c r="M2839" s="475">
        <v>45716</v>
      </c>
      <c r="N2839" s="475">
        <v>45719</v>
      </c>
      <c r="O2839" s="61"/>
      <c r="P2839" s="475">
        <v>45723</v>
      </c>
      <c r="Q2839" s="475">
        <v>45728</v>
      </c>
      <c r="R2839" s="61">
        <f t="shared" si="196"/>
        <v>1</v>
      </c>
      <c r="S2839" s="61" t="str">
        <f t="shared" si="197"/>
        <v/>
      </c>
      <c r="T2839" s="61">
        <f t="shared" si="195"/>
        <v>4</v>
      </c>
      <c r="U2839" s="61">
        <f t="shared" si="198"/>
        <v>3</v>
      </c>
      <c r="V2839" s="61" t="s">
        <v>150</v>
      </c>
      <c r="W2839" s="61" t="s">
        <v>4</v>
      </c>
      <c r="X2839" s="61" t="s">
        <v>50</v>
      </c>
      <c r="Y2839" s="61">
        <v>15.579499999999999</v>
      </c>
      <c r="Z2839" s="61">
        <v>120.6824</v>
      </c>
      <c r="AA2839" s="61" t="s">
        <v>8492</v>
      </c>
      <c r="AB2839" s="61"/>
    </row>
    <row r="2840" spans="1:28" s="2" customFormat="1" ht="28.5">
      <c r="A2840" s="61" t="s">
        <v>779</v>
      </c>
      <c r="B2840" s="61" t="s">
        <v>1474</v>
      </c>
      <c r="C2840" s="61" t="s">
        <v>6289</v>
      </c>
      <c r="D2840" s="61" t="s">
        <v>7838</v>
      </c>
      <c r="E2840" s="61">
        <v>4087</v>
      </c>
      <c r="F2840" s="61">
        <v>4325</v>
      </c>
      <c r="G2840" s="61">
        <v>2025</v>
      </c>
      <c r="H2840" s="61" t="s">
        <v>3532</v>
      </c>
      <c r="I2840" s="61" t="s">
        <v>37</v>
      </c>
      <c r="J2840" s="61"/>
      <c r="K2840" s="61" t="s">
        <v>328</v>
      </c>
      <c r="L2840" s="61" t="s">
        <v>9327</v>
      </c>
      <c r="M2840" s="475">
        <v>45783</v>
      </c>
      <c r="N2840" s="475">
        <v>45792</v>
      </c>
      <c r="O2840" s="61"/>
      <c r="P2840" s="475">
        <v>45793</v>
      </c>
      <c r="Q2840" s="475">
        <v>45793</v>
      </c>
      <c r="R2840" s="61">
        <f t="shared" si="196"/>
        <v>7</v>
      </c>
      <c r="S2840" s="61" t="str">
        <f t="shared" si="197"/>
        <v/>
      </c>
      <c r="T2840" s="61">
        <f t="shared" si="195"/>
        <v>1</v>
      </c>
      <c r="U2840" s="61">
        <f t="shared" si="198"/>
        <v>1</v>
      </c>
      <c r="V2840" s="61" t="s">
        <v>150</v>
      </c>
      <c r="W2840" s="61" t="s">
        <v>1078</v>
      </c>
      <c r="X2840" s="61" t="s">
        <v>50</v>
      </c>
      <c r="Y2840" s="61">
        <v>15.540900000000001</v>
      </c>
      <c r="Z2840" s="61">
        <v>120.64019999999999</v>
      </c>
      <c r="AA2840" s="61" t="s">
        <v>8492</v>
      </c>
      <c r="AB2840" s="61"/>
    </row>
    <row r="2841" spans="1:28" s="2" customFormat="1" ht="15">
      <c r="A2841" s="61" t="s">
        <v>779</v>
      </c>
      <c r="B2841" s="61" t="s">
        <v>1474</v>
      </c>
      <c r="C2841" s="61" t="s">
        <v>6291</v>
      </c>
      <c r="D2841" s="61" t="s">
        <v>7838</v>
      </c>
      <c r="E2841" s="61">
        <v>3257</v>
      </c>
      <c r="F2841" s="61">
        <v>3713</v>
      </c>
      <c r="G2841" s="61">
        <v>2025</v>
      </c>
      <c r="H2841" s="61" t="s">
        <v>3416</v>
      </c>
      <c r="I2841" s="61" t="s">
        <v>39</v>
      </c>
      <c r="J2841" s="61"/>
      <c r="K2841" s="61" t="s">
        <v>328</v>
      </c>
      <c r="L2841" s="61" t="s">
        <v>9328</v>
      </c>
      <c r="M2841" s="475">
        <v>45727</v>
      </c>
      <c r="N2841" s="475">
        <v>45728</v>
      </c>
      <c r="O2841" s="61"/>
      <c r="P2841" s="475">
        <v>45733</v>
      </c>
      <c r="Q2841" s="475">
        <v>45734</v>
      </c>
      <c r="R2841" s="61">
        <f t="shared" si="196"/>
        <v>1</v>
      </c>
      <c r="S2841" s="61" t="str">
        <f t="shared" si="197"/>
        <v/>
      </c>
      <c r="T2841" s="61">
        <f t="shared" si="195"/>
        <v>3</v>
      </c>
      <c r="U2841" s="61">
        <f t="shared" si="198"/>
        <v>1</v>
      </c>
      <c r="V2841" s="61" t="s">
        <v>150</v>
      </c>
      <c r="W2841" s="61" t="s">
        <v>1078</v>
      </c>
      <c r="X2841" s="61" t="s">
        <v>50</v>
      </c>
      <c r="Y2841" s="61">
        <v>15.546799999999999</v>
      </c>
      <c r="Z2841" s="61">
        <v>120.6957</v>
      </c>
      <c r="AA2841" s="61" t="s">
        <v>8361</v>
      </c>
      <c r="AB2841" s="61"/>
    </row>
    <row r="2842" spans="1:28" s="2" customFormat="1" ht="15">
      <c r="A2842" s="61" t="s">
        <v>779</v>
      </c>
      <c r="B2842" s="61" t="s">
        <v>1474</v>
      </c>
      <c r="C2842" s="61" t="s">
        <v>6296</v>
      </c>
      <c r="D2842" s="61" t="s">
        <v>7838</v>
      </c>
      <c r="E2842" s="61">
        <v>1380</v>
      </c>
      <c r="F2842" s="61">
        <v>1510</v>
      </c>
      <c r="G2842" s="61">
        <v>2025</v>
      </c>
      <c r="H2842" s="61" t="s">
        <v>3416</v>
      </c>
      <c r="I2842" s="61" t="s">
        <v>39</v>
      </c>
      <c r="J2842" s="61"/>
      <c r="K2842" s="61" t="s">
        <v>328</v>
      </c>
      <c r="L2842" s="61" t="s">
        <v>9329</v>
      </c>
      <c r="M2842" s="475">
        <v>45727</v>
      </c>
      <c r="N2842" s="475">
        <v>45728</v>
      </c>
      <c r="O2842" s="61"/>
      <c r="P2842" s="475">
        <v>45733</v>
      </c>
      <c r="Q2842" s="475">
        <v>45734</v>
      </c>
      <c r="R2842" s="61">
        <f t="shared" si="196"/>
        <v>1</v>
      </c>
      <c r="S2842" s="61" t="str">
        <f t="shared" si="197"/>
        <v/>
      </c>
      <c r="T2842" s="61">
        <f t="shared" si="195"/>
        <v>3</v>
      </c>
      <c r="U2842" s="61">
        <f t="shared" si="198"/>
        <v>1</v>
      </c>
      <c r="V2842" s="61" t="s">
        <v>150</v>
      </c>
      <c r="W2842" s="61" t="s">
        <v>1078</v>
      </c>
      <c r="X2842" s="61" t="s">
        <v>50</v>
      </c>
      <c r="Y2842" s="61">
        <v>15.539400000000001</v>
      </c>
      <c r="Z2842" s="61">
        <v>120.6895</v>
      </c>
      <c r="AA2842" s="61" t="s">
        <v>8361</v>
      </c>
      <c r="AB2842" s="61"/>
    </row>
    <row r="2843" spans="1:28" s="2" customFormat="1" ht="28.5">
      <c r="A2843" s="61" t="s">
        <v>779</v>
      </c>
      <c r="B2843" s="61" t="s">
        <v>1474</v>
      </c>
      <c r="C2843" s="61" t="s">
        <v>6297</v>
      </c>
      <c r="D2843" s="61" t="s">
        <v>7838</v>
      </c>
      <c r="E2843" s="61">
        <v>2428</v>
      </c>
      <c r="F2843" s="61">
        <v>3031</v>
      </c>
      <c r="G2843" s="61">
        <v>2025</v>
      </c>
      <c r="H2843" s="61" t="s">
        <v>3126</v>
      </c>
      <c r="I2843" s="61" t="s">
        <v>39</v>
      </c>
      <c r="J2843" s="61"/>
      <c r="K2843" s="61" t="s">
        <v>328</v>
      </c>
      <c r="L2843" s="61" t="s">
        <v>9330</v>
      </c>
      <c r="M2843" s="475">
        <v>45875</v>
      </c>
      <c r="N2843" s="475">
        <v>45883</v>
      </c>
      <c r="O2843" s="61"/>
      <c r="P2843" s="475">
        <v>45887</v>
      </c>
      <c r="Q2843" s="475">
        <v>45888</v>
      </c>
      <c r="R2843" s="61">
        <f t="shared" si="196"/>
        <v>6</v>
      </c>
      <c r="S2843" s="61" t="str">
        <f t="shared" si="197"/>
        <v/>
      </c>
      <c r="T2843" s="61">
        <f t="shared" ref="T2843:T2906" si="199">IF(
  OR(A2843 = "Nueva_Ecija", A2843 = "Zambales"),
  IF(
    OR(ISBLANK(O2843), ISBLANK(P2843)),
    "",
    MAX(1, IF(
      NETWORKDAYS(O2843, P2843) &lt;= 0,
      1,
      NETWORKDAYS(O2843, P2843) - IF(O2843 = P2843, 0, 1)
    ))
  ),
  IF(
    OR(ISBLANK(N2843), ISBLANK(P2843)),
    "",
    MAX(1, IF(
      NETWORKDAYS(N2843, P2843) &lt;= 0,
      1,
      NETWORKDAYS(N2843, P2843) - IF(N2843 = P2843, 0, 1)
    ))
  )
)</f>
        <v>2</v>
      </c>
      <c r="U2843" s="61">
        <f t="shared" si="198"/>
        <v>1</v>
      </c>
      <c r="V2843" s="61" t="s">
        <v>150</v>
      </c>
      <c r="W2843" s="61" t="s">
        <v>1078</v>
      </c>
      <c r="X2843" s="61" t="s">
        <v>50</v>
      </c>
      <c r="Y2843" s="61">
        <v>15.5616</v>
      </c>
      <c r="Z2843" s="560">
        <v>120.6527</v>
      </c>
      <c r="AA2843" s="61" t="s">
        <v>8492</v>
      </c>
      <c r="AB2843" s="61" t="s">
        <v>8801</v>
      </c>
    </row>
    <row r="2844" spans="1:28" s="2" customFormat="1" ht="28.5">
      <c r="A2844" s="61" t="s">
        <v>779</v>
      </c>
      <c r="B2844" s="61" t="s">
        <v>1474</v>
      </c>
      <c r="C2844" s="61" t="s">
        <v>6299</v>
      </c>
      <c r="D2844" s="61" t="s">
        <v>7838</v>
      </c>
      <c r="E2844" s="61">
        <v>1339</v>
      </c>
      <c r="F2844" s="61">
        <v>1498</v>
      </c>
      <c r="G2844" s="61">
        <v>2025</v>
      </c>
      <c r="H2844" s="61" t="s">
        <v>3126</v>
      </c>
      <c r="I2844" s="61" t="s">
        <v>39</v>
      </c>
      <c r="J2844" s="61"/>
      <c r="K2844" s="61" t="s">
        <v>328</v>
      </c>
      <c r="L2844" s="61" t="s">
        <v>9320</v>
      </c>
      <c r="M2844" s="475">
        <v>45874</v>
      </c>
      <c r="N2844" s="475">
        <v>45883</v>
      </c>
      <c r="O2844" s="61"/>
      <c r="P2844" s="475">
        <v>45887</v>
      </c>
      <c r="Q2844" s="475">
        <v>45888</v>
      </c>
      <c r="R2844" s="61">
        <f t="shared" si="196"/>
        <v>7</v>
      </c>
      <c r="S2844" s="61" t="str">
        <f t="shared" si="197"/>
        <v/>
      </c>
      <c r="T2844" s="61">
        <f t="shared" si="199"/>
        <v>2</v>
      </c>
      <c r="U2844" s="61">
        <f t="shared" si="198"/>
        <v>1</v>
      </c>
      <c r="V2844" s="61" t="s">
        <v>150</v>
      </c>
      <c r="W2844" s="61" t="s">
        <v>1078</v>
      </c>
      <c r="X2844" s="61" t="s">
        <v>50</v>
      </c>
      <c r="Y2844" s="61">
        <v>15.5436</v>
      </c>
      <c r="Z2844" s="61">
        <v>120.6808</v>
      </c>
      <c r="AA2844" s="61" t="s">
        <v>8492</v>
      </c>
      <c r="AB2844" s="61" t="s">
        <v>8801</v>
      </c>
    </row>
    <row r="2845" spans="1:28" s="2" customFormat="1" ht="28.5">
      <c r="A2845" s="61" t="s">
        <v>779</v>
      </c>
      <c r="B2845" s="61" t="s">
        <v>1474</v>
      </c>
      <c r="C2845" s="61" t="s">
        <v>4538</v>
      </c>
      <c r="D2845" s="61" t="s">
        <v>7838</v>
      </c>
      <c r="E2845" s="61">
        <v>1869</v>
      </c>
      <c r="F2845" s="61">
        <v>1934</v>
      </c>
      <c r="G2845" s="61">
        <v>2025</v>
      </c>
      <c r="H2845" s="61" t="s">
        <v>3126</v>
      </c>
      <c r="I2845" s="61" t="s">
        <v>39</v>
      </c>
      <c r="J2845" s="61"/>
      <c r="K2845" s="61" t="s">
        <v>328</v>
      </c>
      <c r="L2845" s="61" t="s">
        <v>9320</v>
      </c>
      <c r="M2845" s="475">
        <v>45874</v>
      </c>
      <c r="N2845" s="475">
        <v>45883</v>
      </c>
      <c r="O2845" s="61"/>
      <c r="P2845" s="475">
        <v>45887</v>
      </c>
      <c r="Q2845" s="475">
        <v>45888</v>
      </c>
      <c r="R2845" s="61">
        <f t="shared" si="196"/>
        <v>7</v>
      </c>
      <c r="S2845" s="61" t="str">
        <f t="shared" si="197"/>
        <v/>
      </c>
      <c r="T2845" s="61">
        <f t="shared" si="199"/>
        <v>2</v>
      </c>
      <c r="U2845" s="61">
        <f t="shared" si="198"/>
        <v>1</v>
      </c>
      <c r="V2845" s="61" t="s">
        <v>150</v>
      </c>
      <c r="W2845" s="61" t="s">
        <v>1078</v>
      </c>
      <c r="X2845" s="61" t="s">
        <v>50</v>
      </c>
      <c r="Y2845" s="61">
        <v>15.558</v>
      </c>
      <c r="Z2845" s="61">
        <v>120.6895</v>
      </c>
      <c r="AA2845" s="61" t="s">
        <v>8492</v>
      </c>
      <c r="AB2845" s="61" t="s">
        <v>8801</v>
      </c>
    </row>
    <row r="2846" spans="1:28" s="2" customFormat="1" ht="28.5">
      <c r="A2846" s="61" t="s">
        <v>779</v>
      </c>
      <c r="B2846" s="61" t="s">
        <v>1474</v>
      </c>
      <c r="C2846" s="61" t="s">
        <v>6307</v>
      </c>
      <c r="D2846" s="61" t="s">
        <v>7838</v>
      </c>
      <c r="E2846" s="61">
        <v>3081</v>
      </c>
      <c r="F2846" s="61">
        <v>3193</v>
      </c>
      <c r="G2846" s="61">
        <v>2025</v>
      </c>
      <c r="H2846" s="61" t="s">
        <v>3126</v>
      </c>
      <c r="I2846" s="61" t="s">
        <v>39</v>
      </c>
      <c r="J2846" s="61"/>
      <c r="K2846" s="61" t="s">
        <v>328</v>
      </c>
      <c r="L2846" s="61" t="s">
        <v>9330</v>
      </c>
      <c r="M2846" s="475">
        <v>45875</v>
      </c>
      <c r="N2846" s="475">
        <v>45883</v>
      </c>
      <c r="O2846" s="61"/>
      <c r="P2846" s="475">
        <v>45887</v>
      </c>
      <c r="Q2846" s="475">
        <v>45888</v>
      </c>
      <c r="R2846" s="61">
        <f t="shared" si="196"/>
        <v>6</v>
      </c>
      <c r="S2846" s="61" t="str">
        <f t="shared" si="197"/>
        <v/>
      </c>
      <c r="T2846" s="61">
        <f t="shared" si="199"/>
        <v>2</v>
      </c>
      <c r="U2846" s="61">
        <f t="shared" si="198"/>
        <v>1</v>
      </c>
      <c r="V2846" s="61" t="s">
        <v>150</v>
      </c>
      <c r="W2846" s="61" t="s">
        <v>1078</v>
      </c>
      <c r="X2846" s="61" t="s">
        <v>50</v>
      </c>
      <c r="Y2846" s="61">
        <v>15.569599999999999</v>
      </c>
      <c r="Z2846" s="560">
        <v>120.667</v>
      </c>
      <c r="AA2846" s="61" t="s">
        <v>8492</v>
      </c>
      <c r="AB2846" s="61" t="s">
        <v>8801</v>
      </c>
    </row>
    <row r="2847" spans="1:28" s="2" customFormat="1" ht="15">
      <c r="A2847" s="61" t="s">
        <v>779</v>
      </c>
      <c r="B2847" s="61" t="s">
        <v>1474</v>
      </c>
      <c r="C2847" s="61" t="s">
        <v>6308</v>
      </c>
      <c r="D2847" s="61" t="s">
        <v>7838</v>
      </c>
      <c r="E2847" s="61">
        <v>2477</v>
      </c>
      <c r="F2847" s="61">
        <v>2702</v>
      </c>
      <c r="G2847" s="61">
        <v>2025</v>
      </c>
      <c r="H2847" s="61" t="s">
        <v>3458</v>
      </c>
      <c r="I2847" s="61" t="s">
        <v>39</v>
      </c>
      <c r="J2847" s="61"/>
      <c r="K2847" s="61" t="s">
        <v>328</v>
      </c>
      <c r="L2847" s="61" t="s">
        <v>9331</v>
      </c>
      <c r="M2847" s="475">
        <v>45700</v>
      </c>
      <c r="N2847" s="475">
        <v>45703</v>
      </c>
      <c r="O2847" s="61"/>
      <c r="P2847" s="475">
        <v>45705</v>
      </c>
      <c r="Q2847" s="475">
        <v>45706</v>
      </c>
      <c r="R2847" s="61">
        <f t="shared" si="196"/>
        <v>2</v>
      </c>
      <c r="S2847" s="61" t="str">
        <f t="shared" si="197"/>
        <v/>
      </c>
      <c r="T2847" s="61">
        <f t="shared" si="199"/>
        <v>1</v>
      </c>
      <c r="U2847" s="61">
        <f t="shared" si="198"/>
        <v>1</v>
      </c>
      <c r="V2847" s="61" t="s">
        <v>150</v>
      </c>
      <c r="W2847" s="61" t="s">
        <v>1078</v>
      </c>
      <c r="X2847" s="61" t="s">
        <v>50</v>
      </c>
      <c r="Y2847" s="61"/>
      <c r="Z2847" s="61"/>
      <c r="AA2847" s="61" t="s">
        <v>8361</v>
      </c>
      <c r="AB2847" s="61"/>
    </row>
    <row r="2848" spans="1:28" s="2" customFormat="1" ht="28.5">
      <c r="A2848" s="61" t="s">
        <v>779</v>
      </c>
      <c r="B2848" s="61" t="s">
        <v>1474</v>
      </c>
      <c r="C2848" s="61" t="s">
        <v>6194</v>
      </c>
      <c r="D2848" s="61" t="s">
        <v>7838</v>
      </c>
      <c r="E2848" s="61">
        <v>3248</v>
      </c>
      <c r="F2848" s="61">
        <v>3332</v>
      </c>
      <c r="G2848" s="61">
        <v>2025</v>
      </c>
      <c r="H2848" s="61" t="s">
        <v>3532</v>
      </c>
      <c r="I2848" s="61" t="s">
        <v>39</v>
      </c>
      <c r="J2848" s="61"/>
      <c r="K2848" s="61" t="s">
        <v>328</v>
      </c>
      <c r="L2848" s="61" t="s">
        <v>9332</v>
      </c>
      <c r="M2848" s="475">
        <v>45784</v>
      </c>
      <c r="N2848" s="475">
        <v>45796</v>
      </c>
      <c r="O2848" s="61"/>
      <c r="P2848" s="475">
        <v>45796</v>
      </c>
      <c r="Q2848" s="475">
        <v>45797</v>
      </c>
      <c r="R2848" s="61">
        <f t="shared" si="196"/>
        <v>8</v>
      </c>
      <c r="S2848" s="61" t="str">
        <f t="shared" si="197"/>
        <v/>
      </c>
      <c r="T2848" s="61">
        <f t="shared" si="199"/>
        <v>1</v>
      </c>
      <c r="U2848" s="61">
        <f t="shared" si="198"/>
        <v>1</v>
      </c>
      <c r="V2848" s="61" t="s">
        <v>150</v>
      </c>
      <c r="W2848" s="61" t="s">
        <v>1078</v>
      </c>
      <c r="X2848" s="61" t="s">
        <v>50</v>
      </c>
      <c r="Y2848" s="61">
        <v>15.546110000000001</v>
      </c>
      <c r="Z2848" s="61">
        <v>120.6615</v>
      </c>
      <c r="AA2848" s="61" t="s">
        <v>8492</v>
      </c>
      <c r="AB2848" s="61"/>
    </row>
    <row r="2849" spans="1:28" s="2" customFormat="1" ht="28.5">
      <c r="A2849" s="61" t="s">
        <v>779</v>
      </c>
      <c r="B2849" s="61" t="s">
        <v>1474</v>
      </c>
      <c r="C2849" s="61" t="s">
        <v>1166</v>
      </c>
      <c r="D2849" s="61" t="s">
        <v>7838</v>
      </c>
      <c r="E2849" s="61">
        <v>2103</v>
      </c>
      <c r="F2849" s="61">
        <v>2192</v>
      </c>
      <c r="G2849" s="61">
        <v>2025</v>
      </c>
      <c r="H2849" s="61" t="s">
        <v>3532</v>
      </c>
      <c r="I2849" s="61" t="s">
        <v>39</v>
      </c>
      <c r="J2849" s="61"/>
      <c r="K2849" s="61" t="s">
        <v>328</v>
      </c>
      <c r="L2849" s="61" t="s">
        <v>9333</v>
      </c>
      <c r="M2849" s="475">
        <v>45784</v>
      </c>
      <c r="N2849" s="475">
        <v>45792</v>
      </c>
      <c r="O2849" s="61"/>
      <c r="P2849" s="475">
        <v>45793</v>
      </c>
      <c r="Q2849" s="475">
        <v>45793</v>
      </c>
      <c r="R2849" s="61">
        <f t="shared" si="196"/>
        <v>6</v>
      </c>
      <c r="S2849" s="61" t="str">
        <f t="shared" si="197"/>
        <v/>
      </c>
      <c r="T2849" s="61">
        <f t="shared" si="199"/>
        <v>1</v>
      </c>
      <c r="U2849" s="61">
        <f t="shared" si="198"/>
        <v>1</v>
      </c>
      <c r="V2849" s="61" t="s">
        <v>150</v>
      </c>
      <c r="W2849" s="61" t="s">
        <v>1078</v>
      </c>
      <c r="X2849" s="61" t="s">
        <v>50</v>
      </c>
      <c r="Y2849" s="61"/>
      <c r="Z2849" s="61"/>
      <c r="AA2849" s="61" t="s">
        <v>8492</v>
      </c>
      <c r="AB2849" s="61"/>
    </row>
    <row r="2850" spans="1:28" s="2" customFormat="1" ht="28.5">
      <c r="A2850" s="61" t="s">
        <v>779</v>
      </c>
      <c r="B2850" s="61" t="s">
        <v>1474</v>
      </c>
      <c r="C2850" s="61" t="s">
        <v>6294</v>
      </c>
      <c r="D2850" s="61" t="s">
        <v>7838</v>
      </c>
      <c r="E2850" s="61">
        <v>2255</v>
      </c>
      <c r="F2850" s="61">
        <v>2648</v>
      </c>
      <c r="G2850" s="61">
        <v>2025</v>
      </c>
      <c r="H2850" s="61" t="s">
        <v>3126</v>
      </c>
      <c r="I2850" s="61" t="s">
        <v>39</v>
      </c>
      <c r="J2850" s="61"/>
      <c r="K2850" s="61" t="s">
        <v>328</v>
      </c>
      <c r="L2850" s="61" t="s">
        <v>9320</v>
      </c>
      <c r="M2850" s="475">
        <v>45874</v>
      </c>
      <c r="N2850" s="475">
        <v>45883</v>
      </c>
      <c r="O2850" s="61"/>
      <c r="P2850" s="475">
        <v>45887</v>
      </c>
      <c r="Q2850" s="475">
        <v>45888</v>
      </c>
      <c r="R2850" s="61">
        <f t="shared" si="196"/>
        <v>7</v>
      </c>
      <c r="S2850" s="61" t="str">
        <f t="shared" si="197"/>
        <v/>
      </c>
      <c r="T2850" s="61">
        <f t="shared" si="199"/>
        <v>2</v>
      </c>
      <c r="U2850" s="61">
        <f t="shared" si="198"/>
        <v>1</v>
      </c>
      <c r="V2850" s="61" t="s">
        <v>150</v>
      </c>
      <c r="W2850" s="61" t="s">
        <v>3527</v>
      </c>
      <c r="X2850" s="61" t="s">
        <v>3528</v>
      </c>
      <c r="Y2850" s="61">
        <v>15.607699999999999</v>
      </c>
      <c r="Z2850" s="61">
        <v>120.6532</v>
      </c>
      <c r="AA2850" s="61" t="s">
        <v>8492</v>
      </c>
      <c r="AB2850" s="61" t="s">
        <v>8801</v>
      </c>
    </row>
    <row r="2851" spans="1:28" s="2" customFormat="1" ht="28.5">
      <c r="A2851" s="61" t="s">
        <v>779</v>
      </c>
      <c r="B2851" s="61" t="s">
        <v>1474</v>
      </c>
      <c r="C2851" s="61" t="s">
        <v>4882</v>
      </c>
      <c r="D2851" s="61" t="s">
        <v>7838</v>
      </c>
      <c r="E2851" s="61">
        <v>2211</v>
      </c>
      <c r="F2851" s="61">
        <v>2489</v>
      </c>
      <c r="G2851" s="61">
        <v>2025</v>
      </c>
      <c r="H2851" s="61" t="s">
        <v>3532</v>
      </c>
      <c r="I2851" s="61" t="s">
        <v>39</v>
      </c>
      <c r="J2851" s="61"/>
      <c r="K2851" s="61" t="s">
        <v>328</v>
      </c>
      <c r="L2851" s="61" t="s">
        <v>9334</v>
      </c>
      <c r="M2851" s="475">
        <v>45783</v>
      </c>
      <c r="N2851" s="475">
        <v>45796</v>
      </c>
      <c r="O2851" s="61"/>
      <c r="P2851" s="475">
        <v>45796</v>
      </c>
      <c r="Q2851" s="475">
        <v>45797</v>
      </c>
      <c r="R2851" s="61">
        <f t="shared" si="196"/>
        <v>9</v>
      </c>
      <c r="S2851" s="61" t="str">
        <f t="shared" si="197"/>
        <v/>
      </c>
      <c r="T2851" s="61">
        <f t="shared" si="199"/>
        <v>1</v>
      </c>
      <c r="U2851" s="61">
        <f t="shared" si="198"/>
        <v>1</v>
      </c>
      <c r="V2851" s="61" t="s">
        <v>150</v>
      </c>
      <c r="W2851" s="61" t="s">
        <v>3527</v>
      </c>
      <c r="X2851" s="61" t="s">
        <v>3528</v>
      </c>
      <c r="Y2851" s="61">
        <v>15.582652</v>
      </c>
      <c r="Z2851" s="61">
        <v>120.65916199999999</v>
      </c>
      <c r="AA2851" s="61" t="s">
        <v>8492</v>
      </c>
      <c r="AB2851" s="61"/>
    </row>
    <row r="2852" spans="1:28" s="2" customFormat="1" ht="15">
      <c r="A2852" s="61" t="s">
        <v>779</v>
      </c>
      <c r="B2852" s="61" t="s">
        <v>1474</v>
      </c>
      <c r="C2852" s="61" t="s">
        <v>1475</v>
      </c>
      <c r="D2852" s="61" t="s">
        <v>7838</v>
      </c>
      <c r="E2852" s="61">
        <v>2207</v>
      </c>
      <c r="F2852" s="61">
        <v>2430</v>
      </c>
      <c r="G2852" s="61"/>
      <c r="H2852" s="61"/>
      <c r="I2852" s="61" t="s">
        <v>39</v>
      </c>
      <c r="J2852" s="61"/>
      <c r="K2852" s="61" t="s">
        <v>328</v>
      </c>
      <c r="L2852" s="61"/>
      <c r="M2852" s="61"/>
      <c r="N2852" s="61"/>
      <c r="O2852" s="61"/>
      <c r="P2852" s="61"/>
      <c r="Q2852" s="61"/>
      <c r="R2852" s="61" t="str">
        <f t="shared" si="196"/>
        <v/>
      </c>
      <c r="S2852" s="61" t="str">
        <f t="shared" si="197"/>
        <v/>
      </c>
      <c r="T2852" s="61" t="str">
        <f t="shared" si="199"/>
        <v/>
      </c>
      <c r="U2852" s="61" t="str">
        <f t="shared" si="198"/>
        <v/>
      </c>
      <c r="V2852" s="61"/>
      <c r="W2852" s="61"/>
      <c r="X2852" s="61"/>
      <c r="Y2852" s="61"/>
      <c r="Z2852" s="61"/>
      <c r="AA2852" s="61"/>
      <c r="AB2852" s="61"/>
    </row>
    <row r="2853" spans="1:28" s="2" customFormat="1" ht="28.5">
      <c r="A2853" s="61" t="s">
        <v>779</v>
      </c>
      <c r="B2853" s="61" t="s">
        <v>1474</v>
      </c>
      <c r="C2853" s="61" t="s">
        <v>4126</v>
      </c>
      <c r="D2853" s="61" t="s">
        <v>7838</v>
      </c>
      <c r="E2853" s="61">
        <v>3204</v>
      </c>
      <c r="F2853" s="61">
        <v>3587</v>
      </c>
      <c r="G2853" s="61">
        <v>2025</v>
      </c>
      <c r="H2853" s="61" t="s">
        <v>3128</v>
      </c>
      <c r="I2853" s="61" t="s">
        <v>39</v>
      </c>
      <c r="J2853" s="61"/>
      <c r="K2853" s="61" t="s">
        <v>28</v>
      </c>
      <c r="L2853" s="61" t="s">
        <v>9335</v>
      </c>
      <c r="M2853" s="475">
        <v>45912</v>
      </c>
      <c r="N2853" s="475">
        <v>45918</v>
      </c>
      <c r="O2853" s="61"/>
      <c r="P2853" s="475">
        <v>45933</v>
      </c>
      <c r="Q2853" s="475">
        <v>45944</v>
      </c>
      <c r="R2853" s="61">
        <f t="shared" si="196"/>
        <v>4</v>
      </c>
      <c r="S2853" s="61" t="str">
        <f t="shared" si="197"/>
        <v/>
      </c>
      <c r="T2853" s="61">
        <f t="shared" si="199"/>
        <v>11</v>
      </c>
      <c r="U2853" s="61">
        <f t="shared" si="198"/>
        <v>7</v>
      </c>
      <c r="V2853" s="61" t="s">
        <v>150</v>
      </c>
      <c r="W2853" s="61" t="s">
        <v>4</v>
      </c>
      <c r="X2853" s="61" t="s">
        <v>50</v>
      </c>
      <c r="Y2853" s="61">
        <v>15.574199999999999</v>
      </c>
      <c r="Z2853" s="61">
        <v>120.6793</v>
      </c>
      <c r="AA2853" s="61" t="s">
        <v>8492</v>
      </c>
      <c r="AB2853" s="61" t="s">
        <v>8801</v>
      </c>
    </row>
    <row r="2854" spans="1:28" s="2" customFormat="1" ht="28.5">
      <c r="A2854" s="61" t="s">
        <v>779</v>
      </c>
      <c r="B2854" s="61" t="s">
        <v>1474</v>
      </c>
      <c r="C2854" s="61" t="s">
        <v>6314</v>
      </c>
      <c r="D2854" s="61" t="s">
        <v>7838</v>
      </c>
      <c r="E2854" s="61">
        <v>3098</v>
      </c>
      <c r="F2854" s="61">
        <v>3329</v>
      </c>
      <c r="G2854" s="61">
        <v>2025</v>
      </c>
      <c r="H2854" s="61" t="s">
        <v>3128</v>
      </c>
      <c r="I2854" s="61" t="s">
        <v>39</v>
      </c>
      <c r="J2854" s="61"/>
      <c r="K2854" s="61" t="s">
        <v>28</v>
      </c>
      <c r="L2854" s="61" t="s">
        <v>9335</v>
      </c>
      <c r="M2854" s="475">
        <v>45912</v>
      </c>
      <c r="N2854" s="475">
        <v>45918</v>
      </c>
      <c r="O2854" s="61"/>
      <c r="P2854" s="475">
        <v>45933</v>
      </c>
      <c r="Q2854" s="475">
        <v>45944</v>
      </c>
      <c r="R2854" s="61">
        <f t="shared" si="196"/>
        <v>4</v>
      </c>
      <c r="S2854" s="61" t="str">
        <f t="shared" si="197"/>
        <v/>
      </c>
      <c r="T2854" s="61">
        <f t="shared" si="199"/>
        <v>11</v>
      </c>
      <c r="U2854" s="61">
        <f t="shared" si="198"/>
        <v>7</v>
      </c>
      <c r="V2854" s="61" t="s">
        <v>150</v>
      </c>
      <c r="W2854" s="61" t="s">
        <v>1078</v>
      </c>
      <c r="X2854" s="61" t="s">
        <v>50</v>
      </c>
      <c r="Y2854" s="61">
        <v>15.579499999999999</v>
      </c>
      <c r="Z2854" s="61">
        <v>120.67749999999999</v>
      </c>
      <c r="AA2854" s="61" t="s">
        <v>8492</v>
      </c>
      <c r="AB2854" s="61" t="s">
        <v>8801</v>
      </c>
    </row>
    <row r="2855" spans="1:28" s="2" customFormat="1" ht="15">
      <c r="A2855" s="61" t="s">
        <v>779</v>
      </c>
      <c r="B2855" s="61" t="s">
        <v>1474</v>
      </c>
      <c r="C2855" s="61" t="s">
        <v>6316</v>
      </c>
      <c r="D2855" s="61" t="s">
        <v>7838</v>
      </c>
      <c r="E2855" s="61">
        <v>2268</v>
      </c>
      <c r="F2855" s="61">
        <v>2232</v>
      </c>
      <c r="G2855" s="61"/>
      <c r="H2855" s="61"/>
      <c r="I2855" s="61" t="s">
        <v>39</v>
      </c>
      <c r="J2855" s="61"/>
      <c r="K2855" s="61" t="s">
        <v>328</v>
      </c>
      <c r="L2855" s="61"/>
      <c r="M2855" s="61"/>
      <c r="N2855" s="61"/>
      <c r="O2855" s="61"/>
      <c r="P2855" s="61"/>
      <c r="Q2855" s="61"/>
      <c r="R2855" s="61" t="str">
        <f t="shared" si="196"/>
        <v/>
      </c>
      <c r="S2855" s="61" t="str">
        <f t="shared" si="197"/>
        <v/>
      </c>
      <c r="T2855" s="61" t="str">
        <f t="shared" si="199"/>
        <v/>
      </c>
      <c r="U2855" s="61" t="str">
        <f t="shared" si="198"/>
        <v/>
      </c>
      <c r="V2855" s="61"/>
      <c r="W2855" s="61"/>
      <c r="X2855" s="61"/>
      <c r="Y2855" s="61"/>
      <c r="Z2855" s="61"/>
      <c r="AA2855" s="61"/>
      <c r="AB2855" s="61"/>
    </row>
    <row r="2856" spans="1:28" s="2" customFormat="1" ht="15">
      <c r="A2856" s="61" t="s">
        <v>779</v>
      </c>
      <c r="B2856" s="61" t="s">
        <v>1474</v>
      </c>
      <c r="C2856" s="61" t="s">
        <v>3975</v>
      </c>
      <c r="D2856" s="61" t="s">
        <v>7838</v>
      </c>
      <c r="E2856" s="61">
        <v>5230</v>
      </c>
      <c r="F2856" s="61">
        <v>5837</v>
      </c>
      <c r="G2856" s="61"/>
      <c r="H2856" s="61"/>
      <c r="I2856" s="61" t="s">
        <v>39</v>
      </c>
      <c r="J2856" s="61"/>
      <c r="K2856" s="61" t="s">
        <v>328</v>
      </c>
      <c r="L2856" s="61"/>
      <c r="M2856" s="61"/>
      <c r="N2856" s="475"/>
      <c r="O2856" s="61"/>
      <c r="P2856" s="61"/>
      <c r="Q2856" s="61"/>
      <c r="R2856" s="61" t="str">
        <f t="shared" si="196"/>
        <v/>
      </c>
      <c r="S2856" s="61" t="str">
        <f t="shared" si="197"/>
        <v/>
      </c>
      <c r="T2856" s="61" t="str">
        <f t="shared" si="199"/>
        <v/>
      </c>
      <c r="U2856" s="61" t="str">
        <f t="shared" si="198"/>
        <v/>
      </c>
      <c r="V2856" s="61"/>
      <c r="W2856" s="61"/>
      <c r="X2856" s="61"/>
      <c r="Y2856" s="61"/>
      <c r="Z2856" s="61"/>
      <c r="AA2856" s="61"/>
      <c r="AB2856" s="61"/>
    </row>
    <row r="2857" spans="1:28" s="2" customFormat="1" ht="28.5">
      <c r="A2857" s="61" t="s">
        <v>779</v>
      </c>
      <c r="B2857" s="61" t="s">
        <v>1474</v>
      </c>
      <c r="C2857" s="61" t="s">
        <v>5583</v>
      </c>
      <c r="D2857" s="61" t="s">
        <v>7838</v>
      </c>
      <c r="E2857" s="61">
        <v>1561</v>
      </c>
      <c r="F2857" s="61">
        <v>1572</v>
      </c>
      <c r="G2857" s="61">
        <v>2025</v>
      </c>
      <c r="H2857" s="61" t="s">
        <v>3128</v>
      </c>
      <c r="I2857" s="61" t="s">
        <v>39</v>
      </c>
      <c r="J2857" s="61"/>
      <c r="K2857" s="61" t="s">
        <v>28</v>
      </c>
      <c r="L2857" s="61" t="s">
        <v>9335</v>
      </c>
      <c r="M2857" s="475">
        <v>45912</v>
      </c>
      <c r="N2857" s="475">
        <v>45918</v>
      </c>
      <c r="O2857" s="61"/>
      <c r="P2857" s="475">
        <v>45933</v>
      </c>
      <c r="Q2857" s="475">
        <v>45944</v>
      </c>
      <c r="R2857" s="61">
        <f t="shared" si="196"/>
        <v>4</v>
      </c>
      <c r="S2857" s="61" t="str">
        <f t="shared" si="197"/>
        <v/>
      </c>
      <c r="T2857" s="61">
        <f t="shared" si="199"/>
        <v>11</v>
      </c>
      <c r="U2857" s="61">
        <f t="shared" si="198"/>
        <v>7</v>
      </c>
      <c r="V2857" s="61" t="s">
        <v>150</v>
      </c>
      <c r="W2857" s="61" t="s">
        <v>1078</v>
      </c>
      <c r="X2857" s="61" t="s">
        <v>50</v>
      </c>
      <c r="Y2857" s="61">
        <v>15.5966</v>
      </c>
      <c r="Z2857" s="61">
        <v>120.6815</v>
      </c>
      <c r="AA2857" s="61" t="s">
        <v>8492</v>
      </c>
      <c r="AB2857" s="61" t="s">
        <v>8801</v>
      </c>
    </row>
    <row r="2858" spans="1:28" s="2" customFormat="1" ht="28.5">
      <c r="A2858" s="61" t="s">
        <v>779</v>
      </c>
      <c r="B2858" s="61" t="s">
        <v>1474</v>
      </c>
      <c r="C2858" s="61" t="s">
        <v>1520</v>
      </c>
      <c r="D2858" s="61" t="s">
        <v>7838</v>
      </c>
      <c r="E2858" s="61">
        <v>1672</v>
      </c>
      <c r="F2858" s="61">
        <v>1774</v>
      </c>
      <c r="G2858" s="61">
        <v>2025</v>
      </c>
      <c r="H2858" s="61" t="s">
        <v>3127</v>
      </c>
      <c r="I2858" s="61" t="s">
        <v>39</v>
      </c>
      <c r="J2858" s="61"/>
      <c r="K2858" s="61" t="s">
        <v>328</v>
      </c>
      <c r="L2858" s="61" t="s">
        <v>9336</v>
      </c>
      <c r="M2858" s="475">
        <v>45911</v>
      </c>
      <c r="N2858" s="475">
        <v>45915</v>
      </c>
      <c r="O2858" s="61"/>
      <c r="P2858" s="475">
        <v>45917</v>
      </c>
      <c r="Q2858" s="475">
        <v>45919</v>
      </c>
      <c r="R2858" s="61">
        <f t="shared" si="196"/>
        <v>2</v>
      </c>
      <c r="S2858" s="61" t="str">
        <f t="shared" si="197"/>
        <v/>
      </c>
      <c r="T2858" s="61">
        <f t="shared" si="199"/>
        <v>2</v>
      </c>
      <c r="U2858" s="61">
        <f t="shared" si="198"/>
        <v>2</v>
      </c>
      <c r="V2858" s="61" t="s">
        <v>150</v>
      </c>
      <c r="W2858" s="61" t="s">
        <v>1078</v>
      </c>
      <c r="X2858" s="61" t="s">
        <v>50</v>
      </c>
      <c r="Y2858" s="61">
        <v>15.5297</v>
      </c>
      <c r="Z2858" s="61">
        <v>120.7064</v>
      </c>
      <c r="AA2858" s="61" t="s">
        <v>8492</v>
      </c>
      <c r="AB2858" s="61"/>
    </row>
    <row r="2859" spans="1:28" s="2" customFormat="1" ht="28.5">
      <c r="A2859" s="61" t="s">
        <v>780</v>
      </c>
      <c r="B2859" s="61" t="s">
        <v>1210</v>
      </c>
      <c r="C2859" s="61" t="s">
        <v>6339</v>
      </c>
      <c r="D2859" s="61" t="s">
        <v>159</v>
      </c>
      <c r="E2859" s="61">
        <v>276</v>
      </c>
      <c r="F2859" s="61">
        <v>864</v>
      </c>
      <c r="G2859" s="61">
        <v>2025</v>
      </c>
      <c r="H2859" s="61" t="s">
        <v>3129</v>
      </c>
      <c r="I2859" s="61" t="s">
        <v>1212</v>
      </c>
      <c r="J2859" s="471" t="s">
        <v>9337</v>
      </c>
      <c r="K2859" s="61" t="s">
        <v>2393</v>
      </c>
      <c r="L2859" s="61" t="s">
        <v>9338</v>
      </c>
      <c r="M2859" s="502">
        <v>45910</v>
      </c>
      <c r="N2859" s="502">
        <v>45916</v>
      </c>
      <c r="O2859" s="502">
        <v>45917</v>
      </c>
      <c r="P2859" s="502">
        <v>45917</v>
      </c>
      <c r="Q2859" s="502">
        <v>45918</v>
      </c>
      <c r="R2859" s="61">
        <f t="shared" si="196"/>
        <v>4</v>
      </c>
      <c r="S2859" s="61">
        <f t="shared" si="197"/>
        <v>1</v>
      </c>
      <c r="T2859" s="61">
        <f t="shared" si="199"/>
        <v>1</v>
      </c>
      <c r="U2859" s="61">
        <f t="shared" si="198"/>
        <v>1</v>
      </c>
      <c r="V2859" s="61" t="s">
        <v>150</v>
      </c>
      <c r="W2859" s="61" t="s">
        <v>4</v>
      </c>
      <c r="X2859" s="61" t="s">
        <v>50</v>
      </c>
      <c r="Y2859" s="61"/>
      <c r="Z2859" s="61"/>
      <c r="AA2859" s="61" t="s">
        <v>9339</v>
      </c>
      <c r="AB2859" s="61" t="s">
        <v>9340</v>
      </c>
    </row>
    <row r="2860" spans="1:28" s="2" customFormat="1" ht="28.5">
      <c r="A2860" s="61" t="s">
        <v>780</v>
      </c>
      <c r="B2860" s="61" t="s">
        <v>1210</v>
      </c>
      <c r="C2860" s="61" t="s">
        <v>1211</v>
      </c>
      <c r="D2860" s="61" t="s">
        <v>159</v>
      </c>
      <c r="E2860" s="61">
        <v>2728</v>
      </c>
      <c r="F2860" s="61">
        <v>2926</v>
      </c>
      <c r="G2860" s="61">
        <v>2025</v>
      </c>
      <c r="H2860" s="61" t="s">
        <v>3129</v>
      </c>
      <c r="I2860" s="61" t="s">
        <v>1212</v>
      </c>
      <c r="J2860" s="471" t="s">
        <v>9337</v>
      </c>
      <c r="K2860" s="61" t="s">
        <v>2393</v>
      </c>
      <c r="L2860" s="61" t="s">
        <v>9338</v>
      </c>
      <c r="M2860" s="502">
        <v>45910</v>
      </c>
      <c r="N2860" s="502">
        <v>45916</v>
      </c>
      <c r="O2860" s="502">
        <v>45917</v>
      </c>
      <c r="P2860" s="502">
        <v>45917</v>
      </c>
      <c r="Q2860" s="502">
        <v>45918</v>
      </c>
      <c r="R2860" s="61">
        <f t="shared" si="196"/>
        <v>4</v>
      </c>
      <c r="S2860" s="61">
        <f t="shared" si="197"/>
        <v>1</v>
      </c>
      <c r="T2860" s="61">
        <f t="shared" si="199"/>
        <v>1</v>
      </c>
      <c r="U2860" s="61">
        <f t="shared" si="198"/>
        <v>1</v>
      </c>
      <c r="V2860" s="61" t="s">
        <v>150</v>
      </c>
      <c r="W2860" s="61" t="s">
        <v>4</v>
      </c>
      <c r="X2860" s="61" t="s">
        <v>50</v>
      </c>
      <c r="Y2860" s="61"/>
      <c r="Z2860" s="61"/>
      <c r="AA2860" s="61" t="s">
        <v>9339</v>
      </c>
      <c r="AB2860" s="61" t="s">
        <v>9340</v>
      </c>
    </row>
    <row r="2861" spans="1:28" s="2" customFormat="1" ht="28.5">
      <c r="A2861" s="61" t="s">
        <v>780</v>
      </c>
      <c r="B2861" s="61" t="s">
        <v>1210</v>
      </c>
      <c r="C2861" s="61" t="s">
        <v>918</v>
      </c>
      <c r="D2861" s="61" t="s">
        <v>159</v>
      </c>
      <c r="E2861" s="61">
        <v>7002</v>
      </c>
      <c r="F2861" s="61">
        <v>8856</v>
      </c>
      <c r="G2861" s="61">
        <v>2025</v>
      </c>
      <c r="H2861" s="61" t="s">
        <v>3127</v>
      </c>
      <c r="I2861" s="61" t="s">
        <v>1212</v>
      </c>
      <c r="J2861" s="471" t="s">
        <v>9337</v>
      </c>
      <c r="K2861" s="61" t="s">
        <v>2393</v>
      </c>
      <c r="L2861" s="61" t="s">
        <v>9338</v>
      </c>
      <c r="M2861" s="502">
        <v>45910</v>
      </c>
      <c r="N2861" s="502">
        <v>45916</v>
      </c>
      <c r="O2861" s="502">
        <v>45917</v>
      </c>
      <c r="P2861" s="502">
        <v>46000</v>
      </c>
      <c r="Q2861" s="502">
        <v>46003</v>
      </c>
      <c r="R2861" s="61">
        <f t="shared" si="196"/>
        <v>4</v>
      </c>
      <c r="S2861" s="61">
        <f t="shared" si="197"/>
        <v>1</v>
      </c>
      <c r="T2861" s="61">
        <f t="shared" si="199"/>
        <v>59</v>
      </c>
      <c r="U2861" s="61">
        <f t="shared" si="198"/>
        <v>3</v>
      </c>
      <c r="V2861" s="61"/>
      <c r="W2861" s="61" t="s">
        <v>4</v>
      </c>
      <c r="X2861" s="61" t="s">
        <v>57</v>
      </c>
      <c r="Y2861" s="61"/>
      <c r="Z2861" s="61"/>
      <c r="AA2861" s="61" t="s">
        <v>9339</v>
      </c>
      <c r="AB2861" s="61" t="s">
        <v>9340</v>
      </c>
    </row>
    <row r="2862" spans="1:28" s="2" customFormat="1" ht="28.5">
      <c r="A2862" s="61" t="s">
        <v>780</v>
      </c>
      <c r="B2862" s="61" t="s">
        <v>1210</v>
      </c>
      <c r="C2862" s="61" t="s">
        <v>1170</v>
      </c>
      <c r="D2862" s="61" t="s">
        <v>159</v>
      </c>
      <c r="E2862" s="61">
        <v>2025</v>
      </c>
      <c r="F2862" s="61">
        <v>2331</v>
      </c>
      <c r="G2862" s="61">
        <v>2025</v>
      </c>
      <c r="H2862" s="61" t="s">
        <v>3127</v>
      </c>
      <c r="I2862" s="61" t="s">
        <v>1212</v>
      </c>
      <c r="J2862" s="471" t="s">
        <v>9337</v>
      </c>
      <c r="K2862" s="61" t="s">
        <v>2393</v>
      </c>
      <c r="L2862" s="61" t="s">
        <v>9338</v>
      </c>
      <c r="M2862" s="502">
        <v>45910</v>
      </c>
      <c r="N2862" s="502">
        <v>45916</v>
      </c>
      <c r="O2862" s="502">
        <v>45917</v>
      </c>
      <c r="P2862" s="502">
        <v>46000</v>
      </c>
      <c r="Q2862" s="502">
        <v>46003</v>
      </c>
      <c r="R2862" s="61">
        <f t="shared" si="196"/>
        <v>4</v>
      </c>
      <c r="S2862" s="61">
        <f t="shared" si="197"/>
        <v>1</v>
      </c>
      <c r="T2862" s="61">
        <f t="shared" si="199"/>
        <v>59</v>
      </c>
      <c r="U2862" s="61">
        <f t="shared" si="198"/>
        <v>3</v>
      </c>
      <c r="V2862" s="61"/>
      <c r="W2862" s="61" t="s">
        <v>4</v>
      </c>
      <c r="X2862" s="61" t="s">
        <v>50</v>
      </c>
      <c r="Y2862" s="61"/>
      <c r="Z2862" s="61"/>
      <c r="AA2862" s="61" t="s">
        <v>9339</v>
      </c>
      <c r="AB2862" s="61" t="s">
        <v>9340</v>
      </c>
    </row>
    <row r="2863" spans="1:28" s="2" customFormat="1" ht="28.5">
      <c r="A2863" s="61" t="s">
        <v>780</v>
      </c>
      <c r="B2863" s="61" t="s">
        <v>1210</v>
      </c>
      <c r="C2863" s="61" t="s">
        <v>2042</v>
      </c>
      <c r="D2863" s="61" t="s">
        <v>159</v>
      </c>
      <c r="E2863" s="61">
        <v>11393</v>
      </c>
      <c r="F2863" s="61">
        <v>14122</v>
      </c>
      <c r="G2863" s="61">
        <v>2025</v>
      </c>
      <c r="H2863" s="61" t="s">
        <v>3127</v>
      </c>
      <c r="I2863" s="61" t="s">
        <v>1212</v>
      </c>
      <c r="J2863" s="471" t="s">
        <v>9337</v>
      </c>
      <c r="K2863" s="61" t="s">
        <v>2393</v>
      </c>
      <c r="L2863" s="61" t="s">
        <v>9338</v>
      </c>
      <c r="M2863" s="502">
        <v>45910</v>
      </c>
      <c r="N2863" s="502">
        <v>45916</v>
      </c>
      <c r="O2863" s="502">
        <v>45917</v>
      </c>
      <c r="P2863" s="502">
        <v>46000</v>
      </c>
      <c r="Q2863" s="502">
        <v>46003</v>
      </c>
      <c r="R2863" s="61">
        <f t="shared" si="196"/>
        <v>4</v>
      </c>
      <c r="S2863" s="61">
        <f t="shared" si="197"/>
        <v>1</v>
      </c>
      <c r="T2863" s="61">
        <f t="shared" si="199"/>
        <v>59</v>
      </c>
      <c r="U2863" s="61">
        <f t="shared" si="198"/>
        <v>3</v>
      </c>
      <c r="V2863" s="61"/>
      <c r="W2863" s="61" t="s">
        <v>4</v>
      </c>
      <c r="X2863" s="61" t="s">
        <v>50</v>
      </c>
      <c r="Y2863" s="61"/>
      <c r="Z2863" s="61"/>
      <c r="AA2863" s="61" t="s">
        <v>9339</v>
      </c>
      <c r="AB2863" s="61" t="s">
        <v>9340</v>
      </c>
    </row>
    <row r="2864" spans="1:28" s="2" customFormat="1" ht="28.5">
      <c r="A2864" s="61" t="s">
        <v>780</v>
      </c>
      <c r="B2864" s="61" t="s">
        <v>1210</v>
      </c>
      <c r="C2864" s="61" t="s">
        <v>885</v>
      </c>
      <c r="D2864" s="61" t="s">
        <v>159</v>
      </c>
      <c r="E2864" s="61">
        <v>4145</v>
      </c>
      <c r="F2864" s="61">
        <v>4524</v>
      </c>
      <c r="G2864" s="61">
        <v>2025</v>
      </c>
      <c r="H2864" s="61" t="s">
        <v>3127</v>
      </c>
      <c r="I2864" s="61" t="s">
        <v>1212</v>
      </c>
      <c r="J2864" s="471" t="s">
        <v>9337</v>
      </c>
      <c r="K2864" s="61" t="s">
        <v>2393</v>
      </c>
      <c r="L2864" s="61" t="s">
        <v>9338</v>
      </c>
      <c r="M2864" s="502">
        <v>45910</v>
      </c>
      <c r="N2864" s="502">
        <v>45916</v>
      </c>
      <c r="O2864" s="502">
        <v>45917</v>
      </c>
      <c r="P2864" s="502">
        <v>46000</v>
      </c>
      <c r="Q2864" s="502">
        <v>46003</v>
      </c>
      <c r="R2864" s="61">
        <f t="shared" si="196"/>
        <v>4</v>
      </c>
      <c r="S2864" s="61">
        <f t="shared" si="197"/>
        <v>1</v>
      </c>
      <c r="T2864" s="61">
        <f t="shared" si="199"/>
        <v>59</v>
      </c>
      <c r="U2864" s="61">
        <f t="shared" si="198"/>
        <v>3</v>
      </c>
      <c r="V2864" s="61"/>
      <c r="W2864" s="61" t="s">
        <v>1078</v>
      </c>
      <c r="X2864" s="61" t="s">
        <v>57</v>
      </c>
      <c r="Y2864" s="61"/>
      <c r="Z2864" s="61"/>
      <c r="AA2864" s="61" t="s">
        <v>9339</v>
      </c>
      <c r="AB2864" s="61" t="s">
        <v>9340</v>
      </c>
    </row>
    <row r="2865" spans="1:28" s="2" customFormat="1" ht="28.5">
      <c r="A2865" s="61" t="s">
        <v>780</v>
      </c>
      <c r="B2865" s="61" t="s">
        <v>1210</v>
      </c>
      <c r="C2865" s="61" t="s">
        <v>6354</v>
      </c>
      <c r="D2865" s="61" t="s">
        <v>159</v>
      </c>
      <c r="E2865" s="61">
        <v>860</v>
      </c>
      <c r="F2865" s="61">
        <v>946</v>
      </c>
      <c r="G2865" s="61">
        <v>2025</v>
      </c>
      <c r="H2865" s="61" t="s">
        <v>3127</v>
      </c>
      <c r="I2865" s="61" t="s">
        <v>1212</v>
      </c>
      <c r="J2865" s="471" t="s">
        <v>9337</v>
      </c>
      <c r="K2865" s="61" t="s">
        <v>2393</v>
      </c>
      <c r="L2865" s="61" t="s">
        <v>9338</v>
      </c>
      <c r="M2865" s="502">
        <v>45910</v>
      </c>
      <c r="N2865" s="502">
        <v>45916</v>
      </c>
      <c r="O2865" s="502">
        <v>45917</v>
      </c>
      <c r="P2865" s="502">
        <v>46000</v>
      </c>
      <c r="Q2865" s="502">
        <v>46003</v>
      </c>
      <c r="R2865" s="61">
        <f t="shared" si="196"/>
        <v>4</v>
      </c>
      <c r="S2865" s="61">
        <f t="shared" si="197"/>
        <v>1</v>
      </c>
      <c r="T2865" s="61">
        <f t="shared" si="199"/>
        <v>59</v>
      </c>
      <c r="U2865" s="61">
        <f t="shared" si="198"/>
        <v>3</v>
      </c>
      <c r="V2865" s="61"/>
      <c r="W2865" s="61" t="s">
        <v>1078</v>
      </c>
      <c r="X2865" s="61" t="s">
        <v>57</v>
      </c>
      <c r="Y2865" s="61"/>
      <c r="Z2865" s="61"/>
      <c r="AA2865" s="61" t="s">
        <v>9339</v>
      </c>
      <c r="AB2865" s="61" t="s">
        <v>9340</v>
      </c>
    </row>
    <row r="2866" spans="1:28" s="2" customFormat="1" ht="28.5">
      <c r="A2866" s="61" t="s">
        <v>780</v>
      </c>
      <c r="B2866" s="61" t="s">
        <v>1210</v>
      </c>
      <c r="C2866" s="61" t="s">
        <v>1180</v>
      </c>
      <c r="D2866" s="61" t="s">
        <v>159</v>
      </c>
      <c r="E2866" s="61">
        <v>1533</v>
      </c>
      <c r="F2866" s="61">
        <v>1802</v>
      </c>
      <c r="G2866" s="61">
        <v>2025</v>
      </c>
      <c r="H2866" s="61" t="s">
        <v>3127</v>
      </c>
      <c r="I2866" s="61" t="s">
        <v>1212</v>
      </c>
      <c r="J2866" s="471" t="s">
        <v>9337</v>
      </c>
      <c r="K2866" s="61" t="s">
        <v>2393</v>
      </c>
      <c r="L2866" s="61" t="s">
        <v>9338</v>
      </c>
      <c r="M2866" s="502">
        <v>45910</v>
      </c>
      <c r="N2866" s="502">
        <v>45916</v>
      </c>
      <c r="O2866" s="502">
        <v>45917</v>
      </c>
      <c r="P2866" s="502">
        <v>46000</v>
      </c>
      <c r="Q2866" s="502">
        <v>46003</v>
      </c>
      <c r="R2866" s="61">
        <f t="shared" si="196"/>
        <v>4</v>
      </c>
      <c r="S2866" s="61">
        <f t="shared" si="197"/>
        <v>1</v>
      </c>
      <c r="T2866" s="61">
        <f t="shared" si="199"/>
        <v>59</v>
      </c>
      <c r="U2866" s="61">
        <f t="shared" si="198"/>
        <v>3</v>
      </c>
      <c r="V2866" s="61"/>
      <c r="W2866" s="61" t="s">
        <v>1078</v>
      </c>
      <c r="X2866" s="61" t="s">
        <v>57</v>
      </c>
      <c r="Y2866" s="61"/>
      <c r="Z2866" s="61"/>
      <c r="AA2866" s="61" t="s">
        <v>9339</v>
      </c>
      <c r="AB2866" s="61" t="s">
        <v>9340</v>
      </c>
    </row>
    <row r="2867" spans="1:28" s="2" customFormat="1" ht="28.5">
      <c r="A2867" s="61" t="s">
        <v>780</v>
      </c>
      <c r="B2867" s="61" t="s">
        <v>1210</v>
      </c>
      <c r="C2867" s="61" t="s">
        <v>6359</v>
      </c>
      <c r="D2867" s="61" t="s">
        <v>159</v>
      </c>
      <c r="E2867" s="61">
        <v>1733</v>
      </c>
      <c r="F2867" s="61">
        <v>1827</v>
      </c>
      <c r="G2867" s="61">
        <v>2025</v>
      </c>
      <c r="H2867" s="61" t="s">
        <v>3127</v>
      </c>
      <c r="I2867" s="61" t="s">
        <v>1212</v>
      </c>
      <c r="J2867" s="471" t="s">
        <v>9337</v>
      </c>
      <c r="K2867" s="61" t="s">
        <v>2393</v>
      </c>
      <c r="L2867" s="61" t="s">
        <v>9338</v>
      </c>
      <c r="M2867" s="502">
        <v>45910</v>
      </c>
      <c r="N2867" s="502">
        <v>45916</v>
      </c>
      <c r="O2867" s="502">
        <v>45917</v>
      </c>
      <c r="P2867" s="502">
        <v>46000</v>
      </c>
      <c r="Q2867" s="502">
        <v>46003</v>
      </c>
      <c r="R2867" s="61">
        <f t="shared" si="196"/>
        <v>4</v>
      </c>
      <c r="S2867" s="61">
        <f t="shared" si="197"/>
        <v>1</v>
      </c>
      <c r="T2867" s="61">
        <f t="shared" si="199"/>
        <v>59</v>
      </c>
      <c r="U2867" s="61">
        <f t="shared" si="198"/>
        <v>3</v>
      </c>
      <c r="V2867" s="61"/>
      <c r="W2867" s="61" t="s">
        <v>3527</v>
      </c>
      <c r="X2867" s="61" t="s">
        <v>3528</v>
      </c>
      <c r="Y2867" s="61"/>
      <c r="Z2867" s="61"/>
      <c r="AA2867" s="61" t="s">
        <v>9339</v>
      </c>
      <c r="AB2867" s="61" t="s">
        <v>9340</v>
      </c>
    </row>
    <row r="2868" spans="1:28" s="2" customFormat="1" ht="28.5">
      <c r="A2868" s="61" t="s">
        <v>780</v>
      </c>
      <c r="B2868" s="61" t="s">
        <v>1210</v>
      </c>
      <c r="C2868" s="61" t="s">
        <v>6328</v>
      </c>
      <c r="D2868" s="61" t="s">
        <v>159</v>
      </c>
      <c r="E2868" s="61">
        <v>1126</v>
      </c>
      <c r="F2868" s="61">
        <v>1239</v>
      </c>
      <c r="G2868" s="61">
        <v>2025</v>
      </c>
      <c r="H2868" s="61" t="s">
        <v>3532</v>
      </c>
      <c r="I2868" s="61" t="s">
        <v>1212</v>
      </c>
      <c r="J2868" s="471" t="s">
        <v>163</v>
      </c>
      <c r="K2868" s="61" t="s">
        <v>2393</v>
      </c>
      <c r="L2868" s="471" t="s">
        <v>9341</v>
      </c>
      <c r="M2868" s="502">
        <v>45791</v>
      </c>
      <c r="N2868" s="502">
        <v>45796</v>
      </c>
      <c r="O2868" s="502">
        <v>45797</v>
      </c>
      <c r="P2868" s="502">
        <v>45797</v>
      </c>
      <c r="Q2868" s="502">
        <v>45797</v>
      </c>
      <c r="R2868" s="61">
        <f t="shared" si="196"/>
        <v>3</v>
      </c>
      <c r="S2868" s="61">
        <f t="shared" si="197"/>
        <v>1</v>
      </c>
      <c r="T2868" s="61">
        <f t="shared" si="199"/>
        <v>1</v>
      </c>
      <c r="U2868" s="61">
        <f t="shared" si="198"/>
        <v>1</v>
      </c>
      <c r="V2868" s="61" t="s">
        <v>150</v>
      </c>
      <c r="W2868" s="61" t="s">
        <v>4</v>
      </c>
      <c r="X2868" s="61" t="s">
        <v>50</v>
      </c>
      <c r="Y2868" s="61">
        <v>15.2363</v>
      </c>
      <c r="Z2868" s="61">
        <v>120.01519999999999</v>
      </c>
      <c r="AA2868" s="61" t="s">
        <v>9342</v>
      </c>
      <c r="AB2868" s="61"/>
    </row>
    <row r="2869" spans="1:28" s="2" customFormat="1" ht="28.5">
      <c r="A2869" s="61" t="s">
        <v>780</v>
      </c>
      <c r="B2869" s="61" t="s">
        <v>1210</v>
      </c>
      <c r="C2869" s="61" t="s">
        <v>1525</v>
      </c>
      <c r="D2869" s="61" t="s">
        <v>159</v>
      </c>
      <c r="E2869" s="61">
        <v>2057</v>
      </c>
      <c r="F2869" s="61">
        <v>2405</v>
      </c>
      <c r="G2869" s="61">
        <v>2025</v>
      </c>
      <c r="H2869" s="61" t="s">
        <v>3532</v>
      </c>
      <c r="I2869" s="61" t="s">
        <v>1212</v>
      </c>
      <c r="J2869" s="471" t="s">
        <v>163</v>
      </c>
      <c r="K2869" s="61" t="s">
        <v>2393</v>
      </c>
      <c r="L2869" s="471" t="s">
        <v>9343</v>
      </c>
      <c r="M2869" s="502">
        <v>45791</v>
      </c>
      <c r="N2869" s="502">
        <v>45796</v>
      </c>
      <c r="O2869" s="502">
        <v>45797</v>
      </c>
      <c r="P2869" s="502">
        <v>45797</v>
      </c>
      <c r="Q2869" s="502">
        <v>45797</v>
      </c>
      <c r="R2869" s="61">
        <f t="shared" si="196"/>
        <v>3</v>
      </c>
      <c r="S2869" s="61">
        <f t="shared" si="197"/>
        <v>1</v>
      </c>
      <c r="T2869" s="61">
        <f t="shared" si="199"/>
        <v>1</v>
      </c>
      <c r="U2869" s="61">
        <f t="shared" si="198"/>
        <v>1</v>
      </c>
      <c r="V2869" s="61" t="s">
        <v>150</v>
      </c>
      <c r="W2869" s="61" t="s">
        <v>4</v>
      </c>
      <c r="X2869" s="61" t="s">
        <v>50</v>
      </c>
      <c r="Y2869" s="61">
        <v>15.2819</v>
      </c>
      <c r="Z2869" s="61">
        <v>120.0333</v>
      </c>
      <c r="AA2869" s="61" t="s">
        <v>9342</v>
      </c>
      <c r="AB2869" s="61"/>
    </row>
    <row r="2870" spans="1:28" s="2" customFormat="1" ht="28.5">
      <c r="A2870" s="61" t="s">
        <v>780</v>
      </c>
      <c r="B2870" s="61" t="s">
        <v>1210</v>
      </c>
      <c r="C2870" s="61" t="s">
        <v>6348</v>
      </c>
      <c r="D2870" s="61" t="s">
        <v>159</v>
      </c>
      <c r="E2870" s="61">
        <v>1598</v>
      </c>
      <c r="F2870" s="61">
        <v>1935</v>
      </c>
      <c r="G2870" s="61">
        <v>2025</v>
      </c>
      <c r="H2870" s="61" t="s">
        <v>3689</v>
      </c>
      <c r="I2870" s="61" t="s">
        <v>1212</v>
      </c>
      <c r="J2870" s="471" t="s">
        <v>163</v>
      </c>
      <c r="K2870" s="61" t="s">
        <v>2393</v>
      </c>
      <c r="L2870" s="471" t="s">
        <v>9344</v>
      </c>
      <c r="M2870" s="502">
        <v>45819</v>
      </c>
      <c r="N2870" s="502">
        <v>45824</v>
      </c>
      <c r="O2870" s="502">
        <v>45825</v>
      </c>
      <c r="P2870" s="502">
        <v>45825</v>
      </c>
      <c r="Q2870" s="502">
        <v>45825</v>
      </c>
      <c r="R2870" s="61">
        <f t="shared" si="196"/>
        <v>3</v>
      </c>
      <c r="S2870" s="61">
        <f t="shared" si="197"/>
        <v>1</v>
      </c>
      <c r="T2870" s="61">
        <f t="shared" si="199"/>
        <v>1</v>
      </c>
      <c r="U2870" s="61">
        <f t="shared" si="198"/>
        <v>1</v>
      </c>
      <c r="V2870" s="61" t="s">
        <v>150</v>
      </c>
      <c r="W2870" s="61" t="s">
        <v>4</v>
      </c>
      <c r="X2870" s="61" t="s">
        <v>50</v>
      </c>
      <c r="Y2870" s="61">
        <v>15.285</v>
      </c>
      <c r="Z2870" s="61">
        <v>120.0227</v>
      </c>
      <c r="AA2870" s="61"/>
      <c r="AB2870" s="61" t="s">
        <v>9345</v>
      </c>
    </row>
    <row r="2871" spans="1:28" s="2" customFormat="1" ht="28.5">
      <c r="A2871" s="61" t="s">
        <v>780</v>
      </c>
      <c r="B2871" s="61" t="s">
        <v>1210</v>
      </c>
      <c r="C2871" s="61" t="s">
        <v>1151</v>
      </c>
      <c r="D2871" s="61" t="s">
        <v>159</v>
      </c>
      <c r="E2871" s="61">
        <v>1355</v>
      </c>
      <c r="F2871" s="61">
        <v>1518</v>
      </c>
      <c r="G2871" s="61">
        <v>2025</v>
      </c>
      <c r="H2871" s="61" t="s">
        <v>3689</v>
      </c>
      <c r="I2871" s="61" t="s">
        <v>1212</v>
      </c>
      <c r="J2871" s="471" t="s">
        <v>163</v>
      </c>
      <c r="K2871" s="61" t="s">
        <v>2393</v>
      </c>
      <c r="L2871" s="471" t="s">
        <v>9346</v>
      </c>
      <c r="M2871" s="502">
        <v>45819</v>
      </c>
      <c r="N2871" s="502">
        <v>45824</v>
      </c>
      <c r="O2871" s="502">
        <v>45825</v>
      </c>
      <c r="P2871" s="502">
        <v>45825</v>
      </c>
      <c r="Q2871" s="502">
        <v>45825</v>
      </c>
      <c r="R2871" s="61">
        <f t="shared" ref="R2871:R2934" si="200">IF(
    OR(ISBLANK(M2871), ISBLANK(N2871)),
    "",
    MAX(1, IF(
        NETWORKDAYS(M2871, N2871) &lt;= 0,
        1,
        NETWORKDAYS(M2871, N2871) - IF(M2871 = N2871, 0, 1)
    ))
)</f>
        <v>3</v>
      </c>
      <c r="S2871" s="61">
        <f t="shared" si="197"/>
        <v>1</v>
      </c>
      <c r="T2871" s="61">
        <f t="shared" si="199"/>
        <v>1</v>
      </c>
      <c r="U2871" s="61">
        <f t="shared" si="198"/>
        <v>1</v>
      </c>
      <c r="V2871" s="61" t="s">
        <v>150</v>
      </c>
      <c r="W2871" s="61" t="s">
        <v>4</v>
      </c>
      <c r="X2871" s="61" t="s">
        <v>50</v>
      </c>
      <c r="Y2871" s="61">
        <v>15.285500000000001</v>
      </c>
      <c r="Z2871" s="61">
        <v>120.017</v>
      </c>
      <c r="AA2871" s="61"/>
      <c r="AB2871" s="61" t="s">
        <v>9347</v>
      </c>
    </row>
    <row r="2872" spans="1:28" s="2" customFormat="1" ht="28.5">
      <c r="A2872" s="61" t="s">
        <v>780</v>
      </c>
      <c r="B2872" s="61" t="s">
        <v>1210</v>
      </c>
      <c r="C2872" s="61" t="s">
        <v>6344</v>
      </c>
      <c r="D2872" s="61" t="s">
        <v>159</v>
      </c>
      <c r="E2872" s="61">
        <v>776</v>
      </c>
      <c r="F2872" s="61">
        <v>495</v>
      </c>
      <c r="G2872" s="61">
        <v>2025</v>
      </c>
      <c r="H2872" s="61" t="s">
        <v>3126</v>
      </c>
      <c r="I2872" s="61" t="s">
        <v>1212</v>
      </c>
      <c r="J2872" s="471" t="s">
        <v>9337</v>
      </c>
      <c r="K2872" s="61" t="s">
        <v>2393</v>
      </c>
      <c r="L2872" s="61" t="s">
        <v>9348</v>
      </c>
      <c r="M2872" s="502">
        <v>45881</v>
      </c>
      <c r="N2872" s="502">
        <v>45887</v>
      </c>
      <c r="O2872" s="502">
        <v>45887</v>
      </c>
      <c r="P2872" s="502">
        <v>45887</v>
      </c>
      <c r="Q2872" s="502">
        <v>45887</v>
      </c>
      <c r="R2872" s="61">
        <f t="shared" si="200"/>
        <v>4</v>
      </c>
      <c r="S2872" s="61">
        <f t="shared" ref="S2872:S2889" si="201">IF(
    OR(ISBLANK(N2872), ISBLANK(O2872)),
    "",
    MAX(1, IF(
        NETWORKDAYS(N2872, O2872) &lt;= 0,
        1,
        NETWORKDAYS(N2872, O2872) - IF(N2872 = O2872, 0, 1)
    ))
)</f>
        <v>1</v>
      </c>
      <c r="T2872" s="61">
        <f t="shared" si="199"/>
        <v>1</v>
      </c>
      <c r="U2872" s="61">
        <f t="shared" si="198"/>
        <v>1</v>
      </c>
      <c r="V2872" s="61" t="s">
        <v>150</v>
      </c>
      <c r="W2872" s="61" t="s">
        <v>1078</v>
      </c>
      <c r="X2872" s="61" t="s">
        <v>57</v>
      </c>
      <c r="Y2872" s="61"/>
      <c r="Z2872" s="61"/>
      <c r="AA2872" s="61" t="s">
        <v>9349</v>
      </c>
      <c r="AB2872" s="61" t="s">
        <v>8801</v>
      </c>
    </row>
    <row r="2873" spans="1:28" s="2" customFormat="1" ht="28.5">
      <c r="A2873" s="61" t="s">
        <v>780</v>
      </c>
      <c r="B2873" s="61" t="s">
        <v>1210</v>
      </c>
      <c r="C2873" s="61" t="s">
        <v>6355</v>
      </c>
      <c r="D2873" s="61" t="s">
        <v>159</v>
      </c>
      <c r="E2873" s="61">
        <v>998</v>
      </c>
      <c r="F2873" s="61">
        <v>1333</v>
      </c>
      <c r="G2873" s="61">
        <v>2025</v>
      </c>
      <c r="H2873" s="61" t="s">
        <v>3126</v>
      </c>
      <c r="I2873" s="61" t="s">
        <v>1212</v>
      </c>
      <c r="J2873" s="471" t="s">
        <v>9337</v>
      </c>
      <c r="K2873" s="61" t="s">
        <v>2393</v>
      </c>
      <c r="L2873" s="61" t="s">
        <v>9348</v>
      </c>
      <c r="M2873" s="502">
        <v>45881</v>
      </c>
      <c r="N2873" s="502">
        <v>45887</v>
      </c>
      <c r="O2873" s="502">
        <v>45887</v>
      </c>
      <c r="P2873" s="502">
        <v>45887</v>
      </c>
      <c r="Q2873" s="502">
        <v>45887</v>
      </c>
      <c r="R2873" s="61">
        <f t="shared" si="200"/>
        <v>4</v>
      </c>
      <c r="S2873" s="61">
        <f t="shared" si="201"/>
        <v>1</v>
      </c>
      <c r="T2873" s="61">
        <f t="shared" si="199"/>
        <v>1</v>
      </c>
      <c r="U2873" s="61">
        <f t="shared" si="198"/>
        <v>1</v>
      </c>
      <c r="V2873" s="61" t="s">
        <v>150</v>
      </c>
      <c r="W2873" s="61" t="s">
        <v>1078</v>
      </c>
      <c r="X2873" s="61" t="s">
        <v>57</v>
      </c>
      <c r="Y2873" s="61"/>
      <c r="Z2873" s="61"/>
      <c r="AA2873" s="61" t="s">
        <v>9349</v>
      </c>
      <c r="AB2873" s="61" t="s">
        <v>8801</v>
      </c>
    </row>
    <row r="2874" spans="1:28" s="2" customFormat="1" ht="28.5">
      <c r="A2874" s="61" t="s">
        <v>780</v>
      </c>
      <c r="B2874" s="61" t="s">
        <v>1210</v>
      </c>
      <c r="C2874" s="61" t="s">
        <v>6324</v>
      </c>
      <c r="D2874" s="61" t="s">
        <v>159</v>
      </c>
      <c r="E2874" s="61">
        <v>372</v>
      </c>
      <c r="F2874" s="61">
        <v>376</v>
      </c>
      <c r="G2874" s="61">
        <v>2025</v>
      </c>
      <c r="H2874" s="61" t="s">
        <v>3458</v>
      </c>
      <c r="I2874" s="471" t="s">
        <v>42</v>
      </c>
      <c r="J2874" s="471" t="s">
        <v>163</v>
      </c>
      <c r="K2874" s="61" t="s">
        <v>2393</v>
      </c>
      <c r="L2874" s="471" t="s">
        <v>9350</v>
      </c>
      <c r="M2874" s="502">
        <v>45695</v>
      </c>
      <c r="N2874" s="502">
        <v>45698</v>
      </c>
      <c r="O2874" s="502">
        <v>45699</v>
      </c>
      <c r="P2874" s="502">
        <v>45701</v>
      </c>
      <c r="Q2874" s="502">
        <v>45702</v>
      </c>
      <c r="R2874" s="61">
        <f t="shared" si="200"/>
        <v>1</v>
      </c>
      <c r="S2874" s="61">
        <f t="shared" si="201"/>
        <v>1</v>
      </c>
      <c r="T2874" s="61">
        <f t="shared" si="199"/>
        <v>2</v>
      </c>
      <c r="U2874" s="61">
        <f t="shared" ref="U2874:U2937" si="202">IF(
    OR(ISBLANK(P2874), ISBLANK(Q2874)),
    "",
    MAX(1, IF(
        NETWORKDAYS(P2874, Q2874) &lt;= 0,
        1,
        NETWORKDAYS(P2874, Q2874) - IF(P2874 = Q2874, 0, 1)
    ))
)</f>
        <v>1</v>
      </c>
      <c r="V2874" s="61" t="s">
        <v>150</v>
      </c>
      <c r="W2874" s="61" t="s">
        <v>3527</v>
      </c>
      <c r="X2874" s="61" t="s">
        <v>3528</v>
      </c>
      <c r="Y2874" s="61"/>
      <c r="Z2874" s="61"/>
      <c r="AA2874" s="61"/>
      <c r="AB2874" s="61" t="s">
        <v>9351</v>
      </c>
    </row>
    <row r="2875" spans="1:28" s="2" customFormat="1" ht="28.5">
      <c r="A2875" s="61" t="s">
        <v>780</v>
      </c>
      <c r="B2875" s="61" t="s">
        <v>1210</v>
      </c>
      <c r="C2875" s="61" t="s">
        <v>6342</v>
      </c>
      <c r="D2875" s="61" t="s">
        <v>159</v>
      </c>
      <c r="E2875" s="61">
        <v>501</v>
      </c>
      <c r="F2875" s="61">
        <v>453</v>
      </c>
      <c r="G2875" s="61">
        <v>2025</v>
      </c>
      <c r="H2875" s="61" t="s">
        <v>3126</v>
      </c>
      <c r="I2875" s="61" t="s">
        <v>1212</v>
      </c>
      <c r="J2875" s="471" t="s">
        <v>9337</v>
      </c>
      <c r="K2875" s="61" t="s">
        <v>2393</v>
      </c>
      <c r="L2875" s="61" t="s">
        <v>9348</v>
      </c>
      <c r="M2875" s="502">
        <v>45881</v>
      </c>
      <c r="N2875" s="502">
        <v>45887</v>
      </c>
      <c r="O2875" s="502">
        <v>45887</v>
      </c>
      <c r="P2875" s="502">
        <v>45887</v>
      </c>
      <c r="Q2875" s="502">
        <v>45887</v>
      </c>
      <c r="R2875" s="61">
        <f t="shared" si="200"/>
        <v>4</v>
      </c>
      <c r="S2875" s="61">
        <f t="shared" si="201"/>
        <v>1</v>
      </c>
      <c r="T2875" s="61">
        <f t="shared" si="199"/>
        <v>1</v>
      </c>
      <c r="U2875" s="61">
        <f t="shared" si="202"/>
        <v>1</v>
      </c>
      <c r="V2875" s="61" t="s">
        <v>150</v>
      </c>
      <c r="W2875" s="61" t="s">
        <v>3527</v>
      </c>
      <c r="X2875" s="61" t="s">
        <v>3528</v>
      </c>
      <c r="Y2875" s="61" t="s">
        <v>69</v>
      </c>
      <c r="Z2875" s="61" t="s">
        <v>69</v>
      </c>
      <c r="AA2875" s="61" t="s">
        <v>9349</v>
      </c>
      <c r="AB2875" s="61" t="s">
        <v>8801</v>
      </c>
    </row>
    <row r="2876" spans="1:28" s="2" customFormat="1" ht="28.5">
      <c r="A2876" s="61" t="s">
        <v>780</v>
      </c>
      <c r="B2876" s="61" t="s">
        <v>1210</v>
      </c>
      <c r="C2876" s="61" t="s">
        <v>6346</v>
      </c>
      <c r="D2876" s="61" t="s">
        <v>159</v>
      </c>
      <c r="E2876" s="61">
        <v>479</v>
      </c>
      <c r="F2876" s="61">
        <v>420</v>
      </c>
      <c r="G2876" s="61">
        <v>2025</v>
      </c>
      <c r="H2876" s="61" t="s">
        <v>3126</v>
      </c>
      <c r="I2876" s="61" t="s">
        <v>1212</v>
      </c>
      <c r="J2876" s="471" t="s">
        <v>9337</v>
      </c>
      <c r="K2876" s="61" t="s">
        <v>2393</v>
      </c>
      <c r="L2876" s="61" t="s">
        <v>9348</v>
      </c>
      <c r="M2876" s="502">
        <v>45881</v>
      </c>
      <c r="N2876" s="502">
        <v>45887</v>
      </c>
      <c r="O2876" s="502">
        <v>45887</v>
      </c>
      <c r="P2876" s="502">
        <v>45887</v>
      </c>
      <c r="Q2876" s="502">
        <v>45887</v>
      </c>
      <c r="R2876" s="61">
        <f t="shared" si="200"/>
        <v>4</v>
      </c>
      <c r="S2876" s="61">
        <f t="shared" si="201"/>
        <v>1</v>
      </c>
      <c r="T2876" s="61">
        <f t="shared" si="199"/>
        <v>1</v>
      </c>
      <c r="U2876" s="61">
        <f t="shared" si="202"/>
        <v>1</v>
      </c>
      <c r="V2876" s="61" t="s">
        <v>150</v>
      </c>
      <c r="W2876" s="61" t="s">
        <v>3527</v>
      </c>
      <c r="X2876" s="61" t="s">
        <v>3528</v>
      </c>
      <c r="Y2876" s="61" t="s">
        <v>69</v>
      </c>
      <c r="Z2876" s="61" t="s">
        <v>69</v>
      </c>
      <c r="AA2876" s="61" t="s">
        <v>9349</v>
      </c>
      <c r="AB2876" s="61" t="s">
        <v>8801</v>
      </c>
    </row>
    <row r="2877" spans="1:28" s="2" customFormat="1" ht="28.5">
      <c r="A2877" s="61" t="s">
        <v>780</v>
      </c>
      <c r="B2877" s="61" t="s">
        <v>1210</v>
      </c>
      <c r="C2877" s="61" t="s">
        <v>6349</v>
      </c>
      <c r="D2877" s="61" t="s">
        <v>159</v>
      </c>
      <c r="E2877" s="61">
        <v>409</v>
      </c>
      <c r="F2877" s="61">
        <v>455</v>
      </c>
      <c r="G2877" s="61">
        <v>2025</v>
      </c>
      <c r="H2877" s="61" t="s">
        <v>3458</v>
      </c>
      <c r="I2877" s="471" t="s">
        <v>42</v>
      </c>
      <c r="J2877" s="471" t="s">
        <v>163</v>
      </c>
      <c r="K2877" s="61" t="s">
        <v>2393</v>
      </c>
      <c r="L2877" s="471" t="s">
        <v>9352</v>
      </c>
      <c r="M2877" s="502">
        <v>45695</v>
      </c>
      <c r="N2877" s="502">
        <v>45698</v>
      </c>
      <c r="O2877" s="502">
        <v>45699</v>
      </c>
      <c r="P2877" s="502">
        <v>45701</v>
      </c>
      <c r="Q2877" s="502">
        <v>45702</v>
      </c>
      <c r="R2877" s="61">
        <f t="shared" si="200"/>
        <v>1</v>
      </c>
      <c r="S2877" s="61">
        <f t="shared" si="201"/>
        <v>1</v>
      </c>
      <c r="T2877" s="61">
        <f t="shared" si="199"/>
        <v>2</v>
      </c>
      <c r="U2877" s="61">
        <f t="shared" si="202"/>
        <v>1</v>
      </c>
      <c r="V2877" s="61" t="s">
        <v>150</v>
      </c>
      <c r="W2877" s="61" t="s">
        <v>3527</v>
      </c>
      <c r="X2877" s="61" t="s">
        <v>3528</v>
      </c>
      <c r="Y2877" s="61"/>
      <c r="Z2877" s="61"/>
      <c r="AA2877" s="61"/>
      <c r="AB2877" s="61" t="s">
        <v>9345</v>
      </c>
    </row>
    <row r="2878" spans="1:28" s="2" customFormat="1" ht="28.5">
      <c r="A2878" s="61" t="s">
        <v>780</v>
      </c>
      <c r="B2878" s="61" t="s">
        <v>1210</v>
      </c>
      <c r="C2878" s="61" t="s">
        <v>6361</v>
      </c>
      <c r="D2878" s="61" t="s">
        <v>159</v>
      </c>
      <c r="E2878" s="61">
        <v>1007</v>
      </c>
      <c r="F2878" s="61">
        <v>669</v>
      </c>
      <c r="G2878" s="61">
        <v>2025</v>
      </c>
      <c r="H2878" s="61" t="s">
        <v>3126</v>
      </c>
      <c r="I2878" s="61" t="s">
        <v>1212</v>
      </c>
      <c r="J2878" s="471" t="s">
        <v>9337</v>
      </c>
      <c r="K2878" s="61" t="s">
        <v>2393</v>
      </c>
      <c r="L2878" s="61" t="s">
        <v>9348</v>
      </c>
      <c r="M2878" s="502">
        <v>45881</v>
      </c>
      <c r="N2878" s="502">
        <v>45887</v>
      </c>
      <c r="O2878" s="502">
        <v>45887</v>
      </c>
      <c r="P2878" s="502">
        <v>45887</v>
      </c>
      <c r="Q2878" s="502">
        <v>45887</v>
      </c>
      <c r="R2878" s="61">
        <f t="shared" si="200"/>
        <v>4</v>
      </c>
      <c r="S2878" s="61">
        <f t="shared" si="201"/>
        <v>1</v>
      </c>
      <c r="T2878" s="61">
        <f t="shared" si="199"/>
        <v>1</v>
      </c>
      <c r="U2878" s="61">
        <f t="shared" si="202"/>
        <v>1</v>
      </c>
      <c r="V2878" s="61" t="s">
        <v>150</v>
      </c>
      <c r="W2878" s="61" t="s">
        <v>3527</v>
      </c>
      <c r="X2878" s="61" t="s">
        <v>3528</v>
      </c>
      <c r="Y2878" s="61" t="s">
        <v>69</v>
      </c>
      <c r="Z2878" s="61" t="s">
        <v>69</v>
      </c>
      <c r="AA2878" s="61" t="s">
        <v>9349</v>
      </c>
      <c r="AB2878" s="61" t="s">
        <v>8801</v>
      </c>
    </row>
    <row r="2879" spans="1:28" s="2" customFormat="1" ht="15">
      <c r="A2879" s="61" t="s">
        <v>780</v>
      </c>
      <c r="B2879" s="61" t="s">
        <v>1210</v>
      </c>
      <c r="C2879" s="61" t="s">
        <v>4143</v>
      </c>
      <c r="D2879" s="61" t="s">
        <v>159</v>
      </c>
      <c r="E2879" s="61">
        <v>1142</v>
      </c>
      <c r="F2879" s="61">
        <v>1146</v>
      </c>
      <c r="G2879" s="61"/>
      <c r="H2879" s="61"/>
      <c r="I2879" s="61" t="s">
        <v>1212</v>
      </c>
      <c r="J2879" s="471"/>
      <c r="K2879" s="61" t="s">
        <v>2393</v>
      </c>
      <c r="L2879" s="471"/>
      <c r="M2879" s="471"/>
      <c r="N2879" s="471"/>
      <c r="O2879" s="471"/>
      <c r="P2879" s="471"/>
      <c r="Q2879" s="471"/>
      <c r="R2879" s="61" t="str">
        <f t="shared" si="200"/>
        <v/>
      </c>
      <c r="S2879" s="61" t="str">
        <f t="shared" si="201"/>
        <v/>
      </c>
      <c r="T2879" s="61" t="str">
        <f t="shared" si="199"/>
        <v/>
      </c>
      <c r="U2879" s="61" t="str">
        <f t="shared" si="202"/>
        <v/>
      </c>
      <c r="V2879" s="61"/>
      <c r="W2879" s="61"/>
      <c r="X2879" s="61"/>
      <c r="Y2879" s="61"/>
      <c r="Z2879" s="61"/>
      <c r="AA2879" s="61"/>
      <c r="AB2879" s="61"/>
    </row>
    <row r="2880" spans="1:28" s="2" customFormat="1" ht="15">
      <c r="A2880" s="61" t="s">
        <v>780</v>
      </c>
      <c r="B2880" s="61" t="s">
        <v>1210</v>
      </c>
      <c r="C2880" s="61" t="s">
        <v>6320</v>
      </c>
      <c r="D2880" s="61" t="s">
        <v>159</v>
      </c>
      <c r="E2880" s="61">
        <v>1327</v>
      </c>
      <c r="F2880" s="61">
        <v>1444</v>
      </c>
      <c r="G2880" s="61"/>
      <c r="H2880" s="61"/>
      <c r="I2880" s="61" t="s">
        <v>1212</v>
      </c>
      <c r="J2880" s="471"/>
      <c r="K2880" s="61" t="s">
        <v>2393</v>
      </c>
      <c r="L2880" s="471"/>
      <c r="M2880" s="471"/>
      <c r="N2880" s="471"/>
      <c r="O2880" s="471"/>
      <c r="P2880" s="471"/>
      <c r="Q2880" s="471"/>
      <c r="R2880" s="61" t="str">
        <f t="shared" si="200"/>
        <v/>
      </c>
      <c r="S2880" s="61" t="str">
        <f t="shared" si="201"/>
        <v/>
      </c>
      <c r="T2880" s="61" t="str">
        <f t="shared" si="199"/>
        <v/>
      </c>
      <c r="U2880" s="61" t="str">
        <f t="shared" si="202"/>
        <v/>
      </c>
      <c r="V2880" s="61"/>
      <c r="W2880" s="61"/>
      <c r="X2880" s="61"/>
      <c r="Y2880" s="61"/>
      <c r="Z2880" s="61"/>
      <c r="AA2880" s="61"/>
      <c r="AB2880" s="61"/>
    </row>
    <row r="2881" spans="1:28" s="2" customFormat="1" ht="15">
      <c r="A2881" s="61" t="s">
        <v>780</v>
      </c>
      <c r="B2881" s="61" t="s">
        <v>1210</v>
      </c>
      <c r="C2881" s="61" t="s">
        <v>6322</v>
      </c>
      <c r="D2881" s="61" t="s">
        <v>159</v>
      </c>
      <c r="E2881" s="61">
        <v>1092</v>
      </c>
      <c r="F2881" s="61">
        <v>1455</v>
      </c>
      <c r="G2881" s="61"/>
      <c r="H2881" s="61"/>
      <c r="I2881" s="61" t="s">
        <v>1212</v>
      </c>
      <c r="J2881" s="471"/>
      <c r="K2881" s="61" t="s">
        <v>2393</v>
      </c>
      <c r="L2881" s="471"/>
      <c r="M2881" s="471"/>
      <c r="N2881" s="471"/>
      <c r="O2881" s="471"/>
      <c r="P2881" s="471"/>
      <c r="Q2881" s="471"/>
      <c r="R2881" s="61" t="str">
        <f t="shared" si="200"/>
        <v/>
      </c>
      <c r="S2881" s="61" t="str">
        <f t="shared" si="201"/>
        <v/>
      </c>
      <c r="T2881" s="61" t="str">
        <f t="shared" si="199"/>
        <v/>
      </c>
      <c r="U2881" s="61" t="str">
        <f t="shared" si="202"/>
        <v/>
      </c>
      <c r="V2881" s="61"/>
      <c r="W2881" s="61"/>
      <c r="X2881" s="61"/>
      <c r="Y2881" s="61"/>
      <c r="Z2881" s="61"/>
      <c r="AA2881" s="61"/>
      <c r="AB2881" s="61"/>
    </row>
    <row r="2882" spans="1:28" s="2" customFormat="1" ht="15">
      <c r="A2882" s="61" t="s">
        <v>780</v>
      </c>
      <c r="B2882" s="61" t="s">
        <v>1210</v>
      </c>
      <c r="C2882" s="61" t="s">
        <v>6326</v>
      </c>
      <c r="D2882" s="61" t="s">
        <v>159</v>
      </c>
      <c r="E2882" s="61">
        <v>1575</v>
      </c>
      <c r="F2882" s="61">
        <v>1969</v>
      </c>
      <c r="G2882" s="61"/>
      <c r="H2882" s="61"/>
      <c r="I2882" s="61" t="s">
        <v>1212</v>
      </c>
      <c r="J2882" s="471"/>
      <c r="K2882" s="61" t="s">
        <v>2393</v>
      </c>
      <c r="L2882" s="471"/>
      <c r="M2882" s="471"/>
      <c r="N2882" s="471"/>
      <c r="O2882" s="471"/>
      <c r="P2882" s="471"/>
      <c r="Q2882" s="471"/>
      <c r="R2882" s="61" t="str">
        <f t="shared" si="200"/>
        <v/>
      </c>
      <c r="S2882" s="61" t="str">
        <f t="shared" si="201"/>
        <v/>
      </c>
      <c r="T2882" s="61" t="str">
        <f t="shared" si="199"/>
        <v/>
      </c>
      <c r="U2882" s="61" t="str">
        <f t="shared" si="202"/>
        <v/>
      </c>
      <c r="V2882" s="61"/>
      <c r="W2882" s="61"/>
      <c r="X2882" s="61"/>
      <c r="Y2882" s="61"/>
      <c r="Z2882" s="61"/>
      <c r="AA2882" s="61"/>
      <c r="AB2882" s="61"/>
    </row>
    <row r="2883" spans="1:28" s="2" customFormat="1" ht="15">
      <c r="A2883" s="61" t="s">
        <v>780</v>
      </c>
      <c r="B2883" s="61" t="s">
        <v>1210</v>
      </c>
      <c r="C2883" s="61" t="s">
        <v>1490</v>
      </c>
      <c r="D2883" s="61" t="s">
        <v>159</v>
      </c>
      <c r="E2883" s="61">
        <v>650</v>
      </c>
      <c r="F2883" s="61">
        <v>741</v>
      </c>
      <c r="G2883" s="61"/>
      <c r="H2883" s="61"/>
      <c r="I2883" s="61" t="s">
        <v>1212</v>
      </c>
      <c r="J2883" s="471"/>
      <c r="K2883" s="61" t="s">
        <v>2393</v>
      </c>
      <c r="L2883" s="471"/>
      <c r="M2883" s="471"/>
      <c r="N2883" s="471"/>
      <c r="O2883" s="471"/>
      <c r="P2883" s="471"/>
      <c r="Q2883" s="471"/>
      <c r="R2883" s="61" t="str">
        <f t="shared" si="200"/>
        <v/>
      </c>
      <c r="S2883" s="61" t="str">
        <f t="shared" si="201"/>
        <v/>
      </c>
      <c r="T2883" s="61" t="str">
        <f t="shared" si="199"/>
        <v/>
      </c>
      <c r="U2883" s="61" t="str">
        <f t="shared" si="202"/>
        <v/>
      </c>
      <c r="V2883" s="61"/>
      <c r="W2883" s="61"/>
      <c r="X2883" s="61"/>
      <c r="Y2883" s="61"/>
      <c r="Z2883" s="61"/>
      <c r="AA2883" s="61"/>
      <c r="AB2883" s="61"/>
    </row>
    <row r="2884" spans="1:28" s="2" customFormat="1" ht="15">
      <c r="A2884" s="61" t="s">
        <v>780</v>
      </c>
      <c r="B2884" s="61" t="s">
        <v>1210</v>
      </c>
      <c r="C2884" s="61" t="s">
        <v>4753</v>
      </c>
      <c r="D2884" s="61" t="s">
        <v>159</v>
      </c>
      <c r="E2884" s="61">
        <v>507</v>
      </c>
      <c r="F2884" s="61">
        <v>814</v>
      </c>
      <c r="G2884" s="61"/>
      <c r="H2884" s="61"/>
      <c r="I2884" s="61" t="s">
        <v>1212</v>
      </c>
      <c r="J2884" s="471"/>
      <c r="K2884" s="61" t="s">
        <v>2393</v>
      </c>
      <c r="L2884" s="471"/>
      <c r="M2884" s="471"/>
      <c r="N2884" s="471"/>
      <c r="O2884" s="471"/>
      <c r="P2884" s="471"/>
      <c r="Q2884" s="471"/>
      <c r="R2884" s="61" t="str">
        <f t="shared" si="200"/>
        <v/>
      </c>
      <c r="S2884" s="61" t="str">
        <f t="shared" si="201"/>
        <v/>
      </c>
      <c r="T2884" s="61" t="str">
        <f t="shared" si="199"/>
        <v/>
      </c>
      <c r="U2884" s="61" t="str">
        <f t="shared" si="202"/>
        <v/>
      </c>
      <c r="V2884" s="61"/>
      <c r="W2884" s="61"/>
      <c r="X2884" s="61"/>
      <c r="Y2884" s="61"/>
      <c r="Z2884" s="61"/>
      <c r="AA2884" s="61"/>
      <c r="AB2884" s="61"/>
    </row>
    <row r="2885" spans="1:28" s="2" customFormat="1" ht="15">
      <c r="A2885" s="61" t="s">
        <v>780</v>
      </c>
      <c r="B2885" s="61" t="s">
        <v>1210</v>
      </c>
      <c r="C2885" s="61" t="s">
        <v>6332</v>
      </c>
      <c r="D2885" s="61" t="s">
        <v>159</v>
      </c>
      <c r="E2885" s="61">
        <v>1010</v>
      </c>
      <c r="F2885" s="61">
        <v>1187</v>
      </c>
      <c r="G2885" s="61"/>
      <c r="H2885" s="61"/>
      <c r="I2885" s="61" t="s">
        <v>1212</v>
      </c>
      <c r="J2885" s="471"/>
      <c r="K2885" s="61" t="s">
        <v>2393</v>
      </c>
      <c r="L2885" s="471"/>
      <c r="M2885" s="471"/>
      <c r="N2885" s="471"/>
      <c r="O2885" s="471"/>
      <c r="P2885" s="471"/>
      <c r="Q2885" s="471"/>
      <c r="R2885" s="61" t="str">
        <f t="shared" si="200"/>
        <v/>
      </c>
      <c r="S2885" s="61" t="str">
        <f t="shared" si="201"/>
        <v/>
      </c>
      <c r="T2885" s="61" t="str">
        <f t="shared" si="199"/>
        <v/>
      </c>
      <c r="U2885" s="61" t="str">
        <f t="shared" si="202"/>
        <v/>
      </c>
      <c r="V2885" s="61"/>
      <c r="W2885" s="61"/>
      <c r="X2885" s="61"/>
      <c r="Y2885" s="61"/>
      <c r="Z2885" s="61"/>
      <c r="AA2885" s="61"/>
      <c r="AB2885" s="61"/>
    </row>
    <row r="2886" spans="1:28" s="2" customFormat="1" ht="15">
      <c r="A2886" s="61" t="s">
        <v>780</v>
      </c>
      <c r="B2886" s="61" t="s">
        <v>1210</v>
      </c>
      <c r="C2886" s="61" t="s">
        <v>6335</v>
      </c>
      <c r="D2886" s="61" t="s">
        <v>159</v>
      </c>
      <c r="E2886" s="61">
        <v>2970</v>
      </c>
      <c r="F2886" s="61">
        <v>3053</v>
      </c>
      <c r="G2886" s="61"/>
      <c r="H2886" s="61"/>
      <c r="I2886" s="61" t="s">
        <v>1212</v>
      </c>
      <c r="J2886" s="471"/>
      <c r="K2886" s="61" t="s">
        <v>2393</v>
      </c>
      <c r="L2886" s="471"/>
      <c r="M2886" s="471"/>
      <c r="N2886" s="471"/>
      <c r="O2886" s="471"/>
      <c r="P2886" s="471"/>
      <c r="Q2886" s="471"/>
      <c r="R2886" s="61" t="str">
        <f t="shared" si="200"/>
        <v/>
      </c>
      <c r="S2886" s="61" t="str">
        <f t="shared" si="201"/>
        <v/>
      </c>
      <c r="T2886" s="61" t="str">
        <f t="shared" si="199"/>
        <v/>
      </c>
      <c r="U2886" s="61" t="str">
        <f t="shared" si="202"/>
        <v/>
      </c>
      <c r="V2886" s="61"/>
      <c r="W2886" s="61"/>
      <c r="X2886" s="61"/>
      <c r="Y2886" s="61"/>
      <c r="Z2886" s="61"/>
      <c r="AA2886" s="61"/>
      <c r="AB2886" s="61"/>
    </row>
    <row r="2887" spans="1:28" s="2" customFormat="1" ht="15">
      <c r="A2887" s="61" t="s">
        <v>780</v>
      </c>
      <c r="B2887" s="61" t="s">
        <v>1210</v>
      </c>
      <c r="C2887" s="61" t="s">
        <v>6337</v>
      </c>
      <c r="D2887" s="61" t="s">
        <v>159</v>
      </c>
      <c r="E2887" s="61">
        <v>664</v>
      </c>
      <c r="F2887" s="61">
        <v>598</v>
      </c>
      <c r="G2887" s="61"/>
      <c r="H2887" s="61"/>
      <c r="I2887" s="61" t="s">
        <v>1212</v>
      </c>
      <c r="J2887" s="471"/>
      <c r="K2887" s="61" t="s">
        <v>2393</v>
      </c>
      <c r="L2887" s="471"/>
      <c r="M2887" s="471"/>
      <c r="N2887" s="471"/>
      <c r="O2887" s="471"/>
      <c r="P2887" s="471"/>
      <c r="Q2887" s="471"/>
      <c r="R2887" s="61" t="str">
        <f t="shared" si="200"/>
        <v/>
      </c>
      <c r="S2887" s="61" t="str">
        <f t="shared" si="201"/>
        <v/>
      </c>
      <c r="T2887" s="61" t="str">
        <f t="shared" si="199"/>
        <v/>
      </c>
      <c r="U2887" s="61" t="str">
        <f t="shared" si="202"/>
        <v/>
      </c>
      <c r="V2887" s="61"/>
      <c r="W2887" s="61"/>
      <c r="X2887" s="61"/>
      <c r="Y2887" s="61"/>
      <c r="Z2887" s="61"/>
      <c r="AA2887" s="61"/>
      <c r="AB2887" s="61"/>
    </row>
    <row r="2888" spans="1:28" s="2" customFormat="1" ht="15">
      <c r="A2888" s="61" t="s">
        <v>780</v>
      </c>
      <c r="B2888" s="61" t="s">
        <v>1210</v>
      </c>
      <c r="C2888" s="61" t="s">
        <v>6352</v>
      </c>
      <c r="D2888" s="61" t="s">
        <v>159</v>
      </c>
      <c r="E2888" s="61">
        <v>1091</v>
      </c>
      <c r="F2888" s="61">
        <v>1257</v>
      </c>
      <c r="G2888" s="61"/>
      <c r="H2888" s="61"/>
      <c r="I2888" s="61" t="s">
        <v>1212</v>
      </c>
      <c r="J2888" s="471"/>
      <c r="K2888" s="61" t="s">
        <v>2393</v>
      </c>
      <c r="L2888" s="471"/>
      <c r="M2888" s="471"/>
      <c r="N2888" s="471"/>
      <c r="O2888" s="471"/>
      <c r="P2888" s="471"/>
      <c r="Q2888" s="471"/>
      <c r="R2888" s="61" t="str">
        <f t="shared" si="200"/>
        <v/>
      </c>
      <c r="S2888" s="61" t="str">
        <f t="shared" si="201"/>
        <v/>
      </c>
      <c r="T2888" s="61" t="str">
        <f t="shared" si="199"/>
        <v/>
      </c>
      <c r="U2888" s="61" t="str">
        <f t="shared" si="202"/>
        <v/>
      </c>
      <c r="V2888" s="61"/>
      <c r="W2888" s="61"/>
      <c r="X2888" s="61"/>
      <c r="Y2888" s="61"/>
      <c r="Z2888" s="61"/>
      <c r="AA2888" s="61"/>
      <c r="AB2888" s="61"/>
    </row>
    <row r="2889" spans="1:28" s="2" customFormat="1" ht="15">
      <c r="A2889" s="61" t="s">
        <v>780</v>
      </c>
      <c r="B2889" s="61" t="s">
        <v>1210</v>
      </c>
      <c r="C2889" s="61" t="s">
        <v>1415</v>
      </c>
      <c r="D2889" s="61" t="s">
        <v>159</v>
      </c>
      <c r="E2889" s="61">
        <v>3306</v>
      </c>
      <c r="F2889" s="61">
        <v>3579</v>
      </c>
      <c r="G2889" s="61"/>
      <c r="H2889" s="61"/>
      <c r="I2889" s="61" t="s">
        <v>1212</v>
      </c>
      <c r="J2889" s="471"/>
      <c r="K2889" s="61" t="s">
        <v>2393</v>
      </c>
      <c r="L2889" s="471"/>
      <c r="M2889" s="471"/>
      <c r="N2889" s="471"/>
      <c r="O2889" s="471"/>
      <c r="P2889" s="471"/>
      <c r="Q2889" s="471"/>
      <c r="R2889" s="61" t="str">
        <f t="shared" si="200"/>
        <v/>
      </c>
      <c r="S2889" s="61" t="str">
        <f t="shared" si="201"/>
        <v/>
      </c>
      <c r="T2889" s="61" t="str">
        <f t="shared" si="199"/>
        <v/>
      </c>
      <c r="U2889" s="61" t="str">
        <f t="shared" si="202"/>
        <v/>
      </c>
      <c r="V2889" s="61"/>
      <c r="W2889" s="61"/>
      <c r="X2889" s="61"/>
      <c r="Y2889" s="61"/>
      <c r="Z2889" s="61"/>
      <c r="AA2889" s="61"/>
      <c r="AB2889" s="61"/>
    </row>
    <row r="2890" spans="1:28" s="2" customFormat="1" ht="28.5">
      <c r="A2890" s="61" t="s">
        <v>780</v>
      </c>
      <c r="B2890" s="61" t="s">
        <v>1526</v>
      </c>
      <c r="C2890" s="61" t="s">
        <v>6366</v>
      </c>
      <c r="D2890" s="61" t="s">
        <v>159</v>
      </c>
      <c r="E2890" s="61">
        <v>1049</v>
      </c>
      <c r="F2890" s="61">
        <v>1239</v>
      </c>
      <c r="G2890" s="61">
        <v>2025</v>
      </c>
      <c r="H2890" s="61" t="s">
        <v>3127</v>
      </c>
      <c r="I2890" s="61" t="s">
        <v>1212</v>
      </c>
      <c r="J2890" s="471" t="s">
        <v>163</v>
      </c>
      <c r="K2890" s="61" t="s">
        <v>2393</v>
      </c>
      <c r="L2890" s="61" t="s">
        <v>9353</v>
      </c>
      <c r="M2890" s="502">
        <v>45911</v>
      </c>
      <c r="N2890" s="502">
        <v>45916</v>
      </c>
      <c r="O2890" s="502">
        <v>45917</v>
      </c>
      <c r="P2890" s="502">
        <v>45917</v>
      </c>
      <c r="Q2890" s="502">
        <v>45917</v>
      </c>
      <c r="R2890" s="61">
        <f t="shared" si="200"/>
        <v>3</v>
      </c>
      <c r="S2890" s="61">
        <f>IF(
    OR(ISBLANK(N2890), ISBLANK(O2902)),
    "",
    MAX(1, IF(
        NETWORKDAYS(N2890, O2902) &lt;= 0,
        1,
        NETWORKDAYS(N2890, O2902) - IF(N2890 = O2902, 0, 1)
    ))
)</f>
        <v>1</v>
      </c>
      <c r="T2890" s="61">
        <f t="shared" si="199"/>
        <v>1</v>
      </c>
      <c r="U2890" s="61">
        <f t="shared" si="202"/>
        <v>1</v>
      </c>
      <c r="V2890" s="61" t="s">
        <v>150</v>
      </c>
      <c r="W2890" s="61" t="s">
        <v>4</v>
      </c>
      <c r="X2890" s="61" t="s">
        <v>50</v>
      </c>
      <c r="Y2890" s="61" t="s">
        <v>69</v>
      </c>
      <c r="Z2890" s="61" t="s">
        <v>69</v>
      </c>
      <c r="AA2890" s="61" t="s">
        <v>404</v>
      </c>
      <c r="AB2890" s="61" t="s">
        <v>9354</v>
      </c>
    </row>
    <row r="2891" spans="1:28" s="2" customFormat="1" ht="28.5">
      <c r="A2891" s="61" t="s">
        <v>780</v>
      </c>
      <c r="B2891" s="61" t="s">
        <v>1526</v>
      </c>
      <c r="C2891" s="61" t="s">
        <v>6374</v>
      </c>
      <c r="D2891" s="61" t="s">
        <v>159</v>
      </c>
      <c r="E2891" s="61">
        <v>392</v>
      </c>
      <c r="F2891" s="61">
        <v>379</v>
      </c>
      <c r="G2891" s="61">
        <v>2025</v>
      </c>
      <c r="H2891" s="61" t="s">
        <v>3127</v>
      </c>
      <c r="I2891" s="61" t="s">
        <v>1212</v>
      </c>
      <c r="J2891" s="471" t="s">
        <v>163</v>
      </c>
      <c r="K2891" s="61" t="s">
        <v>2393</v>
      </c>
      <c r="L2891" s="61" t="s">
        <v>9353</v>
      </c>
      <c r="M2891" s="502">
        <v>45911</v>
      </c>
      <c r="N2891" s="502">
        <v>45916</v>
      </c>
      <c r="O2891" s="502">
        <v>45917</v>
      </c>
      <c r="P2891" s="502">
        <v>45917</v>
      </c>
      <c r="Q2891" s="502">
        <v>45917</v>
      </c>
      <c r="R2891" s="61">
        <f t="shared" si="200"/>
        <v>3</v>
      </c>
      <c r="S2891" s="61">
        <f t="shared" ref="S2891:S2954" si="203">IF(
    OR(ISBLANK(N2891), ISBLANK(O2891)),
    "",
    MAX(1, IF(
        NETWORKDAYS(N2891, O2891) &lt;= 0,
        1,
        NETWORKDAYS(N2891, O2891) - IF(N2891 = O2891, 0, 1)
    ))
)</f>
        <v>1</v>
      </c>
      <c r="T2891" s="61">
        <f t="shared" si="199"/>
        <v>1</v>
      </c>
      <c r="U2891" s="61">
        <f t="shared" si="202"/>
        <v>1</v>
      </c>
      <c r="V2891" s="61" t="s">
        <v>150</v>
      </c>
      <c r="W2891" s="61" t="s">
        <v>4</v>
      </c>
      <c r="X2891" s="61" t="s">
        <v>50</v>
      </c>
      <c r="Y2891" s="61" t="s">
        <v>69</v>
      </c>
      <c r="Z2891" s="61" t="s">
        <v>69</v>
      </c>
      <c r="AA2891" s="61" t="s">
        <v>404</v>
      </c>
      <c r="AB2891" s="61" t="s">
        <v>9354</v>
      </c>
    </row>
    <row r="2892" spans="1:28" s="2" customFormat="1" ht="28.5">
      <c r="A2892" s="61" t="s">
        <v>780</v>
      </c>
      <c r="B2892" s="61" t="s">
        <v>1526</v>
      </c>
      <c r="C2892" s="61" t="s">
        <v>6378</v>
      </c>
      <c r="D2892" s="61" t="s">
        <v>159</v>
      </c>
      <c r="E2892" s="61">
        <v>499</v>
      </c>
      <c r="F2892" s="61">
        <v>612</v>
      </c>
      <c r="G2892" s="61">
        <v>2025</v>
      </c>
      <c r="H2892" s="61" t="s">
        <v>3127</v>
      </c>
      <c r="I2892" s="61" t="s">
        <v>1212</v>
      </c>
      <c r="J2892" s="471" t="s">
        <v>163</v>
      </c>
      <c r="K2892" s="61" t="s">
        <v>2393</v>
      </c>
      <c r="L2892" s="61" t="s">
        <v>9353</v>
      </c>
      <c r="M2892" s="502">
        <v>45911</v>
      </c>
      <c r="N2892" s="502">
        <v>45916</v>
      </c>
      <c r="O2892" s="502">
        <v>45917</v>
      </c>
      <c r="P2892" s="502">
        <v>45917</v>
      </c>
      <c r="Q2892" s="502">
        <v>45917</v>
      </c>
      <c r="R2892" s="61">
        <f t="shared" si="200"/>
        <v>3</v>
      </c>
      <c r="S2892" s="61">
        <f t="shared" si="203"/>
        <v>1</v>
      </c>
      <c r="T2892" s="61">
        <f t="shared" si="199"/>
        <v>1</v>
      </c>
      <c r="U2892" s="61">
        <f t="shared" si="202"/>
        <v>1</v>
      </c>
      <c r="V2892" s="61" t="s">
        <v>150</v>
      </c>
      <c r="W2892" s="61" t="s">
        <v>4</v>
      </c>
      <c r="X2892" s="61" t="s">
        <v>50</v>
      </c>
      <c r="Y2892" s="61" t="s">
        <v>69</v>
      </c>
      <c r="Z2892" s="61" t="s">
        <v>69</v>
      </c>
      <c r="AA2892" s="61" t="s">
        <v>404</v>
      </c>
      <c r="AB2892" s="61" t="s">
        <v>9354</v>
      </c>
    </row>
    <row r="2893" spans="1:28" s="2" customFormat="1" ht="28.5">
      <c r="A2893" s="61" t="s">
        <v>780</v>
      </c>
      <c r="B2893" s="61" t="s">
        <v>1526</v>
      </c>
      <c r="C2893" s="61" t="s">
        <v>6380</v>
      </c>
      <c r="D2893" s="61" t="s">
        <v>159</v>
      </c>
      <c r="E2893" s="61">
        <v>1224</v>
      </c>
      <c r="F2893" s="61">
        <v>1458</v>
      </c>
      <c r="G2893" s="61">
        <v>2025</v>
      </c>
      <c r="H2893" s="61" t="s">
        <v>3127</v>
      </c>
      <c r="I2893" s="61" t="s">
        <v>1212</v>
      </c>
      <c r="J2893" s="471" t="s">
        <v>163</v>
      </c>
      <c r="K2893" s="61" t="s">
        <v>2393</v>
      </c>
      <c r="L2893" s="61" t="s">
        <v>9353</v>
      </c>
      <c r="M2893" s="502">
        <v>45911</v>
      </c>
      <c r="N2893" s="502">
        <v>45916</v>
      </c>
      <c r="O2893" s="502">
        <v>45917</v>
      </c>
      <c r="P2893" s="502">
        <v>45917</v>
      </c>
      <c r="Q2893" s="502">
        <v>45917</v>
      </c>
      <c r="R2893" s="61">
        <f t="shared" si="200"/>
        <v>3</v>
      </c>
      <c r="S2893" s="61">
        <f t="shared" si="203"/>
        <v>1</v>
      </c>
      <c r="T2893" s="61">
        <f t="shared" si="199"/>
        <v>1</v>
      </c>
      <c r="U2893" s="61">
        <f t="shared" si="202"/>
        <v>1</v>
      </c>
      <c r="V2893" s="61" t="s">
        <v>150</v>
      </c>
      <c r="W2893" s="61" t="s">
        <v>4</v>
      </c>
      <c r="X2893" s="61" t="s">
        <v>50</v>
      </c>
      <c r="Y2893" s="61" t="s">
        <v>69</v>
      </c>
      <c r="Z2893" s="61" t="s">
        <v>69</v>
      </c>
      <c r="AA2893" s="61" t="s">
        <v>404</v>
      </c>
      <c r="AB2893" s="61" t="s">
        <v>9354</v>
      </c>
    </row>
    <row r="2894" spans="1:28" s="2" customFormat="1" ht="28.5">
      <c r="A2894" s="61" t="s">
        <v>780</v>
      </c>
      <c r="B2894" s="61" t="s">
        <v>1526</v>
      </c>
      <c r="C2894" s="61" t="s">
        <v>6385</v>
      </c>
      <c r="D2894" s="61" t="s">
        <v>159</v>
      </c>
      <c r="E2894" s="61">
        <v>1533</v>
      </c>
      <c r="F2894" s="61">
        <v>1848</v>
      </c>
      <c r="G2894" s="61">
        <v>2025</v>
      </c>
      <c r="H2894" s="61" t="s">
        <v>3127</v>
      </c>
      <c r="I2894" s="61" t="s">
        <v>1212</v>
      </c>
      <c r="J2894" s="471" t="s">
        <v>163</v>
      </c>
      <c r="K2894" s="61" t="s">
        <v>2393</v>
      </c>
      <c r="L2894" s="61" t="s">
        <v>9353</v>
      </c>
      <c r="M2894" s="502">
        <v>45911</v>
      </c>
      <c r="N2894" s="502">
        <v>45916</v>
      </c>
      <c r="O2894" s="502">
        <v>45917</v>
      </c>
      <c r="P2894" s="502">
        <v>45917</v>
      </c>
      <c r="Q2894" s="502">
        <v>45917</v>
      </c>
      <c r="R2894" s="61">
        <f t="shared" si="200"/>
        <v>3</v>
      </c>
      <c r="S2894" s="61">
        <f t="shared" si="203"/>
        <v>1</v>
      </c>
      <c r="T2894" s="61">
        <f t="shared" si="199"/>
        <v>1</v>
      </c>
      <c r="U2894" s="61">
        <f t="shared" si="202"/>
        <v>1</v>
      </c>
      <c r="V2894" s="61" t="s">
        <v>150</v>
      </c>
      <c r="W2894" s="61" t="s">
        <v>4</v>
      </c>
      <c r="X2894" s="61" t="s">
        <v>50</v>
      </c>
      <c r="Y2894" s="61" t="s">
        <v>69</v>
      </c>
      <c r="Z2894" s="61" t="s">
        <v>69</v>
      </c>
      <c r="AA2894" s="61" t="s">
        <v>404</v>
      </c>
      <c r="AB2894" s="61" t="s">
        <v>9354</v>
      </c>
    </row>
    <row r="2895" spans="1:28" s="2" customFormat="1" ht="28.5">
      <c r="A2895" s="61" t="s">
        <v>780</v>
      </c>
      <c r="B2895" s="61" t="s">
        <v>1526</v>
      </c>
      <c r="C2895" s="61" t="s">
        <v>1180</v>
      </c>
      <c r="D2895" s="61" t="s">
        <v>159</v>
      </c>
      <c r="E2895" s="61">
        <v>2180</v>
      </c>
      <c r="F2895" s="61">
        <v>2321</v>
      </c>
      <c r="G2895" s="61">
        <v>2025</v>
      </c>
      <c r="H2895" s="61" t="s">
        <v>3127</v>
      </c>
      <c r="I2895" s="61" t="s">
        <v>1212</v>
      </c>
      <c r="J2895" s="471" t="s">
        <v>163</v>
      </c>
      <c r="K2895" s="61" t="s">
        <v>2393</v>
      </c>
      <c r="L2895" s="61" t="s">
        <v>9353</v>
      </c>
      <c r="M2895" s="502">
        <v>45911</v>
      </c>
      <c r="N2895" s="502">
        <v>45916</v>
      </c>
      <c r="O2895" s="502">
        <v>45917</v>
      </c>
      <c r="P2895" s="502">
        <v>45917</v>
      </c>
      <c r="Q2895" s="502">
        <v>45917</v>
      </c>
      <c r="R2895" s="61">
        <f t="shared" si="200"/>
        <v>3</v>
      </c>
      <c r="S2895" s="61">
        <f t="shared" si="203"/>
        <v>1</v>
      </c>
      <c r="T2895" s="61">
        <f t="shared" si="199"/>
        <v>1</v>
      </c>
      <c r="U2895" s="61">
        <f t="shared" si="202"/>
        <v>1</v>
      </c>
      <c r="V2895" s="61" t="s">
        <v>150</v>
      </c>
      <c r="W2895" s="61" t="s">
        <v>4</v>
      </c>
      <c r="X2895" s="61" t="s">
        <v>50</v>
      </c>
      <c r="Y2895" s="61" t="s">
        <v>69</v>
      </c>
      <c r="Z2895" s="61" t="s">
        <v>69</v>
      </c>
      <c r="AA2895" s="61" t="s">
        <v>404</v>
      </c>
      <c r="AB2895" s="61" t="s">
        <v>9354</v>
      </c>
    </row>
    <row r="2896" spans="1:28" s="2" customFormat="1" ht="28.5">
      <c r="A2896" s="61" t="s">
        <v>780</v>
      </c>
      <c r="B2896" s="61" t="s">
        <v>1526</v>
      </c>
      <c r="C2896" s="61" t="s">
        <v>6363</v>
      </c>
      <c r="D2896" s="61" t="s">
        <v>159</v>
      </c>
      <c r="E2896" s="61">
        <v>890</v>
      </c>
      <c r="F2896" s="61">
        <v>937</v>
      </c>
      <c r="G2896" s="61">
        <v>2025</v>
      </c>
      <c r="H2896" s="61" t="s">
        <v>3532</v>
      </c>
      <c r="I2896" s="61" t="s">
        <v>1212</v>
      </c>
      <c r="J2896" s="471" t="s">
        <v>163</v>
      </c>
      <c r="K2896" s="61" t="s">
        <v>2393</v>
      </c>
      <c r="L2896" s="471" t="s">
        <v>9355</v>
      </c>
      <c r="M2896" s="502">
        <v>45792</v>
      </c>
      <c r="N2896" s="502">
        <v>45796</v>
      </c>
      <c r="O2896" s="502">
        <v>45797</v>
      </c>
      <c r="P2896" s="502">
        <v>45797</v>
      </c>
      <c r="Q2896" s="502">
        <v>45797</v>
      </c>
      <c r="R2896" s="61">
        <f t="shared" si="200"/>
        <v>2</v>
      </c>
      <c r="S2896" s="61">
        <f t="shared" si="203"/>
        <v>1</v>
      </c>
      <c r="T2896" s="61">
        <f t="shared" si="199"/>
        <v>1</v>
      </c>
      <c r="U2896" s="61">
        <f t="shared" si="202"/>
        <v>1</v>
      </c>
      <c r="V2896" s="61" t="s">
        <v>150</v>
      </c>
      <c r="W2896" s="61" t="s">
        <v>4</v>
      </c>
      <c r="X2896" s="61" t="s">
        <v>50</v>
      </c>
      <c r="Y2896" s="61">
        <v>15.1259</v>
      </c>
      <c r="Z2896" s="61">
        <v>120.05710000000001</v>
      </c>
      <c r="AA2896" s="61" t="s">
        <v>9342</v>
      </c>
      <c r="AB2896" s="61"/>
    </row>
    <row r="2897" spans="1:28" s="2" customFormat="1" ht="28.5">
      <c r="A2897" s="61" t="s">
        <v>780</v>
      </c>
      <c r="B2897" s="61" t="s">
        <v>1526</v>
      </c>
      <c r="C2897" s="61" t="s">
        <v>6365</v>
      </c>
      <c r="D2897" s="61" t="s">
        <v>159</v>
      </c>
      <c r="E2897" s="61">
        <v>658</v>
      </c>
      <c r="F2897" s="61">
        <v>651</v>
      </c>
      <c r="G2897" s="61">
        <v>2025</v>
      </c>
      <c r="H2897" s="61" t="s">
        <v>3126</v>
      </c>
      <c r="I2897" s="61" t="s">
        <v>1212</v>
      </c>
      <c r="J2897" s="471" t="s">
        <v>163</v>
      </c>
      <c r="K2897" s="61" t="s">
        <v>2393</v>
      </c>
      <c r="L2897" s="61" t="s">
        <v>9356</v>
      </c>
      <c r="M2897" s="502">
        <v>45881</v>
      </c>
      <c r="N2897" s="502">
        <v>45887</v>
      </c>
      <c r="O2897" s="502">
        <v>45887</v>
      </c>
      <c r="P2897" s="502">
        <v>45887</v>
      </c>
      <c r="Q2897" s="502">
        <v>45887</v>
      </c>
      <c r="R2897" s="61">
        <f t="shared" si="200"/>
        <v>4</v>
      </c>
      <c r="S2897" s="61">
        <f t="shared" si="203"/>
        <v>1</v>
      </c>
      <c r="T2897" s="61">
        <f t="shared" si="199"/>
        <v>1</v>
      </c>
      <c r="U2897" s="61">
        <f t="shared" si="202"/>
        <v>1</v>
      </c>
      <c r="V2897" s="61" t="s">
        <v>150</v>
      </c>
      <c r="W2897" s="61" t="s">
        <v>4</v>
      </c>
      <c r="X2897" s="61" t="s">
        <v>50</v>
      </c>
      <c r="Y2897" s="61"/>
      <c r="Z2897" s="61"/>
      <c r="AA2897" s="61" t="s">
        <v>9357</v>
      </c>
      <c r="AB2897" s="61" t="s">
        <v>9358</v>
      </c>
    </row>
    <row r="2898" spans="1:28" s="2" customFormat="1" ht="28.5">
      <c r="A2898" s="61" t="s">
        <v>780</v>
      </c>
      <c r="B2898" s="61" t="s">
        <v>1526</v>
      </c>
      <c r="C2898" s="61" t="s">
        <v>1469</v>
      </c>
      <c r="D2898" s="61" t="s">
        <v>159</v>
      </c>
      <c r="E2898" s="61">
        <v>1582</v>
      </c>
      <c r="F2898" s="61">
        <v>1685</v>
      </c>
      <c r="G2898" s="61">
        <v>2025</v>
      </c>
      <c r="H2898" s="61" t="s">
        <v>3689</v>
      </c>
      <c r="I2898" s="61" t="s">
        <v>1212</v>
      </c>
      <c r="J2898" s="471" t="s">
        <v>163</v>
      </c>
      <c r="K2898" s="61" t="s">
        <v>2393</v>
      </c>
      <c r="L2898" s="471" t="s">
        <v>9359</v>
      </c>
      <c r="M2898" s="502">
        <v>45821</v>
      </c>
      <c r="N2898" s="502">
        <v>45824</v>
      </c>
      <c r="O2898" s="502">
        <v>45825</v>
      </c>
      <c r="P2898" s="502">
        <v>45825</v>
      </c>
      <c r="Q2898" s="502">
        <v>45825</v>
      </c>
      <c r="R2898" s="61">
        <f t="shared" si="200"/>
        <v>1</v>
      </c>
      <c r="S2898" s="61">
        <f t="shared" si="203"/>
        <v>1</v>
      </c>
      <c r="T2898" s="61">
        <f t="shared" si="199"/>
        <v>1</v>
      </c>
      <c r="U2898" s="61">
        <f t="shared" si="202"/>
        <v>1</v>
      </c>
      <c r="V2898" s="61" t="s">
        <v>150</v>
      </c>
      <c r="W2898" s="61" t="s">
        <v>4</v>
      </c>
      <c r="X2898" s="61" t="s">
        <v>50</v>
      </c>
      <c r="Y2898" s="61">
        <v>15.139799999999999</v>
      </c>
      <c r="Z2898" s="61">
        <v>120.0476</v>
      </c>
      <c r="AA2898" s="61" t="s">
        <v>9357</v>
      </c>
      <c r="AB2898" s="61"/>
    </row>
    <row r="2899" spans="1:28" s="2" customFormat="1" ht="28.5">
      <c r="A2899" s="61" t="s">
        <v>780</v>
      </c>
      <c r="B2899" s="61" t="s">
        <v>1526</v>
      </c>
      <c r="C2899" s="61" t="s">
        <v>6372</v>
      </c>
      <c r="D2899" s="61" t="s">
        <v>159</v>
      </c>
      <c r="E2899" s="61">
        <v>604</v>
      </c>
      <c r="F2899" s="61">
        <v>703</v>
      </c>
      <c r="G2899" s="61">
        <v>2025</v>
      </c>
      <c r="H2899" s="61" t="s">
        <v>3458</v>
      </c>
      <c r="I2899" s="61" t="s">
        <v>1212</v>
      </c>
      <c r="J2899" s="471" t="s">
        <v>163</v>
      </c>
      <c r="K2899" s="61" t="s">
        <v>2393</v>
      </c>
      <c r="L2899" s="471" t="s">
        <v>9360</v>
      </c>
      <c r="M2899" s="502">
        <v>45701</v>
      </c>
      <c r="N2899" s="502">
        <v>45705</v>
      </c>
      <c r="O2899" s="502">
        <v>45705</v>
      </c>
      <c r="P2899" s="502">
        <v>45705</v>
      </c>
      <c r="Q2899" s="502">
        <v>45705</v>
      </c>
      <c r="R2899" s="61">
        <f t="shared" si="200"/>
        <v>2</v>
      </c>
      <c r="S2899" s="61">
        <f t="shared" si="203"/>
        <v>1</v>
      </c>
      <c r="T2899" s="61">
        <f t="shared" si="199"/>
        <v>1</v>
      </c>
      <c r="U2899" s="61">
        <f t="shared" si="202"/>
        <v>1</v>
      </c>
      <c r="V2899" s="61" t="s">
        <v>150</v>
      </c>
      <c r="W2899" s="61" t="s">
        <v>4</v>
      </c>
      <c r="X2899" s="61" t="s">
        <v>50</v>
      </c>
      <c r="Y2899" s="61"/>
      <c r="Z2899" s="61"/>
      <c r="AA2899" s="61"/>
      <c r="AB2899" s="61"/>
    </row>
    <row r="2900" spans="1:28" s="2" customFormat="1" ht="28.5">
      <c r="A2900" s="61" t="s">
        <v>780</v>
      </c>
      <c r="B2900" s="61" t="s">
        <v>1526</v>
      </c>
      <c r="C2900" s="61" t="s">
        <v>6376</v>
      </c>
      <c r="D2900" s="61" t="s">
        <v>159</v>
      </c>
      <c r="E2900" s="61">
        <v>1219</v>
      </c>
      <c r="F2900" s="61">
        <v>1310</v>
      </c>
      <c r="G2900" s="61">
        <v>2025</v>
      </c>
      <c r="H2900" s="61" t="s">
        <v>3416</v>
      </c>
      <c r="I2900" s="61" t="s">
        <v>1212</v>
      </c>
      <c r="J2900" s="471" t="s">
        <v>163</v>
      </c>
      <c r="K2900" s="61" t="s">
        <v>2393</v>
      </c>
      <c r="L2900" s="471" t="s">
        <v>9361</v>
      </c>
      <c r="M2900" s="502">
        <v>45728</v>
      </c>
      <c r="N2900" s="502">
        <v>45734</v>
      </c>
      <c r="O2900" s="502">
        <v>45734</v>
      </c>
      <c r="P2900" s="502">
        <v>45734</v>
      </c>
      <c r="Q2900" s="502">
        <v>45734</v>
      </c>
      <c r="R2900" s="61">
        <f t="shared" si="200"/>
        <v>4</v>
      </c>
      <c r="S2900" s="61">
        <f t="shared" si="203"/>
        <v>1</v>
      </c>
      <c r="T2900" s="61">
        <f t="shared" si="199"/>
        <v>1</v>
      </c>
      <c r="U2900" s="61">
        <f t="shared" si="202"/>
        <v>1</v>
      </c>
      <c r="V2900" s="61" t="s">
        <v>150</v>
      </c>
      <c r="W2900" s="61" t="s">
        <v>4</v>
      </c>
      <c r="X2900" s="61" t="s">
        <v>50</v>
      </c>
      <c r="Y2900" s="61">
        <v>15.1585</v>
      </c>
      <c r="Z2900" s="61">
        <v>120.0585</v>
      </c>
      <c r="AA2900" s="61"/>
      <c r="AB2900" s="61"/>
    </row>
    <row r="2901" spans="1:28" s="2" customFormat="1" ht="28.5">
      <c r="A2901" s="61" t="s">
        <v>780</v>
      </c>
      <c r="B2901" s="61" t="s">
        <v>1526</v>
      </c>
      <c r="C2901" s="61" t="s">
        <v>5278</v>
      </c>
      <c r="D2901" s="61" t="s">
        <v>159</v>
      </c>
      <c r="E2901" s="61">
        <v>641</v>
      </c>
      <c r="F2901" s="61">
        <v>779</v>
      </c>
      <c r="G2901" s="61">
        <v>2025</v>
      </c>
      <c r="H2901" s="61" t="s">
        <v>3689</v>
      </c>
      <c r="I2901" s="61" t="s">
        <v>1212</v>
      </c>
      <c r="J2901" s="471" t="s">
        <v>163</v>
      </c>
      <c r="K2901" s="61" t="s">
        <v>2393</v>
      </c>
      <c r="L2901" s="471" t="s">
        <v>9362</v>
      </c>
      <c r="M2901" s="502">
        <v>45821</v>
      </c>
      <c r="N2901" s="502">
        <v>45824</v>
      </c>
      <c r="O2901" s="502">
        <v>45825</v>
      </c>
      <c r="P2901" s="502">
        <v>45825</v>
      </c>
      <c r="Q2901" s="502">
        <v>45825</v>
      </c>
      <c r="R2901" s="61">
        <f t="shared" si="200"/>
        <v>1</v>
      </c>
      <c r="S2901" s="61">
        <f t="shared" si="203"/>
        <v>1</v>
      </c>
      <c r="T2901" s="61">
        <f t="shared" si="199"/>
        <v>1</v>
      </c>
      <c r="U2901" s="61">
        <f t="shared" si="202"/>
        <v>1</v>
      </c>
      <c r="V2901" s="61" t="s">
        <v>150</v>
      </c>
      <c r="W2901" s="61" t="s">
        <v>4</v>
      </c>
      <c r="X2901" s="61" t="s">
        <v>50</v>
      </c>
      <c r="Y2901" s="61">
        <v>15.1348</v>
      </c>
      <c r="Z2901" s="61">
        <v>120.04940000000001</v>
      </c>
      <c r="AA2901" s="61" t="s">
        <v>9357</v>
      </c>
      <c r="AB2901" s="61"/>
    </row>
    <row r="2902" spans="1:28" s="2" customFormat="1" ht="28.5">
      <c r="A2902" s="61" t="s">
        <v>780</v>
      </c>
      <c r="B2902" s="61" t="s">
        <v>1526</v>
      </c>
      <c r="C2902" s="61" t="s">
        <v>6383</v>
      </c>
      <c r="D2902" s="61" t="s">
        <v>159</v>
      </c>
      <c r="E2902" s="61">
        <v>1991</v>
      </c>
      <c r="F2902" s="61">
        <v>2098</v>
      </c>
      <c r="G2902" s="61">
        <v>2025</v>
      </c>
      <c r="H2902" s="61" t="s">
        <v>3470</v>
      </c>
      <c r="I2902" s="61" t="s">
        <v>1212</v>
      </c>
      <c r="J2902" s="471" t="s">
        <v>163</v>
      </c>
      <c r="K2902" s="61" t="s">
        <v>2393</v>
      </c>
      <c r="L2902" s="471" t="s">
        <v>9363</v>
      </c>
      <c r="M2902" s="502">
        <v>45743</v>
      </c>
      <c r="N2902" s="502">
        <v>45746</v>
      </c>
      <c r="O2902" s="502">
        <v>45747</v>
      </c>
      <c r="P2902" s="502">
        <v>45747</v>
      </c>
      <c r="Q2902" s="502">
        <v>45749</v>
      </c>
      <c r="R2902" s="61">
        <f t="shared" si="200"/>
        <v>1</v>
      </c>
      <c r="S2902" s="61">
        <f t="shared" si="203"/>
        <v>1</v>
      </c>
      <c r="T2902" s="61">
        <f t="shared" si="199"/>
        <v>1</v>
      </c>
      <c r="U2902" s="61">
        <f t="shared" si="202"/>
        <v>2</v>
      </c>
      <c r="V2902" s="61" t="s">
        <v>150</v>
      </c>
      <c r="W2902" s="61" t="s">
        <v>4</v>
      </c>
      <c r="X2902" s="61" t="s">
        <v>50</v>
      </c>
      <c r="Y2902" s="61">
        <v>15.200699999999999</v>
      </c>
      <c r="Z2902" s="61">
        <v>120.032</v>
      </c>
      <c r="AA2902" s="61"/>
      <c r="AB2902" s="61"/>
    </row>
    <row r="2903" spans="1:28" s="2" customFormat="1" ht="28.5">
      <c r="A2903" s="61" t="s">
        <v>780</v>
      </c>
      <c r="B2903" s="61" t="s">
        <v>1526</v>
      </c>
      <c r="C2903" s="61" t="s">
        <v>3913</v>
      </c>
      <c r="D2903" s="61" t="s">
        <v>159</v>
      </c>
      <c r="E2903" s="61">
        <v>1655</v>
      </c>
      <c r="F2903" s="61">
        <v>1671</v>
      </c>
      <c r="G2903" s="61">
        <v>2025</v>
      </c>
      <c r="H2903" s="61" t="s">
        <v>3470</v>
      </c>
      <c r="I2903" s="61" t="s">
        <v>1212</v>
      </c>
      <c r="J2903" s="471" t="s">
        <v>163</v>
      </c>
      <c r="K2903" s="61" t="s">
        <v>2393</v>
      </c>
      <c r="L2903" s="471" t="s">
        <v>9364</v>
      </c>
      <c r="M2903" s="502">
        <v>45757</v>
      </c>
      <c r="N2903" s="502">
        <v>45761</v>
      </c>
      <c r="O2903" s="502">
        <v>45762</v>
      </c>
      <c r="P2903" s="502">
        <v>45768</v>
      </c>
      <c r="Q2903" s="502">
        <v>45768</v>
      </c>
      <c r="R2903" s="61">
        <f t="shared" si="200"/>
        <v>2</v>
      </c>
      <c r="S2903" s="61">
        <f t="shared" si="203"/>
        <v>1</v>
      </c>
      <c r="T2903" s="61">
        <f t="shared" si="199"/>
        <v>4</v>
      </c>
      <c r="U2903" s="61">
        <f t="shared" si="202"/>
        <v>1</v>
      </c>
      <c r="V2903" s="61" t="s">
        <v>150</v>
      </c>
      <c r="W2903" s="61" t="s">
        <v>4</v>
      </c>
      <c r="X2903" s="61" t="s">
        <v>50</v>
      </c>
      <c r="Y2903" s="61">
        <v>15.1554</v>
      </c>
      <c r="Z2903" s="61">
        <v>120.0617</v>
      </c>
      <c r="AA2903" s="61" t="s">
        <v>9342</v>
      </c>
      <c r="AB2903" s="61"/>
    </row>
    <row r="2904" spans="1:28" s="2" customFormat="1" ht="28.5">
      <c r="A2904" s="61" t="s">
        <v>780</v>
      </c>
      <c r="B2904" s="61" t="s">
        <v>1526</v>
      </c>
      <c r="C2904" s="61" t="s">
        <v>4242</v>
      </c>
      <c r="D2904" s="61" t="s">
        <v>159</v>
      </c>
      <c r="E2904" s="61">
        <v>1944</v>
      </c>
      <c r="F2904" s="61">
        <v>2130</v>
      </c>
      <c r="G2904" s="61">
        <v>2025</v>
      </c>
      <c r="H2904" s="61" t="s">
        <v>3126</v>
      </c>
      <c r="I2904" s="61" t="s">
        <v>1212</v>
      </c>
      <c r="J2904" s="471" t="s">
        <v>163</v>
      </c>
      <c r="K2904" s="61" t="s">
        <v>2393</v>
      </c>
      <c r="L2904" s="61" t="s">
        <v>9356</v>
      </c>
      <c r="M2904" s="502">
        <v>45881</v>
      </c>
      <c r="N2904" s="502">
        <v>45887</v>
      </c>
      <c r="O2904" s="502">
        <v>45887</v>
      </c>
      <c r="P2904" s="502">
        <v>45887</v>
      </c>
      <c r="Q2904" s="502">
        <v>45887</v>
      </c>
      <c r="R2904" s="61">
        <f t="shared" si="200"/>
        <v>4</v>
      </c>
      <c r="S2904" s="61">
        <f t="shared" si="203"/>
        <v>1</v>
      </c>
      <c r="T2904" s="61">
        <f t="shared" si="199"/>
        <v>1</v>
      </c>
      <c r="U2904" s="61">
        <f t="shared" si="202"/>
        <v>1</v>
      </c>
      <c r="V2904" s="61" t="s">
        <v>150</v>
      </c>
      <c r="W2904" s="61" t="s">
        <v>4</v>
      </c>
      <c r="X2904" s="61" t="s">
        <v>50</v>
      </c>
      <c r="Y2904" s="61"/>
      <c r="Z2904" s="61"/>
      <c r="AA2904" s="61" t="s">
        <v>9357</v>
      </c>
      <c r="AB2904" s="61" t="s">
        <v>9358</v>
      </c>
    </row>
    <row r="2905" spans="1:28" s="2" customFormat="1" ht="28.5">
      <c r="A2905" s="61" t="s">
        <v>780</v>
      </c>
      <c r="B2905" s="61" t="s">
        <v>1526</v>
      </c>
      <c r="C2905" s="61" t="s">
        <v>3727</v>
      </c>
      <c r="D2905" s="61" t="s">
        <v>159</v>
      </c>
      <c r="E2905" s="61">
        <v>996</v>
      </c>
      <c r="F2905" s="61">
        <v>1185</v>
      </c>
      <c r="G2905" s="61">
        <v>2025</v>
      </c>
      <c r="H2905" s="61" t="s">
        <v>3416</v>
      </c>
      <c r="I2905" s="61" t="s">
        <v>1212</v>
      </c>
      <c r="J2905" s="471" t="s">
        <v>163</v>
      </c>
      <c r="K2905" s="61" t="s">
        <v>2393</v>
      </c>
      <c r="L2905" s="471" t="s">
        <v>9365</v>
      </c>
      <c r="M2905" s="502">
        <v>45722</v>
      </c>
      <c r="N2905" s="502">
        <v>45734</v>
      </c>
      <c r="O2905" s="502">
        <v>45734</v>
      </c>
      <c r="P2905" s="502">
        <v>45734</v>
      </c>
      <c r="Q2905" s="502">
        <v>45734</v>
      </c>
      <c r="R2905" s="61">
        <f t="shared" si="200"/>
        <v>8</v>
      </c>
      <c r="S2905" s="61">
        <f t="shared" si="203"/>
        <v>1</v>
      </c>
      <c r="T2905" s="61">
        <f t="shared" si="199"/>
        <v>1</v>
      </c>
      <c r="U2905" s="61">
        <f t="shared" si="202"/>
        <v>1</v>
      </c>
      <c r="V2905" s="61" t="s">
        <v>150</v>
      </c>
      <c r="W2905" s="61" t="s">
        <v>4</v>
      </c>
      <c r="X2905" s="61" t="s">
        <v>57</v>
      </c>
      <c r="Y2905" s="61">
        <v>15.152200000000001</v>
      </c>
      <c r="Z2905" s="61">
        <v>120.05119999999999</v>
      </c>
      <c r="AA2905" s="61"/>
      <c r="AB2905" s="61"/>
    </row>
    <row r="2906" spans="1:28" s="2" customFormat="1" ht="28.5">
      <c r="A2906" s="61" t="s">
        <v>780</v>
      </c>
      <c r="B2906" s="61" t="s">
        <v>1526</v>
      </c>
      <c r="C2906" s="61" t="s">
        <v>6390</v>
      </c>
      <c r="D2906" s="61" t="s">
        <v>159</v>
      </c>
      <c r="E2906" s="61">
        <v>1100</v>
      </c>
      <c r="F2906" s="61">
        <v>1279</v>
      </c>
      <c r="G2906" s="61">
        <v>2025</v>
      </c>
      <c r="H2906" s="61" t="s">
        <v>3532</v>
      </c>
      <c r="I2906" s="61" t="s">
        <v>1212</v>
      </c>
      <c r="J2906" s="471" t="s">
        <v>163</v>
      </c>
      <c r="K2906" s="61" t="s">
        <v>2393</v>
      </c>
      <c r="L2906" s="471" t="s">
        <v>9366</v>
      </c>
      <c r="M2906" s="502">
        <v>45792</v>
      </c>
      <c r="N2906" s="502">
        <v>45796</v>
      </c>
      <c r="O2906" s="502">
        <v>45797</v>
      </c>
      <c r="P2906" s="502">
        <v>45797</v>
      </c>
      <c r="Q2906" s="502">
        <v>45797</v>
      </c>
      <c r="R2906" s="61">
        <f t="shared" si="200"/>
        <v>2</v>
      </c>
      <c r="S2906" s="61">
        <f t="shared" si="203"/>
        <v>1</v>
      </c>
      <c r="T2906" s="61">
        <f t="shared" si="199"/>
        <v>1</v>
      </c>
      <c r="U2906" s="61">
        <f t="shared" si="202"/>
        <v>1</v>
      </c>
      <c r="V2906" s="61" t="s">
        <v>150</v>
      </c>
      <c r="W2906" s="61" t="s">
        <v>4</v>
      </c>
      <c r="X2906" s="61" t="s">
        <v>50</v>
      </c>
      <c r="Y2906" s="61">
        <v>15.1305</v>
      </c>
      <c r="Z2906" s="61">
        <v>120.0531</v>
      </c>
      <c r="AA2906" s="61" t="s">
        <v>9342</v>
      </c>
      <c r="AB2906" s="61"/>
    </row>
    <row r="2907" spans="1:28" s="2" customFormat="1" ht="28.5">
      <c r="A2907" s="61" t="s">
        <v>780</v>
      </c>
      <c r="B2907" s="61" t="s">
        <v>1526</v>
      </c>
      <c r="C2907" s="61" t="s">
        <v>6368</v>
      </c>
      <c r="D2907" s="61" t="s">
        <v>159</v>
      </c>
      <c r="E2907" s="61">
        <v>275</v>
      </c>
      <c r="F2907" s="61">
        <v>329</v>
      </c>
      <c r="G2907" s="61">
        <v>2025</v>
      </c>
      <c r="H2907" s="61" t="s">
        <v>3126</v>
      </c>
      <c r="I2907" s="61" t="s">
        <v>1212</v>
      </c>
      <c r="J2907" s="471" t="s">
        <v>163</v>
      </c>
      <c r="K2907" s="61" t="s">
        <v>2393</v>
      </c>
      <c r="L2907" s="61" t="s">
        <v>9356</v>
      </c>
      <c r="M2907" s="502">
        <v>45881</v>
      </c>
      <c r="N2907" s="502">
        <v>45887</v>
      </c>
      <c r="O2907" s="502">
        <v>45887</v>
      </c>
      <c r="P2907" s="502">
        <v>45887</v>
      </c>
      <c r="Q2907" s="502">
        <v>45887</v>
      </c>
      <c r="R2907" s="61">
        <f t="shared" si="200"/>
        <v>4</v>
      </c>
      <c r="S2907" s="61">
        <f t="shared" si="203"/>
        <v>1</v>
      </c>
      <c r="T2907" s="61">
        <f t="shared" ref="T2907:T2970" si="204">IF(
  OR(A2907 = "Nueva_Ecija", A2907 = "Zambales"),
  IF(
    OR(ISBLANK(O2907), ISBLANK(P2907)),
    "",
    MAX(1, IF(
      NETWORKDAYS(O2907, P2907) &lt;= 0,
      1,
      NETWORKDAYS(O2907, P2907) - IF(O2907 = P2907, 0, 1)
    ))
  ),
  IF(
    OR(ISBLANK(N2907), ISBLANK(P2907)),
    "",
    MAX(1, IF(
      NETWORKDAYS(N2907, P2907) &lt;= 0,
      1,
      NETWORKDAYS(N2907, P2907) - IF(N2907 = P2907, 0, 1)
    ))
  )
)</f>
        <v>1</v>
      </c>
      <c r="U2907" s="61">
        <f t="shared" si="202"/>
        <v>1</v>
      </c>
      <c r="V2907" s="61" t="s">
        <v>150</v>
      </c>
      <c r="W2907" s="61" t="s">
        <v>1078</v>
      </c>
      <c r="X2907" s="61" t="s">
        <v>57</v>
      </c>
      <c r="Y2907" s="61"/>
      <c r="Z2907" s="61"/>
      <c r="AA2907" s="61" t="s">
        <v>9357</v>
      </c>
      <c r="AB2907" s="61" t="s">
        <v>9358</v>
      </c>
    </row>
    <row r="2908" spans="1:28" s="2" customFormat="1" ht="28.5">
      <c r="A2908" s="61" t="s">
        <v>780</v>
      </c>
      <c r="B2908" s="61" t="s">
        <v>1526</v>
      </c>
      <c r="C2908" s="61" t="s">
        <v>1831</v>
      </c>
      <c r="D2908" s="61" t="s">
        <v>159</v>
      </c>
      <c r="E2908" s="61">
        <v>1052</v>
      </c>
      <c r="F2908" s="61">
        <v>1192</v>
      </c>
      <c r="G2908" s="61">
        <v>2025</v>
      </c>
      <c r="H2908" s="61" t="s">
        <v>3126</v>
      </c>
      <c r="I2908" s="61" t="s">
        <v>1212</v>
      </c>
      <c r="J2908" s="471" t="s">
        <v>163</v>
      </c>
      <c r="K2908" s="61" t="s">
        <v>2393</v>
      </c>
      <c r="L2908" s="61" t="s">
        <v>9356</v>
      </c>
      <c r="M2908" s="502">
        <v>45881</v>
      </c>
      <c r="N2908" s="502">
        <v>45887</v>
      </c>
      <c r="O2908" s="502">
        <v>45887</v>
      </c>
      <c r="P2908" s="502">
        <v>45887</v>
      </c>
      <c r="Q2908" s="502">
        <v>45887</v>
      </c>
      <c r="R2908" s="61">
        <f t="shared" si="200"/>
        <v>4</v>
      </c>
      <c r="S2908" s="61">
        <f t="shared" si="203"/>
        <v>1</v>
      </c>
      <c r="T2908" s="61">
        <f t="shared" si="204"/>
        <v>1</v>
      </c>
      <c r="U2908" s="61">
        <f t="shared" si="202"/>
        <v>1</v>
      </c>
      <c r="V2908" s="61" t="s">
        <v>150</v>
      </c>
      <c r="W2908" s="61" t="s">
        <v>1078</v>
      </c>
      <c r="X2908" s="61" t="s">
        <v>57</v>
      </c>
      <c r="Y2908" s="61"/>
      <c r="Z2908" s="61"/>
      <c r="AA2908" s="61" t="s">
        <v>9357</v>
      </c>
      <c r="AB2908" s="61" t="s">
        <v>9358</v>
      </c>
    </row>
    <row r="2909" spans="1:28" s="2" customFormat="1" ht="28.5">
      <c r="A2909" s="61" t="s">
        <v>780</v>
      </c>
      <c r="B2909" s="61" t="s">
        <v>1526</v>
      </c>
      <c r="C2909" s="61" t="s">
        <v>914</v>
      </c>
      <c r="D2909" s="61" t="s">
        <v>159</v>
      </c>
      <c r="E2909" s="61">
        <v>742</v>
      </c>
      <c r="F2909" s="61">
        <v>788</v>
      </c>
      <c r="G2909" s="61">
        <v>2025</v>
      </c>
      <c r="H2909" s="61" t="s">
        <v>3126</v>
      </c>
      <c r="I2909" s="61" t="s">
        <v>1212</v>
      </c>
      <c r="J2909" s="471" t="s">
        <v>163</v>
      </c>
      <c r="K2909" s="61" t="s">
        <v>2393</v>
      </c>
      <c r="L2909" s="61" t="s">
        <v>9356</v>
      </c>
      <c r="M2909" s="502">
        <v>45881</v>
      </c>
      <c r="N2909" s="502">
        <v>45887</v>
      </c>
      <c r="O2909" s="502">
        <v>45887</v>
      </c>
      <c r="P2909" s="502">
        <v>45887</v>
      </c>
      <c r="Q2909" s="502">
        <v>45887</v>
      </c>
      <c r="R2909" s="61">
        <f t="shared" si="200"/>
        <v>4</v>
      </c>
      <c r="S2909" s="61">
        <f t="shared" si="203"/>
        <v>1</v>
      </c>
      <c r="T2909" s="61">
        <f t="shared" si="204"/>
        <v>1</v>
      </c>
      <c r="U2909" s="61">
        <f t="shared" si="202"/>
        <v>1</v>
      </c>
      <c r="V2909" s="61" t="s">
        <v>150</v>
      </c>
      <c r="W2909" s="61" t="s">
        <v>1078</v>
      </c>
      <c r="X2909" s="61" t="s">
        <v>50</v>
      </c>
      <c r="Y2909" s="61"/>
      <c r="Z2909" s="61"/>
      <c r="AA2909" s="61" t="s">
        <v>9357</v>
      </c>
      <c r="AB2909" s="61" t="s">
        <v>9358</v>
      </c>
    </row>
    <row r="2910" spans="1:28" s="2" customFormat="1" ht="15">
      <c r="A2910" s="61" t="s">
        <v>780</v>
      </c>
      <c r="B2910" s="61" t="s">
        <v>1526</v>
      </c>
      <c r="C2910" s="61" t="s">
        <v>6369</v>
      </c>
      <c r="D2910" s="61" t="s">
        <v>159</v>
      </c>
      <c r="E2910" s="61">
        <v>2005</v>
      </c>
      <c r="F2910" s="61">
        <v>2427</v>
      </c>
      <c r="G2910" s="61"/>
      <c r="H2910" s="61"/>
      <c r="I2910" s="61" t="s">
        <v>1212</v>
      </c>
      <c r="J2910" s="471"/>
      <c r="K2910" s="61" t="s">
        <v>2393</v>
      </c>
      <c r="L2910" s="471"/>
      <c r="M2910" s="471"/>
      <c r="N2910" s="471"/>
      <c r="O2910" s="471"/>
      <c r="P2910" s="471"/>
      <c r="Q2910" s="471"/>
      <c r="R2910" s="61" t="str">
        <f t="shared" si="200"/>
        <v/>
      </c>
      <c r="S2910" s="61" t="str">
        <f t="shared" si="203"/>
        <v/>
      </c>
      <c r="T2910" s="61" t="str">
        <f t="shared" si="204"/>
        <v/>
      </c>
      <c r="U2910" s="61" t="str">
        <f t="shared" si="202"/>
        <v/>
      </c>
      <c r="V2910" s="61"/>
      <c r="W2910" s="61"/>
      <c r="X2910" s="61"/>
      <c r="Y2910" s="61"/>
      <c r="Z2910" s="61"/>
      <c r="AA2910" s="61"/>
      <c r="AB2910" s="61"/>
    </row>
    <row r="2911" spans="1:28" s="2" customFormat="1" ht="15">
      <c r="A2911" s="61" t="s">
        <v>780</v>
      </c>
      <c r="B2911" s="61" t="s">
        <v>1526</v>
      </c>
      <c r="C2911" s="61" t="s">
        <v>1155</v>
      </c>
      <c r="D2911" s="61" t="s">
        <v>159</v>
      </c>
      <c r="E2911" s="61">
        <v>932</v>
      </c>
      <c r="F2911" s="61">
        <v>1097</v>
      </c>
      <c r="G2911" s="61"/>
      <c r="H2911" s="61"/>
      <c r="I2911" s="61" t="s">
        <v>1212</v>
      </c>
      <c r="J2911" s="471"/>
      <c r="K2911" s="61" t="s">
        <v>2393</v>
      </c>
      <c r="L2911" s="471"/>
      <c r="M2911" s="471"/>
      <c r="N2911" s="471"/>
      <c r="O2911" s="471"/>
      <c r="P2911" s="471"/>
      <c r="Q2911" s="471"/>
      <c r="R2911" s="61" t="str">
        <f t="shared" si="200"/>
        <v/>
      </c>
      <c r="S2911" s="61" t="str">
        <f t="shared" si="203"/>
        <v/>
      </c>
      <c r="T2911" s="61" t="str">
        <f t="shared" si="204"/>
        <v/>
      </c>
      <c r="U2911" s="61" t="str">
        <f t="shared" si="202"/>
        <v/>
      </c>
      <c r="V2911" s="61"/>
      <c r="W2911" s="61"/>
      <c r="X2911" s="61"/>
      <c r="Y2911" s="61"/>
      <c r="Z2911" s="61"/>
      <c r="AA2911" s="61"/>
      <c r="AB2911" s="61"/>
    </row>
    <row r="2912" spans="1:28" s="2" customFormat="1" ht="28.5">
      <c r="A2912" s="61" t="s">
        <v>780</v>
      </c>
      <c r="B2912" s="61" t="s">
        <v>1531</v>
      </c>
      <c r="C2912" s="61" t="s">
        <v>6392</v>
      </c>
      <c r="D2912" s="61" t="s">
        <v>159</v>
      </c>
      <c r="E2912" s="61">
        <v>1769</v>
      </c>
      <c r="F2912" s="61">
        <v>1987</v>
      </c>
      <c r="G2912" s="61">
        <v>2025</v>
      </c>
      <c r="H2912" s="61" t="s">
        <v>3470</v>
      </c>
      <c r="I2912" s="471" t="s">
        <v>42</v>
      </c>
      <c r="J2912" s="471" t="s">
        <v>163</v>
      </c>
      <c r="K2912" s="61" t="s">
        <v>2393</v>
      </c>
      <c r="L2912" s="471" t="s">
        <v>9367</v>
      </c>
      <c r="M2912" s="502">
        <v>45750</v>
      </c>
      <c r="N2912" s="502">
        <v>45754</v>
      </c>
      <c r="O2912" s="502">
        <v>45755</v>
      </c>
      <c r="P2912" s="502">
        <v>45755</v>
      </c>
      <c r="Q2912" s="502">
        <v>45757</v>
      </c>
      <c r="R2912" s="61">
        <f t="shared" si="200"/>
        <v>2</v>
      </c>
      <c r="S2912" s="61">
        <f t="shared" si="203"/>
        <v>1</v>
      </c>
      <c r="T2912" s="61">
        <f t="shared" si="204"/>
        <v>1</v>
      </c>
      <c r="U2912" s="61">
        <f t="shared" si="202"/>
        <v>2</v>
      </c>
      <c r="V2912" s="61" t="s">
        <v>150</v>
      </c>
      <c r="W2912" s="61" t="s">
        <v>4</v>
      </c>
      <c r="X2912" s="61" t="s">
        <v>50</v>
      </c>
      <c r="Y2912" s="61">
        <v>15.6182</v>
      </c>
      <c r="Z2912" s="61">
        <v>119.94410000000001</v>
      </c>
      <c r="AA2912" s="61" t="s">
        <v>7719</v>
      </c>
      <c r="AB2912" s="61"/>
    </row>
    <row r="2913" spans="1:28" s="2" customFormat="1" ht="28.5">
      <c r="A2913" s="61" t="s">
        <v>780</v>
      </c>
      <c r="B2913" s="61" t="s">
        <v>1531</v>
      </c>
      <c r="C2913" s="61" t="s">
        <v>6396</v>
      </c>
      <c r="D2913" s="61" t="s">
        <v>159</v>
      </c>
      <c r="E2913" s="61">
        <v>927</v>
      </c>
      <c r="F2913" s="61">
        <v>963</v>
      </c>
      <c r="G2913" s="61">
        <v>2025</v>
      </c>
      <c r="H2913" s="61" t="s">
        <v>3416</v>
      </c>
      <c r="I2913" s="471" t="s">
        <v>42</v>
      </c>
      <c r="J2913" s="471" t="s">
        <v>163</v>
      </c>
      <c r="K2913" s="61" t="s">
        <v>2393</v>
      </c>
      <c r="L2913" s="471" t="s">
        <v>9368</v>
      </c>
      <c r="M2913" s="502">
        <v>45722</v>
      </c>
      <c r="N2913" s="502">
        <v>45726</v>
      </c>
      <c r="O2913" s="502">
        <v>45728</v>
      </c>
      <c r="P2913" s="502">
        <v>45728</v>
      </c>
      <c r="Q2913" s="502">
        <v>45728</v>
      </c>
      <c r="R2913" s="61">
        <f t="shared" si="200"/>
        <v>2</v>
      </c>
      <c r="S2913" s="61">
        <f t="shared" si="203"/>
        <v>2</v>
      </c>
      <c r="T2913" s="61">
        <f t="shared" si="204"/>
        <v>1</v>
      </c>
      <c r="U2913" s="61">
        <f t="shared" si="202"/>
        <v>1</v>
      </c>
      <c r="V2913" s="61" t="s">
        <v>150</v>
      </c>
      <c r="W2913" s="61" t="s">
        <v>4</v>
      </c>
      <c r="X2913" s="61" t="s">
        <v>50</v>
      </c>
      <c r="Y2913" s="61">
        <v>15.6188</v>
      </c>
      <c r="Z2913" s="61">
        <v>119.91630000000001</v>
      </c>
      <c r="AA2913" s="61" t="s">
        <v>7719</v>
      </c>
      <c r="AB2913" s="61"/>
    </row>
    <row r="2914" spans="1:28" s="2" customFormat="1" ht="28.5">
      <c r="A2914" s="61" t="s">
        <v>780</v>
      </c>
      <c r="B2914" s="61" t="s">
        <v>1531</v>
      </c>
      <c r="C2914" s="61" t="s">
        <v>6398</v>
      </c>
      <c r="D2914" s="61" t="s">
        <v>159</v>
      </c>
      <c r="E2914" s="61">
        <v>1894</v>
      </c>
      <c r="F2914" s="61">
        <v>2133</v>
      </c>
      <c r="G2914" s="61">
        <v>2025</v>
      </c>
      <c r="H2914" s="61" t="s">
        <v>3458</v>
      </c>
      <c r="I2914" s="61" t="s">
        <v>1212</v>
      </c>
      <c r="J2914" s="471" t="s">
        <v>163</v>
      </c>
      <c r="K2914" s="61" t="s">
        <v>2393</v>
      </c>
      <c r="L2914" s="471" t="s">
        <v>9369</v>
      </c>
      <c r="M2914" s="502">
        <v>45701</v>
      </c>
      <c r="N2914" s="502">
        <v>45706</v>
      </c>
      <c r="O2914" s="502">
        <v>45706</v>
      </c>
      <c r="P2914" s="502">
        <v>45706</v>
      </c>
      <c r="Q2914" s="502">
        <v>45706</v>
      </c>
      <c r="R2914" s="61">
        <f t="shared" si="200"/>
        <v>3</v>
      </c>
      <c r="S2914" s="61">
        <f t="shared" si="203"/>
        <v>1</v>
      </c>
      <c r="T2914" s="61">
        <f t="shared" si="204"/>
        <v>1</v>
      </c>
      <c r="U2914" s="61">
        <f t="shared" si="202"/>
        <v>1</v>
      </c>
      <c r="V2914" s="61" t="s">
        <v>150</v>
      </c>
      <c r="W2914" s="61" t="s">
        <v>4</v>
      </c>
      <c r="X2914" s="61" t="s">
        <v>57</v>
      </c>
      <c r="Y2914" s="61"/>
      <c r="Z2914" s="61"/>
      <c r="AA2914" s="61" t="s">
        <v>7719</v>
      </c>
      <c r="AB2914" s="61"/>
    </row>
    <row r="2915" spans="1:28" s="2" customFormat="1" ht="28.5">
      <c r="A2915" s="61" t="s">
        <v>780</v>
      </c>
      <c r="B2915" s="61" t="s">
        <v>1531</v>
      </c>
      <c r="C2915" s="61" t="s">
        <v>6399</v>
      </c>
      <c r="D2915" s="61" t="s">
        <v>159</v>
      </c>
      <c r="E2915" s="61">
        <v>1360</v>
      </c>
      <c r="F2915" s="61">
        <v>1416</v>
      </c>
      <c r="G2915" s="61">
        <v>2025</v>
      </c>
      <c r="H2915" s="61" t="s">
        <v>3416</v>
      </c>
      <c r="I2915" s="471" t="s">
        <v>42</v>
      </c>
      <c r="J2915" s="471" t="s">
        <v>163</v>
      </c>
      <c r="K2915" s="61" t="s">
        <v>2393</v>
      </c>
      <c r="L2915" s="471" t="s">
        <v>9370</v>
      </c>
      <c r="M2915" s="502">
        <v>45694</v>
      </c>
      <c r="N2915" s="502">
        <v>45698</v>
      </c>
      <c r="O2915" s="502">
        <v>45700</v>
      </c>
      <c r="P2915" s="502">
        <v>45700</v>
      </c>
      <c r="Q2915" s="502">
        <v>45700</v>
      </c>
      <c r="R2915" s="61">
        <f t="shared" si="200"/>
        <v>2</v>
      </c>
      <c r="S2915" s="61">
        <f t="shared" si="203"/>
        <v>2</v>
      </c>
      <c r="T2915" s="61">
        <f t="shared" si="204"/>
        <v>1</v>
      </c>
      <c r="U2915" s="61">
        <f t="shared" si="202"/>
        <v>1</v>
      </c>
      <c r="V2915" s="61" t="s">
        <v>150</v>
      </c>
      <c r="W2915" s="61" t="s">
        <v>4</v>
      </c>
      <c r="X2915" s="61" t="s">
        <v>57</v>
      </c>
      <c r="Y2915" s="61">
        <v>15.626300000000001</v>
      </c>
      <c r="Z2915" s="61">
        <v>119.919</v>
      </c>
      <c r="AA2915" s="61" t="s">
        <v>7719</v>
      </c>
      <c r="AB2915" s="61"/>
    </row>
    <row r="2916" spans="1:28" s="2" customFormat="1" ht="28.5">
      <c r="A2916" s="61" t="s">
        <v>780</v>
      </c>
      <c r="B2916" s="61" t="s">
        <v>1531</v>
      </c>
      <c r="C2916" s="61" t="s">
        <v>6404</v>
      </c>
      <c r="D2916" s="61" t="s">
        <v>159</v>
      </c>
      <c r="E2916" s="61">
        <v>1316</v>
      </c>
      <c r="F2916" s="61">
        <v>1431</v>
      </c>
      <c r="G2916" s="61">
        <v>2025</v>
      </c>
      <c r="H2916" s="61" t="s">
        <v>3458</v>
      </c>
      <c r="I2916" s="471" t="s">
        <v>42</v>
      </c>
      <c r="J2916" s="471" t="s">
        <v>163</v>
      </c>
      <c r="K2916" s="61" t="s">
        <v>2393</v>
      </c>
      <c r="L2916" s="471" t="s">
        <v>9371</v>
      </c>
      <c r="M2916" s="502">
        <v>45701</v>
      </c>
      <c r="N2916" s="502">
        <v>45706</v>
      </c>
      <c r="O2916" s="502">
        <v>45706</v>
      </c>
      <c r="P2916" s="502">
        <v>45706</v>
      </c>
      <c r="Q2916" s="502">
        <v>45706</v>
      </c>
      <c r="R2916" s="61">
        <f t="shared" si="200"/>
        <v>3</v>
      </c>
      <c r="S2916" s="61">
        <f t="shared" si="203"/>
        <v>1</v>
      </c>
      <c r="T2916" s="61">
        <f t="shared" si="204"/>
        <v>1</v>
      </c>
      <c r="U2916" s="61">
        <f t="shared" si="202"/>
        <v>1</v>
      </c>
      <c r="V2916" s="61" t="s">
        <v>150</v>
      </c>
      <c r="W2916" s="61" t="s">
        <v>4</v>
      </c>
      <c r="X2916" s="61" t="s">
        <v>57</v>
      </c>
      <c r="Y2916" s="61"/>
      <c r="Z2916" s="61"/>
      <c r="AA2916" s="61" t="s">
        <v>7719</v>
      </c>
      <c r="AB2916" s="61"/>
    </row>
    <row r="2917" spans="1:28" s="2" customFormat="1" ht="28.5">
      <c r="A2917" s="61" t="s">
        <v>780</v>
      </c>
      <c r="B2917" s="61" t="s">
        <v>1531</v>
      </c>
      <c r="C2917" s="61" t="s">
        <v>1532</v>
      </c>
      <c r="D2917" s="61" t="s">
        <v>159</v>
      </c>
      <c r="E2917" s="61">
        <v>1183</v>
      </c>
      <c r="F2917" s="61">
        <v>1441</v>
      </c>
      <c r="G2917" s="61">
        <v>2025</v>
      </c>
      <c r="H2917" s="61" t="s">
        <v>3470</v>
      </c>
      <c r="I2917" s="471" t="s">
        <v>42</v>
      </c>
      <c r="J2917" s="471" t="s">
        <v>163</v>
      </c>
      <c r="K2917" s="61" t="s">
        <v>2393</v>
      </c>
      <c r="L2917" s="471" t="s">
        <v>9372</v>
      </c>
      <c r="M2917" s="502">
        <v>45743</v>
      </c>
      <c r="N2917" s="502">
        <v>45747</v>
      </c>
      <c r="O2917" s="502">
        <v>45747</v>
      </c>
      <c r="P2917" s="502">
        <v>45747</v>
      </c>
      <c r="Q2917" s="502">
        <v>45749</v>
      </c>
      <c r="R2917" s="61">
        <f t="shared" si="200"/>
        <v>2</v>
      </c>
      <c r="S2917" s="61">
        <f t="shared" si="203"/>
        <v>1</v>
      </c>
      <c r="T2917" s="61">
        <f t="shared" si="204"/>
        <v>1</v>
      </c>
      <c r="U2917" s="61">
        <f t="shared" si="202"/>
        <v>2</v>
      </c>
      <c r="V2917" s="61" t="s">
        <v>150</v>
      </c>
      <c r="W2917" s="61" t="s">
        <v>4</v>
      </c>
      <c r="X2917" s="61" t="s">
        <v>50</v>
      </c>
      <c r="Y2917" s="61">
        <v>15.5951</v>
      </c>
      <c r="Z2917" s="61">
        <v>119.9526</v>
      </c>
      <c r="AA2917" s="61" t="s">
        <v>7719</v>
      </c>
      <c r="AB2917" s="61"/>
    </row>
    <row r="2918" spans="1:28" s="2" customFormat="1" ht="28.5">
      <c r="A2918" s="61" t="s">
        <v>780</v>
      </c>
      <c r="B2918" s="61" t="s">
        <v>1531</v>
      </c>
      <c r="C2918" s="61" t="s">
        <v>1056</v>
      </c>
      <c r="D2918" s="61" t="s">
        <v>159</v>
      </c>
      <c r="E2918" s="61">
        <v>1093</v>
      </c>
      <c r="F2918" s="61">
        <v>1240</v>
      </c>
      <c r="G2918" s="61">
        <v>2025</v>
      </c>
      <c r="H2918" s="61" t="s">
        <v>3416</v>
      </c>
      <c r="I2918" s="471" t="s">
        <v>42</v>
      </c>
      <c r="J2918" s="471" t="s">
        <v>163</v>
      </c>
      <c r="K2918" s="61" t="s">
        <v>2393</v>
      </c>
      <c r="L2918" s="471" t="s">
        <v>9373</v>
      </c>
      <c r="M2918" s="502">
        <v>45722</v>
      </c>
      <c r="N2918" s="502">
        <v>45726</v>
      </c>
      <c r="O2918" s="502">
        <v>45728</v>
      </c>
      <c r="P2918" s="502">
        <v>45728</v>
      </c>
      <c r="Q2918" s="502">
        <v>45728</v>
      </c>
      <c r="R2918" s="61">
        <f t="shared" si="200"/>
        <v>2</v>
      </c>
      <c r="S2918" s="61">
        <f t="shared" si="203"/>
        <v>2</v>
      </c>
      <c r="T2918" s="61">
        <f t="shared" si="204"/>
        <v>1</v>
      </c>
      <c r="U2918" s="61">
        <f t="shared" si="202"/>
        <v>1</v>
      </c>
      <c r="V2918" s="61" t="s">
        <v>150</v>
      </c>
      <c r="W2918" s="61" t="s">
        <v>1078</v>
      </c>
      <c r="X2918" s="61" t="s">
        <v>50</v>
      </c>
      <c r="Y2918" s="61">
        <v>15.6248</v>
      </c>
      <c r="Z2918" s="61">
        <v>119.9306</v>
      </c>
      <c r="AA2918" s="61" t="s">
        <v>7719</v>
      </c>
      <c r="AB2918" s="61"/>
    </row>
    <row r="2919" spans="1:28" s="2" customFormat="1" ht="28.5">
      <c r="A2919" s="61" t="s">
        <v>780</v>
      </c>
      <c r="B2919" s="61" t="s">
        <v>1531</v>
      </c>
      <c r="C2919" s="61" t="s">
        <v>6410</v>
      </c>
      <c r="D2919" s="61" t="s">
        <v>159</v>
      </c>
      <c r="E2919" s="61">
        <v>1088</v>
      </c>
      <c r="F2919" s="61">
        <v>1164</v>
      </c>
      <c r="G2919" s="61">
        <v>2025</v>
      </c>
      <c r="H2919" s="61" t="s">
        <v>3470</v>
      </c>
      <c r="I2919" s="471" t="s">
        <v>42</v>
      </c>
      <c r="J2919" s="471" t="s">
        <v>163</v>
      </c>
      <c r="K2919" s="61" t="s">
        <v>2393</v>
      </c>
      <c r="L2919" s="471" t="s">
        <v>9374</v>
      </c>
      <c r="M2919" s="502">
        <v>45750</v>
      </c>
      <c r="N2919" s="502">
        <v>45754</v>
      </c>
      <c r="O2919" s="502">
        <v>45755</v>
      </c>
      <c r="P2919" s="502">
        <v>45755</v>
      </c>
      <c r="Q2919" s="502">
        <v>45757</v>
      </c>
      <c r="R2919" s="61">
        <f t="shared" si="200"/>
        <v>2</v>
      </c>
      <c r="S2919" s="61">
        <f t="shared" si="203"/>
        <v>1</v>
      </c>
      <c r="T2919" s="61">
        <f t="shared" si="204"/>
        <v>1</v>
      </c>
      <c r="U2919" s="61">
        <f t="shared" si="202"/>
        <v>2</v>
      </c>
      <c r="V2919" s="61" t="s">
        <v>150</v>
      </c>
      <c r="W2919" s="61" t="s">
        <v>1078</v>
      </c>
      <c r="X2919" s="61" t="s">
        <v>50</v>
      </c>
      <c r="Y2919" s="61">
        <v>15.6195</v>
      </c>
      <c r="Z2919" s="61">
        <v>119.9572</v>
      </c>
      <c r="AA2919" s="61" t="s">
        <v>7719</v>
      </c>
      <c r="AB2919" s="61"/>
    </row>
    <row r="2920" spans="1:28" s="2" customFormat="1" ht="15">
      <c r="A2920" s="61" t="s">
        <v>780</v>
      </c>
      <c r="B2920" s="61" t="s">
        <v>1531</v>
      </c>
      <c r="C2920" s="61" t="s">
        <v>6394</v>
      </c>
      <c r="D2920" s="61" t="s">
        <v>159</v>
      </c>
      <c r="E2920" s="61">
        <v>1951</v>
      </c>
      <c r="F2920" s="61">
        <v>2302</v>
      </c>
      <c r="G2920" s="61"/>
      <c r="H2920" s="61"/>
      <c r="I2920" s="471" t="s">
        <v>42</v>
      </c>
      <c r="J2920" s="471"/>
      <c r="K2920" s="61" t="s">
        <v>2393</v>
      </c>
      <c r="L2920" s="471"/>
      <c r="M2920" s="471"/>
      <c r="N2920" s="471"/>
      <c r="O2920" s="471"/>
      <c r="P2920" s="471"/>
      <c r="Q2920" s="471"/>
      <c r="R2920" s="61" t="str">
        <f t="shared" si="200"/>
        <v/>
      </c>
      <c r="S2920" s="61" t="str">
        <f t="shared" si="203"/>
        <v/>
      </c>
      <c r="T2920" s="61" t="str">
        <f t="shared" si="204"/>
        <v/>
      </c>
      <c r="U2920" s="61" t="str">
        <f t="shared" si="202"/>
        <v/>
      </c>
      <c r="V2920" s="61"/>
      <c r="W2920" s="61"/>
      <c r="X2920" s="61"/>
      <c r="Y2920" s="61"/>
      <c r="Z2920" s="61"/>
      <c r="AA2920" s="61"/>
      <c r="AB2920" s="61"/>
    </row>
    <row r="2921" spans="1:28" s="2" customFormat="1" ht="15">
      <c r="A2921" s="61" t="s">
        <v>780</v>
      </c>
      <c r="B2921" s="61" t="s">
        <v>1531</v>
      </c>
      <c r="C2921" s="61" t="s">
        <v>6395</v>
      </c>
      <c r="D2921" s="61" t="s">
        <v>159</v>
      </c>
      <c r="E2921" s="61">
        <v>1344</v>
      </c>
      <c r="F2921" s="61">
        <v>1286</v>
      </c>
      <c r="G2921" s="61"/>
      <c r="H2921" s="61"/>
      <c r="I2921" s="471" t="s">
        <v>42</v>
      </c>
      <c r="J2921" s="471"/>
      <c r="K2921" s="61" t="s">
        <v>2393</v>
      </c>
      <c r="L2921" s="471"/>
      <c r="M2921" s="471"/>
      <c r="N2921" s="471"/>
      <c r="O2921" s="471"/>
      <c r="P2921" s="471"/>
      <c r="Q2921" s="471"/>
      <c r="R2921" s="61" t="str">
        <f t="shared" si="200"/>
        <v/>
      </c>
      <c r="S2921" s="61" t="str">
        <f t="shared" si="203"/>
        <v/>
      </c>
      <c r="T2921" s="61" t="str">
        <f t="shared" si="204"/>
        <v/>
      </c>
      <c r="U2921" s="61" t="str">
        <f t="shared" si="202"/>
        <v/>
      </c>
      <c r="V2921" s="61"/>
      <c r="W2921" s="61"/>
      <c r="X2921" s="61"/>
      <c r="Y2921" s="61"/>
      <c r="Z2921" s="61"/>
      <c r="AA2921" s="61"/>
      <c r="AB2921" s="61"/>
    </row>
    <row r="2922" spans="1:28" s="2" customFormat="1" ht="15">
      <c r="A2922" s="61" t="s">
        <v>780</v>
      </c>
      <c r="B2922" s="61" t="s">
        <v>1531</v>
      </c>
      <c r="C2922" s="61" t="s">
        <v>6401</v>
      </c>
      <c r="D2922" s="61" t="s">
        <v>159</v>
      </c>
      <c r="E2922" s="61">
        <v>2627</v>
      </c>
      <c r="F2922" s="61">
        <v>3175</v>
      </c>
      <c r="G2922" s="61"/>
      <c r="H2922" s="61"/>
      <c r="I2922" s="471" t="s">
        <v>42</v>
      </c>
      <c r="J2922" s="471"/>
      <c r="K2922" s="61" t="s">
        <v>2393</v>
      </c>
      <c r="L2922" s="471"/>
      <c r="M2922" s="471"/>
      <c r="N2922" s="471"/>
      <c r="O2922" s="471"/>
      <c r="P2922" s="471"/>
      <c r="Q2922" s="471"/>
      <c r="R2922" s="61" t="str">
        <f t="shared" si="200"/>
        <v/>
      </c>
      <c r="S2922" s="61" t="str">
        <f t="shared" si="203"/>
        <v/>
      </c>
      <c r="T2922" s="61" t="str">
        <f t="shared" si="204"/>
        <v/>
      </c>
      <c r="U2922" s="61" t="str">
        <f t="shared" si="202"/>
        <v/>
      </c>
      <c r="V2922" s="61"/>
      <c r="W2922" s="61"/>
      <c r="X2922" s="61"/>
      <c r="Y2922" s="61"/>
      <c r="Z2922" s="61"/>
      <c r="AA2922" s="61"/>
      <c r="AB2922" s="61"/>
    </row>
    <row r="2923" spans="1:28" s="2" customFormat="1" ht="15">
      <c r="A2923" s="61" t="s">
        <v>780</v>
      </c>
      <c r="B2923" s="61" t="s">
        <v>1531</v>
      </c>
      <c r="C2923" s="61" t="s">
        <v>6403</v>
      </c>
      <c r="D2923" s="61" t="s">
        <v>159</v>
      </c>
      <c r="E2923" s="61">
        <v>1148</v>
      </c>
      <c r="F2923" s="61">
        <v>1228</v>
      </c>
      <c r="G2923" s="61"/>
      <c r="H2923" s="61"/>
      <c r="I2923" s="471" t="s">
        <v>42</v>
      </c>
      <c r="J2923" s="471"/>
      <c r="K2923" s="61" t="s">
        <v>2393</v>
      </c>
      <c r="L2923" s="471"/>
      <c r="M2923" s="471"/>
      <c r="N2923" s="471"/>
      <c r="O2923" s="471"/>
      <c r="P2923" s="471"/>
      <c r="Q2923" s="471"/>
      <c r="R2923" s="61" t="str">
        <f t="shared" si="200"/>
        <v/>
      </c>
      <c r="S2923" s="61" t="str">
        <f t="shared" si="203"/>
        <v/>
      </c>
      <c r="T2923" s="61" t="str">
        <f t="shared" si="204"/>
        <v/>
      </c>
      <c r="U2923" s="61" t="str">
        <f t="shared" si="202"/>
        <v/>
      </c>
      <c r="V2923" s="61"/>
      <c r="W2923" s="61"/>
      <c r="X2923" s="61"/>
      <c r="Y2923" s="61"/>
      <c r="Z2923" s="61"/>
      <c r="AA2923" s="61"/>
      <c r="AB2923" s="61"/>
    </row>
    <row r="2924" spans="1:28" s="2" customFormat="1" ht="15">
      <c r="A2924" s="61" t="s">
        <v>780</v>
      </c>
      <c r="B2924" s="61" t="s">
        <v>1531</v>
      </c>
      <c r="C2924" s="61" t="s">
        <v>6405</v>
      </c>
      <c r="D2924" s="61" t="s">
        <v>159</v>
      </c>
      <c r="E2924" s="61">
        <v>1067</v>
      </c>
      <c r="F2924" s="61">
        <v>1216</v>
      </c>
      <c r="G2924" s="61"/>
      <c r="H2924" s="61"/>
      <c r="I2924" s="471" t="s">
        <v>42</v>
      </c>
      <c r="J2924" s="471"/>
      <c r="K2924" s="61" t="s">
        <v>2393</v>
      </c>
      <c r="L2924" s="471"/>
      <c r="M2924" s="471"/>
      <c r="N2924" s="471"/>
      <c r="O2924" s="471"/>
      <c r="P2924" s="471"/>
      <c r="Q2924" s="471"/>
      <c r="R2924" s="61" t="str">
        <f t="shared" si="200"/>
        <v/>
      </c>
      <c r="S2924" s="61" t="str">
        <f t="shared" si="203"/>
        <v/>
      </c>
      <c r="T2924" s="61" t="str">
        <f t="shared" si="204"/>
        <v/>
      </c>
      <c r="U2924" s="61" t="str">
        <f t="shared" si="202"/>
        <v/>
      </c>
      <c r="V2924" s="61"/>
      <c r="W2924" s="61"/>
      <c r="X2924" s="61"/>
      <c r="Y2924" s="61"/>
      <c r="Z2924" s="61"/>
      <c r="AA2924" s="61"/>
      <c r="AB2924" s="61"/>
    </row>
    <row r="2925" spans="1:28" s="2" customFormat="1" ht="15">
      <c r="A2925" s="61" t="s">
        <v>780</v>
      </c>
      <c r="B2925" s="61" t="s">
        <v>1531</v>
      </c>
      <c r="C2925" s="61" t="s">
        <v>6409</v>
      </c>
      <c r="D2925" s="61" t="s">
        <v>159</v>
      </c>
      <c r="E2925" s="61">
        <v>3563</v>
      </c>
      <c r="F2925" s="61">
        <v>3906</v>
      </c>
      <c r="G2925" s="61"/>
      <c r="H2925" s="61"/>
      <c r="I2925" s="471" t="s">
        <v>42</v>
      </c>
      <c r="J2925" s="471"/>
      <c r="K2925" s="61" t="s">
        <v>2393</v>
      </c>
      <c r="L2925" s="471"/>
      <c r="M2925" s="471"/>
      <c r="N2925" s="471"/>
      <c r="O2925" s="471"/>
      <c r="P2925" s="471"/>
      <c r="Q2925" s="471"/>
      <c r="R2925" s="61" t="str">
        <f t="shared" si="200"/>
        <v/>
      </c>
      <c r="S2925" s="61" t="str">
        <f t="shared" si="203"/>
        <v/>
      </c>
      <c r="T2925" s="61" t="str">
        <f t="shared" si="204"/>
        <v/>
      </c>
      <c r="U2925" s="61" t="str">
        <f t="shared" si="202"/>
        <v/>
      </c>
      <c r="V2925" s="61"/>
      <c r="W2925" s="61"/>
      <c r="X2925" s="61"/>
      <c r="Y2925" s="61"/>
      <c r="Z2925" s="61"/>
      <c r="AA2925" s="61"/>
      <c r="AB2925" s="61"/>
    </row>
    <row r="2926" spans="1:28" s="2" customFormat="1" ht="15">
      <c r="A2926" s="61" t="s">
        <v>780</v>
      </c>
      <c r="B2926" s="61" t="s">
        <v>1531</v>
      </c>
      <c r="C2926" s="61" t="s">
        <v>6412</v>
      </c>
      <c r="D2926" s="61" t="s">
        <v>159</v>
      </c>
      <c r="E2926" s="61">
        <v>3471</v>
      </c>
      <c r="F2926" s="61">
        <v>3851</v>
      </c>
      <c r="G2926" s="61"/>
      <c r="H2926" s="61"/>
      <c r="I2926" s="471" t="s">
        <v>42</v>
      </c>
      <c r="J2926" s="471"/>
      <c r="K2926" s="61" t="s">
        <v>2393</v>
      </c>
      <c r="L2926" s="471"/>
      <c r="M2926" s="471"/>
      <c r="N2926" s="471"/>
      <c r="O2926" s="471"/>
      <c r="P2926" s="471"/>
      <c r="Q2926" s="471"/>
      <c r="R2926" s="61" t="str">
        <f t="shared" si="200"/>
        <v/>
      </c>
      <c r="S2926" s="61" t="str">
        <f t="shared" si="203"/>
        <v/>
      </c>
      <c r="T2926" s="61" t="str">
        <f t="shared" si="204"/>
        <v/>
      </c>
      <c r="U2926" s="61" t="str">
        <f t="shared" si="202"/>
        <v/>
      </c>
      <c r="V2926" s="61"/>
      <c r="W2926" s="61"/>
      <c r="X2926" s="61"/>
      <c r="Y2926" s="61"/>
      <c r="Z2926" s="61"/>
      <c r="AA2926" s="61"/>
      <c r="AB2926" s="61"/>
    </row>
    <row r="2927" spans="1:28" s="2" customFormat="1" ht="15">
      <c r="A2927" s="61" t="s">
        <v>780</v>
      </c>
      <c r="B2927" s="61" t="s">
        <v>1531</v>
      </c>
      <c r="C2927" s="61" t="s">
        <v>6413</v>
      </c>
      <c r="D2927" s="61" t="s">
        <v>159</v>
      </c>
      <c r="E2927" s="61">
        <v>1373</v>
      </c>
      <c r="F2927" s="61">
        <v>1524</v>
      </c>
      <c r="G2927" s="61"/>
      <c r="H2927" s="61"/>
      <c r="I2927" s="471" t="s">
        <v>42</v>
      </c>
      <c r="J2927" s="471"/>
      <c r="K2927" s="61" t="s">
        <v>2393</v>
      </c>
      <c r="L2927" s="471"/>
      <c r="M2927" s="471"/>
      <c r="N2927" s="471"/>
      <c r="O2927" s="471"/>
      <c r="P2927" s="471"/>
      <c r="Q2927" s="471"/>
      <c r="R2927" s="61" t="str">
        <f t="shared" si="200"/>
        <v/>
      </c>
      <c r="S2927" s="61" t="str">
        <f t="shared" si="203"/>
        <v/>
      </c>
      <c r="T2927" s="61" t="str">
        <f t="shared" si="204"/>
        <v/>
      </c>
      <c r="U2927" s="61" t="str">
        <f t="shared" si="202"/>
        <v/>
      </c>
      <c r="V2927" s="61"/>
      <c r="W2927" s="61"/>
      <c r="X2927" s="61"/>
      <c r="Y2927" s="61"/>
      <c r="Z2927" s="61"/>
      <c r="AA2927" s="61"/>
      <c r="AB2927" s="61"/>
    </row>
    <row r="2928" spans="1:28" s="2" customFormat="1" ht="15">
      <c r="A2928" s="61" t="s">
        <v>780</v>
      </c>
      <c r="B2928" s="61" t="s">
        <v>1215</v>
      </c>
      <c r="C2928" s="61" t="s">
        <v>6414</v>
      </c>
      <c r="D2928" s="61" t="s">
        <v>159</v>
      </c>
      <c r="E2928" s="61">
        <v>11064</v>
      </c>
      <c r="F2928" s="61">
        <v>10127</v>
      </c>
      <c r="G2928" s="61">
        <v>2025</v>
      </c>
      <c r="H2928" s="61" t="s">
        <v>3126</v>
      </c>
      <c r="I2928" s="61" t="s">
        <v>2073</v>
      </c>
      <c r="J2928" s="471" t="s">
        <v>2073</v>
      </c>
      <c r="K2928" s="61" t="s">
        <v>2393</v>
      </c>
      <c r="L2928" s="61" t="s">
        <v>9375</v>
      </c>
      <c r="M2928" s="502">
        <v>45883</v>
      </c>
      <c r="N2928" s="502">
        <v>45886</v>
      </c>
      <c r="O2928" s="502">
        <v>45887</v>
      </c>
      <c r="P2928" s="502">
        <v>45887</v>
      </c>
      <c r="Q2928" s="502">
        <v>45887</v>
      </c>
      <c r="R2928" s="61">
        <f t="shared" si="200"/>
        <v>1</v>
      </c>
      <c r="S2928" s="61">
        <f t="shared" si="203"/>
        <v>1</v>
      </c>
      <c r="T2928" s="61">
        <f t="shared" si="204"/>
        <v>1</v>
      </c>
      <c r="U2928" s="61">
        <f t="shared" si="202"/>
        <v>1</v>
      </c>
      <c r="V2928" s="61" t="s">
        <v>150</v>
      </c>
      <c r="W2928" s="61" t="s">
        <v>4</v>
      </c>
      <c r="X2928" s="61" t="s">
        <v>57</v>
      </c>
      <c r="Y2928" s="61" t="s">
        <v>9376</v>
      </c>
      <c r="Z2928" s="61" t="s">
        <v>9377</v>
      </c>
      <c r="AA2928" s="61"/>
      <c r="AB2928" s="61"/>
    </row>
    <row r="2929" spans="1:28" s="2" customFormat="1" ht="28.5">
      <c r="A2929" s="61" t="s">
        <v>780</v>
      </c>
      <c r="B2929" s="61" t="s">
        <v>1215</v>
      </c>
      <c r="C2929" s="61" t="s">
        <v>3508</v>
      </c>
      <c r="D2929" s="61" t="s">
        <v>159</v>
      </c>
      <c r="E2929" s="61">
        <v>850</v>
      </c>
      <c r="F2929" s="61">
        <v>851</v>
      </c>
      <c r="G2929" s="61">
        <v>2025</v>
      </c>
      <c r="H2929" s="61" t="s">
        <v>3126</v>
      </c>
      <c r="I2929" s="61" t="s">
        <v>2073</v>
      </c>
      <c r="J2929" s="471" t="s">
        <v>163</v>
      </c>
      <c r="K2929" s="61" t="s">
        <v>2393</v>
      </c>
      <c r="L2929" s="61" t="s">
        <v>9378</v>
      </c>
      <c r="M2929" s="502">
        <v>45883</v>
      </c>
      <c r="N2929" s="502">
        <v>45886</v>
      </c>
      <c r="O2929" s="502">
        <v>45887</v>
      </c>
      <c r="P2929" s="502">
        <v>45887</v>
      </c>
      <c r="Q2929" s="502">
        <v>45887</v>
      </c>
      <c r="R2929" s="61">
        <f t="shared" si="200"/>
        <v>1</v>
      </c>
      <c r="S2929" s="61">
        <f t="shared" si="203"/>
        <v>1</v>
      </c>
      <c r="T2929" s="61">
        <f t="shared" si="204"/>
        <v>1</v>
      </c>
      <c r="U2929" s="61">
        <f t="shared" si="202"/>
        <v>1</v>
      </c>
      <c r="V2929" s="61" t="s">
        <v>150</v>
      </c>
      <c r="W2929" s="61" t="s">
        <v>4</v>
      </c>
      <c r="X2929" s="61" t="s">
        <v>50</v>
      </c>
      <c r="Y2929" s="61" t="s">
        <v>9379</v>
      </c>
      <c r="Z2929" s="61" t="s">
        <v>9380</v>
      </c>
      <c r="AA2929" s="61" t="s">
        <v>9342</v>
      </c>
      <c r="AB2929" s="503"/>
    </row>
    <row r="2930" spans="1:28" s="2" customFormat="1" ht="28.5">
      <c r="A2930" s="61" t="s">
        <v>780</v>
      </c>
      <c r="B2930" s="61" t="s">
        <v>1215</v>
      </c>
      <c r="C2930" s="61" t="s">
        <v>3699</v>
      </c>
      <c r="D2930" s="61" t="s">
        <v>159</v>
      </c>
      <c r="E2930" s="61">
        <v>3466</v>
      </c>
      <c r="F2930" s="61">
        <v>3673</v>
      </c>
      <c r="G2930" s="61">
        <v>2025</v>
      </c>
      <c r="H2930" s="61" t="s">
        <v>3126</v>
      </c>
      <c r="I2930" s="61" t="s">
        <v>42</v>
      </c>
      <c r="J2930" s="471" t="s">
        <v>163</v>
      </c>
      <c r="K2930" s="61" t="s">
        <v>2393</v>
      </c>
      <c r="L2930" s="61" t="s">
        <v>9381</v>
      </c>
      <c r="M2930" s="502">
        <v>45883</v>
      </c>
      <c r="N2930" s="502">
        <v>45886</v>
      </c>
      <c r="O2930" s="502">
        <v>45887</v>
      </c>
      <c r="P2930" s="502">
        <v>45887</v>
      </c>
      <c r="Q2930" s="502">
        <v>45887</v>
      </c>
      <c r="R2930" s="61">
        <f t="shared" si="200"/>
        <v>1</v>
      </c>
      <c r="S2930" s="61">
        <f t="shared" si="203"/>
        <v>1</v>
      </c>
      <c r="T2930" s="61">
        <f t="shared" si="204"/>
        <v>1</v>
      </c>
      <c r="U2930" s="61">
        <f t="shared" si="202"/>
        <v>1</v>
      </c>
      <c r="V2930" s="61" t="s">
        <v>150</v>
      </c>
      <c r="W2930" s="61" t="s">
        <v>4</v>
      </c>
      <c r="X2930" s="61" t="s">
        <v>50</v>
      </c>
      <c r="Y2930" s="61" t="s">
        <v>9382</v>
      </c>
      <c r="Z2930" s="61" t="s">
        <v>9382</v>
      </c>
      <c r="AA2930" s="61" t="s">
        <v>9342</v>
      </c>
      <c r="AB2930" s="61"/>
    </row>
    <row r="2931" spans="1:28" s="2" customFormat="1" ht="15">
      <c r="A2931" s="61" t="s">
        <v>780</v>
      </c>
      <c r="B2931" s="61" t="s">
        <v>1215</v>
      </c>
      <c r="C2931" s="61" t="s">
        <v>5063</v>
      </c>
      <c r="D2931" s="61" t="s">
        <v>159</v>
      </c>
      <c r="E2931" s="61">
        <v>9115</v>
      </c>
      <c r="F2931" s="61">
        <v>12139</v>
      </c>
      <c r="G2931" s="61"/>
      <c r="H2931" s="61"/>
      <c r="I2931" s="61" t="s">
        <v>1212</v>
      </c>
      <c r="J2931" s="471"/>
      <c r="K2931" s="61" t="s">
        <v>2393</v>
      </c>
      <c r="L2931" s="471"/>
      <c r="M2931" s="471"/>
      <c r="N2931" s="471"/>
      <c r="O2931" s="471"/>
      <c r="P2931" s="471"/>
      <c r="Q2931" s="471"/>
      <c r="R2931" s="61" t="str">
        <f t="shared" si="200"/>
        <v/>
      </c>
      <c r="S2931" s="61" t="str">
        <f t="shared" si="203"/>
        <v/>
      </c>
      <c r="T2931" s="61" t="str">
        <f t="shared" si="204"/>
        <v/>
      </c>
      <c r="U2931" s="61" t="str">
        <f t="shared" si="202"/>
        <v/>
      </c>
      <c r="V2931" s="61"/>
      <c r="W2931" s="61"/>
      <c r="X2931" s="61"/>
      <c r="Y2931" s="61"/>
      <c r="Z2931" s="61"/>
      <c r="AA2931" s="61"/>
      <c r="AB2931" s="61"/>
    </row>
    <row r="2932" spans="1:28" s="2" customFormat="1" ht="15">
      <c r="A2932" s="61" t="s">
        <v>780</v>
      </c>
      <c r="B2932" s="61" t="s">
        <v>1215</v>
      </c>
      <c r="C2932" s="61" t="s">
        <v>6417</v>
      </c>
      <c r="D2932" s="61" t="s">
        <v>159</v>
      </c>
      <c r="E2932" s="61">
        <v>1954</v>
      </c>
      <c r="F2932" s="61">
        <v>1967</v>
      </c>
      <c r="G2932" s="61"/>
      <c r="H2932" s="61"/>
      <c r="I2932" s="61" t="s">
        <v>1212</v>
      </c>
      <c r="J2932" s="471"/>
      <c r="K2932" s="61" t="s">
        <v>2393</v>
      </c>
      <c r="L2932" s="471"/>
      <c r="M2932" s="471"/>
      <c r="N2932" s="471"/>
      <c r="O2932" s="471"/>
      <c r="P2932" s="471"/>
      <c r="Q2932" s="471"/>
      <c r="R2932" s="61" t="str">
        <f t="shared" si="200"/>
        <v/>
      </c>
      <c r="S2932" s="61" t="str">
        <f t="shared" si="203"/>
        <v/>
      </c>
      <c r="T2932" s="61" t="str">
        <f t="shared" si="204"/>
        <v/>
      </c>
      <c r="U2932" s="61" t="str">
        <f t="shared" si="202"/>
        <v/>
      </c>
      <c r="V2932" s="61"/>
      <c r="W2932" s="61"/>
      <c r="X2932" s="61"/>
      <c r="Y2932" s="61"/>
      <c r="Z2932" s="61"/>
      <c r="AA2932" s="61"/>
      <c r="AB2932" s="61"/>
    </row>
    <row r="2933" spans="1:28" s="2" customFormat="1" ht="15">
      <c r="A2933" s="61" t="s">
        <v>780</v>
      </c>
      <c r="B2933" s="61" t="s">
        <v>1215</v>
      </c>
      <c r="C2933" s="61" t="s">
        <v>1216</v>
      </c>
      <c r="D2933" s="61" t="s">
        <v>159</v>
      </c>
      <c r="E2933" s="61">
        <v>2978</v>
      </c>
      <c r="F2933" s="61">
        <v>3602</v>
      </c>
      <c r="G2933" s="61"/>
      <c r="H2933" s="61"/>
      <c r="I2933" s="61" t="s">
        <v>1212</v>
      </c>
      <c r="J2933" s="471"/>
      <c r="K2933" s="61" t="s">
        <v>2393</v>
      </c>
      <c r="L2933" s="471"/>
      <c r="M2933" s="471"/>
      <c r="N2933" s="471"/>
      <c r="O2933" s="471"/>
      <c r="P2933" s="471"/>
      <c r="Q2933" s="471"/>
      <c r="R2933" s="61" t="str">
        <f t="shared" si="200"/>
        <v/>
      </c>
      <c r="S2933" s="61" t="str">
        <f t="shared" si="203"/>
        <v/>
      </c>
      <c r="T2933" s="61" t="str">
        <f t="shared" si="204"/>
        <v/>
      </c>
      <c r="U2933" s="61" t="str">
        <f t="shared" si="202"/>
        <v/>
      </c>
      <c r="V2933" s="61"/>
      <c r="W2933" s="61"/>
      <c r="X2933" s="61"/>
      <c r="Y2933" s="61"/>
      <c r="Z2933" s="61"/>
      <c r="AA2933" s="61"/>
      <c r="AB2933" s="61"/>
    </row>
    <row r="2934" spans="1:28" s="2" customFormat="1" ht="15">
      <c r="A2934" s="61" t="s">
        <v>780</v>
      </c>
      <c r="B2934" s="61" t="s">
        <v>1215</v>
      </c>
      <c r="C2934" s="61" t="s">
        <v>6420</v>
      </c>
      <c r="D2934" s="61" t="s">
        <v>159</v>
      </c>
      <c r="E2934" s="61">
        <v>6202</v>
      </c>
      <c r="F2934" s="61">
        <v>6962</v>
      </c>
      <c r="G2934" s="61"/>
      <c r="H2934" s="61"/>
      <c r="I2934" s="61" t="s">
        <v>1212</v>
      </c>
      <c r="J2934" s="471"/>
      <c r="K2934" s="61" t="s">
        <v>2393</v>
      </c>
      <c r="L2934" s="471"/>
      <c r="M2934" s="471"/>
      <c r="N2934" s="502"/>
      <c r="O2934" s="502"/>
      <c r="P2934" s="471"/>
      <c r="Q2934" s="471"/>
      <c r="R2934" s="61" t="str">
        <f t="shared" si="200"/>
        <v/>
      </c>
      <c r="S2934" s="61" t="str">
        <f t="shared" si="203"/>
        <v/>
      </c>
      <c r="T2934" s="61" t="str">
        <f t="shared" si="204"/>
        <v/>
      </c>
      <c r="U2934" s="61" t="str">
        <f t="shared" si="202"/>
        <v/>
      </c>
      <c r="V2934" s="61"/>
      <c r="W2934" s="61"/>
      <c r="X2934" s="61"/>
      <c r="Y2934" s="61"/>
      <c r="Z2934" s="61"/>
      <c r="AA2934" s="61"/>
      <c r="AB2934" s="61"/>
    </row>
    <row r="2935" spans="1:28" s="2" customFormat="1" ht="15">
      <c r="A2935" s="61" t="s">
        <v>780</v>
      </c>
      <c r="B2935" s="61" t="s">
        <v>1215</v>
      </c>
      <c r="C2935" s="61" t="s">
        <v>4126</v>
      </c>
      <c r="D2935" s="61" t="s">
        <v>159</v>
      </c>
      <c r="E2935" s="61">
        <v>4545</v>
      </c>
      <c r="F2935" s="61">
        <v>4827</v>
      </c>
      <c r="G2935" s="61"/>
      <c r="H2935" s="61"/>
      <c r="I2935" s="61" t="s">
        <v>1212</v>
      </c>
      <c r="J2935" s="61"/>
      <c r="K2935" s="61" t="s">
        <v>2393</v>
      </c>
      <c r="L2935" s="61"/>
      <c r="M2935" s="61"/>
      <c r="N2935" s="475"/>
      <c r="O2935" s="475"/>
      <c r="P2935" s="475"/>
      <c r="Q2935" s="475"/>
      <c r="R2935" s="61" t="str">
        <f t="shared" ref="R2935:R2998" si="205">IF(
    OR(ISBLANK(M2935), ISBLANK(N2935)),
    "",
    MAX(1, IF(
        NETWORKDAYS(M2935, N2935) &lt;= 0,
        1,
        NETWORKDAYS(M2935, N2935) - IF(M2935 = N2935, 0, 1)
    ))
)</f>
        <v/>
      </c>
      <c r="S2935" s="61" t="str">
        <f t="shared" si="203"/>
        <v/>
      </c>
      <c r="T2935" s="61" t="str">
        <f t="shared" si="204"/>
        <v/>
      </c>
      <c r="U2935" s="61" t="str">
        <f t="shared" si="202"/>
        <v/>
      </c>
      <c r="V2935" s="61"/>
      <c r="W2935" s="61"/>
      <c r="X2935" s="61"/>
      <c r="Y2935" s="61"/>
      <c r="Z2935" s="61"/>
      <c r="AA2935" s="61"/>
      <c r="AB2935" s="61"/>
    </row>
    <row r="2936" spans="1:28" s="2" customFormat="1" ht="15">
      <c r="A2936" s="61" t="s">
        <v>780</v>
      </c>
      <c r="B2936" s="61" t="s">
        <v>1215</v>
      </c>
      <c r="C2936" s="61" t="s">
        <v>4025</v>
      </c>
      <c r="D2936" s="61" t="s">
        <v>159</v>
      </c>
      <c r="E2936" s="61">
        <v>3589</v>
      </c>
      <c r="F2936" s="61">
        <v>3792</v>
      </c>
      <c r="G2936" s="61"/>
      <c r="H2936" s="61"/>
      <c r="I2936" s="61" t="s">
        <v>1212</v>
      </c>
      <c r="J2936" s="471"/>
      <c r="K2936" s="61" t="s">
        <v>2393</v>
      </c>
      <c r="L2936" s="471"/>
      <c r="M2936" s="471"/>
      <c r="N2936" s="471"/>
      <c r="O2936" s="471"/>
      <c r="P2936" s="471"/>
      <c r="Q2936" s="471"/>
      <c r="R2936" s="61" t="str">
        <f t="shared" si="205"/>
        <v/>
      </c>
      <c r="S2936" s="61" t="str">
        <f t="shared" si="203"/>
        <v/>
      </c>
      <c r="T2936" s="61" t="str">
        <f t="shared" si="204"/>
        <v/>
      </c>
      <c r="U2936" s="61" t="str">
        <f t="shared" si="202"/>
        <v/>
      </c>
      <c r="V2936" s="61"/>
      <c r="W2936" s="61"/>
      <c r="X2936" s="61"/>
      <c r="Y2936" s="61"/>
      <c r="Z2936" s="61"/>
      <c r="AA2936" s="61"/>
      <c r="AB2936" s="61"/>
    </row>
    <row r="2937" spans="1:28" s="2" customFormat="1" ht="15">
      <c r="A2937" s="61" t="s">
        <v>780</v>
      </c>
      <c r="B2937" s="61" t="s">
        <v>1215</v>
      </c>
      <c r="C2937" s="61" t="s">
        <v>3913</v>
      </c>
      <c r="D2937" s="61" t="s">
        <v>159</v>
      </c>
      <c r="E2937" s="61">
        <v>991</v>
      </c>
      <c r="F2937" s="61">
        <v>989</v>
      </c>
      <c r="G2937" s="61"/>
      <c r="H2937" s="61"/>
      <c r="I2937" s="61" t="s">
        <v>1212</v>
      </c>
      <c r="J2937" s="471"/>
      <c r="K2937" s="61" t="s">
        <v>2393</v>
      </c>
      <c r="L2937" s="471"/>
      <c r="M2937" s="471"/>
      <c r="N2937" s="471"/>
      <c r="O2937" s="471"/>
      <c r="P2937" s="471"/>
      <c r="Q2937" s="471"/>
      <c r="R2937" s="61" t="str">
        <f t="shared" si="205"/>
        <v/>
      </c>
      <c r="S2937" s="61" t="str">
        <f t="shared" si="203"/>
        <v/>
      </c>
      <c r="T2937" s="61" t="str">
        <f t="shared" si="204"/>
        <v/>
      </c>
      <c r="U2937" s="61" t="str">
        <f t="shared" si="202"/>
        <v/>
      </c>
      <c r="V2937" s="61"/>
      <c r="W2937" s="61"/>
      <c r="X2937" s="61"/>
      <c r="Y2937" s="61"/>
      <c r="Z2937" s="61"/>
      <c r="AA2937" s="61"/>
      <c r="AB2937" s="61"/>
    </row>
    <row r="2938" spans="1:28" s="2" customFormat="1" ht="15">
      <c r="A2938" s="61" t="s">
        <v>780</v>
      </c>
      <c r="B2938" s="61" t="s">
        <v>1215</v>
      </c>
      <c r="C2938" s="61" t="s">
        <v>1439</v>
      </c>
      <c r="D2938" s="61" t="s">
        <v>159</v>
      </c>
      <c r="E2938" s="61">
        <v>4893</v>
      </c>
      <c r="F2938" s="61">
        <v>4388</v>
      </c>
      <c r="G2938" s="61"/>
      <c r="H2938" s="61"/>
      <c r="I2938" s="61" t="s">
        <v>1212</v>
      </c>
      <c r="J2938" s="471"/>
      <c r="K2938" s="61" t="s">
        <v>2393</v>
      </c>
      <c r="L2938" s="471"/>
      <c r="M2938" s="471"/>
      <c r="N2938" s="471"/>
      <c r="O2938" s="471"/>
      <c r="P2938" s="471"/>
      <c r="Q2938" s="471"/>
      <c r="R2938" s="61" t="str">
        <f t="shared" si="205"/>
        <v/>
      </c>
      <c r="S2938" s="61" t="str">
        <f t="shared" si="203"/>
        <v/>
      </c>
      <c r="T2938" s="61" t="str">
        <f t="shared" si="204"/>
        <v/>
      </c>
      <c r="U2938" s="61" t="str">
        <f t="shared" ref="U2938:U3001" si="206">IF(
    OR(ISBLANK(P2938), ISBLANK(Q2938)),
    "",
    MAX(1, IF(
        NETWORKDAYS(P2938, Q2938) &lt;= 0,
        1,
        NETWORKDAYS(P2938, Q2938) - IF(P2938 = Q2938, 0, 1)
    ))
)</f>
        <v/>
      </c>
      <c r="V2938" s="61"/>
      <c r="W2938" s="61"/>
      <c r="X2938" s="61"/>
      <c r="Y2938" s="61"/>
      <c r="Z2938" s="61"/>
      <c r="AA2938" s="61"/>
      <c r="AB2938" s="61"/>
    </row>
    <row r="2939" spans="1:28" s="2" customFormat="1" ht="15">
      <c r="A2939" s="61" t="s">
        <v>780</v>
      </c>
      <c r="B2939" s="61" t="s">
        <v>1215</v>
      </c>
      <c r="C2939" s="61" t="s">
        <v>5638</v>
      </c>
      <c r="D2939" s="61" t="s">
        <v>159</v>
      </c>
      <c r="E2939" s="61">
        <v>11579</v>
      </c>
      <c r="F2939" s="61">
        <v>11139</v>
      </c>
      <c r="G2939" s="61"/>
      <c r="H2939" s="61"/>
      <c r="I2939" s="61" t="s">
        <v>1212</v>
      </c>
      <c r="J2939" s="471"/>
      <c r="K2939" s="61" t="s">
        <v>2393</v>
      </c>
      <c r="L2939" s="471"/>
      <c r="M2939" s="471"/>
      <c r="N2939" s="471"/>
      <c r="O2939" s="471"/>
      <c r="P2939" s="471"/>
      <c r="Q2939" s="471"/>
      <c r="R2939" s="61" t="str">
        <f t="shared" si="205"/>
        <v/>
      </c>
      <c r="S2939" s="61" t="str">
        <f t="shared" si="203"/>
        <v/>
      </c>
      <c r="T2939" s="61" t="str">
        <f t="shared" si="204"/>
        <v/>
      </c>
      <c r="U2939" s="61" t="str">
        <f t="shared" si="206"/>
        <v/>
      </c>
      <c r="V2939" s="61"/>
      <c r="W2939" s="61"/>
      <c r="X2939" s="61"/>
      <c r="Y2939" s="61"/>
      <c r="Z2939" s="61"/>
      <c r="AA2939" s="61"/>
      <c r="AB2939" s="61"/>
    </row>
    <row r="2940" spans="1:28" s="2" customFormat="1" ht="15">
      <c r="A2940" s="61" t="s">
        <v>780</v>
      </c>
      <c r="B2940" s="61" t="s">
        <v>1215</v>
      </c>
      <c r="C2940" s="61" t="s">
        <v>3974</v>
      </c>
      <c r="D2940" s="61" t="s">
        <v>159</v>
      </c>
      <c r="E2940" s="61">
        <v>1571</v>
      </c>
      <c r="F2940" s="61">
        <v>1422</v>
      </c>
      <c r="G2940" s="61"/>
      <c r="H2940" s="61"/>
      <c r="I2940" s="61" t="s">
        <v>1212</v>
      </c>
      <c r="J2940" s="471"/>
      <c r="K2940" s="61" t="s">
        <v>2393</v>
      </c>
      <c r="L2940" s="471"/>
      <c r="M2940" s="471"/>
      <c r="N2940" s="471"/>
      <c r="O2940" s="471"/>
      <c r="P2940" s="471"/>
      <c r="Q2940" s="471"/>
      <c r="R2940" s="61" t="str">
        <f t="shared" si="205"/>
        <v/>
      </c>
      <c r="S2940" s="61" t="str">
        <f t="shared" si="203"/>
        <v/>
      </c>
      <c r="T2940" s="61" t="str">
        <f t="shared" si="204"/>
        <v/>
      </c>
      <c r="U2940" s="61" t="str">
        <f t="shared" si="206"/>
        <v/>
      </c>
      <c r="V2940" s="61"/>
      <c r="W2940" s="61"/>
      <c r="X2940" s="61"/>
      <c r="Y2940" s="61"/>
      <c r="Z2940" s="61"/>
      <c r="AA2940" s="61"/>
      <c r="AB2940" s="61"/>
    </row>
    <row r="2941" spans="1:28" s="2" customFormat="1" ht="15">
      <c r="A2941" s="61" t="s">
        <v>780</v>
      </c>
      <c r="B2941" s="61" t="s">
        <v>1215</v>
      </c>
      <c r="C2941" s="61" t="s">
        <v>4950</v>
      </c>
      <c r="D2941" s="61" t="s">
        <v>159</v>
      </c>
      <c r="E2941" s="61">
        <v>2044</v>
      </c>
      <c r="F2941" s="61">
        <v>2011</v>
      </c>
      <c r="G2941" s="61"/>
      <c r="H2941" s="61"/>
      <c r="I2941" s="61" t="s">
        <v>1212</v>
      </c>
      <c r="J2941" s="471"/>
      <c r="K2941" s="61" t="s">
        <v>2393</v>
      </c>
      <c r="L2941" s="471"/>
      <c r="M2941" s="471"/>
      <c r="N2941" s="471"/>
      <c r="O2941" s="471"/>
      <c r="P2941" s="471"/>
      <c r="Q2941" s="471"/>
      <c r="R2941" s="61" t="str">
        <f t="shared" si="205"/>
        <v/>
      </c>
      <c r="S2941" s="61" t="str">
        <f t="shared" si="203"/>
        <v/>
      </c>
      <c r="T2941" s="61" t="str">
        <f t="shared" si="204"/>
        <v/>
      </c>
      <c r="U2941" s="61" t="str">
        <f t="shared" si="206"/>
        <v/>
      </c>
      <c r="V2941" s="61"/>
      <c r="W2941" s="61"/>
      <c r="X2941" s="61"/>
      <c r="Y2941" s="61"/>
      <c r="Z2941" s="61"/>
      <c r="AA2941" s="61"/>
      <c r="AB2941" s="61"/>
    </row>
    <row r="2942" spans="1:28" s="2" customFormat="1" ht="28.5">
      <c r="A2942" s="61" t="s">
        <v>780</v>
      </c>
      <c r="B2942" s="61" t="s">
        <v>6422</v>
      </c>
      <c r="C2942" s="61" t="s">
        <v>1540</v>
      </c>
      <c r="D2942" s="61" t="s">
        <v>159</v>
      </c>
      <c r="E2942" s="61">
        <v>9017</v>
      </c>
      <c r="F2942" s="61">
        <v>10714</v>
      </c>
      <c r="G2942" s="61">
        <v>2025</v>
      </c>
      <c r="H2942" s="61" t="s">
        <v>3416</v>
      </c>
      <c r="I2942" s="61" t="s">
        <v>1212</v>
      </c>
      <c r="J2942" s="471" t="s">
        <v>163</v>
      </c>
      <c r="K2942" s="61" t="s">
        <v>2393</v>
      </c>
      <c r="L2942" s="498" t="s">
        <v>9383</v>
      </c>
      <c r="M2942" s="504">
        <v>45720</v>
      </c>
      <c r="N2942" s="502">
        <v>45734</v>
      </c>
      <c r="O2942" s="502">
        <v>45734</v>
      </c>
      <c r="P2942" s="502">
        <v>45734</v>
      </c>
      <c r="Q2942" s="502">
        <v>45734</v>
      </c>
      <c r="R2942" s="61">
        <f t="shared" si="205"/>
        <v>10</v>
      </c>
      <c r="S2942" s="61">
        <f t="shared" si="203"/>
        <v>1</v>
      </c>
      <c r="T2942" s="61">
        <f t="shared" si="204"/>
        <v>1</v>
      </c>
      <c r="U2942" s="61">
        <f t="shared" si="206"/>
        <v>1</v>
      </c>
      <c r="V2942" s="61" t="s">
        <v>150</v>
      </c>
      <c r="W2942" s="61" t="s">
        <v>4</v>
      </c>
      <c r="X2942" s="61" t="s">
        <v>50</v>
      </c>
      <c r="Y2942" s="61">
        <v>15.363899999999999</v>
      </c>
      <c r="Z2942" s="61">
        <v>119.9588</v>
      </c>
      <c r="AA2942" s="61" t="s">
        <v>7719</v>
      </c>
      <c r="AB2942" s="61"/>
    </row>
    <row r="2943" spans="1:28" s="2" customFormat="1" ht="28.5">
      <c r="A2943" s="61" t="s">
        <v>780</v>
      </c>
      <c r="B2943" s="61" t="s">
        <v>6422</v>
      </c>
      <c r="C2943" s="61" t="s">
        <v>2177</v>
      </c>
      <c r="D2943" s="61" t="s">
        <v>159</v>
      </c>
      <c r="E2943" s="61">
        <v>4759</v>
      </c>
      <c r="F2943" s="61">
        <v>5188</v>
      </c>
      <c r="G2943" s="61">
        <v>2025</v>
      </c>
      <c r="H2943" s="61" t="s">
        <v>3689</v>
      </c>
      <c r="I2943" s="61" t="s">
        <v>1212</v>
      </c>
      <c r="J2943" s="471" t="s">
        <v>163</v>
      </c>
      <c r="K2943" s="61" t="s">
        <v>2393</v>
      </c>
      <c r="L2943" s="498" t="s">
        <v>9384</v>
      </c>
      <c r="M2943" s="504">
        <v>45811</v>
      </c>
      <c r="N2943" s="504">
        <v>45817</v>
      </c>
      <c r="O2943" s="502">
        <v>45819</v>
      </c>
      <c r="P2943" s="504">
        <v>45824</v>
      </c>
      <c r="Q2943" s="504">
        <v>45824</v>
      </c>
      <c r="R2943" s="61">
        <f t="shared" si="205"/>
        <v>4</v>
      </c>
      <c r="S2943" s="61">
        <f t="shared" si="203"/>
        <v>2</v>
      </c>
      <c r="T2943" s="61">
        <f t="shared" si="204"/>
        <v>3</v>
      </c>
      <c r="U2943" s="61">
        <f t="shared" si="206"/>
        <v>1</v>
      </c>
      <c r="V2943" s="61" t="s">
        <v>150</v>
      </c>
      <c r="W2943" s="61" t="s">
        <v>4</v>
      </c>
      <c r="X2943" s="61" t="s">
        <v>50</v>
      </c>
      <c r="Y2943" s="61">
        <v>15.348699999999999</v>
      </c>
      <c r="Z2943" s="61">
        <v>119.9678</v>
      </c>
      <c r="AA2943" s="61" t="s">
        <v>7719</v>
      </c>
      <c r="AB2943" s="61"/>
    </row>
    <row r="2944" spans="1:28" s="2" customFormat="1" ht="28.5">
      <c r="A2944" s="61" t="s">
        <v>780</v>
      </c>
      <c r="B2944" s="61" t="s">
        <v>6422</v>
      </c>
      <c r="C2944" s="61" t="s">
        <v>2051</v>
      </c>
      <c r="D2944" s="61" t="s">
        <v>159</v>
      </c>
      <c r="E2944" s="61">
        <v>3162</v>
      </c>
      <c r="F2944" s="61">
        <v>3763</v>
      </c>
      <c r="G2944" s="61">
        <v>2025</v>
      </c>
      <c r="H2944" s="61" t="s">
        <v>3126</v>
      </c>
      <c r="I2944" s="61" t="s">
        <v>1212</v>
      </c>
      <c r="J2944" s="498" t="s">
        <v>9337</v>
      </c>
      <c r="K2944" s="61" t="s">
        <v>2393</v>
      </c>
      <c r="L2944" s="61" t="s">
        <v>9385</v>
      </c>
      <c r="M2944" s="504">
        <v>45881</v>
      </c>
      <c r="N2944" s="504">
        <v>45887</v>
      </c>
      <c r="O2944" s="504">
        <v>45887</v>
      </c>
      <c r="P2944" s="504">
        <v>45887</v>
      </c>
      <c r="Q2944" s="504">
        <v>45887</v>
      </c>
      <c r="R2944" s="61">
        <f t="shared" si="205"/>
        <v>4</v>
      </c>
      <c r="S2944" s="61">
        <f t="shared" si="203"/>
        <v>1</v>
      </c>
      <c r="T2944" s="61">
        <f t="shared" si="204"/>
        <v>1</v>
      </c>
      <c r="U2944" s="61">
        <f t="shared" si="206"/>
        <v>1</v>
      </c>
      <c r="V2944" s="61" t="s">
        <v>150</v>
      </c>
      <c r="W2944" s="473" t="s">
        <v>4</v>
      </c>
      <c r="X2944" s="61" t="s">
        <v>50</v>
      </c>
      <c r="Y2944" s="61"/>
      <c r="Z2944" s="61"/>
      <c r="AA2944" s="61" t="s">
        <v>7719</v>
      </c>
      <c r="AB2944" s="61" t="s">
        <v>9386</v>
      </c>
    </row>
    <row r="2945" spans="1:28" s="2" customFormat="1" ht="28.5">
      <c r="A2945" s="61" t="s">
        <v>780</v>
      </c>
      <c r="B2945" s="61" t="s">
        <v>6422</v>
      </c>
      <c r="C2945" s="61" t="s">
        <v>4126</v>
      </c>
      <c r="D2945" s="61" t="s">
        <v>159</v>
      </c>
      <c r="E2945" s="61">
        <v>5609</v>
      </c>
      <c r="F2945" s="61">
        <v>6301</v>
      </c>
      <c r="G2945" s="61">
        <v>2025</v>
      </c>
      <c r="H2945" s="61" t="s">
        <v>3126</v>
      </c>
      <c r="I2945" s="61" t="s">
        <v>1212</v>
      </c>
      <c r="J2945" s="498" t="s">
        <v>9337</v>
      </c>
      <c r="K2945" s="61" t="s">
        <v>2393</v>
      </c>
      <c r="L2945" s="61" t="s">
        <v>9385</v>
      </c>
      <c r="M2945" s="504">
        <v>45881</v>
      </c>
      <c r="N2945" s="504">
        <v>45887</v>
      </c>
      <c r="O2945" s="504">
        <v>45887</v>
      </c>
      <c r="P2945" s="504">
        <v>45887</v>
      </c>
      <c r="Q2945" s="504">
        <v>45887</v>
      </c>
      <c r="R2945" s="61">
        <f t="shared" si="205"/>
        <v>4</v>
      </c>
      <c r="S2945" s="61">
        <f t="shared" si="203"/>
        <v>1</v>
      </c>
      <c r="T2945" s="61">
        <f t="shared" si="204"/>
        <v>1</v>
      </c>
      <c r="U2945" s="61">
        <f t="shared" si="206"/>
        <v>1</v>
      </c>
      <c r="V2945" s="61" t="s">
        <v>150</v>
      </c>
      <c r="W2945" s="473" t="s">
        <v>4</v>
      </c>
      <c r="X2945" s="61" t="s">
        <v>50</v>
      </c>
      <c r="Y2945" s="61"/>
      <c r="Z2945" s="61"/>
      <c r="AA2945" s="61" t="s">
        <v>7719</v>
      </c>
      <c r="AB2945" s="61" t="s">
        <v>9386</v>
      </c>
    </row>
    <row r="2946" spans="1:28" s="2" customFormat="1" ht="28.5">
      <c r="A2946" s="61" t="s">
        <v>780</v>
      </c>
      <c r="B2946" s="61" t="s">
        <v>6422</v>
      </c>
      <c r="C2946" s="61" t="s">
        <v>3975</v>
      </c>
      <c r="D2946" s="61" t="s">
        <v>159</v>
      </c>
      <c r="E2946" s="61">
        <v>4345</v>
      </c>
      <c r="F2946" s="61">
        <v>4526</v>
      </c>
      <c r="G2946" s="61">
        <v>2025</v>
      </c>
      <c r="H2946" s="61" t="s">
        <v>3458</v>
      </c>
      <c r="I2946" s="61" t="s">
        <v>1212</v>
      </c>
      <c r="J2946" s="471" t="s">
        <v>163</v>
      </c>
      <c r="K2946" s="61" t="s">
        <v>2393</v>
      </c>
      <c r="L2946" s="498" t="s">
        <v>9387</v>
      </c>
      <c r="M2946" s="502">
        <v>45699</v>
      </c>
      <c r="N2946" s="502">
        <v>45705</v>
      </c>
      <c r="O2946" s="502">
        <v>45705</v>
      </c>
      <c r="P2946" s="502">
        <v>45705</v>
      </c>
      <c r="Q2946" s="502">
        <v>45705</v>
      </c>
      <c r="R2946" s="61">
        <f t="shared" si="205"/>
        <v>4</v>
      </c>
      <c r="S2946" s="61">
        <f t="shared" si="203"/>
        <v>1</v>
      </c>
      <c r="T2946" s="61">
        <f t="shared" si="204"/>
        <v>1</v>
      </c>
      <c r="U2946" s="61">
        <f t="shared" si="206"/>
        <v>1</v>
      </c>
      <c r="V2946" s="61" t="s">
        <v>150</v>
      </c>
      <c r="W2946" s="61" t="s">
        <v>4</v>
      </c>
      <c r="X2946" s="61" t="s">
        <v>50</v>
      </c>
      <c r="Y2946" s="61"/>
      <c r="Z2946" s="61"/>
      <c r="AA2946" s="61" t="s">
        <v>7719</v>
      </c>
      <c r="AB2946" s="61"/>
    </row>
    <row r="2947" spans="1:28" s="2" customFormat="1" ht="28.5">
      <c r="A2947" s="61" t="s">
        <v>780</v>
      </c>
      <c r="B2947" s="61" t="s">
        <v>6422</v>
      </c>
      <c r="C2947" s="61" t="s">
        <v>6424</v>
      </c>
      <c r="D2947" s="61" t="s">
        <v>159</v>
      </c>
      <c r="E2947" s="61">
        <v>10413</v>
      </c>
      <c r="F2947" s="61">
        <v>10973</v>
      </c>
      <c r="G2947" s="61">
        <v>2025</v>
      </c>
      <c r="H2947" s="61" t="s">
        <v>3126</v>
      </c>
      <c r="I2947" s="61" t="s">
        <v>1212</v>
      </c>
      <c r="J2947" s="498" t="s">
        <v>9337</v>
      </c>
      <c r="K2947" s="61" t="s">
        <v>2393</v>
      </c>
      <c r="L2947" s="61" t="s">
        <v>9385</v>
      </c>
      <c r="M2947" s="504">
        <v>45881</v>
      </c>
      <c r="N2947" s="504">
        <v>45887</v>
      </c>
      <c r="O2947" s="504">
        <v>45887</v>
      </c>
      <c r="P2947" s="504">
        <v>45887</v>
      </c>
      <c r="Q2947" s="504">
        <v>45887</v>
      </c>
      <c r="R2947" s="61">
        <f t="shared" si="205"/>
        <v>4</v>
      </c>
      <c r="S2947" s="61">
        <f t="shared" si="203"/>
        <v>1</v>
      </c>
      <c r="T2947" s="61">
        <f t="shared" si="204"/>
        <v>1</v>
      </c>
      <c r="U2947" s="61">
        <f t="shared" si="206"/>
        <v>1</v>
      </c>
      <c r="V2947" s="61" t="s">
        <v>150</v>
      </c>
      <c r="W2947" s="473" t="s">
        <v>1078</v>
      </c>
      <c r="X2947" s="61" t="s">
        <v>50</v>
      </c>
      <c r="Y2947" s="61"/>
      <c r="Z2947" s="61"/>
      <c r="AA2947" s="61" t="s">
        <v>7719</v>
      </c>
      <c r="AB2947" s="61" t="s">
        <v>9386</v>
      </c>
    </row>
    <row r="2948" spans="1:28" s="2" customFormat="1" ht="28.5">
      <c r="A2948" s="61" t="s">
        <v>780</v>
      </c>
      <c r="B2948" s="61" t="s">
        <v>6422</v>
      </c>
      <c r="C2948" s="61" t="s">
        <v>4261</v>
      </c>
      <c r="D2948" s="61" t="s">
        <v>159</v>
      </c>
      <c r="E2948" s="61">
        <v>3979</v>
      </c>
      <c r="F2948" s="61">
        <v>4366</v>
      </c>
      <c r="G2948" s="61">
        <v>2025</v>
      </c>
      <c r="H2948" s="61" t="s">
        <v>3126</v>
      </c>
      <c r="I2948" s="61" t="s">
        <v>1212</v>
      </c>
      <c r="J2948" s="498" t="s">
        <v>9337</v>
      </c>
      <c r="K2948" s="61" t="s">
        <v>2393</v>
      </c>
      <c r="L2948" s="61" t="s">
        <v>9385</v>
      </c>
      <c r="M2948" s="504">
        <v>45881</v>
      </c>
      <c r="N2948" s="504">
        <v>45887</v>
      </c>
      <c r="O2948" s="504">
        <v>45887</v>
      </c>
      <c r="P2948" s="504">
        <v>45887</v>
      </c>
      <c r="Q2948" s="504">
        <v>45887</v>
      </c>
      <c r="R2948" s="61">
        <f t="shared" si="205"/>
        <v>4</v>
      </c>
      <c r="S2948" s="61">
        <f t="shared" si="203"/>
        <v>1</v>
      </c>
      <c r="T2948" s="61">
        <f t="shared" si="204"/>
        <v>1</v>
      </c>
      <c r="U2948" s="61">
        <f t="shared" si="206"/>
        <v>1</v>
      </c>
      <c r="V2948" s="61" t="s">
        <v>150</v>
      </c>
      <c r="W2948" s="473" t="s">
        <v>1078</v>
      </c>
      <c r="X2948" s="61" t="s">
        <v>50</v>
      </c>
      <c r="Y2948" s="61"/>
      <c r="Z2948" s="61"/>
      <c r="AA2948" s="61" t="s">
        <v>7719</v>
      </c>
      <c r="AB2948" s="61" t="s">
        <v>9386</v>
      </c>
    </row>
    <row r="2949" spans="1:28" s="2" customFormat="1" ht="28.5">
      <c r="A2949" s="61" t="s">
        <v>780</v>
      </c>
      <c r="B2949" s="61" t="s">
        <v>6422</v>
      </c>
      <c r="C2949" s="61" t="s">
        <v>6423</v>
      </c>
      <c r="D2949" s="61" t="s">
        <v>159</v>
      </c>
      <c r="E2949" s="61">
        <v>2987</v>
      </c>
      <c r="F2949" s="61">
        <v>3406</v>
      </c>
      <c r="G2949" s="61">
        <v>2025</v>
      </c>
      <c r="H2949" s="61" t="s">
        <v>3126</v>
      </c>
      <c r="I2949" s="61" t="s">
        <v>1212</v>
      </c>
      <c r="J2949" s="498" t="s">
        <v>9337</v>
      </c>
      <c r="K2949" s="61" t="s">
        <v>2393</v>
      </c>
      <c r="L2949" s="61" t="s">
        <v>9385</v>
      </c>
      <c r="M2949" s="504">
        <v>45881</v>
      </c>
      <c r="N2949" s="504">
        <v>45887</v>
      </c>
      <c r="O2949" s="504">
        <v>45887</v>
      </c>
      <c r="P2949" s="504">
        <v>45887</v>
      </c>
      <c r="Q2949" s="504">
        <v>45887</v>
      </c>
      <c r="R2949" s="61">
        <f t="shared" si="205"/>
        <v>4</v>
      </c>
      <c r="S2949" s="61">
        <f t="shared" si="203"/>
        <v>1</v>
      </c>
      <c r="T2949" s="61">
        <f t="shared" si="204"/>
        <v>1</v>
      </c>
      <c r="U2949" s="61">
        <f t="shared" si="206"/>
        <v>1</v>
      </c>
      <c r="V2949" s="61" t="s">
        <v>150</v>
      </c>
      <c r="W2949" s="61" t="s">
        <v>3527</v>
      </c>
      <c r="X2949" s="61" t="s">
        <v>3528</v>
      </c>
      <c r="Y2949" s="61"/>
      <c r="Z2949" s="61"/>
      <c r="AA2949" s="61" t="s">
        <v>7719</v>
      </c>
      <c r="AB2949" s="61" t="s">
        <v>9386</v>
      </c>
    </row>
    <row r="2950" spans="1:28" s="2" customFormat="1" ht="15">
      <c r="A2950" s="61" t="s">
        <v>780</v>
      </c>
      <c r="B2950" s="61" t="s">
        <v>6422</v>
      </c>
      <c r="C2950" s="61" t="s">
        <v>6425</v>
      </c>
      <c r="D2950" s="61" t="s">
        <v>159</v>
      </c>
      <c r="E2950" s="61">
        <v>2136</v>
      </c>
      <c r="F2950" s="61">
        <v>2403</v>
      </c>
      <c r="G2950" s="61"/>
      <c r="H2950" s="61"/>
      <c r="I2950" s="61" t="s">
        <v>1212</v>
      </c>
      <c r="J2950" s="498"/>
      <c r="K2950" s="61" t="s">
        <v>2393</v>
      </c>
      <c r="L2950" s="498"/>
      <c r="M2950" s="498"/>
      <c r="N2950" s="498"/>
      <c r="O2950" s="498"/>
      <c r="P2950" s="498"/>
      <c r="Q2950" s="498"/>
      <c r="R2950" s="61" t="str">
        <f t="shared" si="205"/>
        <v/>
      </c>
      <c r="S2950" s="61" t="str">
        <f t="shared" si="203"/>
        <v/>
      </c>
      <c r="T2950" s="61" t="str">
        <f t="shared" si="204"/>
        <v/>
      </c>
      <c r="U2950" s="61" t="str">
        <f t="shared" si="206"/>
        <v/>
      </c>
      <c r="V2950" s="61"/>
      <c r="W2950" s="473"/>
      <c r="X2950" s="61"/>
      <c r="Y2950" s="61"/>
      <c r="Z2950" s="61"/>
      <c r="AA2950" s="61"/>
      <c r="AB2950" s="61"/>
    </row>
    <row r="2951" spans="1:28" s="2" customFormat="1" ht="15">
      <c r="A2951" s="61" t="s">
        <v>780</v>
      </c>
      <c r="B2951" s="61" t="s">
        <v>6422</v>
      </c>
      <c r="C2951" s="61" t="s">
        <v>6426</v>
      </c>
      <c r="D2951" s="61" t="s">
        <v>159</v>
      </c>
      <c r="E2951" s="61">
        <v>860</v>
      </c>
      <c r="F2951" s="61">
        <v>755</v>
      </c>
      <c r="G2951" s="61"/>
      <c r="H2951" s="61"/>
      <c r="I2951" s="61" t="s">
        <v>1212</v>
      </c>
      <c r="J2951" s="498"/>
      <c r="K2951" s="61" t="s">
        <v>2393</v>
      </c>
      <c r="L2951" s="498"/>
      <c r="M2951" s="498"/>
      <c r="N2951" s="498"/>
      <c r="O2951" s="498"/>
      <c r="P2951" s="498"/>
      <c r="Q2951" s="498"/>
      <c r="R2951" s="61" t="str">
        <f t="shared" si="205"/>
        <v/>
      </c>
      <c r="S2951" s="61" t="str">
        <f t="shared" si="203"/>
        <v/>
      </c>
      <c r="T2951" s="61" t="str">
        <f t="shared" si="204"/>
        <v/>
      </c>
      <c r="U2951" s="61" t="str">
        <f t="shared" si="206"/>
        <v/>
      </c>
      <c r="V2951" s="61"/>
      <c r="W2951" s="473"/>
      <c r="X2951" s="61"/>
      <c r="Y2951" s="61"/>
      <c r="Z2951" s="61"/>
      <c r="AA2951" s="61"/>
      <c r="AB2951" s="61"/>
    </row>
    <row r="2952" spans="1:28" s="2" customFormat="1" ht="15">
      <c r="A2952" s="61" t="s">
        <v>780</v>
      </c>
      <c r="B2952" s="61" t="s">
        <v>6422</v>
      </c>
      <c r="C2952" s="61" t="s">
        <v>6427</v>
      </c>
      <c r="D2952" s="61" t="s">
        <v>159</v>
      </c>
      <c r="E2952" s="61">
        <v>415</v>
      </c>
      <c r="F2952" s="61">
        <v>549</v>
      </c>
      <c r="G2952" s="61"/>
      <c r="H2952" s="61"/>
      <c r="I2952" s="61" t="s">
        <v>1212</v>
      </c>
      <c r="J2952" s="498"/>
      <c r="K2952" s="61" t="s">
        <v>2393</v>
      </c>
      <c r="L2952" s="498"/>
      <c r="M2952" s="498"/>
      <c r="N2952" s="498"/>
      <c r="O2952" s="498"/>
      <c r="P2952" s="498"/>
      <c r="Q2952" s="498"/>
      <c r="R2952" s="61" t="str">
        <f t="shared" si="205"/>
        <v/>
      </c>
      <c r="S2952" s="61" t="str">
        <f t="shared" si="203"/>
        <v/>
      </c>
      <c r="T2952" s="61" t="str">
        <f t="shared" si="204"/>
        <v/>
      </c>
      <c r="U2952" s="61" t="str">
        <f t="shared" si="206"/>
        <v/>
      </c>
      <c r="V2952" s="61"/>
      <c r="W2952" s="473"/>
      <c r="X2952" s="61"/>
      <c r="Y2952" s="61"/>
      <c r="Z2952" s="61"/>
      <c r="AA2952" s="61"/>
      <c r="AB2952" s="61"/>
    </row>
    <row r="2953" spans="1:28" s="2" customFormat="1" ht="15">
      <c r="A2953" s="61" t="s">
        <v>780</v>
      </c>
      <c r="B2953" s="61" t="s">
        <v>6422</v>
      </c>
      <c r="C2953" s="61" t="s">
        <v>6428</v>
      </c>
      <c r="D2953" s="61" t="s">
        <v>159</v>
      </c>
      <c r="E2953" s="61">
        <v>523</v>
      </c>
      <c r="F2953" s="61">
        <v>443</v>
      </c>
      <c r="G2953" s="61"/>
      <c r="H2953" s="61"/>
      <c r="I2953" s="61" t="s">
        <v>1212</v>
      </c>
      <c r="J2953" s="498"/>
      <c r="K2953" s="61" t="s">
        <v>2393</v>
      </c>
      <c r="L2953" s="498"/>
      <c r="M2953" s="498"/>
      <c r="N2953" s="498"/>
      <c r="O2953" s="498"/>
      <c r="P2953" s="498"/>
      <c r="Q2953" s="498"/>
      <c r="R2953" s="61" t="str">
        <f t="shared" si="205"/>
        <v/>
      </c>
      <c r="S2953" s="61" t="str">
        <f t="shared" si="203"/>
        <v/>
      </c>
      <c r="T2953" s="61" t="str">
        <f t="shared" si="204"/>
        <v/>
      </c>
      <c r="U2953" s="61" t="str">
        <f t="shared" si="206"/>
        <v/>
      </c>
      <c r="V2953" s="61"/>
      <c r="W2953" s="473"/>
      <c r="X2953" s="61"/>
      <c r="Y2953" s="61"/>
      <c r="Z2953" s="61"/>
      <c r="AA2953" s="61"/>
      <c r="AB2953" s="61"/>
    </row>
    <row r="2954" spans="1:28" s="2" customFormat="1" ht="15">
      <c r="A2954" s="61" t="s">
        <v>780</v>
      </c>
      <c r="B2954" s="61" t="s">
        <v>6422</v>
      </c>
      <c r="C2954" s="61" t="s">
        <v>6429</v>
      </c>
      <c r="D2954" s="61" t="s">
        <v>159</v>
      </c>
      <c r="E2954" s="61">
        <v>1611</v>
      </c>
      <c r="F2954" s="61">
        <v>1407</v>
      </c>
      <c r="G2954" s="61"/>
      <c r="H2954" s="61"/>
      <c r="I2954" s="61" t="s">
        <v>1212</v>
      </c>
      <c r="J2954" s="498"/>
      <c r="K2954" s="61" t="s">
        <v>2393</v>
      </c>
      <c r="L2954" s="498"/>
      <c r="M2954" s="498"/>
      <c r="N2954" s="498"/>
      <c r="O2954" s="498"/>
      <c r="P2954" s="498"/>
      <c r="Q2954" s="498"/>
      <c r="R2954" s="61" t="str">
        <f t="shared" si="205"/>
        <v/>
      </c>
      <c r="S2954" s="61" t="str">
        <f t="shared" si="203"/>
        <v/>
      </c>
      <c r="T2954" s="61" t="str">
        <f t="shared" si="204"/>
        <v/>
      </c>
      <c r="U2954" s="61" t="str">
        <f t="shared" si="206"/>
        <v/>
      </c>
      <c r="V2954" s="61"/>
      <c r="W2954" s="473"/>
      <c r="X2954" s="61"/>
      <c r="Y2954" s="61"/>
      <c r="Z2954" s="61"/>
      <c r="AA2954" s="61"/>
      <c r="AB2954" s="61"/>
    </row>
    <row r="2955" spans="1:28" s="2" customFormat="1" ht="15">
      <c r="A2955" s="61" t="s">
        <v>780</v>
      </c>
      <c r="B2955" s="61" t="s">
        <v>6422</v>
      </c>
      <c r="C2955" s="61" t="s">
        <v>6430</v>
      </c>
      <c r="D2955" s="61" t="s">
        <v>159</v>
      </c>
      <c r="E2955" s="61">
        <v>690</v>
      </c>
      <c r="F2955" s="61">
        <v>787</v>
      </c>
      <c r="G2955" s="61"/>
      <c r="H2955" s="61"/>
      <c r="I2955" s="61" t="s">
        <v>1212</v>
      </c>
      <c r="J2955" s="498"/>
      <c r="K2955" s="61" t="s">
        <v>2393</v>
      </c>
      <c r="L2955" s="498"/>
      <c r="M2955" s="498"/>
      <c r="N2955" s="498"/>
      <c r="O2955" s="498"/>
      <c r="P2955" s="498"/>
      <c r="Q2955" s="498"/>
      <c r="R2955" s="61" t="str">
        <f t="shared" si="205"/>
        <v/>
      </c>
      <c r="S2955" s="61" t="str">
        <f t="shared" ref="S2955:S3018" si="207">IF(
    OR(ISBLANK(N2955), ISBLANK(O2955)),
    "",
    MAX(1, IF(
        NETWORKDAYS(N2955, O2955) &lt;= 0,
        1,
        NETWORKDAYS(N2955, O2955) - IF(N2955 = O2955, 0, 1)
    ))
)</f>
        <v/>
      </c>
      <c r="T2955" s="61" t="str">
        <f t="shared" si="204"/>
        <v/>
      </c>
      <c r="U2955" s="61" t="str">
        <f t="shared" si="206"/>
        <v/>
      </c>
      <c r="V2955" s="61"/>
      <c r="W2955" s="473"/>
      <c r="X2955" s="61"/>
      <c r="Y2955" s="61"/>
      <c r="Z2955" s="61"/>
      <c r="AA2955" s="61"/>
      <c r="AB2955" s="61"/>
    </row>
    <row r="2956" spans="1:28" s="2" customFormat="1" ht="28.5">
      <c r="A2956" s="61" t="s">
        <v>780</v>
      </c>
      <c r="B2956" s="61" t="s">
        <v>942</v>
      </c>
      <c r="C2956" s="61" t="s">
        <v>943</v>
      </c>
      <c r="D2956" s="61" t="s">
        <v>159</v>
      </c>
      <c r="E2956" s="61">
        <v>3972</v>
      </c>
      <c r="F2956" s="61">
        <v>5818</v>
      </c>
      <c r="G2956" s="61">
        <v>2025</v>
      </c>
      <c r="H2956" s="61" t="s">
        <v>3127</v>
      </c>
      <c r="I2956" s="471" t="s">
        <v>42</v>
      </c>
      <c r="J2956" s="471" t="s">
        <v>163</v>
      </c>
      <c r="K2956" s="61" t="s">
        <v>2393</v>
      </c>
      <c r="L2956" s="471" t="s">
        <v>9388</v>
      </c>
      <c r="M2956" s="502">
        <v>45912</v>
      </c>
      <c r="N2956" s="502">
        <v>45915</v>
      </c>
      <c r="O2956" s="502">
        <v>45916</v>
      </c>
      <c r="P2956" s="502">
        <v>45917</v>
      </c>
      <c r="Q2956" s="502">
        <v>45917</v>
      </c>
      <c r="R2956" s="61">
        <f t="shared" si="205"/>
        <v>1</v>
      </c>
      <c r="S2956" s="61">
        <f t="shared" si="207"/>
        <v>1</v>
      </c>
      <c r="T2956" s="61">
        <f t="shared" si="204"/>
        <v>1</v>
      </c>
      <c r="U2956" s="61">
        <f t="shared" si="206"/>
        <v>1</v>
      </c>
      <c r="V2956" s="61" t="s">
        <v>150</v>
      </c>
      <c r="W2956" s="61" t="s">
        <v>4</v>
      </c>
      <c r="X2956" s="61" t="s">
        <v>50</v>
      </c>
      <c r="Y2956" s="61" t="s">
        <v>69</v>
      </c>
      <c r="Z2956" s="61" t="s">
        <v>69</v>
      </c>
      <c r="AA2956" s="61" t="s">
        <v>7719</v>
      </c>
      <c r="AB2956" s="61" t="s">
        <v>9389</v>
      </c>
    </row>
    <row r="2957" spans="1:28" s="2" customFormat="1" ht="28.5">
      <c r="A2957" s="61" t="s">
        <v>780</v>
      </c>
      <c r="B2957" s="61" t="s">
        <v>942</v>
      </c>
      <c r="C2957" s="61" t="s">
        <v>950</v>
      </c>
      <c r="D2957" s="61" t="s">
        <v>159</v>
      </c>
      <c r="E2957" s="61">
        <v>3151</v>
      </c>
      <c r="F2957" s="61">
        <v>3359</v>
      </c>
      <c r="G2957" s="61">
        <v>2025</v>
      </c>
      <c r="H2957" s="61" t="s">
        <v>3127</v>
      </c>
      <c r="I2957" s="471" t="s">
        <v>42</v>
      </c>
      <c r="J2957" s="471" t="s">
        <v>163</v>
      </c>
      <c r="K2957" s="61" t="s">
        <v>2393</v>
      </c>
      <c r="L2957" s="471" t="s">
        <v>9388</v>
      </c>
      <c r="M2957" s="502">
        <v>45912</v>
      </c>
      <c r="N2957" s="502">
        <v>45915</v>
      </c>
      <c r="O2957" s="502">
        <v>45916</v>
      </c>
      <c r="P2957" s="502">
        <v>45917</v>
      </c>
      <c r="Q2957" s="502">
        <v>45917</v>
      </c>
      <c r="R2957" s="61">
        <f t="shared" si="205"/>
        <v>1</v>
      </c>
      <c r="S2957" s="61">
        <f t="shared" si="207"/>
        <v>1</v>
      </c>
      <c r="T2957" s="61">
        <f t="shared" si="204"/>
        <v>1</v>
      </c>
      <c r="U2957" s="61">
        <f t="shared" si="206"/>
        <v>1</v>
      </c>
      <c r="V2957" s="61" t="s">
        <v>150</v>
      </c>
      <c r="W2957" s="61" t="s">
        <v>4</v>
      </c>
      <c r="X2957" s="61" t="s">
        <v>50</v>
      </c>
      <c r="Y2957" s="61" t="s">
        <v>69</v>
      </c>
      <c r="Z2957" s="61" t="s">
        <v>69</v>
      </c>
      <c r="AA2957" s="61" t="s">
        <v>7719</v>
      </c>
      <c r="AB2957" s="61" t="s">
        <v>9389</v>
      </c>
    </row>
    <row r="2958" spans="1:28" s="2" customFormat="1" ht="28.5">
      <c r="A2958" s="61" t="s">
        <v>780</v>
      </c>
      <c r="B2958" s="61" t="s">
        <v>942</v>
      </c>
      <c r="C2958" s="61" t="s">
        <v>4242</v>
      </c>
      <c r="D2958" s="61" t="s">
        <v>159</v>
      </c>
      <c r="E2958" s="61">
        <v>2840</v>
      </c>
      <c r="F2958" s="61">
        <v>3097</v>
      </c>
      <c r="G2958" s="61">
        <v>2025</v>
      </c>
      <c r="H2958" s="61" t="s">
        <v>3127</v>
      </c>
      <c r="I2958" s="471" t="s">
        <v>42</v>
      </c>
      <c r="J2958" s="471" t="s">
        <v>163</v>
      </c>
      <c r="K2958" s="61" t="s">
        <v>2393</v>
      </c>
      <c r="L2958" s="471" t="s">
        <v>9388</v>
      </c>
      <c r="M2958" s="502">
        <v>45912</v>
      </c>
      <c r="N2958" s="502">
        <v>45915</v>
      </c>
      <c r="O2958" s="502">
        <v>45916</v>
      </c>
      <c r="P2958" s="502">
        <v>45917</v>
      </c>
      <c r="Q2958" s="502">
        <v>45917</v>
      </c>
      <c r="R2958" s="61">
        <f t="shared" si="205"/>
        <v>1</v>
      </c>
      <c r="S2958" s="61">
        <f t="shared" si="207"/>
        <v>1</v>
      </c>
      <c r="T2958" s="61">
        <f t="shared" si="204"/>
        <v>1</v>
      </c>
      <c r="U2958" s="61">
        <f t="shared" si="206"/>
        <v>1</v>
      </c>
      <c r="V2958" s="61" t="s">
        <v>150</v>
      </c>
      <c r="W2958" s="61" t="s">
        <v>4</v>
      </c>
      <c r="X2958" s="61" t="s">
        <v>50</v>
      </c>
      <c r="Y2958" s="61" t="s">
        <v>69</v>
      </c>
      <c r="Z2958" s="61" t="s">
        <v>69</v>
      </c>
      <c r="AA2958" s="61" t="s">
        <v>7719</v>
      </c>
      <c r="AB2958" s="61" t="s">
        <v>9389</v>
      </c>
    </row>
    <row r="2959" spans="1:28" s="2" customFormat="1" ht="28.5">
      <c r="A2959" s="61" t="s">
        <v>780</v>
      </c>
      <c r="B2959" s="61" t="s">
        <v>942</v>
      </c>
      <c r="C2959" s="61" t="s">
        <v>960</v>
      </c>
      <c r="D2959" s="61" t="s">
        <v>159</v>
      </c>
      <c r="E2959" s="61">
        <v>4541</v>
      </c>
      <c r="F2959" s="61">
        <v>4807</v>
      </c>
      <c r="G2959" s="61">
        <v>2025</v>
      </c>
      <c r="H2959" s="61" t="s">
        <v>3127</v>
      </c>
      <c r="I2959" s="471" t="s">
        <v>42</v>
      </c>
      <c r="J2959" s="471" t="s">
        <v>163</v>
      </c>
      <c r="K2959" s="61" t="s">
        <v>2393</v>
      </c>
      <c r="L2959" s="471" t="s">
        <v>9388</v>
      </c>
      <c r="M2959" s="502">
        <v>45912</v>
      </c>
      <c r="N2959" s="502">
        <v>45915</v>
      </c>
      <c r="O2959" s="502">
        <v>45916</v>
      </c>
      <c r="P2959" s="502">
        <v>45917</v>
      </c>
      <c r="Q2959" s="502">
        <v>45917</v>
      </c>
      <c r="R2959" s="61">
        <f t="shared" si="205"/>
        <v>1</v>
      </c>
      <c r="S2959" s="61">
        <f t="shared" si="207"/>
        <v>1</v>
      </c>
      <c r="T2959" s="61">
        <f t="shared" si="204"/>
        <v>1</v>
      </c>
      <c r="U2959" s="61">
        <f t="shared" si="206"/>
        <v>1</v>
      </c>
      <c r="V2959" s="61" t="s">
        <v>150</v>
      </c>
      <c r="W2959" s="61" t="s">
        <v>4</v>
      </c>
      <c r="X2959" s="61" t="s">
        <v>57</v>
      </c>
      <c r="Y2959" s="61" t="s">
        <v>69</v>
      </c>
      <c r="Z2959" s="61" t="s">
        <v>69</v>
      </c>
      <c r="AA2959" s="61" t="s">
        <v>7719</v>
      </c>
      <c r="AB2959" s="61" t="s">
        <v>9389</v>
      </c>
    </row>
    <row r="2960" spans="1:28" s="2" customFormat="1" ht="28.5">
      <c r="A2960" s="61" t="s">
        <v>780</v>
      </c>
      <c r="B2960" s="61" t="s">
        <v>942</v>
      </c>
      <c r="C2960" s="61" t="s">
        <v>963</v>
      </c>
      <c r="D2960" s="61" t="s">
        <v>159</v>
      </c>
      <c r="E2960" s="61">
        <v>2704</v>
      </c>
      <c r="F2960" s="61">
        <v>3087</v>
      </c>
      <c r="G2960" s="61">
        <v>2025</v>
      </c>
      <c r="H2960" s="61" t="s">
        <v>3127</v>
      </c>
      <c r="I2960" s="471" t="s">
        <v>42</v>
      </c>
      <c r="J2960" s="471" t="s">
        <v>163</v>
      </c>
      <c r="K2960" s="61" t="s">
        <v>2393</v>
      </c>
      <c r="L2960" s="471" t="s">
        <v>9388</v>
      </c>
      <c r="M2960" s="502">
        <v>45912</v>
      </c>
      <c r="N2960" s="502">
        <v>45915</v>
      </c>
      <c r="O2960" s="502">
        <v>45916</v>
      </c>
      <c r="P2960" s="502">
        <v>45917</v>
      </c>
      <c r="Q2960" s="502">
        <v>45917</v>
      </c>
      <c r="R2960" s="61">
        <f t="shared" si="205"/>
        <v>1</v>
      </c>
      <c r="S2960" s="61">
        <f t="shared" si="207"/>
        <v>1</v>
      </c>
      <c r="T2960" s="61">
        <f t="shared" si="204"/>
        <v>1</v>
      </c>
      <c r="U2960" s="61">
        <f t="shared" si="206"/>
        <v>1</v>
      </c>
      <c r="V2960" s="61" t="s">
        <v>150</v>
      </c>
      <c r="W2960" s="61" t="s">
        <v>4</v>
      </c>
      <c r="X2960" s="61" t="s">
        <v>50</v>
      </c>
      <c r="Y2960" s="61" t="s">
        <v>69</v>
      </c>
      <c r="Z2960" s="61" t="s">
        <v>69</v>
      </c>
      <c r="AA2960" s="61" t="s">
        <v>7719</v>
      </c>
      <c r="AB2960" s="61" t="s">
        <v>9389</v>
      </c>
    </row>
    <row r="2961" spans="1:28" s="2" customFormat="1" ht="28.5">
      <c r="A2961" s="61" t="s">
        <v>780</v>
      </c>
      <c r="B2961" s="61" t="s">
        <v>942</v>
      </c>
      <c r="C2961" s="61" t="s">
        <v>947</v>
      </c>
      <c r="D2961" s="61" t="s">
        <v>159</v>
      </c>
      <c r="E2961" s="61">
        <v>1681</v>
      </c>
      <c r="F2961" s="61">
        <v>1672</v>
      </c>
      <c r="G2961" s="61">
        <v>2025</v>
      </c>
      <c r="H2961" s="61" t="s">
        <v>3127</v>
      </c>
      <c r="I2961" s="471" t="s">
        <v>42</v>
      </c>
      <c r="J2961" s="471" t="s">
        <v>163</v>
      </c>
      <c r="K2961" s="61" t="s">
        <v>2393</v>
      </c>
      <c r="L2961" s="471" t="s">
        <v>9388</v>
      </c>
      <c r="M2961" s="502">
        <v>45912</v>
      </c>
      <c r="N2961" s="502">
        <v>45915</v>
      </c>
      <c r="O2961" s="502">
        <v>45916</v>
      </c>
      <c r="P2961" s="502">
        <v>45917</v>
      </c>
      <c r="Q2961" s="502">
        <v>45917</v>
      </c>
      <c r="R2961" s="61">
        <f t="shared" si="205"/>
        <v>1</v>
      </c>
      <c r="S2961" s="61">
        <f t="shared" si="207"/>
        <v>1</v>
      </c>
      <c r="T2961" s="61">
        <f t="shared" si="204"/>
        <v>1</v>
      </c>
      <c r="U2961" s="61">
        <f t="shared" si="206"/>
        <v>1</v>
      </c>
      <c r="V2961" s="61" t="s">
        <v>150</v>
      </c>
      <c r="W2961" s="61" t="s">
        <v>3527</v>
      </c>
      <c r="X2961" s="61" t="s">
        <v>3528</v>
      </c>
      <c r="Y2961" s="61" t="s">
        <v>69</v>
      </c>
      <c r="Z2961" s="61" t="s">
        <v>69</v>
      </c>
      <c r="AA2961" s="61" t="s">
        <v>7719</v>
      </c>
      <c r="AB2961" s="61" t="s">
        <v>9389</v>
      </c>
    </row>
    <row r="2962" spans="1:28" s="2" customFormat="1" ht="28.5">
      <c r="A2962" s="61" t="s">
        <v>780</v>
      </c>
      <c r="B2962" s="61" t="s">
        <v>942</v>
      </c>
      <c r="C2962" s="61" t="s">
        <v>954</v>
      </c>
      <c r="D2962" s="61" t="s">
        <v>159</v>
      </c>
      <c r="E2962" s="61">
        <v>4112</v>
      </c>
      <c r="F2962" s="61">
        <v>4403</v>
      </c>
      <c r="G2962" s="61">
        <v>2025</v>
      </c>
      <c r="H2962" s="61" t="s">
        <v>3127</v>
      </c>
      <c r="I2962" s="471" t="s">
        <v>42</v>
      </c>
      <c r="J2962" s="471" t="s">
        <v>163</v>
      </c>
      <c r="K2962" s="61" t="s">
        <v>2393</v>
      </c>
      <c r="L2962" s="471" t="s">
        <v>9388</v>
      </c>
      <c r="M2962" s="502">
        <v>45912</v>
      </c>
      <c r="N2962" s="502">
        <v>45915</v>
      </c>
      <c r="O2962" s="502">
        <v>45916</v>
      </c>
      <c r="P2962" s="502">
        <v>45917</v>
      </c>
      <c r="Q2962" s="502">
        <v>45917</v>
      </c>
      <c r="R2962" s="61">
        <f t="shared" si="205"/>
        <v>1</v>
      </c>
      <c r="S2962" s="61">
        <f t="shared" si="207"/>
        <v>1</v>
      </c>
      <c r="T2962" s="61">
        <f t="shared" si="204"/>
        <v>1</v>
      </c>
      <c r="U2962" s="61">
        <f t="shared" si="206"/>
        <v>1</v>
      </c>
      <c r="V2962" s="61" t="s">
        <v>150</v>
      </c>
      <c r="W2962" s="61" t="s">
        <v>3527</v>
      </c>
      <c r="X2962" s="61" t="s">
        <v>3528</v>
      </c>
      <c r="Y2962" s="61" t="s">
        <v>69</v>
      </c>
      <c r="Z2962" s="61" t="s">
        <v>69</v>
      </c>
      <c r="AA2962" s="61" t="s">
        <v>7719</v>
      </c>
      <c r="AB2962" s="61" t="s">
        <v>9389</v>
      </c>
    </row>
    <row r="2963" spans="1:28" s="2" customFormat="1" ht="28.5">
      <c r="A2963" s="61" t="s">
        <v>780</v>
      </c>
      <c r="B2963" s="61" t="s">
        <v>942</v>
      </c>
      <c r="C2963" s="61" t="s">
        <v>6433</v>
      </c>
      <c r="D2963" s="61" t="s">
        <v>159</v>
      </c>
      <c r="E2963" s="61">
        <v>2781</v>
      </c>
      <c r="F2963" s="61">
        <v>3184</v>
      </c>
      <c r="G2963" s="61">
        <v>2025</v>
      </c>
      <c r="H2963" s="61" t="s">
        <v>3416</v>
      </c>
      <c r="I2963" s="471" t="s">
        <v>42</v>
      </c>
      <c r="J2963" s="471" t="s">
        <v>163</v>
      </c>
      <c r="K2963" s="61" t="s">
        <v>2393</v>
      </c>
      <c r="L2963" s="471" t="s">
        <v>9390</v>
      </c>
      <c r="M2963" s="502">
        <v>45728</v>
      </c>
      <c r="N2963" s="502">
        <v>45733</v>
      </c>
      <c r="O2963" s="502">
        <v>45733</v>
      </c>
      <c r="P2963" s="502">
        <v>45733</v>
      </c>
      <c r="Q2963" s="502">
        <v>45733</v>
      </c>
      <c r="R2963" s="61">
        <f t="shared" si="205"/>
        <v>3</v>
      </c>
      <c r="S2963" s="61">
        <f t="shared" si="207"/>
        <v>1</v>
      </c>
      <c r="T2963" s="61">
        <f t="shared" si="204"/>
        <v>1</v>
      </c>
      <c r="U2963" s="61">
        <f t="shared" si="206"/>
        <v>1</v>
      </c>
      <c r="V2963" s="61" t="s">
        <v>150</v>
      </c>
      <c r="W2963" s="61" t="s">
        <v>4</v>
      </c>
      <c r="X2963" s="61" t="s">
        <v>50</v>
      </c>
      <c r="Y2963" s="61">
        <v>15.5433</v>
      </c>
      <c r="Z2963" s="61">
        <v>119.95350000000001</v>
      </c>
      <c r="AA2963" s="61" t="s">
        <v>7719</v>
      </c>
      <c r="AB2963" s="61"/>
    </row>
    <row r="2964" spans="1:28" s="2" customFormat="1" ht="28.5">
      <c r="A2964" s="61" t="s">
        <v>780</v>
      </c>
      <c r="B2964" s="61" t="s">
        <v>942</v>
      </c>
      <c r="C2964" s="61" t="s">
        <v>1445</v>
      </c>
      <c r="D2964" s="61" t="s">
        <v>159</v>
      </c>
      <c r="E2964" s="61">
        <v>2429</v>
      </c>
      <c r="F2964" s="61">
        <v>2666</v>
      </c>
      <c r="G2964" s="61">
        <v>2025</v>
      </c>
      <c r="H2964" s="61" t="s">
        <v>3458</v>
      </c>
      <c r="I2964" s="471" t="s">
        <v>42</v>
      </c>
      <c r="J2964" s="471" t="s">
        <v>163</v>
      </c>
      <c r="K2964" s="61" t="s">
        <v>2393</v>
      </c>
      <c r="L2964" s="471" t="s">
        <v>9391</v>
      </c>
      <c r="M2964" s="502">
        <v>45700</v>
      </c>
      <c r="N2964" s="502">
        <v>45705</v>
      </c>
      <c r="O2964" s="502">
        <v>45705</v>
      </c>
      <c r="P2964" s="502">
        <v>45705</v>
      </c>
      <c r="Q2964" s="502">
        <v>45705</v>
      </c>
      <c r="R2964" s="61">
        <f t="shared" si="205"/>
        <v>3</v>
      </c>
      <c r="S2964" s="61">
        <f t="shared" si="207"/>
        <v>1</v>
      </c>
      <c r="T2964" s="61">
        <f t="shared" si="204"/>
        <v>1</v>
      </c>
      <c r="U2964" s="61">
        <f t="shared" si="206"/>
        <v>1</v>
      </c>
      <c r="V2964" s="61" t="s">
        <v>150</v>
      </c>
      <c r="W2964" s="61" t="s">
        <v>1078</v>
      </c>
      <c r="X2964" s="61" t="s">
        <v>50</v>
      </c>
      <c r="Y2964" s="61"/>
      <c r="Z2964" s="61"/>
      <c r="AA2964" s="61" t="s">
        <v>7719</v>
      </c>
      <c r="AB2964" s="61"/>
    </row>
    <row r="2965" spans="1:28" s="2" customFormat="1" ht="28.5">
      <c r="A2965" s="61" t="s">
        <v>780</v>
      </c>
      <c r="B2965" s="61" t="s">
        <v>942</v>
      </c>
      <c r="C2965" s="61" t="s">
        <v>6435</v>
      </c>
      <c r="D2965" s="61" t="s">
        <v>159</v>
      </c>
      <c r="E2965" s="61">
        <v>8409</v>
      </c>
      <c r="F2965" s="61">
        <v>9799</v>
      </c>
      <c r="G2965" s="61">
        <v>2025</v>
      </c>
      <c r="H2965" s="61" t="s">
        <v>3458</v>
      </c>
      <c r="I2965" s="471" t="s">
        <v>42</v>
      </c>
      <c r="J2965" s="471" t="s">
        <v>163</v>
      </c>
      <c r="K2965" s="61" t="s">
        <v>2393</v>
      </c>
      <c r="L2965" s="471" t="s">
        <v>9392</v>
      </c>
      <c r="M2965" s="502">
        <v>45700</v>
      </c>
      <c r="N2965" s="502">
        <v>45705</v>
      </c>
      <c r="O2965" s="502">
        <v>45705</v>
      </c>
      <c r="P2965" s="502">
        <v>45705</v>
      </c>
      <c r="Q2965" s="502">
        <v>45705</v>
      </c>
      <c r="R2965" s="61">
        <f t="shared" si="205"/>
        <v>3</v>
      </c>
      <c r="S2965" s="61">
        <f t="shared" si="207"/>
        <v>1</v>
      </c>
      <c r="T2965" s="61">
        <f t="shared" si="204"/>
        <v>1</v>
      </c>
      <c r="U2965" s="61">
        <f t="shared" si="206"/>
        <v>1</v>
      </c>
      <c r="V2965" s="61" t="s">
        <v>150</v>
      </c>
      <c r="W2965" s="61" t="s">
        <v>1078</v>
      </c>
      <c r="X2965" s="61" t="s">
        <v>50</v>
      </c>
      <c r="Y2965" s="61"/>
      <c r="Z2965" s="61"/>
      <c r="AA2965" s="61" t="s">
        <v>7719</v>
      </c>
      <c r="AB2965" s="61"/>
    </row>
    <row r="2966" spans="1:28" s="2" customFormat="1" ht="28.5">
      <c r="A2966" s="61" t="s">
        <v>780</v>
      </c>
      <c r="B2966" s="61" t="s">
        <v>942</v>
      </c>
      <c r="C2966" s="61" t="s">
        <v>4261</v>
      </c>
      <c r="D2966" s="61" t="s">
        <v>159</v>
      </c>
      <c r="E2966" s="61">
        <v>2102</v>
      </c>
      <c r="F2966" s="61">
        <v>2307</v>
      </c>
      <c r="G2966" s="61">
        <v>2025</v>
      </c>
      <c r="H2966" s="61" t="s">
        <v>3458</v>
      </c>
      <c r="I2966" s="471" t="s">
        <v>42</v>
      </c>
      <c r="J2966" s="471" t="s">
        <v>163</v>
      </c>
      <c r="K2966" s="61" t="s">
        <v>2393</v>
      </c>
      <c r="L2966" s="471" t="s">
        <v>9393</v>
      </c>
      <c r="M2966" s="502">
        <v>45700</v>
      </c>
      <c r="N2966" s="502">
        <v>45705</v>
      </c>
      <c r="O2966" s="502">
        <v>45705</v>
      </c>
      <c r="P2966" s="502">
        <v>45705</v>
      </c>
      <c r="Q2966" s="502">
        <v>45705</v>
      </c>
      <c r="R2966" s="61">
        <f t="shared" si="205"/>
        <v>3</v>
      </c>
      <c r="S2966" s="61">
        <f t="shared" si="207"/>
        <v>1</v>
      </c>
      <c r="T2966" s="61">
        <f t="shared" si="204"/>
        <v>1</v>
      </c>
      <c r="U2966" s="61">
        <f t="shared" si="206"/>
        <v>1</v>
      </c>
      <c r="V2966" s="61" t="s">
        <v>150</v>
      </c>
      <c r="W2966" s="61" t="s">
        <v>1078</v>
      </c>
      <c r="X2966" s="61" t="s">
        <v>50</v>
      </c>
      <c r="Y2966" s="61"/>
      <c r="Z2966" s="61"/>
      <c r="AA2966" s="61" t="s">
        <v>7719</v>
      </c>
      <c r="AB2966" s="61"/>
    </row>
    <row r="2967" spans="1:28" s="2" customFormat="1" ht="28.5">
      <c r="A2967" s="61" t="s">
        <v>780</v>
      </c>
      <c r="B2967" s="61" t="s">
        <v>942</v>
      </c>
      <c r="C2967" s="61" t="s">
        <v>1543</v>
      </c>
      <c r="D2967" s="61" t="s">
        <v>159</v>
      </c>
      <c r="E2967" s="61">
        <v>6783</v>
      </c>
      <c r="F2967" s="61">
        <v>7786</v>
      </c>
      <c r="G2967" s="61">
        <v>2025</v>
      </c>
      <c r="H2967" s="61" t="s">
        <v>3416</v>
      </c>
      <c r="I2967" s="471" t="s">
        <v>42</v>
      </c>
      <c r="J2967" s="471" t="s">
        <v>163</v>
      </c>
      <c r="K2967" s="61" t="s">
        <v>2393</v>
      </c>
      <c r="L2967" s="471" t="s">
        <v>9394</v>
      </c>
      <c r="M2967" s="502">
        <v>45728</v>
      </c>
      <c r="N2967" s="502">
        <v>45730</v>
      </c>
      <c r="O2967" s="502">
        <v>45733</v>
      </c>
      <c r="P2967" s="502">
        <v>45733</v>
      </c>
      <c r="Q2967" s="502">
        <v>45733</v>
      </c>
      <c r="R2967" s="61">
        <f t="shared" si="205"/>
        <v>2</v>
      </c>
      <c r="S2967" s="61">
        <f t="shared" si="207"/>
        <v>1</v>
      </c>
      <c r="T2967" s="61">
        <f t="shared" si="204"/>
        <v>1</v>
      </c>
      <c r="U2967" s="61">
        <f t="shared" si="206"/>
        <v>1</v>
      </c>
      <c r="V2967" s="61" t="s">
        <v>150</v>
      </c>
      <c r="W2967" s="61" t="s">
        <v>3527</v>
      </c>
      <c r="X2967" s="61" t="s">
        <v>3528</v>
      </c>
      <c r="Y2967" s="61">
        <v>15.5486</v>
      </c>
      <c r="Z2967" s="61">
        <v>119.9468</v>
      </c>
      <c r="AA2967" s="61" t="s">
        <v>7719</v>
      </c>
      <c r="AB2967" s="61"/>
    </row>
    <row r="2968" spans="1:28" s="2" customFormat="1" ht="15">
      <c r="A2968" s="61" t="s">
        <v>780</v>
      </c>
      <c r="B2968" s="61" t="s">
        <v>942</v>
      </c>
      <c r="C2968" s="61" t="s">
        <v>6437</v>
      </c>
      <c r="D2968" s="61" t="s">
        <v>159</v>
      </c>
      <c r="E2968" s="61">
        <v>2214</v>
      </c>
      <c r="F2968" s="61">
        <v>2544</v>
      </c>
      <c r="G2968" s="61"/>
      <c r="H2968" s="61"/>
      <c r="I2968" s="471" t="s">
        <v>42</v>
      </c>
      <c r="J2968" s="471"/>
      <c r="K2968" s="61" t="s">
        <v>2393</v>
      </c>
      <c r="L2968" s="471"/>
      <c r="M2968" s="471"/>
      <c r="N2968" s="471"/>
      <c r="O2968" s="471"/>
      <c r="P2968" s="471"/>
      <c r="Q2968" s="471"/>
      <c r="R2968" s="61" t="str">
        <f t="shared" si="205"/>
        <v/>
      </c>
      <c r="S2968" s="61" t="str">
        <f t="shared" si="207"/>
        <v/>
      </c>
      <c r="T2968" s="61" t="str">
        <f t="shared" si="204"/>
        <v/>
      </c>
      <c r="U2968" s="61" t="str">
        <f t="shared" si="206"/>
        <v/>
      </c>
      <c r="V2968" s="61"/>
      <c r="W2968" s="61"/>
      <c r="X2968" s="61"/>
      <c r="Y2968" s="61"/>
      <c r="Z2968" s="61"/>
      <c r="AA2968" s="61"/>
      <c r="AB2968" s="61"/>
    </row>
    <row r="2969" spans="1:28" s="2" customFormat="1" ht="15">
      <c r="A2969" s="61" t="s">
        <v>780</v>
      </c>
      <c r="B2969" s="61" t="s">
        <v>1546</v>
      </c>
      <c r="C2969" s="61" t="s">
        <v>2072</v>
      </c>
      <c r="D2969" s="61" t="s">
        <v>159</v>
      </c>
      <c r="E2969" s="61">
        <v>3445</v>
      </c>
      <c r="F2969" s="61">
        <v>3485</v>
      </c>
      <c r="G2969" s="61">
        <v>2025</v>
      </c>
      <c r="H2969" s="61" t="s">
        <v>3128</v>
      </c>
      <c r="I2969" s="471"/>
      <c r="J2969" s="471" t="s">
        <v>9337</v>
      </c>
      <c r="K2969" s="61" t="s">
        <v>2393</v>
      </c>
      <c r="L2969" s="471" t="s">
        <v>9395</v>
      </c>
      <c r="M2969" s="502">
        <v>45937</v>
      </c>
      <c r="N2969" s="471"/>
      <c r="O2969" s="502">
        <v>45940</v>
      </c>
      <c r="P2969" s="502">
        <v>45940</v>
      </c>
      <c r="Q2969" s="502">
        <v>45946</v>
      </c>
      <c r="R2969" s="61" t="str">
        <f t="shared" si="205"/>
        <v/>
      </c>
      <c r="S2969" s="61" t="str">
        <f t="shared" si="207"/>
        <v/>
      </c>
      <c r="T2969" s="61">
        <f t="shared" si="204"/>
        <v>1</v>
      </c>
      <c r="U2969" s="61">
        <f t="shared" si="206"/>
        <v>4</v>
      </c>
      <c r="V2969" s="61" t="s">
        <v>150</v>
      </c>
      <c r="W2969" s="61" t="s">
        <v>4</v>
      </c>
      <c r="X2969" s="61" t="s">
        <v>50</v>
      </c>
      <c r="Y2969" s="61" t="s">
        <v>69</v>
      </c>
      <c r="Z2969" s="61" t="s">
        <v>69</v>
      </c>
      <c r="AA2969" s="61" t="s">
        <v>7719</v>
      </c>
      <c r="AB2969" s="61" t="s">
        <v>9396</v>
      </c>
    </row>
    <row r="2970" spans="1:28" s="2" customFormat="1" ht="28.5">
      <c r="A2970" s="61" t="s">
        <v>780</v>
      </c>
      <c r="B2970" s="61" t="s">
        <v>1546</v>
      </c>
      <c r="C2970" s="61" t="s">
        <v>6440</v>
      </c>
      <c r="D2970" s="61" t="s">
        <v>159</v>
      </c>
      <c r="E2970" s="61">
        <v>6851</v>
      </c>
      <c r="F2970" s="61">
        <v>7563</v>
      </c>
      <c r="G2970" s="61">
        <v>2025</v>
      </c>
      <c r="H2970" s="61" t="s">
        <v>3128</v>
      </c>
      <c r="I2970" s="471"/>
      <c r="J2970" s="471" t="s">
        <v>9337</v>
      </c>
      <c r="K2970" s="61" t="s">
        <v>2393</v>
      </c>
      <c r="L2970" s="471" t="s">
        <v>9395</v>
      </c>
      <c r="M2970" s="502">
        <v>45937</v>
      </c>
      <c r="N2970" s="471"/>
      <c r="O2970" s="502">
        <v>45940</v>
      </c>
      <c r="P2970" s="502">
        <v>45940</v>
      </c>
      <c r="Q2970" s="502">
        <v>45946</v>
      </c>
      <c r="R2970" s="61" t="str">
        <f t="shared" si="205"/>
        <v/>
      </c>
      <c r="S2970" s="61" t="str">
        <f t="shared" si="207"/>
        <v/>
      </c>
      <c r="T2970" s="61">
        <f t="shared" si="204"/>
        <v>1</v>
      </c>
      <c r="U2970" s="61">
        <f t="shared" si="206"/>
        <v>4</v>
      </c>
      <c r="V2970" s="61" t="s">
        <v>150</v>
      </c>
      <c r="W2970" s="61" t="s">
        <v>1078</v>
      </c>
      <c r="X2970" s="61" t="s">
        <v>50</v>
      </c>
      <c r="Y2970" s="61" t="s">
        <v>69</v>
      </c>
      <c r="Z2970" s="61" t="s">
        <v>69</v>
      </c>
      <c r="AA2970" s="61" t="s">
        <v>7719</v>
      </c>
      <c r="AB2970" s="61" t="s">
        <v>9397</v>
      </c>
    </row>
    <row r="2971" spans="1:28" s="2" customFormat="1" ht="28.5">
      <c r="A2971" s="61" t="s">
        <v>780</v>
      </c>
      <c r="B2971" s="61" t="s">
        <v>1546</v>
      </c>
      <c r="C2971" s="61" t="s">
        <v>6442</v>
      </c>
      <c r="D2971" s="61" t="s">
        <v>159</v>
      </c>
      <c r="E2971" s="61">
        <v>19340</v>
      </c>
      <c r="F2971" s="61">
        <v>21794</v>
      </c>
      <c r="G2971" s="61">
        <v>2025</v>
      </c>
      <c r="H2971" s="61" t="s">
        <v>3128</v>
      </c>
      <c r="I2971" s="471"/>
      <c r="J2971" s="471" t="s">
        <v>9337</v>
      </c>
      <c r="K2971" s="61" t="s">
        <v>2393</v>
      </c>
      <c r="L2971" s="471" t="s">
        <v>9395</v>
      </c>
      <c r="M2971" s="502">
        <v>45937</v>
      </c>
      <c r="N2971" s="471"/>
      <c r="O2971" s="502">
        <v>45940</v>
      </c>
      <c r="P2971" s="502">
        <v>45940</v>
      </c>
      <c r="Q2971" s="502">
        <v>45946</v>
      </c>
      <c r="R2971" s="61" t="str">
        <f t="shared" si="205"/>
        <v/>
      </c>
      <c r="S2971" s="61" t="str">
        <f t="shared" si="207"/>
        <v/>
      </c>
      <c r="T2971" s="61">
        <f t="shared" ref="T2971:T3034" si="208">IF(
  OR(A2971 = "Nueva_Ecija", A2971 = "Zambales"),
  IF(
    OR(ISBLANK(O2971), ISBLANK(P2971)),
    "",
    MAX(1, IF(
      NETWORKDAYS(O2971, P2971) &lt;= 0,
      1,
      NETWORKDAYS(O2971, P2971) - IF(O2971 = P2971, 0, 1)
    ))
  ),
  IF(
    OR(ISBLANK(N2971), ISBLANK(P2971)),
    "",
    MAX(1, IF(
      NETWORKDAYS(N2971, P2971) &lt;= 0,
      1,
      NETWORKDAYS(N2971, P2971) - IF(N2971 = P2971, 0, 1)
    ))
  )
)</f>
        <v>1</v>
      </c>
      <c r="U2971" s="61">
        <f t="shared" si="206"/>
        <v>4</v>
      </c>
      <c r="V2971" s="61" t="s">
        <v>150</v>
      </c>
      <c r="W2971" s="61" t="s">
        <v>1078</v>
      </c>
      <c r="X2971" s="61" t="s">
        <v>50</v>
      </c>
      <c r="Y2971" s="61" t="s">
        <v>69</v>
      </c>
      <c r="Z2971" s="61" t="s">
        <v>69</v>
      </c>
      <c r="AA2971" s="61" t="s">
        <v>7719</v>
      </c>
      <c r="AB2971" s="61" t="s">
        <v>9397</v>
      </c>
    </row>
    <row r="2972" spans="1:28" s="2" customFormat="1" ht="28.5">
      <c r="A2972" s="61" t="s">
        <v>780</v>
      </c>
      <c r="B2972" s="61" t="s">
        <v>1546</v>
      </c>
      <c r="C2972" s="61" t="s">
        <v>6443</v>
      </c>
      <c r="D2972" s="61" t="s">
        <v>159</v>
      </c>
      <c r="E2972" s="61">
        <v>17165</v>
      </c>
      <c r="F2972" s="61">
        <v>19387</v>
      </c>
      <c r="G2972" s="61">
        <v>2025</v>
      </c>
      <c r="H2972" s="61" t="s">
        <v>3128</v>
      </c>
      <c r="I2972" s="471"/>
      <c r="J2972" s="471" t="s">
        <v>9337</v>
      </c>
      <c r="K2972" s="61" t="s">
        <v>2393</v>
      </c>
      <c r="L2972" s="471" t="s">
        <v>9395</v>
      </c>
      <c r="M2972" s="502">
        <v>45937</v>
      </c>
      <c r="N2972" s="471"/>
      <c r="O2972" s="502">
        <v>45940</v>
      </c>
      <c r="P2972" s="502">
        <v>45940</v>
      </c>
      <c r="Q2972" s="502">
        <v>45946</v>
      </c>
      <c r="R2972" s="61" t="str">
        <f t="shared" si="205"/>
        <v/>
      </c>
      <c r="S2972" s="61" t="str">
        <f t="shared" si="207"/>
        <v/>
      </c>
      <c r="T2972" s="61">
        <f t="shared" si="208"/>
        <v>1</v>
      </c>
      <c r="U2972" s="61">
        <f t="shared" si="206"/>
        <v>4</v>
      </c>
      <c r="V2972" s="61" t="s">
        <v>150</v>
      </c>
      <c r="W2972" s="61" t="s">
        <v>1078</v>
      </c>
      <c r="X2972" s="61" t="s">
        <v>50</v>
      </c>
      <c r="Y2972" s="61" t="s">
        <v>69</v>
      </c>
      <c r="Z2972" s="61" t="s">
        <v>69</v>
      </c>
      <c r="AA2972" s="61" t="s">
        <v>7719</v>
      </c>
      <c r="AB2972" s="61" t="s">
        <v>9397</v>
      </c>
    </row>
    <row r="2973" spans="1:28" s="2" customFormat="1" ht="28.5">
      <c r="A2973" s="61" t="s">
        <v>780</v>
      </c>
      <c r="B2973" s="61" t="s">
        <v>1546</v>
      </c>
      <c r="C2973" s="61" t="s">
        <v>6445</v>
      </c>
      <c r="D2973" s="61" t="s">
        <v>159</v>
      </c>
      <c r="E2973" s="61">
        <v>9253</v>
      </c>
      <c r="F2973" s="61">
        <v>9952</v>
      </c>
      <c r="G2973" s="61">
        <v>2025</v>
      </c>
      <c r="H2973" s="61" t="s">
        <v>3128</v>
      </c>
      <c r="I2973" s="471"/>
      <c r="J2973" s="471" t="s">
        <v>9337</v>
      </c>
      <c r="K2973" s="61" t="s">
        <v>2393</v>
      </c>
      <c r="L2973" s="471" t="s">
        <v>9395</v>
      </c>
      <c r="M2973" s="502">
        <v>45937</v>
      </c>
      <c r="N2973" s="471"/>
      <c r="O2973" s="502">
        <v>45940</v>
      </c>
      <c r="P2973" s="502">
        <v>45940</v>
      </c>
      <c r="Q2973" s="502">
        <v>45946</v>
      </c>
      <c r="R2973" s="61" t="str">
        <f t="shared" si="205"/>
        <v/>
      </c>
      <c r="S2973" s="61" t="str">
        <f t="shared" si="207"/>
        <v/>
      </c>
      <c r="T2973" s="61">
        <f t="shared" si="208"/>
        <v>1</v>
      </c>
      <c r="U2973" s="61">
        <f t="shared" si="206"/>
        <v>4</v>
      </c>
      <c r="V2973" s="61" t="s">
        <v>150</v>
      </c>
      <c r="W2973" s="61" t="s">
        <v>1078</v>
      </c>
      <c r="X2973" s="61" t="s">
        <v>50</v>
      </c>
      <c r="Y2973" s="61" t="s">
        <v>69</v>
      </c>
      <c r="Z2973" s="61" t="s">
        <v>69</v>
      </c>
      <c r="AA2973" s="61" t="s">
        <v>7719</v>
      </c>
      <c r="AB2973" s="61" t="s">
        <v>9397</v>
      </c>
    </row>
    <row r="2974" spans="1:28" s="2" customFormat="1" ht="28.5">
      <c r="A2974" s="61" t="s">
        <v>780</v>
      </c>
      <c r="B2974" s="61" t="s">
        <v>1546</v>
      </c>
      <c r="C2974" s="61" t="s">
        <v>6447</v>
      </c>
      <c r="D2974" s="61" t="s">
        <v>159</v>
      </c>
      <c r="E2974" s="61">
        <v>27874</v>
      </c>
      <c r="F2974" s="61">
        <v>30729</v>
      </c>
      <c r="G2974" s="61">
        <v>2025</v>
      </c>
      <c r="H2974" s="61" t="s">
        <v>3128</v>
      </c>
      <c r="I2974" s="471"/>
      <c r="J2974" s="471" t="s">
        <v>9337</v>
      </c>
      <c r="K2974" s="61" t="s">
        <v>2393</v>
      </c>
      <c r="L2974" s="471" t="s">
        <v>9395</v>
      </c>
      <c r="M2974" s="502">
        <v>45937</v>
      </c>
      <c r="N2974" s="471"/>
      <c r="O2974" s="502">
        <v>45940</v>
      </c>
      <c r="P2974" s="502">
        <v>45940</v>
      </c>
      <c r="Q2974" s="502">
        <v>45946</v>
      </c>
      <c r="R2974" s="61" t="str">
        <f t="shared" si="205"/>
        <v/>
      </c>
      <c r="S2974" s="61" t="str">
        <f t="shared" si="207"/>
        <v/>
      </c>
      <c r="T2974" s="61">
        <f t="shared" si="208"/>
        <v>1</v>
      </c>
      <c r="U2974" s="61">
        <f t="shared" si="206"/>
        <v>4</v>
      </c>
      <c r="V2974" s="61" t="s">
        <v>150</v>
      </c>
      <c r="W2974" s="61" t="s">
        <v>1078</v>
      </c>
      <c r="X2974" s="61" t="s">
        <v>50</v>
      </c>
      <c r="Y2974" s="61" t="s">
        <v>69</v>
      </c>
      <c r="Z2974" s="61" t="s">
        <v>69</v>
      </c>
      <c r="AA2974" s="61" t="s">
        <v>7719</v>
      </c>
      <c r="AB2974" s="61" t="s">
        <v>9397</v>
      </c>
    </row>
    <row r="2975" spans="1:28" s="2" customFormat="1" ht="28.5">
      <c r="A2975" s="61" t="s">
        <v>780</v>
      </c>
      <c r="B2975" s="61" t="s">
        <v>1546</v>
      </c>
      <c r="C2975" s="61" t="s">
        <v>6448</v>
      </c>
      <c r="D2975" s="61" t="s">
        <v>159</v>
      </c>
      <c r="E2975" s="61">
        <v>13137</v>
      </c>
      <c r="F2975" s="61">
        <v>14703</v>
      </c>
      <c r="G2975" s="61">
        <v>2025</v>
      </c>
      <c r="H2975" s="61" t="s">
        <v>3128</v>
      </c>
      <c r="I2975" s="471"/>
      <c r="J2975" s="471" t="s">
        <v>9337</v>
      </c>
      <c r="K2975" s="61" t="s">
        <v>2393</v>
      </c>
      <c r="L2975" s="471" t="s">
        <v>9395</v>
      </c>
      <c r="M2975" s="502">
        <v>45937</v>
      </c>
      <c r="N2975" s="471"/>
      <c r="O2975" s="502">
        <v>45940</v>
      </c>
      <c r="P2975" s="502">
        <v>45940</v>
      </c>
      <c r="Q2975" s="502">
        <v>45946</v>
      </c>
      <c r="R2975" s="61" t="str">
        <f t="shared" si="205"/>
        <v/>
      </c>
      <c r="S2975" s="61" t="str">
        <f t="shared" si="207"/>
        <v/>
      </c>
      <c r="T2975" s="61">
        <f t="shared" si="208"/>
        <v>1</v>
      </c>
      <c r="U2975" s="61">
        <f t="shared" si="206"/>
        <v>4</v>
      </c>
      <c r="V2975" s="61" t="s">
        <v>150</v>
      </c>
      <c r="W2975" s="61" t="s">
        <v>1078</v>
      </c>
      <c r="X2975" s="61" t="s">
        <v>50</v>
      </c>
      <c r="Y2975" s="61" t="s">
        <v>69</v>
      </c>
      <c r="Z2975" s="61" t="s">
        <v>69</v>
      </c>
      <c r="AA2975" s="61" t="s">
        <v>7719</v>
      </c>
      <c r="AB2975" s="61" t="s">
        <v>9397</v>
      </c>
    </row>
    <row r="2976" spans="1:28" s="2" customFormat="1" ht="15">
      <c r="A2976" s="61" t="s">
        <v>780</v>
      </c>
      <c r="B2976" s="61" t="s">
        <v>1546</v>
      </c>
      <c r="C2976" s="61" t="s">
        <v>6449</v>
      </c>
      <c r="D2976" s="61" t="s">
        <v>159</v>
      </c>
      <c r="E2976" s="61">
        <v>10622</v>
      </c>
      <c r="F2976" s="61">
        <v>12436</v>
      </c>
      <c r="G2976" s="61">
        <v>2025</v>
      </c>
      <c r="H2976" s="61" t="s">
        <v>3128</v>
      </c>
      <c r="I2976" s="471"/>
      <c r="J2976" s="471" t="s">
        <v>9337</v>
      </c>
      <c r="K2976" s="61" t="s">
        <v>2393</v>
      </c>
      <c r="L2976" s="471" t="s">
        <v>9395</v>
      </c>
      <c r="M2976" s="502">
        <v>45937</v>
      </c>
      <c r="N2976" s="471"/>
      <c r="O2976" s="502">
        <v>45940</v>
      </c>
      <c r="P2976" s="502">
        <v>45940</v>
      </c>
      <c r="Q2976" s="502">
        <v>45946</v>
      </c>
      <c r="R2976" s="61" t="str">
        <f t="shared" si="205"/>
        <v/>
      </c>
      <c r="S2976" s="61" t="str">
        <f t="shared" si="207"/>
        <v/>
      </c>
      <c r="T2976" s="61">
        <f t="shared" si="208"/>
        <v>1</v>
      </c>
      <c r="U2976" s="61">
        <f t="shared" si="206"/>
        <v>4</v>
      </c>
      <c r="V2976" s="61" t="s">
        <v>150</v>
      </c>
      <c r="W2976" s="61" t="s">
        <v>4</v>
      </c>
      <c r="X2976" s="61" t="s">
        <v>62</v>
      </c>
      <c r="Y2976" s="61" t="s">
        <v>69</v>
      </c>
      <c r="Z2976" s="61" t="s">
        <v>69</v>
      </c>
      <c r="AA2976" s="61" t="s">
        <v>7719</v>
      </c>
      <c r="AB2976" s="61" t="s">
        <v>9396</v>
      </c>
    </row>
    <row r="2977" spans="1:28" s="2" customFormat="1" ht="28.5">
      <c r="A2977" s="61" t="s">
        <v>780</v>
      </c>
      <c r="B2977" s="61" t="s">
        <v>1546</v>
      </c>
      <c r="C2977" s="61" t="s">
        <v>1547</v>
      </c>
      <c r="D2977" s="61" t="s">
        <v>159</v>
      </c>
      <c r="E2977" s="61">
        <v>27714</v>
      </c>
      <c r="F2977" s="61">
        <v>33349</v>
      </c>
      <c r="G2977" s="61">
        <v>2025</v>
      </c>
      <c r="H2977" s="61" t="s">
        <v>3128</v>
      </c>
      <c r="I2977" s="471"/>
      <c r="J2977" s="471" t="s">
        <v>9337</v>
      </c>
      <c r="K2977" s="61" t="s">
        <v>2393</v>
      </c>
      <c r="L2977" s="471" t="s">
        <v>9395</v>
      </c>
      <c r="M2977" s="502">
        <v>45937</v>
      </c>
      <c r="N2977" s="471"/>
      <c r="O2977" s="502">
        <v>45940</v>
      </c>
      <c r="P2977" s="502">
        <v>45940</v>
      </c>
      <c r="Q2977" s="502">
        <v>45946</v>
      </c>
      <c r="R2977" s="61" t="str">
        <f t="shared" si="205"/>
        <v/>
      </c>
      <c r="S2977" s="61" t="str">
        <f t="shared" si="207"/>
        <v/>
      </c>
      <c r="T2977" s="61">
        <f t="shared" si="208"/>
        <v>1</v>
      </c>
      <c r="U2977" s="61">
        <f t="shared" si="206"/>
        <v>4</v>
      </c>
      <c r="V2977" s="61" t="s">
        <v>150</v>
      </c>
      <c r="W2977" s="61" t="s">
        <v>1078</v>
      </c>
      <c r="X2977" s="61" t="s">
        <v>50</v>
      </c>
      <c r="Y2977" s="61" t="s">
        <v>69</v>
      </c>
      <c r="Z2977" s="61" t="s">
        <v>69</v>
      </c>
      <c r="AA2977" s="61" t="s">
        <v>7719</v>
      </c>
      <c r="AB2977" s="61" t="s">
        <v>9397</v>
      </c>
    </row>
    <row r="2978" spans="1:28" s="2" customFormat="1" ht="28.5">
      <c r="A2978" s="61" t="s">
        <v>780</v>
      </c>
      <c r="B2978" s="61" t="s">
        <v>1546</v>
      </c>
      <c r="C2978" s="61" t="s">
        <v>6450</v>
      </c>
      <c r="D2978" s="61" t="s">
        <v>159</v>
      </c>
      <c r="E2978" s="61">
        <v>1518</v>
      </c>
      <c r="F2978" s="61">
        <v>1561</v>
      </c>
      <c r="G2978" s="61">
        <v>2025</v>
      </c>
      <c r="H2978" s="61" t="s">
        <v>3128</v>
      </c>
      <c r="I2978" s="471"/>
      <c r="J2978" s="471" t="s">
        <v>9337</v>
      </c>
      <c r="K2978" s="61" t="s">
        <v>2393</v>
      </c>
      <c r="L2978" s="471" t="s">
        <v>9395</v>
      </c>
      <c r="M2978" s="502">
        <v>45937</v>
      </c>
      <c r="N2978" s="502"/>
      <c r="O2978" s="502">
        <v>45940</v>
      </c>
      <c r="P2978" s="502">
        <v>45940</v>
      </c>
      <c r="Q2978" s="502">
        <v>45946</v>
      </c>
      <c r="R2978" s="61" t="str">
        <f t="shared" si="205"/>
        <v/>
      </c>
      <c r="S2978" s="61" t="str">
        <f t="shared" si="207"/>
        <v/>
      </c>
      <c r="T2978" s="61">
        <f t="shared" si="208"/>
        <v>1</v>
      </c>
      <c r="U2978" s="61">
        <f t="shared" si="206"/>
        <v>4</v>
      </c>
      <c r="V2978" s="61" t="s">
        <v>150</v>
      </c>
      <c r="W2978" s="61" t="s">
        <v>1078</v>
      </c>
      <c r="X2978" s="61" t="s">
        <v>50</v>
      </c>
      <c r="Y2978" s="61" t="s">
        <v>69</v>
      </c>
      <c r="Z2978" s="61" t="s">
        <v>69</v>
      </c>
      <c r="AA2978" s="61" t="s">
        <v>7719</v>
      </c>
      <c r="AB2978" s="61" t="s">
        <v>9397</v>
      </c>
    </row>
    <row r="2979" spans="1:28" s="2" customFormat="1" ht="28.5">
      <c r="A2979" s="61" t="s">
        <v>780</v>
      </c>
      <c r="B2979" s="61" t="s">
        <v>1546</v>
      </c>
      <c r="C2979" s="61" t="s">
        <v>6452</v>
      </c>
      <c r="D2979" s="61" t="s">
        <v>159</v>
      </c>
      <c r="E2979" s="61">
        <v>2404</v>
      </c>
      <c r="F2979" s="61">
        <v>2422</v>
      </c>
      <c r="G2979" s="61">
        <v>2025</v>
      </c>
      <c r="H2979" s="61" t="s">
        <v>3128</v>
      </c>
      <c r="I2979" s="471"/>
      <c r="J2979" s="471" t="s">
        <v>9337</v>
      </c>
      <c r="K2979" s="61" t="s">
        <v>2393</v>
      </c>
      <c r="L2979" s="471" t="s">
        <v>9395</v>
      </c>
      <c r="M2979" s="502">
        <v>45937</v>
      </c>
      <c r="N2979" s="502"/>
      <c r="O2979" s="502">
        <v>45940</v>
      </c>
      <c r="P2979" s="502">
        <v>45940</v>
      </c>
      <c r="Q2979" s="502">
        <v>45946</v>
      </c>
      <c r="R2979" s="61" t="str">
        <f t="shared" si="205"/>
        <v/>
      </c>
      <c r="S2979" s="61" t="str">
        <f t="shared" si="207"/>
        <v/>
      </c>
      <c r="T2979" s="61">
        <f t="shared" si="208"/>
        <v>1</v>
      </c>
      <c r="U2979" s="61">
        <f t="shared" si="206"/>
        <v>4</v>
      </c>
      <c r="V2979" s="61" t="s">
        <v>150</v>
      </c>
      <c r="W2979" s="61" t="s">
        <v>1078</v>
      </c>
      <c r="X2979" s="61" t="s">
        <v>50</v>
      </c>
      <c r="Y2979" s="61" t="s">
        <v>69</v>
      </c>
      <c r="Z2979" s="61" t="s">
        <v>69</v>
      </c>
      <c r="AA2979" s="61" t="s">
        <v>7719</v>
      </c>
      <c r="AB2979" s="61" t="s">
        <v>9397</v>
      </c>
    </row>
    <row r="2980" spans="1:28" s="2" customFormat="1" ht="15">
      <c r="A2980" s="61" t="s">
        <v>780</v>
      </c>
      <c r="B2980" s="61" t="s">
        <v>1546</v>
      </c>
      <c r="C2980" s="61" t="s">
        <v>6454</v>
      </c>
      <c r="D2980" s="61" t="s">
        <v>159</v>
      </c>
      <c r="E2980" s="61">
        <v>9808</v>
      </c>
      <c r="F2980" s="61">
        <v>10296</v>
      </c>
      <c r="G2980" s="61">
        <v>2025</v>
      </c>
      <c r="H2980" s="61" t="s">
        <v>3128</v>
      </c>
      <c r="I2980" s="471"/>
      <c r="J2980" s="471" t="s">
        <v>9337</v>
      </c>
      <c r="K2980" s="61" t="s">
        <v>2393</v>
      </c>
      <c r="L2980" s="471" t="s">
        <v>9395</v>
      </c>
      <c r="M2980" s="502">
        <v>45937</v>
      </c>
      <c r="N2980" s="502"/>
      <c r="O2980" s="502">
        <v>45940</v>
      </c>
      <c r="P2980" s="502">
        <v>45940</v>
      </c>
      <c r="Q2980" s="502">
        <v>45946</v>
      </c>
      <c r="R2980" s="61" t="str">
        <f t="shared" si="205"/>
        <v/>
      </c>
      <c r="S2980" s="61" t="str">
        <f t="shared" si="207"/>
        <v/>
      </c>
      <c r="T2980" s="61">
        <f t="shared" si="208"/>
        <v>1</v>
      </c>
      <c r="U2980" s="61">
        <f t="shared" si="206"/>
        <v>4</v>
      </c>
      <c r="V2980" s="61" t="s">
        <v>150</v>
      </c>
      <c r="W2980" s="61" t="s">
        <v>1078</v>
      </c>
      <c r="X2980" s="61" t="s">
        <v>50</v>
      </c>
      <c r="Y2980" s="61" t="s">
        <v>69</v>
      </c>
      <c r="Z2980" s="61" t="s">
        <v>69</v>
      </c>
      <c r="AA2980" s="61" t="s">
        <v>7719</v>
      </c>
      <c r="AB2980" s="61" t="s">
        <v>9396</v>
      </c>
    </row>
    <row r="2981" spans="1:28" s="2" customFormat="1" ht="28.5">
      <c r="A2981" s="61" t="s">
        <v>780</v>
      </c>
      <c r="B2981" s="61" t="s">
        <v>1546</v>
      </c>
      <c r="C2981" s="61" t="s">
        <v>6456</v>
      </c>
      <c r="D2981" s="61" t="s">
        <v>159</v>
      </c>
      <c r="E2981" s="61">
        <v>19274</v>
      </c>
      <c r="F2981" s="61">
        <v>23401</v>
      </c>
      <c r="G2981" s="61">
        <v>2025</v>
      </c>
      <c r="H2981" s="61" t="s">
        <v>3128</v>
      </c>
      <c r="I2981" s="471"/>
      <c r="J2981" s="471" t="s">
        <v>9337</v>
      </c>
      <c r="K2981" s="61" t="s">
        <v>2393</v>
      </c>
      <c r="L2981" s="471" t="s">
        <v>9395</v>
      </c>
      <c r="M2981" s="502">
        <v>45937</v>
      </c>
      <c r="N2981" s="471"/>
      <c r="O2981" s="502">
        <v>45940</v>
      </c>
      <c r="P2981" s="502">
        <v>45940</v>
      </c>
      <c r="Q2981" s="502">
        <v>45946</v>
      </c>
      <c r="R2981" s="61" t="str">
        <f t="shared" si="205"/>
        <v/>
      </c>
      <c r="S2981" s="61" t="str">
        <f t="shared" si="207"/>
        <v/>
      </c>
      <c r="T2981" s="61">
        <f t="shared" si="208"/>
        <v>1</v>
      </c>
      <c r="U2981" s="61">
        <f t="shared" si="206"/>
        <v>4</v>
      </c>
      <c r="V2981" s="61" t="s">
        <v>150</v>
      </c>
      <c r="W2981" s="61" t="s">
        <v>1078</v>
      </c>
      <c r="X2981" s="61" t="s">
        <v>50</v>
      </c>
      <c r="Y2981" s="61" t="s">
        <v>69</v>
      </c>
      <c r="Z2981" s="61" t="s">
        <v>69</v>
      </c>
      <c r="AA2981" s="61" t="s">
        <v>7719</v>
      </c>
      <c r="AB2981" s="61" t="s">
        <v>9397</v>
      </c>
    </row>
    <row r="2982" spans="1:28" s="2" customFormat="1" ht="15">
      <c r="A2982" s="61" t="s">
        <v>780</v>
      </c>
      <c r="B2982" s="61" t="s">
        <v>1546</v>
      </c>
      <c r="C2982" s="61" t="s">
        <v>892</v>
      </c>
      <c r="D2982" s="61" t="s">
        <v>159</v>
      </c>
      <c r="E2982" s="61">
        <v>6070</v>
      </c>
      <c r="F2982" s="61">
        <v>6593</v>
      </c>
      <c r="G2982" s="61">
        <v>2025</v>
      </c>
      <c r="H2982" s="61" t="s">
        <v>3128</v>
      </c>
      <c r="I2982" s="471"/>
      <c r="J2982" s="471" t="s">
        <v>9337</v>
      </c>
      <c r="K2982" s="61" t="s">
        <v>2393</v>
      </c>
      <c r="L2982" s="471" t="s">
        <v>9395</v>
      </c>
      <c r="M2982" s="502">
        <v>45937</v>
      </c>
      <c r="N2982" s="502"/>
      <c r="O2982" s="502">
        <v>45940</v>
      </c>
      <c r="P2982" s="502">
        <v>45940</v>
      </c>
      <c r="Q2982" s="502">
        <v>45946</v>
      </c>
      <c r="R2982" s="61" t="str">
        <f t="shared" si="205"/>
        <v/>
      </c>
      <c r="S2982" s="61" t="str">
        <f t="shared" si="207"/>
        <v/>
      </c>
      <c r="T2982" s="61">
        <f t="shared" si="208"/>
        <v>1</v>
      </c>
      <c r="U2982" s="61">
        <f t="shared" si="206"/>
        <v>4</v>
      </c>
      <c r="V2982" s="61" t="s">
        <v>150</v>
      </c>
      <c r="W2982" s="61" t="s">
        <v>4</v>
      </c>
      <c r="X2982" s="61" t="s">
        <v>50</v>
      </c>
      <c r="Y2982" s="61" t="s">
        <v>69</v>
      </c>
      <c r="Z2982" s="61" t="s">
        <v>69</v>
      </c>
      <c r="AA2982" s="61" t="s">
        <v>7719</v>
      </c>
      <c r="AB2982" s="61" t="s">
        <v>9396</v>
      </c>
    </row>
    <row r="2983" spans="1:28" s="2" customFormat="1" ht="28.5">
      <c r="A2983" s="61" t="s">
        <v>780</v>
      </c>
      <c r="B2983" s="61" t="s">
        <v>1546</v>
      </c>
      <c r="C2983" s="61" t="s">
        <v>4242</v>
      </c>
      <c r="D2983" s="61" t="s">
        <v>159</v>
      </c>
      <c r="E2983" s="61">
        <v>43632</v>
      </c>
      <c r="F2983" s="61">
        <v>47034</v>
      </c>
      <c r="G2983" s="61">
        <v>2025</v>
      </c>
      <c r="H2983" s="61" t="s">
        <v>3128</v>
      </c>
      <c r="I2983" s="471"/>
      <c r="J2983" s="471" t="s">
        <v>9337</v>
      </c>
      <c r="K2983" s="61" t="s">
        <v>2393</v>
      </c>
      <c r="L2983" s="471" t="s">
        <v>9395</v>
      </c>
      <c r="M2983" s="502">
        <v>45937</v>
      </c>
      <c r="N2983" s="471"/>
      <c r="O2983" s="502">
        <v>45940</v>
      </c>
      <c r="P2983" s="502">
        <v>45940</v>
      </c>
      <c r="Q2983" s="502">
        <v>45946</v>
      </c>
      <c r="R2983" s="61" t="str">
        <f t="shared" si="205"/>
        <v/>
      </c>
      <c r="S2983" s="61" t="str">
        <f t="shared" si="207"/>
        <v/>
      </c>
      <c r="T2983" s="61">
        <f t="shared" si="208"/>
        <v>1</v>
      </c>
      <c r="U2983" s="61">
        <f t="shared" si="206"/>
        <v>4</v>
      </c>
      <c r="V2983" s="61" t="s">
        <v>150</v>
      </c>
      <c r="W2983" s="61" t="s">
        <v>1078</v>
      </c>
      <c r="X2983" s="61" t="s">
        <v>50</v>
      </c>
      <c r="Y2983" s="61" t="s">
        <v>69</v>
      </c>
      <c r="Z2983" s="61" t="s">
        <v>69</v>
      </c>
      <c r="AA2983" s="61" t="s">
        <v>7719</v>
      </c>
      <c r="AB2983" s="61" t="s">
        <v>9397</v>
      </c>
    </row>
    <row r="2984" spans="1:28" s="2" customFormat="1" ht="28.5">
      <c r="A2984" s="61" t="s">
        <v>780</v>
      </c>
      <c r="B2984" s="61" t="s">
        <v>1546</v>
      </c>
      <c r="C2984" s="61" t="s">
        <v>6458</v>
      </c>
      <c r="D2984" s="61" t="s">
        <v>159</v>
      </c>
      <c r="E2984" s="61">
        <v>8007</v>
      </c>
      <c r="F2984" s="61">
        <v>8433</v>
      </c>
      <c r="G2984" s="61">
        <v>2025</v>
      </c>
      <c r="H2984" s="61" t="s">
        <v>3128</v>
      </c>
      <c r="I2984" s="471"/>
      <c r="J2984" s="471" t="s">
        <v>9337</v>
      </c>
      <c r="K2984" s="61" t="s">
        <v>2393</v>
      </c>
      <c r="L2984" s="471" t="s">
        <v>9395</v>
      </c>
      <c r="M2984" s="502">
        <v>45937</v>
      </c>
      <c r="N2984" s="502"/>
      <c r="O2984" s="502">
        <v>45940</v>
      </c>
      <c r="P2984" s="502">
        <v>45940</v>
      </c>
      <c r="Q2984" s="502">
        <v>45946</v>
      </c>
      <c r="R2984" s="61" t="str">
        <f t="shared" si="205"/>
        <v/>
      </c>
      <c r="S2984" s="61" t="str">
        <f t="shared" si="207"/>
        <v/>
      </c>
      <c r="T2984" s="61">
        <f t="shared" si="208"/>
        <v>1</v>
      </c>
      <c r="U2984" s="61">
        <f t="shared" si="206"/>
        <v>4</v>
      </c>
      <c r="V2984" s="61" t="s">
        <v>150</v>
      </c>
      <c r="W2984" s="61" t="s">
        <v>1078</v>
      </c>
      <c r="X2984" s="61" t="s">
        <v>50</v>
      </c>
      <c r="Y2984" s="61" t="s">
        <v>69</v>
      </c>
      <c r="Z2984" s="61" t="s">
        <v>69</v>
      </c>
      <c r="AA2984" s="61" t="s">
        <v>7719</v>
      </c>
      <c r="AB2984" s="61" t="s">
        <v>9397</v>
      </c>
    </row>
    <row r="2985" spans="1:28" s="2" customFormat="1" ht="28.5">
      <c r="A2985" s="61" t="s">
        <v>780</v>
      </c>
      <c r="B2985" s="61" t="s">
        <v>1546</v>
      </c>
      <c r="C2985" s="61" t="s">
        <v>6460</v>
      </c>
      <c r="D2985" s="61" t="s">
        <v>159</v>
      </c>
      <c r="E2985" s="61">
        <v>6926</v>
      </c>
      <c r="F2985" s="61">
        <v>7179</v>
      </c>
      <c r="G2985" s="61">
        <v>2025</v>
      </c>
      <c r="H2985" s="61" t="s">
        <v>3128</v>
      </c>
      <c r="I2985" s="471"/>
      <c r="J2985" s="471" t="s">
        <v>9337</v>
      </c>
      <c r="K2985" s="61" t="s">
        <v>2393</v>
      </c>
      <c r="L2985" s="471" t="s">
        <v>9395</v>
      </c>
      <c r="M2985" s="502">
        <v>45937</v>
      </c>
      <c r="N2985" s="502"/>
      <c r="O2985" s="502">
        <v>45940</v>
      </c>
      <c r="P2985" s="502">
        <v>45940</v>
      </c>
      <c r="Q2985" s="502">
        <v>45946</v>
      </c>
      <c r="R2985" s="61" t="str">
        <f t="shared" si="205"/>
        <v/>
      </c>
      <c r="S2985" s="61" t="str">
        <f t="shared" si="207"/>
        <v/>
      </c>
      <c r="T2985" s="61">
        <f t="shared" si="208"/>
        <v>1</v>
      </c>
      <c r="U2985" s="61">
        <f t="shared" si="206"/>
        <v>4</v>
      </c>
      <c r="V2985" s="61" t="s">
        <v>150</v>
      </c>
      <c r="W2985" s="61" t="s">
        <v>1078</v>
      </c>
      <c r="X2985" s="61" t="s">
        <v>50</v>
      </c>
      <c r="Y2985" s="61" t="s">
        <v>69</v>
      </c>
      <c r="Z2985" s="61" t="s">
        <v>69</v>
      </c>
      <c r="AA2985" s="61" t="s">
        <v>7719</v>
      </c>
      <c r="AB2985" s="61" t="s">
        <v>9397</v>
      </c>
    </row>
    <row r="2986" spans="1:28" s="2" customFormat="1" ht="28.5">
      <c r="A2986" s="61" t="s">
        <v>780</v>
      </c>
      <c r="B2986" s="61" t="s">
        <v>1221</v>
      </c>
      <c r="C2986" s="61" t="s">
        <v>6466</v>
      </c>
      <c r="D2986" s="61" t="s">
        <v>159</v>
      </c>
      <c r="E2986" s="61">
        <v>1081</v>
      </c>
      <c r="F2986" s="61">
        <v>1142</v>
      </c>
      <c r="G2986" s="61">
        <v>2025</v>
      </c>
      <c r="H2986" s="61" t="s">
        <v>3127</v>
      </c>
      <c r="I2986" s="471" t="s">
        <v>42</v>
      </c>
      <c r="J2986" s="471" t="s">
        <v>163</v>
      </c>
      <c r="K2986" s="61" t="s">
        <v>2393</v>
      </c>
      <c r="L2986" s="61" t="s">
        <v>9398</v>
      </c>
      <c r="M2986" s="502">
        <v>45909</v>
      </c>
      <c r="N2986" s="502">
        <v>45915</v>
      </c>
      <c r="O2986" s="502">
        <v>45916</v>
      </c>
      <c r="P2986" s="502">
        <v>45917</v>
      </c>
      <c r="Q2986" s="502">
        <v>45917</v>
      </c>
      <c r="R2986" s="61">
        <f t="shared" si="205"/>
        <v>4</v>
      </c>
      <c r="S2986" s="61">
        <f t="shared" si="207"/>
        <v>1</v>
      </c>
      <c r="T2986" s="61">
        <f t="shared" si="208"/>
        <v>1</v>
      </c>
      <c r="U2986" s="61">
        <f t="shared" si="206"/>
        <v>1</v>
      </c>
      <c r="V2986" s="61" t="s">
        <v>150</v>
      </c>
      <c r="W2986" s="61" t="s">
        <v>1078</v>
      </c>
      <c r="X2986" s="61" t="s">
        <v>50</v>
      </c>
      <c r="Y2986" s="61">
        <v>15.445684</v>
      </c>
      <c r="Z2986" s="61">
        <v>119.929219</v>
      </c>
      <c r="AA2986" s="61" t="s">
        <v>9399</v>
      </c>
      <c r="AB2986" s="61"/>
    </row>
    <row r="2987" spans="1:28" s="2" customFormat="1" ht="28.5">
      <c r="A2987" s="61" t="s">
        <v>780</v>
      </c>
      <c r="B2987" s="61" t="s">
        <v>1221</v>
      </c>
      <c r="C2987" s="61" t="s">
        <v>6469</v>
      </c>
      <c r="D2987" s="61" t="s">
        <v>159</v>
      </c>
      <c r="E2987" s="61">
        <v>740</v>
      </c>
      <c r="F2987" s="61">
        <v>896</v>
      </c>
      <c r="G2987" s="61">
        <v>2025</v>
      </c>
      <c r="H2987" s="61" t="s">
        <v>3127</v>
      </c>
      <c r="I2987" s="471" t="s">
        <v>42</v>
      </c>
      <c r="J2987" s="471" t="s">
        <v>163</v>
      </c>
      <c r="K2987" s="61" t="s">
        <v>2393</v>
      </c>
      <c r="L2987" s="61" t="s">
        <v>9400</v>
      </c>
      <c r="M2987" s="502">
        <v>45909</v>
      </c>
      <c r="N2987" s="502">
        <v>45915</v>
      </c>
      <c r="O2987" s="502">
        <v>45916</v>
      </c>
      <c r="P2987" s="502">
        <v>45917</v>
      </c>
      <c r="Q2987" s="502">
        <v>45917</v>
      </c>
      <c r="R2987" s="61">
        <f t="shared" si="205"/>
        <v>4</v>
      </c>
      <c r="S2987" s="61">
        <f t="shared" si="207"/>
        <v>1</v>
      </c>
      <c r="T2987" s="61">
        <f t="shared" si="208"/>
        <v>1</v>
      </c>
      <c r="U2987" s="61">
        <f t="shared" si="206"/>
        <v>1</v>
      </c>
      <c r="V2987" s="61" t="s">
        <v>150</v>
      </c>
      <c r="W2987" s="61" t="s">
        <v>1078</v>
      </c>
      <c r="X2987" s="61" t="s">
        <v>57</v>
      </c>
      <c r="Y2987" s="61">
        <v>15.434849</v>
      </c>
      <c r="Z2987" s="61">
        <v>119.89885200000001</v>
      </c>
      <c r="AA2987" s="61" t="s">
        <v>9399</v>
      </c>
      <c r="AB2987" s="61"/>
    </row>
    <row r="2988" spans="1:28" s="2" customFormat="1" ht="28.5">
      <c r="A2988" s="61" t="s">
        <v>780</v>
      </c>
      <c r="B2988" s="61" t="s">
        <v>1221</v>
      </c>
      <c r="C2988" s="61" t="s">
        <v>6478</v>
      </c>
      <c r="D2988" s="61" t="s">
        <v>159</v>
      </c>
      <c r="E2988" s="61">
        <v>1791</v>
      </c>
      <c r="F2988" s="61">
        <v>2430</v>
      </c>
      <c r="G2988" s="61">
        <v>2025</v>
      </c>
      <c r="H2988" s="61" t="s">
        <v>3127</v>
      </c>
      <c r="I2988" s="471" t="s">
        <v>42</v>
      </c>
      <c r="J2988" s="471" t="s">
        <v>163</v>
      </c>
      <c r="K2988" s="61" t="s">
        <v>2393</v>
      </c>
      <c r="L2988" s="61" t="s">
        <v>9401</v>
      </c>
      <c r="M2988" s="502">
        <v>45909</v>
      </c>
      <c r="N2988" s="502">
        <v>45917</v>
      </c>
      <c r="O2988" s="502">
        <v>45918</v>
      </c>
      <c r="P2988" s="502">
        <v>45918</v>
      </c>
      <c r="Q2988" s="502">
        <v>45918</v>
      </c>
      <c r="R2988" s="61">
        <f t="shared" si="205"/>
        <v>6</v>
      </c>
      <c r="S2988" s="61">
        <f t="shared" si="207"/>
        <v>1</v>
      </c>
      <c r="T2988" s="61">
        <f t="shared" si="208"/>
        <v>1</v>
      </c>
      <c r="U2988" s="61">
        <f t="shared" si="206"/>
        <v>1</v>
      </c>
      <c r="V2988" s="61" t="s">
        <v>150</v>
      </c>
      <c r="W2988" s="61" t="s">
        <v>1078</v>
      </c>
      <c r="X2988" s="61" t="s">
        <v>57</v>
      </c>
      <c r="Y2988" s="61">
        <v>15.466386</v>
      </c>
      <c r="Z2988" s="61">
        <v>119.96687</v>
      </c>
      <c r="AA2988" s="61" t="s">
        <v>9402</v>
      </c>
      <c r="AB2988" s="61"/>
    </row>
    <row r="2989" spans="1:28" s="2" customFormat="1" ht="28.5">
      <c r="A2989" s="61" t="s">
        <v>780</v>
      </c>
      <c r="B2989" s="61" t="s">
        <v>1221</v>
      </c>
      <c r="C2989" s="61" t="s">
        <v>1222</v>
      </c>
      <c r="D2989" s="61" t="s">
        <v>159</v>
      </c>
      <c r="E2989" s="61">
        <v>4126</v>
      </c>
      <c r="F2989" s="61">
        <v>5130</v>
      </c>
      <c r="G2989" s="61">
        <v>2025</v>
      </c>
      <c r="H2989" s="61" t="s">
        <v>3127</v>
      </c>
      <c r="I2989" s="471" t="s">
        <v>42</v>
      </c>
      <c r="J2989" s="471" t="s">
        <v>163</v>
      </c>
      <c r="K2989" s="61" t="s">
        <v>2393</v>
      </c>
      <c r="L2989" s="61" t="s">
        <v>9403</v>
      </c>
      <c r="M2989" s="502">
        <v>45909</v>
      </c>
      <c r="N2989" s="502">
        <v>45915</v>
      </c>
      <c r="O2989" s="502">
        <v>45916</v>
      </c>
      <c r="P2989" s="502">
        <v>45917</v>
      </c>
      <c r="Q2989" s="502">
        <v>45917</v>
      </c>
      <c r="R2989" s="61">
        <f t="shared" si="205"/>
        <v>4</v>
      </c>
      <c r="S2989" s="61">
        <f t="shared" si="207"/>
        <v>1</v>
      </c>
      <c r="T2989" s="61">
        <f t="shared" si="208"/>
        <v>1</v>
      </c>
      <c r="U2989" s="61">
        <f t="shared" si="206"/>
        <v>1</v>
      </c>
      <c r="V2989" s="61" t="s">
        <v>150</v>
      </c>
      <c r="W2989" s="61" t="s">
        <v>1078</v>
      </c>
      <c r="X2989" s="61" t="s">
        <v>57</v>
      </c>
      <c r="Y2989" s="61">
        <v>15.453108</v>
      </c>
      <c r="Z2989" s="61">
        <v>119.95449600000001</v>
      </c>
      <c r="AA2989" s="61" t="s">
        <v>9402</v>
      </c>
      <c r="AB2989" s="61"/>
    </row>
    <row r="2990" spans="1:28" s="2" customFormat="1" ht="28.5">
      <c r="A2990" s="61" t="s">
        <v>780</v>
      </c>
      <c r="B2990" s="61" t="s">
        <v>1221</v>
      </c>
      <c r="C2990" s="61" t="s">
        <v>6467</v>
      </c>
      <c r="D2990" s="61" t="s">
        <v>159</v>
      </c>
      <c r="E2990" s="61">
        <v>1641</v>
      </c>
      <c r="F2990" s="61">
        <v>1778</v>
      </c>
      <c r="G2990" s="61">
        <v>2025</v>
      </c>
      <c r="H2990" s="61" t="s">
        <v>3127</v>
      </c>
      <c r="I2990" s="471" t="s">
        <v>42</v>
      </c>
      <c r="J2990" s="471" t="s">
        <v>163</v>
      </c>
      <c r="K2990" s="61" t="s">
        <v>2393</v>
      </c>
      <c r="L2990" s="61" t="s">
        <v>9404</v>
      </c>
      <c r="M2990" s="502">
        <v>45909</v>
      </c>
      <c r="N2990" s="502">
        <v>45915</v>
      </c>
      <c r="O2990" s="502">
        <v>45916</v>
      </c>
      <c r="P2990" s="502">
        <v>45917</v>
      </c>
      <c r="Q2990" s="502">
        <v>45917</v>
      </c>
      <c r="R2990" s="61">
        <f t="shared" si="205"/>
        <v>4</v>
      </c>
      <c r="S2990" s="61">
        <f t="shared" si="207"/>
        <v>1</v>
      </c>
      <c r="T2990" s="61">
        <f t="shared" si="208"/>
        <v>1</v>
      </c>
      <c r="U2990" s="61">
        <f t="shared" si="206"/>
        <v>1</v>
      </c>
      <c r="V2990" s="61" t="s">
        <v>150</v>
      </c>
      <c r="W2990" s="61" t="s">
        <v>1078</v>
      </c>
      <c r="X2990" s="61" t="s">
        <v>57</v>
      </c>
      <c r="Y2990" s="61">
        <v>15.434241999999999</v>
      </c>
      <c r="Z2990" s="61">
        <v>119.91158900000001</v>
      </c>
      <c r="AA2990" s="61" t="s">
        <v>9399</v>
      </c>
      <c r="AB2990" s="61"/>
    </row>
    <row r="2991" spans="1:28" s="2" customFormat="1" ht="28.5">
      <c r="A2991" s="61" t="s">
        <v>780</v>
      </c>
      <c r="B2991" s="61" t="s">
        <v>1221</v>
      </c>
      <c r="C2991" s="61" t="s">
        <v>6468</v>
      </c>
      <c r="D2991" s="61" t="s">
        <v>159</v>
      </c>
      <c r="E2991" s="61">
        <v>1369</v>
      </c>
      <c r="F2991" s="61">
        <v>1461</v>
      </c>
      <c r="G2991" s="61">
        <v>2025</v>
      </c>
      <c r="H2991" s="61" t="s">
        <v>3127</v>
      </c>
      <c r="I2991" s="471" t="s">
        <v>42</v>
      </c>
      <c r="J2991" s="471" t="s">
        <v>163</v>
      </c>
      <c r="K2991" s="61" t="s">
        <v>2393</v>
      </c>
      <c r="L2991" s="61" t="s">
        <v>9405</v>
      </c>
      <c r="M2991" s="502">
        <v>45909</v>
      </c>
      <c r="N2991" s="502">
        <v>45915</v>
      </c>
      <c r="O2991" s="502">
        <v>45916</v>
      </c>
      <c r="P2991" s="502">
        <v>45917</v>
      </c>
      <c r="Q2991" s="502">
        <v>45917</v>
      </c>
      <c r="R2991" s="61">
        <f t="shared" si="205"/>
        <v>4</v>
      </c>
      <c r="S2991" s="61">
        <f t="shared" si="207"/>
        <v>1</v>
      </c>
      <c r="T2991" s="61">
        <f t="shared" si="208"/>
        <v>1</v>
      </c>
      <c r="U2991" s="61">
        <f t="shared" si="206"/>
        <v>1</v>
      </c>
      <c r="V2991" s="61" t="s">
        <v>150</v>
      </c>
      <c r="W2991" s="61" t="s">
        <v>3527</v>
      </c>
      <c r="X2991" s="61" t="s">
        <v>3528</v>
      </c>
      <c r="Y2991" s="61" t="s">
        <v>69</v>
      </c>
      <c r="Z2991" s="61" t="s">
        <v>69</v>
      </c>
      <c r="AA2991" s="61" t="s">
        <v>9402</v>
      </c>
      <c r="AB2991" s="61"/>
    </row>
    <row r="2992" spans="1:28" s="2" customFormat="1" ht="28.5">
      <c r="A2992" s="61" t="s">
        <v>780</v>
      </c>
      <c r="B2992" s="61" t="s">
        <v>1221</v>
      </c>
      <c r="C2992" s="61" t="s">
        <v>918</v>
      </c>
      <c r="D2992" s="61" t="s">
        <v>159</v>
      </c>
      <c r="E2992" s="61">
        <v>1209</v>
      </c>
      <c r="F2992" s="61">
        <v>1352</v>
      </c>
      <c r="G2992" s="61">
        <v>2025</v>
      </c>
      <c r="H2992" s="61" t="s">
        <v>3127</v>
      </c>
      <c r="I2992" s="471" t="s">
        <v>42</v>
      </c>
      <c r="J2992" s="471" t="s">
        <v>163</v>
      </c>
      <c r="K2992" s="61" t="s">
        <v>2393</v>
      </c>
      <c r="L2992" s="61" t="s">
        <v>9406</v>
      </c>
      <c r="M2992" s="502">
        <v>45909</v>
      </c>
      <c r="N2992" s="502">
        <v>45915</v>
      </c>
      <c r="O2992" s="502">
        <v>45916</v>
      </c>
      <c r="P2992" s="502">
        <v>45917</v>
      </c>
      <c r="Q2992" s="502">
        <v>45917</v>
      </c>
      <c r="R2992" s="61">
        <f t="shared" si="205"/>
        <v>4</v>
      </c>
      <c r="S2992" s="61">
        <f t="shared" si="207"/>
        <v>1</v>
      </c>
      <c r="T2992" s="61">
        <f t="shared" si="208"/>
        <v>1</v>
      </c>
      <c r="U2992" s="61">
        <f t="shared" si="206"/>
        <v>1</v>
      </c>
      <c r="V2992" s="61" t="s">
        <v>150</v>
      </c>
      <c r="W2992" s="61" t="s">
        <v>3527</v>
      </c>
      <c r="X2992" s="61" t="s">
        <v>3528</v>
      </c>
      <c r="Y2992" s="61" t="s">
        <v>69</v>
      </c>
      <c r="Z2992" s="61" t="s">
        <v>69</v>
      </c>
      <c r="AA2992" s="61" t="s">
        <v>9402</v>
      </c>
      <c r="AB2992" s="61"/>
    </row>
    <row r="2993" spans="1:28" s="2" customFormat="1" ht="15">
      <c r="A2993" s="61" t="s">
        <v>780</v>
      </c>
      <c r="B2993" s="61" t="s">
        <v>1221</v>
      </c>
      <c r="C2993" s="61" t="s">
        <v>5018</v>
      </c>
      <c r="D2993" s="61" t="s">
        <v>159</v>
      </c>
      <c r="E2993" s="61">
        <v>1101</v>
      </c>
      <c r="F2993" s="61">
        <v>1182</v>
      </c>
      <c r="G2993" s="61">
        <v>2025</v>
      </c>
      <c r="H2993" s="61" t="s">
        <v>3127</v>
      </c>
      <c r="I2993" s="471" t="s">
        <v>42</v>
      </c>
      <c r="J2993" s="471" t="s">
        <v>9337</v>
      </c>
      <c r="K2993" s="61" t="s">
        <v>2393</v>
      </c>
      <c r="L2993" s="61" t="s">
        <v>9407</v>
      </c>
      <c r="M2993" s="502">
        <v>45909</v>
      </c>
      <c r="N2993" s="502">
        <v>45915</v>
      </c>
      <c r="O2993" s="502">
        <v>45916</v>
      </c>
      <c r="P2993" s="502">
        <v>45917</v>
      </c>
      <c r="Q2993" s="502">
        <v>45917</v>
      </c>
      <c r="R2993" s="61">
        <f t="shared" si="205"/>
        <v>4</v>
      </c>
      <c r="S2993" s="61">
        <f t="shared" si="207"/>
        <v>1</v>
      </c>
      <c r="T2993" s="61">
        <f t="shared" si="208"/>
        <v>1</v>
      </c>
      <c r="U2993" s="61">
        <f t="shared" si="206"/>
        <v>1</v>
      </c>
      <c r="V2993" s="61" t="s">
        <v>150</v>
      </c>
      <c r="W2993" s="61" t="s">
        <v>3527</v>
      </c>
      <c r="X2993" s="61" t="s">
        <v>3528</v>
      </c>
      <c r="Y2993" s="61" t="s">
        <v>69</v>
      </c>
      <c r="Z2993" s="61" t="s">
        <v>69</v>
      </c>
      <c r="AA2993" s="61" t="s">
        <v>9408</v>
      </c>
      <c r="AB2993" s="61"/>
    </row>
    <row r="2994" spans="1:28" s="2" customFormat="1" ht="28.5">
      <c r="A2994" s="61" t="s">
        <v>780</v>
      </c>
      <c r="B2994" s="61" t="s">
        <v>1221</v>
      </c>
      <c r="C2994" s="61" t="s">
        <v>6462</v>
      </c>
      <c r="D2994" s="61" t="s">
        <v>159</v>
      </c>
      <c r="E2994" s="61">
        <v>672</v>
      </c>
      <c r="F2994" s="61">
        <v>820</v>
      </c>
      <c r="G2994" s="61">
        <v>2025</v>
      </c>
      <c r="H2994" s="61" t="s">
        <v>3416</v>
      </c>
      <c r="I2994" s="471" t="s">
        <v>42</v>
      </c>
      <c r="J2994" s="471" t="s">
        <v>163</v>
      </c>
      <c r="K2994" s="61" t="s">
        <v>2393</v>
      </c>
      <c r="L2994" s="471" t="s">
        <v>9409</v>
      </c>
      <c r="M2994" s="502">
        <v>45716</v>
      </c>
      <c r="N2994" s="502">
        <v>45719</v>
      </c>
      <c r="O2994" s="502">
        <v>45721</v>
      </c>
      <c r="P2994" s="502">
        <v>45721</v>
      </c>
      <c r="Q2994" s="502">
        <v>45727</v>
      </c>
      <c r="R2994" s="61">
        <f t="shared" si="205"/>
        <v>1</v>
      </c>
      <c r="S2994" s="61">
        <f t="shared" si="207"/>
        <v>2</v>
      </c>
      <c r="T2994" s="61">
        <f t="shared" si="208"/>
        <v>1</v>
      </c>
      <c r="U2994" s="61">
        <f t="shared" si="206"/>
        <v>4</v>
      </c>
      <c r="V2994" s="61" t="s">
        <v>150</v>
      </c>
      <c r="W2994" s="61" t="s">
        <v>1078</v>
      </c>
      <c r="X2994" s="61" t="s">
        <v>50</v>
      </c>
      <c r="Y2994" s="61">
        <v>15.4186</v>
      </c>
      <c r="Z2994" s="61">
        <v>119.9128</v>
      </c>
      <c r="AA2994" s="61" t="s">
        <v>9402</v>
      </c>
      <c r="AB2994" s="61"/>
    </row>
    <row r="2995" spans="1:28" s="2" customFormat="1" ht="28.5">
      <c r="A2995" s="61" t="s">
        <v>780</v>
      </c>
      <c r="B2995" s="61" t="s">
        <v>1221</v>
      </c>
      <c r="C2995" s="61" t="s">
        <v>6463</v>
      </c>
      <c r="D2995" s="61" t="s">
        <v>159</v>
      </c>
      <c r="E2995" s="61">
        <v>1912</v>
      </c>
      <c r="F2995" s="61">
        <v>2010</v>
      </c>
      <c r="G2995" s="61">
        <v>2025</v>
      </c>
      <c r="H2995" s="61" t="s">
        <v>3416</v>
      </c>
      <c r="I2995" s="471" t="s">
        <v>42</v>
      </c>
      <c r="J2995" s="471" t="s">
        <v>163</v>
      </c>
      <c r="K2995" s="61" t="s">
        <v>2393</v>
      </c>
      <c r="L2995" s="471" t="s">
        <v>9410</v>
      </c>
      <c r="M2995" s="502">
        <v>45720</v>
      </c>
      <c r="N2995" s="502">
        <v>45725</v>
      </c>
      <c r="O2995" s="502">
        <v>45728</v>
      </c>
      <c r="P2995" s="502">
        <v>45728</v>
      </c>
      <c r="Q2995" s="502">
        <v>45728</v>
      </c>
      <c r="R2995" s="61">
        <f t="shared" si="205"/>
        <v>3</v>
      </c>
      <c r="S2995" s="61">
        <f t="shared" si="207"/>
        <v>2</v>
      </c>
      <c r="T2995" s="61">
        <f t="shared" si="208"/>
        <v>1</v>
      </c>
      <c r="U2995" s="61">
        <f t="shared" si="206"/>
        <v>1</v>
      </c>
      <c r="V2995" s="61" t="s">
        <v>150</v>
      </c>
      <c r="W2995" s="61" t="s">
        <v>1078</v>
      </c>
      <c r="X2995" s="61" t="s">
        <v>50</v>
      </c>
      <c r="Y2995" s="61">
        <v>15.4125</v>
      </c>
      <c r="Z2995" s="61">
        <v>119.91630000000001</v>
      </c>
      <c r="AA2995" s="61" t="s">
        <v>9402</v>
      </c>
      <c r="AB2995" s="61"/>
    </row>
    <row r="2996" spans="1:28" s="2" customFormat="1" ht="28.5">
      <c r="A2996" s="61" t="s">
        <v>780</v>
      </c>
      <c r="B2996" s="61" t="s">
        <v>1221</v>
      </c>
      <c r="C2996" s="61" t="s">
        <v>6470</v>
      </c>
      <c r="D2996" s="61" t="s">
        <v>159</v>
      </c>
      <c r="E2996" s="61">
        <v>3435</v>
      </c>
      <c r="F2996" s="61">
        <v>3613</v>
      </c>
      <c r="G2996" s="61">
        <v>2025</v>
      </c>
      <c r="H2996" s="61" t="s">
        <v>3458</v>
      </c>
      <c r="I2996" s="471" t="s">
        <v>42</v>
      </c>
      <c r="J2996" s="471" t="s">
        <v>163</v>
      </c>
      <c r="K2996" s="61" t="s">
        <v>2393</v>
      </c>
      <c r="L2996" s="471" t="s">
        <v>9411</v>
      </c>
      <c r="M2996" s="502">
        <v>45699</v>
      </c>
      <c r="N2996" s="502">
        <v>45704</v>
      </c>
      <c r="O2996" s="502">
        <v>45705</v>
      </c>
      <c r="P2996" s="502">
        <v>45705</v>
      </c>
      <c r="Q2996" s="502">
        <v>45705</v>
      </c>
      <c r="R2996" s="61">
        <f t="shared" si="205"/>
        <v>3</v>
      </c>
      <c r="S2996" s="61">
        <f t="shared" si="207"/>
        <v>1</v>
      </c>
      <c r="T2996" s="61">
        <f t="shared" si="208"/>
        <v>1</v>
      </c>
      <c r="U2996" s="61">
        <f t="shared" si="206"/>
        <v>1</v>
      </c>
      <c r="V2996" s="61" t="s">
        <v>150</v>
      </c>
      <c r="W2996" s="61" t="s">
        <v>1078</v>
      </c>
      <c r="X2996" s="61" t="s">
        <v>50</v>
      </c>
      <c r="Y2996" s="61"/>
      <c r="Z2996" s="61"/>
      <c r="AA2996" s="61" t="s">
        <v>9402</v>
      </c>
      <c r="AB2996" s="61"/>
    </row>
    <row r="2997" spans="1:28" s="2" customFormat="1" ht="28.5">
      <c r="A2997" s="61" t="s">
        <v>780</v>
      </c>
      <c r="B2997" s="61" t="s">
        <v>1221</v>
      </c>
      <c r="C2997" s="61" t="s">
        <v>6474</v>
      </c>
      <c r="D2997" s="61" t="s">
        <v>159</v>
      </c>
      <c r="E2997" s="61">
        <v>1597</v>
      </c>
      <c r="F2997" s="61">
        <v>1938</v>
      </c>
      <c r="G2997" s="61">
        <v>2025</v>
      </c>
      <c r="H2997" s="61" t="s">
        <v>3458</v>
      </c>
      <c r="I2997" s="471" t="s">
        <v>42</v>
      </c>
      <c r="J2997" s="471" t="s">
        <v>163</v>
      </c>
      <c r="K2997" s="61" t="s">
        <v>2393</v>
      </c>
      <c r="L2997" s="471" t="s">
        <v>9412</v>
      </c>
      <c r="M2997" s="502">
        <v>45699</v>
      </c>
      <c r="N2997" s="502">
        <v>45704</v>
      </c>
      <c r="O2997" s="502">
        <v>45705</v>
      </c>
      <c r="P2997" s="502">
        <v>45705</v>
      </c>
      <c r="Q2997" s="502">
        <v>45705</v>
      </c>
      <c r="R2997" s="61">
        <f t="shared" si="205"/>
        <v>3</v>
      </c>
      <c r="S2997" s="61">
        <f t="shared" si="207"/>
        <v>1</v>
      </c>
      <c r="T2997" s="61">
        <f t="shared" si="208"/>
        <v>1</v>
      </c>
      <c r="U2997" s="61">
        <f t="shared" si="206"/>
        <v>1</v>
      </c>
      <c r="V2997" s="61" t="s">
        <v>150</v>
      </c>
      <c r="W2997" s="61" t="s">
        <v>1078</v>
      </c>
      <c r="X2997" s="61" t="s">
        <v>50</v>
      </c>
      <c r="Y2997" s="61"/>
      <c r="Z2997" s="61"/>
      <c r="AA2997" s="61" t="s">
        <v>9402</v>
      </c>
      <c r="AB2997" s="61"/>
    </row>
    <row r="2998" spans="1:28" s="2" customFormat="1" ht="28.5">
      <c r="A2998" s="61" t="s">
        <v>780</v>
      </c>
      <c r="B2998" s="61" t="s">
        <v>1221</v>
      </c>
      <c r="C2998" s="61" t="s">
        <v>3566</v>
      </c>
      <c r="D2998" s="61" t="s">
        <v>159</v>
      </c>
      <c r="E2998" s="61">
        <v>1384</v>
      </c>
      <c r="F2998" s="61">
        <v>1744</v>
      </c>
      <c r="G2998" s="61">
        <v>2025</v>
      </c>
      <c r="H2998" s="61" t="s">
        <v>3470</v>
      </c>
      <c r="I2998" s="471" t="s">
        <v>42</v>
      </c>
      <c r="J2998" s="471" t="s">
        <v>163</v>
      </c>
      <c r="K2998" s="61" t="s">
        <v>2393</v>
      </c>
      <c r="L2998" s="471" t="s">
        <v>9413</v>
      </c>
      <c r="M2998" s="502">
        <v>45762</v>
      </c>
      <c r="N2998" s="502">
        <v>45762</v>
      </c>
      <c r="O2998" s="502">
        <v>45762</v>
      </c>
      <c r="P2998" s="502">
        <v>45768</v>
      </c>
      <c r="Q2998" s="502">
        <v>45768</v>
      </c>
      <c r="R2998" s="61">
        <f t="shared" si="205"/>
        <v>1</v>
      </c>
      <c r="S2998" s="61">
        <f t="shared" si="207"/>
        <v>1</v>
      </c>
      <c r="T2998" s="61">
        <f t="shared" si="208"/>
        <v>4</v>
      </c>
      <c r="U2998" s="61">
        <f t="shared" si="206"/>
        <v>1</v>
      </c>
      <c r="V2998" s="61" t="s">
        <v>150</v>
      </c>
      <c r="W2998" s="61" t="s">
        <v>1078</v>
      </c>
      <c r="X2998" s="61" t="s">
        <v>57</v>
      </c>
      <c r="Y2998" s="61">
        <v>15.427099999999999</v>
      </c>
      <c r="Z2998" s="61">
        <v>119.9085</v>
      </c>
      <c r="AA2998" s="61" t="s">
        <v>9399</v>
      </c>
      <c r="AB2998" s="61"/>
    </row>
    <row r="2999" spans="1:28" s="2" customFormat="1" ht="28.5">
      <c r="A2999" s="61" t="s">
        <v>780</v>
      </c>
      <c r="B2999" s="61" t="s">
        <v>1221</v>
      </c>
      <c r="C2999" s="61" t="s">
        <v>6480</v>
      </c>
      <c r="D2999" s="61" t="s">
        <v>159</v>
      </c>
      <c r="E2999" s="61">
        <v>1586</v>
      </c>
      <c r="F2999" s="61">
        <v>1858</v>
      </c>
      <c r="G2999" s="61">
        <v>2025</v>
      </c>
      <c r="H2999" s="61" t="s">
        <v>3416</v>
      </c>
      <c r="I2999" s="471" t="s">
        <v>42</v>
      </c>
      <c r="J2999" s="471" t="s">
        <v>163</v>
      </c>
      <c r="K2999" s="61" t="s">
        <v>2393</v>
      </c>
      <c r="L2999" s="471" t="s">
        <v>9414</v>
      </c>
      <c r="M2999" s="502">
        <v>45720</v>
      </c>
      <c r="N2999" s="502">
        <v>45725</v>
      </c>
      <c r="O2999" s="502">
        <v>45728</v>
      </c>
      <c r="P2999" s="502">
        <v>45728</v>
      </c>
      <c r="Q2999" s="502">
        <v>45728</v>
      </c>
      <c r="R2999" s="61">
        <f t="shared" ref="R2999:R3062" si="209">IF(
    OR(ISBLANK(M2999), ISBLANK(N2999)),
    "",
    MAX(1, IF(
        NETWORKDAYS(M2999, N2999) &lt;= 0,
        1,
        NETWORKDAYS(M2999, N2999) - IF(M2999 = N2999, 0, 1)
    ))
)</f>
        <v>3</v>
      </c>
      <c r="S2999" s="61">
        <f t="shared" si="207"/>
        <v>2</v>
      </c>
      <c r="T2999" s="61">
        <f t="shared" si="208"/>
        <v>1</v>
      </c>
      <c r="U2999" s="61">
        <f t="shared" si="206"/>
        <v>1</v>
      </c>
      <c r="V2999" s="61" t="s">
        <v>150</v>
      </c>
      <c r="W2999" s="61" t="s">
        <v>1078</v>
      </c>
      <c r="X2999" s="61" t="s">
        <v>57</v>
      </c>
      <c r="Y2999" s="61">
        <v>15.4543</v>
      </c>
      <c r="Z2999" s="61">
        <v>119.94</v>
      </c>
      <c r="AA2999" s="61" t="s">
        <v>9399</v>
      </c>
      <c r="AB2999" s="61"/>
    </row>
    <row r="3000" spans="1:28" s="2" customFormat="1" ht="28.5">
      <c r="A3000" s="61" t="s">
        <v>780</v>
      </c>
      <c r="B3000" s="61" t="s">
        <v>1221</v>
      </c>
      <c r="C3000" s="61" t="s">
        <v>6472</v>
      </c>
      <c r="D3000" s="61" t="s">
        <v>159</v>
      </c>
      <c r="E3000" s="61">
        <v>2707</v>
      </c>
      <c r="F3000" s="61">
        <v>2906</v>
      </c>
      <c r="G3000" s="61">
        <v>2025</v>
      </c>
      <c r="H3000" s="61" t="s">
        <v>3458</v>
      </c>
      <c r="I3000" s="471" t="s">
        <v>42</v>
      </c>
      <c r="J3000" s="471" t="s">
        <v>163</v>
      </c>
      <c r="K3000" s="61" t="s">
        <v>2393</v>
      </c>
      <c r="L3000" s="471" t="s">
        <v>9415</v>
      </c>
      <c r="M3000" s="502">
        <v>45699</v>
      </c>
      <c r="N3000" s="502">
        <v>45704</v>
      </c>
      <c r="O3000" s="502">
        <v>45705</v>
      </c>
      <c r="P3000" s="502">
        <v>45705</v>
      </c>
      <c r="Q3000" s="502">
        <v>45705</v>
      </c>
      <c r="R3000" s="61">
        <f t="shared" si="209"/>
        <v>3</v>
      </c>
      <c r="S3000" s="61">
        <f t="shared" si="207"/>
        <v>1</v>
      </c>
      <c r="T3000" s="61">
        <f t="shared" si="208"/>
        <v>1</v>
      </c>
      <c r="U3000" s="61">
        <f t="shared" si="206"/>
        <v>1</v>
      </c>
      <c r="V3000" s="61" t="s">
        <v>150</v>
      </c>
      <c r="W3000" s="61" t="s">
        <v>3527</v>
      </c>
      <c r="X3000" s="61" t="s">
        <v>3528</v>
      </c>
      <c r="Y3000" s="61"/>
      <c r="Z3000" s="61"/>
      <c r="AA3000" s="61" t="s">
        <v>9402</v>
      </c>
      <c r="AB3000" s="61"/>
    </row>
    <row r="3001" spans="1:28" s="2" customFormat="1" ht="28.5">
      <c r="A3001" s="61" t="s">
        <v>780</v>
      </c>
      <c r="B3001" s="61" t="s">
        <v>1221</v>
      </c>
      <c r="C3001" s="61" t="s">
        <v>3727</v>
      </c>
      <c r="D3001" s="61" t="s">
        <v>159</v>
      </c>
      <c r="E3001" s="61">
        <v>1739</v>
      </c>
      <c r="F3001" s="61">
        <v>2075</v>
      </c>
      <c r="G3001" s="61">
        <v>2025</v>
      </c>
      <c r="H3001" s="61" t="s">
        <v>3458</v>
      </c>
      <c r="I3001" s="471" t="s">
        <v>42</v>
      </c>
      <c r="J3001" s="471" t="s">
        <v>163</v>
      </c>
      <c r="K3001" s="61" t="s">
        <v>2393</v>
      </c>
      <c r="L3001" s="471" t="s">
        <v>9416</v>
      </c>
      <c r="M3001" s="502">
        <v>45699</v>
      </c>
      <c r="N3001" s="502">
        <v>45704</v>
      </c>
      <c r="O3001" s="502">
        <v>45705</v>
      </c>
      <c r="P3001" s="502">
        <v>45705</v>
      </c>
      <c r="Q3001" s="502">
        <v>45705</v>
      </c>
      <c r="R3001" s="61">
        <f t="shared" si="209"/>
        <v>3</v>
      </c>
      <c r="S3001" s="61">
        <f t="shared" si="207"/>
        <v>1</v>
      </c>
      <c r="T3001" s="61">
        <f t="shared" si="208"/>
        <v>1</v>
      </c>
      <c r="U3001" s="61">
        <f t="shared" si="206"/>
        <v>1</v>
      </c>
      <c r="V3001" s="61" t="s">
        <v>150</v>
      </c>
      <c r="W3001" s="61" t="s">
        <v>3527</v>
      </c>
      <c r="X3001" s="61" t="s">
        <v>3528</v>
      </c>
      <c r="Y3001" s="61"/>
      <c r="Z3001" s="61"/>
      <c r="AA3001" s="61" t="s">
        <v>9399</v>
      </c>
      <c r="AB3001" s="61"/>
    </row>
    <row r="3002" spans="1:28" s="2" customFormat="1" ht="15">
      <c r="A3002" s="61" t="s">
        <v>780</v>
      </c>
      <c r="B3002" s="61" t="s">
        <v>1221</v>
      </c>
      <c r="C3002" s="61" t="s">
        <v>6464</v>
      </c>
      <c r="D3002" s="61" t="s">
        <v>159</v>
      </c>
      <c r="E3002" s="61">
        <v>4939</v>
      </c>
      <c r="F3002" s="61">
        <v>5284</v>
      </c>
      <c r="G3002" s="61"/>
      <c r="H3002" s="61"/>
      <c r="I3002" s="471" t="s">
        <v>42</v>
      </c>
      <c r="J3002" s="61"/>
      <c r="K3002" s="61" t="s">
        <v>2393</v>
      </c>
      <c r="L3002" s="61"/>
      <c r="M3002" s="61"/>
      <c r="N3002" s="475"/>
      <c r="O3002" s="475"/>
      <c r="P3002" s="475"/>
      <c r="Q3002" s="475"/>
      <c r="R3002" s="61" t="str">
        <f t="shared" si="209"/>
        <v/>
      </c>
      <c r="S3002" s="61" t="str">
        <f t="shared" si="207"/>
        <v/>
      </c>
      <c r="T3002" s="61" t="str">
        <f t="shared" si="208"/>
        <v/>
      </c>
      <c r="U3002" s="61" t="str">
        <f t="shared" ref="U3002:U3065" si="210">IF(
    OR(ISBLANK(P3002), ISBLANK(Q3002)),
    "",
    MAX(1, IF(
        NETWORKDAYS(P3002, Q3002) &lt;= 0,
        1,
        NETWORKDAYS(P3002, Q3002) - IF(P3002 = Q3002, 0, 1)
    ))
)</f>
        <v/>
      </c>
      <c r="V3002" s="61"/>
      <c r="W3002" s="61"/>
      <c r="X3002" s="61"/>
      <c r="Y3002" s="61"/>
      <c r="Z3002" s="61"/>
      <c r="AA3002" s="61"/>
      <c r="AB3002" s="61"/>
    </row>
    <row r="3003" spans="1:28" s="2" customFormat="1" ht="15">
      <c r="A3003" s="61" t="s">
        <v>780</v>
      </c>
      <c r="B3003" s="61" t="s">
        <v>1221</v>
      </c>
      <c r="C3003" s="61" t="s">
        <v>6476</v>
      </c>
      <c r="D3003" s="61" t="s">
        <v>159</v>
      </c>
      <c r="E3003" s="61">
        <v>1545</v>
      </c>
      <c r="F3003" s="61">
        <v>1746</v>
      </c>
      <c r="G3003" s="61"/>
      <c r="H3003" s="61"/>
      <c r="I3003" s="471" t="s">
        <v>42</v>
      </c>
      <c r="J3003" s="471"/>
      <c r="K3003" s="61" t="s">
        <v>2393</v>
      </c>
      <c r="L3003" s="471"/>
      <c r="M3003" s="471"/>
      <c r="N3003" s="471"/>
      <c r="O3003" s="471"/>
      <c r="P3003" s="471"/>
      <c r="Q3003" s="471"/>
      <c r="R3003" s="61" t="str">
        <f t="shared" si="209"/>
        <v/>
      </c>
      <c r="S3003" s="61" t="str">
        <f t="shared" si="207"/>
        <v/>
      </c>
      <c r="T3003" s="61" t="str">
        <f t="shared" si="208"/>
        <v/>
      </c>
      <c r="U3003" s="61" t="str">
        <f t="shared" si="210"/>
        <v/>
      </c>
      <c r="V3003" s="61"/>
      <c r="W3003" s="61"/>
      <c r="X3003" s="61"/>
      <c r="Y3003" s="61"/>
      <c r="Z3003" s="61"/>
      <c r="AA3003" s="61"/>
      <c r="AB3003" s="61"/>
    </row>
    <row r="3004" spans="1:28" s="2" customFormat="1" ht="15">
      <c r="A3004" s="61" t="s">
        <v>780</v>
      </c>
      <c r="B3004" s="61" t="s">
        <v>1221</v>
      </c>
      <c r="C3004" s="61" t="s">
        <v>6477</v>
      </c>
      <c r="D3004" s="61" t="s">
        <v>159</v>
      </c>
      <c r="E3004" s="61">
        <v>373</v>
      </c>
      <c r="F3004" s="61">
        <v>419</v>
      </c>
      <c r="G3004" s="61"/>
      <c r="H3004" s="61"/>
      <c r="I3004" s="471" t="s">
        <v>42</v>
      </c>
      <c r="J3004" s="471"/>
      <c r="K3004" s="61" t="s">
        <v>2393</v>
      </c>
      <c r="L3004" s="471"/>
      <c r="M3004" s="471"/>
      <c r="N3004" s="471"/>
      <c r="O3004" s="471"/>
      <c r="P3004" s="471"/>
      <c r="Q3004" s="471"/>
      <c r="R3004" s="61" t="str">
        <f t="shared" si="209"/>
        <v/>
      </c>
      <c r="S3004" s="61" t="str">
        <f t="shared" si="207"/>
        <v/>
      </c>
      <c r="T3004" s="61" t="str">
        <f t="shared" si="208"/>
        <v/>
      </c>
      <c r="U3004" s="61" t="str">
        <f t="shared" si="210"/>
        <v/>
      </c>
      <c r="V3004" s="61"/>
      <c r="W3004" s="61"/>
      <c r="X3004" s="61"/>
      <c r="Y3004" s="61"/>
      <c r="Z3004" s="61"/>
      <c r="AA3004" s="61"/>
      <c r="AB3004" s="61"/>
    </row>
    <row r="3005" spans="1:28" s="2" customFormat="1" ht="28.5">
      <c r="A3005" s="61" t="s">
        <v>780</v>
      </c>
      <c r="B3005" s="61" t="s">
        <v>914</v>
      </c>
      <c r="C3005" s="61" t="s">
        <v>1916</v>
      </c>
      <c r="D3005" s="61" t="s">
        <v>159</v>
      </c>
      <c r="E3005" s="61">
        <v>1854</v>
      </c>
      <c r="F3005" s="61">
        <v>2136</v>
      </c>
      <c r="G3005" s="61">
        <v>2025</v>
      </c>
      <c r="H3005" s="61" t="s">
        <v>3125</v>
      </c>
      <c r="I3005" s="471" t="s">
        <v>42</v>
      </c>
      <c r="J3005" s="471" t="s">
        <v>163</v>
      </c>
      <c r="K3005" s="61" t="s">
        <v>2393</v>
      </c>
      <c r="L3005" s="471" t="s">
        <v>9417</v>
      </c>
      <c r="M3005" s="502">
        <v>45855</v>
      </c>
      <c r="N3005" s="502">
        <v>45856</v>
      </c>
      <c r="O3005" s="502">
        <v>45856</v>
      </c>
      <c r="P3005" s="502">
        <v>45856</v>
      </c>
      <c r="Q3005" s="502">
        <v>45856</v>
      </c>
      <c r="R3005" s="61">
        <f t="shared" si="209"/>
        <v>1</v>
      </c>
      <c r="S3005" s="61">
        <f t="shared" si="207"/>
        <v>1</v>
      </c>
      <c r="T3005" s="61">
        <f t="shared" si="208"/>
        <v>1</v>
      </c>
      <c r="U3005" s="61">
        <f t="shared" si="210"/>
        <v>1</v>
      </c>
      <c r="V3005" s="61" t="s">
        <v>150</v>
      </c>
      <c r="W3005" s="61" t="s">
        <v>4</v>
      </c>
      <c r="X3005" s="61" t="s">
        <v>50</v>
      </c>
      <c r="Y3005" s="61">
        <v>14.937884</v>
      </c>
      <c r="Z3005" s="61">
        <v>120.145158</v>
      </c>
      <c r="AA3005" s="61"/>
      <c r="AB3005" s="61"/>
    </row>
    <row r="3006" spans="1:28" s="2" customFormat="1" ht="28.5">
      <c r="A3006" s="61" t="s">
        <v>780</v>
      </c>
      <c r="B3006" s="61" t="s">
        <v>914</v>
      </c>
      <c r="C3006" s="61" t="s">
        <v>6485</v>
      </c>
      <c r="D3006" s="61" t="s">
        <v>159</v>
      </c>
      <c r="E3006" s="61">
        <v>3573</v>
      </c>
      <c r="F3006" s="61">
        <v>3852</v>
      </c>
      <c r="G3006" s="61">
        <v>2025</v>
      </c>
      <c r="H3006" s="61" t="s">
        <v>3125</v>
      </c>
      <c r="I3006" s="471" t="s">
        <v>42</v>
      </c>
      <c r="J3006" s="471" t="s">
        <v>163</v>
      </c>
      <c r="K3006" s="61" t="s">
        <v>2393</v>
      </c>
      <c r="L3006" s="471" t="s">
        <v>9418</v>
      </c>
      <c r="M3006" s="502">
        <v>45855</v>
      </c>
      <c r="N3006" s="502">
        <v>45856</v>
      </c>
      <c r="O3006" s="502">
        <v>45856</v>
      </c>
      <c r="P3006" s="502">
        <v>45856</v>
      </c>
      <c r="Q3006" s="502">
        <v>45856</v>
      </c>
      <c r="R3006" s="61">
        <f t="shared" si="209"/>
        <v>1</v>
      </c>
      <c r="S3006" s="61">
        <f t="shared" si="207"/>
        <v>1</v>
      </c>
      <c r="T3006" s="61">
        <f t="shared" si="208"/>
        <v>1</v>
      </c>
      <c r="U3006" s="61">
        <f t="shared" si="210"/>
        <v>1</v>
      </c>
      <c r="V3006" s="61" t="s">
        <v>150</v>
      </c>
      <c r="W3006" s="61" t="s">
        <v>4</v>
      </c>
      <c r="X3006" s="61" t="s">
        <v>50</v>
      </c>
      <c r="Y3006" s="61">
        <v>14.9369139</v>
      </c>
      <c r="Z3006" s="61">
        <v>120.08919899999999</v>
      </c>
      <c r="AA3006" s="61"/>
      <c r="AB3006" s="61"/>
    </row>
    <row r="3007" spans="1:28" s="2" customFormat="1" ht="28.5">
      <c r="A3007" s="61" t="s">
        <v>780</v>
      </c>
      <c r="B3007" s="61" t="s">
        <v>914</v>
      </c>
      <c r="C3007" s="61" t="s">
        <v>5065</v>
      </c>
      <c r="D3007" s="61" t="s">
        <v>159</v>
      </c>
      <c r="E3007" s="61">
        <v>1525</v>
      </c>
      <c r="F3007" s="61">
        <v>1671</v>
      </c>
      <c r="G3007" s="61">
        <v>2025</v>
      </c>
      <c r="H3007" s="61" t="s">
        <v>3125</v>
      </c>
      <c r="I3007" s="471" t="s">
        <v>42</v>
      </c>
      <c r="J3007" s="471" t="s">
        <v>163</v>
      </c>
      <c r="K3007" s="61" t="s">
        <v>2393</v>
      </c>
      <c r="L3007" s="471" t="s">
        <v>9419</v>
      </c>
      <c r="M3007" s="502">
        <v>45855</v>
      </c>
      <c r="N3007" s="502">
        <v>45856</v>
      </c>
      <c r="O3007" s="502">
        <v>45856</v>
      </c>
      <c r="P3007" s="502">
        <v>45856</v>
      </c>
      <c r="Q3007" s="502">
        <v>45856</v>
      </c>
      <c r="R3007" s="61">
        <f t="shared" si="209"/>
        <v>1</v>
      </c>
      <c r="S3007" s="61">
        <f t="shared" si="207"/>
        <v>1</v>
      </c>
      <c r="T3007" s="61">
        <f t="shared" si="208"/>
        <v>1</v>
      </c>
      <c r="U3007" s="61">
        <f t="shared" si="210"/>
        <v>1</v>
      </c>
      <c r="V3007" s="61" t="s">
        <v>150</v>
      </c>
      <c r="W3007" s="61" t="s">
        <v>4</v>
      </c>
      <c r="X3007" s="61" t="s">
        <v>50</v>
      </c>
      <c r="Y3007" s="61">
        <v>14.94749</v>
      </c>
      <c r="Z3007" s="61">
        <v>120.155052</v>
      </c>
      <c r="AA3007" s="61"/>
      <c r="AB3007" s="61"/>
    </row>
    <row r="3008" spans="1:28" s="2" customFormat="1" ht="28.5">
      <c r="A3008" s="61" t="s">
        <v>780</v>
      </c>
      <c r="B3008" s="61" t="s">
        <v>914</v>
      </c>
      <c r="C3008" s="61" t="s">
        <v>5659</v>
      </c>
      <c r="D3008" s="61" t="s">
        <v>159</v>
      </c>
      <c r="E3008" s="61">
        <v>2933</v>
      </c>
      <c r="F3008" s="61">
        <v>3223</v>
      </c>
      <c r="G3008" s="61">
        <v>2025</v>
      </c>
      <c r="H3008" s="61" t="s">
        <v>3125</v>
      </c>
      <c r="I3008" s="471" t="s">
        <v>42</v>
      </c>
      <c r="J3008" s="471" t="s">
        <v>163</v>
      </c>
      <c r="K3008" s="61" t="s">
        <v>2393</v>
      </c>
      <c r="L3008" s="471" t="s">
        <v>9420</v>
      </c>
      <c r="M3008" s="502">
        <v>45855</v>
      </c>
      <c r="N3008" s="502">
        <v>45856</v>
      </c>
      <c r="O3008" s="502">
        <v>45856</v>
      </c>
      <c r="P3008" s="502">
        <v>45856</v>
      </c>
      <c r="Q3008" s="502">
        <v>45856</v>
      </c>
      <c r="R3008" s="61">
        <f t="shared" si="209"/>
        <v>1</v>
      </c>
      <c r="S3008" s="61">
        <f t="shared" si="207"/>
        <v>1</v>
      </c>
      <c r="T3008" s="61">
        <f t="shared" si="208"/>
        <v>1</v>
      </c>
      <c r="U3008" s="61">
        <f t="shared" si="210"/>
        <v>1</v>
      </c>
      <c r="V3008" s="61" t="s">
        <v>150</v>
      </c>
      <c r="W3008" s="61" t="s">
        <v>4</v>
      </c>
      <c r="X3008" s="61" t="s">
        <v>50</v>
      </c>
      <c r="Y3008" s="61">
        <v>14.94969</v>
      </c>
      <c r="Z3008" s="61">
        <v>120.08143800000001</v>
      </c>
      <c r="AA3008" s="61"/>
      <c r="AB3008" s="61"/>
    </row>
    <row r="3009" spans="1:28" s="2" customFormat="1" ht="28.5">
      <c r="A3009" s="61" t="s">
        <v>780</v>
      </c>
      <c r="B3009" s="61" t="s">
        <v>914</v>
      </c>
      <c r="C3009" s="61" t="s">
        <v>1550</v>
      </c>
      <c r="D3009" s="61" t="s">
        <v>159</v>
      </c>
      <c r="E3009" s="61">
        <v>2878</v>
      </c>
      <c r="F3009" s="61">
        <v>3476</v>
      </c>
      <c r="G3009" s="61">
        <v>2025</v>
      </c>
      <c r="H3009" s="61" t="s">
        <v>3125</v>
      </c>
      <c r="I3009" s="471" t="s">
        <v>42</v>
      </c>
      <c r="J3009" s="471" t="s">
        <v>163</v>
      </c>
      <c r="K3009" s="61" t="s">
        <v>2393</v>
      </c>
      <c r="L3009" s="471" t="s">
        <v>9421</v>
      </c>
      <c r="M3009" s="502">
        <v>45855</v>
      </c>
      <c r="N3009" s="502">
        <v>45856</v>
      </c>
      <c r="O3009" s="502">
        <v>45856</v>
      </c>
      <c r="P3009" s="502">
        <v>45856</v>
      </c>
      <c r="Q3009" s="502">
        <v>45856</v>
      </c>
      <c r="R3009" s="61">
        <f t="shared" si="209"/>
        <v>1</v>
      </c>
      <c r="S3009" s="61">
        <f t="shared" si="207"/>
        <v>1</v>
      </c>
      <c r="T3009" s="61">
        <f t="shared" si="208"/>
        <v>1</v>
      </c>
      <c r="U3009" s="61">
        <f t="shared" si="210"/>
        <v>1</v>
      </c>
      <c r="V3009" s="61" t="s">
        <v>150</v>
      </c>
      <c r="W3009" s="61" t="s">
        <v>1078</v>
      </c>
      <c r="X3009" s="61" t="s">
        <v>50</v>
      </c>
      <c r="Y3009" s="61">
        <v>14.915252000000001</v>
      </c>
      <c r="Z3009" s="61">
        <v>120.070244</v>
      </c>
      <c r="AA3009" s="61"/>
      <c r="AB3009" s="61"/>
    </row>
    <row r="3010" spans="1:28" s="2" customFormat="1" ht="28.5">
      <c r="A3010" s="61" t="s">
        <v>780</v>
      </c>
      <c r="B3010" s="61" t="s">
        <v>914</v>
      </c>
      <c r="C3010" s="61" t="s">
        <v>1151</v>
      </c>
      <c r="D3010" s="61" t="s">
        <v>159</v>
      </c>
      <c r="E3010" s="61">
        <v>4322</v>
      </c>
      <c r="F3010" s="61">
        <v>4079</v>
      </c>
      <c r="G3010" s="61">
        <v>2025</v>
      </c>
      <c r="H3010" s="61" t="s">
        <v>3125</v>
      </c>
      <c r="I3010" s="471" t="s">
        <v>42</v>
      </c>
      <c r="J3010" s="471" t="s">
        <v>163</v>
      </c>
      <c r="K3010" s="61" t="s">
        <v>2393</v>
      </c>
      <c r="L3010" s="471" t="s">
        <v>9422</v>
      </c>
      <c r="M3010" s="502">
        <v>45855</v>
      </c>
      <c r="N3010" s="502">
        <v>45856</v>
      </c>
      <c r="O3010" s="502">
        <v>45856</v>
      </c>
      <c r="P3010" s="502">
        <v>45856</v>
      </c>
      <c r="Q3010" s="502">
        <v>45856</v>
      </c>
      <c r="R3010" s="61">
        <f t="shared" si="209"/>
        <v>1</v>
      </c>
      <c r="S3010" s="61">
        <f t="shared" si="207"/>
        <v>1</v>
      </c>
      <c r="T3010" s="61">
        <f t="shared" si="208"/>
        <v>1</v>
      </c>
      <c r="U3010" s="61">
        <f t="shared" si="210"/>
        <v>1</v>
      </c>
      <c r="V3010" s="61" t="s">
        <v>150</v>
      </c>
      <c r="W3010" s="61" t="s">
        <v>1078</v>
      </c>
      <c r="X3010" s="61" t="s">
        <v>50</v>
      </c>
      <c r="Y3010" s="61">
        <v>14.951342</v>
      </c>
      <c r="Z3010" s="61">
        <v>120.05917100000001</v>
      </c>
      <c r="AA3010" s="61"/>
      <c r="AB3010" s="61"/>
    </row>
    <row r="3011" spans="1:28" s="2" customFormat="1" ht="15">
      <c r="A3011" s="61" t="s">
        <v>780</v>
      </c>
      <c r="B3011" s="61" t="s">
        <v>914</v>
      </c>
      <c r="C3011" s="61" t="s">
        <v>6483</v>
      </c>
      <c r="D3011" s="61" t="s">
        <v>159</v>
      </c>
      <c r="E3011" s="61">
        <v>1765</v>
      </c>
      <c r="F3011" s="61">
        <v>1940</v>
      </c>
      <c r="G3011" s="61"/>
      <c r="H3011" s="61"/>
      <c r="I3011" s="471"/>
      <c r="J3011" s="471"/>
      <c r="K3011" s="61" t="s">
        <v>2393</v>
      </c>
      <c r="L3011" s="471"/>
      <c r="M3011" s="471"/>
      <c r="N3011" s="471"/>
      <c r="O3011" s="471"/>
      <c r="P3011" s="471"/>
      <c r="Q3011" s="471"/>
      <c r="R3011" s="61" t="str">
        <f t="shared" si="209"/>
        <v/>
      </c>
      <c r="S3011" s="61" t="str">
        <f t="shared" si="207"/>
        <v/>
      </c>
      <c r="T3011" s="61" t="str">
        <f t="shared" si="208"/>
        <v/>
      </c>
      <c r="U3011" s="61" t="str">
        <f t="shared" si="210"/>
        <v/>
      </c>
      <c r="V3011" s="61"/>
      <c r="W3011" s="61"/>
      <c r="X3011" s="61"/>
      <c r="Y3011" s="61"/>
      <c r="Z3011" s="61"/>
      <c r="AA3011" s="61"/>
      <c r="AB3011" s="61"/>
    </row>
    <row r="3012" spans="1:28" s="2" customFormat="1" ht="15">
      <c r="A3012" s="61" t="s">
        <v>780</v>
      </c>
      <c r="B3012" s="61" t="s">
        <v>914</v>
      </c>
      <c r="C3012" s="61" t="s">
        <v>3674</v>
      </c>
      <c r="D3012" s="61" t="s">
        <v>159</v>
      </c>
      <c r="E3012" s="61">
        <v>5215</v>
      </c>
      <c r="F3012" s="61">
        <v>5898</v>
      </c>
      <c r="G3012" s="61"/>
      <c r="H3012" s="61"/>
      <c r="I3012" s="471"/>
      <c r="J3012" s="471"/>
      <c r="K3012" s="61" t="s">
        <v>2393</v>
      </c>
      <c r="L3012" s="471"/>
      <c r="M3012" s="471"/>
      <c r="N3012" s="471"/>
      <c r="O3012" s="471"/>
      <c r="P3012" s="471"/>
      <c r="Q3012" s="471"/>
      <c r="R3012" s="61" t="str">
        <f t="shared" si="209"/>
        <v/>
      </c>
      <c r="S3012" s="61" t="str">
        <f t="shared" si="207"/>
        <v/>
      </c>
      <c r="T3012" s="61" t="str">
        <f t="shared" si="208"/>
        <v/>
      </c>
      <c r="U3012" s="61" t="str">
        <f t="shared" si="210"/>
        <v/>
      </c>
      <c r="V3012" s="61"/>
      <c r="W3012" s="61"/>
      <c r="X3012" s="61"/>
      <c r="Y3012" s="61"/>
      <c r="Z3012" s="61"/>
      <c r="AA3012" s="61"/>
      <c r="AB3012" s="61"/>
    </row>
    <row r="3013" spans="1:28" s="2" customFormat="1" ht="15">
      <c r="A3013" s="61" t="s">
        <v>780</v>
      </c>
      <c r="B3013" s="61" t="s">
        <v>914</v>
      </c>
      <c r="C3013" s="61" t="s">
        <v>6487</v>
      </c>
      <c r="D3013" s="61" t="s">
        <v>159</v>
      </c>
      <c r="E3013" s="61">
        <v>2792</v>
      </c>
      <c r="F3013" s="61">
        <v>2675</v>
      </c>
      <c r="G3013" s="61"/>
      <c r="H3013" s="61"/>
      <c r="I3013" s="471"/>
      <c r="J3013" s="471"/>
      <c r="K3013" s="61" t="s">
        <v>2393</v>
      </c>
      <c r="L3013" s="471"/>
      <c r="M3013" s="471"/>
      <c r="N3013" s="471"/>
      <c r="O3013" s="471"/>
      <c r="P3013" s="471"/>
      <c r="Q3013" s="471"/>
      <c r="R3013" s="61" t="str">
        <f t="shared" si="209"/>
        <v/>
      </c>
      <c r="S3013" s="61" t="str">
        <f t="shared" si="207"/>
        <v/>
      </c>
      <c r="T3013" s="61" t="str">
        <f t="shared" si="208"/>
        <v/>
      </c>
      <c r="U3013" s="61" t="str">
        <f t="shared" si="210"/>
        <v/>
      </c>
      <c r="V3013" s="61"/>
      <c r="W3013" s="61"/>
      <c r="X3013" s="61"/>
      <c r="Y3013" s="61"/>
      <c r="Z3013" s="61"/>
      <c r="AA3013" s="61"/>
      <c r="AB3013" s="61"/>
    </row>
    <row r="3014" spans="1:28" s="2" customFormat="1" ht="15">
      <c r="A3014" s="61" t="s">
        <v>780</v>
      </c>
      <c r="B3014" s="61" t="s">
        <v>914</v>
      </c>
      <c r="C3014" s="61" t="s">
        <v>1299</v>
      </c>
      <c r="D3014" s="61" t="s">
        <v>159</v>
      </c>
      <c r="E3014" s="61">
        <v>568</v>
      </c>
      <c r="F3014" s="61">
        <v>456</v>
      </c>
      <c r="G3014" s="61"/>
      <c r="H3014" s="61"/>
      <c r="I3014" s="471"/>
      <c r="J3014" s="471"/>
      <c r="K3014" s="61" t="s">
        <v>2393</v>
      </c>
      <c r="L3014" s="471"/>
      <c r="M3014" s="471"/>
      <c r="N3014" s="471"/>
      <c r="O3014" s="471"/>
      <c r="P3014" s="471"/>
      <c r="Q3014" s="471"/>
      <c r="R3014" s="61" t="str">
        <f t="shared" si="209"/>
        <v/>
      </c>
      <c r="S3014" s="61" t="str">
        <f t="shared" si="207"/>
        <v/>
      </c>
      <c r="T3014" s="61" t="str">
        <f t="shared" si="208"/>
        <v/>
      </c>
      <c r="U3014" s="61" t="str">
        <f t="shared" si="210"/>
        <v/>
      </c>
      <c r="V3014" s="61"/>
      <c r="W3014" s="61"/>
      <c r="X3014" s="61"/>
      <c r="Y3014" s="61"/>
      <c r="Z3014" s="61"/>
      <c r="AA3014" s="61"/>
      <c r="AB3014" s="61"/>
    </row>
    <row r="3015" spans="1:28" s="2" customFormat="1" ht="15">
      <c r="A3015" s="61" t="s">
        <v>780</v>
      </c>
      <c r="B3015" s="61" t="s">
        <v>914</v>
      </c>
      <c r="C3015" s="61" t="s">
        <v>6490</v>
      </c>
      <c r="D3015" s="61" t="s">
        <v>159</v>
      </c>
      <c r="E3015" s="61">
        <v>931</v>
      </c>
      <c r="F3015" s="61">
        <v>1013</v>
      </c>
      <c r="G3015" s="61"/>
      <c r="H3015" s="61"/>
      <c r="I3015" s="471"/>
      <c r="J3015" s="471"/>
      <c r="K3015" s="61" t="s">
        <v>2393</v>
      </c>
      <c r="L3015" s="471"/>
      <c r="M3015" s="471"/>
      <c r="N3015" s="471"/>
      <c r="O3015" s="471"/>
      <c r="P3015" s="471"/>
      <c r="Q3015" s="471"/>
      <c r="R3015" s="61" t="str">
        <f t="shared" si="209"/>
        <v/>
      </c>
      <c r="S3015" s="61" t="str">
        <f t="shared" si="207"/>
        <v/>
      </c>
      <c r="T3015" s="61" t="str">
        <f t="shared" si="208"/>
        <v/>
      </c>
      <c r="U3015" s="61" t="str">
        <f t="shared" si="210"/>
        <v/>
      </c>
      <c r="V3015" s="61"/>
      <c r="W3015" s="61"/>
      <c r="X3015" s="61"/>
      <c r="Y3015" s="61"/>
      <c r="Z3015" s="61"/>
      <c r="AA3015" s="61"/>
      <c r="AB3015" s="61"/>
    </row>
    <row r="3016" spans="1:28" s="2" customFormat="1" ht="15">
      <c r="A3016" s="61" t="s">
        <v>780</v>
      </c>
      <c r="B3016" s="61" t="s">
        <v>914</v>
      </c>
      <c r="C3016" s="61" t="s">
        <v>3913</v>
      </c>
      <c r="D3016" s="61" t="s">
        <v>159</v>
      </c>
      <c r="E3016" s="61">
        <v>1645</v>
      </c>
      <c r="F3016" s="61">
        <v>1634</v>
      </c>
      <c r="G3016" s="61"/>
      <c r="H3016" s="61"/>
      <c r="I3016" s="471"/>
      <c r="J3016" s="471"/>
      <c r="K3016" s="61" t="s">
        <v>2393</v>
      </c>
      <c r="L3016" s="471"/>
      <c r="M3016" s="471"/>
      <c r="N3016" s="471"/>
      <c r="O3016" s="471"/>
      <c r="P3016" s="471"/>
      <c r="Q3016" s="471"/>
      <c r="R3016" s="61" t="str">
        <f t="shared" si="209"/>
        <v/>
      </c>
      <c r="S3016" s="61" t="str">
        <f t="shared" si="207"/>
        <v/>
      </c>
      <c r="T3016" s="61" t="str">
        <f t="shared" si="208"/>
        <v/>
      </c>
      <c r="U3016" s="61" t="str">
        <f t="shared" si="210"/>
        <v/>
      </c>
      <c r="V3016" s="61"/>
      <c r="W3016" s="61"/>
      <c r="X3016" s="61"/>
      <c r="Y3016" s="61"/>
      <c r="Z3016" s="61"/>
      <c r="AA3016" s="61"/>
      <c r="AB3016" s="61"/>
    </row>
    <row r="3017" spans="1:28" s="2" customFormat="1" ht="15">
      <c r="A3017" s="61" t="s">
        <v>780</v>
      </c>
      <c r="B3017" s="61" t="s">
        <v>914</v>
      </c>
      <c r="C3017" s="61" t="s">
        <v>1170</v>
      </c>
      <c r="D3017" s="61" t="s">
        <v>159</v>
      </c>
      <c r="E3017" s="61">
        <v>1513</v>
      </c>
      <c r="F3017" s="61">
        <v>1552</v>
      </c>
      <c r="G3017" s="61"/>
      <c r="H3017" s="61"/>
      <c r="I3017" s="471"/>
      <c r="J3017" s="471"/>
      <c r="K3017" s="61" t="s">
        <v>2393</v>
      </c>
      <c r="L3017" s="471"/>
      <c r="M3017" s="471"/>
      <c r="N3017" s="471"/>
      <c r="O3017" s="471"/>
      <c r="P3017" s="471"/>
      <c r="Q3017" s="471"/>
      <c r="R3017" s="61" t="str">
        <f t="shared" si="209"/>
        <v/>
      </c>
      <c r="S3017" s="61" t="str">
        <f t="shared" si="207"/>
        <v/>
      </c>
      <c r="T3017" s="61" t="str">
        <f t="shared" si="208"/>
        <v/>
      </c>
      <c r="U3017" s="61" t="str">
        <f t="shared" si="210"/>
        <v/>
      </c>
      <c r="V3017" s="61"/>
      <c r="W3017" s="61"/>
      <c r="X3017" s="61"/>
      <c r="Y3017" s="61"/>
      <c r="Z3017" s="61"/>
      <c r="AA3017" s="61"/>
      <c r="AB3017" s="61"/>
    </row>
    <row r="3018" spans="1:28" s="2" customFormat="1" ht="15">
      <c r="A3018" s="61" t="s">
        <v>780</v>
      </c>
      <c r="B3018" s="61" t="s">
        <v>914</v>
      </c>
      <c r="C3018" s="61" t="s">
        <v>6493</v>
      </c>
      <c r="D3018" s="61" t="s">
        <v>159</v>
      </c>
      <c r="E3018" s="61">
        <v>3147</v>
      </c>
      <c r="F3018" s="61">
        <v>3845</v>
      </c>
      <c r="G3018" s="61"/>
      <c r="H3018" s="61"/>
      <c r="I3018" s="471"/>
      <c r="J3018" s="471"/>
      <c r="K3018" s="61" t="s">
        <v>2393</v>
      </c>
      <c r="L3018" s="471"/>
      <c r="M3018" s="471"/>
      <c r="N3018" s="471"/>
      <c r="O3018" s="471"/>
      <c r="P3018" s="471"/>
      <c r="Q3018" s="471"/>
      <c r="R3018" s="61" t="str">
        <f t="shared" si="209"/>
        <v/>
      </c>
      <c r="S3018" s="61" t="str">
        <f t="shared" si="207"/>
        <v/>
      </c>
      <c r="T3018" s="61" t="str">
        <f t="shared" si="208"/>
        <v/>
      </c>
      <c r="U3018" s="61" t="str">
        <f t="shared" si="210"/>
        <v/>
      </c>
      <c r="V3018" s="61"/>
      <c r="W3018" s="61"/>
      <c r="X3018" s="61"/>
      <c r="Y3018" s="61"/>
      <c r="Z3018" s="61"/>
      <c r="AA3018" s="61"/>
      <c r="AB3018" s="61"/>
    </row>
    <row r="3019" spans="1:28" s="2" customFormat="1" ht="28.5">
      <c r="A3019" s="61" t="s">
        <v>780</v>
      </c>
      <c r="B3019" s="61" t="s">
        <v>1225</v>
      </c>
      <c r="C3019" s="61" t="s">
        <v>6496</v>
      </c>
      <c r="D3019" s="61" t="s">
        <v>159</v>
      </c>
      <c r="E3019" s="61">
        <v>1832</v>
      </c>
      <c r="F3019" s="61">
        <v>1974</v>
      </c>
      <c r="G3019" s="61">
        <v>2025</v>
      </c>
      <c r="H3019" s="61" t="s">
        <v>3470</v>
      </c>
      <c r="I3019" s="471" t="s">
        <v>1212</v>
      </c>
      <c r="J3019" s="471" t="s">
        <v>163</v>
      </c>
      <c r="K3019" s="61" t="s">
        <v>2393</v>
      </c>
      <c r="L3019" s="471" t="s">
        <v>9423</v>
      </c>
      <c r="M3019" s="502">
        <v>45758</v>
      </c>
      <c r="N3019" s="502">
        <v>45761</v>
      </c>
      <c r="O3019" s="502">
        <v>45762</v>
      </c>
      <c r="P3019" s="502">
        <v>45768</v>
      </c>
      <c r="Q3019" s="502">
        <v>45768</v>
      </c>
      <c r="R3019" s="61">
        <f t="shared" si="209"/>
        <v>1</v>
      </c>
      <c r="S3019" s="61">
        <f t="shared" ref="S3019:S3082" si="211">IF(
    OR(ISBLANK(N3019), ISBLANK(O3019)),
    "",
    MAX(1, IF(
        NETWORKDAYS(N3019, O3019) &lt;= 0,
        1,
        NETWORKDAYS(N3019, O3019) - IF(N3019 = O3019, 0, 1)
    ))
)</f>
        <v>1</v>
      </c>
      <c r="T3019" s="61">
        <f t="shared" si="208"/>
        <v>4</v>
      </c>
      <c r="U3019" s="61">
        <f t="shared" si="210"/>
        <v>1</v>
      </c>
      <c r="V3019" s="61" t="s">
        <v>150</v>
      </c>
      <c r="W3019" s="61" t="s">
        <v>4</v>
      </c>
      <c r="X3019" s="61" t="s">
        <v>50</v>
      </c>
      <c r="Y3019" s="61">
        <v>15.052300000000001</v>
      </c>
      <c r="Z3019" s="61">
        <v>120.0748</v>
      </c>
      <c r="AA3019" s="61" t="s">
        <v>404</v>
      </c>
      <c r="AB3019" s="61"/>
    </row>
    <row r="3020" spans="1:28" s="2" customFormat="1" ht="28.5">
      <c r="A3020" s="61" t="s">
        <v>780</v>
      </c>
      <c r="B3020" s="61" t="s">
        <v>1225</v>
      </c>
      <c r="C3020" s="61" t="s">
        <v>1155</v>
      </c>
      <c r="D3020" s="61" t="s">
        <v>159</v>
      </c>
      <c r="E3020" s="61">
        <v>1296</v>
      </c>
      <c r="F3020" s="61">
        <v>1167</v>
      </c>
      <c r="G3020" s="61">
        <v>2025</v>
      </c>
      <c r="H3020" s="61" t="s">
        <v>3532</v>
      </c>
      <c r="I3020" s="471" t="s">
        <v>1212</v>
      </c>
      <c r="J3020" s="471" t="s">
        <v>163</v>
      </c>
      <c r="K3020" s="61" t="s">
        <v>2393</v>
      </c>
      <c r="L3020" s="471" t="s">
        <v>9424</v>
      </c>
      <c r="M3020" s="502">
        <v>45793</v>
      </c>
      <c r="N3020" s="502">
        <v>45796</v>
      </c>
      <c r="O3020" s="502">
        <v>45797</v>
      </c>
      <c r="P3020" s="502">
        <v>45797</v>
      </c>
      <c r="Q3020" s="502">
        <v>45797</v>
      </c>
      <c r="R3020" s="61">
        <f t="shared" si="209"/>
        <v>1</v>
      </c>
      <c r="S3020" s="61">
        <f t="shared" si="211"/>
        <v>1</v>
      </c>
      <c r="T3020" s="61">
        <f t="shared" si="208"/>
        <v>1</v>
      </c>
      <c r="U3020" s="61">
        <f t="shared" si="210"/>
        <v>1</v>
      </c>
      <c r="V3020" s="61" t="s">
        <v>150</v>
      </c>
      <c r="W3020" s="61" t="s">
        <v>4</v>
      </c>
      <c r="X3020" s="61" t="s">
        <v>50</v>
      </c>
      <c r="Y3020" s="61">
        <v>15.054600000000001</v>
      </c>
      <c r="Z3020" s="61">
        <v>120.06789999999999</v>
      </c>
      <c r="AA3020" s="61" t="s">
        <v>404</v>
      </c>
      <c r="AB3020" s="61" t="s">
        <v>9425</v>
      </c>
    </row>
    <row r="3021" spans="1:28" s="2" customFormat="1" ht="28.5">
      <c r="A3021" s="61" t="s">
        <v>780</v>
      </c>
      <c r="B3021" s="61" t="s">
        <v>1225</v>
      </c>
      <c r="C3021" s="61" t="s">
        <v>3727</v>
      </c>
      <c r="D3021" s="61" t="s">
        <v>159</v>
      </c>
      <c r="E3021" s="61">
        <v>4307</v>
      </c>
      <c r="F3021" s="61">
        <v>4896</v>
      </c>
      <c r="G3021" s="61">
        <v>2025</v>
      </c>
      <c r="H3021" s="61" t="s">
        <v>3532</v>
      </c>
      <c r="I3021" s="471" t="s">
        <v>1212</v>
      </c>
      <c r="J3021" s="471" t="s">
        <v>163</v>
      </c>
      <c r="K3021" s="61" t="s">
        <v>2393</v>
      </c>
      <c r="L3021" s="471" t="s">
        <v>9426</v>
      </c>
      <c r="M3021" s="502">
        <v>45793</v>
      </c>
      <c r="N3021" s="502">
        <v>45796</v>
      </c>
      <c r="O3021" s="502">
        <v>45797</v>
      </c>
      <c r="P3021" s="502">
        <v>45797</v>
      </c>
      <c r="Q3021" s="502">
        <v>45797</v>
      </c>
      <c r="R3021" s="61">
        <f t="shared" si="209"/>
        <v>1</v>
      </c>
      <c r="S3021" s="61">
        <f t="shared" si="211"/>
        <v>1</v>
      </c>
      <c r="T3021" s="61">
        <f t="shared" si="208"/>
        <v>1</v>
      </c>
      <c r="U3021" s="61">
        <f t="shared" si="210"/>
        <v>1</v>
      </c>
      <c r="V3021" s="61" t="s">
        <v>150</v>
      </c>
      <c r="W3021" s="61" t="s">
        <v>1078</v>
      </c>
      <c r="X3021" s="61" t="s">
        <v>50</v>
      </c>
      <c r="Y3021" s="61">
        <v>15.0603</v>
      </c>
      <c r="Z3021" s="61">
        <v>120.0616</v>
      </c>
      <c r="AA3021" s="61" t="s">
        <v>404</v>
      </c>
      <c r="AB3021" s="61"/>
    </row>
    <row r="3022" spans="1:28" s="2" customFormat="1" ht="15">
      <c r="A3022" s="61" t="s">
        <v>780</v>
      </c>
      <c r="B3022" s="61" t="s">
        <v>1225</v>
      </c>
      <c r="C3022" s="61" t="s">
        <v>6494</v>
      </c>
      <c r="D3022" s="61" t="s">
        <v>159</v>
      </c>
      <c r="E3022" s="61">
        <v>1259</v>
      </c>
      <c r="F3022" s="61">
        <v>1282</v>
      </c>
      <c r="G3022" s="61"/>
      <c r="H3022" s="61"/>
      <c r="I3022" s="471"/>
      <c r="J3022" s="471"/>
      <c r="K3022" s="61" t="s">
        <v>2393</v>
      </c>
      <c r="L3022" s="471"/>
      <c r="M3022" s="471"/>
      <c r="N3022" s="471"/>
      <c r="O3022" s="471"/>
      <c r="P3022" s="471"/>
      <c r="Q3022" s="471"/>
      <c r="R3022" s="61" t="str">
        <f t="shared" si="209"/>
        <v/>
      </c>
      <c r="S3022" s="61" t="str">
        <f t="shared" si="211"/>
        <v/>
      </c>
      <c r="T3022" s="61" t="str">
        <f t="shared" si="208"/>
        <v/>
      </c>
      <c r="U3022" s="61" t="str">
        <f t="shared" si="210"/>
        <v/>
      </c>
      <c r="V3022" s="61"/>
      <c r="W3022" s="61"/>
      <c r="X3022" s="61"/>
      <c r="Y3022" s="61"/>
      <c r="Z3022" s="61"/>
      <c r="AA3022" s="61"/>
      <c r="AB3022" s="61"/>
    </row>
    <row r="3023" spans="1:28" s="2" customFormat="1" ht="15">
      <c r="A3023" s="61" t="s">
        <v>780</v>
      </c>
      <c r="B3023" s="61" t="s">
        <v>1225</v>
      </c>
      <c r="C3023" s="61" t="s">
        <v>6498</v>
      </c>
      <c r="D3023" s="61" t="s">
        <v>159</v>
      </c>
      <c r="E3023" s="61">
        <v>1027</v>
      </c>
      <c r="F3023" s="61">
        <v>1178</v>
      </c>
      <c r="G3023" s="61"/>
      <c r="H3023" s="61"/>
      <c r="I3023" s="471"/>
      <c r="J3023" s="471"/>
      <c r="K3023" s="61" t="s">
        <v>2393</v>
      </c>
      <c r="L3023" s="471"/>
      <c r="M3023" s="471"/>
      <c r="N3023" s="471"/>
      <c r="O3023" s="471"/>
      <c r="P3023" s="471"/>
      <c r="Q3023" s="471"/>
      <c r="R3023" s="61" t="str">
        <f t="shared" si="209"/>
        <v/>
      </c>
      <c r="S3023" s="61" t="str">
        <f t="shared" si="211"/>
        <v/>
      </c>
      <c r="T3023" s="61" t="str">
        <f t="shared" si="208"/>
        <v/>
      </c>
      <c r="U3023" s="61" t="str">
        <f t="shared" si="210"/>
        <v/>
      </c>
      <c r="V3023" s="61"/>
      <c r="W3023" s="61"/>
      <c r="X3023" s="61"/>
      <c r="Y3023" s="61"/>
      <c r="Z3023" s="61"/>
      <c r="AA3023" s="61"/>
      <c r="AB3023" s="61"/>
    </row>
    <row r="3024" spans="1:28" s="2" customFormat="1" ht="15">
      <c r="A3024" s="61" t="s">
        <v>780</v>
      </c>
      <c r="B3024" s="61" t="s">
        <v>1225</v>
      </c>
      <c r="C3024" s="61" t="s">
        <v>6500</v>
      </c>
      <c r="D3024" s="61" t="s">
        <v>159</v>
      </c>
      <c r="E3024" s="61">
        <v>1672</v>
      </c>
      <c r="F3024" s="61">
        <v>1824</v>
      </c>
      <c r="G3024" s="61"/>
      <c r="H3024" s="61"/>
      <c r="I3024" s="471"/>
      <c r="J3024" s="471"/>
      <c r="K3024" s="61" t="s">
        <v>2393</v>
      </c>
      <c r="L3024" s="471"/>
      <c r="M3024" s="471"/>
      <c r="N3024" s="471"/>
      <c r="O3024" s="471"/>
      <c r="P3024" s="471"/>
      <c r="Q3024" s="471"/>
      <c r="R3024" s="61" t="str">
        <f t="shared" si="209"/>
        <v/>
      </c>
      <c r="S3024" s="61" t="str">
        <f t="shared" si="211"/>
        <v/>
      </c>
      <c r="T3024" s="61" t="str">
        <f t="shared" si="208"/>
        <v/>
      </c>
      <c r="U3024" s="61" t="str">
        <f t="shared" si="210"/>
        <v/>
      </c>
      <c r="V3024" s="61"/>
      <c r="W3024" s="61"/>
      <c r="X3024" s="61"/>
      <c r="Y3024" s="61"/>
      <c r="Z3024" s="61"/>
      <c r="AA3024" s="61"/>
      <c r="AB3024" s="61"/>
    </row>
    <row r="3025" spans="1:28" s="2" customFormat="1" ht="15">
      <c r="A3025" s="61" t="s">
        <v>780</v>
      </c>
      <c r="B3025" s="61" t="s">
        <v>1225</v>
      </c>
      <c r="C3025" s="61" t="s">
        <v>6501</v>
      </c>
      <c r="D3025" s="61" t="s">
        <v>159</v>
      </c>
      <c r="E3025" s="61">
        <v>974</v>
      </c>
      <c r="F3025" s="61">
        <v>1093</v>
      </c>
      <c r="G3025" s="61"/>
      <c r="H3025" s="61"/>
      <c r="I3025" s="471"/>
      <c r="J3025" s="471"/>
      <c r="K3025" s="61" t="s">
        <v>2393</v>
      </c>
      <c r="L3025" s="471"/>
      <c r="M3025" s="471"/>
      <c r="N3025" s="471"/>
      <c r="O3025" s="471"/>
      <c r="P3025" s="471"/>
      <c r="Q3025" s="471"/>
      <c r="R3025" s="61" t="str">
        <f t="shared" si="209"/>
        <v/>
      </c>
      <c r="S3025" s="61" t="str">
        <f t="shared" si="211"/>
        <v/>
      </c>
      <c r="T3025" s="61" t="str">
        <f t="shared" si="208"/>
        <v/>
      </c>
      <c r="U3025" s="61" t="str">
        <f t="shared" si="210"/>
        <v/>
      </c>
      <c r="V3025" s="61"/>
      <c r="W3025" s="61"/>
      <c r="X3025" s="61"/>
      <c r="Y3025" s="61"/>
      <c r="Z3025" s="61"/>
      <c r="AA3025" s="61"/>
      <c r="AB3025" s="61"/>
    </row>
    <row r="3026" spans="1:28" s="2" customFormat="1" ht="15">
      <c r="A3026" s="61" t="s">
        <v>780</v>
      </c>
      <c r="B3026" s="61" t="s">
        <v>1225</v>
      </c>
      <c r="C3026" s="61" t="s">
        <v>6503</v>
      </c>
      <c r="D3026" s="61" t="s">
        <v>159</v>
      </c>
      <c r="E3026" s="61">
        <v>5290</v>
      </c>
      <c r="F3026" s="61">
        <v>6048</v>
      </c>
      <c r="G3026" s="61"/>
      <c r="H3026" s="61"/>
      <c r="I3026" s="471"/>
      <c r="J3026" s="471"/>
      <c r="K3026" s="61" t="s">
        <v>2393</v>
      </c>
      <c r="L3026" s="471"/>
      <c r="M3026" s="471"/>
      <c r="N3026" s="471"/>
      <c r="O3026" s="471"/>
      <c r="P3026" s="471"/>
      <c r="Q3026" s="471"/>
      <c r="R3026" s="61" t="str">
        <f t="shared" si="209"/>
        <v/>
      </c>
      <c r="S3026" s="61" t="str">
        <f t="shared" si="211"/>
        <v/>
      </c>
      <c r="T3026" s="61" t="str">
        <f t="shared" si="208"/>
        <v/>
      </c>
      <c r="U3026" s="61" t="str">
        <f t="shared" si="210"/>
        <v/>
      </c>
      <c r="V3026" s="61"/>
      <c r="W3026" s="61"/>
      <c r="X3026" s="61"/>
      <c r="Y3026" s="61"/>
      <c r="Z3026" s="61"/>
      <c r="AA3026" s="61"/>
      <c r="AB3026" s="61"/>
    </row>
    <row r="3027" spans="1:28" s="2" customFormat="1" ht="15">
      <c r="A3027" s="61" t="s">
        <v>780</v>
      </c>
      <c r="B3027" s="61" t="s">
        <v>1225</v>
      </c>
      <c r="C3027" s="61" t="s">
        <v>6504</v>
      </c>
      <c r="D3027" s="61" t="s">
        <v>159</v>
      </c>
      <c r="E3027" s="61">
        <v>1723</v>
      </c>
      <c r="F3027" s="61">
        <v>1742</v>
      </c>
      <c r="G3027" s="61"/>
      <c r="H3027" s="61"/>
      <c r="I3027" s="471"/>
      <c r="J3027" s="471"/>
      <c r="K3027" s="61" t="s">
        <v>2393</v>
      </c>
      <c r="L3027" s="471"/>
      <c r="M3027" s="471"/>
      <c r="N3027" s="471"/>
      <c r="O3027" s="471"/>
      <c r="P3027" s="471"/>
      <c r="Q3027" s="471"/>
      <c r="R3027" s="61" t="str">
        <f t="shared" si="209"/>
        <v/>
      </c>
      <c r="S3027" s="61" t="str">
        <f t="shared" si="211"/>
        <v/>
      </c>
      <c r="T3027" s="61" t="str">
        <f t="shared" si="208"/>
        <v/>
      </c>
      <c r="U3027" s="61" t="str">
        <f t="shared" si="210"/>
        <v/>
      </c>
      <c r="V3027" s="61"/>
      <c r="W3027" s="61"/>
      <c r="X3027" s="61"/>
      <c r="Y3027" s="61"/>
      <c r="Z3027" s="61"/>
      <c r="AA3027" s="61"/>
      <c r="AB3027" s="61"/>
    </row>
    <row r="3028" spans="1:28" s="2" customFormat="1" ht="15">
      <c r="A3028" s="61" t="s">
        <v>780</v>
      </c>
      <c r="B3028" s="61" t="s">
        <v>1225</v>
      </c>
      <c r="C3028" s="61" t="s">
        <v>6507</v>
      </c>
      <c r="D3028" s="61" t="s">
        <v>159</v>
      </c>
      <c r="E3028" s="61">
        <v>1520</v>
      </c>
      <c r="F3028" s="61">
        <v>1509</v>
      </c>
      <c r="G3028" s="61"/>
      <c r="H3028" s="61"/>
      <c r="I3028" s="471"/>
      <c r="J3028" s="471"/>
      <c r="K3028" s="61" t="s">
        <v>2393</v>
      </c>
      <c r="L3028" s="471"/>
      <c r="M3028" s="471"/>
      <c r="N3028" s="471"/>
      <c r="O3028" s="471"/>
      <c r="P3028" s="471"/>
      <c r="Q3028" s="471"/>
      <c r="R3028" s="61" t="str">
        <f t="shared" si="209"/>
        <v/>
      </c>
      <c r="S3028" s="61" t="str">
        <f t="shared" si="211"/>
        <v/>
      </c>
      <c r="T3028" s="61" t="str">
        <f t="shared" si="208"/>
        <v/>
      </c>
      <c r="U3028" s="61" t="str">
        <f t="shared" si="210"/>
        <v/>
      </c>
      <c r="V3028" s="61"/>
      <c r="W3028" s="61"/>
      <c r="X3028" s="61"/>
      <c r="Y3028" s="61"/>
      <c r="Z3028" s="61"/>
      <c r="AA3028" s="61"/>
      <c r="AB3028" s="61"/>
    </row>
    <row r="3029" spans="1:28" s="2" customFormat="1" ht="15">
      <c r="A3029" s="61" t="s">
        <v>780</v>
      </c>
      <c r="B3029" s="61" t="s">
        <v>1225</v>
      </c>
      <c r="C3029" s="61" t="s">
        <v>6510</v>
      </c>
      <c r="D3029" s="61" t="s">
        <v>159</v>
      </c>
      <c r="E3029" s="61">
        <v>2283</v>
      </c>
      <c r="F3029" s="61">
        <v>2320</v>
      </c>
      <c r="G3029" s="61"/>
      <c r="H3029" s="61"/>
      <c r="I3029" s="471"/>
      <c r="J3029" s="471"/>
      <c r="K3029" s="61" t="s">
        <v>2393</v>
      </c>
      <c r="L3029" s="471"/>
      <c r="M3029" s="471"/>
      <c r="N3029" s="471"/>
      <c r="O3029" s="471"/>
      <c r="P3029" s="471"/>
      <c r="Q3029" s="471"/>
      <c r="R3029" s="61" t="str">
        <f t="shared" si="209"/>
        <v/>
      </c>
      <c r="S3029" s="61" t="str">
        <f t="shared" si="211"/>
        <v/>
      </c>
      <c r="T3029" s="61" t="str">
        <f t="shared" si="208"/>
        <v/>
      </c>
      <c r="U3029" s="61" t="str">
        <f t="shared" si="210"/>
        <v/>
      </c>
      <c r="V3029" s="61"/>
      <c r="W3029" s="61"/>
      <c r="X3029" s="61"/>
      <c r="Y3029" s="61"/>
      <c r="Z3029" s="61"/>
      <c r="AA3029" s="61"/>
      <c r="AB3029" s="61"/>
    </row>
    <row r="3030" spans="1:28" s="2" customFormat="1" ht="15">
      <c r="A3030" s="61" t="s">
        <v>780</v>
      </c>
      <c r="B3030" s="61" t="s">
        <v>1556</v>
      </c>
      <c r="C3030" s="61" t="s">
        <v>6512</v>
      </c>
      <c r="D3030" s="61" t="s">
        <v>159</v>
      </c>
      <c r="E3030" s="61">
        <v>1939</v>
      </c>
      <c r="F3030" s="61">
        <v>2380</v>
      </c>
      <c r="G3030" s="61"/>
      <c r="H3030" s="61"/>
      <c r="I3030" s="471"/>
      <c r="J3030" s="471"/>
      <c r="K3030" s="61" t="s">
        <v>2393</v>
      </c>
      <c r="L3030" s="471"/>
      <c r="M3030" s="471"/>
      <c r="N3030" s="471"/>
      <c r="O3030" s="471"/>
      <c r="P3030" s="471"/>
      <c r="Q3030" s="471"/>
      <c r="R3030" s="61" t="str">
        <f t="shared" si="209"/>
        <v/>
      </c>
      <c r="S3030" s="61" t="str">
        <f t="shared" si="211"/>
        <v/>
      </c>
      <c r="T3030" s="61" t="str">
        <f t="shared" si="208"/>
        <v/>
      </c>
      <c r="U3030" s="61" t="str">
        <f t="shared" si="210"/>
        <v/>
      </c>
      <c r="V3030" s="61"/>
      <c r="W3030" s="61"/>
      <c r="X3030" s="61"/>
      <c r="Y3030" s="61"/>
      <c r="Z3030" s="61"/>
      <c r="AA3030" s="61"/>
      <c r="AB3030" s="61"/>
    </row>
    <row r="3031" spans="1:28" s="2" customFormat="1" ht="15">
      <c r="A3031" s="61" t="s">
        <v>780</v>
      </c>
      <c r="B3031" s="61" t="s">
        <v>1556</v>
      </c>
      <c r="C3031" s="61" t="s">
        <v>6513</v>
      </c>
      <c r="D3031" s="61" t="s">
        <v>159</v>
      </c>
      <c r="E3031" s="61">
        <v>2803</v>
      </c>
      <c r="F3031" s="61">
        <v>3256</v>
      </c>
      <c r="G3031" s="61"/>
      <c r="H3031" s="61"/>
      <c r="I3031" s="471"/>
      <c r="J3031" s="471"/>
      <c r="K3031" s="61" t="s">
        <v>2393</v>
      </c>
      <c r="L3031" s="471"/>
      <c r="M3031" s="471"/>
      <c r="N3031" s="471"/>
      <c r="O3031" s="471"/>
      <c r="P3031" s="471"/>
      <c r="Q3031" s="471"/>
      <c r="R3031" s="61" t="str">
        <f t="shared" si="209"/>
        <v/>
      </c>
      <c r="S3031" s="61" t="str">
        <f t="shared" si="211"/>
        <v/>
      </c>
      <c r="T3031" s="61" t="str">
        <f t="shared" si="208"/>
        <v/>
      </c>
      <c r="U3031" s="61" t="str">
        <f t="shared" si="210"/>
        <v/>
      </c>
      <c r="V3031" s="61"/>
      <c r="W3031" s="61"/>
      <c r="X3031" s="61"/>
      <c r="Y3031" s="61"/>
      <c r="Z3031" s="61"/>
      <c r="AA3031" s="61"/>
      <c r="AB3031" s="61"/>
    </row>
    <row r="3032" spans="1:28" s="2" customFormat="1" ht="15">
      <c r="A3032" s="61" t="s">
        <v>780</v>
      </c>
      <c r="B3032" s="61" t="s">
        <v>1556</v>
      </c>
      <c r="C3032" s="61" t="s">
        <v>3674</v>
      </c>
      <c r="D3032" s="61" t="s">
        <v>159</v>
      </c>
      <c r="E3032" s="61">
        <v>2060</v>
      </c>
      <c r="F3032" s="61">
        <v>2155</v>
      </c>
      <c r="G3032" s="61"/>
      <c r="H3032" s="61"/>
      <c r="I3032" s="471"/>
      <c r="J3032" s="471"/>
      <c r="K3032" s="61" t="s">
        <v>2393</v>
      </c>
      <c r="L3032" s="471"/>
      <c r="M3032" s="471"/>
      <c r="N3032" s="471"/>
      <c r="O3032" s="471"/>
      <c r="P3032" s="471"/>
      <c r="Q3032" s="471"/>
      <c r="R3032" s="61" t="str">
        <f t="shared" si="209"/>
        <v/>
      </c>
      <c r="S3032" s="61" t="str">
        <f t="shared" si="211"/>
        <v/>
      </c>
      <c r="T3032" s="61" t="str">
        <f t="shared" si="208"/>
        <v/>
      </c>
      <c r="U3032" s="61" t="str">
        <f t="shared" si="210"/>
        <v/>
      </c>
      <c r="V3032" s="61"/>
      <c r="W3032" s="61"/>
      <c r="X3032" s="61"/>
      <c r="Y3032" s="61"/>
      <c r="Z3032" s="61"/>
      <c r="AA3032" s="61"/>
      <c r="AB3032" s="61"/>
    </row>
    <row r="3033" spans="1:28" s="2" customFormat="1" ht="15">
      <c r="A3033" s="61" t="s">
        <v>780</v>
      </c>
      <c r="B3033" s="61" t="s">
        <v>1556</v>
      </c>
      <c r="C3033" s="61" t="s">
        <v>6514</v>
      </c>
      <c r="D3033" s="61" t="s">
        <v>159</v>
      </c>
      <c r="E3033" s="61">
        <v>761</v>
      </c>
      <c r="F3033" s="61">
        <v>694</v>
      </c>
      <c r="G3033" s="61"/>
      <c r="H3033" s="61"/>
      <c r="I3033" s="471"/>
      <c r="J3033" s="471"/>
      <c r="K3033" s="61" t="s">
        <v>2393</v>
      </c>
      <c r="L3033" s="471"/>
      <c r="M3033" s="471"/>
      <c r="N3033" s="471"/>
      <c r="O3033" s="471"/>
      <c r="P3033" s="471"/>
      <c r="Q3033" s="471"/>
      <c r="R3033" s="61" t="str">
        <f t="shared" si="209"/>
        <v/>
      </c>
      <c r="S3033" s="61" t="str">
        <f t="shared" si="211"/>
        <v/>
      </c>
      <c r="T3033" s="61" t="str">
        <f t="shared" si="208"/>
        <v/>
      </c>
      <c r="U3033" s="61" t="str">
        <f t="shared" si="210"/>
        <v/>
      </c>
      <c r="V3033" s="61"/>
      <c r="W3033" s="61"/>
      <c r="X3033" s="61"/>
      <c r="Y3033" s="61"/>
      <c r="Z3033" s="61"/>
      <c r="AA3033" s="61"/>
      <c r="AB3033" s="61"/>
    </row>
    <row r="3034" spans="1:28" s="2" customFormat="1" ht="15">
      <c r="A3034" s="61" t="s">
        <v>780</v>
      </c>
      <c r="B3034" s="61" t="s">
        <v>1556</v>
      </c>
      <c r="C3034" s="61" t="s">
        <v>6516</v>
      </c>
      <c r="D3034" s="61" t="s">
        <v>159</v>
      </c>
      <c r="E3034" s="61">
        <v>2013</v>
      </c>
      <c r="F3034" s="61">
        <v>2025</v>
      </c>
      <c r="G3034" s="61"/>
      <c r="H3034" s="61"/>
      <c r="I3034" s="471"/>
      <c r="J3034" s="471"/>
      <c r="K3034" s="61" t="s">
        <v>2393</v>
      </c>
      <c r="L3034" s="471"/>
      <c r="M3034" s="471"/>
      <c r="N3034" s="471"/>
      <c r="O3034" s="471"/>
      <c r="P3034" s="471"/>
      <c r="Q3034" s="471"/>
      <c r="R3034" s="61" t="str">
        <f t="shared" si="209"/>
        <v/>
      </c>
      <c r="S3034" s="61" t="str">
        <f t="shared" si="211"/>
        <v/>
      </c>
      <c r="T3034" s="61" t="str">
        <f t="shared" si="208"/>
        <v/>
      </c>
      <c r="U3034" s="61" t="str">
        <f t="shared" si="210"/>
        <v/>
      </c>
      <c r="V3034" s="61"/>
      <c r="W3034" s="61"/>
      <c r="X3034" s="61"/>
      <c r="Y3034" s="61"/>
      <c r="Z3034" s="61"/>
      <c r="AA3034" s="61"/>
      <c r="AB3034" s="61"/>
    </row>
    <row r="3035" spans="1:28" s="2" customFormat="1" ht="15">
      <c r="A3035" s="61" t="s">
        <v>780</v>
      </c>
      <c r="B3035" s="61" t="s">
        <v>1556</v>
      </c>
      <c r="C3035" s="61" t="s">
        <v>6517</v>
      </c>
      <c r="D3035" s="61" t="s">
        <v>159</v>
      </c>
      <c r="E3035" s="61">
        <v>1931</v>
      </c>
      <c r="F3035" s="61">
        <v>2053</v>
      </c>
      <c r="G3035" s="61"/>
      <c r="H3035" s="61"/>
      <c r="I3035" s="471"/>
      <c r="J3035" s="471"/>
      <c r="K3035" s="61" t="s">
        <v>2393</v>
      </c>
      <c r="L3035" s="471"/>
      <c r="M3035" s="471"/>
      <c r="N3035" s="471"/>
      <c r="O3035" s="471"/>
      <c r="P3035" s="471"/>
      <c r="Q3035" s="471"/>
      <c r="R3035" s="61" t="str">
        <f t="shared" si="209"/>
        <v/>
      </c>
      <c r="S3035" s="61" t="str">
        <f t="shared" si="211"/>
        <v/>
      </c>
      <c r="T3035" s="61" t="str">
        <f t="shared" ref="T3035:T3098" si="212">IF(
  OR(A3035 = "Nueva_Ecija", A3035 = "Zambales"),
  IF(
    OR(ISBLANK(O3035), ISBLANK(P3035)),
    "",
    MAX(1, IF(
      NETWORKDAYS(O3035, P3035) &lt;= 0,
      1,
      NETWORKDAYS(O3035, P3035) - IF(O3035 = P3035, 0, 1)
    ))
  ),
  IF(
    OR(ISBLANK(N3035), ISBLANK(P3035)),
    "",
    MAX(1, IF(
      NETWORKDAYS(N3035, P3035) &lt;= 0,
      1,
      NETWORKDAYS(N3035, P3035) - IF(N3035 = P3035, 0, 1)
    ))
  )
)</f>
        <v/>
      </c>
      <c r="U3035" s="61" t="str">
        <f t="shared" si="210"/>
        <v/>
      </c>
      <c r="V3035" s="61"/>
      <c r="W3035" s="61"/>
      <c r="X3035" s="61"/>
      <c r="Y3035" s="61"/>
      <c r="Z3035" s="61"/>
      <c r="AA3035" s="61"/>
      <c r="AB3035" s="61"/>
    </row>
    <row r="3036" spans="1:28" s="2" customFormat="1" ht="15">
      <c r="A3036" s="61" t="s">
        <v>780</v>
      </c>
      <c r="B3036" s="61" t="s">
        <v>1556</v>
      </c>
      <c r="C3036" s="61" t="s">
        <v>6519</v>
      </c>
      <c r="D3036" s="61" t="s">
        <v>159</v>
      </c>
      <c r="E3036" s="61">
        <v>1236</v>
      </c>
      <c r="F3036" s="61">
        <v>1428</v>
      </c>
      <c r="G3036" s="61"/>
      <c r="H3036" s="61"/>
      <c r="I3036" s="471"/>
      <c r="J3036" s="471"/>
      <c r="K3036" s="61" t="s">
        <v>2393</v>
      </c>
      <c r="L3036" s="471"/>
      <c r="M3036" s="471"/>
      <c r="N3036" s="471"/>
      <c r="O3036" s="471"/>
      <c r="P3036" s="471"/>
      <c r="Q3036" s="471"/>
      <c r="R3036" s="61" t="str">
        <f t="shared" si="209"/>
        <v/>
      </c>
      <c r="S3036" s="61" t="str">
        <f t="shared" si="211"/>
        <v/>
      </c>
      <c r="T3036" s="61" t="str">
        <f t="shared" si="212"/>
        <v/>
      </c>
      <c r="U3036" s="61" t="str">
        <f t="shared" si="210"/>
        <v/>
      </c>
      <c r="V3036" s="61"/>
      <c r="W3036" s="61"/>
      <c r="X3036" s="61"/>
      <c r="Y3036" s="61"/>
      <c r="Z3036" s="61"/>
      <c r="AA3036" s="61"/>
      <c r="AB3036" s="61"/>
    </row>
    <row r="3037" spans="1:28" s="2" customFormat="1" ht="15">
      <c r="A3037" s="61" t="s">
        <v>780</v>
      </c>
      <c r="B3037" s="61" t="s">
        <v>1556</v>
      </c>
      <c r="C3037" s="61" t="s">
        <v>6380</v>
      </c>
      <c r="D3037" s="61" t="s">
        <v>159</v>
      </c>
      <c r="E3037" s="61">
        <v>2900</v>
      </c>
      <c r="F3037" s="61">
        <v>3210</v>
      </c>
      <c r="G3037" s="61"/>
      <c r="H3037" s="61"/>
      <c r="I3037" s="471"/>
      <c r="J3037" s="471"/>
      <c r="K3037" s="61" t="s">
        <v>2393</v>
      </c>
      <c r="L3037" s="471"/>
      <c r="M3037" s="471"/>
      <c r="N3037" s="471"/>
      <c r="O3037" s="471"/>
      <c r="P3037" s="471"/>
      <c r="Q3037" s="471"/>
      <c r="R3037" s="61" t="str">
        <f t="shared" si="209"/>
        <v/>
      </c>
      <c r="S3037" s="61" t="str">
        <f t="shared" si="211"/>
        <v/>
      </c>
      <c r="T3037" s="61" t="str">
        <f t="shared" si="212"/>
        <v/>
      </c>
      <c r="U3037" s="61" t="str">
        <f t="shared" si="210"/>
        <v/>
      </c>
      <c r="V3037" s="61"/>
      <c r="W3037" s="61"/>
      <c r="X3037" s="61"/>
      <c r="Y3037" s="61"/>
      <c r="Z3037" s="61"/>
      <c r="AA3037" s="61"/>
      <c r="AB3037" s="61"/>
    </row>
    <row r="3038" spans="1:28" s="2" customFormat="1" ht="15">
      <c r="A3038" s="61" t="s">
        <v>780</v>
      </c>
      <c r="B3038" s="61" t="s">
        <v>1556</v>
      </c>
      <c r="C3038" s="61" t="s">
        <v>1557</v>
      </c>
      <c r="D3038" s="61" t="s">
        <v>159</v>
      </c>
      <c r="E3038" s="61">
        <v>2544</v>
      </c>
      <c r="F3038" s="61">
        <v>3066</v>
      </c>
      <c r="G3038" s="61"/>
      <c r="H3038" s="61"/>
      <c r="I3038" s="471"/>
      <c r="J3038" s="471"/>
      <c r="K3038" s="61" t="s">
        <v>2393</v>
      </c>
      <c r="L3038" s="471"/>
      <c r="M3038" s="471"/>
      <c r="N3038" s="471"/>
      <c r="O3038" s="471"/>
      <c r="P3038" s="471"/>
      <c r="Q3038" s="471"/>
      <c r="R3038" s="61" t="str">
        <f t="shared" si="209"/>
        <v/>
      </c>
      <c r="S3038" s="61" t="str">
        <f t="shared" si="211"/>
        <v/>
      </c>
      <c r="T3038" s="61" t="str">
        <f t="shared" si="212"/>
        <v/>
      </c>
      <c r="U3038" s="61" t="str">
        <f t="shared" si="210"/>
        <v/>
      </c>
      <c r="V3038" s="61"/>
      <c r="W3038" s="61"/>
      <c r="X3038" s="61"/>
      <c r="Y3038" s="61"/>
      <c r="Z3038" s="61"/>
      <c r="AA3038" s="61"/>
      <c r="AB3038" s="61"/>
    </row>
    <row r="3039" spans="1:28" s="2" customFormat="1" ht="15">
      <c r="A3039" s="61" t="s">
        <v>780</v>
      </c>
      <c r="B3039" s="61" t="s">
        <v>1556</v>
      </c>
      <c r="C3039" s="61" t="s">
        <v>6523</v>
      </c>
      <c r="D3039" s="61" t="s">
        <v>159</v>
      </c>
      <c r="E3039" s="61">
        <v>1654</v>
      </c>
      <c r="F3039" s="61">
        <v>1686</v>
      </c>
      <c r="G3039" s="61"/>
      <c r="H3039" s="61"/>
      <c r="I3039" s="471"/>
      <c r="J3039" s="471"/>
      <c r="K3039" s="61" t="s">
        <v>2393</v>
      </c>
      <c r="L3039" s="471"/>
      <c r="M3039" s="471"/>
      <c r="N3039" s="471"/>
      <c r="O3039" s="471"/>
      <c r="P3039" s="471"/>
      <c r="Q3039" s="471"/>
      <c r="R3039" s="61" t="str">
        <f t="shared" si="209"/>
        <v/>
      </c>
      <c r="S3039" s="61" t="str">
        <f t="shared" si="211"/>
        <v/>
      </c>
      <c r="T3039" s="61" t="str">
        <f t="shared" si="212"/>
        <v/>
      </c>
      <c r="U3039" s="61" t="str">
        <f t="shared" si="210"/>
        <v/>
      </c>
      <c r="V3039" s="61"/>
      <c r="W3039" s="61"/>
      <c r="X3039" s="61"/>
      <c r="Y3039" s="61"/>
      <c r="Z3039" s="61"/>
      <c r="AA3039" s="61"/>
      <c r="AB3039" s="61"/>
    </row>
    <row r="3040" spans="1:28" s="2" customFormat="1" ht="15">
      <c r="A3040" s="61" t="s">
        <v>780</v>
      </c>
      <c r="B3040" s="61" t="s">
        <v>1556</v>
      </c>
      <c r="C3040" s="61" t="s">
        <v>6525</v>
      </c>
      <c r="D3040" s="61" t="s">
        <v>159</v>
      </c>
      <c r="E3040" s="61">
        <v>1617</v>
      </c>
      <c r="F3040" s="61">
        <v>1745</v>
      </c>
      <c r="G3040" s="61"/>
      <c r="H3040" s="61"/>
      <c r="I3040" s="471"/>
      <c r="J3040" s="471"/>
      <c r="K3040" s="61" t="s">
        <v>2393</v>
      </c>
      <c r="L3040" s="471"/>
      <c r="M3040" s="471"/>
      <c r="N3040" s="471"/>
      <c r="O3040" s="471"/>
      <c r="P3040" s="471"/>
      <c r="Q3040" s="471"/>
      <c r="R3040" s="61" t="str">
        <f t="shared" si="209"/>
        <v/>
      </c>
      <c r="S3040" s="61" t="str">
        <f t="shared" si="211"/>
        <v/>
      </c>
      <c r="T3040" s="61" t="str">
        <f t="shared" si="212"/>
        <v/>
      </c>
      <c r="U3040" s="61" t="str">
        <f t="shared" si="210"/>
        <v/>
      </c>
      <c r="V3040" s="61"/>
      <c r="W3040" s="61"/>
      <c r="X3040" s="61"/>
      <c r="Y3040" s="61"/>
      <c r="Z3040" s="61"/>
      <c r="AA3040" s="61"/>
      <c r="AB3040" s="61"/>
    </row>
    <row r="3041" spans="1:28" s="2" customFormat="1" ht="15">
      <c r="A3041" s="61" t="s">
        <v>780</v>
      </c>
      <c r="B3041" s="61" t="s">
        <v>1556</v>
      </c>
      <c r="C3041" s="61" t="s">
        <v>6420</v>
      </c>
      <c r="D3041" s="61" t="s">
        <v>159</v>
      </c>
      <c r="E3041" s="61">
        <v>2129</v>
      </c>
      <c r="F3041" s="61">
        <v>2425</v>
      </c>
      <c r="G3041" s="61"/>
      <c r="H3041" s="61"/>
      <c r="I3041" s="471"/>
      <c r="J3041" s="471"/>
      <c r="K3041" s="61" t="s">
        <v>2393</v>
      </c>
      <c r="L3041" s="471"/>
      <c r="M3041" s="471"/>
      <c r="N3041" s="471"/>
      <c r="O3041" s="471"/>
      <c r="P3041" s="471"/>
      <c r="Q3041" s="471"/>
      <c r="R3041" s="61" t="str">
        <f t="shared" si="209"/>
        <v/>
      </c>
      <c r="S3041" s="61" t="str">
        <f t="shared" si="211"/>
        <v/>
      </c>
      <c r="T3041" s="61" t="str">
        <f t="shared" si="212"/>
        <v/>
      </c>
      <c r="U3041" s="61" t="str">
        <f t="shared" si="210"/>
        <v/>
      </c>
      <c r="V3041" s="61"/>
      <c r="W3041" s="61"/>
      <c r="X3041" s="61"/>
      <c r="Y3041" s="61"/>
      <c r="Z3041" s="61"/>
      <c r="AA3041" s="61"/>
      <c r="AB3041" s="61"/>
    </row>
    <row r="3042" spans="1:28" s="2" customFormat="1" ht="15">
      <c r="A3042" s="61" t="s">
        <v>780</v>
      </c>
      <c r="B3042" s="61" t="s">
        <v>1556</v>
      </c>
      <c r="C3042" s="61" t="s">
        <v>6527</v>
      </c>
      <c r="D3042" s="61" t="s">
        <v>159</v>
      </c>
      <c r="E3042" s="61">
        <v>2035</v>
      </c>
      <c r="F3042" s="61">
        <v>2618</v>
      </c>
      <c r="G3042" s="61"/>
      <c r="H3042" s="61"/>
      <c r="I3042" s="471"/>
      <c r="J3042" s="471"/>
      <c r="K3042" s="61" t="s">
        <v>2393</v>
      </c>
      <c r="L3042" s="471"/>
      <c r="M3042" s="471"/>
      <c r="N3042" s="471"/>
      <c r="O3042" s="471"/>
      <c r="P3042" s="471"/>
      <c r="Q3042" s="471"/>
      <c r="R3042" s="61" t="str">
        <f t="shared" si="209"/>
        <v/>
      </c>
      <c r="S3042" s="61" t="str">
        <f t="shared" si="211"/>
        <v/>
      </c>
      <c r="T3042" s="61" t="str">
        <f t="shared" si="212"/>
        <v/>
      </c>
      <c r="U3042" s="61" t="str">
        <f t="shared" si="210"/>
        <v/>
      </c>
      <c r="V3042" s="61"/>
      <c r="W3042" s="61"/>
      <c r="X3042" s="61"/>
      <c r="Y3042" s="61"/>
      <c r="Z3042" s="61"/>
      <c r="AA3042" s="61"/>
      <c r="AB3042" s="61"/>
    </row>
    <row r="3043" spans="1:28" s="2" customFormat="1" ht="15">
      <c r="A3043" s="61" t="s">
        <v>780</v>
      </c>
      <c r="B3043" s="61" t="s">
        <v>1556</v>
      </c>
      <c r="C3043" s="61" t="s">
        <v>3713</v>
      </c>
      <c r="D3043" s="61" t="s">
        <v>159</v>
      </c>
      <c r="E3043" s="61">
        <v>910</v>
      </c>
      <c r="F3043" s="61">
        <v>1115</v>
      </c>
      <c r="G3043" s="61"/>
      <c r="H3043" s="61"/>
      <c r="I3043" s="471"/>
      <c r="J3043" s="471"/>
      <c r="K3043" s="61" t="s">
        <v>2393</v>
      </c>
      <c r="L3043" s="471"/>
      <c r="M3043" s="471"/>
      <c r="N3043" s="471"/>
      <c r="O3043" s="471"/>
      <c r="P3043" s="471"/>
      <c r="Q3043" s="471"/>
      <c r="R3043" s="61" t="str">
        <f t="shared" si="209"/>
        <v/>
      </c>
      <c r="S3043" s="61" t="str">
        <f t="shared" si="211"/>
        <v/>
      </c>
      <c r="T3043" s="61" t="str">
        <f t="shared" si="212"/>
        <v/>
      </c>
      <c r="U3043" s="61" t="str">
        <f t="shared" si="210"/>
        <v/>
      </c>
      <c r="V3043" s="61"/>
      <c r="W3043" s="61"/>
      <c r="X3043" s="61"/>
      <c r="Y3043" s="61"/>
      <c r="Z3043" s="61"/>
      <c r="AA3043" s="61"/>
      <c r="AB3043" s="61"/>
    </row>
    <row r="3044" spans="1:28" s="2" customFormat="1" ht="15">
      <c r="A3044" s="61" t="s">
        <v>780</v>
      </c>
      <c r="B3044" s="61" t="s">
        <v>1556</v>
      </c>
      <c r="C3044" s="61" t="s">
        <v>6530</v>
      </c>
      <c r="D3044" s="61" t="s">
        <v>159</v>
      </c>
      <c r="E3044" s="61">
        <v>883</v>
      </c>
      <c r="F3044" s="61">
        <v>716</v>
      </c>
      <c r="G3044" s="61"/>
      <c r="H3044" s="61"/>
      <c r="I3044" s="471"/>
      <c r="J3044" s="471"/>
      <c r="K3044" s="61" t="s">
        <v>2393</v>
      </c>
      <c r="L3044" s="471"/>
      <c r="M3044" s="471"/>
      <c r="N3044" s="471"/>
      <c r="O3044" s="471"/>
      <c r="P3044" s="471"/>
      <c r="Q3044" s="471"/>
      <c r="R3044" s="61" t="str">
        <f t="shared" si="209"/>
        <v/>
      </c>
      <c r="S3044" s="61" t="str">
        <f t="shared" si="211"/>
        <v/>
      </c>
      <c r="T3044" s="61" t="str">
        <f t="shared" si="212"/>
        <v/>
      </c>
      <c r="U3044" s="61" t="str">
        <f t="shared" si="210"/>
        <v/>
      </c>
      <c r="V3044" s="61"/>
      <c r="W3044" s="61"/>
      <c r="X3044" s="61"/>
      <c r="Y3044" s="61"/>
      <c r="Z3044" s="61"/>
      <c r="AA3044" s="61"/>
      <c r="AB3044" s="61"/>
    </row>
    <row r="3045" spans="1:28" s="2" customFormat="1" ht="15">
      <c r="A3045" s="61" t="s">
        <v>780</v>
      </c>
      <c r="B3045" s="61" t="s">
        <v>1556</v>
      </c>
      <c r="C3045" s="61" t="s">
        <v>3721</v>
      </c>
      <c r="D3045" s="61" t="s">
        <v>159</v>
      </c>
      <c r="E3045" s="61">
        <v>1931</v>
      </c>
      <c r="F3045" s="61">
        <v>2095</v>
      </c>
      <c r="G3045" s="61"/>
      <c r="H3045" s="61"/>
      <c r="I3045" s="471"/>
      <c r="J3045" s="471"/>
      <c r="K3045" s="61" t="s">
        <v>2393</v>
      </c>
      <c r="L3045" s="471"/>
      <c r="M3045" s="471"/>
      <c r="N3045" s="471"/>
      <c r="O3045" s="471"/>
      <c r="P3045" s="471"/>
      <c r="Q3045" s="471"/>
      <c r="R3045" s="61" t="str">
        <f t="shared" si="209"/>
        <v/>
      </c>
      <c r="S3045" s="61" t="str">
        <f t="shared" si="211"/>
        <v/>
      </c>
      <c r="T3045" s="61" t="str">
        <f t="shared" si="212"/>
        <v/>
      </c>
      <c r="U3045" s="61" t="str">
        <f t="shared" si="210"/>
        <v/>
      </c>
      <c r="V3045" s="61"/>
      <c r="W3045" s="61"/>
      <c r="X3045" s="61"/>
      <c r="Y3045" s="61"/>
      <c r="Z3045" s="61"/>
      <c r="AA3045" s="61"/>
      <c r="AB3045" s="61"/>
    </row>
    <row r="3046" spans="1:28" s="2" customFormat="1" ht="15">
      <c r="A3046" s="61" t="s">
        <v>780</v>
      </c>
      <c r="B3046" s="61" t="s">
        <v>1556</v>
      </c>
      <c r="C3046" s="61" t="s">
        <v>1155</v>
      </c>
      <c r="D3046" s="61" t="s">
        <v>159</v>
      </c>
      <c r="E3046" s="61">
        <v>2480</v>
      </c>
      <c r="F3046" s="61">
        <v>2924</v>
      </c>
      <c r="G3046" s="61"/>
      <c r="H3046" s="61"/>
      <c r="I3046" s="471"/>
      <c r="J3046" s="471"/>
      <c r="K3046" s="61" t="s">
        <v>2393</v>
      </c>
      <c r="L3046" s="471"/>
      <c r="M3046" s="471"/>
      <c r="N3046" s="471"/>
      <c r="O3046" s="471"/>
      <c r="P3046" s="471"/>
      <c r="Q3046" s="471"/>
      <c r="R3046" s="61" t="str">
        <f t="shared" si="209"/>
        <v/>
      </c>
      <c r="S3046" s="61" t="str">
        <f t="shared" si="211"/>
        <v/>
      </c>
      <c r="T3046" s="61" t="str">
        <f t="shared" si="212"/>
        <v/>
      </c>
      <c r="U3046" s="61" t="str">
        <f t="shared" si="210"/>
        <v/>
      </c>
      <c r="V3046" s="61"/>
      <c r="W3046" s="61"/>
      <c r="X3046" s="61"/>
      <c r="Y3046" s="61"/>
      <c r="Z3046" s="61"/>
      <c r="AA3046" s="61"/>
      <c r="AB3046" s="61"/>
    </row>
    <row r="3047" spans="1:28" s="2" customFormat="1" ht="15">
      <c r="A3047" s="61" t="s">
        <v>780</v>
      </c>
      <c r="B3047" s="61" t="s">
        <v>1556</v>
      </c>
      <c r="C3047" s="61" t="s">
        <v>6532</v>
      </c>
      <c r="D3047" s="61" t="s">
        <v>159</v>
      </c>
      <c r="E3047" s="61">
        <v>1839</v>
      </c>
      <c r="F3047" s="61">
        <v>2128</v>
      </c>
      <c r="G3047" s="61"/>
      <c r="H3047" s="61"/>
      <c r="I3047" s="471"/>
      <c r="J3047" s="471"/>
      <c r="K3047" s="61" t="s">
        <v>2393</v>
      </c>
      <c r="L3047" s="471"/>
      <c r="M3047" s="471"/>
      <c r="N3047" s="471"/>
      <c r="O3047" s="471"/>
      <c r="P3047" s="471"/>
      <c r="Q3047" s="471"/>
      <c r="R3047" s="61" t="str">
        <f t="shared" si="209"/>
        <v/>
      </c>
      <c r="S3047" s="61" t="str">
        <f t="shared" si="211"/>
        <v/>
      </c>
      <c r="T3047" s="61" t="str">
        <f t="shared" si="212"/>
        <v/>
      </c>
      <c r="U3047" s="61" t="str">
        <f t="shared" si="210"/>
        <v/>
      </c>
      <c r="V3047" s="61"/>
      <c r="W3047" s="61"/>
      <c r="X3047" s="61"/>
      <c r="Y3047" s="61"/>
      <c r="Z3047" s="61"/>
      <c r="AA3047" s="61"/>
      <c r="AB3047" s="61"/>
    </row>
    <row r="3048" spans="1:28" s="2" customFormat="1" ht="28.5">
      <c r="A3048" s="61" t="s">
        <v>780</v>
      </c>
      <c r="B3048" s="61" t="s">
        <v>1233</v>
      </c>
      <c r="C3048" s="61" t="s">
        <v>6534</v>
      </c>
      <c r="D3048" s="61" t="s">
        <v>159</v>
      </c>
      <c r="E3048" s="61">
        <v>1450</v>
      </c>
      <c r="F3048" s="61">
        <v>1484</v>
      </c>
      <c r="G3048" s="61">
        <v>2025</v>
      </c>
      <c r="H3048" s="61" t="s">
        <v>3458</v>
      </c>
      <c r="I3048" s="61" t="s">
        <v>1212</v>
      </c>
      <c r="J3048" s="471" t="s">
        <v>163</v>
      </c>
      <c r="K3048" s="61" t="s">
        <v>2393</v>
      </c>
      <c r="L3048" s="471" t="s">
        <v>9427</v>
      </c>
      <c r="M3048" s="502">
        <v>45702</v>
      </c>
      <c r="N3048" s="502">
        <v>45705</v>
      </c>
      <c r="O3048" s="502">
        <v>45705</v>
      </c>
      <c r="P3048" s="502">
        <v>45705</v>
      </c>
      <c r="Q3048" s="502">
        <v>45705</v>
      </c>
      <c r="R3048" s="61">
        <f t="shared" si="209"/>
        <v>1</v>
      </c>
      <c r="S3048" s="61">
        <f t="shared" si="211"/>
        <v>1</v>
      </c>
      <c r="T3048" s="61">
        <f t="shared" si="212"/>
        <v>1</v>
      </c>
      <c r="U3048" s="61">
        <f t="shared" si="210"/>
        <v>1</v>
      </c>
      <c r="V3048" s="61" t="s">
        <v>150</v>
      </c>
      <c r="W3048" s="61" t="s">
        <v>4</v>
      </c>
      <c r="X3048" s="61" t="s">
        <v>50</v>
      </c>
      <c r="Y3048" s="61"/>
      <c r="Z3048" s="61"/>
      <c r="AA3048" s="61" t="s">
        <v>404</v>
      </c>
      <c r="AB3048" s="61"/>
    </row>
    <row r="3049" spans="1:28" s="2" customFormat="1" ht="28.5">
      <c r="A3049" s="61" t="s">
        <v>780</v>
      </c>
      <c r="B3049" s="61" t="s">
        <v>1233</v>
      </c>
      <c r="C3049" s="61" t="s">
        <v>6537</v>
      </c>
      <c r="D3049" s="61" t="s">
        <v>159</v>
      </c>
      <c r="E3049" s="61">
        <v>831</v>
      </c>
      <c r="F3049" s="61">
        <v>845</v>
      </c>
      <c r="G3049" s="61">
        <v>2025</v>
      </c>
      <c r="H3049" s="61" t="s">
        <v>3125</v>
      </c>
      <c r="I3049" s="471" t="s">
        <v>1212</v>
      </c>
      <c r="J3049" s="471" t="s">
        <v>163</v>
      </c>
      <c r="K3049" s="61" t="s">
        <v>2393</v>
      </c>
      <c r="L3049" s="471" t="s">
        <v>9428</v>
      </c>
      <c r="M3049" s="502">
        <v>45848</v>
      </c>
      <c r="N3049" s="502">
        <v>45856</v>
      </c>
      <c r="O3049" s="502">
        <v>45856</v>
      </c>
      <c r="P3049" s="502">
        <v>45856</v>
      </c>
      <c r="Q3049" s="502">
        <v>45856</v>
      </c>
      <c r="R3049" s="61">
        <f t="shared" si="209"/>
        <v>6</v>
      </c>
      <c r="S3049" s="61">
        <f t="shared" si="211"/>
        <v>1</v>
      </c>
      <c r="T3049" s="61">
        <f t="shared" si="212"/>
        <v>1</v>
      </c>
      <c r="U3049" s="61">
        <f t="shared" si="210"/>
        <v>1</v>
      </c>
      <c r="V3049" s="61" t="s">
        <v>150</v>
      </c>
      <c r="W3049" s="61" t="s">
        <v>4</v>
      </c>
      <c r="X3049" s="61" t="s">
        <v>50</v>
      </c>
      <c r="Y3049" s="61">
        <v>15.0146</v>
      </c>
      <c r="Z3049" s="61">
        <v>120.0831</v>
      </c>
      <c r="AA3049" s="61"/>
      <c r="AB3049" s="61"/>
    </row>
    <row r="3050" spans="1:28" s="2" customFormat="1" ht="28.5">
      <c r="A3050" s="61" t="s">
        <v>780</v>
      </c>
      <c r="B3050" s="61" t="s">
        <v>1233</v>
      </c>
      <c r="C3050" s="61" t="s">
        <v>6541</v>
      </c>
      <c r="D3050" s="61" t="s">
        <v>159</v>
      </c>
      <c r="E3050" s="61">
        <v>489</v>
      </c>
      <c r="F3050" s="61">
        <v>548</v>
      </c>
      <c r="G3050" s="61">
        <v>2025</v>
      </c>
      <c r="H3050" s="61" t="s">
        <v>3416</v>
      </c>
      <c r="I3050" s="471" t="s">
        <v>1212</v>
      </c>
      <c r="J3050" s="471" t="s">
        <v>163</v>
      </c>
      <c r="K3050" s="61" t="s">
        <v>2393</v>
      </c>
      <c r="L3050" s="471" t="s">
        <v>9429</v>
      </c>
      <c r="M3050" s="502">
        <v>45730</v>
      </c>
      <c r="N3050" s="502">
        <v>45734</v>
      </c>
      <c r="O3050" s="502">
        <v>45734</v>
      </c>
      <c r="P3050" s="502">
        <v>45734</v>
      </c>
      <c r="Q3050" s="502">
        <v>45734</v>
      </c>
      <c r="R3050" s="61">
        <f t="shared" si="209"/>
        <v>2</v>
      </c>
      <c r="S3050" s="61">
        <f t="shared" si="211"/>
        <v>1</v>
      </c>
      <c r="T3050" s="61">
        <f t="shared" si="212"/>
        <v>1</v>
      </c>
      <c r="U3050" s="61">
        <f t="shared" si="210"/>
        <v>1</v>
      </c>
      <c r="V3050" s="61" t="s">
        <v>150</v>
      </c>
      <c r="W3050" s="61" t="s">
        <v>4</v>
      </c>
      <c r="X3050" s="61" t="s">
        <v>50</v>
      </c>
      <c r="Y3050" s="61">
        <v>15.016500000000001</v>
      </c>
      <c r="Z3050" s="61">
        <v>120.08110000000001</v>
      </c>
      <c r="AA3050" s="61" t="s">
        <v>404</v>
      </c>
      <c r="AB3050" s="61"/>
    </row>
    <row r="3051" spans="1:28" s="2" customFormat="1" ht="28.5">
      <c r="A3051" s="61" t="s">
        <v>780</v>
      </c>
      <c r="B3051" s="61" t="s">
        <v>1233</v>
      </c>
      <c r="C3051" s="61" t="s">
        <v>6544</v>
      </c>
      <c r="D3051" s="61" t="s">
        <v>159</v>
      </c>
      <c r="E3051" s="61">
        <v>3278</v>
      </c>
      <c r="F3051" s="61">
        <v>4237</v>
      </c>
      <c r="G3051" s="61">
        <v>2025</v>
      </c>
      <c r="H3051" s="61" t="s">
        <v>3125</v>
      </c>
      <c r="I3051" s="471" t="s">
        <v>1212</v>
      </c>
      <c r="J3051" s="471" t="s">
        <v>163</v>
      </c>
      <c r="K3051" s="61" t="s">
        <v>2393</v>
      </c>
      <c r="L3051" s="471" t="s">
        <v>9430</v>
      </c>
      <c r="M3051" s="502">
        <v>45848</v>
      </c>
      <c r="N3051" s="502">
        <v>45855</v>
      </c>
      <c r="O3051" s="502">
        <v>45855</v>
      </c>
      <c r="P3051" s="502">
        <v>45855</v>
      </c>
      <c r="Q3051" s="502">
        <v>45855</v>
      </c>
      <c r="R3051" s="61">
        <f t="shared" si="209"/>
        <v>5</v>
      </c>
      <c r="S3051" s="61">
        <f t="shared" si="211"/>
        <v>1</v>
      </c>
      <c r="T3051" s="61">
        <f t="shared" si="212"/>
        <v>1</v>
      </c>
      <c r="U3051" s="61">
        <f t="shared" si="210"/>
        <v>1</v>
      </c>
      <c r="V3051" s="61" t="s">
        <v>150</v>
      </c>
      <c r="W3051" s="61" t="s">
        <v>4</v>
      </c>
      <c r="X3051" s="61" t="s">
        <v>50</v>
      </c>
      <c r="Y3051" s="61">
        <v>15.0031</v>
      </c>
      <c r="Z3051" s="61">
        <v>120.0716</v>
      </c>
      <c r="AA3051" s="61" t="s">
        <v>404</v>
      </c>
      <c r="AB3051" s="61"/>
    </row>
    <row r="3052" spans="1:28" s="2" customFormat="1" ht="28.5">
      <c r="A3052" s="61" t="s">
        <v>780</v>
      </c>
      <c r="B3052" s="61" t="s">
        <v>1233</v>
      </c>
      <c r="C3052" s="61" t="s">
        <v>3913</v>
      </c>
      <c r="D3052" s="61" t="s">
        <v>159</v>
      </c>
      <c r="E3052" s="61">
        <v>1476</v>
      </c>
      <c r="F3052" s="61">
        <v>1516</v>
      </c>
      <c r="G3052" s="61">
        <v>2025</v>
      </c>
      <c r="H3052" s="61" t="s">
        <v>3125</v>
      </c>
      <c r="I3052" s="471" t="s">
        <v>1212</v>
      </c>
      <c r="J3052" s="471" t="s">
        <v>163</v>
      </c>
      <c r="K3052" s="61" t="s">
        <v>2393</v>
      </c>
      <c r="L3052" s="471" t="s">
        <v>9431</v>
      </c>
      <c r="M3052" s="502">
        <v>45856</v>
      </c>
      <c r="N3052" s="502">
        <v>45856</v>
      </c>
      <c r="O3052" s="502">
        <v>45856</v>
      </c>
      <c r="P3052" s="502">
        <v>45856</v>
      </c>
      <c r="Q3052" s="502">
        <v>45856</v>
      </c>
      <c r="R3052" s="61">
        <f t="shared" si="209"/>
        <v>1</v>
      </c>
      <c r="S3052" s="61">
        <f t="shared" si="211"/>
        <v>1</v>
      </c>
      <c r="T3052" s="61">
        <f t="shared" si="212"/>
        <v>1</v>
      </c>
      <c r="U3052" s="61">
        <f t="shared" si="210"/>
        <v>1</v>
      </c>
      <c r="V3052" s="61" t="s">
        <v>150</v>
      </c>
      <c r="W3052" s="61" t="s">
        <v>4</v>
      </c>
      <c r="X3052" s="61" t="s">
        <v>50</v>
      </c>
      <c r="Y3052" s="61">
        <v>15.0122</v>
      </c>
      <c r="Z3052" s="61">
        <v>120.08410000000001</v>
      </c>
      <c r="AA3052" s="61"/>
      <c r="AB3052" s="61"/>
    </row>
    <row r="3053" spans="1:28" s="2" customFormat="1" ht="28.5">
      <c r="A3053" s="61" t="s">
        <v>780</v>
      </c>
      <c r="B3053" s="61" t="s">
        <v>1233</v>
      </c>
      <c r="C3053" s="61" t="s">
        <v>6552</v>
      </c>
      <c r="D3053" s="61" t="s">
        <v>159</v>
      </c>
      <c r="E3053" s="61">
        <v>1874</v>
      </c>
      <c r="F3053" s="61">
        <v>1956</v>
      </c>
      <c r="G3053" s="61">
        <v>2025</v>
      </c>
      <c r="H3053" s="61" t="s">
        <v>3416</v>
      </c>
      <c r="I3053" s="61" t="s">
        <v>1212</v>
      </c>
      <c r="J3053" s="471" t="s">
        <v>163</v>
      </c>
      <c r="K3053" s="61" t="s">
        <v>2393</v>
      </c>
      <c r="L3053" s="471" t="s">
        <v>9432</v>
      </c>
      <c r="M3053" s="502">
        <v>45730</v>
      </c>
      <c r="N3053" s="502">
        <v>45734</v>
      </c>
      <c r="O3053" s="502">
        <v>45734</v>
      </c>
      <c r="P3053" s="502">
        <v>45734</v>
      </c>
      <c r="Q3053" s="502">
        <v>45734</v>
      </c>
      <c r="R3053" s="61">
        <f t="shared" si="209"/>
        <v>2</v>
      </c>
      <c r="S3053" s="61">
        <f t="shared" si="211"/>
        <v>1</v>
      </c>
      <c r="T3053" s="61">
        <f t="shared" si="212"/>
        <v>1</v>
      </c>
      <c r="U3053" s="61">
        <f t="shared" si="210"/>
        <v>1</v>
      </c>
      <c r="V3053" s="61" t="s">
        <v>150</v>
      </c>
      <c r="W3053" s="61" t="s">
        <v>4</v>
      </c>
      <c r="X3053" s="61" t="s">
        <v>50</v>
      </c>
      <c r="Y3053" s="61">
        <v>15.019399999999999</v>
      </c>
      <c r="Z3053" s="61">
        <v>120.08320000000001</v>
      </c>
      <c r="AA3053" s="61"/>
      <c r="AB3053" s="61"/>
    </row>
    <row r="3054" spans="1:28" s="2" customFormat="1" ht="28.5">
      <c r="A3054" s="61" t="s">
        <v>780</v>
      </c>
      <c r="B3054" s="61" t="s">
        <v>1233</v>
      </c>
      <c r="C3054" s="61" t="s">
        <v>6554</v>
      </c>
      <c r="D3054" s="61" t="s">
        <v>159</v>
      </c>
      <c r="E3054" s="61">
        <v>1297</v>
      </c>
      <c r="F3054" s="61">
        <v>1302</v>
      </c>
      <c r="G3054" s="61">
        <v>2025</v>
      </c>
      <c r="H3054" s="61" t="s">
        <v>3125</v>
      </c>
      <c r="I3054" s="471" t="s">
        <v>1212</v>
      </c>
      <c r="J3054" s="471" t="s">
        <v>163</v>
      </c>
      <c r="K3054" s="61" t="s">
        <v>2393</v>
      </c>
      <c r="L3054" s="471" t="s">
        <v>9433</v>
      </c>
      <c r="M3054" s="502">
        <v>45848</v>
      </c>
      <c r="N3054" s="502">
        <v>45852</v>
      </c>
      <c r="O3054" s="502">
        <v>45854</v>
      </c>
      <c r="P3054" s="502">
        <v>45854</v>
      </c>
      <c r="Q3054" s="502">
        <v>45854</v>
      </c>
      <c r="R3054" s="61">
        <f t="shared" si="209"/>
        <v>2</v>
      </c>
      <c r="S3054" s="61">
        <f t="shared" si="211"/>
        <v>2</v>
      </c>
      <c r="T3054" s="61">
        <f t="shared" si="212"/>
        <v>1</v>
      </c>
      <c r="U3054" s="61">
        <f t="shared" si="210"/>
        <v>1</v>
      </c>
      <c r="V3054" s="61" t="s">
        <v>150</v>
      </c>
      <c r="W3054" s="61" t="s">
        <v>4</v>
      </c>
      <c r="X3054" s="61" t="s">
        <v>50</v>
      </c>
      <c r="Y3054" s="61">
        <v>15.017799999999999</v>
      </c>
      <c r="Z3054" s="61">
        <v>120.0774</v>
      </c>
      <c r="AA3054" s="61"/>
      <c r="AB3054" s="61"/>
    </row>
    <row r="3055" spans="1:28" s="2" customFormat="1" ht="28.5">
      <c r="A3055" s="61" t="s">
        <v>780</v>
      </c>
      <c r="B3055" s="61" t="s">
        <v>1233</v>
      </c>
      <c r="C3055" s="61" t="s">
        <v>6548</v>
      </c>
      <c r="D3055" s="61" t="s">
        <v>159</v>
      </c>
      <c r="E3055" s="61">
        <v>2291</v>
      </c>
      <c r="F3055" s="61">
        <v>2313</v>
      </c>
      <c r="G3055" s="61">
        <v>2025</v>
      </c>
      <c r="H3055" s="61" t="s">
        <v>3125</v>
      </c>
      <c r="I3055" s="471" t="s">
        <v>1212</v>
      </c>
      <c r="J3055" s="471" t="s">
        <v>163</v>
      </c>
      <c r="K3055" s="61" t="s">
        <v>2393</v>
      </c>
      <c r="L3055" s="471" t="s">
        <v>9434</v>
      </c>
      <c r="M3055" s="502">
        <v>45848</v>
      </c>
      <c r="N3055" s="502">
        <v>45859</v>
      </c>
      <c r="O3055" s="502">
        <v>45859</v>
      </c>
      <c r="P3055" s="502">
        <v>45859</v>
      </c>
      <c r="Q3055" s="502">
        <v>45859</v>
      </c>
      <c r="R3055" s="61">
        <f t="shared" si="209"/>
        <v>7</v>
      </c>
      <c r="S3055" s="61">
        <f t="shared" si="211"/>
        <v>1</v>
      </c>
      <c r="T3055" s="61">
        <f t="shared" si="212"/>
        <v>1</v>
      </c>
      <c r="U3055" s="61">
        <f t="shared" si="210"/>
        <v>1</v>
      </c>
      <c r="V3055" s="61" t="s">
        <v>150</v>
      </c>
      <c r="W3055" s="61" t="s">
        <v>1078</v>
      </c>
      <c r="X3055" s="61" t="s">
        <v>50</v>
      </c>
      <c r="Y3055" s="61">
        <v>15.0123</v>
      </c>
      <c r="Z3055" s="61">
        <v>120.08069999999999</v>
      </c>
      <c r="AA3055" s="61"/>
      <c r="AB3055" s="61"/>
    </row>
    <row r="3056" spans="1:28" s="2" customFormat="1" ht="28.5">
      <c r="A3056" s="61" t="s">
        <v>780</v>
      </c>
      <c r="B3056" s="61" t="s">
        <v>1233</v>
      </c>
      <c r="C3056" s="61" t="s">
        <v>4025</v>
      </c>
      <c r="D3056" s="61" t="s">
        <v>159</v>
      </c>
      <c r="E3056" s="61">
        <v>542</v>
      </c>
      <c r="F3056" s="61">
        <v>581</v>
      </c>
      <c r="G3056" s="61">
        <v>2025</v>
      </c>
      <c r="H3056" s="61" t="s">
        <v>3125</v>
      </c>
      <c r="I3056" s="471" t="s">
        <v>1212</v>
      </c>
      <c r="J3056" s="471" t="s">
        <v>163</v>
      </c>
      <c r="K3056" s="61" t="s">
        <v>2393</v>
      </c>
      <c r="L3056" s="61" t="s">
        <v>9435</v>
      </c>
      <c r="M3056" s="502">
        <v>45848</v>
      </c>
      <c r="N3056" s="502">
        <v>45856</v>
      </c>
      <c r="O3056" s="502">
        <v>45856</v>
      </c>
      <c r="P3056" s="502">
        <v>45856</v>
      </c>
      <c r="Q3056" s="502">
        <v>45856</v>
      </c>
      <c r="R3056" s="61">
        <f t="shared" si="209"/>
        <v>6</v>
      </c>
      <c r="S3056" s="61">
        <f t="shared" si="211"/>
        <v>1</v>
      </c>
      <c r="T3056" s="61">
        <f t="shared" si="212"/>
        <v>1</v>
      </c>
      <c r="U3056" s="61">
        <f t="shared" si="210"/>
        <v>1</v>
      </c>
      <c r="V3056" s="61" t="s">
        <v>150</v>
      </c>
      <c r="W3056" s="61" t="s">
        <v>4</v>
      </c>
      <c r="X3056" s="61" t="s">
        <v>50</v>
      </c>
      <c r="Y3056" s="61">
        <v>15.0131</v>
      </c>
      <c r="Z3056" s="61">
        <v>120.0808</v>
      </c>
      <c r="AA3056" s="61"/>
      <c r="AB3056" s="61"/>
    </row>
    <row r="3057" spans="1:28" s="2" customFormat="1" ht="15">
      <c r="A3057" s="61" t="s">
        <v>780</v>
      </c>
      <c r="B3057" s="61" t="s">
        <v>1233</v>
      </c>
      <c r="C3057" s="61" t="s">
        <v>6536</v>
      </c>
      <c r="D3057" s="61" t="s">
        <v>159</v>
      </c>
      <c r="E3057" s="61">
        <v>3293</v>
      </c>
      <c r="F3057" s="61">
        <v>3251</v>
      </c>
      <c r="G3057" s="61"/>
      <c r="H3057" s="61"/>
      <c r="I3057" s="471"/>
      <c r="J3057" s="471"/>
      <c r="K3057" s="61" t="s">
        <v>2393</v>
      </c>
      <c r="L3057" s="471"/>
      <c r="M3057" s="471"/>
      <c r="N3057" s="471"/>
      <c r="O3057" s="471"/>
      <c r="P3057" s="471"/>
      <c r="Q3057" s="471"/>
      <c r="R3057" s="61" t="str">
        <f t="shared" si="209"/>
        <v/>
      </c>
      <c r="S3057" s="61" t="str">
        <f t="shared" si="211"/>
        <v/>
      </c>
      <c r="T3057" s="61" t="str">
        <f t="shared" si="212"/>
        <v/>
      </c>
      <c r="U3057" s="61" t="str">
        <f t="shared" si="210"/>
        <v/>
      </c>
      <c r="V3057" s="61"/>
      <c r="W3057" s="61"/>
      <c r="X3057" s="61"/>
      <c r="Y3057" s="61"/>
      <c r="Z3057" s="61"/>
      <c r="AA3057" s="61"/>
      <c r="AB3057" s="61"/>
    </row>
    <row r="3058" spans="1:28" s="2" customFormat="1" ht="15">
      <c r="A3058" s="61" t="s">
        <v>780</v>
      </c>
      <c r="B3058" s="61" t="s">
        <v>1233</v>
      </c>
      <c r="C3058" s="61" t="s">
        <v>6539</v>
      </c>
      <c r="D3058" s="61" t="s">
        <v>159</v>
      </c>
      <c r="E3058" s="61">
        <v>1061</v>
      </c>
      <c r="F3058" s="61">
        <v>1016</v>
      </c>
      <c r="G3058" s="61"/>
      <c r="H3058" s="61"/>
      <c r="I3058" s="471"/>
      <c r="J3058" s="471"/>
      <c r="K3058" s="61" t="s">
        <v>2393</v>
      </c>
      <c r="L3058" s="471"/>
      <c r="M3058" s="471"/>
      <c r="N3058" s="471"/>
      <c r="O3058" s="471"/>
      <c r="P3058" s="471"/>
      <c r="Q3058" s="471"/>
      <c r="R3058" s="61" t="str">
        <f t="shared" si="209"/>
        <v/>
      </c>
      <c r="S3058" s="61" t="str">
        <f t="shared" si="211"/>
        <v/>
      </c>
      <c r="T3058" s="61" t="str">
        <f t="shared" si="212"/>
        <v/>
      </c>
      <c r="U3058" s="61" t="str">
        <f t="shared" si="210"/>
        <v/>
      </c>
      <c r="V3058" s="61"/>
      <c r="W3058" s="61"/>
      <c r="X3058" s="61"/>
      <c r="Y3058" s="61"/>
      <c r="Z3058" s="61"/>
      <c r="AA3058" s="61"/>
      <c r="AB3058" s="61"/>
    </row>
    <row r="3059" spans="1:28" s="2" customFormat="1" ht="15">
      <c r="A3059" s="61" t="s">
        <v>780</v>
      </c>
      <c r="B3059" s="61" t="s">
        <v>1233</v>
      </c>
      <c r="C3059" s="61" t="s">
        <v>6540</v>
      </c>
      <c r="D3059" s="61" t="s">
        <v>159</v>
      </c>
      <c r="E3059" s="61">
        <v>1749</v>
      </c>
      <c r="F3059" s="61">
        <v>1891</v>
      </c>
      <c r="G3059" s="61"/>
      <c r="H3059" s="61"/>
      <c r="I3059" s="471"/>
      <c r="J3059" s="471"/>
      <c r="K3059" s="61" t="s">
        <v>2393</v>
      </c>
      <c r="L3059" s="471"/>
      <c r="M3059" s="471"/>
      <c r="N3059" s="471"/>
      <c r="O3059" s="471"/>
      <c r="P3059" s="471"/>
      <c r="Q3059" s="471"/>
      <c r="R3059" s="61" t="str">
        <f t="shared" si="209"/>
        <v/>
      </c>
      <c r="S3059" s="61" t="str">
        <f t="shared" si="211"/>
        <v/>
      </c>
      <c r="T3059" s="61" t="str">
        <f t="shared" si="212"/>
        <v/>
      </c>
      <c r="U3059" s="61" t="str">
        <f t="shared" si="210"/>
        <v/>
      </c>
      <c r="V3059" s="61"/>
      <c r="W3059" s="61"/>
      <c r="X3059" s="61"/>
      <c r="Y3059" s="61"/>
      <c r="Z3059" s="61"/>
      <c r="AA3059" s="61"/>
      <c r="AB3059" s="61"/>
    </row>
    <row r="3060" spans="1:28" s="2" customFormat="1" ht="15">
      <c r="A3060" s="61" t="s">
        <v>780</v>
      </c>
      <c r="B3060" s="61" t="s">
        <v>1233</v>
      </c>
      <c r="C3060" s="61" t="s">
        <v>5396</v>
      </c>
      <c r="D3060" s="61" t="s">
        <v>159</v>
      </c>
      <c r="E3060" s="61">
        <v>3836</v>
      </c>
      <c r="F3060" s="61">
        <v>4322</v>
      </c>
      <c r="G3060" s="61"/>
      <c r="H3060" s="61"/>
      <c r="I3060" s="471"/>
      <c r="J3060" s="471"/>
      <c r="K3060" s="61" t="s">
        <v>2393</v>
      </c>
      <c r="L3060" s="471"/>
      <c r="M3060" s="471"/>
      <c r="N3060" s="471"/>
      <c r="O3060" s="471"/>
      <c r="P3060" s="471"/>
      <c r="Q3060" s="471"/>
      <c r="R3060" s="61" t="str">
        <f t="shared" si="209"/>
        <v/>
      </c>
      <c r="S3060" s="61" t="str">
        <f t="shared" si="211"/>
        <v/>
      </c>
      <c r="T3060" s="61" t="str">
        <f t="shared" si="212"/>
        <v/>
      </c>
      <c r="U3060" s="61" t="str">
        <f t="shared" si="210"/>
        <v/>
      </c>
      <c r="V3060" s="61"/>
      <c r="W3060" s="61"/>
      <c r="X3060" s="61"/>
      <c r="Y3060" s="61"/>
      <c r="Z3060" s="61"/>
      <c r="AA3060" s="61"/>
      <c r="AB3060" s="61"/>
    </row>
    <row r="3061" spans="1:28" s="2" customFormat="1" ht="15">
      <c r="A3061" s="61" t="s">
        <v>780</v>
      </c>
      <c r="B3061" s="61" t="s">
        <v>1233</v>
      </c>
      <c r="C3061" s="61" t="s">
        <v>6543</v>
      </c>
      <c r="D3061" s="61" t="s">
        <v>159</v>
      </c>
      <c r="E3061" s="61">
        <v>1808</v>
      </c>
      <c r="F3061" s="61">
        <v>1867</v>
      </c>
      <c r="G3061" s="61"/>
      <c r="H3061" s="61"/>
      <c r="I3061" s="471"/>
      <c r="J3061" s="471"/>
      <c r="K3061" s="61" t="s">
        <v>2393</v>
      </c>
      <c r="L3061" s="471"/>
      <c r="M3061" s="471"/>
      <c r="N3061" s="471"/>
      <c r="O3061" s="471"/>
      <c r="P3061" s="471"/>
      <c r="Q3061" s="471"/>
      <c r="R3061" s="61" t="str">
        <f t="shared" si="209"/>
        <v/>
      </c>
      <c r="S3061" s="61" t="str">
        <f t="shared" si="211"/>
        <v/>
      </c>
      <c r="T3061" s="61" t="str">
        <f t="shared" si="212"/>
        <v/>
      </c>
      <c r="U3061" s="61" t="str">
        <f t="shared" si="210"/>
        <v/>
      </c>
      <c r="V3061" s="61"/>
      <c r="W3061" s="61"/>
      <c r="X3061" s="61"/>
      <c r="Y3061" s="61"/>
      <c r="Z3061" s="61"/>
      <c r="AA3061" s="61"/>
      <c r="AB3061" s="61"/>
    </row>
    <row r="3062" spans="1:28" s="2" customFormat="1" ht="15">
      <c r="A3062" s="61" t="s">
        <v>780</v>
      </c>
      <c r="B3062" s="61" t="s">
        <v>1233</v>
      </c>
      <c r="C3062" s="61" t="s">
        <v>6546</v>
      </c>
      <c r="D3062" s="61" t="s">
        <v>159</v>
      </c>
      <c r="E3062" s="61">
        <v>610</v>
      </c>
      <c r="F3062" s="61">
        <v>611</v>
      </c>
      <c r="G3062" s="61"/>
      <c r="H3062" s="61"/>
      <c r="I3062" s="471"/>
      <c r="J3062" s="471"/>
      <c r="K3062" s="61" t="s">
        <v>2393</v>
      </c>
      <c r="L3062" s="471"/>
      <c r="M3062" s="471"/>
      <c r="N3062" s="471"/>
      <c r="O3062" s="471"/>
      <c r="P3062" s="471"/>
      <c r="Q3062" s="471"/>
      <c r="R3062" s="61" t="str">
        <f t="shared" si="209"/>
        <v/>
      </c>
      <c r="S3062" s="61" t="str">
        <f t="shared" si="211"/>
        <v/>
      </c>
      <c r="T3062" s="61" t="str">
        <f t="shared" si="212"/>
        <v/>
      </c>
      <c r="U3062" s="61" t="str">
        <f t="shared" si="210"/>
        <v/>
      </c>
      <c r="V3062" s="61"/>
      <c r="W3062" s="61"/>
      <c r="X3062" s="61"/>
      <c r="Y3062" s="61"/>
      <c r="Z3062" s="61"/>
      <c r="AA3062" s="61"/>
      <c r="AB3062" s="61"/>
    </row>
    <row r="3063" spans="1:28" s="2" customFormat="1" ht="15">
      <c r="A3063" s="61" t="s">
        <v>780</v>
      </c>
      <c r="B3063" s="61" t="s">
        <v>1233</v>
      </c>
      <c r="C3063" s="61" t="s">
        <v>6547</v>
      </c>
      <c r="D3063" s="61" t="s">
        <v>159</v>
      </c>
      <c r="E3063" s="61">
        <v>653</v>
      </c>
      <c r="F3063" s="61">
        <v>762</v>
      </c>
      <c r="G3063" s="61"/>
      <c r="H3063" s="61"/>
      <c r="I3063" s="471"/>
      <c r="J3063" s="471"/>
      <c r="K3063" s="61" t="s">
        <v>2393</v>
      </c>
      <c r="L3063" s="471"/>
      <c r="M3063" s="471"/>
      <c r="N3063" s="471"/>
      <c r="O3063" s="471"/>
      <c r="P3063" s="471"/>
      <c r="Q3063" s="471"/>
      <c r="R3063" s="61" t="str">
        <f t="shared" ref="R3063:R3105" si="213">IF(
    OR(ISBLANK(M3063), ISBLANK(N3063)),
    "",
    MAX(1, IF(
        NETWORKDAYS(M3063, N3063) &lt;= 0,
        1,
        NETWORKDAYS(M3063, N3063) - IF(M3063 = N3063, 0, 1)
    ))
)</f>
        <v/>
      </c>
      <c r="S3063" s="61" t="str">
        <f t="shared" si="211"/>
        <v/>
      </c>
      <c r="T3063" s="61" t="str">
        <f t="shared" si="212"/>
        <v/>
      </c>
      <c r="U3063" s="61" t="str">
        <f t="shared" si="210"/>
        <v/>
      </c>
      <c r="V3063" s="61"/>
      <c r="W3063" s="61"/>
      <c r="X3063" s="61"/>
      <c r="Y3063" s="61"/>
      <c r="Z3063" s="61"/>
      <c r="AA3063" s="61"/>
      <c r="AB3063" s="61"/>
    </row>
    <row r="3064" spans="1:28" s="2" customFormat="1" ht="15">
      <c r="A3064" s="61" t="s">
        <v>780</v>
      </c>
      <c r="B3064" s="61" t="s">
        <v>1233</v>
      </c>
      <c r="C3064" s="61" t="s">
        <v>6556</v>
      </c>
      <c r="D3064" s="61" t="s">
        <v>159</v>
      </c>
      <c r="E3064" s="61">
        <v>1822</v>
      </c>
      <c r="F3064" s="61">
        <v>2257</v>
      </c>
      <c r="G3064" s="61"/>
      <c r="H3064" s="61"/>
      <c r="I3064" s="471"/>
      <c r="J3064" s="471"/>
      <c r="K3064" s="61" t="s">
        <v>2393</v>
      </c>
      <c r="L3064" s="471"/>
      <c r="M3064" s="471"/>
      <c r="N3064" s="471"/>
      <c r="O3064" s="471"/>
      <c r="P3064" s="471"/>
      <c r="Q3064" s="471"/>
      <c r="R3064" s="61" t="str">
        <f t="shared" si="213"/>
        <v/>
      </c>
      <c r="S3064" s="61" t="str">
        <f t="shared" si="211"/>
        <v/>
      </c>
      <c r="T3064" s="61" t="str">
        <f t="shared" si="212"/>
        <v/>
      </c>
      <c r="U3064" s="61" t="str">
        <f t="shared" si="210"/>
        <v/>
      </c>
      <c r="V3064" s="61"/>
      <c r="W3064" s="61"/>
      <c r="X3064" s="61"/>
      <c r="Y3064" s="61"/>
      <c r="Z3064" s="61"/>
      <c r="AA3064" s="61"/>
      <c r="AB3064" s="61"/>
    </row>
    <row r="3065" spans="1:28" s="2" customFormat="1" ht="28.5">
      <c r="A3065" s="61" t="s">
        <v>780</v>
      </c>
      <c r="B3065" s="61" t="s">
        <v>1240</v>
      </c>
      <c r="C3065" s="61" t="s">
        <v>6569</v>
      </c>
      <c r="D3065" s="61" t="s">
        <v>159</v>
      </c>
      <c r="E3065" s="61">
        <v>1351</v>
      </c>
      <c r="F3065" s="61">
        <v>1657</v>
      </c>
      <c r="G3065" s="61">
        <v>2025</v>
      </c>
      <c r="H3065" s="61" t="s">
        <v>3689</v>
      </c>
      <c r="I3065" s="471" t="s">
        <v>42</v>
      </c>
      <c r="J3065" s="471" t="s">
        <v>163</v>
      </c>
      <c r="K3065" s="61" t="s">
        <v>2393</v>
      </c>
      <c r="L3065" s="471" t="s">
        <v>9436</v>
      </c>
      <c r="M3065" s="502">
        <v>45825</v>
      </c>
      <c r="N3065" s="502">
        <v>45827</v>
      </c>
      <c r="O3065" s="502">
        <v>45827</v>
      </c>
      <c r="P3065" s="502">
        <v>45827</v>
      </c>
      <c r="Q3065" s="502">
        <v>45827</v>
      </c>
      <c r="R3065" s="61">
        <f t="shared" si="213"/>
        <v>2</v>
      </c>
      <c r="S3065" s="61">
        <f t="shared" si="211"/>
        <v>1</v>
      </c>
      <c r="T3065" s="61">
        <f t="shared" si="212"/>
        <v>1</v>
      </c>
      <c r="U3065" s="61">
        <f t="shared" si="210"/>
        <v>1</v>
      </c>
      <c r="V3065" s="61" t="s">
        <v>150</v>
      </c>
      <c r="W3065" s="61" t="s">
        <v>4</v>
      </c>
      <c r="X3065" s="61" t="s">
        <v>50</v>
      </c>
      <c r="Y3065" s="61">
        <v>15.79677</v>
      </c>
      <c r="Z3065" s="61">
        <v>119.99709</v>
      </c>
      <c r="AA3065" s="61"/>
      <c r="AB3065" s="61"/>
    </row>
    <row r="3066" spans="1:28" s="2" customFormat="1" ht="28.5">
      <c r="A3066" s="61" t="s">
        <v>780</v>
      </c>
      <c r="B3066" s="61" t="s">
        <v>1240</v>
      </c>
      <c r="C3066" s="61" t="s">
        <v>6557</v>
      </c>
      <c r="D3066" s="61" t="s">
        <v>159</v>
      </c>
      <c r="E3066" s="61">
        <v>523</v>
      </c>
      <c r="F3066" s="61">
        <v>555</v>
      </c>
      <c r="G3066" s="61">
        <v>2025</v>
      </c>
      <c r="H3066" s="61" t="s">
        <v>3126</v>
      </c>
      <c r="I3066" s="471" t="s">
        <v>42</v>
      </c>
      <c r="J3066" s="471" t="s">
        <v>163</v>
      </c>
      <c r="K3066" s="61" t="s">
        <v>2393</v>
      </c>
      <c r="L3066" s="471" t="s">
        <v>9437</v>
      </c>
      <c r="M3066" s="502">
        <v>45877</v>
      </c>
      <c r="N3066" s="502">
        <v>45881</v>
      </c>
      <c r="O3066" s="502">
        <v>45882</v>
      </c>
      <c r="P3066" s="502">
        <v>45882</v>
      </c>
      <c r="Q3066" s="502">
        <v>45882</v>
      </c>
      <c r="R3066" s="61">
        <f t="shared" si="213"/>
        <v>2</v>
      </c>
      <c r="S3066" s="61">
        <f t="shared" si="211"/>
        <v>1</v>
      </c>
      <c r="T3066" s="61">
        <f t="shared" si="212"/>
        <v>1</v>
      </c>
      <c r="U3066" s="61">
        <f t="shared" ref="U3066:U3105" si="214">IF(
    OR(ISBLANK(P3066), ISBLANK(Q3066)),
    "",
    MAX(1, IF(
        NETWORKDAYS(P3066, Q3066) &lt;= 0,
        1,
        NETWORKDAYS(P3066, Q3066) - IF(P3066 = Q3066, 0, 1)
    ))
)</f>
        <v>1</v>
      </c>
      <c r="V3066" s="61" t="s">
        <v>150</v>
      </c>
      <c r="W3066" s="61" t="s">
        <v>1078</v>
      </c>
      <c r="X3066" s="61" t="s">
        <v>50</v>
      </c>
      <c r="Y3066" s="61"/>
      <c r="Z3066" s="61"/>
      <c r="AA3066" s="61" t="s">
        <v>544</v>
      </c>
      <c r="AB3066" s="61" t="s">
        <v>9438</v>
      </c>
    </row>
    <row r="3067" spans="1:28" s="2" customFormat="1" ht="28.5">
      <c r="A3067" s="61" t="s">
        <v>780</v>
      </c>
      <c r="B3067" s="61" t="s">
        <v>1240</v>
      </c>
      <c r="C3067" s="61" t="s">
        <v>6558</v>
      </c>
      <c r="D3067" s="61" t="s">
        <v>159</v>
      </c>
      <c r="E3067" s="61">
        <v>925</v>
      </c>
      <c r="F3067" s="61">
        <v>1029</v>
      </c>
      <c r="G3067" s="61">
        <v>2025</v>
      </c>
      <c r="H3067" s="61" t="s">
        <v>3126</v>
      </c>
      <c r="I3067" s="471" t="s">
        <v>42</v>
      </c>
      <c r="J3067" s="471" t="s">
        <v>163</v>
      </c>
      <c r="K3067" s="61" t="s">
        <v>2393</v>
      </c>
      <c r="L3067" s="471" t="s">
        <v>9437</v>
      </c>
      <c r="M3067" s="502">
        <v>45877</v>
      </c>
      <c r="N3067" s="502">
        <v>45881</v>
      </c>
      <c r="O3067" s="502">
        <v>45882</v>
      </c>
      <c r="P3067" s="502">
        <v>45882</v>
      </c>
      <c r="Q3067" s="502">
        <v>45882</v>
      </c>
      <c r="R3067" s="61">
        <f t="shared" si="213"/>
        <v>2</v>
      </c>
      <c r="S3067" s="61">
        <f t="shared" si="211"/>
        <v>1</v>
      </c>
      <c r="T3067" s="61">
        <f t="shared" si="212"/>
        <v>1</v>
      </c>
      <c r="U3067" s="61">
        <f t="shared" si="214"/>
        <v>1</v>
      </c>
      <c r="V3067" s="61" t="s">
        <v>150</v>
      </c>
      <c r="W3067" s="61" t="s">
        <v>1078</v>
      </c>
      <c r="X3067" s="61" t="s">
        <v>50</v>
      </c>
      <c r="Y3067" s="61"/>
      <c r="Z3067" s="61"/>
      <c r="AA3067" s="61" t="s">
        <v>544</v>
      </c>
      <c r="AB3067" s="61" t="s">
        <v>9438</v>
      </c>
    </row>
    <row r="3068" spans="1:28" s="2" customFormat="1" ht="28.5">
      <c r="A3068" s="61" t="s">
        <v>780</v>
      </c>
      <c r="B3068" s="61" t="s">
        <v>1240</v>
      </c>
      <c r="C3068" s="61" t="s">
        <v>6559</v>
      </c>
      <c r="D3068" s="61" t="s">
        <v>159</v>
      </c>
      <c r="E3068" s="61">
        <v>3925</v>
      </c>
      <c r="F3068" s="61">
        <v>4116</v>
      </c>
      <c r="G3068" s="61">
        <v>2025</v>
      </c>
      <c r="H3068" s="61" t="s">
        <v>3416</v>
      </c>
      <c r="I3068" s="471" t="s">
        <v>42</v>
      </c>
      <c r="J3068" s="471" t="s">
        <v>163</v>
      </c>
      <c r="K3068" s="61" t="s">
        <v>2393</v>
      </c>
      <c r="L3068" s="471" t="s">
        <v>9439</v>
      </c>
      <c r="M3068" s="502">
        <v>45730</v>
      </c>
      <c r="N3068" s="502">
        <v>45733</v>
      </c>
      <c r="O3068" s="502">
        <v>45733</v>
      </c>
      <c r="P3068" s="502">
        <v>45733</v>
      </c>
      <c r="Q3068" s="502">
        <v>45733</v>
      </c>
      <c r="R3068" s="61">
        <f t="shared" si="213"/>
        <v>1</v>
      </c>
      <c r="S3068" s="61">
        <f t="shared" si="211"/>
        <v>1</v>
      </c>
      <c r="T3068" s="61">
        <f t="shared" si="212"/>
        <v>1</v>
      </c>
      <c r="U3068" s="61">
        <f t="shared" si="214"/>
        <v>1</v>
      </c>
      <c r="V3068" s="61" t="s">
        <v>150</v>
      </c>
      <c r="W3068" s="61" t="s">
        <v>1078</v>
      </c>
      <c r="X3068" s="61" t="s">
        <v>50</v>
      </c>
      <c r="Y3068" s="61">
        <v>15.723599999999999</v>
      </c>
      <c r="Z3068" s="61">
        <v>119.9102</v>
      </c>
      <c r="AA3068" s="61" t="s">
        <v>9</v>
      </c>
      <c r="AB3068" s="61"/>
    </row>
    <row r="3069" spans="1:28" s="2" customFormat="1" ht="28.5">
      <c r="A3069" s="61" t="s">
        <v>780</v>
      </c>
      <c r="B3069" s="61" t="s">
        <v>1240</v>
      </c>
      <c r="C3069" s="61" t="s">
        <v>6561</v>
      </c>
      <c r="D3069" s="61" t="s">
        <v>159</v>
      </c>
      <c r="E3069" s="61">
        <v>2379</v>
      </c>
      <c r="F3069" s="61">
        <v>2645</v>
      </c>
      <c r="G3069" s="61">
        <v>2025</v>
      </c>
      <c r="H3069" s="61" t="s">
        <v>3126</v>
      </c>
      <c r="I3069" s="471" t="s">
        <v>42</v>
      </c>
      <c r="J3069" s="471" t="s">
        <v>163</v>
      </c>
      <c r="K3069" s="61" t="s">
        <v>2393</v>
      </c>
      <c r="L3069" s="471" t="s">
        <v>9437</v>
      </c>
      <c r="M3069" s="502">
        <v>45877</v>
      </c>
      <c r="N3069" s="502">
        <v>45881</v>
      </c>
      <c r="O3069" s="502">
        <v>45882</v>
      </c>
      <c r="P3069" s="502">
        <v>45882</v>
      </c>
      <c r="Q3069" s="502">
        <v>45882</v>
      </c>
      <c r="R3069" s="61">
        <f t="shared" si="213"/>
        <v>2</v>
      </c>
      <c r="S3069" s="61">
        <f t="shared" si="211"/>
        <v>1</v>
      </c>
      <c r="T3069" s="61">
        <f t="shared" si="212"/>
        <v>1</v>
      </c>
      <c r="U3069" s="61">
        <f t="shared" si="214"/>
        <v>1</v>
      </c>
      <c r="V3069" s="61" t="s">
        <v>150</v>
      </c>
      <c r="W3069" s="61" t="s">
        <v>1078</v>
      </c>
      <c r="X3069" s="61" t="s">
        <v>50</v>
      </c>
      <c r="Y3069" s="61"/>
      <c r="Z3069" s="61"/>
      <c r="AA3069" s="61" t="s">
        <v>544</v>
      </c>
      <c r="AB3069" s="61" t="s">
        <v>9438</v>
      </c>
    </row>
    <row r="3070" spans="1:28" s="2" customFormat="1" ht="28.5">
      <c r="A3070" s="61" t="s">
        <v>780</v>
      </c>
      <c r="B3070" s="61" t="s">
        <v>1240</v>
      </c>
      <c r="C3070" s="61" t="s">
        <v>6562</v>
      </c>
      <c r="D3070" s="61" t="s">
        <v>159</v>
      </c>
      <c r="E3070" s="61">
        <v>3375</v>
      </c>
      <c r="F3070" s="61">
        <v>3648</v>
      </c>
      <c r="G3070" s="61">
        <v>2025</v>
      </c>
      <c r="H3070" s="61" t="s">
        <v>3532</v>
      </c>
      <c r="I3070" s="471" t="s">
        <v>42</v>
      </c>
      <c r="J3070" s="471" t="s">
        <v>163</v>
      </c>
      <c r="K3070" s="61" t="s">
        <v>2393</v>
      </c>
      <c r="L3070" s="471" t="s">
        <v>9440</v>
      </c>
      <c r="M3070" s="502">
        <v>45793</v>
      </c>
      <c r="N3070" s="502">
        <v>45797</v>
      </c>
      <c r="O3070" s="502">
        <v>45797</v>
      </c>
      <c r="P3070" s="502">
        <v>45797</v>
      </c>
      <c r="Q3070" s="502">
        <v>45797</v>
      </c>
      <c r="R3070" s="61">
        <f t="shared" si="213"/>
        <v>2</v>
      </c>
      <c r="S3070" s="61">
        <f t="shared" si="211"/>
        <v>1</v>
      </c>
      <c r="T3070" s="61">
        <f t="shared" si="212"/>
        <v>1</v>
      </c>
      <c r="U3070" s="61">
        <f t="shared" si="214"/>
        <v>1</v>
      </c>
      <c r="V3070" s="61" t="s">
        <v>150</v>
      </c>
      <c r="W3070" s="61" t="s">
        <v>1078</v>
      </c>
      <c r="X3070" s="61" t="s">
        <v>50</v>
      </c>
      <c r="Y3070" s="61">
        <v>15.739000000000001</v>
      </c>
      <c r="Z3070" s="61">
        <v>119.87690000000001</v>
      </c>
      <c r="AA3070" s="61" t="s">
        <v>9</v>
      </c>
      <c r="AB3070" s="61"/>
    </row>
    <row r="3071" spans="1:28" s="2" customFormat="1" ht="28.5">
      <c r="A3071" s="61" t="s">
        <v>780</v>
      </c>
      <c r="B3071" s="61" t="s">
        <v>1240</v>
      </c>
      <c r="C3071" s="61" t="s">
        <v>6564</v>
      </c>
      <c r="D3071" s="61" t="s">
        <v>159</v>
      </c>
      <c r="E3071" s="61">
        <v>1244</v>
      </c>
      <c r="F3071" s="61">
        <v>1441</v>
      </c>
      <c r="G3071" s="61">
        <v>2025</v>
      </c>
      <c r="H3071" s="61" t="s">
        <v>3126</v>
      </c>
      <c r="I3071" s="471" t="s">
        <v>42</v>
      </c>
      <c r="J3071" s="471" t="s">
        <v>163</v>
      </c>
      <c r="K3071" s="61" t="s">
        <v>2393</v>
      </c>
      <c r="L3071" s="471" t="s">
        <v>9437</v>
      </c>
      <c r="M3071" s="502">
        <v>45877</v>
      </c>
      <c r="N3071" s="502">
        <v>45881</v>
      </c>
      <c r="O3071" s="502">
        <v>45882</v>
      </c>
      <c r="P3071" s="502">
        <v>45882</v>
      </c>
      <c r="Q3071" s="502">
        <v>45882</v>
      </c>
      <c r="R3071" s="61">
        <f t="shared" si="213"/>
        <v>2</v>
      </c>
      <c r="S3071" s="61">
        <f t="shared" si="211"/>
        <v>1</v>
      </c>
      <c r="T3071" s="61">
        <f t="shared" si="212"/>
        <v>1</v>
      </c>
      <c r="U3071" s="61">
        <f t="shared" si="214"/>
        <v>1</v>
      </c>
      <c r="V3071" s="61" t="s">
        <v>150</v>
      </c>
      <c r="W3071" s="61" t="s">
        <v>1078</v>
      </c>
      <c r="X3071" s="61" t="s">
        <v>50</v>
      </c>
      <c r="Y3071" s="61"/>
      <c r="Z3071" s="61"/>
      <c r="AA3071" s="61" t="s">
        <v>544</v>
      </c>
      <c r="AB3071" s="61" t="s">
        <v>9438</v>
      </c>
    </row>
    <row r="3072" spans="1:28" s="2" customFormat="1" ht="28.5">
      <c r="A3072" s="61" t="s">
        <v>780</v>
      </c>
      <c r="B3072" s="61" t="s">
        <v>1240</v>
      </c>
      <c r="C3072" s="61" t="s">
        <v>6565</v>
      </c>
      <c r="D3072" s="61" t="s">
        <v>159</v>
      </c>
      <c r="E3072" s="61">
        <v>1225</v>
      </c>
      <c r="F3072" s="61">
        <v>1180</v>
      </c>
      <c r="G3072" s="61">
        <v>2025</v>
      </c>
      <c r="H3072" s="61" t="s">
        <v>3532</v>
      </c>
      <c r="I3072" s="471" t="s">
        <v>42</v>
      </c>
      <c r="J3072" s="471" t="s">
        <v>163</v>
      </c>
      <c r="K3072" s="61" t="s">
        <v>2393</v>
      </c>
      <c r="L3072" s="471" t="s">
        <v>9441</v>
      </c>
      <c r="M3072" s="502">
        <v>45793</v>
      </c>
      <c r="N3072" s="502">
        <v>45797</v>
      </c>
      <c r="O3072" s="502">
        <v>45797</v>
      </c>
      <c r="P3072" s="502">
        <v>45797</v>
      </c>
      <c r="Q3072" s="502">
        <v>45797</v>
      </c>
      <c r="R3072" s="61">
        <f t="shared" si="213"/>
        <v>2</v>
      </c>
      <c r="S3072" s="61">
        <f t="shared" si="211"/>
        <v>1</v>
      </c>
      <c r="T3072" s="61">
        <f t="shared" si="212"/>
        <v>1</v>
      </c>
      <c r="U3072" s="61">
        <f t="shared" si="214"/>
        <v>1</v>
      </c>
      <c r="V3072" s="61" t="s">
        <v>150</v>
      </c>
      <c r="W3072" s="61" t="s">
        <v>1078</v>
      </c>
      <c r="X3072" s="61" t="s">
        <v>50</v>
      </c>
      <c r="Y3072" s="61">
        <v>15.7936</v>
      </c>
      <c r="Z3072" s="61">
        <v>119.9477</v>
      </c>
      <c r="AA3072" s="61" t="s">
        <v>9</v>
      </c>
      <c r="AB3072" s="61"/>
    </row>
    <row r="3073" spans="1:28" s="2" customFormat="1" ht="28.5">
      <c r="A3073" s="61" t="s">
        <v>780</v>
      </c>
      <c r="B3073" s="61" t="s">
        <v>1240</v>
      </c>
      <c r="C3073" s="61" t="s">
        <v>6567</v>
      </c>
      <c r="D3073" s="61" t="s">
        <v>159</v>
      </c>
      <c r="E3073" s="61">
        <v>2025</v>
      </c>
      <c r="F3073" s="61">
        <v>2102</v>
      </c>
      <c r="G3073" s="61">
        <v>2025</v>
      </c>
      <c r="H3073" s="61" t="s">
        <v>3470</v>
      </c>
      <c r="I3073" s="471" t="s">
        <v>42</v>
      </c>
      <c r="J3073" s="471" t="s">
        <v>163</v>
      </c>
      <c r="K3073" s="61" t="s">
        <v>2393</v>
      </c>
      <c r="L3073" s="471" t="s">
        <v>9442</v>
      </c>
      <c r="M3073" s="502">
        <v>45751</v>
      </c>
      <c r="N3073" s="502">
        <v>45754</v>
      </c>
      <c r="O3073" s="502">
        <v>45755</v>
      </c>
      <c r="P3073" s="502">
        <v>45755</v>
      </c>
      <c r="Q3073" s="502">
        <v>45755</v>
      </c>
      <c r="R3073" s="61">
        <f t="shared" si="213"/>
        <v>1</v>
      </c>
      <c r="S3073" s="61">
        <f t="shared" si="211"/>
        <v>1</v>
      </c>
      <c r="T3073" s="61">
        <f t="shared" si="212"/>
        <v>1</v>
      </c>
      <c r="U3073" s="61">
        <f t="shared" si="214"/>
        <v>1</v>
      </c>
      <c r="V3073" s="61" t="s">
        <v>150</v>
      </c>
      <c r="W3073" s="61" t="s">
        <v>1078</v>
      </c>
      <c r="X3073" s="61" t="s">
        <v>50</v>
      </c>
      <c r="Y3073" s="61">
        <v>15.8033</v>
      </c>
      <c r="Z3073" s="61">
        <v>119.9117</v>
      </c>
      <c r="AA3073" s="61" t="s">
        <v>9</v>
      </c>
      <c r="AB3073" s="61"/>
    </row>
    <row r="3074" spans="1:28" s="2" customFormat="1" ht="28.5">
      <c r="A3074" s="61" t="s">
        <v>780</v>
      </c>
      <c r="B3074" s="61" t="s">
        <v>1240</v>
      </c>
      <c r="C3074" s="61" t="s">
        <v>6472</v>
      </c>
      <c r="D3074" s="61" t="s">
        <v>159</v>
      </c>
      <c r="E3074" s="61">
        <v>6190</v>
      </c>
      <c r="F3074" s="61">
        <v>6446</v>
      </c>
      <c r="G3074" s="61">
        <v>2025</v>
      </c>
      <c r="H3074" s="61" t="s">
        <v>3470</v>
      </c>
      <c r="I3074" s="471" t="s">
        <v>42</v>
      </c>
      <c r="J3074" s="471" t="s">
        <v>163</v>
      </c>
      <c r="K3074" s="61" t="s">
        <v>2393</v>
      </c>
      <c r="L3074" s="471" t="s">
        <v>9443</v>
      </c>
      <c r="M3074" s="502">
        <v>45751</v>
      </c>
      <c r="N3074" s="502">
        <v>45754</v>
      </c>
      <c r="O3074" s="502">
        <v>45755</v>
      </c>
      <c r="P3074" s="502">
        <v>45755</v>
      </c>
      <c r="Q3074" s="502">
        <v>45755</v>
      </c>
      <c r="R3074" s="61">
        <f t="shared" si="213"/>
        <v>1</v>
      </c>
      <c r="S3074" s="61">
        <f t="shared" si="211"/>
        <v>1</v>
      </c>
      <c r="T3074" s="61">
        <f t="shared" si="212"/>
        <v>1</v>
      </c>
      <c r="U3074" s="61">
        <f t="shared" si="214"/>
        <v>1</v>
      </c>
      <c r="V3074" s="61" t="s">
        <v>150</v>
      </c>
      <c r="W3074" s="61" t="s">
        <v>1078</v>
      </c>
      <c r="X3074" s="61" t="s">
        <v>50</v>
      </c>
      <c r="Y3074" s="61">
        <v>15.754</v>
      </c>
      <c r="Z3074" s="61">
        <v>119.91030000000001</v>
      </c>
      <c r="AA3074" s="61" t="s">
        <v>9</v>
      </c>
      <c r="AB3074" s="61"/>
    </row>
    <row r="3075" spans="1:28" s="2" customFormat="1" ht="28.5">
      <c r="A3075" s="61" t="s">
        <v>780</v>
      </c>
      <c r="B3075" s="61" t="s">
        <v>1240</v>
      </c>
      <c r="C3075" s="61" t="s">
        <v>6575</v>
      </c>
      <c r="D3075" s="61" t="s">
        <v>159</v>
      </c>
      <c r="E3075" s="61">
        <v>2521</v>
      </c>
      <c r="F3075" s="61">
        <v>2657</v>
      </c>
      <c r="G3075" s="61">
        <v>2025</v>
      </c>
      <c r="H3075" s="61" t="s">
        <v>3126</v>
      </c>
      <c r="I3075" s="471" t="s">
        <v>42</v>
      </c>
      <c r="J3075" s="471" t="s">
        <v>163</v>
      </c>
      <c r="K3075" s="61" t="s">
        <v>2393</v>
      </c>
      <c r="L3075" s="471" t="s">
        <v>9437</v>
      </c>
      <c r="M3075" s="502">
        <v>45877</v>
      </c>
      <c r="N3075" s="502">
        <v>45881</v>
      </c>
      <c r="O3075" s="502">
        <v>45882</v>
      </c>
      <c r="P3075" s="502">
        <v>45882</v>
      </c>
      <c r="Q3075" s="502">
        <v>45882</v>
      </c>
      <c r="R3075" s="61">
        <f t="shared" si="213"/>
        <v>2</v>
      </c>
      <c r="S3075" s="61">
        <f t="shared" si="211"/>
        <v>1</v>
      </c>
      <c r="T3075" s="61">
        <f t="shared" si="212"/>
        <v>1</v>
      </c>
      <c r="U3075" s="61">
        <f t="shared" si="214"/>
        <v>1</v>
      </c>
      <c r="V3075" s="61" t="s">
        <v>150</v>
      </c>
      <c r="W3075" s="61" t="s">
        <v>1078</v>
      </c>
      <c r="X3075" s="61" t="s">
        <v>50</v>
      </c>
      <c r="Y3075" s="61"/>
      <c r="Z3075" s="61"/>
      <c r="AA3075" s="61" t="s">
        <v>544</v>
      </c>
      <c r="AB3075" s="61" t="s">
        <v>9438</v>
      </c>
    </row>
    <row r="3076" spans="1:28" s="2" customFormat="1" ht="28.5">
      <c r="A3076" s="61" t="s">
        <v>780</v>
      </c>
      <c r="B3076" s="61" t="s">
        <v>1240</v>
      </c>
      <c r="C3076" s="61" t="s">
        <v>6576</v>
      </c>
      <c r="D3076" s="61" t="s">
        <v>159</v>
      </c>
      <c r="E3076" s="61">
        <v>3941</v>
      </c>
      <c r="F3076" s="61">
        <v>4284</v>
      </c>
      <c r="G3076" s="61">
        <v>2025</v>
      </c>
      <c r="H3076" s="61" t="s">
        <v>3126</v>
      </c>
      <c r="I3076" s="471" t="s">
        <v>42</v>
      </c>
      <c r="J3076" s="471" t="s">
        <v>163</v>
      </c>
      <c r="K3076" s="61" t="s">
        <v>2393</v>
      </c>
      <c r="L3076" s="471" t="s">
        <v>9437</v>
      </c>
      <c r="M3076" s="502">
        <v>45877</v>
      </c>
      <c r="N3076" s="502">
        <v>45881</v>
      </c>
      <c r="O3076" s="502">
        <v>45882</v>
      </c>
      <c r="P3076" s="502">
        <v>45882</v>
      </c>
      <c r="Q3076" s="502">
        <v>45882</v>
      </c>
      <c r="R3076" s="61">
        <f t="shared" si="213"/>
        <v>2</v>
      </c>
      <c r="S3076" s="61">
        <f t="shared" si="211"/>
        <v>1</v>
      </c>
      <c r="T3076" s="61">
        <f t="shared" si="212"/>
        <v>1</v>
      </c>
      <c r="U3076" s="61">
        <f t="shared" si="214"/>
        <v>1</v>
      </c>
      <c r="V3076" s="61" t="s">
        <v>150</v>
      </c>
      <c r="W3076" s="61" t="s">
        <v>1078</v>
      </c>
      <c r="X3076" s="61" t="s">
        <v>50</v>
      </c>
      <c r="Y3076" s="61"/>
      <c r="Z3076" s="61"/>
      <c r="AA3076" s="61" t="s">
        <v>544</v>
      </c>
      <c r="AB3076" s="61" t="s">
        <v>9438</v>
      </c>
    </row>
    <row r="3077" spans="1:28" s="2" customFormat="1" ht="28.5">
      <c r="A3077" s="61" t="s">
        <v>780</v>
      </c>
      <c r="B3077" s="61" t="s">
        <v>1240</v>
      </c>
      <c r="C3077" s="61" t="s">
        <v>6577</v>
      </c>
      <c r="D3077" s="61" t="s">
        <v>159</v>
      </c>
      <c r="E3077" s="61">
        <v>2299</v>
      </c>
      <c r="F3077" s="61">
        <v>2781</v>
      </c>
      <c r="G3077" s="61">
        <v>2025</v>
      </c>
      <c r="H3077" s="61" t="s">
        <v>3126</v>
      </c>
      <c r="I3077" s="471" t="s">
        <v>42</v>
      </c>
      <c r="J3077" s="471" t="s">
        <v>163</v>
      </c>
      <c r="K3077" s="61" t="s">
        <v>2393</v>
      </c>
      <c r="L3077" s="471" t="s">
        <v>9437</v>
      </c>
      <c r="M3077" s="502">
        <v>45877</v>
      </c>
      <c r="N3077" s="502">
        <v>45881</v>
      </c>
      <c r="O3077" s="502">
        <v>45882</v>
      </c>
      <c r="P3077" s="502">
        <v>45882</v>
      </c>
      <c r="Q3077" s="502">
        <v>45882</v>
      </c>
      <c r="R3077" s="61">
        <f t="shared" si="213"/>
        <v>2</v>
      </c>
      <c r="S3077" s="61">
        <f t="shared" si="211"/>
        <v>1</v>
      </c>
      <c r="T3077" s="61">
        <f t="shared" si="212"/>
        <v>1</v>
      </c>
      <c r="U3077" s="61">
        <f t="shared" si="214"/>
        <v>1</v>
      </c>
      <c r="V3077" s="61" t="s">
        <v>150</v>
      </c>
      <c r="W3077" s="61" t="s">
        <v>1078</v>
      </c>
      <c r="X3077" s="61" t="s">
        <v>50</v>
      </c>
      <c r="Y3077" s="61"/>
      <c r="Z3077" s="61"/>
      <c r="AA3077" s="61" t="s">
        <v>544</v>
      </c>
      <c r="AB3077" s="61" t="s">
        <v>9438</v>
      </c>
    </row>
    <row r="3078" spans="1:28" s="2" customFormat="1" ht="28.5">
      <c r="A3078" s="61" t="s">
        <v>780</v>
      </c>
      <c r="B3078" s="61" t="s">
        <v>1240</v>
      </c>
      <c r="C3078" s="61" t="s">
        <v>6578</v>
      </c>
      <c r="D3078" s="61" t="s">
        <v>159</v>
      </c>
      <c r="E3078" s="61">
        <v>2021</v>
      </c>
      <c r="F3078" s="61">
        <v>2524</v>
      </c>
      <c r="G3078" s="61">
        <v>2025</v>
      </c>
      <c r="H3078" s="61" t="s">
        <v>3416</v>
      </c>
      <c r="I3078" s="471" t="s">
        <v>42</v>
      </c>
      <c r="J3078" s="471" t="s">
        <v>163</v>
      </c>
      <c r="K3078" s="61" t="s">
        <v>2393</v>
      </c>
      <c r="L3078" s="61" t="s">
        <v>9444</v>
      </c>
      <c r="M3078" s="502">
        <v>45730</v>
      </c>
      <c r="N3078" s="502">
        <v>45733</v>
      </c>
      <c r="O3078" s="502">
        <v>45733</v>
      </c>
      <c r="P3078" s="502">
        <v>45733</v>
      </c>
      <c r="Q3078" s="502">
        <v>45733</v>
      </c>
      <c r="R3078" s="61">
        <f t="shared" si="213"/>
        <v>1</v>
      </c>
      <c r="S3078" s="61">
        <f t="shared" si="211"/>
        <v>1</v>
      </c>
      <c r="T3078" s="61">
        <f t="shared" si="212"/>
        <v>1</v>
      </c>
      <c r="U3078" s="61">
        <f t="shared" si="214"/>
        <v>1</v>
      </c>
      <c r="V3078" s="61" t="s">
        <v>150</v>
      </c>
      <c r="W3078" s="61" t="s">
        <v>1078</v>
      </c>
      <c r="X3078" s="61" t="s">
        <v>50</v>
      </c>
      <c r="Y3078" s="61">
        <v>15.716100000000001</v>
      </c>
      <c r="Z3078" s="61">
        <v>119.9084</v>
      </c>
      <c r="AA3078" s="61" t="s">
        <v>9</v>
      </c>
      <c r="AB3078" s="61"/>
    </row>
    <row r="3079" spans="1:28" s="2" customFormat="1" ht="28.5">
      <c r="A3079" s="61" t="s">
        <v>780</v>
      </c>
      <c r="B3079" s="61" t="s">
        <v>1240</v>
      </c>
      <c r="C3079" s="61" t="s">
        <v>6579</v>
      </c>
      <c r="D3079" s="61" t="s">
        <v>159</v>
      </c>
      <c r="E3079" s="61">
        <v>3101</v>
      </c>
      <c r="F3079" s="61">
        <v>3560</v>
      </c>
      <c r="G3079" s="61">
        <v>2025</v>
      </c>
      <c r="H3079" s="61" t="s">
        <v>3126</v>
      </c>
      <c r="I3079" s="471" t="s">
        <v>42</v>
      </c>
      <c r="J3079" s="471" t="s">
        <v>163</v>
      </c>
      <c r="K3079" s="61" t="s">
        <v>2393</v>
      </c>
      <c r="L3079" s="471" t="s">
        <v>9437</v>
      </c>
      <c r="M3079" s="502">
        <v>45877</v>
      </c>
      <c r="N3079" s="502">
        <v>45881</v>
      </c>
      <c r="O3079" s="502">
        <v>45882</v>
      </c>
      <c r="P3079" s="502">
        <v>45882</v>
      </c>
      <c r="Q3079" s="502">
        <v>45882</v>
      </c>
      <c r="R3079" s="61">
        <f t="shared" si="213"/>
        <v>2</v>
      </c>
      <c r="S3079" s="61">
        <f t="shared" si="211"/>
        <v>1</v>
      </c>
      <c r="T3079" s="61">
        <f t="shared" si="212"/>
        <v>1</v>
      </c>
      <c r="U3079" s="61">
        <f t="shared" si="214"/>
        <v>1</v>
      </c>
      <c r="V3079" s="61" t="s">
        <v>150</v>
      </c>
      <c r="W3079" s="61" t="s">
        <v>1078</v>
      </c>
      <c r="X3079" s="61" t="s">
        <v>50</v>
      </c>
      <c r="Y3079" s="61"/>
      <c r="Z3079" s="61"/>
      <c r="AA3079" s="61" t="s">
        <v>544</v>
      </c>
      <c r="AB3079" s="61" t="s">
        <v>9438</v>
      </c>
    </row>
    <row r="3080" spans="1:28" s="2" customFormat="1" ht="28.5">
      <c r="A3080" s="61" t="s">
        <v>780</v>
      </c>
      <c r="B3080" s="61" t="s">
        <v>1240</v>
      </c>
      <c r="C3080" s="61" t="s">
        <v>6580</v>
      </c>
      <c r="D3080" s="61" t="s">
        <v>159</v>
      </c>
      <c r="E3080" s="61">
        <v>1193</v>
      </c>
      <c r="F3080" s="61">
        <v>1261</v>
      </c>
      <c r="G3080" s="61">
        <v>2025</v>
      </c>
      <c r="H3080" s="61" t="s">
        <v>3532</v>
      </c>
      <c r="I3080" s="471" t="s">
        <v>42</v>
      </c>
      <c r="J3080" s="471" t="s">
        <v>163</v>
      </c>
      <c r="K3080" s="61" t="s">
        <v>2393</v>
      </c>
      <c r="L3080" s="61" t="s">
        <v>9445</v>
      </c>
      <c r="M3080" s="502">
        <v>45793</v>
      </c>
      <c r="N3080" s="502">
        <v>45797</v>
      </c>
      <c r="O3080" s="502">
        <v>45797</v>
      </c>
      <c r="P3080" s="502">
        <v>45797</v>
      </c>
      <c r="Q3080" s="502">
        <v>45797</v>
      </c>
      <c r="R3080" s="61">
        <f t="shared" si="213"/>
        <v>2</v>
      </c>
      <c r="S3080" s="61">
        <f t="shared" si="211"/>
        <v>1</v>
      </c>
      <c r="T3080" s="61">
        <f t="shared" si="212"/>
        <v>1</v>
      </c>
      <c r="U3080" s="61">
        <f t="shared" si="214"/>
        <v>1</v>
      </c>
      <c r="V3080" s="61" t="s">
        <v>150</v>
      </c>
      <c r="W3080" s="61" t="s">
        <v>1078</v>
      </c>
      <c r="X3080" s="61" t="s">
        <v>50</v>
      </c>
      <c r="Y3080" s="61">
        <v>15.7911</v>
      </c>
      <c r="Z3080" s="61">
        <v>119.92270000000001</v>
      </c>
      <c r="AA3080" s="61" t="s">
        <v>9</v>
      </c>
      <c r="AB3080" s="61"/>
    </row>
    <row r="3081" spans="1:28" s="2" customFormat="1" ht="28.5">
      <c r="A3081" s="61" t="s">
        <v>780</v>
      </c>
      <c r="B3081" s="61" t="s">
        <v>1240</v>
      </c>
      <c r="C3081" s="61" t="s">
        <v>4991</v>
      </c>
      <c r="D3081" s="61" t="s">
        <v>159</v>
      </c>
      <c r="E3081" s="61">
        <v>3033</v>
      </c>
      <c r="F3081" s="61">
        <v>3163</v>
      </c>
      <c r="G3081" s="61">
        <v>2025</v>
      </c>
      <c r="H3081" s="61" t="s">
        <v>3126</v>
      </c>
      <c r="I3081" s="471" t="s">
        <v>42</v>
      </c>
      <c r="J3081" s="471" t="s">
        <v>163</v>
      </c>
      <c r="K3081" s="61" t="s">
        <v>2393</v>
      </c>
      <c r="L3081" s="471" t="s">
        <v>9437</v>
      </c>
      <c r="M3081" s="502">
        <v>45877</v>
      </c>
      <c r="N3081" s="502">
        <v>45881</v>
      </c>
      <c r="O3081" s="502">
        <v>45882</v>
      </c>
      <c r="P3081" s="502">
        <v>45882</v>
      </c>
      <c r="Q3081" s="502">
        <v>45882</v>
      </c>
      <c r="R3081" s="61">
        <f t="shared" si="213"/>
        <v>2</v>
      </c>
      <c r="S3081" s="61">
        <f t="shared" si="211"/>
        <v>1</v>
      </c>
      <c r="T3081" s="61">
        <f t="shared" si="212"/>
        <v>1</v>
      </c>
      <c r="U3081" s="61">
        <f t="shared" si="214"/>
        <v>1</v>
      </c>
      <c r="V3081" s="61" t="s">
        <v>150</v>
      </c>
      <c r="W3081" s="61" t="s">
        <v>1078</v>
      </c>
      <c r="X3081" s="61" t="s">
        <v>50</v>
      </c>
      <c r="Y3081" s="61"/>
      <c r="Z3081" s="61"/>
      <c r="AA3081" s="61" t="s">
        <v>544</v>
      </c>
      <c r="AB3081" s="61" t="s">
        <v>9438</v>
      </c>
    </row>
    <row r="3082" spans="1:28" s="2" customFormat="1" ht="28.5">
      <c r="A3082" s="61" t="s">
        <v>780</v>
      </c>
      <c r="B3082" s="61" t="s">
        <v>1240</v>
      </c>
      <c r="C3082" s="61" t="s">
        <v>1241</v>
      </c>
      <c r="D3082" s="61" t="s">
        <v>159</v>
      </c>
      <c r="E3082" s="61">
        <v>1138</v>
      </c>
      <c r="F3082" s="61">
        <v>1410</v>
      </c>
      <c r="G3082" s="61">
        <v>2025</v>
      </c>
      <c r="H3082" s="61" t="s">
        <v>3532</v>
      </c>
      <c r="I3082" s="471" t="s">
        <v>42</v>
      </c>
      <c r="J3082" s="471" t="s">
        <v>163</v>
      </c>
      <c r="K3082" s="61" t="s">
        <v>2393</v>
      </c>
      <c r="L3082" s="471" t="s">
        <v>9446</v>
      </c>
      <c r="M3082" s="502">
        <v>45793</v>
      </c>
      <c r="N3082" s="502">
        <v>45797</v>
      </c>
      <c r="O3082" s="502">
        <v>45797</v>
      </c>
      <c r="P3082" s="502">
        <v>45797</v>
      </c>
      <c r="Q3082" s="502">
        <v>45797</v>
      </c>
      <c r="R3082" s="61">
        <f t="shared" si="213"/>
        <v>2</v>
      </c>
      <c r="S3082" s="61">
        <f t="shared" si="211"/>
        <v>1</v>
      </c>
      <c r="T3082" s="61">
        <f t="shared" si="212"/>
        <v>1</v>
      </c>
      <c r="U3082" s="61">
        <f t="shared" si="214"/>
        <v>1</v>
      </c>
      <c r="V3082" s="61" t="s">
        <v>150</v>
      </c>
      <c r="W3082" s="61" t="s">
        <v>1078</v>
      </c>
      <c r="X3082" s="61" t="s">
        <v>50</v>
      </c>
      <c r="Y3082" s="61">
        <v>15.712</v>
      </c>
      <c r="Z3082" s="61">
        <v>119.8848</v>
      </c>
      <c r="AA3082" s="61" t="s">
        <v>9</v>
      </c>
      <c r="AB3082" s="61"/>
    </row>
    <row r="3083" spans="1:28" s="2" customFormat="1" ht="28.5">
      <c r="A3083" s="61" t="s">
        <v>780</v>
      </c>
      <c r="B3083" s="61" t="s">
        <v>1240</v>
      </c>
      <c r="C3083" s="61" t="s">
        <v>1953</v>
      </c>
      <c r="D3083" s="61" t="s">
        <v>159</v>
      </c>
      <c r="E3083" s="61">
        <v>2227</v>
      </c>
      <c r="F3083" s="61">
        <v>2597</v>
      </c>
      <c r="G3083" s="61">
        <v>2025</v>
      </c>
      <c r="H3083" s="61" t="s">
        <v>3126</v>
      </c>
      <c r="I3083" s="471" t="s">
        <v>42</v>
      </c>
      <c r="J3083" s="471" t="s">
        <v>163</v>
      </c>
      <c r="K3083" s="61" t="s">
        <v>2393</v>
      </c>
      <c r="L3083" s="471" t="s">
        <v>9437</v>
      </c>
      <c r="M3083" s="502">
        <v>45877</v>
      </c>
      <c r="N3083" s="502">
        <v>45881</v>
      </c>
      <c r="O3083" s="502">
        <v>45882</v>
      </c>
      <c r="P3083" s="502">
        <v>45882</v>
      </c>
      <c r="Q3083" s="502">
        <v>45882</v>
      </c>
      <c r="R3083" s="61">
        <f t="shared" si="213"/>
        <v>2</v>
      </c>
      <c r="S3083" s="61">
        <f t="shared" ref="S3083:S3105" si="215">IF(
    OR(ISBLANK(N3083), ISBLANK(O3083)),
    "",
    MAX(1, IF(
        NETWORKDAYS(N3083, O3083) &lt;= 0,
        1,
        NETWORKDAYS(N3083, O3083) - IF(N3083 = O3083, 0, 1)
    ))
)</f>
        <v>1</v>
      </c>
      <c r="T3083" s="61">
        <f t="shared" si="212"/>
        <v>1</v>
      </c>
      <c r="U3083" s="61">
        <f t="shared" si="214"/>
        <v>1</v>
      </c>
      <c r="V3083" s="61" t="s">
        <v>150</v>
      </c>
      <c r="W3083" s="61" t="s">
        <v>1078</v>
      </c>
      <c r="X3083" s="61" t="s">
        <v>50</v>
      </c>
      <c r="Y3083" s="61"/>
      <c r="Z3083" s="61"/>
      <c r="AA3083" s="61" t="s">
        <v>544</v>
      </c>
      <c r="AB3083" s="61" t="s">
        <v>9438</v>
      </c>
    </row>
    <row r="3084" spans="1:28" s="2" customFormat="1" ht="28.5">
      <c r="A3084" s="61" t="s">
        <v>780</v>
      </c>
      <c r="B3084" s="61" t="s">
        <v>1240</v>
      </c>
      <c r="C3084" s="61" t="s">
        <v>6585</v>
      </c>
      <c r="D3084" s="61" t="s">
        <v>159</v>
      </c>
      <c r="E3084" s="61">
        <v>593</v>
      </c>
      <c r="F3084" s="61">
        <v>601</v>
      </c>
      <c r="G3084" s="61">
        <v>2025</v>
      </c>
      <c r="H3084" s="61" t="s">
        <v>3470</v>
      </c>
      <c r="I3084" s="471" t="s">
        <v>42</v>
      </c>
      <c r="J3084" s="471" t="s">
        <v>163</v>
      </c>
      <c r="K3084" s="61" t="s">
        <v>2393</v>
      </c>
      <c r="L3084" s="471" t="s">
        <v>9447</v>
      </c>
      <c r="M3084" s="502">
        <v>45751</v>
      </c>
      <c r="N3084" s="502">
        <v>45754</v>
      </c>
      <c r="O3084" s="502">
        <v>45755</v>
      </c>
      <c r="P3084" s="502">
        <v>45755</v>
      </c>
      <c r="Q3084" s="502">
        <v>45755</v>
      </c>
      <c r="R3084" s="61">
        <f t="shared" si="213"/>
        <v>1</v>
      </c>
      <c r="S3084" s="61">
        <f t="shared" si="215"/>
        <v>1</v>
      </c>
      <c r="T3084" s="61">
        <f t="shared" si="212"/>
        <v>1</v>
      </c>
      <c r="U3084" s="61">
        <f t="shared" si="214"/>
        <v>1</v>
      </c>
      <c r="V3084" s="61" t="s">
        <v>150</v>
      </c>
      <c r="W3084" s="61" t="s">
        <v>1078</v>
      </c>
      <c r="X3084" s="61" t="s">
        <v>50</v>
      </c>
      <c r="Y3084" s="61">
        <v>15.799200000000001</v>
      </c>
      <c r="Z3084" s="61">
        <v>119.9389</v>
      </c>
      <c r="AA3084" s="61" t="s">
        <v>9</v>
      </c>
      <c r="AB3084" s="61"/>
    </row>
    <row r="3085" spans="1:28" s="2" customFormat="1" ht="28.5">
      <c r="A3085" s="61" t="s">
        <v>780</v>
      </c>
      <c r="B3085" s="61" t="s">
        <v>1240</v>
      </c>
      <c r="C3085" s="61" t="s">
        <v>6587</v>
      </c>
      <c r="D3085" s="61" t="s">
        <v>159</v>
      </c>
      <c r="E3085" s="61">
        <v>2514</v>
      </c>
      <c r="F3085" s="61">
        <v>2839</v>
      </c>
      <c r="G3085" s="61">
        <v>2025</v>
      </c>
      <c r="H3085" s="61" t="s">
        <v>3126</v>
      </c>
      <c r="I3085" s="471" t="s">
        <v>42</v>
      </c>
      <c r="J3085" s="471" t="s">
        <v>163</v>
      </c>
      <c r="K3085" s="61" t="s">
        <v>2393</v>
      </c>
      <c r="L3085" s="471" t="s">
        <v>9437</v>
      </c>
      <c r="M3085" s="502">
        <v>45877</v>
      </c>
      <c r="N3085" s="502">
        <v>45881</v>
      </c>
      <c r="O3085" s="502">
        <v>45882</v>
      </c>
      <c r="P3085" s="502">
        <v>45882</v>
      </c>
      <c r="Q3085" s="502">
        <v>45882</v>
      </c>
      <c r="R3085" s="61">
        <f t="shared" si="213"/>
        <v>2</v>
      </c>
      <c r="S3085" s="61">
        <f t="shared" si="215"/>
        <v>1</v>
      </c>
      <c r="T3085" s="61">
        <f t="shared" si="212"/>
        <v>1</v>
      </c>
      <c r="U3085" s="61">
        <f t="shared" si="214"/>
        <v>1</v>
      </c>
      <c r="V3085" s="61" t="s">
        <v>150</v>
      </c>
      <c r="W3085" s="61" t="s">
        <v>1078</v>
      </c>
      <c r="X3085" s="61" t="s">
        <v>50</v>
      </c>
      <c r="Y3085" s="61"/>
      <c r="Z3085" s="61"/>
      <c r="AA3085" s="61" t="s">
        <v>544</v>
      </c>
      <c r="AB3085" s="61" t="s">
        <v>9438</v>
      </c>
    </row>
    <row r="3086" spans="1:28" s="2" customFormat="1" ht="28.5">
      <c r="A3086" s="61" t="s">
        <v>780</v>
      </c>
      <c r="B3086" s="61" t="s">
        <v>1240</v>
      </c>
      <c r="C3086" s="61" t="s">
        <v>6589</v>
      </c>
      <c r="D3086" s="61" t="s">
        <v>159</v>
      </c>
      <c r="E3086" s="61">
        <v>2062</v>
      </c>
      <c r="F3086" s="61">
        <v>2419</v>
      </c>
      <c r="G3086" s="61">
        <v>2025</v>
      </c>
      <c r="H3086" s="61" t="s">
        <v>3126</v>
      </c>
      <c r="I3086" s="471" t="s">
        <v>42</v>
      </c>
      <c r="J3086" s="471" t="s">
        <v>163</v>
      </c>
      <c r="K3086" s="61" t="s">
        <v>2393</v>
      </c>
      <c r="L3086" s="471" t="s">
        <v>9437</v>
      </c>
      <c r="M3086" s="502">
        <v>45877</v>
      </c>
      <c r="N3086" s="502">
        <v>45881</v>
      </c>
      <c r="O3086" s="502">
        <v>45882</v>
      </c>
      <c r="P3086" s="502">
        <v>45882</v>
      </c>
      <c r="Q3086" s="502">
        <v>45882</v>
      </c>
      <c r="R3086" s="61">
        <f t="shared" si="213"/>
        <v>2</v>
      </c>
      <c r="S3086" s="61">
        <f t="shared" si="215"/>
        <v>1</v>
      </c>
      <c r="T3086" s="61">
        <f t="shared" si="212"/>
        <v>1</v>
      </c>
      <c r="U3086" s="61">
        <f t="shared" si="214"/>
        <v>1</v>
      </c>
      <c r="V3086" s="61" t="s">
        <v>150</v>
      </c>
      <c r="W3086" s="61" t="s">
        <v>1078</v>
      </c>
      <c r="X3086" s="61" t="s">
        <v>50</v>
      </c>
      <c r="Y3086" s="61"/>
      <c r="Z3086" s="61"/>
      <c r="AA3086" s="61" t="s">
        <v>544</v>
      </c>
      <c r="AB3086" s="61" t="s">
        <v>9438</v>
      </c>
    </row>
    <row r="3087" spans="1:28" s="2" customFormat="1" ht="28.5">
      <c r="A3087" s="61" t="s">
        <v>780</v>
      </c>
      <c r="B3087" s="61" t="s">
        <v>1240</v>
      </c>
      <c r="C3087" s="61" t="s">
        <v>6571</v>
      </c>
      <c r="D3087" s="61" t="s">
        <v>159</v>
      </c>
      <c r="E3087" s="61">
        <v>3356</v>
      </c>
      <c r="F3087" s="61">
        <v>3418</v>
      </c>
      <c r="G3087" s="61">
        <v>2025</v>
      </c>
      <c r="H3087" s="61" t="s">
        <v>3689</v>
      </c>
      <c r="I3087" s="471" t="s">
        <v>42</v>
      </c>
      <c r="J3087" s="471" t="s">
        <v>163</v>
      </c>
      <c r="K3087" s="61" t="s">
        <v>2393</v>
      </c>
      <c r="L3087" s="471" t="s">
        <v>9448</v>
      </c>
      <c r="M3087" s="502">
        <v>45825</v>
      </c>
      <c r="N3087" s="502">
        <v>45827</v>
      </c>
      <c r="O3087" s="502">
        <v>45827</v>
      </c>
      <c r="P3087" s="502">
        <v>45827</v>
      </c>
      <c r="Q3087" s="502">
        <v>45827</v>
      </c>
      <c r="R3087" s="61">
        <f t="shared" si="213"/>
        <v>2</v>
      </c>
      <c r="S3087" s="61">
        <f t="shared" si="215"/>
        <v>1</v>
      </c>
      <c r="T3087" s="61">
        <f t="shared" si="212"/>
        <v>1</v>
      </c>
      <c r="U3087" s="61">
        <f t="shared" si="214"/>
        <v>1</v>
      </c>
      <c r="V3087" s="61" t="s">
        <v>150</v>
      </c>
      <c r="W3087" s="61" t="s">
        <v>3527</v>
      </c>
      <c r="X3087" s="61" t="s">
        <v>3528</v>
      </c>
      <c r="Y3087" s="61"/>
      <c r="Z3087" s="61"/>
      <c r="AA3087" s="61"/>
      <c r="AB3087" s="61"/>
    </row>
    <row r="3088" spans="1:28" s="2" customFormat="1" ht="28.5">
      <c r="A3088" s="61" t="s">
        <v>780</v>
      </c>
      <c r="B3088" s="61" t="s">
        <v>1240</v>
      </c>
      <c r="C3088" s="61" t="s">
        <v>5278</v>
      </c>
      <c r="D3088" s="61" t="s">
        <v>159</v>
      </c>
      <c r="E3088" s="61">
        <v>1553</v>
      </c>
      <c r="F3088" s="61">
        <v>1801</v>
      </c>
      <c r="G3088" s="61">
        <v>2025</v>
      </c>
      <c r="H3088" s="61" t="s">
        <v>3689</v>
      </c>
      <c r="I3088" s="471" t="s">
        <v>42</v>
      </c>
      <c r="J3088" s="471" t="s">
        <v>163</v>
      </c>
      <c r="K3088" s="61" t="s">
        <v>2393</v>
      </c>
      <c r="L3088" s="471" t="s">
        <v>9449</v>
      </c>
      <c r="M3088" s="502">
        <v>45825</v>
      </c>
      <c r="N3088" s="502">
        <v>45826</v>
      </c>
      <c r="O3088" s="502">
        <v>45826</v>
      </c>
      <c r="P3088" s="502">
        <v>45826</v>
      </c>
      <c r="Q3088" s="502">
        <v>45826</v>
      </c>
      <c r="R3088" s="61">
        <f t="shared" si="213"/>
        <v>1</v>
      </c>
      <c r="S3088" s="61">
        <f t="shared" si="215"/>
        <v>1</v>
      </c>
      <c r="T3088" s="61">
        <f t="shared" si="212"/>
        <v>1</v>
      </c>
      <c r="U3088" s="61">
        <f t="shared" si="214"/>
        <v>1</v>
      </c>
      <c r="V3088" s="61" t="s">
        <v>150</v>
      </c>
      <c r="W3088" s="61" t="s">
        <v>3527</v>
      </c>
      <c r="X3088" s="61" t="s">
        <v>3528</v>
      </c>
      <c r="Y3088" s="61"/>
      <c r="Z3088" s="61"/>
      <c r="AA3088" s="61"/>
      <c r="AB3088" s="61"/>
    </row>
    <row r="3089" spans="1:28" s="2" customFormat="1" ht="28.5">
      <c r="A3089" s="61" t="s">
        <v>780</v>
      </c>
      <c r="B3089" s="61" t="s">
        <v>1240</v>
      </c>
      <c r="C3089" s="61" t="s">
        <v>2068</v>
      </c>
      <c r="D3089" s="61" t="s">
        <v>159</v>
      </c>
      <c r="E3089" s="61">
        <v>3437</v>
      </c>
      <c r="F3089" s="61">
        <v>3705</v>
      </c>
      <c r="G3089" s="61">
        <v>2025</v>
      </c>
      <c r="H3089" s="61" t="s">
        <v>3470</v>
      </c>
      <c r="I3089" s="471" t="s">
        <v>42</v>
      </c>
      <c r="J3089" s="471" t="s">
        <v>163</v>
      </c>
      <c r="K3089" s="61" t="s">
        <v>2393</v>
      </c>
      <c r="L3089" s="471" t="s">
        <v>9450</v>
      </c>
      <c r="M3089" s="502">
        <v>45758</v>
      </c>
      <c r="N3089" s="502">
        <v>45761</v>
      </c>
      <c r="O3089" s="502">
        <v>45761</v>
      </c>
      <c r="P3089" s="502">
        <v>45761</v>
      </c>
      <c r="Q3089" s="502">
        <v>45761</v>
      </c>
      <c r="R3089" s="61">
        <f t="shared" si="213"/>
        <v>1</v>
      </c>
      <c r="S3089" s="61">
        <f t="shared" si="215"/>
        <v>1</v>
      </c>
      <c r="T3089" s="61">
        <f t="shared" si="212"/>
        <v>1</v>
      </c>
      <c r="U3089" s="61">
        <f t="shared" si="214"/>
        <v>1</v>
      </c>
      <c r="V3089" s="61" t="s">
        <v>150</v>
      </c>
      <c r="W3089" s="61" t="s">
        <v>3527</v>
      </c>
      <c r="X3089" s="61" t="s">
        <v>3528</v>
      </c>
      <c r="Y3089" s="61"/>
      <c r="Z3089" s="61"/>
      <c r="AA3089" s="61"/>
      <c r="AB3089" s="61"/>
    </row>
    <row r="3090" spans="1:28" s="2" customFormat="1" ht="15">
      <c r="A3090" s="61" t="s">
        <v>780</v>
      </c>
      <c r="B3090" s="61" t="s">
        <v>2071</v>
      </c>
      <c r="C3090" s="61" t="s">
        <v>6591</v>
      </c>
      <c r="D3090" s="61" t="s">
        <v>159</v>
      </c>
      <c r="E3090" s="61">
        <v>5357</v>
      </c>
      <c r="F3090" s="61">
        <v>5676</v>
      </c>
      <c r="G3090" s="61"/>
      <c r="H3090" s="61"/>
      <c r="I3090" s="471"/>
      <c r="J3090" s="471"/>
      <c r="K3090" s="61" t="s">
        <v>2393</v>
      </c>
      <c r="L3090" s="471"/>
      <c r="M3090" s="471"/>
      <c r="N3090" s="471"/>
      <c r="O3090" s="471"/>
      <c r="P3090" s="471"/>
      <c r="Q3090" s="471"/>
      <c r="R3090" s="61" t="str">
        <f t="shared" si="213"/>
        <v/>
      </c>
      <c r="S3090" s="61" t="str">
        <f t="shared" si="215"/>
        <v/>
      </c>
      <c r="T3090" s="61" t="str">
        <f t="shared" si="212"/>
        <v/>
      </c>
      <c r="U3090" s="61" t="str">
        <f t="shared" si="214"/>
        <v/>
      </c>
      <c r="V3090" s="61"/>
      <c r="W3090" s="61"/>
      <c r="X3090" s="61"/>
      <c r="Y3090" s="61"/>
      <c r="Z3090" s="61"/>
      <c r="AA3090" s="61"/>
      <c r="AB3090" s="61"/>
    </row>
    <row r="3091" spans="1:28" s="2" customFormat="1" ht="15">
      <c r="A3091" s="61" t="s">
        <v>780</v>
      </c>
      <c r="B3091" s="61" t="s">
        <v>2071</v>
      </c>
      <c r="C3091" s="61" t="s">
        <v>6592</v>
      </c>
      <c r="D3091" s="61" t="s">
        <v>159</v>
      </c>
      <c r="E3091" s="61">
        <v>1212</v>
      </c>
      <c r="F3091" s="61">
        <v>1072</v>
      </c>
      <c r="G3091" s="61"/>
      <c r="H3091" s="61"/>
      <c r="I3091" s="471"/>
      <c r="J3091" s="471"/>
      <c r="K3091" s="61" t="s">
        <v>2393</v>
      </c>
      <c r="L3091" s="471"/>
      <c r="M3091" s="471"/>
      <c r="N3091" s="471"/>
      <c r="O3091" s="471"/>
      <c r="P3091" s="471"/>
      <c r="Q3091" s="471"/>
      <c r="R3091" s="61" t="str">
        <f t="shared" si="213"/>
        <v/>
      </c>
      <c r="S3091" s="61" t="str">
        <f t="shared" si="215"/>
        <v/>
      </c>
      <c r="T3091" s="61" t="str">
        <f t="shared" si="212"/>
        <v/>
      </c>
      <c r="U3091" s="61" t="str">
        <f t="shared" si="214"/>
        <v/>
      </c>
      <c r="V3091" s="61"/>
      <c r="W3091" s="61"/>
      <c r="X3091" s="61"/>
      <c r="Y3091" s="61"/>
      <c r="Z3091" s="61"/>
      <c r="AA3091" s="61"/>
      <c r="AB3091" s="61"/>
    </row>
    <row r="3092" spans="1:28" s="2" customFormat="1" ht="15">
      <c r="A3092" s="61" t="s">
        <v>780</v>
      </c>
      <c r="B3092" s="61" t="s">
        <v>2071</v>
      </c>
      <c r="C3092" s="61" t="s">
        <v>6594</v>
      </c>
      <c r="D3092" s="61" t="s">
        <v>159</v>
      </c>
      <c r="E3092" s="61">
        <v>7855</v>
      </c>
      <c r="F3092" s="61">
        <v>9049</v>
      </c>
      <c r="G3092" s="61"/>
      <c r="H3092" s="61"/>
      <c r="I3092" s="471"/>
      <c r="J3092" s="471"/>
      <c r="K3092" s="61" t="s">
        <v>2393</v>
      </c>
      <c r="L3092" s="471"/>
      <c r="M3092" s="471"/>
      <c r="N3092" s="471"/>
      <c r="O3092" s="471"/>
      <c r="P3092" s="471"/>
      <c r="Q3092" s="471"/>
      <c r="R3092" s="61" t="str">
        <f t="shared" si="213"/>
        <v/>
      </c>
      <c r="S3092" s="61" t="str">
        <f t="shared" si="215"/>
        <v/>
      </c>
      <c r="T3092" s="61" t="str">
        <f t="shared" si="212"/>
        <v/>
      </c>
      <c r="U3092" s="61" t="str">
        <f t="shared" si="214"/>
        <v/>
      </c>
      <c r="V3092" s="61"/>
      <c r="W3092" s="61"/>
      <c r="X3092" s="61"/>
      <c r="Y3092" s="61"/>
      <c r="Z3092" s="61"/>
      <c r="AA3092" s="61"/>
      <c r="AB3092" s="61"/>
    </row>
    <row r="3093" spans="1:28" s="2" customFormat="1" ht="15">
      <c r="A3093" s="61" t="s">
        <v>780</v>
      </c>
      <c r="B3093" s="61" t="s">
        <v>2071</v>
      </c>
      <c r="C3093" s="61" t="s">
        <v>6596</v>
      </c>
      <c r="D3093" s="61" t="s">
        <v>159</v>
      </c>
      <c r="E3093" s="61">
        <v>3596</v>
      </c>
      <c r="F3093" s="61">
        <v>3369</v>
      </c>
      <c r="G3093" s="61"/>
      <c r="H3093" s="61"/>
      <c r="I3093" s="471"/>
      <c r="J3093" s="471"/>
      <c r="K3093" s="61" t="s">
        <v>2393</v>
      </c>
      <c r="L3093" s="471"/>
      <c r="M3093" s="471"/>
      <c r="N3093" s="471"/>
      <c r="O3093" s="471"/>
      <c r="P3093" s="471"/>
      <c r="Q3093" s="471"/>
      <c r="R3093" s="61" t="str">
        <f t="shared" si="213"/>
        <v/>
      </c>
      <c r="S3093" s="61" t="str">
        <f t="shared" si="215"/>
        <v/>
      </c>
      <c r="T3093" s="61" t="str">
        <f t="shared" si="212"/>
        <v/>
      </c>
      <c r="U3093" s="61" t="str">
        <f t="shared" si="214"/>
        <v/>
      </c>
      <c r="V3093" s="61"/>
      <c r="W3093" s="61"/>
      <c r="X3093" s="61"/>
      <c r="Y3093" s="61"/>
      <c r="Z3093" s="61"/>
      <c r="AA3093" s="61"/>
      <c r="AB3093" s="61"/>
    </row>
    <row r="3094" spans="1:28" s="2" customFormat="1" ht="15">
      <c r="A3094" s="61" t="s">
        <v>780</v>
      </c>
      <c r="B3094" s="61" t="s">
        <v>2071</v>
      </c>
      <c r="C3094" s="61" t="s">
        <v>6598</v>
      </c>
      <c r="D3094" s="61" t="s">
        <v>159</v>
      </c>
      <c r="E3094" s="61">
        <v>1310</v>
      </c>
      <c r="F3094" s="61">
        <v>1389</v>
      </c>
      <c r="G3094" s="61"/>
      <c r="H3094" s="61"/>
      <c r="I3094" s="471"/>
      <c r="J3094" s="471"/>
      <c r="K3094" s="61" t="s">
        <v>2393</v>
      </c>
      <c r="L3094" s="471"/>
      <c r="M3094" s="471"/>
      <c r="N3094" s="471"/>
      <c r="O3094" s="471"/>
      <c r="P3094" s="471"/>
      <c r="Q3094" s="471"/>
      <c r="R3094" s="61" t="str">
        <f t="shared" si="213"/>
        <v/>
      </c>
      <c r="S3094" s="61" t="str">
        <f t="shared" si="215"/>
        <v/>
      </c>
      <c r="T3094" s="61" t="str">
        <f t="shared" si="212"/>
        <v/>
      </c>
      <c r="U3094" s="61" t="str">
        <f t="shared" si="214"/>
        <v/>
      </c>
      <c r="V3094" s="61"/>
      <c r="W3094" s="61"/>
      <c r="X3094" s="61"/>
      <c r="Y3094" s="61"/>
      <c r="Z3094" s="61"/>
      <c r="AA3094" s="61"/>
      <c r="AB3094" s="61"/>
    </row>
    <row r="3095" spans="1:28" s="2" customFormat="1" ht="15">
      <c r="A3095" s="61" t="s">
        <v>780</v>
      </c>
      <c r="B3095" s="61" t="s">
        <v>2071</v>
      </c>
      <c r="C3095" s="61" t="s">
        <v>6599</v>
      </c>
      <c r="D3095" s="61" t="s">
        <v>159</v>
      </c>
      <c r="E3095" s="61">
        <v>14307</v>
      </c>
      <c r="F3095" s="61">
        <v>15626</v>
      </c>
      <c r="G3095" s="61"/>
      <c r="H3095" s="61"/>
      <c r="I3095" s="471"/>
      <c r="J3095" s="471"/>
      <c r="K3095" s="61" t="s">
        <v>2393</v>
      </c>
      <c r="L3095" s="471"/>
      <c r="M3095" s="471"/>
      <c r="N3095" s="471"/>
      <c r="O3095" s="471"/>
      <c r="P3095" s="471"/>
      <c r="Q3095" s="471"/>
      <c r="R3095" s="61" t="str">
        <f t="shared" si="213"/>
        <v/>
      </c>
      <c r="S3095" s="61" t="str">
        <f t="shared" si="215"/>
        <v/>
      </c>
      <c r="T3095" s="61" t="str">
        <f t="shared" si="212"/>
        <v/>
      </c>
      <c r="U3095" s="61" t="str">
        <f t="shared" si="214"/>
        <v/>
      </c>
      <c r="V3095" s="61"/>
      <c r="W3095" s="61"/>
      <c r="X3095" s="61"/>
      <c r="Y3095" s="61"/>
      <c r="Z3095" s="61"/>
      <c r="AA3095" s="61"/>
      <c r="AB3095" s="61"/>
    </row>
    <row r="3096" spans="1:28" s="2" customFormat="1" ht="15">
      <c r="A3096" s="61" t="s">
        <v>780</v>
      </c>
      <c r="B3096" s="61" t="s">
        <v>2071</v>
      </c>
      <c r="C3096" s="61" t="s">
        <v>6601</v>
      </c>
      <c r="D3096" s="61" t="s">
        <v>159</v>
      </c>
      <c r="E3096" s="61">
        <v>9684</v>
      </c>
      <c r="F3096" s="61">
        <v>10343</v>
      </c>
      <c r="G3096" s="61"/>
      <c r="H3096" s="61"/>
      <c r="I3096" s="471"/>
      <c r="J3096" s="471"/>
      <c r="K3096" s="61" t="s">
        <v>2393</v>
      </c>
      <c r="L3096" s="471"/>
      <c r="M3096" s="471"/>
      <c r="N3096" s="471"/>
      <c r="O3096" s="471"/>
      <c r="P3096" s="471"/>
      <c r="Q3096" s="471"/>
      <c r="R3096" s="61" t="str">
        <f t="shared" si="213"/>
        <v/>
      </c>
      <c r="S3096" s="61" t="str">
        <f t="shared" si="215"/>
        <v/>
      </c>
      <c r="T3096" s="61" t="str">
        <f t="shared" si="212"/>
        <v/>
      </c>
      <c r="U3096" s="61" t="str">
        <f t="shared" si="214"/>
        <v/>
      </c>
      <c r="V3096" s="61"/>
      <c r="W3096" s="61"/>
      <c r="X3096" s="61"/>
      <c r="Y3096" s="61"/>
      <c r="Z3096" s="61"/>
      <c r="AA3096" s="61"/>
      <c r="AB3096" s="61"/>
    </row>
    <row r="3097" spans="1:28" s="2" customFormat="1" ht="15">
      <c r="A3097" s="61" t="s">
        <v>780</v>
      </c>
      <c r="B3097" s="61" t="s">
        <v>2071</v>
      </c>
      <c r="C3097" s="61" t="s">
        <v>6603</v>
      </c>
      <c r="D3097" s="61" t="s">
        <v>159</v>
      </c>
      <c r="E3097" s="61">
        <v>15956</v>
      </c>
      <c r="F3097" s="61">
        <v>16982</v>
      </c>
      <c r="G3097" s="61"/>
      <c r="H3097" s="61"/>
      <c r="I3097" s="471"/>
      <c r="J3097" s="471"/>
      <c r="K3097" s="61" t="s">
        <v>2393</v>
      </c>
      <c r="L3097" s="471"/>
      <c r="M3097" s="471"/>
      <c r="N3097" s="471"/>
      <c r="O3097" s="471"/>
      <c r="P3097" s="471"/>
      <c r="Q3097" s="471"/>
      <c r="R3097" s="61" t="str">
        <f t="shared" si="213"/>
        <v/>
      </c>
      <c r="S3097" s="61" t="str">
        <f t="shared" si="215"/>
        <v/>
      </c>
      <c r="T3097" s="61" t="str">
        <f t="shared" si="212"/>
        <v/>
      </c>
      <c r="U3097" s="61" t="str">
        <f t="shared" si="214"/>
        <v/>
      </c>
      <c r="V3097" s="61"/>
      <c r="W3097" s="61"/>
      <c r="X3097" s="61"/>
      <c r="Y3097" s="61"/>
      <c r="Z3097" s="61"/>
      <c r="AA3097" s="61"/>
      <c r="AB3097" s="61"/>
    </row>
    <row r="3098" spans="1:28" s="2" customFormat="1" ht="15">
      <c r="A3098" s="61" t="s">
        <v>780</v>
      </c>
      <c r="B3098" s="61" t="s">
        <v>2071</v>
      </c>
      <c r="C3098" s="61" t="s">
        <v>6605</v>
      </c>
      <c r="D3098" s="61" t="s">
        <v>159</v>
      </c>
      <c r="E3098" s="61">
        <v>3226</v>
      </c>
      <c r="F3098" s="61">
        <v>2953</v>
      </c>
      <c r="G3098" s="61"/>
      <c r="H3098" s="61"/>
      <c r="I3098" s="471"/>
      <c r="J3098" s="471"/>
      <c r="K3098" s="61" t="s">
        <v>2393</v>
      </c>
      <c r="L3098" s="471"/>
      <c r="M3098" s="471"/>
      <c r="N3098" s="471"/>
      <c r="O3098" s="471"/>
      <c r="P3098" s="471"/>
      <c r="Q3098" s="471"/>
      <c r="R3098" s="61" t="str">
        <f t="shared" si="213"/>
        <v/>
      </c>
      <c r="S3098" s="61" t="str">
        <f t="shared" si="215"/>
        <v/>
      </c>
      <c r="T3098" s="61" t="str">
        <f t="shared" si="212"/>
        <v/>
      </c>
      <c r="U3098" s="61" t="str">
        <f t="shared" si="214"/>
        <v/>
      </c>
      <c r="V3098" s="61"/>
      <c r="W3098" s="61"/>
      <c r="X3098" s="61"/>
      <c r="Y3098" s="61"/>
      <c r="Z3098" s="61"/>
      <c r="AA3098" s="61"/>
      <c r="AB3098" s="61"/>
    </row>
    <row r="3099" spans="1:28" s="2" customFormat="1" ht="15">
      <c r="A3099" s="61" t="s">
        <v>780</v>
      </c>
      <c r="B3099" s="61" t="s">
        <v>2071</v>
      </c>
      <c r="C3099" s="61" t="s">
        <v>6607</v>
      </c>
      <c r="D3099" s="61" t="s">
        <v>159</v>
      </c>
      <c r="E3099" s="61">
        <v>11557</v>
      </c>
      <c r="F3099" s="61">
        <v>13563</v>
      </c>
      <c r="G3099" s="61"/>
      <c r="H3099" s="61"/>
      <c r="I3099" s="471"/>
      <c r="J3099" s="471"/>
      <c r="K3099" s="61" t="s">
        <v>2393</v>
      </c>
      <c r="L3099" s="471"/>
      <c r="M3099" s="471"/>
      <c r="N3099" s="471"/>
      <c r="O3099" s="471"/>
      <c r="P3099" s="471"/>
      <c r="Q3099" s="471"/>
      <c r="R3099" s="61" t="str">
        <f t="shared" si="213"/>
        <v/>
      </c>
      <c r="S3099" s="61" t="str">
        <f t="shared" si="215"/>
        <v/>
      </c>
      <c r="T3099" s="61" t="str">
        <f t="shared" ref="T3099:T3105" si="216">IF(
  OR(A3099 = "Nueva_Ecija", A3099 = "Zambales"),
  IF(
    OR(ISBLANK(O3099), ISBLANK(P3099)),
    "",
    MAX(1, IF(
      NETWORKDAYS(O3099, P3099) &lt;= 0,
      1,
      NETWORKDAYS(O3099, P3099) - IF(O3099 = P3099, 0, 1)
    ))
  ),
  IF(
    OR(ISBLANK(N3099), ISBLANK(P3099)),
    "",
    MAX(1, IF(
      NETWORKDAYS(N3099, P3099) &lt;= 0,
      1,
      NETWORKDAYS(N3099, P3099) - IF(N3099 = P3099, 0, 1)
    ))
  )
)</f>
        <v/>
      </c>
      <c r="U3099" s="61" t="str">
        <f t="shared" si="214"/>
        <v/>
      </c>
      <c r="V3099" s="61"/>
      <c r="W3099" s="61"/>
      <c r="X3099" s="61"/>
      <c r="Y3099" s="61"/>
      <c r="Z3099" s="61"/>
      <c r="AA3099" s="61"/>
      <c r="AB3099" s="61"/>
    </row>
    <row r="3100" spans="1:28" s="2" customFormat="1" ht="15">
      <c r="A3100" s="61" t="s">
        <v>780</v>
      </c>
      <c r="B3100" s="61" t="s">
        <v>2071</v>
      </c>
      <c r="C3100" s="61" t="s">
        <v>6609</v>
      </c>
      <c r="D3100" s="61" t="s">
        <v>159</v>
      </c>
      <c r="E3100" s="61">
        <v>8275</v>
      </c>
      <c r="F3100" s="61">
        <v>8230</v>
      </c>
      <c r="G3100" s="61"/>
      <c r="H3100" s="61"/>
      <c r="I3100" s="471"/>
      <c r="J3100" s="471"/>
      <c r="K3100" s="61" t="s">
        <v>2393</v>
      </c>
      <c r="L3100" s="471"/>
      <c r="M3100" s="471"/>
      <c r="N3100" s="471"/>
      <c r="O3100" s="471"/>
      <c r="P3100" s="471"/>
      <c r="Q3100" s="471"/>
      <c r="R3100" s="61" t="str">
        <f t="shared" si="213"/>
        <v/>
      </c>
      <c r="S3100" s="61" t="str">
        <f t="shared" si="215"/>
        <v/>
      </c>
      <c r="T3100" s="61" t="str">
        <f t="shared" si="216"/>
        <v/>
      </c>
      <c r="U3100" s="61" t="str">
        <f t="shared" si="214"/>
        <v/>
      </c>
      <c r="V3100" s="61"/>
      <c r="W3100" s="61"/>
      <c r="X3100" s="61"/>
      <c r="Y3100" s="61"/>
      <c r="Z3100" s="61"/>
      <c r="AA3100" s="61"/>
      <c r="AB3100" s="61"/>
    </row>
    <row r="3101" spans="1:28" s="2" customFormat="1" ht="15">
      <c r="A3101" s="61" t="s">
        <v>780</v>
      </c>
      <c r="B3101" s="61" t="s">
        <v>2071</v>
      </c>
      <c r="C3101" s="61" t="s">
        <v>2122</v>
      </c>
      <c r="D3101" s="61" t="s">
        <v>159</v>
      </c>
      <c r="E3101" s="61">
        <v>2704</v>
      </c>
      <c r="F3101" s="61">
        <v>3257</v>
      </c>
      <c r="G3101" s="61"/>
      <c r="H3101" s="61"/>
      <c r="I3101" s="471"/>
      <c r="J3101" s="471"/>
      <c r="K3101" s="61" t="s">
        <v>2393</v>
      </c>
      <c r="L3101" s="471"/>
      <c r="M3101" s="471"/>
      <c r="N3101" s="471"/>
      <c r="O3101" s="471"/>
      <c r="P3101" s="471"/>
      <c r="Q3101" s="471"/>
      <c r="R3101" s="61" t="str">
        <f t="shared" si="213"/>
        <v/>
      </c>
      <c r="S3101" s="61" t="str">
        <f t="shared" si="215"/>
        <v/>
      </c>
      <c r="T3101" s="61" t="str">
        <f t="shared" si="216"/>
        <v/>
      </c>
      <c r="U3101" s="61" t="str">
        <f t="shared" si="214"/>
        <v/>
      </c>
      <c r="V3101" s="61"/>
      <c r="W3101" s="61"/>
      <c r="X3101" s="61"/>
      <c r="Y3101" s="61"/>
      <c r="Z3101" s="61"/>
      <c r="AA3101" s="61"/>
      <c r="AB3101" s="61"/>
    </row>
    <row r="3102" spans="1:28" s="2" customFormat="1" ht="15">
      <c r="A3102" s="61" t="s">
        <v>780</v>
      </c>
      <c r="B3102" s="61" t="s">
        <v>2071</v>
      </c>
      <c r="C3102" s="61" t="s">
        <v>6611</v>
      </c>
      <c r="D3102" s="61" t="s">
        <v>159</v>
      </c>
      <c r="E3102" s="61">
        <v>4292</v>
      </c>
      <c r="F3102" s="61">
        <v>4923</v>
      </c>
      <c r="G3102" s="61"/>
      <c r="H3102" s="61"/>
      <c r="I3102" s="471"/>
      <c r="J3102" s="471"/>
      <c r="K3102" s="61" t="s">
        <v>2393</v>
      </c>
      <c r="L3102" s="471"/>
      <c r="M3102" s="471"/>
      <c r="N3102" s="471"/>
      <c r="O3102" s="471"/>
      <c r="P3102" s="471"/>
      <c r="Q3102" s="471"/>
      <c r="R3102" s="61" t="str">
        <f t="shared" si="213"/>
        <v/>
      </c>
      <c r="S3102" s="61" t="str">
        <f t="shared" si="215"/>
        <v/>
      </c>
      <c r="T3102" s="61" t="str">
        <f t="shared" si="216"/>
        <v/>
      </c>
      <c r="U3102" s="61" t="str">
        <f t="shared" si="214"/>
        <v/>
      </c>
      <c r="V3102" s="61"/>
      <c r="W3102" s="61"/>
      <c r="X3102" s="61"/>
      <c r="Y3102" s="61"/>
      <c r="Z3102" s="61"/>
      <c r="AA3102" s="61"/>
      <c r="AB3102" s="61"/>
    </row>
    <row r="3103" spans="1:28" s="2" customFormat="1" ht="15">
      <c r="A3103" s="61" t="s">
        <v>780</v>
      </c>
      <c r="B3103" s="61" t="s">
        <v>2071</v>
      </c>
      <c r="C3103" s="61" t="s">
        <v>1180</v>
      </c>
      <c r="D3103" s="61" t="s">
        <v>159</v>
      </c>
      <c r="E3103" s="61">
        <v>7869</v>
      </c>
      <c r="F3103" s="61">
        <v>8709</v>
      </c>
      <c r="G3103" s="61"/>
      <c r="H3103" s="61"/>
      <c r="I3103" s="471"/>
      <c r="J3103" s="471"/>
      <c r="K3103" s="61" t="s">
        <v>2393</v>
      </c>
      <c r="L3103" s="471"/>
      <c r="M3103" s="471"/>
      <c r="N3103" s="471"/>
      <c r="O3103" s="471"/>
      <c r="P3103" s="471"/>
      <c r="Q3103" s="471"/>
      <c r="R3103" s="61" t="str">
        <f t="shared" si="213"/>
        <v/>
      </c>
      <c r="S3103" s="61" t="str">
        <f t="shared" si="215"/>
        <v/>
      </c>
      <c r="T3103" s="61" t="str">
        <f t="shared" si="216"/>
        <v/>
      </c>
      <c r="U3103" s="61" t="str">
        <f t="shared" si="214"/>
        <v/>
      </c>
      <c r="V3103" s="61"/>
      <c r="W3103" s="61"/>
      <c r="X3103" s="61"/>
      <c r="Y3103" s="61"/>
      <c r="Z3103" s="61"/>
      <c r="AA3103" s="61"/>
      <c r="AB3103" s="61"/>
    </row>
    <row r="3104" spans="1:28" s="2" customFormat="1" ht="15">
      <c r="A3104" s="61" t="s">
        <v>780</v>
      </c>
      <c r="B3104" s="61" t="s">
        <v>2071</v>
      </c>
      <c r="C3104" s="61" t="s">
        <v>3566</v>
      </c>
      <c r="D3104" s="61" t="s">
        <v>159</v>
      </c>
      <c r="E3104" s="61">
        <v>5481</v>
      </c>
      <c r="F3104" s="61">
        <v>5427</v>
      </c>
      <c r="G3104" s="61"/>
      <c r="H3104" s="61"/>
      <c r="I3104" s="471"/>
      <c r="J3104" s="471"/>
      <c r="K3104" s="61" t="s">
        <v>2393</v>
      </c>
      <c r="L3104" s="471"/>
      <c r="M3104" s="471"/>
      <c r="N3104" s="471"/>
      <c r="O3104" s="471"/>
      <c r="P3104" s="471"/>
      <c r="Q3104" s="471"/>
      <c r="R3104" s="61" t="str">
        <f t="shared" si="213"/>
        <v/>
      </c>
      <c r="S3104" s="61" t="str">
        <f t="shared" si="215"/>
        <v/>
      </c>
      <c r="T3104" s="61" t="str">
        <f t="shared" si="216"/>
        <v/>
      </c>
      <c r="U3104" s="61" t="str">
        <f t="shared" si="214"/>
        <v/>
      </c>
      <c r="V3104" s="61"/>
      <c r="W3104" s="61"/>
      <c r="X3104" s="61"/>
      <c r="Y3104" s="61"/>
      <c r="Z3104" s="61"/>
      <c r="AA3104" s="61"/>
      <c r="AB3104" s="61"/>
    </row>
    <row r="3105" spans="1:28" s="424" customFormat="1" ht="15">
      <c r="A3105" s="671" t="s">
        <v>780</v>
      </c>
      <c r="B3105" s="671" t="s">
        <v>2071</v>
      </c>
      <c r="C3105" s="671" t="s">
        <v>6612</v>
      </c>
      <c r="D3105" s="671" t="s">
        <v>159</v>
      </c>
      <c r="E3105" s="671">
        <v>2090</v>
      </c>
      <c r="F3105" s="671">
        <v>1344</v>
      </c>
      <c r="G3105" s="671"/>
      <c r="H3105" s="671"/>
      <c r="I3105" s="671"/>
      <c r="J3105" s="671"/>
      <c r="K3105" s="671" t="s">
        <v>2393</v>
      </c>
      <c r="L3105" s="671"/>
      <c r="M3105" s="671"/>
      <c r="N3105" s="671"/>
      <c r="O3105" s="671"/>
      <c r="P3105" s="671"/>
      <c r="Q3105" s="671"/>
      <c r="R3105" s="671" t="str">
        <f t="shared" si="213"/>
        <v/>
      </c>
      <c r="S3105" s="671" t="str">
        <f t="shared" si="215"/>
        <v/>
      </c>
      <c r="T3105" s="671" t="str">
        <f t="shared" si="216"/>
        <v/>
      </c>
      <c r="U3105" s="671" t="str">
        <f t="shared" si="214"/>
        <v/>
      </c>
      <c r="V3105" s="671"/>
      <c r="W3105" s="671"/>
      <c r="X3105" s="671"/>
      <c r="Y3105" s="671"/>
      <c r="Z3105" s="671"/>
      <c r="AA3105" s="671"/>
      <c r="AB3105" s="671"/>
    </row>
  </sheetData>
  <autoFilter ref="A1:AN3105" xr:uid="{005868A8-AC93-4B69-BEFA-C0DC9B6181BA}"/>
  <conditionalFormatting sqref="L1737:L1738 L1659:L1735 L2781:L2787 L2789:L2818 L1563:L1564 L1566 L1568:L1569 L1740:L1845 L1505:L1506 L1427:L1457 L1573:L1657 L1459:L1503 L1508:L1548 L2821:L3105 L2403:L2779 L1114:L1425 L803:L1112 L540:L801 L1:L307 L1847:L2401 L312:L532 L1550:L1561">
    <cfRule type="duplicateValues" dxfId="0" priority="4"/>
  </conditionalFormatting>
  <dataValidations count="1">
    <dataValidation type="list" allowBlank="1" showInputMessage="1" showErrorMessage="1" sqref="A2:A3105" xr:uid="{D5EEE5B2-ECCA-48C7-81AC-FF4BB6097DA2}">
      <formula1>"Aurora, Bataan, Bulacan, Nueva_Ecija, Pampanga, Tarlac, Zambales"</formula1>
    </dataValidation>
  </dataValidation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44257-ABCF-4240-8152-B45B7877A13A}">
  <sheetPr codeName="Sheet17"/>
  <dimension ref="A1:W70"/>
  <sheetViews>
    <sheetView workbookViewId="0">
      <pane ySplit="1" topLeftCell="A2" activePane="bottomLeft" state="frozen"/>
      <selection pane="bottomLeft" activeCell="J17" sqref="J17"/>
    </sheetView>
  </sheetViews>
  <sheetFormatPr defaultColWidth="9.140625" defaultRowHeight="14.25"/>
  <cols>
    <col min="1" max="1" width="16.42578125" style="128" customWidth="1"/>
    <col min="2" max="2" width="21.42578125" style="128" customWidth="1"/>
    <col min="3" max="3" width="20.28515625" style="128" customWidth="1"/>
    <col min="4" max="4" width="19.85546875" style="128" customWidth="1"/>
    <col min="5" max="5" width="16.5703125" style="128" bestFit="1" customWidth="1"/>
    <col min="6" max="6" width="14.5703125" style="128" bestFit="1" customWidth="1"/>
    <col min="7" max="9" width="20.85546875" style="128" customWidth="1"/>
    <col min="10" max="10" width="18.7109375" style="128" customWidth="1"/>
    <col min="11" max="15" width="17.42578125" style="128" customWidth="1"/>
    <col min="16" max="19" width="18" style="128" customWidth="1"/>
    <col min="20" max="20" width="26" style="128" customWidth="1"/>
    <col min="21" max="21" width="45.140625" style="128" customWidth="1"/>
    <col min="22" max="22" width="32.85546875" style="128" customWidth="1"/>
    <col min="23" max="16384" width="9.140625" style="128"/>
  </cols>
  <sheetData>
    <row r="1" spans="1:22" ht="57">
      <c r="A1" s="123" t="s">
        <v>85</v>
      </c>
      <c r="B1" s="124" t="s">
        <v>86</v>
      </c>
      <c r="C1" s="124" t="s">
        <v>782</v>
      </c>
      <c r="D1" s="124" t="s">
        <v>143</v>
      </c>
      <c r="E1" s="125" t="s">
        <v>3395</v>
      </c>
      <c r="F1" s="126" t="s">
        <v>99</v>
      </c>
      <c r="G1" s="126" t="s">
        <v>100</v>
      </c>
      <c r="H1" s="126" t="s">
        <v>1575</v>
      </c>
      <c r="I1" s="126" t="s">
        <v>102</v>
      </c>
      <c r="J1" s="126" t="s">
        <v>103</v>
      </c>
      <c r="K1" s="126" t="s">
        <v>104</v>
      </c>
      <c r="L1" s="126" t="s">
        <v>105</v>
      </c>
      <c r="M1" s="126" t="s">
        <v>106</v>
      </c>
      <c r="N1" s="126" t="s">
        <v>107</v>
      </c>
      <c r="O1" s="126" t="s">
        <v>108</v>
      </c>
      <c r="P1" s="126" t="s">
        <v>109</v>
      </c>
      <c r="Q1" s="126" t="s">
        <v>110</v>
      </c>
      <c r="R1" s="126" t="s">
        <v>111</v>
      </c>
      <c r="S1" s="126" t="s">
        <v>112</v>
      </c>
      <c r="T1" s="127" t="s">
        <v>789</v>
      </c>
      <c r="U1" s="131" t="s">
        <v>2550</v>
      </c>
      <c r="V1" s="131" t="s">
        <v>127</v>
      </c>
    </row>
    <row r="2" spans="1:22" ht="28.5">
      <c r="A2" s="129" t="s">
        <v>773</v>
      </c>
      <c r="B2" s="129" t="s">
        <v>983</v>
      </c>
      <c r="C2" s="129"/>
      <c r="D2" s="129" t="s">
        <v>159</v>
      </c>
      <c r="E2" s="129">
        <v>2025</v>
      </c>
      <c r="F2" s="311" t="s">
        <v>3458</v>
      </c>
      <c r="G2" s="129" t="s">
        <v>14</v>
      </c>
      <c r="H2" s="129"/>
      <c r="I2" s="129" t="s">
        <v>163</v>
      </c>
      <c r="J2" s="129" t="s">
        <v>9451</v>
      </c>
      <c r="K2" s="130">
        <v>45701</v>
      </c>
      <c r="L2" s="130">
        <v>45705</v>
      </c>
      <c r="M2" s="129"/>
      <c r="N2" s="130">
        <v>45705</v>
      </c>
      <c r="O2" s="130">
        <v>45705</v>
      </c>
      <c r="P2" s="45">
        <f t="shared" ref="P2:P5" si="0">IF(
    OR(ISBLANK(K2), ISBLANK(L2)),
    "",
    MAX(1, IF(
        NETWORKDAYS(K2, L2) &lt;= 0,
        1,
        NETWORKDAYS(K2, L2) - IF(K2 = L2, 0, 1)
    ))
)</f>
        <v>2</v>
      </c>
      <c r="Q2" s="45" t="str">
        <f>IF(
    OR(ISBLANK(L2), ISBLANK(M2)),
    "",
    MAX(1, IF(
        NETWORKDAYS(L2, M2) &lt;= 0,
        1,
        NETWORKDAYS(L2, M2) - IF(L2 = M2, 0, 1)
    ))
)</f>
        <v/>
      </c>
      <c r="R2" s="45">
        <f t="shared" ref="R2:R43" si="1">IF(
  OR(A2 = "Nueva_Ecija", A2 = "Zambales"),
  IF(
    OR(ISBLANK(M2), ISBLANK(N2)),
    "",
    MAX(1, IF(
      NETWORKDAYS(M2, N2) &lt;= 0,
      1,
      NETWORKDAYS(M2, N2) - IF(M2 = N2, 0, 1)
    ))
  ),
  IF(
    OR(ISBLANK(L2), ISBLANK(N2)),
    "",
    MAX(1, IF(
      NETWORKDAYS(L2, N2) &lt;= 0,
      1,
      NETWORKDAYS(L2, N2) - IF(L2 = N2, 0, 1)
    ))
  )
)</f>
        <v>1</v>
      </c>
      <c r="S2" s="45">
        <f t="shared" ref="S2:S5" si="2">IF(
    OR(ISBLANK(N2), ISBLANK(O2)),
    "",
    MAX(1, IF(
        NETWORKDAYS(N2, O2) &lt;= 0,
        1,
        NETWORKDAYS(N2, O2) - IF(N2 = O2, 0, 1)
    ))
)</f>
        <v>1</v>
      </c>
      <c r="T2" s="129" t="s">
        <v>150</v>
      </c>
      <c r="U2" s="129" t="s">
        <v>7719</v>
      </c>
      <c r="V2" s="129"/>
    </row>
    <row r="3" spans="1:22" ht="28.5">
      <c r="A3" s="129" t="s">
        <v>774</v>
      </c>
      <c r="B3" s="129" t="s">
        <v>877</v>
      </c>
      <c r="C3" s="129"/>
      <c r="D3" s="129" t="s">
        <v>143</v>
      </c>
      <c r="E3" s="129">
        <v>2025</v>
      </c>
      <c r="F3" s="311" t="s">
        <v>3458</v>
      </c>
      <c r="G3" s="129" t="s">
        <v>188</v>
      </c>
      <c r="H3" s="129"/>
      <c r="I3" s="129" t="s">
        <v>2445</v>
      </c>
      <c r="J3" s="129" t="s">
        <v>9452</v>
      </c>
      <c r="K3" s="130">
        <v>45700</v>
      </c>
      <c r="L3" s="130">
        <v>45705</v>
      </c>
      <c r="M3" s="129"/>
      <c r="N3" s="130">
        <v>45705</v>
      </c>
      <c r="O3" s="130">
        <v>45705</v>
      </c>
      <c r="P3" s="45">
        <f t="shared" si="0"/>
        <v>3</v>
      </c>
      <c r="Q3" s="45" t="str">
        <f t="shared" ref="Q3:Q5" si="3">IF(
    OR(ISBLANK(L3), ISBLANK(M3)),
    "",
    MAX(1, IF(
        NETWORKDAYS(L3, M3) &lt;= 0,
        1,
        NETWORKDAYS(L3, M3) - IF(L3 = M3, 0, 1)
    ))
)</f>
        <v/>
      </c>
      <c r="R3" s="45">
        <f t="shared" si="1"/>
        <v>1</v>
      </c>
      <c r="S3" s="45">
        <f t="shared" si="2"/>
        <v>1</v>
      </c>
      <c r="T3" s="129" t="s">
        <v>150</v>
      </c>
      <c r="U3" s="129" t="s">
        <v>9453</v>
      </c>
      <c r="V3" s="129"/>
    </row>
    <row r="4" spans="1:22" ht="15">
      <c r="A4" s="129" t="s">
        <v>776</v>
      </c>
      <c r="B4" s="129" t="s">
        <v>1028</v>
      </c>
      <c r="C4" s="129"/>
      <c r="D4" s="129" t="s">
        <v>143</v>
      </c>
      <c r="E4" s="129">
        <v>2025</v>
      </c>
      <c r="F4" s="311" t="s">
        <v>3458</v>
      </c>
      <c r="G4" s="129" t="s">
        <v>200</v>
      </c>
      <c r="H4" s="129" t="s">
        <v>328</v>
      </c>
      <c r="I4" s="129" t="s">
        <v>1982</v>
      </c>
      <c r="J4" s="129" t="s">
        <v>9454</v>
      </c>
      <c r="K4" s="130">
        <v>45702</v>
      </c>
      <c r="L4" s="130">
        <v>45707</v>
      </c>
      <c r="M4" s="130">
        <v>45707</v>
      </c>
      <c r="N4" s="130">
        <v>45707</v>
      </c>
      <c r="O4" s="130">
        <v>45707</v>
      </c>
      <c r="P4" s="45">
        <f t="shared" si="0"/>
        <v>3</v>
      </c>
      <c r="Q4" s="45">
        <f t="shared" si="3"/>
        <v>1</v>
      </c>
      <c r="R4" s="45">
        <f t="shared" si="1"/>
        <v>1</v>
      </c>
      <c r="S4" s="45">
        <f t="shared" si="2"/>
        <v>1</v>
      </c>
      <c r="T4" s="129" t="s">
        <v>150</v>
      </c>
      <c r="U4" s="129" t="s">
        <v>330</v>
      </c>
      <c r="V4" s="129"/>
    </row>
    <row r="5" spans="1:22" ht="28.5">
      <c r="A5" s="129" t="s">
        <v>2286</v>
      </c>
      <c r="B5" s="129" t="s">
        <v>1202</v>
      </c>
      <c r="C5" s="129" t="s">
        <v>3542</v>
      </c>
      <c r="D5" s="129" t="s">
        <v>143</v>
      </c>
      <c r="E5" s="129">
        <v>2025</v>
      </c>
      <c r="F5" s="311" t="s">
        <v>3458</v>
      </c>
      <c r="G5" s="129" t="s">
        <v>30</v>
      </c>
      <c r="H5" s="129" t="s">
        <v>2289</v>
      </c>
      <c r="I5" s="129" t="s">
        <v>212</v>
      </c>
      <c r="J5" s="129" t="s">
        <v>9455</v>
      </c>
      <c r="K5" s="130">
        <v>45701</v>
      </c>
      <c r="L5" s="130">
        <v>45705</v>
      </c>
      <c r="M5" s="130">
        <v>45705</v>
      </c>
      <c r="N5" s="130">
        <v>45705</v>
      </c>
      <c r="O5" s="130">
        <v>45705</v>
      </c>
      <c r="P5" s="45">
        <f t="shared" si="0"/>
        <v>2</v>
      </c>
      <c r="Q5" s="45">
        <f t="shared" si="3"/>
        <v>1</v>
      </c>
      <c r="R5" s="45">
        <f t="shared" si="1"/>
        <v>1</v>
      </c>
      <c r="S5" s="45">
        <f t="shared" si="2"/>
        <v>1</v>
      </c>
      <c r="T5" s="129" t="s">
        <v>150</v>
      </c>
      <c r="U5" s="129" t="s">
        <v>9456</v>
      </c>
      <c r="V5" s="129"/>
    </row>
    <row r="6" spans="1:22" ht="28.5">
      <c r="A6" s="129" t="s">
        <v>778</v>
      </c>
      <c r="B6" s="129" t="s">
        <v>1343</v>
      </c>
      <c r="C6" s="129" t="s">
        <v>1344</v>
      </c>
      <c r="D6" s="129" t="s">
        <v>143</v>
      </c>
      <c r="E6" s="129">
        <v>2025</v>
      </c>
      <c r="F6" s="311" t="s">
        <v>3458</v>
      </c>
      <c r="G6" s="129" t="s">
        <v>1345</v>
      </c>
      <c r="H6" s="129"/>
      <c r="I6" s="129" t="s">
        <v>148</v>
      </c>
      <c r="J6" s="129" t="s">
        <v>9457</v>
      </c>
      <c r="K6" s="130">
        <v>45694</v>
      </c>
      <c r="L6" s="130">
        <v>45707</v>
      </c>
      <c r="M6" s="129"/>
      <c r="N6" s="130">
        <v>45722</v>
      </c>
      <c r="O6" s="130">
        <v>45728</v>
      </c>
      <c r="P6" s="45">
        <f t="shared" ref="P6:P36" si="4">IF(
    OR(ISBLANK(K6), ISBLANK(L6)),
    "",
    MAX(1, IF(
        NETWORKDAYS(K6, L6) &lt;= 0,
        1,
        NETWORKDAYS(K6, L6) - IF(K6 = L6, 0, 1)
    ))
)</f>
        <v>9</v>
      </c>
      <c r="Q6" s="45" t="str">
        <f t="shared" ref="Q6:Q36" si="5">IF(
    OR(ISBLANK(L6), ISBLANK(M6)),
    "",
    MAX(1, IF(
        NETWORKDAYS(L6, M6) &lt;= 0,
        1,
        NETWORKDAYS(L6, M6) - IF(L6 = M6, 0, 1)
    ))
)</f>
        <v/>
      </c>
      <c r="R6" s="45">
        <f t="shared" si="1"/>
        <v>11</v>
      </c>
      <c r="S6" s="45">
        <f t="shared" ref="S6:S36" si="6">IF(
    OR(ISBLANK(N6), ISBLANK(O6)),
    "",
    MAX(1, IF(
        NETWORKDAYS(N6, O6) &lt;= 0,
        1,
        NETWORKDAYS(N6, O6) - IF(N6 = O6, 0, 1)
    ))
)</f>
        <v>4</v>
      </c>
      <c r="T6" s="129" t="s">
        <v>150</v>
      </c>
      <c r="U6" s="129" t="s">
        <v>665</v>
      </c>
      <c r="V6" s="129"/>
    </row>
    <row r="7" spans="1:22" ht="96.75" customHeight="1">
      <c r="A7" s="129" t="s">
        <v>779</v>
      </c>
      <c r="B7" s="129" t="s">
        <v>1447</v>
      </c>
      <c r="C7" s="129"/>
      <c r="D7" s="129" t="s">
        <v>143</v>
      </c>
      <c r="E7" s="129">
        <v>2025</v>
      </c>
      <c r="F7" s="311" t="s">
        <v>3458</v>
      </c>
      <c r="G7" s="129"/>
      <c r="H7" s="129"/>
      <c r="I7" s="129" t="s">
        <v>328</v>
      </c>
      <c r="J7" s="129" t="s">
        <v>9458</v>
      </c>
      <c r="K7" s="130">
        <v>45694</v>
      </c>
      <c r="L7" s="130">
        <v>45707</v>
      </c>
      <c r="M7" s="129"/>
      <c r="N7" s="130">
        <v>45707</v>
      </c>
      <c r="O7" s="130">
        <v>45707</v>
      </c>
      <c r="P7" s="45">
        <f t="shared" si="4"/>
        <v>9</v>
      </c>
      <c r="Q7" s="45" t="str">
        <f t="shared" si="5"/>
        <v/>
      </c>
      <c r="R7" s="45">
        <f t="shared" si="1"/>
        <v>1</v>
      </c>
      <c r="S7" s="45">
        <f t="shared" si="6"/>
        <v>1</v>
      </c>
      <c r="T7" s="129" t="s">
        <v>150</v>
      </c>
      <c r="U7" s="129" t="s">
        <v>9459</v>
      </c>
      <c r="V7" s="129" t="s">
        <v>9460</v>
      </c>
    </row>
    <row r="8" spans="1:22" ht="75.75" customHeight="1">
      <c r="A8" s="129" t="s">
        <v>780</v>
      </c>
      <c r="B8" s="129" t="s">
        <v>1225</v>
      </c>
      <c r="C8" s="129"/>
      <c r="D8" s="129" t="s">
        <v>159</v>
      </c>
      <c r="E8" s="129">
        <v>2025</v>
      </c>
      <c r="F8" s="311" t="s">
        <v>3458</v>
      </c>
      <c r="G8" s="129"/>
      <c r="H8" s="129" t="s">
        <v>163</v>
      </c>
      <c r="I8" s="129" t="s">
        <v>2393</v>
      </c>
      <c r="J8" s="129" t="s">
        <v>9461</v>
      </c>
      <c r="K8" s="130">
        <v>45700</v>
      </c>
      <c r="L8" s="130">
        <v>45705</v>
      </c>
      <c r="M8" s="130">
        <v>45705</v>
      </c>
      <c r="N8" s="130">
        <v>45706</v>
      </c>
      <c r="O8" s="120">
        <v>45706</v>
      </c>
      <c r="P8" s="45">
        <f t="shared" si="4"/>
        <v>3</v>
      </c>
      <c r="Q8" s="45">
        <f t="shared" si="5"/>
        <v>1</v>
      </c>
      <c r="R8" s="45">
        <f t="shared" si="1"/>
        <v>1</v>
      </c>
      <c r="S8" s="45">
        <f t="shared" si="6"/>
        <v>1</v>
      </c>
      <c r="T8" s="129" t="s">
        <v>150</v>
      </c>
      <c r="U8" s="129" t="s">
        <v>665</v>
      </c>
      <c r="V8" s="129" t="s">
        <v>9462</v>
      </c>
    </row>
    <row r="9" spans="1:22" ht="41.25" customHeight="1">
      <c r="A9" s="129" t="s">
        <v>773</v>
      </c>
      <c r="B9" s="129" t="s">
        <v>829</v>
      </c>
      <c r="C9" s="129"/>
      <c r="D9" s="129" t="s">
        <v>159</v>
      </c>
      <c r="E9" s="129">
        <v>2025</v>
      </c>
      <c r="F9" s="332" t="s">
        <v>3416</v>
      </c>
      <c r="G9" s="129" t="s">
        <v>172</v>
      </c>
      <c r="H9" s="129"/>
      <c r="I9" s="129" t="s">
        <v>163</v>
      </c>
      <c r="J9" s="129" t="s">
        <v>9463</v>
      </c>
      <c r="K9" s="130">
        <v>45730</v>
      </c>
      <c r="L9" s="130">
        <v>45733</v>
      </c>
      <c r="M9" s="130"/>
      <c r="N9" s="130">
        <v>45733</v>
      </c>
      <c r="O9" s="130">
        <v>45733</v>
      </c>
      <c r="P9" s="45">
        <f t="shared" si="4"/>
        <v>1</v>
      </c>
      <c r="Q9" s="45" t="str">
        <f t="shared" si="5"/>
        <v/>
      </c>
      <c r="R9" s="45">
        <f t="shared" si="1"/>
        <v>1</v>
      </c>
      <c r="S9" s="45">
        <f t="shared" si="6"/>
        <v>1</v>
      </c>
      <c r="T9" s="129" t="s">
        <v>150</v>
      </c>
      <c r="U9" s="129" t="s">
        <v>7719</v>
      </c>
      <c r="V9" s="129"/>
    </row>
    <row r="10" spans="1:22" ht="28.5">
      <c r="A10" s="129" t="s">
        <v>774</v>
      </c>
      <c r="B10" s="129" t="s">
        <v>853</v>
      </c>
      <c r="C10" s="129"/>
      <c r="D10" s="129" t="s">
        <v>143</v>
      </c>
      <c r="E10" s="129">
        <v>2025</v>
      </c>
      <c r="F10" s="332" t="s">
        <v>3416</v>
      </c>
      <c r="G10" s="129" t="s">
        <v>188</v>
      </c>
      <c r="H10" s="129"/>
      <c r="I10" s="129" t="s">
        <v>2445</v>
      </c>
      <c r="J10" s="129" t="s">
        <v>9464</v>
      </c>
      <c r="K10" s="130">
        <v>45715</v>
      </c>
      <c r="L10" s="130">
        <v>45718</v>
      </c>
      <c r="M10" s="129"/>
      <c r="N10" s="130">
        <v>45719</v>
      </c>
      <c r="O10" s="130">
        <v>45719</v>
      </c>
      <c r="P10" s="45">
        <f t="shared" si="4"/>
        <v>1</v>
      </c>
      <c r="Q10" s="45" t="str">
        <f t="shared" si="5"/>
        <v/>
      </c>
      <c r="R10" s="45">
        <f t="shared" si="1"/>
        <v>1</v>
      </c>
      <c r="S10" s="45">
        <f t="shared" si="6"/>
        <v>1</v>
      </c>
      <c r="T10" s="129" t="s">
        <v>150</v>
      </c>
      <c r="U10" s="129" t="s">
        <v>9453</v>
      </c>
      <c r="V10" s="129"/>
    </row>
    <row r="11" spans="1:22" ht="15">
      <c r="A11" s="129" t="s">
        <v>776</v>
      </c>
      <c r="B11" s="129" t="s">
        <v>1127</v>
      </c>
      <c r="C11" s="129"/>
      <c r="D11" s="129" t="s">
        <v>143</v>
      </c>
      <c r="E11" s="129">
        <v>2025</v>
      </c>
      <c r="F11" s="332" t="s">
        <v>3416</v>
      </c>
      <c r="G11" s="129"/>
      <c r="H11" s="129" t="s">
        <v>328</v>
      </c>
      <c r="I11" s="129" t="s">
        <v>1982</v>
      </c>
      <c r="J11" s="129" t="s">
        <v>9465</v>
      </c>
      <c r="K11" s="130">
        <v>45727</v>
      </c>
      <c r="L11" s="130">
        <v>45735</v>
      </c>
      <c r="M11" s="130">
        <v>45735</v>
      </c>
      <c r="N11" s="130">
        <v>45735</v>
      </c>
      <c r="O11" s="130">
        <v>45735</v>
      </c>
      <c r="P11" s="45">
        <f t="shared" si="4"/>
        <v>6</v>
      </c>
      <c r="Q11" s="45">
        <f t="shared" si="5"/>
        <v>1</v>
      </c>
      <c r="R11" s="45">
        <f t="shared" si="1"/>
        <v>1</v>
      </c>
      <c r="S11" s="45">
        <f t="shared" si="6"/>
        <v>1</v>
      </c>
      <c r="T11" s="129" t="s">
        <v>150</v>
      </c>
      <c r="U11" s="129" t="s">
        <v>330</v>
      </c>
      <c r="V11" s="129"/>
    </row>
    <row r="12" spans="1:22" ht="15">
      <c r="A12" s="129" t="s">
        <v>2286</v>
      </c>
      <c r="B12" s="129" t="s">
        <v>1180</v>
      </c>
      <c r="C12" s="129"/>
      <c r="D12" s="129" t="s">
        <v>143</v>
      </c>
      <c r="E12" s="129">
        <v>2025</v>
      </c>
      <c r="F12" s="332" t="s">
        <v>3416</v>
      </c>
      <c r="G12" s="129"/>
      <c r="H12" s="129" t="s">
        <v>2289</v>
      </c>
      <c r="I12" s="129" t="s">
        <v>212</v>
      </c>
      <c r="J12" s="129" t="s">
        <v>9466</v>
      </c>
      <c r="K12" s="130">
        <v>45734</v>
      </c>
      <c r="L12" s="130">
        <v>45735</v>
      </c>
      <c r="M12" s="130">
        <v>45735</v>
      </c>
      <c r="N12" s="130">
        <v>45735</v>
      </c>
      <c r="O12" s="130">
        <v>45735</v>
      </c>
      <c r="P12" s="45">
        <f t="shared" si="4"/>
        <v>1</v>
      </c>
      <c r="Q12" s="45">
        <f t="shared" si="5"/>
        <v>1</v>
      </c>
      <c r="R12" s="45">
        <f t="shared" si="1"/>
        <v>1</v>
      </c>
      <c r="S12" s="45">
        <f t="shared" si="6"/>
        <v>1</v>
      </c>
      <c r="T12" s="129" t="s">
        <v>150</v>
      </c>
      <c r="U12" s="129" t="s">
        <v>665</v>
      </c>
      <c r="V12" s="129" t="s">
        <v>9467</v>
      </c>
    </row>
    <row r="13" spans="1:22" ht="57">
      <c r="A13" s="129" t="s">
        <v>779</v>
      </c>
      <c r="B13" s="129" t="s">
        <v>1185</v>
      </c>
      <c r="C13" s="129"/>
      <c r="D13" s="129" t="s">
        <v>143</v>
      </c>
      <c r="E13" s="129">
        <v>2025</v>
      </c>
      <c r="F13" s="332" t="s">
        <v>3416</v>
      </c>
      <c r="G13" s="129"/>
      <c r="H13" s="129"/>
      <c r="I13" s="129" t="s">
        <v>328</v>
      </c>
      <c r="J13" s="129" t="s">
        <v>9468</v>
      </c>
      <c r="K13" s="130">
        <v>45722</v>
      </c>
      <c r="L13" s="130">
        <v>45728</v>
      </c>
      <c r="M13" s="129"/>
      <c r="N13" s="130">
        <v>45728</v>
      </c>
      <c r="O13" s="130">
        <v>45730</v>
      </c>
      <c r="P13" s="45">
        <f t="shared" si="4"/>
        <v>4</v>
      </c>
      <c r="Q13" s="45" t="str">
        <f t="shared" si="5"/>
        <v/>
      </c>
      <c r="R13" s="45">
        <f t="shared" si="1"/>
        <v>1</v>
      </c>
      <c r="S13" s="45">
        <f t="shared" si="6"/>
        <v>2</v>
      </c>
      <c r="T13" s="129" t="s">
        <v>150</v>
      </c>
      <c r="U13" s="129" t="s">
        <v>9459</v>
      </c>
      <c r="V13" s="129"/>
    </row>
    <row r="14" spans="1:22" ht="15">
      <c r="A14" s="129" t="s">
        <v>780</v>
      </c>
      <c r="B14" s="129" t="s">
        <v>1899</v>
      </c>
      <c r="C14" s="129"/>
      <c r="D14" s="129" t="s">
        <v>159</v>
      </c>
      <c r="E14" s="129">
        <v>2025</v>
      </c>
      <c r="F14" s="332" t="s">
        <v>3416</v>
      </c>
      <c r="G14" s="129" t="s">
        <v>42</v>
      </c>
      <c r="H14" s="129"/>
      <c r="I14" s="129" t="s">
        <v>2393</v>
      </c>
      <c r="J14" s="129" t="s">
        <v>9469</v>
      </c>
      <c r="K14" s="130">
        <v>45730</v>
      </c>
      <c r="L14" s="130">
        <v>45734</v>
      </c>
      <c r="M14" s="130">
        <v>45734</v>
      </c>
      <c r="N14" s="130">
        <v>45734</v>
      </c>
      <c r="O14" s="130">
        <v>45734</v>
      </c>
      <c r="P14" s="45">
        <f t="shared" si="4"/>
        <v>2</v>
      </c>
      <c r="Q14" s="45">
        <f t="shared" si="5"/>
        <v>1</v>
      </c>
      <c r="R14" s="45">
        <f t="shared" si="1"/>
        <v>1</v>
      </c>
      <c r="S14" s="45">
        <f t="shared" si="6"/>
        <v>1</v>
      </c>
      <c r="T14" s="129" t="s">
        <v>150</v>
      </c>
      <c r="U14" s="129" t="s">
        <v>9470</v>
      </c>
      <c r="V14" s="129" t="s">
        <v>9471</v>
      </c>
    </row>
    <row r="15" spans="1:22" ht="28.5">
      <c r="A15" s="129" t="s">
        <v>773</v>
      </c>
      <c r="B15" s="129" t="s">
        <v>969</v>
      </c>
      <c r="C15" s="129"/>
      <c r="D15" s="129" t="s">
        <v>159</v>
      </c>
      <c r="E15" s="129">
        <v>2025</v>
      </c>
      <c r="F15" s="311" t="s">
        <v>3470</v>
      </c>
      <c r="G15" s="129" t="s">
        <v>3426</v>
      </c>
      <c r="H15" s="129"/>
      <c r="I15" s="129" t="s">
        <v>163</v>
      </c>
      <c r="J15" s="129" t="s">
        <v>9472</v>
      </c>
      <c r="K15" s="130">
        <v>45763</v>
      </c>
      <c r="L15" s="130">
        <v>45763</v>
      </c>
      <c r="M15" s="129"/>
      <c r="N15" s="130">
        <v>45768</v>
      </c>
      <c r="O15" s="130">
        <v>45768</v>
      </c>
      <c r="P15" s="45">
        <f t="shared" si="4"/>
        <v>1</v>
      </c>
      <c r="Q15" s="45" t="str">
        <f t="shared" si="5"/>
        <v/>
      </c>
      <c r="R15" s="45">
        <f t="shared" si="1"/>
        <v>3</v>
      </c>
      <c r="S15" s="45">
        <f t="shared" si="6"/>
        <v>1</v>
      </c>
      <c r="T15" s="129" t="s">
        <v>150</v>
      </c>
      <c r="U15" s="129" t="s">
        <v>9456</v>
      </c>
      <c r="V15" s="129"/>
    </row>
    <row r="16" spans="1:22" ht="71.25">
      <c r="A16" s="129" t="s">
        <v>774</v>
      </c>
      <c r="B16" s="129" t="s">
        <v>891</v>
      </c>
      <c r="C16" s="129"/>
      <c r="D16" s="129" t="s">
        <v>143</v>
      </c>
      <c r="E16" s="129">
        <v>2025</v>
      </c>
      <c r="F16" s="311" t="s">
        <v>3470</v>
      </c>
      <c r="G16" s="129" t="s">
        <v>179</v>
      </c>
      <c r="H16" s="129"/>
      <c r="I16" s="129" t="s">
        <v>2445</v>
      </c>
      <c r="J16" s="129" t="s">
        <v>9473</v>
      </c>
      <c r="K16" s="130">
        <v>45757</v>
      </c>
      <c r="L16" s="130">
        <v>45757</v>
      </c>
      <c r="M16" s="129"/>
      <c r="N16" s="130">
        <v>45758</v>
      </c>
      <c r="O16" s="130">
        <v>45758</v>
      </c>
      <c r="P16" s="45">
        <f t="shared" si="4"/>
        <v>1</v>
      </c>
      <c r="Q16" s="45" t="str">
        <f t="shared" si="5"/>
        <v/>
      </c>
      <c r="R16" s="45">
        <f t="shared" si="1"/>
        <v>1</v>
      </c>
      <c r="S16" s="45">
        <f t="shared" si="6"/>
        <v>1</v>
      </c>
      <c r="T16" s="129" t="s">
        <v>150</v>
      </c>
      <c r="U16" s="129" t="s">
        <v>9474</v>
      </c>
      <c r="V16" s="129" t="s">
        <v>9475</v>
      </c>
    </row>
    <row r="17" spans="1:22" ht="42.75">
      <c r="A17" s="129" t="s">
        <v>776</v>
      </c>
      <c r="B17" s="129" t="s">
        <v>3953</v>
      </c>
      <c r="C17" s="129"/>
      <c r="D17" s="129" t="s">
        <v>143</v>
      </c>
      <c r="E17" s="129">
        <v>2025</v>
      </c>
      <c r="F17" s="311" t="s">
        <v>3470</v>
      </c>
      <c r="G17" s="129" t="s">
        <v>200</v>
      </c>
      <c r="H17" s="129"/>
      <c r="I17" s="129" t="s">
        <v>1982</v>
      </c>
      <c r="J17" s="129" t="s">
        <v>9476</v>
      </c>
      <c r="K17" s="130">
        <v>45762</v>
      </c>
      <c r="L17" s="130">
        <v>45769</v>
      </c>
      <c r="M17" s="129"/>
      <c r="N17" s="130">
        <v>45769</v>
      </c>
      <c r="O17" s="130">
        <v>45769</v>
      </c>
      <c r="P17" s="45">
        <f t="shared" si="4"/>
        <v>5</v>
      </c>
      <c r="Q17" s="45" t="str">
        <f t="shared" si="5"/>
        <v/>
      </c>
      <c r="R17" s="45">
        <f t="shared" si="1"/>
        <v>1</v>
      </c>
      <c r="S17" s="45">
        <f t="shared" si="6"/>
        <v>1</v>
      </c>
      <c r="T17" s="129" t="s">
        <v>150</v>
      </c>
      <c r="U17" s="620" t="s">
        <v>9477</v>
      </c>
      <c r="V17" s="129" t="s">
        <v>9478</v>
      </c>
    </row>
    <row r="18" spans="1:22" ht="28.5">
      <c r="A18" s="129" t="s">
        <v>2286</v>
      </c>
      <c r="B18" s="129" t="s">
        <v>1252</v>
      </c>
      <c r="C18" s="129" t="s">
        <v>1253</v>
      </c>
      <c r="D18" s="129" t="s">
        <v>143</v>
      </c>
      <c r="E18" s="129">
        <v>2025</v>
      </c>
      <c r="F18" s="311" t="s">
        <v>3470</v>
      </c>
      <c r="G18" s="129" t="s">
        <v>267</v>
      </c>
      <c r="H18" s="129" t="s">
        <v>28</v>
      </c>
      <c r="I18" s="129" t="s">
        <v>212</v>
      </c>
      <c r="J18" s="129" t="s">
        <v>9479</v>
      </c>
      <c r="K18" s="130">
        <v>45758</v>
      </c>
      <c r="L18" s="130">
        <v>45769</v>
      </c>
      <c r="M18" s="130">
        <v>45769</v>
      </c>
      <c r="N18" s="130">
        <v>45769</v>
      </c>
      <c r="O18" s="130">
        <v>45769</v>
      </c>
      <c r="P18" s="45">
        <f t="shared" si="4"/>
        <v>7</v>
      </c>
      <c r="Q18" s="45">
        <f t="shared" si="5"/>
        <v>1</v>
      </c>
      <c r="R18" s="45">
        <f t="shared" si="1"/>
        <v>1</v>
      </c>
      <c r="S18" s="45">
        <f t="shared" si="6"/>
        <v>1</v>
      </c>
      <c r="T18" s="129" t="s">
        <v>150</v>
      </c>
      <c r="U18" s="129" t="s">
        <v>7719</v>
      </c>
      <c r="V18" s="129"/>
    </row>
    <row r="19" spans="1:22" ht="28.5">
      <c r="A19" s="129" t="s">
        <v>778</v>
      </c>
      <c r="B19" s="129" t="s">
        <v>2091</v>
      </c>
      <c r="C19" s="129"/>
      <c r="D19" s="129" t="s">
        <v>143</v>
      </c>
      <c r="E19" s="129">
        <v>2025</v>
      </c>
      <c r="F19" s="311" t="s">
        <v>3470</v>
      </c>
      <c r="G19" s="129" t="s">
        <v>33</v>
      </c>
      <c r="H19" s="129" t="s">
        <v>28</v>
      </c>
      <c r="I19" s="129" t="s">
        <v>148</v>
      </c>
      <c r="J19" s="129" t="s">
        <v>9480</v>
      </c>
      <c r="K19" s="130">
        <v>45762</v>
      </c>
      <c r="L19" s="130">
        <v>45769</v>
      </c>
      <c r="M19" s="130">
        <v>45769</v>
      </c>
      <c r="N19" s="130">
        <v>45769</v>
      </c>
      <c r="O19" s="130">
        <v>45769</v>
      </c>
      <c r="P19" s="45">
        <f t="shared" si="4"/>
        <v>5</v>
      </c>
      <c r="Q19" s="45">
        <f t="shared" si="5"/>
        <v>1</v>
      </c>
      <c r="R19" s="45">
        <f t="shared" si="1"/>
        <v>1</v>
      </c>
      <c r="S19" s="45">
        <f t="shared" si="6"/>
        <v>1</v>
      </c>
      <c r="T19" s="129" t="s">
        <v>150</v>
      </c>
      <c r="U19" s="129" t="s">
        <v>330</v>
      </c>
      <c r="V19" s="129"/>
    </row>
    <row r="20" spans="1:22" ht="28.5">
      <c r="A20" s="129" t="s">
        <v>779</v>
      </c>
      <c r="B20" s="129" t="s">
        <v>1502</v>
      </c>
      <c r="C20" s="129"/>
      <c r="D20" s="129" t="s">
        <v>159</v>
      </c>
      <c r="E20" s="129">
        <v>2025</v>
      </c>
      <c r="F20" s="311" t="s">
        <v>3470</v>
      </c>
      <c r="G20" s="129"/>
      <c r="H20" s="129"/>
      <c r="I20" s="129" t="s">
        <v>328</v>
      </c>
      <c r="J20" s="129" t="s">
        <v>9481</v>
      </c>
      <c r="K20" s="130">
        <v>45758</v>
      </c>
      <c r="L20" s="130">
        <v>45762</v>
      </c>
      <c r="M20" s="129"/>
      <c r="N20" s="130">
        <v>45762</v>
      </c>
      <c r="O20" s="130">
        <v>45762</v>
      </c>
      <c r="P20" s="45">
        <f t="shared" si="4"/>
        <v>2</v>
      </c>
      <c r="Q20" s="45" t="str">
        <f t="shared" si="5"/>
        <v/>
      </c>
      <c r="R20" s="45">
        <f t="shared" si="1"/>
        <v>1</v>
      </c>
      <c r="S20" s="45">
        <f t="shared" si="6"/>
        <v>1</v>
      </c>
      <c r="T20" s="129" t="s">
        <v>150</v>
      </c>
      <c r="U20" s="129" t="s">
        <v>9482</v>
      </c>
      <c r="V20" s="129" t="s">
        <v>9483</v>
      </c>
    </row>
    <row r="21" spans="1:22" ht="42.75">
      <c r="A21" s="129" t="s">
        <v>780</v>
      </c>
      <c r="B21" s="129" t="s">
        <v>1210</v>
      </c>
      <c r="C21" s="129"/>
      <c r="D21" s="129" t="s">
        <v>159</v>
      </c>
      <c r="E21" s="129">
        <v>2025</v>
      </c>
      <c r="F21" s="311" t="s">
        <v>3470</v>
      </c>
      <c r="G21" s="129" t="s">
        <v>1212</v>
      </c>
      <c r="H21" s="129" t="s">
        <v>163</v>
      </c>
      <c r="I21" s="129" t="s">
        <v>2393</v>
      </c>
      <c r="J21" s="129" t="s">
        <v>9484</v>
      </c>
      <c r="K21" s="130">
        <v>45763</v>
      </c>
      <c r="L21" s="130">
        <v>45768</v>
      </c>
      <c r="M21" s="130">
        <v>45769</v>
      </c>
      <c r="N21" s="130">
        <v>45769</v>
      </c>
      <c r="O21" s="130">
        <v>45769</v>
      </c>
      <c r="P21" s="45">
        <f t="shared" si="4"/>
        <v>3</v>
      </c>
      <c r="Q21" s="45">
        <f t="shared" si="5"/>
        <v>1</v>
      </c>
      <c r="R21" s="45">
        <f t="shared" si="1"/>
        <v>1</v>
      </c>
      <c r="S21" s="45">
        <f t="shared" si="6"/>
        <v>1</v>
      </c>
      <c r="T21" s="129" t="s">
        <v>150</v>
      </c>
      <c r="U21" s="129" t="s">
        <v>635</v>
      </c>
      <c r="V21" s="129" t="s">
        <v>9462</v>
      </c>
    </row>
    <row r="22" spans="1:22" ht="28.5">
      <c r="A22" s="129" t="s">
        <v>773</v>
      </c>
      <c r="B22" s="129" t="s">
        <v>805</v>
      </c>
      <c r="C22" s="129"/>
      <c r="D22" s="129" t="s">
        <v>159</v>
      </c>
      <c r="E22" s="129">
        <v>2025</v>
      </c>
      <c r="F22" s="332" t="s">
        <v>3532</v>
      </c>
      <c r="G22" s="129" t="s">
        <v>172</v>
      </c>
      <c r="H22" s="129"/>
      <c r="I22" s="129" t="s">
        <v>163</v>
      </c>
      <c r="J22" s="129" t="s">
        <v>9485</v>
      </c>
      <c r="K22" s="130">
        <v>45793</v>
      </c>
      <c r="L22" s="130">
        <v>45796</v>
      </c>
      <c r="M22" s="130"/>
      <c r="N22" s="130">
        <v>45796</v>
      </c>
      <c r="O22" s="130">
        <v>45797</v>
      </c>
      <c r="P22" s="45">
        <f t="shared" si="4"/>
        <v>1</v>
      </c>
      <c r="Q22" s="45" t="str">
        <f t="shared" si="5"/>
        <v/>
      </c>
      <c r="R22" s="45">
        <f t="shared" si="1"/>
        <v>1</v>
      </c>
      <c r="S22" s="45">
        <f t="shared" si="6"/>
        <v>1</v>
      </c>
      <c r="T22" s="129" t="s">
        <v>150</v>
      </c>
      <c r="U22" s="129" t="s">
        <v>9486</v>
      </c>
      <c r="V22" s="129" t="s">
        <v>9487</v>
      </c>
    </row>
    <row r="23" spans="1:22" ht="28.5">
      <c r="A23" s="129" t="s">
        <v>774</v>
      </c>
      <c r="B23" s="129" t="s">
        <v>848</v>
      </c>
      <c r="C23" s="129"/>
      <c r="D23" s="129" t="s">
        <v>143</v>
      </c>
      <c r="E23" s="129">
        <v>2025</v>
      </c>
      <c r="F23" s="332" t="s">
        <v>3532</v>
      </c>
      <c r="G23" s="129" t="s">
        <v>19</v>
      </c>
      <c r="H23" s="129"/>
      <c r="I23" s="129" t="s">
        <v>2445</v>
      </c>
      <c r="J23" s="129" t="s">
        <v>9488</v>
      </c>
      <c r="K23" s="130">
        <v>45783</v>
      </c>
      <c r="L23" s="130">
        <v>45790</v>
      </c>
      <c r="M23" s="129"/>
      <c r="N23" s="130">
        <v>45790</v>
      </c>
      <c r="O23" s="130">
        <v>45791</v>
      </c>
      <c r="P23" s="45">
        <f t="shared" si="4"/>
        <v>5</v>
      </c>
      <c r="Q23" s="45" t="str">
        <f t="shared" si="5"/>
        <v/>
      </c>
      <c r="R23" s="45">
        <f t="shared" si="1"/>
        <v>1</v>
      </c>
      <c r="S23" s="45">
        <f t="shared" si="6"/>
        <v>1</v>
      </c>
      <c r="T23" s="129" t="s">
        <v>150</v>
      </c>
      <c r="U23" s="129" t="s">
        <v>9489</v>
      </c>
      <c r="V23" s="129"/>
    </row>
    <row r="24" spans="1:22" ht="28.5">
      <c r="A24" s="129" t="s">
        <v>2286</v>
      </c>
      <c r="B24" s="129" t="s">
        <v>1282</v>
      </c>
      <c r="C24" s="129"/>
      <c r="D24" s="129" t="s">
        <v>143</v>
      </c>
      <c r="E24" s="129">
        <v>2025</v>
      </c>
      <c r="F24" s="332" t="s">
        <v>3532</v>
      </c>
      <c r="G24" s="129"/>
      <c r="H24" s="129" t="s">
        <v>2289</v>
      </c>
      <c r="I24" s="129" t="s">
        <v>212</v>
      </c>
      <c r="J24" s="129" t="s">
        <v>9490</v>
      </c>
      <c r="K24" s="130">
        <v>45792</v>
      </c>
      <c r="L24" s="130">
        <v>45793</v>
      </c>
      <c r="M24" s="130">
        <v>45793</v>
      </c>
      <c r="N24" s="130">
        <v>45793</v>
      </c>
      <c r="O24" s="130">
        <v>45796</v>
      </c>
      <c r="P24" s="45">
        <f t="shared" si="4"/>
        <v>1</v>
      </c>
      <c r="Q24" s="45">
        <f t="shared" si="5"/>
        <v>1</v>
      </c>
      <c r="R24" s="45">
        <f t="shared" si="1"/>
        <v>1</v>
      </c>
      <c r="S24" s="45">
        <f t="shared" si="6"/>
        <v>1</v>
      </c>
      <c r="T24" s="129" t="s">
        <v>150</v>
      </c>
      <c r="U24" s="129" t="s">
        <v>287</v>
      </c>
      <c r="V24" s="129" t="s">
        <v>2264</v>
      </c>
    </row>
    <row r="25" spans="1:22" ht="22.5" customHeight="1">
      <c r="A25" s="129" t="s">
        <v>778</v>
      </c>
      <c r="B25" s="129" t="s">
        <v>1423</v>
      </c>
      <c r="C25" s="129"/>
      <c r="D25" s="129" t="s">
        <v>143</v>
      </c>
      <c r="E25" s="129">
        <v>2025</v>
      </c>
      <c r="F25" s="332" t="s">
        <v>3532</v>
      </c>
      <c r="G25" s="129" t="s">
        <v>1345</v>
      </c>
      <c r="H25" s="129"/>
      <c r="I25" s="129" t="s">
        <v>148</v>
      </c>
      <c r="J25" s="129" t="s">
        <v>9491</v>
      </c>
      <c r="K25" s="130">
        <v>45793</v>
      </c>
      <c r="L25" s="130">
        <v>45796</v>
      </c>
      <c r="M25" s="129"/>
      <c r="N25" s="130">
        <v>45796</v>
      </c>
      <c r="O25" s="130">
        <v>45797</v>
      </c>
      <c r="P25" s="45">
        <f t="shared" si="4"/>
        <v>1</v>
      </c>
      <c r="Q25" s="45" t="str">
        <f t="shared" si="5"/>
        <v/>
      </c>
      <c r="R25" s="45">
        <f t="shared" si="1"/>
        <v>1</v>
      </c>
      <c r="S25" s="45">
        <f t="shared" si="6"/>
        <v>1</v>
      </c>
      <c r="T25" s="129" t="s">
        <v>150</v>
      </c>
      <c r="U25" s="129" t="s">
        <v>9456</v>
      </c>
      <c r="V25" s="129" t="s">
        <v>9483</v>
      </c>
    </row>
    <row r="26" spans="1:22" ht="42.75">
      <c r="A26" s="129" t="s">
        <v>779</v>
      </c>
      <c r="B26" s="129" t="s">
        <v>858</v>
      </c>
      <c r="C26" s="129"/>
      <c r="D26" s="129" t="s">
        <v>159</v>
      </c>
      <c r="E26" s="129">
        <v>2025</v>
      </c>
      <c r="F26" s="332" t="s">
        <v>3532</v>
      </c>
      <c r="G26" s="129"/>
      <c r="H26" s="129"/>
      <c r="I26" s="129" t="s">
        <v>328</v>
      </c>
      <c r="J26" s="129" t="s">
        <v>9492</v>
      </c>
      <c r="K26" s="130">
        <v>45793</v>
      </c>
      <c r="L26" s="130">
        <v>45796</v>
      </c>
      <c r="M26" s="129"/>
      <c r="N26" s="130">
        <v>45796</v>
      </c>
      <c r="O26" s="130">
        <v>45797</v>
      </c>
      <c r="P26" s="45">
        <f t="shared" si="4"/>
        <v>1</v>
      </c>
      <c r="Q26" s="45" t="str">
        <f t="shared" si="5"/>
        <v/>
      </c>
      <c r="R26" s="45">
        <f t="shared" si="1"/>
        <v>1</v>
      </c>
      <c r="S26" s="45">
        <f t="shared" si="6"/>
        <v>1</v>
      </c>
      <c r="T26" s="129" t="s">
        <v>150</v>
      </c>
      <c r="U26" s="620" t="s">
        <v>9477</v>
      </c>
      <c r="V26" s="129" t="s">
        <v>2264</v>
      </c>
    </row>
    <row r="27" spans="1:22" ht="28.5">
      <c r="A27" s="129" t="s">
        <v>780</v>
      </c>
      <c r="B27" s="129" t="s">
        <v>2056</v>
      </c>
      <c r="C27" s="129"/>
      <c r="D27" s="129" t="s">
        <v>159</v>
      </c>
      <c r="E27" s="129">
        <v>2025</v>
      </c>
      <c r="F27" s="332" t="s">
        <v>3532</v>
      </c>
      <c r="G27" s="129"/>
      <c r="H27" s="129" t="s">
        <v>163</v>
      </c>
      <c r="I27" s="129" t="s">
        <v>2393</v>
      </c>
      <c r="J27" s="129" t="s">
        <v>9493</v>
      </c>
      <c r="K27" s="130">
        <v>45793</v>
      </c>
      <c r="L27" s="130">
        <v>45796</v>
      </c>
      <c r="M27" s="129"/>
      <c r="N27" s="130">
        <v>45796</v>
      </c>
      <c r="O27" s="130">
        <v>45797</v>
      </c>
      <c r="P27" s="45">
        <f t="shared" si="4"/>
        <v>1</v>
      </c>
      <c r="Q27" s="45" t="str">
        <f t="shared" si="5"/>
        <v/>
      </c>
      <c r="R27" s="45" t="str">
        <f t="shared" si="1"/>
        <v/>
      </c>
      <c r="S27" s="45">
        <f t="shared" si="6"/>
        <v>1</v>
      </c>
      <c r="T27" s="129" t="s">
        <v>150</v>
      </c>
      <c r="U27" s="129" t="s">
        <v>7719</v>
      </c>
      <c r="V27" s="129" t="s">
        <v>2264</v>
      </c>
    </row>
    <row r="28" spans="1:22" ht="42.75">
      <c r="A28" s="129" t="s">
        <v>776</v>
      </c>
      <c r="B28" s="129" t="s">
        <v>1017</v>
      </c>
      <c r="C28" s="129"/>
      <c r="D28" s="129" t="s">
        <v>143</v>
      </c>
      <c r="E28" s="129">
        <v>2025</v>
      </c>
      <c r="F28" s="332" t="s">
        <v>3532</v>
      </c>
      <c r="G28" s="129" t="s">
        <v>388</v>
      </c>
      <c r="H28" s="129"/>
      <c r="I28" s="129" t="s">
        <v>1982</v>
      </c>
      <c r="J28" s="476" t="s">
        <v>9494</v>
      </c>
      <c r="K28" s="130">
        <v>45793</v>
      </c>
      <c r="L28" s="130">
        <v>45796</v>
      </c>
      <c r="M28" s="129"/>
      <c r="N28" s="130">
        <v>45797</v>
      </c>
      <c r="O28" s="130">
        <v>45797</v>
      </c>
      <c r="P28" s="45">
        <f t="shared" si="4"/>
        <v>1</v>
      </c>
      <c r="Q28" s="45" t="str">
        <f t="shared" si="5"/>
        <v/>
      </c>
      <c r="R28" s="45">
        <f t="shared" si="1"/>
        <v>1</v>
      </c>
      <c r="S28" s="45">
        <f t="shared" si="6"/>
        <v>1</v>
      </c>
      <c r="T28" s="129" t="s">
        <v>150</v>
      </c>
      <c r="U28" s="620" t="s">
        <v>9477</v>
      </c>
      <c r="V28" s="129" t="s">
        <v>9495</v>
      </c>
    </row>
    <row r="29" spans="1:22" ht="22.5" customHeight="1">
      <c r="A29" s="129" t="s">
        <v>773</v>
      </c>
      <c r="B29" s="129" t="s">
        <v>825</v>
      </c>
      <c r="C29" s="129"/>
      <c r="D29" s="129" t="s">
        <v>159</v>
      </c>
      <c r="E29" s="129">
        <v>2025</v>
      </c>
      <c r="F29" s="311" t="s">
        <v>3689</v>
      </c>
      <c r="G29" s="129" t="s">
        <v>14</v>
      </c>
      <c r="H29" s="129"/>
      <c r="I29" s="129" t="s">
        <v>163</v>
      </c>
      <c r="J29" s="129" t="s">
        <v>9496</v>
      </c>
      <c r="K29" s="130">
        <v>45819</v>
      </c>
      <c r="L29" s="130">
        <v>45826</v>
      </c>
      <c r="M29" s="129"/>
      <c r="N29" s="130">
        <v>45826</v>
      </c>
      <c r="O29" s="130">
        <v>45826</v>
      </c>
      <c r="P29" s="45">
        <f t="shared" si="4"/>
        <v>5</v>
      </c>
      <c r="Q29" s="45" t="str">
        <f t="shared" si="5"/>
        <v/>
      </c>
      <c r="R29" s="45">
        <f t="shared" si="1"/>
        <v>1</v>
      </c>
      <c r="S29" s="45">
        <f t="shared" si="6"/>
        <v>1</v>
      </c>
      <c r="T29" s="129" t="s">
        <v>150</v>
      </c>
      <c r="U29" s="129" t="s">
        <v>7719</v>
      </c>
      <c r="V29" s="129" t="s">
        <v>2264</v>
      </c>
    </row>
    <row r="30" spans="1:22" ht="22.5" customHeight="1">
      <c r="A30" s="129" t="s">
        <v>774</v>
      </c>
      <c r="B30" s="129" t="s">
        <v>865</v>
      </c>
      <c r="C30" s="129"/>
      <c r="D30" s="129" t="s">
        <v>143</v>
      </c>
      <c r="E30" s="129">
        <v>2025</v>
      </c>
      <c r="F30" s="311" t="s">
        <v>3689</v>
      </c>
      <c r="G30" s="129" t="s">
        <v>188</v>
      </c>
      <c r="H30" s="129"/>
      <c r="I30" s="129" t="s">
        <v>2445</v>
      </c>
      <c r="J30" s="129" t="s">
        <v>9497</v>
      </c>
      <c r="K30" s="130">
        <v>45821</v>
      </c>
      <c r="L30" s="130">
        <v>45823</v>
      </c>
      <c r="M30" s="129"/>
      <c r="N30" s="130">
        <v>45824</v>
      </c>
      <c r="O30" s="130">
        <v>45824</v>
      </c>
      <c r="P30" s="45">
        <f t="shared" si="4"/>
        <v>1</v>
      </c>
      <c r="Q30" s="45" t="str">
        <f t="shared" si="5"/>
        <v/>
      </c>
      <c r="R30" s="45">
        <f t="shared" si="1"/>
        <v>1</v>
      </c>
      <c r="S30" s="45">
        <f t="shared" si="6"/>
        <v>1</v>
      </c>
      <c r="T30" s="129" t="s">
        <v>150</v>
      </c>
      <c r="U30" s="129" t="s">
        <v>9498</v>
      </c>
      <c r="V30" s="129" t="s">
        <v>2264</v>
      </c>
    </row>
    <row r="31" spans="1:22" ht="22.5" customHeight="1">
      <c r="A31" s="129" t="s">
        <v>776</v>
      </c>
      <c r="B31" s="129" t="s">
        <v>1135</v>
      </c>
      <c r="C31" s="129"/>
      <c r="D31" s="129" t="s">
        <v>143</v>
      </c>
      <c r="E31" s="129">
        <v>2025</v>
      </c>
      <c r="F31" s="311" t="s">
        <v>3689</v>
      </c>
      <c r="G31" s="129" t="s">
        <v>388</v>
      </c>
      <c r="H31" s="129"/>
      <c r="I31" s="129" t="s">
        <v>1982</v>
      </c>
      <c r="J31" s="129" t="s">
        <v>9499</v>
      </c>
      <c r="K31" s="130">
        <v>45825</v>
      </c>
      <c r="L31" s="130">
        <v>45825</v>
      </c>
      <c r="M31" s="130"/>
      <c r="N31" s="130">
        <v>45827</v>
      </c>
      <c r="O31" s="130">
        <v>45827</v>
      </c>
      <c r="P31" s="45">
        <f t="shared" si="4"/>
        <v>1</v>
      </c>
      <c r="Q31" s="45" t="str">
        <f t="shared" si="5"/>
        <v/>
      </c>
      <c r="R31" s="45">
        <f t="shared" si="1"/>
        <v>2</v>
      </c>
      <c r="S31" s="45">
        <f t="shared" si="6"/>
        <v>1</v>
      </c>
      <c r="T31" s="129" t="s">
        <v>150</v>
      </c>
      <c r="U31" s="129" t="s">
        <v>330</v>
      </c>
      <c r="V31" s="129" t="s">
        <v>9500</v>
      </c>
    </row>
    <row r="32" spans="1:22" ht="28.5">
      <c r="A32" s="129" t="s">
        <v>2286</v>
      </c>
      <c r="B32" s="129" t="s">
        <v>1285</v>
      </c>
      <c r="C32" s="129"/>
      <c r="D32" s="129" t="s">
        <v>143</v>
      </c>
      <c r="E32" s="129">
        <v>2025</v>
      </c>
      <c r="F32" s="311" t="s">
        <v>3689</v>
      </c>
      <c r="G32" s="129" t="s">
        <v>26</v>
      </c>
      <c r="H32" s="129" t="s">
        <v>2289</v>
      </c>
      <c r="I32" s="129" t="s">
        <v>212</v>
      </c>
      <c r="J32" s="129" t="s">
        <v>9501</v>
      </c>
      <c r="K32" s="130">
        <v>45807</v>
      </c>
      <c r="L32" s="130">
        <v>45826</v>
      </c>
      <c r="M32" s="130">
        <v>45826</v>
      </c>
      <c r="N32" s="130">
        <v>45826</v>
      </c>
      <c r="O32" s="130">
        <v>45827</v>
      </c>
      <c r="P32" s="45">
        <f t="shared" si="4"/>
        <v>13</v>
      </c>
      <c r="Q32" s="45">
        <f t="shared" si="5"/>
        <v>1</v>
      </c>
      <c r="R32" s="45">
        <f t="shared" si="1"/>
        <v>1</v>
      </c>
      <c r="S32" s="45">
        <f t="shared" si="6"/>
        <v>1</v>
      </c>
      <c r="T32" s="129" t="s">
        <v>150</v>
      </c>
      <c r="U32" s="129" t="s">
        <v>287</v>
      </c>
      <c r="V32" s="129"/>
    </row>
    <row r="33" spans="1:22" s="460" customFormat="1" ht="28.5">
      <c r="A33" s="129" t="s">
        <v>778</v>
      </c>
      <c r="B33" s="129" t="s">
        <v>1349</v>
      </c>
      <c r="C33" s="129" t="s">
        <v>9502</v>
      </c>
      <c r="D33" s="129" t="s">
        <v>143</v>
      </c>
      <c r="E33" s="129">
        <v>2025</v>
      </c>
      <c r="F33" s="311" t="s">
        <v>3689</v>
      </c>
      <c r="G33" s="129" t="s">
        <v>32</v>
      </c>
      <c r="H33" s="129" t="s">
        <v>28</v>
      </c>
      <c r="I33" s="129" t="s">
        <v>148</v>
      </c>
      <c r="J33" s="129" t="s">
        <v>9503</v>
      </c>
      <c r="K33" s="130">
        <v>45826</v>
      </c>
      <c r="L33" s="130">
        <v>45826</v>
      </c>
      <c r="M33" s="130">
        <v>45826</v>
      </c>
      <c r="N33" s="130">
        <v>45826</v>
      </c>
      <c r="O33" s="130">
        <v>45826</v>
      </c>
      <c r="P33" s="45">
        <f t="shared" si="4"/>
        <v>1</v>
      </c>
      <c r="Q33" s="45">
        <f t="shared" si="5"/>
        <v>1</v>
      </c>
      <c r="R33" s="45">
        <f t="shared" si="1"/>
        <v>1</v>
      </c>
      <c r="S33" s="45">
        <f t="shared" si="6"/>
        <v>1</v>
      </c>
      <c r="T33" s="129" t="s">
        <v>150</v>
      </c>
      <c r="U33" s="129" t="s">
        <v>9456</v>
      </c>
      <c r="V33" s="129" t="s">
        <v>2264</v>
      </c>
    </row>
    <row r="34" spans="1:22" ht="57">
      <c r="A34" s="129" t="s">
        <v>779</v>
      </c>
      <c r="B34" s="129" t="s">
        <v>1516</v>
      </c>
      <c r="C34" s="129"/>
      <c r="D34" s="129" t="s">
        <v>159</v>
      </c>
      <c r="E34" s="129">
        <v>2025</v>
      </c>
      <c r="F34" s="311" t="s">
        <v>3689</v>
      </c>
      <c r="G34" s="129"/>
      <c r="H34" s="129"/>
      <c r="I34" s="129" t="s">
        <v>328</v>
      </c>
      <c r="J34" s="129" t="s">
        <v>9504</v>
      </c>
      <c r="K34" s="130">
        <v>45824</v>
      </c>
      <c r="L34" s="130">
        <v>45826</v>
      </c>
      <c r="M34" s="129"/>
      <c r="N34" s="130">
        <v>45826</v>
      </c>
      <c r="O34" s="130">
        <v>45826</v>
      </c>
      <c r="P34" s="45">
        <f t="shared" si="4"/>
        <v>2</v>
      </c>
      <c r="Q34" s="45" t="str">
        <f t="shared" si="5"/>
        <v/>
      </c>
      <c r="R34" s="45">
        <f t="shared" si="1"/>
        <v>1</v>
      </c>
      <c r="S34" s="45">
        <f t="shared" si="6"/>
        <v>1</v>
      </c>
      <c r="T34" s="129" t="s">
        <v>150</v>
      </c>
      <c r="U34" s="129" t="s">
        <v>9459</v>
      </c>
      <c r="V34" s="129" t="s">
        <v>2264</v>
      </c>
    </row>
    <row r="35" spans="1:22" ht="33.75" customHeight="1">
      <c r="A35" s="129" t="s">
        <v>780</v>
      </c>
      <c r="B35" s="129" t="s">
        <v>1531</v>
      </c>
      <c r="C35" s="129"/>
      <c r="D35" s="129" t="s">
        <v>159</v>
      </c>
      <c r="E35" s="129">
        <v>2025</v>
      </c>
      <c r="F35" s="311" t="s">
        <v>3689</v>
      </c>
      <c r="G35" s="129" t="s">
        <v>42</v>
      </c>
      <c r="H35" s="129" t="s">
        <v>163</v>
      </c>
      <c r="I35" s="129" t="s">
        <v>2393</v>
      </c>
      <c r="J35" s="129" t="s">
        <v>9505</v>
      </c>
      <c r="K35" s="130">
        <v>45821</v>
      </c>
      <c r="L35" s="130">
        <v>45824</v>
      </c>
      <c r="M35" s="130">
        <v>45825</v>
      </c>
      <c r="N35" s="130">
        <v>45825</v>
      </c>
      <c r="O35" s="130">
        <v>45825</v>
      </c>
      <c r="P35" s="45">
        <f t="shared" si="4"/>
        <v>1</v>
      </c>
      <c r="Q35" s="45">
        <f t="shared" si="5"/>
        <v>1</v>
      </c>
      <c r="R35" s="45">
        <f t="shared" si="1"/>
        <v>1</v>
      </c>
      <c r="S35" s="45">
        <f t="shared" si="6"/>
        <v>1</v>
      </c>
      <c r="T35" s="129" t="s">
        <v>150</v>
      </c>
      <c r="U35" s="129" t="s">
        <v>7719</v>
      </c>
      <c r="V35" s="129" t="s">
        <v>2264</v>
      </c>
    </row>
    <row r="36" spans="1:22" ht="27.75" customHeight="1">
      <c r="A36" s="129" t="s">
        <v>773</v>
      </c>
      <c r="B36" s="129" t="s">
        <v>974</v>
      </c>
      <c r="C36" s="129"/>
      <c r="D36" s="129" t="s">
        <v>159</v>
      </c>
      <c r="E36" s="129">
        <v>2025</v>
      </c>
      <c r="F36" s="332" t="s">
        <v>3125</v>
      </c>
      <c r="G36" s="129" t="s">
        <v>15</v>
      </c>
      <c r="H36" s="129"/>
      <c r="I36" s="129" t="s">
        <v>163</v>
      </c>
      <c r="J36" s="129" t="s">
        <v>9506</v>
      </c>
      <c r="K36" s="130">
        <v>45853</v>
      </c>
      <c r="L36" s="130">
        <v>45855</v>
      </c>
      <c r="M36" s="130"/>
      <c r="N36" s="130">
        <v>45856</v>
      </c>
      <c r="O36" s="130">
        <v>45856</v>
      </c>
      <c r="P36" s="45">
        <f t="shared" si="4"/>
        <v>2</v>
      </c>
      <c r="Q36" s="45" t="str">
        <f t="shared" si="5"/>
        <v/>
      </c>
      <c r="R36" s="45">
        <f t="shared" si="1"/>
        <v>1</v>
      </c>
      <c r="S36" s="45">
        <f t="shared" si="6"/>
        <v>1</v>
      </c>
      <c r="T36" s="129" t="s">
        <v>150</v>
      </c>
      <c r="U36" s="129" t="s">
        <v>665</v>
      </c>
      <c r="V36" s="129" t="s">
        <v>9507</v>
      </c>
    </row>
    <row r="37" spans="1:22" ht="15">
      <c r="A37" s="129" t="s">
        <v>774</v>
      </c>
      <c r="B37" s="129" t="s">
        <v>895</v>
      </c>
      <c r="C37" s="129"/>
      <c r="D37" s="129" t="s">
        <v>143</v>
      </c>
      <c r="E37" s="129">
        <v>2025</v>
      </c>
      <c r="F37" s="332" t="s">
        <v>3125</v>
      </c>
      <c r="G37" s="129" t="s">
        <v>19</v>
      </c>
      <c r="H37" s="129"/>
      <c r="I37" s="129" t="s">
        <v>2445</v>
      </c>
      <c r="J37" s="129" t="s">
        <v>9508</v>
      </c>
      <c r="K37" s="130">
        <v>45840</v>
      </c>
      <c r="L37" s="130">
        <v>45845</v>
      </c>
      <c r="M37" s="129"/>
      <c r="N37" s="130">
        <v>45845</v>
      </c>
      <c r="O37" s="130">
        <v>45847</v>
      </c>
      <c r="P37" s="45">
        <f t="shared" ref="P37:P68" si="7">IF(
    OR(ISBLANK(K37), ISBLANK(L37)),
    "",
    MAX(1, IF(
        NETWORKDAYS(K37, L37) &lt;= 0,
        1,
        NETWORKDAYS(K37, L37) - IF(K37 = L37, 0, 1)
    ))
)</f>
        <v>3</v>
      </c>
      <c r="Q37" s="45" t="str">
        <f t="shared" ref="Q37:Q68" si="8">IF(
    OR(ISBLANK(L37), ISBLANK(M37)),
    "",
    MAX(1, IF(
        NETWORKDAYS(L37, M37) &lt;= 0,
        1,
        NETWORKDAYS(L37, M37) - IF(L37 = M37, 0, 1)
    ))
)</f>
        <v/>
      </c>
      <c r="R37" s="45">
        <f t="shared" si="1"/>
        <v>1</v>
      </c>
      <c r="S37" s="45">
        <f t="shared" ref="S37:S68" si="9">IF(
    OR(ISBLANK(N37), ISBLANK(O37)),
    "",
    MAX(1, IF(
        NETWORKDAYS(N37, O37) &lt;= 0,
        1,
        NETWORKDAYS(N37, O37) - IF(N37 = O37, 0, 1)
    ))
)</f>
        <v>2</v>
      </c>
      <c r="T37" s="129" t="s">
        <v>150</v>
      </c>
      <c r="U37" s="129" t="s">
        <v>9509</v>
      </c>
      <c r="V37" s="129" t="s">
        <v>2264</v>
      </c>
    </row>
    <row r="38" spans="1:22" ht="42.75">
      <c r="A38" s="129" t="s">
        <v>776</v>
      </c>
      <c r="B38" s="129" t="s">
        <v>1055</v>
      </c>
      <c r="C38" s="129"/>
      <c r="D38" s="129" t="s">
        <v>143</v>
      </c>
      <c r="E38" s="129">
        <v>2025</v>
      </c>
      <c r="F38" s="332" t="s">
        <v>3125</v>
      </c>
      <c r="G38" s="129" t="s">
        <v>388</v>
      </c>
      <c r="H38" s="129"/>
      <c r="I38" s="129" t="s">
        <v>1982</v>
      </c>
      <c r="J38" s="129" t="s">
        <v>9510</v>
      </c>
      <c r="K38" s="130">
        <v>45849</v>
      </c>
      <c r="L38" s="130">
        <v>45853</v>
      </c>
      <c r="M38" s="130"/>
      <c r="N38" s="130">
        <v>45855</v>
      </c>
      <c r="O38" s="130">
        <v>45856</v>
      </c>
      <c r="P38" s="45">
        <f t="shared" si="7"/>
        <v>2</v>
      </c>
      <c r="Q38" s="45" t="str">
        <f t="shared" si="8"/>
        <v/>
      </c>
      <c r="R38" s="45">
        <f t="shared" si="1"/>
        <v>2</v>
      </c>
      <c r="S38" s="45">
        <f t="shared" si="9"/>
        <v>1</v>
      </c>
      <c r="T38" s="129" t="s">
        <v>150</v>
      </c>
      <c r="U38" s="129" t="s">
        <v>9477</v>
      </c>
      <c r="V38" s="129" t="s">
        <v>2264</v>
      </c>
    </row>
    <row r="39" spans="1:22" ht="28.5">
      <c r="A39" s="129" t="s">
        <v>2286</v>
      </c>
      <c r="B39" s="129" t="s">
        <v>9511</v>
      </c>
      <c r="C39" s="129"/>
      <c r="D39" s="129" t="s">
        <v>143</v>
      </c>
      <c r="E39" s="129">
        <v>2025</v>
      </c>
      <c r="F39" s="332" t="s">
        <v>3125</v>
      </c>
      <c r="G39" s="129"/>
      <c r="H39" s="129" t="s">
        <v>2289</v>
      </c>
      <c r="I39" s="129" t="s">
        <v>212</v>
      </c>
      <c r="J39" s="129" t="s">
        <v>9512</v>
      </c>
      <c r="K39" s="130">
        <v>45854</v>
      </c>
      <c r="L39" s="130">
        <v>45854</v>
      </c>
      <c r="M39" s="130">
        <v>45854</v>
      </c>
      <c r="N39" s="130">
        <v>45854</v>
      </c>
      <c r="O39" s="130">
        <v>45855</v>
      </c>
      <c r="P39" s="45">
        <f t="shared" si="7"/>
        <v>1</v>
      </c>
      <c r="Q39" s="45">
        <f t="shared" si="8"/>
        <v>1</v>
      </c>
      <c r="R39" s="45">
        <f t="shared" si="1"/>
        <v>1</v>
      </c>
      <c r="S39" s="45">
        <f t="shared" si="9"/>
        <v>1</v>
      </c>
      <c r="T39" s="129" t="s">
        <v>150</v>
      </c>
      <c r="U39" s="129" t="s">
        <v>665</v>
      </c>
      <c r="V39" s="129" t="s">
        <v>2264</v>
      </c>
    </row>
    <row r="40" spans="1:22" ht="28.5">
      <c r="A40" s="129" t="s">
        <v>778</v>
      </c>
      <c r="B40" s="129" t="s">
        <v>1383</v>
      </c>
      <c r="C40" s="129" t="s">
        <v>1412</v>
      </c>
      <c r="D40" s="129" t="s">
        <v>143</v>
      </c>
      <c r="E40" s="129">
        <v>2025</v>
      </c>
      <c r="F40" s="332" t="s">
        <v>3125</v>
      </c>
      <c r="G40" s="129" t="s">
        <v>1434</v>
      </c>
      <c r="H40" s="129" t="s">
        <v>28</v>
      </c>
      <c r="I40" s="129" t="s">
        <v>148</v>
      </c>
      <c r="J40" s="129" t="s">
        <v>9513</v>
      </c>
      <c r="K40" s="130">
        <v>45854</v>
      </c>
      <c r="L40" s="130">
        <v>45855</v>
      </c>
      <c r="M40" s="130">
        <v>45856</v>
      </c>
      <c r="N40" s="130">
        <v>45856</v>
      </c>
      <c r="O40" s="130">
        <v>45856</v>
      </c>
      <c r="P40" s="45">
        <f t="shared" si="7"/>
        <v>1</v>
      </c>
      <c r="Q40" s="45">
        <f t="shared" si="8"/>
        <v>1</v>
      </c>
      <c r="R40" s="45">
        <f t="shared" si="1"/>
        <v>1</v>
      </c>
      <c r="S40" s="45">
        <f t="shared" si="9"/>
        <v>1</v>
      </c>
      <c r="T40" s="129" t="s">
        <v>150</v>
      </c>
      <c r="U40" s="129" t="s">
        <v>665</v>
      </c>
      <c r="V40" s="129" t="s">
        <v>2264</v>
      </c>
    </row>
    <row r="41" spans="1:22" ht="15">
      <c r="A41" s="129" t="s">
        <v>779</v>
      </c>
      <c r="B41" s="129" t="s">
        <v>1480</v>
      </c>
      <c r="C41" s="129"/>
      <c r="D41" s="129" t="s">
        <v>159</v>
      </c>
      <c r="E41" s="129">
        <v>2025</v>
      </c>
      <c r="F41" s="332" t="s">
        <v>3125</v>
      </c>
      <c r="G41" s="129"/>
      <c r="H41" s="129"/>
      <c r="I41" s="129" t="s">
        <v>328</v>
      </c>
      <c r="J41" s="129" t="s">
        <v>9514</v>
      </c>
      <c r="K41" s="130">
        <v>45855</v>
      </c>
      <c r="L41" s="130">
        <v>45856</v>
      </c>
      <c r="M41" s="130"/>
      <c r="N41" s="130">
        <v>45856</v>
      </c>
      <c r="O41" s="130">
        <v>45856</v>
      </c>
      <c r="P41" s="45">
        <f t="shared" si="7"/>
        <v>1</v>
      </c>
      <c r="Q41" s="45" t="str">
        <f t="shared" si="8"/>
        <v/>
      </c>
      <c r="R41" s="45">
        <f t="shared" si="1"/>
        <v>1</v>
      </c>
      <c r="S41" s="45">
        <f t="shared" si="9"/>
        <v>1</v>
      </c>
      <c r="T41" s="129" t="s">
        <v>150</v>
      </c>
      <c r="U41" s="129" t="s">
        <v>9515</v>
      </c>
      <c r="V41" s="129" t="s">
        <v>2264</v>
      </c>
    </row>
    <row r="42" spans="1:22" ht="28.5">
      <c r="A42" s="129" t="s">
        <v>780</v>
      </c>
      <c r="B42" s="129" t="s">
        <v>1526</v>
      </c>
      <c r="C42" s="129"/>
      <c r="D42" s="129" t="s">
        <v>159</v>
      </c>
      <c r="E42" s="129">
        <v>2025</v>
      </c>
      <c r="F42" s="332" t="s">
        <v>3125</v>
      </c>
      <c r="G42" s="129"/>
      <c r="H42" s="129" t="s">
        <v>163</v>
      </c>
      <c r="I42" s="129" t="s">
        <v>2393</v>
      </c>
      <c r="J42" s="129" t="s">
        <v>9516</v>
      </c>
      <c r="K42" s="130">
        <v>45849</v>
      </c>
      <c r="L42" s="130">
        <v>45859</v>
      </c>
      <c r="M42" s="130"/>
      <c r="N42" s="130">
        <v>45859</v>
      </c>
      <c r="O42" s="130">
        <v>45859</v>
      </c>
      <c r="P42" s="45">
        <f t="shared" si="7"/>
        <v>6</v>
      </c>
      <c r="Q42" s="45" t="str">
        <f t="shared" si="8"/>
        <v/>
      </c>
      <c r="R42" s="45" t="str">
        <f t="shared" si="1"/>
        <v/>
      </c>
      <c r="S42" s="45">
        <f t="shared" si="9"/>
        <v>1</v>
      </c>
      <c r="T42" s="129" t="s">
        <v>150</v>
      </c>
      <c r="U42" s="129" t="s">
        <v>665</v>
      </c>
      <c r="V42" s="129" t="s">
        <v>9507</v>
      </c>
    </row>
    <row r="43" spans="1:22" ht="15">
      <c r="A43" s="129" t="s">
        <v>774</v>
      </c>
      <c r="B43" s="129" t="s">
        <v>1775</v>
      </c>
      <c r="C43" s="129"/>
      <c r="D43" s="129" t="s">
        <v>143</v>
      </c>
      <c r="E43" s="129">
        <v>2025</v>
      </c>
      <c r="F43" s="311" t="s">
        <v>3126</v>
      </c>
      <c r="G43" s="129" t="s">
        <v>19</v>
      </c>
      <c r="H43" s="129"/>
      <c r="I43" s="129" t="s">
        <v>2445</v>
      </c>
      <c r="J43" s="129" t="s">
        <v>9517</v>
      </c>
      <c r="K43" s="130">
        <v>45874</v>
      </c>
      <c r="L43" s="130">
        <v>45880</v>
      </c>
      <c r="M43" s="129"/>
      <c r="N43" s="130">
        <v>45881</v>
      </c>
      <c r="O43" s="130">
        <v>45882</v>
      </c>
      <c r="P43" s="45">
        <f t="shared" si="7"/>
        <v>4</v>
      </c>
      <c r="Q43" s="45" t="str">
        <f t="shared" si="8"/>
        <v/>
      </c>
      <c r="R43" s="45">
        <f t="shared" si="1"/>
        <v>1</v>
      </c>
      <c r="S43" s="45">
        <f t="shared" si="9"/>
        <v>1</v>
      </c>
      <c r="T43" s="129" t="s">
        <v>150</v>
      </c>
      <c r="U43" s="129" t="s">
        <v>9474</v>
      </c>
      <c r="V43" s="129" t="s">
        <v>2264</v>
      </c>
    </row>
    <row r="44" spans="1:22" ht="42.75">
      <c r="A44" s="129" t="s">
        <v>776</v>
      </c>
      <c r="B44" s="129" t="s">
        <v>1033</v>
      </c>
      <c r="C44" s="129"/>
      <c r="D44" s="129" t="s">
        <v>143</v>
      </c>
      <c r="E44" s="129">
        <v>2025</v>
      </c>
      <c r="F44" s="311" t="s">
        <v>3126</v>
      </c>
      <c r="G44" s="129" t="s">
        <v>9518</v>
      </c>
      <c r="H44" s="129"/>
      <c r="I44" s="129"/>
      <c r="J44" s="129" t="s">
        <v>9519</v>
      </c>
      <c r="K44" s="130">
        <v>45883</v>
      </c>
      <c r="L44" s="130">
        <v>45887</v>
      </c>
      <c r="M44" s="130">
        <v>45887</v>
      </c>
      <c r="N44" s="130">
        <v>45888</v>
      </c>
      <c r="O44" s="130">
        <v>45888</v>
      </c>
      <c r="P44" s="45">
        <f t="shared" si="7"/>
        <v>2</v>
      </c>
      <c r="Q44" s="45">
        <f t="shared" si="8"/>
        <v>1</v>
      </c>
      <c r="R44" s="45">
        <f>IF(
    OR(ISBLANK(M44), ISBLANK(N44)),
    "",
    MAX(1, IF(
        NETWORKDAYS(M44, N44) &lt;= 0,
        1,
        NETWORKDAYS(M44, N44) - IF(M44 = N44, 0, 1)
    ))
)</f>
        <v>1</v>
      </c>
      <c r="S44" s="45">
        <f t="shared" si="9"/>
        <v>1</v>
      </c>
      <c r="T44" s="129" t="s">
        <v>150</v>
      </c>
      <c r="U44" s="129" t="s">
        <v>9477</v>
      </c>
      <c r="V44" s="129" t="s">
        <v>2264</v>
      </c>
    </row>
    <row r="45" spans="1:22" ht="28.5">
      <c r="A45" s="129" t="s">
        <v>778</v>
      </c>
      <c r="B45" s="129" t="s">
        <v>1411</v>
      </c>
      <c r="C45" s="129" t="s">
        <v>1412</v>
      </c>
      <c r="D45" s="129" t="s">
        <v>143</v>
      </c>
      <c r="E45" s="129">
        <v>2025</v>
      </c>
      <c r="F45" s="311" t="s">
        <v>3126</v>
      </c>
      <c r="G45" s="129" t="s">
        <v>1345</v>
      </c>
      <c r="H45" s="129" t="s">
        <v>28</v>
      </c>
      <c r="I45" s="129" t="s">
        <v>148</v>
      </c>
      <c r="J45" s="129" t="s">
        <v>9520</v>
      </c>
      <c r="K45" s="130">
        <v>45881</v>
      </c>
      <c r="L45" s="130">
        <v>45888</v>
      </c>
      <c r="M45" s="130">
        <v>45888</v>
      </c>
      <c r="N45" s="130">
        <v>45888</v>
      </c>
      <c r="O45" s="130">
        <v>45888</v>
      </c>
      <c r="P45" s="45">
        <f t="shared" si="7"/>
        <v>5</v>
      </c>
      <c r="Q45" s="45">
        <f t="shared" si="8"/>
        <v>1</v>
      </c>
      <c r="R45" s="45">
        <f>IF(
  OR(A45 = "Nueva_Ecija", A45 = "Zambales"),
  IF(
    OR(ISBLANK(M45), ISBLANK(N45)),
    "",
    MAX(1, IF(
      NETWORKDAYS(M45, N45) &lt;= 0,
      1,
      NETWORKDAYS(M45, N45) - IF(M45 = N45, 0, 1)
    ))
  ),
  IF(
    OR(ISBLANK(L45), ISBLANK(N45)),
    "",
    MAX(1, IF(
      NETWORKDAYS(L45, N45) &lt;= 0,
      1,
      NETWORKDAYS(L45, N45) - IF(L45 = N45, 0, 1)
    ))
  )
)</f>
        <v>1</v>
      </c>
      <c r="S45" s="45">
        <f t="shared" si="9"/>
        <v>1</v>
      </c>
      <c r="T45" s="129" t="s">
        <v>150</v>
      </c>
      <c r="U45" s="129" t="s">
        <v>9456</v>
      </c>
      <c r="V45" s="129" t="s">
        <v>2264</v>
      </c>
    </row>
    <row r="46" spans="1:22" ht="15">
      <c r="A46" s="129" t="s">
        <v>779</v>
      </c>
      <c r="B46" s="129" t="s">
        <v>1474</v>
      </c>
      <c r="C46" s="129"/>
      <c r="D46" s="129" t="s">
        <v>143</v>
      </c>
      <c r="E46" s="129">
        <v>2025</v>
      </c>
      <c r="F46" s="311" t="s">
        <v>3126</v>
      </c>
      <c r="G46" s="129"/>
      <c r="H46" s="129"/>
      <c r="I46" s="129" t="s">
        <v>328</v>
      </c>
      <c r="J46" s="129" t="s">
        <v>9521</v>
      </c>
      <c r="K46" s="130">
        <v>45881</v>
      </c>
      <c r="L46" s="130">
        <v>45881</v>
      </c>
      <c r="M46" s="129"/>
      <c r="N46" s="130">
        <v>45881</v>
      </c>
      <c r="O46" s="130">
        <v>45882</v>
      </c>
      <c r="P46" s="45">
        <f t="shared" si="7"/>
        <v>1</v>
      </c>
      <c r="Q46" s="45" t="str">
        <f t="shared" si="8"/>
        <v/>
      </c>
      <c r="R46" s="45">
        <f>IF(
  OR(A46 = "Nueva_Ecija", A46 = "Zambales"),
  IF(
    OR(ISBLANK(M46), ISBLANK(N46)),
    "",
    MAX(1, IF(
      NETWORKDAYS(M46, N46) &lt;= 0,
      1,
      NETWORKDAYS(M46, N46) - IF(M46 = N46, 0, 1)
    ))
  ),
  IF(
    OR(ISBLANK(L46), ISBLANK(N46)),
    "",
    MAX(1, IF(
      NETWORKDAYS(L46, N46) &lt;= 0,
      1,
      NETWORKDAYS(L46, N46) - IF(L46 = N46, 0, 1)
    ))
  )
)</f>
        <v>1</v>
      </c>
      <c r="S46" s="45">
        <f t="shared" si="9"/>
        <v>1</v>
      </c>
      <c r="T46" s="129" t="s">
        <v>150</v>
      </c>
      <c r="U46" s="129" t="s">
        <v>9515</v>
      </c>
      <c r="V46" s="129" t="s">
        <v>2264</v>
      </c>
    </row>
    <row r="47" spans="1:22" ht="28.5">
      <c r="A47" s="129" t="s">
        <v>780</v>
      </c>
      <c r="B47" s="129" t="s">
        <v>1215</v>
      </c>
      <c r="C47" s="129"/>
      <c r="D47" s="129" t="s">
        <v>159</v>
      </c>
      <c r="E47" s="129">
        <v>2025</v>
      </c>
      <c r="F47" s="311" t="s">
        <v>3126</v>
      </c>
      <c r="G47" s="129"/>
      <c r="H47" s="129" t="s">
        <v>163</v>
      </c>
      <c r="I47" s="129" t="s">
        <v>2393</v>
      </c>
      <c r="J47" s="129" t="s">
        <v>9522</v>
      </c>
      <c r="K47" s="130">
        <v>45882</v>
      </c>
      <c r="L47" s="130"/>
      <c r="M47" s="130">
        <v>45887</v>
      </c>
      <c r="N47" s="130">
        <v>45888</v>
      </c>
      <c r="O47" s="130">
        <v>45888</v>
      </c>
      <c r="P47" s="45" t="str">
        <f t="shared" si="7"/>
        <v/>
      </c>
      <c r="Q47" s="45" t="str">
        <f t="shared" si="8"/>
        <v/>
      </c>
      <c r="R47" s="45">
        <f>IF(
    OR(ISBLANK(M47), ISBLANK(N47)),
    "",
    MAX(1, IF(
        NETWORKDAYS(M47, N47) &lt;= 0,
        1,
        NETWORKDAYS(M47, N47) - IF(M47 = N47, 0, 1)
    ))
)</f>
        <v>1</v>
      </c>
      <c r="S47" s="45">
        <f t="shared" si="9"/>
        <v>1</v>
      </c>
      <c r="T47" s="129" t="s">
        <v>150</v>
      </c>
      <c r="U47" s="129" t="s">
        <v>665</v>
      </c>
      <c r="V47" s="129" t="s">
        <v>9523</v>
      </c>
    </row>
    <row r="48" spans="1:22" ht="28.5">
      <c r="A48" s="129" t="s">
        <v>773</v>
      </c>
      <c r="B48" s="129" t="s">
        <v>992</v>
      </c>
      <c r="C48" s="129"/>
      <c r="D48" s="129" t="s">
        <v>159</v>
      </c>
      <c r="E48" s="129">
        <v>2025</v>
      </c>
      <c r="F48" s="332" t="s">
        <v>3127</v>
      </c>
      <c r="G48" s="129" t="s">
        <v>9524</v>
      </c>
      <c r="H48" s="129"/>
      <c r="I48" s="129" t="s">
        <v>163</v>
      </c>
      <c r="J48" s="476" t="s">
        <v>9525</v>
      </c>
      <c r="K48" s="130">
        <v>45910</v>
      </c>
      <c r="L48" s="130">
        <v>45912</v>
      </c>
      <c r="M48" s="130"/>
      <c r="N48" s="130">
        <v>45917</v>
      </c>
      <c r="O48" s="130">
        <v>45917</v>
      </c>
      <c r="P48" s="45">
        <f t="shared" si="7"/>
        <v>2</v>
      </c>
      <c r="Q48" s="45" t="str">
        <f t="shared" si="8"/>
        <v/>
      </c>
      <c r="R48" s="45">
        <f>IF(
  OR(A48 = "Nueva_Ecija", A48 = "Zambales"),
  IF(
    OR(ISBLANK(M48), ISBLANK(N48)),
    "",
    MAX(1, IF(
      NETWORKDAYS(M48, N48) &lt;= 0,
      1,
      NETWORKDAYS(M48, N48) - IF(M48 = N48, 0, 1)
    ))
  ),
  IF(
    OR(ISBLANK(L48), ISBLANK(N48)),
    "",
    MAX(1, IF(
      NETWORKDAYS(L48, N48) &lt;= 0,
      1,
      NETWORKDAYS(L48, N48) - IF(L48 = N48, 0, 1)
    ))
  )
)</f>
        <v>3</v>
      </c>
      <c r="S48" s="45">
        <f t="shared" si="9"/>
        <v>1</v>
      </c>
      <c r="T48" s="129" t="s">
        <v>150</v>
      </c>
      <c r="U48" s="129" t="s">
        <v>9456</v>
      </c>
      <c r="V48" s="129" t="s">
        <v>2264</v>
      </c>
    </row>
    <row r="49" spans="1:23" ht="15">
      <c r="A49" s="129" t="s">
        <v>774</v>
      </c>
      <c r="B49" s="129" t="s">
        <v>926</v>
      </c>
      <c r="C49" s="129"/>
      <c r="D49" s="129" t="s">
        <v>143</v>
      </c>
      <c r="E49" s="129">
        <v>2025</v>
      </c>
      <c r="F49" s="332" t="s">
        <v>3127</v>
      </c>
      <c r="G49" s="129" t="s">
        <v>179</v>
      </c>
      <c r="H49" s="129"/>
      <c r="I49" s="129" t="s">
        <v>2445</v>
      </c>
      <c r="J49" s="129" t="s">
        <v>9526</v>
      </c>
      <c r="K49" s="130">
        <v>45909</v>
      </c>
      <c r="L49" s="130">
        <v>45915</v>
      </c>
      <c r="M49" s="129"/>
      <c r="N49" s="130">
        <v>45915</v>
      </c>
      <c r="O49" s="130">
        <v>45917</v>
      </c>
      <c r="P49" s="45">
        <f t="shared" si="7"/>
        <v>4</v>
      </c>
      <c r="Q49" s="45" t="str">
        <f t="shared" si="8"/>
        <v/>
      </c>
      <c r="R49" s="45">
        <f>IF(
  OR(A49 = "Nueva_Ecija", A49 = "Zambales"),
  IF(
    OR(ISBLANK(M49), ISBLANK(N49)),
    "",
    MAX(1, IF(
      NETWORKDAYS(M49, N49) &lt;= 0,
      1,
      NETWORKDAYS(M49, N49) - IF(M49 = N49, 0, 1)
    ))
  ),
  IF(
    OR(ISBLANK(L49), ISBLANK(N49)),
    "",
    MAX(1, IF(
      NETWORKDAYS(L49, N49) &lt;= 0,
      1,
      NETWORKDAYS(L49, N49) - IF(L49 = N49, 0, 1)
    ))
  )
)</f>
        <v>1</v>
      </c>
      <c r="S49" s="45">
        <f t="shared" si="9"/>
        <v>2</v>
      </c>
      <c r="T49" s="129" t="s">
        <v>150</v>
      </c>
      <c r="U49" s="129" t="s">
        <v>182</v>
      </c>
      <c r="V49" s="129" t="s">
        <v>2264</v>
      </c>
    </row>
    <row r="50" spans="1:23" ht="15">
      <c r="A50" s="129" t="s">
        <v>779</v>
      </c>
      <c r="B50" s="129" t="s">
        <v>5396</v>
      </c>
      <c r="C50" s="129"/>
      <c r="D50" s="129" t="s">
        <v>143</v>
      </c>
      <c r="E50" s="129">
        <v>2025</v>
      </c>
      <c r="F50" s="332" t="s">
        <v>3127</v>
      </c>
      <c r="G50" s="129"/>
      <c r="H50" s="129"/>
      <c r="I50" s="129" t="s">
        <v>328</v>
      </c>
      <c r="J50" s="129" t="s">
        <v>9527</v>
      </c>
      <c r="K50" s="130">
        <v>45912</v>
      </c>
      <c r="L50" s="130">
        <v>45917</v>
      </c>
      <c r="M50" s="129"/>
      <c r="N50" s="130">
        <v>45918</v>
      </c>
      <c r="O50" s="130">
        <v>45918</v>
      </c>
      <c r="P50" s="45">
        <f t="shared" si="7"/>
        <v>3</v>
      </c>
      <c r="Q50" s="45" t="str">
        <f t="shared" si="8"/>
        <v/>
      </c>
      <c r="R50" s="45" t="str">
        <f>IF(
    OR(ISBLANK(M50), ISBLANK(N50)),
    "",
    MAX(1, IF(
        NETWORKDAYS(M50, N50) &lt;= 0,
        1,
        NETWORKDAYS(M50, N50) - IF(M50 = N50, 0, 1)
    ))
)</f>
        <v/>
      </c>
      <c r="S50" s="45">
        <f t="shared" si="9"/>
        <v>1</v>
      </c>
      <c r="T50" s="129" t="s">
        <v>150</v>
      </c>
      <c r="U50" s="129" t="s">
        <v>9515</v>
      </c>
      <c r="V50" s="129" t="s">
        <v>2264</v>
      </c>
    </row>
    <row r="51" spans="1:23" ht="28.5">
      <c r="A51" s="129" t="s">
        <v>778</v>
      </c>
      <c r="B51" s="129" t="s">
        <v>1395</v>
      </c>
      <c r="C51" s="129"/>
      <c r="D51" s="129" t="s">
        <v>143</v>
      </c>
      <c r="E51" s="129">
        <v>2025</v>
      </c>
      <c r="F51" s="332" t="s">
        <v>3127</v>
      </c>
      <c r="G51" s="129" t="s">
        <v>9528</v>
      </c>
      <c r="H51" s="129"/>
      <c r="I51" s="129" t="s">
        <v>148</v>
      </c>
      <c r="J51" s="129" t="s">
        <v>9529</v>
      </c>
      <c r="K51" s="130">
        <v>45903</v>
      </c>
      <c r="L51" s="130">
        <v>45917</v>
      </c>
      <c r="M51" s="130"/>
      <c r="N51" s="130">
        <v>45917</v>
      </c>
      <c r="O51" s="130">
        <v>45918</v>
      </c>
      <c r="P51" s="45">
        <f t="shared" si="7"/>
        <v>10</v>
      </c>
      <c r="Q51" s="45" t="str">
        <f t="shared" si="8"/>
        <v/>
      </c>
      <c r="R51" s="45">
        <f>IF(
  OR(A51 = "Nueva_Ecija", A51 = "Zambales"),
  IF(
    OR(ISBLANK(M51), ISBLANK(N51)),
    "",
    MAX(1, IF(
      NETWORKDAYS(M51, N51) &lt;= 0,
      1,
      NETWORKDAYS(M51, N51) - IF(M51 = N51, 0, 1)
    ))
  ),
  IF(
    OR(ISBLANK(L51), ISBLANK(N51)),
    "",
    MAX(1, IF(
      NETWORKDAYS(L51, N51) &lt;= 0,
      1,
      NETWORKDAYS(L51, N51) - IF(L51 = N51, 0, 1)
    ))
  )
)</f>
        <v>1</v>
      </c>
      <c r="S51" s="45">
        <f t="shared" si="9"/>
        <v>1</v>
      </c>
      <c r="T51" s="129" t="s">
        <v>150</v>
      </c>
      <c r="U51" s="129"/>
      <c r="V51" s="129" t="s">
        <v>2264</v>
      </c>
    </row>
    <row r="52" spans="1:23" ht="28.5">
      <c r="A52" s="129" t="s">
        <v>780</v>
      </c>
      <c r="B52" s="129" t="s">
        <v>1546</v>
      </c>
      <c r="C52" s="129"/>
      <c r="D52" s="129" t="s">
        <v>159</v>
      </c>
      <c r="E52" s="129">
        <v>2025</v>
      </c>
      <c r="F52" s="332" t="s">
        <v>3127</v>
      </c>
      <c r="G52" s="129" t="s">
        <v>42</v>
      </c>
      <c r="H52" s="129" t="s">
        <v>163</v>
      </c>
      <c r="I52" s="129" t="s">
        <v>2393</v>
      </c>
      <c r="J52" s="129" t="s">
        <v>9530</v>
      </c>
      <c r="K52" s="130">
        <v>45912</v>
      </c>
      <c r="L52" s="130">
        <v>45917</v>
      </c>
      <c r="M52" s="130">
        <v>45918</v>
      </c>
      <c r="N52" s="130">
        <v>45918</v>
      </c>
      <c r="O52" s="130">
        <v>45918</v>
      </c>
      <c r="P52" s="45">
        <f t="shared" si="7"/>
        <v>3</v>
      </c>
      <c r="Q52" s="45">
        <f t="shared" si="8"/>
        <v>1</v>
      </c>
      <c r="R52" s="45">
        <f>IF(
    OR(ISBLANK(M52), ISBLANK(N52)),
    "",
    MAX(1, IF(
        NETWORKDAYS(M52, N52) &lt;= 0,
        1,
        NETWORKDAYS(M52, N52) - IF(M52 = N52, 0, 1)
    ))
)</f>
        <v>1</v>
      </c>
      <c r="S52" s="45">
        <f t="shared" si="9"/>
        <v>1</v>
      </c>
      <c r="T52" s="129" t="s">
        <v>150</v>
      </c>
      <c r="U52" s="129" t="s">
        <v>7719</v>
      </c>
      <c r="V52" s="129" t="s">
        <v>2264</v>
      </c>
    </row>
    <row r="53" spans="1:23" ht="42.75">
      <c r="A53" s="129" t="s">
        <v>776</v>
      </c>
      <c r="B53" s="129" t="s">
        <v>938</v>
      </c>
      <c r="C53" s="129"/>
      <c r="D53" s="129" t="s">
        <v>143</v>
      </c>
      <c r="E53" s="129">
        <v>2025</v>
      </c>
      <c r="F53" s="332" t="s">
        <v>3127</v>
      </c>
      <c r="G53" s="129" t="s">
        <v>388</v>
      </c>
      <c r="H53" s="129" t="s">
        <v>147</v>
      </c>
      <c r="I53" s="129" t="s">
        <v>1982</v>
      </c>
      <c r="J53" s="129" t="s">
        <v>9531</v>
      </c>
      <c r="K53" s="130">
        <v>46281</v>
      </c>
      <c r="L53" s="130">
        <v>45917</v>
      </c>
      <c r="M53" s="130">
        <v>45918</v>
      </c>
      <c r="N53" s="130">
        <v>45923</v>
      </c>
      <c r="O53" s="130">
        <v>45923</v>
      </c>
      <c r="P53" s="45">
        <f t="shared" si="7"/>
        <v>1</v>
      </c>
      <c r="Q53" s="45">
        <f t="shared" si="8"/>
        <v>1</v>
      </c>
      <c r="R53" s="45">
        <f>IF(
    OR(ISBLANK(M53), ISBLANK(N53)),
    "",
    MAX(1, IF(
        NETWORKDAYS(M53, N53) &lt;= 0,
        1,
        NETWORKDAYS(M53, N53) - IF(M53 = N53, 0, 1)
    ))
)</f>
        <v>3</v>
      </c>
      <c r="S53" s="45">
        <f t="shared" si="9"/>
        <v>1</v>
      </c>
      <c r="T53" s="129" t="s">
        <v>150</v>
      </c>
      <c r="U53" s="129" t="s">
        <v>9477</v>
      </c>
      <c r="V53" s="129" t="s">
        <v>2264</v>
      </c>
    </row>
    <row r="54" spans="1:23" ht="28.5">
      <c r="A54" s="129" t="s">
        <v>774</v>
      </c>
      <c r="B54" s="129" t="s">
        <v>455</v>
      </c>
      <c r="C54" s="129"/>
      <c r="D54" s="129" t="s">
        <v>143</v>
      </c>
      <c r="E54" s="129">
        <v>2025</v>
      </c>
      <c r="F54" s="311" t="s">
        <v>3128</v>
      </c>
      <c r="G54" s="129" t="s">
        <v>179</v>
      </c>
      <c r="H54" s="129"/>
      <c r="I54" s="129" t="s">
        <v>2445</v>
      </c>
      <c r="J54" s="129" t="s">
        <v>9532</v>
      </c>
      <c r="K54" s="130">
        <v>45940</v>
      </c>
      <c r="L54" s="130">
        <v>45940</v>
      </c>
      <c r="M54" s="129"/>
      <c r="N54" s="130">
        <v>45943</v>
      </c>
      <c r="O54" s="130">
        <v>45944</v>
      </c>
      <c r="P54" s="45">
        <f t="shared" si="7"/>
        <v>1</v>
      </c>
      <c r="Q54" s="45" t="str">
        <f t="shared" si="8"/>
        <v/>
      </c>
      <c r="R54" s="45">
        <f>IF(
  OR(A54 = "Nueva_Ecija", A54 = "Zambales"),
  IF(
    OR(ISBLANK(M54), ISBLANK(N54)),
    "",
    MAX(1, IF(
      NETWORKDAYS(M54, N54) &lt;= 0,
      1,
      NETWORKDAYS(M54, N54) - IF(M54 = N54, 0, 1)
    ))
  ),
  IF(
    OR(ISBLANK(L54), ISBLANK(N54)),
    "",
    MAX(1, IF(
      NETWORKDAYS(L54, N54) &lt;= 0,
      1,
      NETWORKDAYS(L54, N54) - IF(L54 = N54, 0, 1)
    ))
  )
)</f>
        <v>1</v>
      </c>
      <c r="S54" s="45">
        <f t="shared" si="9"/>
        <v>1</v>
      </c>
      <c r="T54" s="129" t="s">
        <v>150</v>
      </c>
      <c r="U54" s="129" t="s">
        <v>9453</v>
      </c>
      <c r="V54" s="129" t="s">
        <v>2264</v>
      </c>
    </row>
    <row r="55" spans="1:23" ht="15">
      <c r="A55" s="129" t="s">
        <v>776</v>
      </c>
      <c r="B55" s="129"/>
      <c r="C55" s="129"/>
      <c r="D55" s="129"/>
      <c r="E55" s="129"/>
      <c r="F55" s="311" t="s">
        <v>3128</v>
      </c>
      <c r="G55" s="129"/>
      <c r="H55" s="129"/>
      <c r="I55" s="129"/>
      <c r="J55" s="129"/>
      <c r="K55" s="129"/>
      <c r="L55" s="129"/>
      <c r="M55" s="129"/>
      <c r="N55" s="129"/>
      <c r="O55" s="129"/>
      <c r="P55" s="45" t="str">
        <f t="shared" si="7"/>
        <v/>
      </c>
      <c r="Q55" s="45" t="str">
        <f t="shared" si="8"/>
        <v/>
      </c>
      <c r="R55" s="45" t="str">
        <f>IF(
    OR(ISBLANK(M55), ISBLANK(N55)),
    "",
    MAX(1, IF(
        NETWORKDAYS(M55, N55) &lt;= 0,
        1,
        NETWORKDAYS(M55, N55) - IF(M55 = N55, 0, 1)
    ))
)</f>
        <v/>
      </c>
      <c r="S55" s="45" t="str">
        <f t="shared" si="9"/>
        <v/>
      </c>
      <c r="T55" s="129"/>
      <c r="U55" s="129"/>
      <c r="V55" s="129"/>
    </row>
    <row r="56" spans="1:23" ht="28.5">
      <c r="A56" s="129" t="s">
        <v>2286</v>
      </c>
      <c r="B56" s="129" t="s">
        <v>1317</v>
      </c>
      <c r="C56" s="129"/>
      <c r="D56" s="129" t="s">
        <v>143</v>
      </c>
      <c r="E56" s="129">
        <v>2025</v>
      </c>
      <c r="F56" s="311" t="s">
        <v>3128</v>
      </c>
      <c r="G56" s="129" t="s">
        <v>9533</v>
      </c>
      <c r="H56" s="129" t="s">
        <v>2289</v>
      </c>
      <c r="I56" s="129" t="s">
        <v>212</v>
      </c>
      <c r="J56" s="129" t="s">
        <v>9534</v>
      </c>
      <c r="K56" s="130">
        <v>45946</v>
      </c>
      <c r="L56" s="130">
        <v>45947</v>
      </c>
      <c r="M56" s="130">
        <v>45947</v>
      </c>
      <c r="N56" s="130">
        <v>45947</v>
      </c>
      <c r="O56" s="130">
        <v>45950</v>
      </c>
      <c r="P56" s="45">
        <f t="shared" si="7"/>
        <v>1</v>
      </c>
      <c r="Q56" s="45">
        <f t="shared" si="8"/>
        <v>1</v>
      </c>
      <c r="R56" s="45">
        <f>IF(
    OR(ISBLANK(M56), ISBLANK(N56)),
    "",
    MAX(1, IF(
        NETWORKDAYS(M56, N56) &lt;= 0,
        1,
        NETWORKDAYS(M56, N56) - IF(M56 = N56, 0, 1)
    ))
)</f>
        <v>1</v>
      </c>
      <c r="S56" s="45">
        <f t="shared" si="9"/>
        <v>1</v>
      </c>
      <c r="T56" s="129" t="s">
        <v>150</v>
      </c>
      <c r="U56" s="129" t="s">
        <v>287</v>
      </c>
      <c r="V56" s="129" t="s">
        <v>2264</v>
      </c>
    </row>
    <row r="57" spans="1:23" ht="15">
      <c r="A57" s="129" t="s">
        <v>2286</v>
      </c>
      <c r="B57" s="129" t="s">
        <v>1096</v>
      </c>
      <c r="C57" s="129"/>
      <c r="D57" s="129" t="s">
        <v>143</v>
      </c>
      <c r="E57" s="129">
        <v>2025</v>
      </c>
      <c r="F57" s="311" t="s">
        <v>3128</v>
      </c>
      <c r="G57" s="129" t="s">
        <v>9533</v>
      </c>
      <c r="H57" s="129" t="s">
        <v>2289</v>
      </c>
      <c r="I57" s="129" t="s">
        <v>212</v>
      </c>
      <c r="J57" s="129" t="s">
        <v>9535</v>
      </c>
      <c r="K57" s="130">
        <v>45947</v>
      </c>
      <c r="L57" s="130">
        <v>45947</v>
      </c>
      <c r="M57" s="130">
        <v>45947</v>
      </c>
      <c r="N57" s="130">
        <v>45950</v>
      </c>
      <c r="O57" s="130">
        <v>45950</v>
      </c>
      <c r="P57" s="45">
        <f t="shared" si="7"/>
        <v>1</v>
      </c>
      <c r="Q57" s="45">
        <f t="shared" si="8"/>
        <v>1</v>
      </c>
      <c r="R57" s="45">
        <f>IF(
    OR(ISBLANK(M57), ISBLANK(N57)),
    "",
    MAX(1, IF(
        NETWORKDAYS(M57, N57) &lt;= 0,
        1,
        NETWORKDAYS(M57, N57) - IF(M57 = N57, 0, 1)
    ))
)</f>
        <v>1</v>
      </c>
      <c r="S57" s="45">
        <f t="shared" si="9"/>
        <v>1</v>
      </c>
      <c r="T57" s="129" t="s">
        <v>150</v>
      </c>
      <c r="U57" s="129" t="s">
        <v>9515</v>
      </c>
      <c r="V57" s="129" t="s">
        <v>9536</v>
      </c>
    </row>
    <row r="58" spans="1:23" ht="28.5">
      <c r="A58" s="129" t="s">
        <v>2286</v>
      </c>
      <c r="B58" s="129" t="s">
        <v>1262</v>
      </c>
      <c r="C58" s="129"/>
      <c r="D58" s="129" t="s">
        <v>143</v>
      </c>
      <c r="E58" s="129">
        <v>2025</v>
      </c>
      <c r="F58" s="311" t="s">
        <v>3128</v>
      </c>
      <c r="G58" s="129" t="s">
        <v>30</v>
      </c>
      <c r="H58" s="129" t="s">
        <v>2289</v>
      </c>
      <c r="I58" s="129" t="s">
        <v>212</v>
      </c>
      <c r="J58" s="129" t="s">
        <v>9537</v>
      </c>
      <c r="K58" s="130">
        <v>45945</v>
      </c>
      <c r="L58" s="130">
        <v>45947</v>
      </c>
      <c r="M58" s="130">
        <v>45947</v>
      </c>
      <c r="N58" s="130">
        <v>45947</v>
      </c>
      <c r="O58" s="130">
        <v>45950</v>
      </c>
      <c r="P58" s="45">
        <f t="shared" si="7"/>
        <v>2</v>
      </c>
      <c r="Q58" s="45">
        <f t="shared" si="8"/>
        <v>1</v>
      </c>
      <c r="R58" s="45">
        <f>IF(
    OR(ISBLANK(M58), ISBLANK(N58)),
    "",
    MAX(1, IF(
        NETWORKDAYS(M58, N58) &lt;= 0,
        1,
        NETWORKDAYS(M58, N58) - IF(M58 = N58, 0, 1)
    ))
)</f>
        <v>1</v>
      </c>
      <c r="S58" s="45">
        <f t="shared" si="9"/>
        <v>1</v>
      </c>
      <c r="T58" s="129" t="s">
        <v>150</v>
      </c>
      <c r="U58" s="129" t="s">
        <v>282</v>
      </c>
      <c r="V58" s="129" t="s">
        <v>2264</v>
      </c>
    </row>
    <row r="59" spans="1:23" ht="28.5">
      <c r="A59" s="129" t="s">
        <v>778</v>
      </c>
      <c r="B59" s="129" t="s">
        <v>1438</v>
      </c>
      <c r="C59" s="129"/>
      <c r="D59" s="129" t="s">
        <v>143</v>
      </c>
      <c r="E59" s="129">
        <v>2025</v>
      </c>
      <c r="F59" s="311" t="s">
        <v>3128</v>
      </c>
      <c r="G59" s="129" t="s">
        <v>9528</v>
      </c>
      <c r="H59" s="129"/>
      <c r="I59" s="129" t="s">
        <v>148</v>
      </c>
      <c r="J59" s="129" t="s">
        <v>9538</v>
      </c>
      <c r="K59" s="130">
        <v>45945</v>
      </c>
      <c r="L59" s="130">
        <v>45950</v>
      </c>
      <c r="M59" s="129"/>
      <c r="N59" s="130">
        <v>45950</v>
      </c>
      <c r="O59" s="130">
        <v>45950</v>
      </c>
      <c r="P59" s="45">
        <f t="shared" si="7"/>
        <v>3</v>
      </c>
      <c r="Q59" s="45" t="str">
        <f t="shared" si="8"/>
        <v/>
      </c>
      <c r="R59" s="45">
        <f>IF(
  OR(A59 = "Nueva_Ecija", A59 = "Zambales"),
  IF(
    OR(ISBLANK(M59), ISBLANK(N59)),
    "",
    MAX(1, IF(
      NETWORKDAYS(M59, N59) &lt;= 0,
      1,
      NETWORKDAYS(M59, N59) - IF(M59 = N59, 0, 1)
    ))
  ),
  IF(
    OR(ISBLANK(L59), ISBLANK(N59)),
    "",
    MAX(1, IF(
      NETWORKDAYS(L59, N59) &lt;= 0,
      1,
      NETWORKDAYS(L59, N59) - IF(L59 = N59, 0, 1)
    ))
  )
)</f>
        <v>1</v>
      </c>
      <c r="S59" s="45">
        <f t="shared" si="9"/>
        <v>1</v>
      </c>
      <c r="T59" s="129" t="s">
        <v>150</v>
      </c>
      <c r="U59" s="129" t="s">
        <v>330</v>
      </c>
      <c r="V59" s="129" t="s">
        <v>2264</v>
      </c>
      <c r="W59" s="160"/>
    </row>
    <row r="60" spans="1:23" ht="28.5">
      <c r="A60" s="129" t="s">
        <v>779</v>
      </c>
      <c r="B60" s="129" t="s">
        <v>1498</v>
      </c>
      <c r="C60" s="129"/>
      <c r="D60" s="129" t="s">
        <v>159</v>
      </c>
      <c r="E60" s="129">
        <v>2025</v>
      </c>
      <c r="F60" s="311" t="s">
        <v>3128</v>
      </c>
      <c r="G60" s="129" t="s">
        <v>9539</v>
      </c>
      <c r="H60" s="129"/>
      <c r="I60" s="129" t="s">
        <v>28</v>
      </c>
      <c r="J60" s="701" t="s">
        <v>9540</v>
      </c>
      <c r="K60" s="702">
        <v>45940</v>
      </c>
      <c r="L60" s="702">
        <v>45942</v>
      </c>
      <c r="M60" s="129"/>
      <c r="N60" s="702">
        <v>45944</v>
      </c>
      <c r="O60" s="702">
        <v>45945</v>
      </c>
      <c r="P60" s="45">
        <f t="shared" si="7"/>
        <v>1</v>
      </c>
      <c r="Q60" s="45" t="str">
        <f t="shared" si="8"/>
        <v/>
      </c>
      <c r="R60" s="45" t="str">
        <f>IF(
    OR(ISBLANK(M60), ISBLANK(N60)),
    "",
    MAX(1, IF(
        NETWORKDAYS(M60, N60) &lt;= 0,
        1,
        NETWORKDAYS(M60, N60) - IF(M60 = N60, 0, 1)
    ))
)</f>
        <v/>
      </c>
      <c r="S60" s="45">
        <f t="shared" si="9"/>
        <v>1</v>
      </c>
      <c r="T60" s="129" t="s">
        <v>150</v>
      </c>
      <c r="U60" s="129" t="s">
        <v>9541</v>
      </c>
      <c r="V60" s="129" t="s">
        <v>2264</v>
      </c>
    </row>
    <row r="61" spans="1:23" ht="28.5">
      <c r="A61" s="129" t="s">
        <v>780</v>
      </c>
      <c r="B61" s="129" t="s">
        <v>942</v>
      </c>
      <c r="C61" s="129"/>
      <c r="D61" s="129" t="s">
        <v>159</v>
      </c>
      <c r="E61" s="129">
        <v>2025</v>
      </c>
      <c r="F61" s="332" t="s">
        <v>3127</v>
      </c>
      <c r="G61" s="129" t="s">
        <v>42</v>
      </c>
      <c r="H61" s="129" t="s">
        <v>163</v>
      </c>
      <c r="I61" s="129" t="s">
        <v>2393</v>
      </c>
      <c r="J61" s="129" t="s">
        <v>9530</v>
      </c>
      <c r="K61" s="130">
        <v>45912</v>
      </c>
      <c r="L61" s="130">
        <v>45917</v>
      </c>
      <c r="M61" s="130">
        <v>45918</v>
      </c>
      <c r="N61" s="130">
        <v>45918</v>
      </c>
      <c r="O61" s="130">
        <v>45918</v>
      </c>
      <c r="P61" s="45">
        <f t="shared" si="7"/>
        <v>3</v>
      </c>
      <c r="Q61" s="45">
        <f t="shared" si="8"/>
        <v>1</v>
      </c>
      <c r="R61" s="45">
        <f>IF(
    OR(ISBLANK(M61), ISBLANK(N61)),
    "",
    MAX(1, IF(
        NETWORKDAYS(M61, N61) &lt;= 0,
        1,
        NETWORKDAYS(M61, N61) - IF(M61 = N61, 0, 1)
    ))
)</f>
        <v>1</v>
      </c>
      <c r="S61" s="45">
        <f t="shared" si="9"/>
        <v>1</v>
      </c>
      <c r="T61" s="129" t="s">
        <v>150</v>
      </c>
      <c r="U61" s="129" t="s">
        <v>7719</v>
      </c>
      <c r="V61" s="129" t="s">
        <v>2264</v>
      </c>
    </row>
    <row r="62" spans="1:23" ht="15">
      <c r="A62" s="129" t="s">
        <v>773</v>
      </c>
      <c r="B62" s="129"/>
      <c r="C62" s="129"/>
      <c r="D62" s="129"/>
      <c r="E62" s="129"/>
      <c r="F62" s="332" t="s">
        <v>3129</v>
      </c>
      <c r="G62" s="129"/>
      <c r="H62" s="129"/>
      <c r="I62" s="129"/>
      <c r="J62" s="129"/>
      <c r="K62" s="129"/>
      <c r="L62" s="129"/>
      <c r="M62" s="129"/>
      <c r="N62" s="129"/>
      <c r="O62" s="129"/>
      <c r="P62" s="45" t="str">
        <f t="shared" si="7"/>
        <v/>
      </c>
      <c r="Q62" s="45" t="str">
        <f t="shared" si="8"/>
        <v/>
      </c>
      <c r="R62" s="45" t="str">
        <f>IF(
    OR(ISBLANK(M62), ISBLANK(N62)),
    "",
    MAX(1, IF(
        NETWORKDAYS(M62, N62) &lt;= 0,
        1,
        NETWORKDAYS(M62, N62) - IF(M62 = N62, 0, 1)
    ))
)</f>
        <v/>
      </c>
      <c r="S62" s="45" t="str">
        <f t="shared" si="9"/>
        <v/>
      </c>
      <c r="T62" s="129"/>
      <c r="U62" s="129"/>
      <c r="V62" s="129"/>
    </row>
    <row r="63" spans="1:23" ht="28.5">
      <c r="A63" s="129" t="s">
        <v>774</v>
      </c>
      <c r="B63" s="129" t="s">
        <v>884</v>
      </c>
      <c r="C63" s="129"/>
      <c r="D63" s="129" t="s">
        <v>143</v>
      </c>
      <c r="E63" s="129">
        <v>2025</v>
      </c>
      <c r="F63" s="332" t="s">
        <v>3129</v>
      </c>
      <c r="G63" s="129" t="s">
        <v>179</v>
      </c>
      <c r="H63" s="129"/>
      <c r="I63" s="129" t="s">
        <v>2445</v>
      </c>
      <c r="J63" s="129" t="s">
        <v>9542</v>
      </c>
      <c r="K63" s="130">
        <v>45958</v>
      </c>
      <c r="L63" s="130">
        <v>45961</v>
      </c>
      <c r="M63" s="129"/>
      <c r="N63" s="130">
        <v>45961</v>
      </c>
      <c r="O63" s="130">
        <v>45964</v>
      </c>
      <c r="P63" s="45">
        <f t="shared" si="7"/>
        <v>3</v>
      </c>
      <c r="Q63" s="45" t="str">
        <f t="shared" si="8"/>
        <v/>
      </c>
      <c r="R63" s="45">
        <f>IF(
  OR(A63 = "Nueva_Ecija", A63 = "Zambales"),
  IF(
    OR(ISBLANK(M63), ISBLANK(N63)),
    "",
    MAX(1, IF(
      NETWORKDAYS(M63, N63) &lt;= 0,
      1,
      NETWORKDAYS(M63, N63) - IF(M63 = N63, 0, 1)
    ))
  ),
  IF(
    OR(ISBLANK(L63), ISBLANK(N63)),
    "",
    MAX(1, IF(
      NETWORKDAYS(L63, N63) &lt;= 0,
      1,
      NETWORKDAYS(L63, N63) - IF(L63 = N63, 0, 1)
    ))
  )
)</f>
        <v>1</v>
      </c>
      <c r="S63" s="45">
        <f t="shared" si="9"/>
        <v>1</v>
      </c>
      <c r="T63" s="129" t="s">
        <v>150</v>
      </c>
      <c r="U63" s="129" t="s">
        <v>665</v>
      </c>
      <c r="V63" s="129" t="s">
        <v>9507</v>
      </c>
    </row>
    <row r="64" spans="1:23" ht="15">
      <c r="A64" s="129" t="s">
        <v>776</v>
      </c>
      <c r="B64" s="129" t="s">
        <v>1151</v>
      </c>
      <c r="C64" s="129"/>
      <c r="D64" s="129" t="s">
        <v>143</v>
      </c>
      <c r="E64" s="129">
        <v>2025</v>
      </c>
      <c r="F64" s="332" t="s">
        <v>3129</v>
      </c>
      <c r="G64" s="129" t="s">
        <v>9543</v>
      </c>
      <c r="H64" s="129"/>
      <c r="I64" s="129" t="s">
        <v>9544</v>
      </c>
      <c r="J64" s="129" t="s">
        <v>9545</v>
      </c>
      <c r="K64" s="130">
        <v>45965</v>
      </c>
      <c r="L64" s="130">
        <v>45969</v>
      </c>
      <c r="M64" s="130">
        <v>45969</v>
      </c>
      <c r="N64" s="130">
        <v>45980</v>
      </c>
      <c r="O64" s="130">
        <v>45980</v>
      </c>
      <c r="P64" s="45">
        <f t="shared" si="7"/>
        <v>3</v>
      </c>
      <c r="Q64" s="45">
        <f t="shared" si="8"/>
        <v>1</v>
      </c>
      <c r="R64" s="45">
        <f>IF(
    OR(ISBLANK(M64), ISBLANK(N64)),
    "",
    MAX(1, IF(
        NETWORKDAYS(M64, N64) &lt;= 0,
        1,
        NETWORKDAYS(M64, N64) - IF(M64 = N64, 0, 1)
    ))
)</f>
        <v>7</v>
      </c>
      <c r="S64" s="45">
        <f t="shared" si="9"/>
        <v>1</v>
      </c>
      <c r="T64" s="129" t="s">
        <v>150</v>
      </c>
      <c r="U64" s="129" t="s">
        <v>9470</v>
      </c>
      <c r="V64" s="129" t="s">
        <v>2264</v>
      </c>
    </row>
    <row r="65" spans="1:22" ht="57">
      <c r="A65" s="129" t="s">
        <v>2286</v>
      </c>
      <c r="B65" s="129" t="s">
        <v>1274</v>
      </c>
      <c r="C65" s="129"/>
      <c r="D65" s="129" t="s">
        <v>143</v>
      </c>
      <c r="E65" s="129">
        <v>2025</v>
      </c>
      <c r="F65" s="332" t="s">
        <v>3129</v>
      </c>
      <c r="G65" s="129"/>
      <c r="H65" s="129" t="s">
        <v>2289</v>
      </c>
      <c r="I65" s="129" t="s">
        <v>212</v>
      </c>
      <c r="J65" s="129" t="s">
        <v>9546</v>
      </c>
      <c r="K65" s="130">
        <v>45980</v>
      </c>
      <c r="L65" s="130">
        <v>45980</v>
      </c>
      <c r="M65" s="130">
        <v>45980</v>
      </c>
      <c r="N65" s="130">
        <v>45980</v>
      </c>
      <c r="O65" s="130">
        <v>45980</v>
      </c>
      <c r="P65" s="45">
        <f t="shared" si="7"/>
        <v>1</v>
      </c>
      <c r="Q65" s="45">
        <f t="shared" si="8"/>
        <v>1</v>
      </c>
      <c r="R65" s="45">
        <f>IF(
    OR(ISBLANK(M65), ISBLANK(N65)),
    "",
    MAX(1, IF(
        NETWORKDAYS(M65, N65) &lt;= 0,
        1,
        NETWORKDAYS(M65, N65) - IF(M65 = N65, 0, 1)
    ))
)</f>
        <v>1</v>
      </c>
      <c r="S65" s="45">
        <f t="shared" si="9"/>
        <v>1</v>
      </c>
      <c r="T65" s="129" t="s">
        <v>150</v>
      </c>
      <c r="U65" s="129" t="s">
        <v>9547</v>
      </c>
      <c r="V65" s="129" t="s">
        <v>2264</v>
      </c>
    </row>
    <row r="66" spans="1:22" ht="28.5">
      <c r="A66" s="129" t="s">
        <v>778</v>
      </c>
      <c r="B66" s="129" t="s">
        <v>1429</v>
      </c>
      <c r="C66" s="129"/>
      <c r="D66" s="129"/>
      <c r="E66" s="129">
        <v>2025</v>
      </c>
      <c r="F66" s="332" t="s">
        <v>3129</v>
      </c>
      <c r="G66" s="129" t="s">
        <v>1434</v>
      </c>
      <c r="H66" s="129"/>
      <c r="I66" s="129" t="s">
        <v>148</v>
      </c>
      <c r="J66" s="129" t="s">
        <v>9548</v>
      </c>
      <c r="K66" s="130">
        <v>45966</v>
      </c>
      <c r="L66" s="130">
        <v>45968</v>
      </c>
      <c r="M66" s="129"/>
      <c r="N66" s="130">
        <v>45972</v>
      </c>
      <c r="O66" s="130">
        <v>45978</v>
      </c>
      <c r="P66" s="45">
        <f t="shared" si="7"/>
        <v>2</v>
      </c>
      <c r="Q66" s="45" t="str">
        <f t="shared" si="8"/>
        <v/>
      </c>
      <c r="R66" s="45">
        <f>IF(
  OR(A66 = "Nueva_Ecija", A66 = "Zambales"),
  IF(
    OR(ISBLANK(M66), ISBLANK(N66)),
    "",
    MAX(1, IF(
      NETWORKDAYS(M66, N66) &lt;= 0,
      1,
      NETWORKDAYS(M66, N66) - IF(M66 = N66, 0, 1)
    ))
  ),
  IF(
    OR(ISBLANK(L66), ISBLANK(N66)),
    "",
    MAX(1, IF(
      NETWORKDAYS(L66, N66) &lt;= 0,
      1,
      NETWORKDAYS(L66, N66) - IF(L66 = N66, 0, 1)
    ))
  )
)</f>
        <v>2</v>
      </c>
      <c r="S66" s="45">
        <f t="shared" si="9"/>
        <v>4</v>
      </c>
      <c r="T66" s="129" t="s">
        <v>150</v>
      </c>
      <c r="U66" s="510" t="s">
        <v>292</v>
      </c>
      <c r="V66" s="129" t="s">
        <v>9549</v>
      </c>
    </row>
    <row r="67" spans="1:22" ht="28.5">
      <c r="A67" s="129" t="s">
        <v>779</v>
      </c>
      <c r="B67" s="129" t="s">
        <v>6202</v>
      </c>
      <c r="C67" s="129"/>
      <c r="D67" s="129" t="s">
        <v>159</v>
      </c>
      <c r="E67" s="129">
        <v>2025</v>
      </c>
      <c r="F67" s="332" t="s">
        <v>3129</v>
      </c>
      <c r="G67" s="129" t="s">
        <v>9550</v>
      </c>
      <c r="H67" s="129" t="s">
        <v>1453</v>
      </c>
      <c r="I67" s="129" t="s">
        <v>28</v>
      </c>
      <c r="J67" s="129" t="s">
        <v>9551</v>
      </c>
      <c r="K67" s="130">
        <v>45965</v>
      </c>
      <c r="L67" s="130">
        <v>45965</v>
      </c>
      <c r="M67" s="130"/>
      <c r="N67" s="130">
        <v>45967</v>
      </c>
      <c r="O67" s="130">
        <v>45978</v>
      </c>
      <c r="P67" s="45">
        <f t="shared" si="7"/>
        <v>1</v>
      </c>
      <c r="Q67" s="45" t="str">
        <f t="shared" si="8"/>
        <v/>
      </c>
      <c r="R67" s="45" t="str">
        <f>IF(
    OR(ISBLANK(M67), ISBLANK(N67)),
    "",
    MAX(1, IF(
        NETWORKDAYS(M67, N67) &lt;= 0,
        1,
        NETWORKDAYS(M67, N67) - IF(M67 = N67, 0, 1)
    ))
)</f>
        <v/>
      </c>
      <c r="S67" s="45">
        <f t="shared" si="9"/>
        <v>7</v>
      </c>
      <c r="T67" s="129" t="s">
        <v>150</v>
      </c>
      <c r="U67" s="129" t="s">
        <v>8091</v>
      </c>
      <c r="V67" s="129" t="s">
        <v>2264</v>
      </c>
    </row>
    <row r="68" spans="1:22" ht="15">
      <c r="A68" s="129" t="s">
        <v>780</v>
      </c>
      <c r="B68" s="129"/>
      <c r="C68" s="129"/>
      <c r="D68" s="129"/>
      <c r="E68" s="129"/>
      <c r="F68" s="332" t="s">
        <v>3129</v>
      </c>
      <c r="G68" s="129"/>
      <c r="H68" s="129"/>
      <c r="I68" s="129"/>
      <c r="J68" s="129"/>
      <c r="K68" s="129"/>
      <c r="L68" s="129"/>
      <c r="M68" s="129"/>
      <c r="N68" s="129"/>
      <c r="O68" s="129"/>
      <c r="P68" s="45" t="str">
        <f t="shared" si="7"/>
        <v/>
      </c>
      <c r="Q68" s="45" t="str">
        <f t="shared" si="8"/>
        <v/>
      </c>
      <c r="R68" s="45" t="str">
        <f>IF(
    OR(ISBLANK(M68), ISBLANK(N68)),
    "",
    MAX(1, IF(
        NETWORKDAYS(M68, N68) &lt;= 0,
        1,
        NETWORKDAYS(M68, N68) - IF(M68 = N68, 0, 1)
    ))
)</f>
        <v/>
      </c>
      <c r="S68" s="45" t="str">
        <f t="shared" si="9"/>
        <v/>
      </c>
      <c r="T68" s="129"/>
      <c r="U68" s="129"/>
      <c r="V68" s="129"/>
    </row>
    <row r="70" spans="1:22" ht="28.5" hidden="1">
      <c r="A70" s="129" t="s">
        <v>773</v>
      </c>
      <c r="B70" s="129" t="s">
        <v>1244</v>
      </c>
      <c r="C70" s="129"/>
      <c r="D70" s="129" t="s">
        <v>159</v>
      </c>
      <c r="E70" s="129">
        <v>2025</v>
      </c>
      <c r="F70" s="311" t="s">
        <v>3128</v>
      </c>
      <c r="G70" s="129" t="s">
        <v>15</v>
      </c>
      <c r="H70" s="129"/>
      <c r="I70" s="129" t="s">
        <v>163</v>
      </c>
      <c r="J70" s="129" t="s">
        <v>9552</v>
      </c>
      <c r="K70" s="130">
        <v>46296</v>
      </c>
      <c r="L70" s="130">
        <v>46297</v>
      </c>
      <c r="M70" s="129"/>
      <c r="N70" s="130">
        <v>45938</v>
      </c>
      <c r="O70" s="130">
        <v>45940</v>
      </c>
      <c r="P70" s="45">
        <f>IF(
    OR(ISBLANK(K70), ISBLANK(L70)),
    "",
    MAX(1, IF(
        NETWORKDAYS(K70, L70) &lt;= 0,
        1,
        NETWORKDAYS(K70, L70) - IF(K70 = L70, 0, 1)
    ))
)</f>
        <v>1</v>
      </c>
      <c r="Q70" s="45" t="str">
        <f>IF(
    OR(ISBLANK(L70), ISBLANK(M70)),
    "",
    MAX(1, IF(
        NETWORKDAYS(L70, M70) &lt;= 0,
        1,
        NETWORKDAYS(L70, M70) - IF(L70 = M70, 0, 1)
    ))
)</f>
        <v/>
      </c>
      <c r="R70" s="45" t="str">
        <f>IF(
    OR(ISBLANK(M70), ISBLANK(N70)),
    "",
    MAX(1, IF(
        NETWORKDAYS(M70, N70) &lt;= 0,
        1,
        NETWORKDAYS(M70, N70) - IF(M70 = N70, 0, 1)
    ))
)</f>
        <v/>
      </c>
      <c r="S70" s="45">
        <f>IF(
    OR(ISBLANK(N70), ISBLANK(O70)),
    "",
    MAX(1, IF(
        NETWORKDAYS(N70, O70) &lt;= 0,
        1,
        NETWORKDAYS(N70, O70) - IF(N70 = O70, 0, 1)
    ))
)</f>
        <v>2</v>
      </c>
      <c r="T70" s="129" t="s">
        <v>150</v>
      </c>
      <c r="U70" s="129" t="s">
        <v>182</v>
      </c>
      <c r="V70" s="129" t="s">
        <v>2264</v>
      </c>
    </row>
  </sheetData>
  <autoFilter ref="A1:V68" xr:uid="{56644257-ABCF-4240-8152-B45B7877A13A}"/>
  <dataValidations count="2">
    <dataValidation allowBlank="1" showInputMessage="1" showErrorMessage="1" sqref="F1:T1" xr:uid="{9D622D44-A02C-425B-9652-ED974333D570}"/>
    <dataValidation type="list" allowBlank="1" showInputMessage="1" showErrorMessage="1" sqref="A2:A1048576" xr:uid="{A7FD2A57-D5F7-431C-8A30-1A41E2D60C97}">
      <formula1>"Aurora, Bataan, Bulacan, Nueva_Ecija, Pampanga, Tarlac, Zambales"</formula1>
    </dataValidation>
  </dataValidation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37750-10EA-4DC0-ACA2-9818002E3B64}">
  <sheetPr codeName="Sheet16"/>
  <dimension ref="A1:T33"/>
  <sheetViews>
    <sheetView workbookViewId="0">
      <selection activeCell="R23" sqref="R23"/>
    </sheetView>
  </sheetViews>
  <sheetFormatPr defaultColWidth="12.28515625" defaultRowHeight="14.25"/>
  <cols>
    <col min="1" max="1" width="13.42578125" style="321" customWidth="1"/>
    <col min="2" max="3" width="19.5703125" style="321" customWidth="1"/>
    <col min="4" max="4" width="12.28515625" style="321"/>
    <col min="5" max="5" width="13.7109375" style="321" customWidth="1"/>
    <col min="6" max="6" width="24.85546875" style="321" customWidth="1"/>
    <col min="7" max="7" width="12.28515625" style="321"/>
    <col min="8" max="8" width="18" style="321" customWidth="1"/>
    <col min="9" max="9" width="18.7109375" style="321" customWidth="1"/>
    <col min="10" max="14" width="15" style="321" customWidth="1"/>
    <col min="15" max="18" width="17.85546875" style="321" customWidth="1"/>
    <col min="19" max="19" width="26.5703125" style="321" customWidth="1"/>
    <col min="20" max="20" width="13.85546875" style="321" customWidth="1"/>
    <col min="21" max="16384" width="12.28515625" style="321"/>
  </cols>
  <sheetData>
    <row r="1" spans="1:20" ht="57">
      <c r="A1" s="335" t="s">
        <v>85</v>
      </c>
      <c r="B1" s="336" t="s">
        <v>86</v>
      </c>
      <c r="C1" s="336" t="s">
        <v>782</v>
      </c>
      <c r="D1" s="337" t="s">
        <v>3395</v>
      </c>
      <c r="E1" s="337" t="s">
        <v>99</v>
      </c>
      <c r="F1" s="46" t="s">
        <v>100</v>
      </c>
      <c r="G1" s="46" t="s">
        <v>1575</v>
      </c>
      <c r="H1" s="46" t="s">
        <v>102</v>
      </c>
      <c r="I1" s="46" t="s">
        <v>103</v>
      </c>
      <c r="J1" s="46" t="s">
        <v>7628</v>
      </c>
      <c r="K1" s="46" t="s">
        <v>3397</v>
      </c>
      <c r="L1" s="46" t="s">
        <v>106</v>
      </c>
      <c r="M1" s="46" t="s">
        <v>107</v>
      </c>
      <c r="N1" s="46" t="s">
        <v>108</v>
      </c>
      <c r="O1" s="46" t="s">
        <v>109</v>
      </c>
      <c r="P1" s="46" t="s">
        <v>1576</v>
      </c>
      <c r="Q1" s="350" t="s">
        <v>111</v>
      </c>
      <c r="R1" s="126" t="s">
        <v>112</v>
      </c>
      <c r="S1" s="127" t="s">
        <v>1729</v>
      </c>
      <c r="T1" s="126" t="s">
        <v>9553</v>
      </c>
    </row>
    <row r="2" spans="1:20" ht="15">
      <c r="A2" s="118" t="s">
        <v>774</v>
      </c>
      <c r="B2" s="118" t="s">
        <v>9554</v>
      </c>
      <c r="C2" s="118" t="s">
        <v>9555</v>
      </c>
      <c r="D2" s="118">
        <v>2025</v>
      </c>
      <c r="E2" s="118" t="s">
        <v>9556</v>
      </c>
      <c r="F2" s="118" t="s">
        <v>9557</v>
      </c>
      <c r="G2" s="118"/>
      <c r="H2" s="118" t="s">
        <v>9558</v>
      </c>
      <c r="I2" s="118" t="s">
        <v>9559</v>
      </c>
      <c r="J2" s="334">
        <v>45721</v>
      </c>
      <c r="K2" s="334">
        <v>45726</v>
      </c>
      <c r="L2" s="334"/>
      <c r="M2" s="334">
        <v>45727</v>
      </c>
      <c r="N2" s="334">
        <v>45727</v>
      </c>
      <c r="O2" s="333">
        <f>IF(
    OR(ISBLANK(J2), ISBLANK(K2)),
    "",
    MAX(1, IF(
        NETWORKDAYS(J2, K2) &lt;= 0,
        1,
        NETWORKDAYS(J2, K2) - IF(J2 = K2, 0, 1)
    ))
)</f>
        <v>3</v>
      </c>
      <c r="P2" s="333" t="str">
        <f>IF(
    OR(ISBLANK(K2), ISBLANK(L2)),
    "",
    MAX(1, IF(
        NETWORKDAYS(K2, L2) &lt;= 0,
        1,
        NETWORKDAYS(K2, L2) - IF(K2 = L2, 0, 1)
    ))
)</f>
        <v/>
      </c>
      <c r="Q2" s="333">
        <f t="shared" ref="Q2:Q21" si="0">IF(
  OR(A2 = "Nueva_Ecija", A2 = "Zambales"),
  IF(
    OR(ISBLANK(L2), ISBLANK(M2)),
    "",
    MAX(1, IF(
      NETWORKDAYS(L2, M2) &lt;= 0,
      1,
      NETWORKDAYS(L2, M2) - IF(L2 = M2, 0, 1)
    ))
  ),
  IF(
    OR(ISBLANK(K2), ISBLANK(M2)),
    "",
    MAX(1, IF(
      NETWORKDAYS(K2, M2) &lt;= 0,
      1,
      NETWORKDAYS(K2, M2) - IF(K2 = M2, 0, 1)
    ))
  )
)</f>
        <v>1</v>
      </c>
      <c r="R2" s="333">
        <f t="shared" ref="R2:R13" si="1">IF(
    OR(ISBLANK(M2), ISBLANK(N2)),
    "",
    MAX(1, IF(
        NETWORKDAYS(M2, N2) &lt;= 0,
        1,
        NETWORKDAYS(M2, N2) - IF(M2 = N2, 0, 1)
    ))
)</f>
        <v>1</v>
      </c>
      <c r="S2" s="118" t="s">
        <v>150</v>
      </c>
      <c r="T2" s="349" t="b">
        <v>1</v>
      </c>
    </row>
    <row r="3" spans="1:20" ht="15">
      <c r="A3" s="118" t="s">
        <v>774</v>
      </c>
      <c r="B3" s="118" t="s">
        <v>499</v>
      </c>
      <c r="C3" s="118" t="s">
        <v>9560</v>
      </c>
      <c r="D3" s="118">
        <v>2025</v>
      </c>
      <c r="E3" s="118" t="s">
        <v>9556</v>
      </c>
      <c r="F3" s="118" t="s">
        <v>9561</v>
      </c>
      <c r="G3" s="118"/>
      <c r="H3" s="118" t="s">
        <v>9558</v>
      </c>
      <c r="I3" s="118" t="s">
        <v>9562</v>
      </c>
      <c r="J3" s="334">
        <v>45727</v>
      </c>
      <c r="K3" s="334">
        <v>45728</v>
      </c>
      <c r="L3" s="118"/>
      <c r="M3" s="334">
        <v>45729</v>
      </c>
      <c r="N3" s="334">
        <v>45729</v>
      </c>
      <c r="O3" s="333">
        <f t="shared" ref="O3:O13" si="2">IF(
    OR(ISBLANK(J3), ISBLANK(K3)),
    "",
    MAX(1, IF(
        NETWORKDAYS(J3, K3) &lt;= 0,
        1,
        NETWORKDAYS(J3, K3) - IF(J3 = K3, 0, 1)
    ))
)</f>
        <v>1</v>
      </c>
      <c r="P3" s="333" t="str">
        <f t="shared" ref="P3:P13" si="3">IF(
    OR(ISBLANK(K3), ISBLANK(L3)),
    "",
    MAX(1, IF(
        NETWORKDAYS(K3, L3) &lt;= 0,
        1,
        NETWORKDAYS(K3, L3) - IF(K3 = L3, 0, 1)
    ))
)</f>
        <v/>
      </c>
      <c r="Q3" s="333">
        <f t="shared" si="0"/>
        <v>1</v>
      </c>
      <c r="R3" s="333">
        <f t="shared" si="1"/>
        <v>1</v>
      </c>
      <c r="S3" s="118" t="s">
        <v>150</v>
      </c>
      <c r="T3" s="349" t="b">
        <v>1</v>
      </c>
    </row>
    <row r="4" spans="1:20" ht="15">
      <c r="A4" s="118" t="s">
        <v>774</v>
      </c>
      <c r="B4" s="118" t="s">
        <v>494</v>
      </c>
      <c r="C4" s="118" t="s">
        <v>9563</v>
      </c>
      <c r="D4" s="118">
        <v>2025</v>
      </c>
      <c r="E4" s="118" t="s">
        <v>9556</v>
      </c>
      <c r="F4" s="118" t="s">
        <v>9561</v>
      </c>
      <c r="G4" s="118"/>
      <c r="H4" s="118" t="s">
        <v>9558</v>
      </c>
      <c r="I4" s="118" t="s">
        <v>9564</v>
      </c>
      <c r="J4" s="334">
        <v>45728</v>
      </c>
      <c r="K4" s="334">
        <v>45728</v>
      </c>
      <c r="L4" s="118"/>
      <c r="M4" s="334">
        <v>45729</v>
      </c>
      <c r="N4" s="334">
        <v>45729</v>
      </c>
      <c r="O4" s="333">
        <f t="shared" si="2"/>
        <v>1</v>
      </c>
      <c r="P4" s="333" t="str">
        <f t="shared" si="3"/>
        <v/>
      </c>
      <c r="Q4" s="333">
        <f t="shared" si="0"/>
        <v>1</v>
      </c>
      <c r="R4" s="333">
        <f t="shared" si="1"/>
        <v>1</v>
      </c>
      <c r="S4" s="118" t="s">
        <v>150</v>
      </c>
      <c r="T4" s="349" t="b">
        <v>1</v>
      </c>
    </row>
    <row r="5" spans="1:20" ht="15">
      <c r="A5" s="118" t="s">
        <v>774</v>
      </c>
      <c r="B5" s="118" t="s">
        <v>455</v>
      </c>
      <c r="C5" s="118" t="s">
        <v>9565</v>
      </c>
      <c r="D5" s="118">
        <v>2025</v>
      </c>
      <c r="E5" s="118" t="s">
        <v>9556</v>
      </c>
      <c r="F5" s="118" t="s">
        <v>9566</v>
      </c>
      <c r="G5" s="118"/>
      <c r="H5" s="118" t="s">
        <v>9558</v>
      </c>
      <c r="I5" s="118" t="s">
        <v>9567</v>
      </c>
      <c r="J5" s="334">
        <v>45727</v>
      </c>
      <c r="K5" s="334">
        <v>45732</v>
      </c>
      <c r="L5" s="118"/>
      <c r="M5" s="334">
        <v>45732</v>
      </c>
      <c r="N5" s="334">
        <v>45733</v>
      </c>
      <c r="O5" s="333">
        <f t="shared" si="2"/>
        <v>3</v>
      </c>
      <c r="P5" s="333" t="str">
        <f t="shared" si="3"/>
        <v/>
      </c>
      <c r="Q5" s="333">
        <f t="shared" si="0"/>
        <v>1</v>
      </c>
      <c r="R5" s="333">
        <f t="shared" si="1"/>
        <v>1</v>
      </c>
      <c r="S5" s="118" t="s">
        <v>150</v>
      </c>
      <c r="T5" s="349" t="b">
        <v>1</v>
      </c>
    </row>
    <row r="6" spans="1:20" ht="15">
      <c r="A6" s="118" t="s">
        <v>774</v>
      </c>
      <c r="B6" s="118" t="s">
        <v>9554</v>
      </c>
      <c r="C6" s="118" t="s">
        <v>534</v>
      </c>
      <c r="D6" s="118">
        <v>2025</v>
      </c>
      <c r="E6" s="118" t="s">
        <v>9556</v>
      </c>
      <c r="F6" s="118" t="s">
        <v>9557</v>
      </c>
      <c r="G6" s="118"/>
      <c r="H6" s="118" t="s">
        <v>9558</v>
      </c>
      <c r="I6" s="118" t="s">
        <v>9568</v>
      </c>
      <c r="J6" s="334">
        <v>45730</v>
      </c>
      <c r="K6" s="334">
        <v>45732</v>
      </c>
      <c r="L6" s="118"/>
      <c r="M6" s="334">
        <v>45732</v>
      </c>
      <c r="N6" s="334">
        <v>45733</v>
      </c>
      <c r="O6" s="333">
        <f t="shared" si="2"/>
        <v>1</v>
      </c>
      <c r="P6" s="333" t="str">
        <f t="shared" si="3"/>
        <v/>
      </c>
      <c r="Q6" s="333">
        <f t="shared" si="0"/>
        <v>1</v>
      </c>
      <c r="R6" s="333">
        <f t="shared" si="1"/>
        <v>1</v>
      </c>
      <c r="S6" s="118" t="s">
        <v>150</v>
      </c>
      <c r="T6" s="349" t="b">
        <v>1</v>
      </c>
    </row>
    <row r="7" spans="1:20" ht="15">
      <c r="A7" s="118" t="s">
        <v>774</v>
      </c>
      <c r="B7" s="118" t="s">
        <v>722</v>
      </c>
      <c r="C7" s="118" t="s">
        <v>9569</v>
      </c>
      <c r="D7" s="118">
        <v>2025</v>
      </c>
      <c r="E7" s="118" t="s">
        <v>7397</v>
      </c>
      <c r="F7" s="118" t="s">
        <v>9557</v>
      </c>
      <c r="G7" s="118"/>
      <c r="H7" s="118" t="s">
        <v>9558</v>
      </c>
      <c r="I7" s="118" t="s">
        <v>9570</v>
      </c>
      <c r="J7" s="334">
        <v>45737</v>
      </c>
      <c r="K7" s="334">
        <v>45739</v>
      </c>
      <c r="L7" s="118"/>
      <c r="M7" s="334">
        <v>45742</v>
      </c>
      <c r="N7" s="334">
        <v>45742</v>
      </c>
      <c r="O7" s="333">
        <f t="shared" si="2"/>
        <v>1</v>
      </c>
      <c r="P7" s="333" t="str">
        <f t="shared" si="3"/>
        <v/>
      </c>
      <c r="Q7" s="333">
        <f t="shared" si="0"/>
        <v>2</v>
      </c>
      <c r="R7" s="333">
        <f>IF(
    OR(ISBLANK(M7), ISBLANK(N7)),
    "",
    MAX(1, IF(
        NETWORKDAYS(M7, N7) &lt;= 0,
        1,
        NETWORKDAYS(M7, N7) - IF(M7 = N7, 0, 1)
    ))
)</f>
        <v>1</v>
      </c>
      <c r="S7" s="118" t="s">
        <v>150</v>
      </c>
      <c r="T7" s="349" t="b">
        <v>1</v>
      </c>
    </row>
    <row r="8" spans="1:20" ht="15">
      <c r="A8" s="118" t="s">
        <v>774</v>
      </c>
      <c r="B8" s="118" t="s">
        <v>316</v>
      </c>
      <c r="C8" s="118" t="s">
        <v>9571</v>
      </c>
      <c r="D8" s="118">
        <v>2025</v>
      </c>
      <c r="E8" s="118" t="s">
        <v>4933</v>
      </c>
      <c r="F8" s="118" t="s">
        <v>9566</v>
      </c>
      <c r="G8" s="118"/>
      <c r="H8" s="118" t="s">
        <v>9558</v>
      </c>
      <c r="I8" s="118" t="s">
        <v>9572</v>
      </c>
      <c r="J8" s="334">
        <v>45784</v>
      </c>
      <c r="K8" s="334">
        <v>45789</v>
      </c>
      <c r="L8" s="118"/>
      <c r="M8" s="334">
        <v>45789</v>
      </c>
      <c r="N8" s="334">
        <v>45791</v>
      </c>
      <c r="O8" s="333">
        <f t="shared" si="2"/>
        <v>3</v>
      </c>
      <c r="P8" s="333" t="str">
        <f t="shared" si="3"/>
        <v/>
      </c>
      <c r="Q8" s="333">
        <f t="shared" si="0"/>
        <v>1</v>
      </c>
      <c r="R8" s="333">
        <f t="shared" si="1"/>
        <v>2</v>
      </c>
      <c r="S8" s="118" t="s">
        <v>150</v>
      </c>
      <c r="T8" s="349" t="b">
        <v>1</v>
      </c>
    </row>
    <row r="9" spans="1:20" ht="15">
      <c r="A9" s="118" t="s">
        <v>774</v>
      </c>
      <c r="B9" s="118" t="s">
        <v>316</v>
      </c>
      <c r="C9" s="118" t="s">
        <v>9573</v>
      </c>
      <c r="D9" s="118">
        <v>2025</v>
      </c>
      <c r="E9" s="118" t="s">
        <v>4933</v>
      </c>
      <c r="F9" s="118" t="s">
        <v>9566</v>
      </c>
      <c r="G9" s="118"/>
      <c r="H9" s="118" t="s">
        <v>9558</v>
      </c>
      <c r="I9" s="118" t="s">
        <v>9574</v>
      </c>
      <c r="J9" s="334">
        <v>45784</v>
      </c>
      <c r="K9" s="334">
        <v>45789</v>
      </c>
      <c r="L9" s="118"/>
      <c r="M9" s="334">
        <v>45789</v>
      </c>
      <c r="N9" s="334">
        <v>45791</v>
      </c>
      <c r="O9" s="333">
        <f t="shared" si="2"/>
        <v>3</v>
      </c>
      <c r="P9" s="333" t="str">
        <f t="shared" si="3"/>
        <v/>
      </c>
      <c r="Q9" s="333">
        <f t="shared" si="0"/>
        <v>1</v>
      </c>
      <c r="R9" s="333">
        <f t="shared" si="1"/>
        <v>2</v>
      </c>
      <c r="S9" s="118" t="s">
        <v>150</v>
      </c>
      <c r="T9" s="349" t="b">
        <v>1</v>
      </c>
    </row>
    <row r="10" spans="1:20" ht="15">
      <c r="A10" s="118" t="s">
        <v>774</v>
      </c>
      <c r="B10" s="118" t="s">
        <v>450</v>
      </c>
      <c r="C10" s="118" t="s">
        <v>9575</v>
      </c>
      <c r="D10" s="118">
        <v>2025</v>
      </c>
      <c r="E10" s="118" t="s">
        <v>4933</v>
      </c>
      <c r="F10" s="118" t="s">
        <v>9557</v>
      </c>
      <c r="G10" s="118"/>
      <c r="H10" s="118" t="s">
        <v>9558</v>
      </c>
      <c r="I10" s="118" t="s">
        <v>9576</v>
      </c>
      <c r="J10" s="334">
        <v>45783</v>
      </c>
      <c r="K10" s="334">
        <v>45790</v>
      </c>
      <c r="L10" s="118"/>
      <c r="M10" s="334">
        <v>45790</v>
      </c>
      <c r="N10" s="334">
        <v>45791</v>
      </c>
      <c r="O10" s="333">
        <f t="shared" si="2"/>
        <v>5</v>
      </c>
      <c r="P10" s="333" t="str">
        <f t="shared" si="3"/>
        <v/>
      </c>
      <c r="Q10" s="333">
        <f t="shared" si="0"/>
        <v>1</v>
      </c>
      <c r="R10" s="333">
        <f t="shared" si="1"/>
        <v>1</v>
      </c>
      <c r="S10" s="118" t="s">
        <v>150</v>
      </c>
      <c r="T10" s="349" t="b">
        <v>1</v>
      </c>
    </row>
    <row r="11" spans="1:20" ht="15">
      <c r="A11" s="118" t="s">
        <v>774</v>
      </c>
      <c r="B11" s="118" t="s">
        <v>722</v>
      </c>
      <c r="C11" s="118" t="s">
        <v>9577</v>
      </c>
      <c r="D11" s="118">
        <v>2025</v>
      </c>
      <c r="E11" s="118" t="s">
        <v>4933</v>
      </c>
      <c r="F11" s="118" t="s">
        <v>9557</v>
      </c>
      <c r="G11" s="118"/>
      <c r="H11" s="118" t="s">
        <v>9558</v>
      </c>
      <c r="I11" s="118" t="s">
        <v>9578</v>
      </c>
      <c r="J11" s="334">
        <v>45791</v>
      </c>
      <c r="K11" s="334">
        <v>45796</v>
      </c>
      <c r="L11" s="118"/>
      <c r="M11" s="334">
        <v>45796</v>
      </c>
      <c r="N11" s="334">
        <v>45797</v>
      </c>
      <c r="O11" s="333">
        <f t="shared" si="2"/>
        <v>3</v>
      </c>
      <c r="P11" s="333" t="str">
        <f t="shared" si="3"/>
        <v/>
      </c>
      <c r="Q11" s="333">
        <f t="shared" si="0"/>
        <v>1</v>
      </c>
      <c r="R11" s="333">
        <f t="shared" si="1"/>
        <v>1</v>
      </c>
      <c r="S11" s="118" t="s">
        <v>150</v>
      </c>
      <c r="T11" s="349" t="b">
        <v>1</v>
      </c>
    </row>
    <row r="12" spans="1:20" ht="15">
      <c r="A12" s="118" t="s">
        <v>774</v>
      </c>
      <c r="B12" s="118" t="s">
        <v>316</v>
      </c>
      <c r="C12" s="118" t="s">
        <v>9579</v>
      </c>
      <c r="D12" s="118">
        <v>2025</v>
      </c>
      <c r="E12" s="118" t="s">
        <v>9580</v>
      </c>
      <c r="F12" s="118" t="s">
        <v>9566</v>
      </c>
      <c r="G12" s="118"/>
      <c r="H12" s="118" t="s">
        <v>9558</v>
      </c>
      <c r="I12" s="118" t="s">
        <v>9581</v>
      </c>
      <c r="J12" s="334">
        <v>45811</v>
      </c>
      <c r="K12" s="334">
        <v>45815</v>
      </c>
      <c r="L12" s="118"/>
      <c r="M12" s="334">
        <v>45815</v>
      </c>
      <c r="N12" s="334">
        <v>45817</v>
      </c>
      <c r="O12" s="333">
        <f t="shared" si="2"/>
        <v>3</v>
      </c>
      <c r="P12" s="333" t="str">
        <f t="shared" si="3"/>
        <v/>
      </c>
      <c r="Q12" s="333">
        <f t="shared" si="0"/>
        <v>1</v>
      </c>
      <c r="R12" s="333">
        <f t="shared" si="1"/>
        <v>1</v>
      </c>
      <c r="S12" s="118" t="s">
        <v>150</v>
      </c>
      <c r="T12" s="349" t="b">
        <v>1</v>
      </c>
    </row>
    <row r="13" spans="1:20" ht="15">
      <c r="A13" s="118" t="s">
        <v>774</v>
      </c>
      <c r="B13" s="118" t="s">
        <v>722</v>
      </c>
      <c r="C13" s="118" t="s">
        <v>9560</v>
      </c>
      <c r="D13" s="118">
        <v>2025</v>
      </c>
      <c r="E13" s="118" t="s">
        <v>9580</v>
      </c>
      <c r="F13" s="118" t="s">
        <v>9557</v>
      </c>
      <c r="G13" s="118"/>
      <c r="H13" s="118" t="s">
        <v>9558</v>
      </c>
      <c r="I13" s="118" t="s">
        <v>9582</v>
      </c>
      <c r="J13" s="334">
        <v>45821</v>
      </c>
      <c r="K13" s="334">
        <v>45823</v>
      </c>
      <c r="L13" s="118"/>
      <c r="M13" s="334">
        <v>45824</v>
      </c>
      <c r="N13" s="334">
        <v>45825</v>
      </c>
      <c r="O13" s="333">
        <f t="shared" si="2"/>
        <v>1</v>
      </c>
      <c r="P13" s="333" t="str">
        <f t="shared" si="3"/>
        <v/>
      </c>
      <c r="Q13" s="333">
        <f t="shared" si="0"/>
        <v>1</v>
      </c>
      <c r="R13" s="333">
        <f t="shared" si="1"/>
        <v>1</v>
      </c>
      <c r="S13" s="118" t="s">
        <v>150</v>
      </c>
      <c r="T13" s="349" t="b">
        <v>1</v>
      </c>
    </row>
    <row r="14" spans="1:20" ht="15">
      <c r="A14" s="118" t="s">
        <v>774</v>
      </c>
      <c r="B14" s="118" t="s">
        <v>382</v>
      </c>
      <c r="C14" s="118" t="s">
        <v>9583</v>
      </c>
      <c r="D14" s="118">
        <v>2025</v>
      </c>
      <c r="E14" s="118" t="s">
        <v>9584</v>
      </c>
      <c r="F14" s="118" t="s">
        <v>9557</v>
      </c>
      <c r="G14" s="118"/>
      <c r="H14" s="118" t="s">
        <v>9558</v>
      </c>
      <c r="I14" s="118" t="s">
        <v>9585</v>
      </c>
      <c r="J14" s="334">
        <v>45939</v>
      </c>
      <c r="K14" s="334">
        <v>45942</v>
      </c>
      <c r="L14" s="118"/>
      <c r="M14" s="130">
        <v>45943</v>
      </c>
      <c r="N14" s="334">
        <v>45944</v>
      </c>
      <c r="O14" s="333">
        <f t="shared" ref="O14:P21" si="4">IF(
    OR(ISBLANK(J14), ISBLANK(K14)),
    "",
    MAX(1, IF(
        NETWORKDAYS(J14, K14) &lt;= 0,
        1,
        NETWORKDAYS(J14, K14) - IF(J14 = K14, 0, 1)
    ))
)</f>
        <v>1</v>
      </c>
      <c r="P14" s="333" t="str">
        <f t="shared" si="4"/>
        <v/>
      </c>
      <c r="Q14" s="333">
        <f t="shared" si="0"/>
        <v>1</v>
      </c>
      <c r="R14" s="333">
        <f t="shared" ref="R14:R21" si="5">IF(
    OR(ISBLANK(M14), ISBLANK(N14)),
    "",
    MAX(1, IF(
        NETWORKDAYS(M14, N14) &lt;= 0,
        1,
        NETWORKDAYS(M14, N14) - IF(M14 = N14, 0, 1)
    ))
)</f>
        <v>1</v>
      </c>
      <c r="S14" s="118" t="s">
        <v>150</v>
      </c>
      <c r="T14" s="349" t="b">
        <v>1</v>
      </c>
    </row>
    <row r="15" spans="1:20" ht="15">
      <c r="A15" s="118" t="s">
        <v>774</v>
      </c>
      <c r="B15" s="118" t="s">
        <v>175</v>
      </c>
      <c r="C15" s="118" t="s">
        <v>9586</v>
      </c>
      <c r="D15" s="118">
        <v>2025</v>
      </c>
      <c r="E15" s="118" t="s">
        <v>9587</v>
      </c>
      <c r="F15" s="118" t="s">
        <v>9566</v>
      </c>
      <c r="G15" s="118"/>
      <c r="H15" s="118" t="s">
        <v>9558</v>
      </c>
      <c r="I15" s="118" t="s">
        <v>9588</v>
      </c>
      <c r="J15" s="334">
        <v>45896</v>
      </c>
      <c r="K15" s="334">
        <v>45901</v>
      </c>
      <c r="L15" s="118"/>
      <c r="M15" s="334">
        <v>45901</v>
      </c>
      <c r="N15" s="334">
        <v>45902</v>
      </c>
      <c r="O15" s="333">
        <f t="shared" si="4"/>
        <v>3</v>
      </c>
      <c r="P15" s="333" t="str">
        <f t="shared" si="4"/>
        <v/>
      </c>
      <c r="Q15" s="333">
        <f t="shared" si="0"/>
        <v>1</v>
      </c>
      <c r="R15" s="333">
        <f t="shared" si="5"/>
        <v>1</v>
      </c>
      <c r="S15" s="118" t="s">
        <v>150</v>
      </c>
      <c r="T15" s="349" t="b">
        <v>1</v>
      </c>
    </row>
    <row r="16" spans="1:20" ht="15">
      <c r="A16" s="118" t="s">
        <v>774</v>
      </c>
      <c r="B16" s="118" t="s">
        <v>316</v>
      </c>
      <c r="C16" s="118" t="s">
        <v>9589</v>
      </c>
      <c r="D16" s="118">
        <v>2025</v>
      </c>
      <c r="E16" s="118" t="s">
        <v>9587</v>
      </c>
      <c r="F16" s="118" t="s">
        <v>9566</v>
      </c>
      <c r="G16" s="118"/>
      <c r="H16" s="118" t="s">
        <v>9558</v>
      </c>
      <c r="I16" s="118" t="s">
        <v>9590</v>
      </c>
      <c r="J16" s="334">
        <v>45902</v>
      </c>
      <c r="K16" s="334">
        <v>45908</v>
      </c>
      <c r="L16" s="118"/>
      <c r="M16" s="334">
        <v>45909</v>
      </c>
      <c r="N16" s="334">
        <v>45909</v>
      </c>
      <c r="O16" s="333">
        <f t="shared" si="4"/>
        <v>4</v>
      </c>
      <c r="P16" s="333" t="str">
        <f t="shared" si="4"/>
        <v/>
      </c>
      <c r="Q16" s="333">
        <f t="shared" si="0"/>
        <v>1</v>
      </c>
      <c r="R16" s="333">
        <f t="shared" si="5"/>
        <v>1</v>
      </c>
      <c r="S16" s="118" t="s">
        <v>150</v>
      </c>
      <c r="T16" s="349" t="b">
        <v>1</v>
      </c>
    </row>
    <row r="17" spans="1:20" ht="15">
      <c r="A17" s="118" t="s">
        <v>774</v>
      </c>
      <c r="B17" s="118" t="s">
        <v>175</v>
      </c>
      <c r="C17" s="118" t="s">
        <v>9591</v>
      </c>
      <c r="D17" s="118">
        <v>2025</v>
      </c>
      <c r="E17" s="118" t="s">
        <v>9584</v>
      </c>
      <c r="F17" s="118" t="s">
        <v>9566</v>
      </c>
      <c r="G17" s="118"/>
      <c r="H17" s="118" t="s">
        <v>9558</v>
      </c>
      <c r="I17" s="118" t="s">
        <v>9592</v>
      </c>
      <c r="J17" s="334">
        <v>45932</v>
      </c>
      <c r="K17" s="334">
        <v>45936</v>
      </c>
      <c r="L17" s="118"/>
      <c r="M17" s="334">
        <v>45936</v>
      </c>
      <c r="N17" s="334">
        <v>45940</v>
      </c>
      <c r="O17" s="333">
        <f t="shared" si="4"/>
        <v>2</v>
      </c>
      <c r="P17" s="333" t="str">
        <f t="shared" si="4"/>
        <v/>
      </c>
      <c r="Q17" s="333">
        <f t="shared" si="0"/>
        <v>1</v>
      </c>
      <c r="R17" s="333">
        <f t="shared" si="5"/>
        <v>4</v>
      </c>
      <c r="S17" s="118" t="s">
        <v>150</v>
      </c>
      <c r="T17" s="349" t="b">
        <v>1</v>
      </c>
    </row>
    <row r="18" spans="1:20" ht="15">
      <c r="A18" s="118" t="s">
        <v>774</v>
      </c>
      <c r="B18" s="118" t="s">
        <v>548</v>
      </c>
      <c r="C18" s="118" t="s">
        <v>9593</v>
      </c>
      <c r="D18" s="118">
        <v>2025</v>
      </c>
      <c r="E18" s="118" t="s">
        <v>9594</v>
      </c>
      <c r="F18" s="118" t="s">
        <v>9561</v>
      </c>
      <c r="G18" s="118"/>
      <c r="H18" s="118" t="s">
        <v>9558</v>
      </c>
      <c r="I18" s="118" t="s">
        <v>9595</v>
      </c>
      <c r="J18" s="334">
        <v>45847</v>
      </c>
      <c r="K18" s="334">
        <v>45852</v>
      </c>
      <c r="L18" s="118"/>
      <c r="M18" s="334">
        <v>45853</v>
      </c>
      <c r="N18" s="334">
        <v>45854</v>
      </c>
      <c r="O18" s="333">
        <f t="shared" si="4"/>
        <v>3</v>
      </c>
      <c r="P18" s="333" t="str">
        <f t="shared" si="4"/>
        <v/>
      </c>
      <c r="Q18" s="333">
        <f t="shared" si="0"/>
        <v>1</v>
      </c>
      <c r="R18" s="333">
        <f t="shared" si="5"/>
        <v>1</v>
      </c>
      <c r="S18" s="118" t="s">
        <v>150</v>
      </c>
      <c r="T18" s="349" t="b">
        <v>1</v>
      </c>
    </row>
    <row r="19" spans="1:20" ht="15">
      <c r="A19" s="118" t="s">
        <v>774</v>
      </c>
      <c r="B19" s="118" t="s">
        <v>548</v>
      </c>
      <c r="C19" s="118" t="s">
        <v>9596</v>
      </c>
      <c r="D19" s="118">
        <v>2025</v>
      </c>
      <c r="E19" s="118" t="s">
        <v>9594</v>
      </c>
      <c r="F19" s="118" t="s">
        <v>9561</v>
      </c>
      <c r="G19" s="118"/>
      <c r="H19" s="118" t="s">
        <v>9558</v>
      </c>
      <c r="I19" s="118" t="s">
        <v>9597</v>
      </c>
      <c r="J19" s="334">
        <v>45847</v>
      </c>
      <c r="K19" s="334">
        <v>45852</v>
      </c>
      <c r="L19" s="118"/>
      <c r="M19" s="334">
        <v>45853</v>
      </c>
      <c r="N19" s="334">
        <v>45854</v>
      </c>
      <c r="O19" s="333">
        <f t="shared" si="4"/>
        <v>3</v>
      </c>
      <c r="P19" s="333" t="str">
        <f t="shared" si="4"/>
        <v/>
      </c>
      <c r="Q19" s="333">
        <f t="shared" si="0"/>
        <v>1</v>
      </c>
      <c r="R19" s="333">
        <f t="shared" si="5"/>
        <v>1</v>
      </c>
      <c r="S19" s="118" t="s">
        <v>150</v>
      </c>
      <c r="T19" s="349" t="b">
        <v>1</v>
      </c>
    </row>
    <row r="20" spans="1:20" ht="15">
      <c r="A20" s="118" t="s">
        <v>774</v>
      </c>
      <c r="B20" s="118" t="s">
        <v>548</v>
      </c>
      <c r="C20" s="118" t="s">
        <v>9598</v>
      </c>
      <c r="D20" s="118">
        <v>2025</v>
      </c>
      <c r="E20" s="118" t="s">
        <v>9599</v>
      </c>
      <c r="F20" s="118" t="s">
        <v>9561</v>
      </c>
      <c r="G20" s="118"/>
      <c r="H20" s="118" t="s">
        <v>9558</v>
      </c>
      <c r="I20" s="118" t="s">
        <v>9600</v>
      </c>
      <c r="J20" s="334">
        <v>45876</v>
      </c>
      <c r="K20" s="130">
        <v>45880</v>
      </c>
      <c r="L20" s="118"/>
      <c r="M20" s="334">
        <v>45881</v>
      </c>
      <c r="N20" s="334">
        <v>45882</v>
      </c>
      <c r="O20" s="333">
        <f t="shared" si="4"/>
        <v>2</v>
      </c>
      <c r="P20" s="333" t="str">
        <f t="shared" si="4"/>
        <v/>
      </c>
      <c r="Q20" s="333">
        <f t="shared" si="0"/>
        <v>1</v>
      </c>
      <c r="R20" s="333">
        <f t="shared" si="5"/>
        <v>1</v>
      </c>
      <c r="S20" s="118" t="s">
        <v>150</v>
      </c>
      <c r="T20" s="349" t="b">
        <v>1</v>
      </c>
    </row>
    <row r="21" spans="1:20" ht="15">
      <c r="A21" s="118" t="s">
        <v>774</v>
      </c>
      <c r="B21" s="118" t="s">
        <v>548</v>
      </c>
      <c r="C21" s="118" t="s">
        <v>9601</v>
      </c>
      <c r="D21" s="118">
        <v>2025</v>
      </c>
      <c r="E21" s="118" t="s">
        <v>9584</v>
      </c>
      <c r="F21" s="118" t="s">
        <v>9561</v>
      </c>
      <c r="G21" s="118"/>
      <c r="H21" s="118" t="s">
        <v>9558</v>
      </c>
      <c r="I21" s="118" t="s">
        <v>9602</v>
      </c>
      <c r="J21" s="334">
        <v>45946</v>
      </c>
      <c r="K21" s="334">
        <v>45946</v>
      </c>
      <c r="L21" s="118"/>
      <c r="M21" s="334">
        <v>45948</v>
      </c>
      <c r="N21" s="334">
        <v>45950</v>
      </c>
      <c r="O21" s="333">
        <f t="shared" si="4"/>
        <v>1</v>
      </c>
      <c r="P21" s="333" t="str">
        <f t="shared" si="4"/>
        <v/>
      </c>
      <c r="Q21" s="333">
        <f t="shared" si="0"/>
        <v>1</v>
      </c>
      <c r="R21" s="333">
        <f t="shared" si="5"/>
        <v>1</v>
      </c>
      <c r="S21" s="118" t="s">
        <v>150</v>
      </c>
      <c r="T21" s="349" t="b">
        <v>1</v>
      </c>
    </row>
    <row r="33" spans="18:18" ht="18">
      <c r="R33" s="660"/>
    </row>
  </sheetData>
  <autoFilter ref="A1:T21" xr:uid="{0AC37750-10EA-4DC0-ACA2-9818002E3B64}">
    <sortState xmlns:xlrd2="http://schemas.microsoft.com/office/spreadsheetml/2017/richdata2" ref="A2:T21">
      <sortCondition ref="F1:F21"/>
    </sortState>
  </autoFilter>
  <dataValidations count="1">
    <dataValidation type="list" allowBlank="1" showInputMessage="1" showErrorMessage="1" sqref="A2:A1048576" xr:uid="{016BBB5F-C66D-4159-8820-BAACA5455385}">
      <formula1>"Aurora, Bataan, Bulacan, Nueva_Ecija, Pampanga, Tarlac, Zambales"</formula1>
    </dataValidation>
  </dataValidation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C49B0-01E5-4F84-890D-380699E2559F}">
  <sheetPr codeName="Sheet20"/>
  <dimension ref="A1:N84"/>
  <sheetViews>
    <sheetView workbookViewId="0">
      <selection activeCell="H36" sqref="H36:I36"/>
    </sheetView>
  </sheetViews>
  <sheetFormatPr defaultRowHeight="15"/>
  <cols>
    <col min="1" max="1" width="29.7109375" customWidth="1"/>
    <col min="2" max="2" width="34" customWidth="1"/>
    <col min="3" max="3" width="21.140625" customWidth="1"/>
    <col min="4" max="4" width="11.28515625" customWidth="1"/>
    <col min="5" max="5" width="22.5703125" customWidth="1"/>
    <col min="6" max="6" width="19.140625" customWidth="1"/>
    <col min="7" max="7" width="26.42578125" customWidth="1"/>
    <col min="8" max="8" width="13" customWidth="1"/>
  </cols>
  <sheetData>
    <row r="1" spans="1:9">
      <c r="A1" s="799" t="s">
        <v>9603</v>
      </c>
      <c r="B1" s="800"/>
      <c r="C1" s="800"/>
      <c r="D1" s="800"/>
      <c r="E1" s="800"/>
      <c r="F1" s="800"/>
      <c r="G1" s="800"/>
      <c r="H1" s="800"/>
      <c r="I1" s="800"/>
    </row>
    <row r="2" spans="1:9">
      <c r="A2" s="799"/>
      <c r="B2" s="800"/>
      <c r="C2" s="800"/>
      <c r="D2" s="800"/>
      <c r="E2" s="800"/>
      <c r="F2" s="800"/>
      <c r="G2" s="800"/>
      <c r="H2" s="800"/>
      <c r="I2" s="800"/>
    </row>
    <row r="3" spans="1:9" s="409" customFormat="1" ht="15.75">
      <c r="A3" s="412" t="s">
        <v>9604</v>
      </c>
      <c r="B3" s="413" t="s">
        <v>3125</v>
      </c>
      <c r="C3" s="413" t="s">
        <v>3126</v>
      </c>
      <c r="D3" s="413" t="s">
        <v>3127</v>
      </c>
      <c r="E3" s="413" t="s">
        <v>3128</v>
      </c>
      <c r="F3" s="413" t="s">
        <v>3129</v>
      </c>
      <c r="G3" s="416" t="s">
        <v>9605</v>
      </c>
      <c r="H3" s="801" t="s">
        <v>9606</v>
      </c>
      <c r="I3" s="801"/>
    </row>
    <row r="4" spans="1:9" ht="15.75">
      <c r="A4" s="410" t="s">
        <v>9607</v>
      </c>
      <c r="B4" s="411">
        <f>COUNTIFS('BRGY TECHNICAL ASISSTANCE'!$W:$W, "Received by Planning", 'BRGY TECHNICAL ASISSTANCE'!$J:$J, "July", 'BRGY TECHNICAL ASISSTANCE'!$N:$N, "&lt;&gt;")</f>
        <v>76</v>
      </c>
      <c r="C4" s="411">
        <f>COUNTIFS('BRGY TECHNICAL ASISSTANCE'!$W:$W, "Received by Planning", 'BRGY TECHNICAL ASISSTANCE'!$J:$J, "August", 'BRGY TECHNICAL ASISSTANCE'!$N:$N, "&lt;&gt;")</f>
        <v>129</v>
      </c>
      <c r="D4" s="411">
        <f>COUNTIFS('BRGY TECHNICAL ASISSTANCE'!$W:$W, "Received by Planning", 'BRGY TECHNICAL ASISSTANCE'!$J:$J, "September", 'BRGY TECHNICAL ASISSTANCE'!$N:$N, "&lt;&gt;")</f>
        <v>131</v>
      </c>
      <c r="E4" s="411">
        <f>COUNTIFS('BRGY TECHNICAL ASISSTANCE'!$W:$W, "Received by Planning", 'BRGY TECHNICAL ASISSTANCE'!$J:$J, "October", 'BRGY TECHNICAL ASISSTANCE'!$N:$N, "&lt;&gt;")</f>
        <v>122</v>
      </c>
      <c r="F4" s="411">
        <f>COUNTIFS('BRGY TECHNICAL ASISSTANCE'!$W:$W, "Received by Planning", 'BRGY TECHNICAL ASISSTANCE'!$J:$J, "November", 'BRGY TECHNICAL ASISSTANCE'!$N:$N, "&lt;&gt;")</f>
        <v>53</v>
      </c>
      <c r="G4" s="417">
        <f>COUNTIFS('BRGY TECHNICAL ASISSTANCE'!$W:$W, "Received by Planning", 'BRGY TECHNICAL ASISSTANCE'!$J:$J, "December", 'BRGY TECHNICAL ASISSTANCE'!$N:$N, "&lt;&gt;")</f>
        <v>0</v>
      </c>
      <c r="H4" s="801">
        <f t="shared" ref="H4:H11" si="0">SUM(B4:G4)</f>
        <v>511</v>
      </c>
      <c r="I4" s="801"/>
    </row>
    <row r="5" spans="1:9" ht="15.75">
      <c r="A5" s="410" t="s">
        <v>9</v>
      </c>
      <c r="B5" s="411">
        <f>COUNTIFS(RCA!$W:$W, "Received by Planning", RCA!$I:$I, "7.July", RCA!$M:$M, "&lt;&gt;")</f>
        <v>1</v>
      </c>
      <c r="C5" s="411">
        <f>COUNTIFS(RCA!$W:$W, "Received by Planning", RCA!$I:$I, "8.August", RCA!$M:$M, "&lt;&gt;")</f>
        <v>1</v>
      </c>
      <c r="D5" s="411">
        <f>COUNTIFS(RCA!$W:$W, "Received by Planning", RCA!$I:$I, "9.September", RCA!$M:$M, "&lt;&gt;")</f>
        <v>3</v>
      </c>
      <c r="E5" s="411">
        <f>COUNTIFS(RCA!$W:$W, "Received by Planning", RCA!$I:$I, "10.October", RCA!$M:$M, "&lt;&gt;")</f>
        <v>1</v>
      </c>
      <c r="F5" s="411">
        <f>COUNTIFS(RCA!$W:$W, "Received by Planning", RCA!$I:$I, "11.November", RCA!$M:$M, "&lt;&gt;")</f>
        <v>1</v>
      </c>
      <c r="G5" s="417">
        <f>COUNTIFS(RCA!$W:$W, "Received by Planning", RCA!$I:$I, "12.December", RCA!$M:$M, "&lt;&gt;")</f>
        <v>0</v>
      </c>
      <c r="H5" s="801">
        <f t="shared" si="0"/>
        <v>7</v>
      </c>
      <c r="I5" s="801"/>
    </row>
    <row r="6" spans="1:9" ht="15.75">
      <c r="A6" s="410" t="s">
        <v>9608</v>
      </c>
      <c r="B6" s="411">
        <f>COUNTIFS('BARANGAY ACCESS'!$V:$V, "Received by Planning", 'BARANGAY ACCESS'!$H:$H, "July", 'BARANGAY ACCESS'!$L:$L, "&lt;&gt;")</f>
        <v>139</v>
      </c>
      <c r="C6" s="411">
        <f>COUNTIFS('BARANGAY ACCESS'!$V:$V, "Received by Planning", 'BARANGAY ACCESS'!$H:$H, "August", 'BARANGAY ACCESS'!$L:$L, "&lt;&gt;")</f>
        <v>250</v>
      </c>
      <c r="D6" s="411">
        <f>COUNTIFS('BARANGAY ACCESS'!$V:$V, "Received by Planning", 'BARANGAY ACCESS'!$H:$H, "September", 'BARANGAY ACCESS'!$L:$L, "&lt;&gt;")</f>
        <v>241</v>
      </c>
      <c r="E6" s="411">
        <f>COUNTIFS('BARANGAY ACCESS'!$V:$V, "Received by Planning", 'BARANGAY ACCESS'!$H:$H, "October", 'BARANGAY ACCESS'!$L:$L, "&lt;&gt;")</f>
        <v>284</v>
      </c>
      <c r="F6" s="411">
        <f>COUNTIFS('BARANGAY ACCESS'!$V:$V, "Received by Planning", 'BARANGAY ACCESS'!$H:$H, "November", 'BARANGAY ACCESS'!$L:$L, "&lt;&gt;")</f>
        <v>93</v>
      </c>
      <c r="G6" s="417">
        <f>COUNTIFS('BARANGAY ACCESS'!$V:$V, "Received by Planning", 'BARANGAY ACCESS'!$H:$H, "December", 'BARANGAY ACCESS'!$L:$L, "&lt;&gt;")</f>
        <v>0</v>
      </c>
      <c r="H6" s="801">
        <f t="shared" si="0"/>
        <v>1007</v>
      </c>
      <c r="I6" s="801"/>
    </row>
    <row r="7" spans="1:9" ht="15.75">
      <c r="A7" s="410" t="s">
        <v>45</v>
      </c>
      <c r="B7" s="411">
        <f>COUNTIFS('PDS 2nd Sem'!$AD:$AD, "Received by Planning", 'PDS 2nd Sem'!$P:$P, "7.July", 'PDS 2nd Sem'!$T:$T, "&lt;&gt;")</f>
        <v>0</v>
      </c>
      <c r="C7" s="411">
        <f>COUNTIFS('PDS 2nd Sem'!$AD:$AD, "Received by Planning", 'PDS 2nd Sem'!$P:$P, "8.August", 'PDS 2nd Sem'!$T:$T, "&lt;&gt;")</f>
        <v>5</v>
      </c>
      <c r="D7" s="411">
        <f>COUNTIFS('PDS 2nd Sem'!$AD:$AD, "Received by Planning", 'PDS 2nd Sem'!$P:$P, "9.September", 'PDS 2nd Sem'!$T:$T, "&lt;&gt;")</f>
        <v>6</v>
      </c>
      <c r="E7" s="411">
        <f>COUNTIFS('PDS 2nd Sem'!$AD:$AD, "Received by Planning", 'PDS 2nd Sem'!$P:$P, "10.October", 'PDS 2nd Sem'!$T:$T, "&lt;&gt;")</f>
        <v>5</v>
      </c>
      <c r="F7" s="411">
        <f>COUNTIFS('PDS 2nd Sem'!$AD:$AD, "Received by Planning", 'PDS 2nd Sem'!$P:$P, "11.November", 'PDS 2nd Sem'!$T:$T, "&lt;&gt;")</f>
        <v>5</v>
      </c>
      <c r="G7" s="417">
        <f>COUNTIFS('PDS 2nd Sem'!$AD:$AD, "Received by Planning", 'PDS 2nd Sem'!$P:$P, "12.December", 'PDS 2nd Sem'!$T:$T, "&lt;&gt;")</f>
        <v>0</v>
      </c>
      <c r="H7" s="801">
        <f t="shared" si="0"/>
        <v>21</v>
      </c>
      <c r="I7" s="801"/>
    </row>
    <row r="8" spans="1:9" ht="15.75">
      <c r="A8" s="410" t="s">
        <v>9609</v>
      </c>
      <c r="B8" s="411">
        <f>COUNTIFS('BRGY SWM PROGRAM'!$S:$S, "Received by Planning", 'BRGY SWM PROGRAM'!$E:$E, "JULY", 'BRGY SWM PROGRAM'!$T:$T, "TRUE", 'BRGY SWM PROGRAM'!$I:$I, "&lt;&gt;")</f>
        <v>2</v>
      </c>
      <c r="C8" s="411">
        <f>COUNTIFS('BRGY SWM PROGRAM'!$S:$S, "Received by Planning", 'BRGY SWM PROGRAM'!$E:$E, "AUGUST", 'BRGY SWM PROGRAM'!$T:$T, "TRUE", 'BRGY SWM PROGRAM'!$I:$I, "&lt;&gt;")</f>
        <v>1</v>
      </c>
      <c r="D8" s="411">
        <f>COUNTIFS('BRGY SWM PROGRAM'!$S:$S, "Received by Planning", 'BRGY SWM PROGRAM'!$E:$E, "SEPTEMBER", 'BRGY SWM PROGRAM'!$T:$T, "TRUE", 'BRGY SWM PROGRAM'!$I:$I, "&lt;&gt;")</f>
        <v>2</v>
      </c>
      <c r="E8" s="411">
        <f>COUNTIFS('BRGY SWM PROGRAM'!$S:$S, "Received by Planning", 'BRGY SWM PROGRAM'!$E:$E, "OCTOBER", 'BRGY SWM PROGRAM'!$T:$T, "TRUE", 'BRGY SWM PROGRAM'!$I:$I, "&lt;&gt;")</f>
        <v>3</v>
      </c>
      <c r="F8" s="411">
        <f>COUNTIFS('BRGY SWM PROGRAM'!$S:$S, "Received by Planning", 'BRGY SWM PROGRAM'!$E:$E, "NOVEMBER", 'BRGY SWM PROGRAM'!$T:$T, "TRUE", 'BRGY SWM PROGRAM'!$I:$I, "&lt;&gt;")</f>
        <v>0</v>
      </c>
      <c r="G8" s="417">
        <f>COUNTIFS('BRGY SWM PROGRAM'!$S:$S, "Received by Planning", 'BRGY SWM PROGRAM'!$E:$E, "DECEMBER", 'BRGY SWM PROGRAM'!$T:$T, "TRUE", 'BRGY SWM PROGRAM'!$I:$I, "&lt;&gt;")</f>
        <v>0</v>
      </c>
      <c r="H8" s="801">
        <f t="shared" si="0"/>
        <v>8</v>
      </c>
      <c r="I8" s="801"/>
    </row>
    <row r="9" spans="1:9" ht="15.75">
      <c r="A9" s="410" t="s">
        <v>47</v>
      </c>
      <c r="B9" s="411">
        <f>COUNTIFS('TRANSFER STATION'!$W:$W, "Received by Planning", 'TRANSFER STATION'!$I:$I, "7.July", 'TRANSFER STATION'!$M:$M, "&lt;&gt;")</f>
        <v>3</v>
      </c>
      <c r="C9" s="411">
        <f>COUNTIFS('TRANSFER STATION'!$W:$W, "Received by Planning", 'TRANSFER STATION'!$I:$I, "8.August", 'TRANSFER STATION'!$M:$M, "&lt;&gt;")</f>
        <v>6</v>
      </c>
      <c r="D9" s="411">
        <f>COUNTIFS('TRANSFER STATION'!$W:$W, "Received by Planning", 'TRANSFER STATION'!$I:$I, "9.September", 'TRANSFER STATION'!$M:$M, "&lt;&gt;")</f>
        <v>3</v>
      </c>
      <c r="E9" s="411">
        <f>COUNTIFS('TRANSFER STATION'!$W:$W, "Received by Planning", 'TRANSFER STATION'!$I:$I, "10.October", 'TRANSFER STATION'!$M:$M, "&lt;&gt;")</f>
        <v>6</v>
      </c>
      <c r="F9" s="411">
        <f>COUNTIFS('TRANSFER STATION'!$W:$W, "Received by Planning", 'TRANSFER STATION'!$I:$I, "11.November", 'TRANSFER STATION'!$M:$M, "&lt;&gt;")</f>
        <v>4</v>
      </c>
      <c r="G9" s="417">
        <f>COUNTIFS('TRANSFER STATION'!$W:$W, "Received by Planning", 'TRANSFER STATION'!$I:$I, "12.December", 'TRANSFER STATION'!$M:$M, "&lt;&gt;")</f>
        <v>0</v>
      </c>
      <c r="H9" s="801">
        <f t="shared" si="0"/>
        <v>22</v>
      </c>
      <c r="I9" s="801"/>
    </row>
    <row r="10" spans="1:9" ht="15.75">
      <c r="A10" s="410" t="s">
        <v>46</v>
      </c>
      <c r="B10" s="411">
        <f>COUNTIFS('TRASH TRAP 2nd Sem'!$W:$W, "Received by Planning", 'TRASH TRAP 2nd Sem'!$I:$I, "July", 'TRASH TRAP 2nd Sem'!$M:$M, "&lt;&gt;")</f>
        <v>8</v>
      </c>
      <c r="C10" s="411">
        <f>COUNTIFS('TRASH TRAP 2nd Sem'!$W:$W, "Received by Planning", 'TRASH TRAP 2nd Sem'!$I:$I, "August", 'TRASH TRAP 2nd Sem'!$M:$M, "&lt;&gt;")</f>
        <v>35</v>
      </c>
      <c r="D10" s="411">
        <f>COUNTIFS('TRASH TRAP 2nd Sem'!$W:$W, "Received by Planning", 'TRASH TRAP 2nd Sem'!$I:$I, "September", 'TRASH TRAP 2nd Sem'!$M:$M, "&lt;&gt;")</f>
        <v>35</v>
      </c>
      <c r="E10" s="411">
        <f>COUNTIFS('TRASH TRAP 2nd Sem'!$W:$W, "Received by Planning", 'TRASH TRAP 2nd Sem'!$I:$I, "October", 'TRASH TRAP 2nd Sem'!$M:$M, "&lt;&gt;")</f>
        <v>36</v>
      </c>
      <c r="F10" s="411">
        <f>COUNTIFS('TRASH TRAP 2nd Sem'!$W:$W, "Received by Planning", 'TRASH TRAP 2nd Sem'!$I:$I, "November", 'TRASH TRAP 2nd Sem'!$M:$M, "&lt;&gt;")</f>
        <v>29</v>
      </c>
      <c r="G10" s="417">
        <f>COUNTIFS('TRASH TRAP 2nd Sem'!$W:$W, "Received by Planning", 'TRASH TRAP 2nd Sem'!$I:$I, "December", 'TRASH TRAP 2nd Sem'!$M:$M, "&lt;&gt;")</f>
        <v>0</v>
      </c>
      <c r="H10" s="801">
        <f t="shared" si="0"/>
        <v>143</v>
      </c>
      <c r="I10" s="801"/>
    </row>
    <row r="11" spans="1:9" ht="15.75">
      <c r="A11" s="410" t="s">
        <v>9610</v>
      </c>
      <c r="B11" s="411">
        <f>COUNTIFS('LGU ACCESS TO SLF'!$T:$T, "Received by Planning", 'LGU ACCESS TO SLF'!$F:$F, "July", 'LGU ACCESS TO SLF'!$J:$J, "&lt;&gt;")</f>
        <v>7</v>
      </c>
      <c r="C11" s="411">
        <f>COUNTIFS('LGU ACCESS TO SLF'!$T:$T, "Received by Planning", 'LGU ACCESS TO SLF'!$F:$F, "August", 'LGU ACCESS TO SLF'!$J:$J, "&lt;&gt;")</f>
        <v>5</v>
      </c>
      <c r="D11" s="411">
        <f>COUNTIFS('LGU ACCESS TO SLF'!$T:$T, "Received by Planning", 'LGU ACCESS TO SLF'!$F:$F, "September", 'LGU ACCESS TO SLF'!$J:$J, "&lt;&gt;")</f>
        <v>7</v>
      </c>
      <c r="E11" s="411">
        <f>COUNTIFS('LGU ACCESS TO SLF'!$T:$T, "Received by Planning", 'LGU ACCESS TO SLF'!$F:$F, "October", 'LGU ACCESS TO SLF'!$J:$J, "&lt;&gt;")</f>
        <v>7</v>
      </c>
      <c r="F11" s="411">
        <f>COUNTIFS('LGU ACCESS TO SLF'!$T:$T, "Received by Planning", 'LGU ACCESS TO SLF'!$F:$F, "November", 'LGU ACCESS TO SLF'!$J:$J, "&lt;&gt;")</f>
        <v>5</v>
      </c>
      <c r="G11" s="417">
        <f>COUNTIFS('LGU ACCESS TO SLF'!$T:$T, "Received by Planning", 'LGU ACCESS TO SLF'!$F:$F, "December", 'LGU ACCESS TO SLF'!$J:$J, "&lt;&gt;")</f>
        <v>0</v>
      </c>
      <c r="H11" s="801">
        <f t="shared" si="0"/>
        <v>31</v>
      </c>
      <c r="I11" s="801"/>
    </row>
    <row r="13" spans="1:9" ht="31.5" customHeight="1">
      <c r="A13" s="796" t="s">
        <v>9608</v>
      </c>
      <c r="B13" s="796"/>
      <c r="C13" s="796"/>
      <c r="D13" s="796"/>
      <c r="E13" s="796"/>
      <c r="F13" s="796"/>
      <c r="G13" s="796"/>
      <c r="H13" s="796"/>
      <c r="I13" s="796"/>
    </row>
    <row r="14" spans="1:9" ht="31.5" customHeight="1">
      <c r="A14" s="796"/>
      <c r="B14" s="796"/>
      <c r="C14" s="796"/>
      <c r="D14" s="796"/>
      <c r="E14" s="796"/>
      <c r="F14" s="796"/>
      <c r="G14" s="796"/>
      <c r="H14" s="796"/>
      <c r="I14" s="796"/>
    </row>
    <row r="15" spans="1:9">
      <c r="A15" s="397" t="str" cm="1">
        <f t="array" ref="A15:A22">_xlfn.UNIQUE('BARANGAY ACCESS'!W:W)</f>
        <v>Type of Facility</v>
      </c>
      <c r="B15" s="397" t="s">
        <v>3399</v>
      </c>
      <c r="C15" s="397"/>
      <c r="D15" s="397"/>
      <c r="E15" s="397"/>
      <c r="F15" s="397"/>
      <c r="G15" s="397"/>
      <c r="H15" s="397"/>
      <c r="I15" s="397"/>
    </row>
    <row r="16" spans="1:9">
      <c r="A16" s="1" t="str">
        <v>MRS</v>
      </c>
      <c r="B16" s="1"/>
      <c r="C16" s="393" t="s">
        <v>4</v>
      </c>
      <c r="D16" s="393" t="s">
        <v>1078</v>
      </c>
      <c r="E16" s="393" t="s">
        <v>3527</v>
      </c>
      <c r="F16" s="393" t="s">
        <v>7840</v>
      </c>
      <c r="G16" s="393" t="s">
        <v>7929</v>
      </c>
      <c r="H16" s="393" t="s">
        <v>7874</v>
      </c>
      <c r="I16" s="393" t="s">
        <v>9606</v>
      </c>
    </row>
    <row r="17" spans="1:9">
      <c r="A17" s="1">
        <v>0</v>
      </c>
      <c r="B17" s="1" t="s">
        <v>57</v>
      </c>
      <c r="C17" s="393">
        <f>COUNTIFS('BARANGAY ACCESS'!$V:$V, "Received by Planning", 'BARANGAY ACCESS'!$W:$W, "MRF", 'BARANGAY ACCESS'!$X:$X, "NON-OPERATIONAL", 'BARANGAY ACCESS'!$L:$L, "&lt;&gt;")</f>
        <v>65</v>
      </c>
      <c r="D17" s="393">
        <f>COUNTIFS('BARANGAY ACCESS'!$V:$V, "Received by Planning", 'BARANGAY ACCESS'!$W:$W, "MRS", 'BARANGAY ACCESS'!$X:$X, "NON-OPERATIONAL", 'BARANGAY ACCESS'!$L:$L, "&lt;&gt;")</f>
        <v>69</v>
      </c>
      <c r="E17" s="393">
        <f>COUNTIFS('BARANGAY ACCESS'!$V:$V, "Received by Planning", 'BARANGAY ACCESS'!$W:$W, "NO FACILITY", 'BARANGAY ACCESS'!$X:$X, "NON-OPERATIONAL", 'BARANGAY ACCESS'!$L:$L, "&lt;&gt;")</f>
        <v>0</v>
      </c>
      <c r="F17" s="393">
        <f>COUNTIFS('BARANGAY ACCESS'!$V:$V, "Received by Planning", 'BARANGAY ACCESS'!$W:$W, "CLUSTERING", 'BARANGAY ACCESS'!$X:$X, "NON-OPERATIONAL", 'BARANGAY ACCESS'!$L:$L, "&lt;&gt;")</f>
        <v>0</v>
      </c>
      <c r="G17" s="393">
        <f>COUNTIFS('BARANGAY ACCESS'!$V:$V, "Received by Planning", 'BARANGAY ACCESS'!$W:$W, "MRS/Clustering", 'BARANGAY ACCESS'!$X:$X, "NON-OPERATIONAL", 'BARANGAY ACCESS'!$L:$L, "&lt;&gt;")</f>
        <v>0</v>
      </c>
      <c r="H17" s="393">
        <f>COUNTIFS('BARANGAY ACCESS'!$V:$V, "Received by Planning", 'BARANGAY ACCESS'!$W:$W, "MRF and MRS", 'BARANGAY ACCESS'!$X:$X, "NON-OPERATIONAL", 'BARANGAY ACCESS'!$L:$L, "&lt;&gt;")</f>
        <v>0</v>
      </c>
      <c r="I17" s="393">
        <f>SUM(C17:H17)</f>
        <v>134</v>
      </c>
    </row>
    <row r="18" spans="1:9">
      <c r="A18" s="1" t="str">
        <v>MRF</v>
      </c>
      <c r="B18" s="1" t="s">
        <v>50</v>
      </c>
      <c r="C18" s="393">
        <f>COUNTIFS('BARANGAY ACCESS'!$V:$V, "Received by Planning", 'BARANGAY ACCESS'!$W:$W, "MRF", 'BARANGAY ACCESS'!$X:$X, "OPERATIONAL", 'BARANGAY ACCESS'!$L:$L, "&lt;&gt;")</f>
        <v>444</v>
      </c>
      <c r="D18" s="393">
        <f>COUNTIFS('BARANGAY ACCESS'!$V:$V, "Received by Planning", 'BARANGAY ACCESS'!$W:$W, "MRS", 'BARANGAY ACCESS'!$X:$X, "OPERATIONAL", 'BARANGAY ACCESS'!$L:$L, "&lt;&gt;")</f>
        <v>796</v>
      </c>
      <c r="E18" s="393">
        <f>COUNTIFS('BARANGAY ACCESS'!$V:$V, "Received by Planning", 'BARANGAY ACCESS'!$W:$W, "NO FACILITY", 'BARANGAY ACCESS'!$X:$X, "OPERATIONAL", 'BARANGAY ACCESS'!$L:$L, "&lt;&gt;")</f>
        <v>0</v>
      </c>
      <c r="F18" s="393">
        <f>COUNTIFS('BARANGAY ACCESS'!$V:$V, "Received by Planning", 'BARANGAY ACCESS'!$W:$W, "CLUSTERING", 'BARANGAY ACCESS'!$X:$X, "operational", 'BARANGAY ACCESS'!$L:$L, "&lt;&gt;")</f>
        <v>0</v>
      </c>
      <c r="G18" s="393">
        <f>COUNTIFS('BARANGAY ACCESS'!$V:$V, "Received by Planning", 'BARANGAY ACCESS'!$W:$W, "MRS/Clustering", 'BARANGAY ACCESS'!$X:$X, "OPERATIONAL", 'BARANGAY ACCESS'!$L:$L, "&lt;&gt;")</f>
        <v>2</v>
      </c>
      <c r="H18" s="393">
        <f>COUNTIFS('BARANGAY ACCESS'!$V:$V, "Received by Planning", 'BARANGAY ACCESS'!$W:$W, "MRF and MRS", 'BARANGAY ACCESS'!$X:$X, "OPERATIONAL", 'BARANGAY ACCESS'!$L:$L, "&lt;&gt;")</f>
        <v>0</v>
      </c>
      <c r="I18" s="393">
        <f t="shared" ref="I18:I23" si="1">SUM(C18:H18)</f>
        <v>1242</v>
      </c>
    </row>
    <row r="19" spans="1:9">
      <c r="A19" s="1" t="str">
        <v>NO FACILITY</v>
      </c>
      <c r="B19" s="1" t="s">
        <v>3528</v>
      </c>
      <c r="C19" s="393">
        <f>COUNTIFS('BARANGAY ACCESS'!$V:$V, "Received by Planning", 'BARANGAY ACCESS'!$W:$W, "MRF", 'BARANGAY ACCESS'!$X:$X, "CATER VY LGU", 'BARANGAY ACCESS'!$L:$L, "&lt;&gt;")</f>
        <v>0</v>
      </c>
      <c r="D19" s="393">
        <f>COUNTIFS('BARANGAY ACCESS'!$V:$V, "Received by Planning", 'BARANGAY ACCESS'!$W:$W, "MRS", 'BARANGAY ACCESS'!$X:$X, "CATER BY LGU", 'BARANGAY ACCESS'!$L:$L, "&lt;&gt;")</f>
        <v>31</v>
      </c>
      <c r="E19" s="393">
        <f>COUNTIFS('BARANGAY ACCESS'!$V:$V, "Received by Planning", 'BARANGAY ACCESS'!$W:$W, "NO FACILITY", 'BARANGAY ACCESS'!$X:$X, "CATER BY LGU", 'BARANGAY ACCESS'!$L:$L, "&lt;&gt;")</f>
        <v>281</v>
      </c>
      <c r="F19" s="393">
        <f>COUNTIFS('BARANGAY ACCESS'!$V:$V, "Received by Planning", 'BARANGAY ACCESS'!$W:$W, "CLUSTERING", 'BARANGAY ACCESS'!$X:$X, "CATER BY LGU", 'BARANGAY ACCESS'!$L:$L, "&lt;&gt;")</f>
        <v>4</v>
      </c>
      <c r="G19" s="393">
        <f>COUNTIFS('BARANGAY ACCESS'!$V:$V, "Received by Planning", 'BARANGAY ACCESS'!$W:$W, "MRS/Clustering", 'BARANGAY ACCESS'!$X:$X, "CATER BY LGU", 'BARANGAY ACCESS'!$L:$L, "&lt;&gt;")</f>
        <v>5</v>
      </c>
      <c r="H19" s="393">
        <f>COUNTIFS('BARANGAY ACCESS'!$V:$V, "Received by Planning", 'BARANGAY ACCESS'!$W:$W, "MRF and MRS", 'BARANGAY ACCESS'!$X:$X, "CATER BY LGU", 'BARANGAY ACCESS'!$L:$L, "&lt;&gt;")</f>
        <v>0</v>
      </c>
      <c r="I19" s="393">
        <f t="shared" si="1"/>
        <v>321</v>
      </c>
    </row>
    <row r="20" spans="1:9">
      <c r="A20" s="1" t="str">
        <v>Clustering</v>
      </c>
      <c r="B20" s="1" t="s">
        <v>8925</v>
      </c>
      <c r="C20" s="393">
        <f>COUNTIFS('BARANGAY ACCESS'!$V:$V, "Received by Planning", 'BARANGAY ACCESS'!$W:$W, "MRF", 'BARANGAY ACCESS'!$X:$X, "UNDER CONSTRUCTION", 'BARANGAY ACCESS'!$L:$L, "&lt;&gt;")</f>
        <v>18</v>
      </c>
      <c r="D20" s="393">
        <f>COUNTIFS('BARANGAY ACCESS'!$V:$V, "Received by Planning", 'BARANGAY ACCESS'!$W:$W, "MRS", 'BARANGAY ACCESS'!$X:$X, "UNDER CONSTRUCTION", 'BARANGAY ACCESS'!$L:$L, "&lt;&gt;")</f>
        <v>0</v>
      </c>
      <c r="E20" s="393">
        <f>COUNTIFS('BARANGAY ACCESS'!$V:$V, "Received by Planning", 'BARANGAY ACCESS'!$W:$W, "NO FACILITY", 'BARANGAY ACCESS'!$X:$X, "UNER CONSTRUCTION", 'BARANGAY ACCESS'!$L:$L, "&lt;&gt;")</f>
        <v>0</v>
      </c>
      <c r="F20" s="393">
        <f>COUNTIFS('BARANGAY ACCESS'!$V:$V, "Received by Planning", 'BARANGAY ACCESS'!$W:$W, "CLUSTERING", 'BARANGAY ACCESS'!$X:$X, "UNDER CONSTRUCTION", 'BARANGAY ACCESS'!$L:$L, "&lt;&gt;")</f>
        <v>0</v>
      </c>
      <c r="G20" s="393">
        <f>COUNTIFS('BARANGAY ACCESS'!$V:$V, "Received by Planning", 'BARANGAY ACCESS'!$W:$W, "MRS/Clustering", 'BARANGAY ACCESS'!$X:$X, "UNDER CONSTRUCTION", 'BARANGAY ACCESS'!$L:$L, "&lt;&gt;")</f>
        <v>0</v>
      </c>
      <c r="H20" s="393">
        <f>COUNTIFS('BARANGAY ACCESS'!$V:$V, "Received by Planning", 'BARANGAY ACCESS'!$W:$W, "MRF and MRS", 'BARANGAY ACCESS'!$X:$X, "UNDER CONSTRUCTION", 'BARANGAY ACCESS'!$L:$L, "&lt;&gt;")</f>
        <v>0</v>
      </c>
      <c r="I20" s="393">
        <f t="shared" si="1"/>
        <v>18</v>
      </c>
    </row>
    <row r="21" spans="1:9">
      <c r="A21" s="1" t="str">
        <v>MRF and MRS</v>
      </c>
      <c r="B21" s="1" t="s">
        <v>9611</v>
      </c>
      <c r="C21" s="393">
        <f>COUNTIFS('BARANGAY ACCESS'!$V:$V, "Received by Planning", 'BARANGAY ACCESS'!$W:$W, "MRF", 'BARANGAY ACCESS'!$X:$X, "Not Applicable", 'BARANGAY ACCESS'!$L:$L, "&lt;&gt;")</f>
        <v>0</v>
      </c>
      <c r="D21" s="393">
        <f>COUNTIFS('BARANGAY ACCESS'!$V:$V, "Received by Planning", 'BARANGAY ACCESS'!$W:$W, "MRS", 'BARANGAY ACCESS'!$X:$X, "Not applicable", 'BARANGAY ACCESS'!$L:$L, "&lt;&gt;")</f>
        <v>0</v>
      </c>
      <c r="E21" s="393">
        <f>COUNTIFS('BARANGAY ACCESS'!$V:$V, "Received by Planning", 'BARANGAY ACCESS'!$W:$W, "NO FACILITY", 'BARANGAY ACCESS'!$X:$X, "Not Applicable", 'BARANGAY ACCESS'!$L:$L, "&lt;&gt;")</f>
        <v>0</v>
      </c>
      <c r="F21" s="393">
        <f>COUNTIFS('BARANGAY ACCESS'!$V:$V, "Received by Planning", 'BARANGAY ACCESS'!$W:$W, "CLUSTERING", 'BARANGAY ACCESS'!$X:$X, "Not applicable", 'BARANGAY ACCESS'!$L:$L, "&lt;&gt;")</f>
        <v>0</v>
      </c>
      <c r="G21" s="393">
        <f>COUNTIFS('BARANGAY ACCESS'!$V:$V, "Received by Planning", 'BARANGAY ACCESS'!$W:$W, "MRS/Clustering", 'BARANGAY ACCESS'!$X:$X, "Not applicable", 'BARANGAY ACCESS'!$L:$L, "&lt;&gt;")</f>
        <v>0</v>
      </c>
      <c r="H21" s="393">
        <f>COUNTIFS('BARANGAY ACCESS'!$V:$V, "Received by Planning", 'BARANGAY ACCESS'!$W:$W, "MRF and MRS", 'BARANGAY ACCESS'!$X:$X, "Not applicable", 'BARANGAY ACCESS'!$L:$L, "&lt;&gt;")</f>
        <v>0</v>
      </c>
      <c r="I21" s="393">
        <f t="shared" si="1"/>
        <v>0</v>
      </c>
    </row>
    <row r="22" spans="1:9">
      <c r="A22" s="1" t="str">
        <v>MRS/Clustering</v>
      </c>
      <c r="B22" s="1" t="s">
        <v>9612</v>
      </c>
      <c r="C22" s="393">
        <f>COUNTIFS('BARANGAY ACCESS'!$V:$V, "Received by Planning", 'BARANGAY ACCESS'!$W:$W, "MRF", 'BARANGAY ACCESS'!$X:$X, "MRF - not operational Mrs - operational", 'BARANGAY ACCESS'!$L:$L, "&lt;&gt;")</f>
        <v>0</v>
      </c>
      <c r="D22" s="393">
        <f>COUNTIFS('BARANGAY ACCESS'!$V:$V, "Received by Planning", 'BARANGAY ACCESS'!$W:$W, "MRS", 'BARANGAY ACCESS'!$X:$X, "MRF - not operational Mrs - operational", 'BARANGAY ACCESS'!$L:$L, "&lt;&gt;")</f>
        <v>0</v>
      </c>
      <c r="E22" s="393">
        <f>COUNTIFS('BARANGAY ACCESS'!$V:$V, "Received by Planning", 'BARANGAY ACCESS'!$W:$W, "NO FACILITY", 'BARANGAY ACCESS'!$X:$X, "MRF - not operational Mrs - operational", 'BARANGAY ACCESS'!$L:$L, "&lt;&gt;")</f>
        <v>0</v>
      </c>
      <c r="F22" s="393">
        <f>COUNTIFS('BARANGAY ACCESS'!$V:$V, "Received by Planning", 'BARANGAY ACCESS'!$W:$W, "CLUSTERING", 'BARANGAY ACCESS'!$X:$X, "MRF - not operational Mrs - operational", 'BARANGAY ACCESS'!$L:$L, "&lt;&gt;")</f>
        <v>0</v>
      </c>
      <c r="G22" s="393">
        <f>COUNTIFS('BARANGAY ACCESS'!$V:$V, "Received by Planning", 'BARANGAY ACCESS'!$W:$W, "MRS/Clustering", 'BARANGAY ACCESS'!$X:$X, "MRF - not operational Mrs - operational", 'BARANGAY ACCESS'!$L:$L, "&lt;&gt;")</f>
        <v>0</v>
      </c>
      <c r="H22" s="393">
        <f>COUNTIFS('BARANGAY ACCESS'!$V:$V, "Received by Planning", 'BARANGAY ACCESS'!$W:$W, "MRF and MRS", 'BARANGAY ACCESS'!$X:$X, "MRF - not operational
MRS - operational", 'BARANGAY ACCESS'!$L:$L, "&lt;&gt;")</f>
        <v>2</v>
      </c>
      <c r="I22" s="393">
        <f t="shared" si="1"/>
        <v>2</v>
      </c>
    </row>
    <row r="23" spans="1:9">
      <c r="A23" s="414"/>
      <c r="B23" s="1" t="s">
        <v>9613</v>
      </c>
      <c r="C23" s="393">
        <f>COUNTIFS('BARANGAY ACCESS'!$V:$V, "Received by Planning", 'BARANGAY ACCESS'!$W:$W, "MRF", 'BARANGAY ACCESS'!$X:$X, "Disposal to SLF", 'BARANGAY ACCESS'!$L:$L, "&lt;&gt;")</f>
        <v>0</v>
      </c>
      <c r="D23" s="393">
        <f>COUNTIFS('BARANGAY ACCESS'!$V:$V, "Received by Planning", 'BARANGAY ACCESS'!$W:$W, "MRS", 'BARANGAY ACCESS'!$X:$X, "Disposal to SLF", 'BARANGAY ACCESS'!$L:$L, "&lt;&gt;")</f>
        <v>0</v>
      </c>
      <c r="E23" s="393">
        <f>COUNTIFS('BARANGAY ACCESS'!$V:$V, "Received by Planning", 'BARANGAY ACCESS'!$W:$W, "NO FACILITY", 'BARANGAY ACCESS'!$X:$X, "Disposal to SLF", 'BARANGAY ACCESS'!$L:$L, "&lt;&gt;")</f>
        <v>0</v>
      </c>
      <c r="F23" s="393">
        <f>COUNTIFS('BARANGAY ACCESS'!$V:$V, "Received by Planning", 'BARANGAY ACCESS'!$W:$W, "CLUSTERING", 'BARANGAY ACCESS'!$X:$X, "Disposal to SLF", 'BARANGAY ACCESS'!$L:$L, "&lt;&gt;")</f>
        <v>0</v>
      </c>
      <c r="G23" s="393">
        <f>COUNTIFS('BARANGAY ACCESS'!$V:$V, "Received by Planning", 'BARANGAY ACCESS'!$W:$W, "MRS/Clustering", 'BARANGAY ACCESS'!$X:$X, "Disposal to SLF", 'BARANGAY ACCESS'!$L:$L, "&lt;&gt;")</f>
        <v>0</v>
      </c>
      <c r="H23" s="393">
        <f>COUNTIFS('BARANGAY ACCESS'!$V:$V, "Received by Planning", 'BARANGAY ACCESS'!$W:$W, "MRF and MRS", 'BARANGAY ACCESS'!$X:$X, "Disposal to SLF", 'BARANGAY ACCESS'!$L:$L, "&lt;&gt;")</f>
        <v>0</v>
      </c>
      <c r="I23" s="393">
        <f t="shared" si="1"/>
        <v>0</v>
      </c>
    </row>
    <row r="24" spans="1:9">
      <c r="A24" s="414"/>
      <c r="B24" s="414" t="s">
        <v>9606</v>
      </c>
      <c r="C24" s="393">
        <f>SUM(C17:C23)</f>
        <v>527</v>
      </c>
      <c r="D24" s="393">
        <f t="shared" ref="D24:H24" si="2">SUM(D17:D23)</f>
        <v>896</v>
      </c>
      <c r="E24" s="393">
        <f t="shared" si="2"/>
        <v>281</v>
      </c>
      <c r="F24" s="393">
        <f t="shared" si="2"/>
        <v>4</v>
      </c>
      <c r="G24" s="393">
        <f t="shared" si="2"/>
        <v>7</v>
      </c>
      <c r="H24" s="393">
        <f t="shared" si="2"/>
        <v>2</v>
      </c>
      <c r="I24" s="393">
        <f>SUM(C24:H24)</f>
        <v>1717</v>
      </c>
    </row>
    <row r="26" spans="1:9">
      <c r="A26" s="797" t="s">
        <v>9607</v>
      </c>
      <c r="B26" s="797"/>
      <c r="C26" s="797"/>
      <c r="D26" s="797"/>
      <c r="E26" s="797"/>
      <c r="F26" s="797"/>
      <c r="G26" s="797"/>
      <c r="H26" s="797"/>
      <c r="I26" s="797"/>
    </row>
    <row r="27" spans="1:9">
      <c r="A27" s="798"/>
      <c r="B27" s="798"/>
      <c r="C27" s="798"/>
      <c r="D27" s="798"/>
      <c r="E27" s="798"/>
      <c r="F27" s="798"/>
      <c r="G27" s="798"/>
      <c r="H27" s="798"/>
      <c r="I27" s="798"/>
    </row>
    <row r="28" spans="1:9">
      <c r="A28" s="1" t="str" cm="1">
        <f t="array" ref="A28:A32">_xlfn.UNIQUE('BRGY TECHNICAL ASISSTANCE'!X:X)</f>
        <v>Type of Facility</v>
      </c>
      <c r="B28" s="1"/>
      <c r="C28" s="393" t="s">
        <v>4</v>
      </c>
      <c r="D28" s="393" t="s">
        <v>1078</v>
      </c>
      <c r="E28" s="393" t="s">
        <v>9614</v>
      </c>
      <c r="F28" s="393" t="s">
        <v>3527</v>
      </c>
      <c r="G28" s="415" t="s">
        <v>9615</v>
      </c>
      <c r="H28" s="794" t="s">
        <v>9606</v>
      </c>
      <c r="I28" s="795"/>
    </row>
    <row r="29" spans="1:9">
      <c r="A29" s="1" t="str">
        <v>MRF</v>
      </c>
      <c r="B29" s="1" t="s">
        <v>50</v>
      </c>
      <c r="C29" s="393">
        <f>COUNTIFS('BRGY TECHNICAL ASISSTANCE'!$W:$W, "Received by Planning", 'BRGY TECHNICAL ASISSTANCE'!$X:$X, "MRF", 'BRGY TECHNICAL ASISSTANCE'!$Y:$Y, "OPERATIONAL", 'BRGY TECHNICAL ASISSTANCE'!$N:$N, "&lt;&gt;")</f>
        <v>252</v>
      </c>
      <c r="D29" s="393">
        <f>COUNTIFS('BRGY TECHNICAL ASISSTANCE'!$W:$W, "Received by Planning", 'BRGY TECHNICAL ASISSTANCE'!$X:$X, "MRS", 'BRGY TECHNICAL ASISSTANCE'!$Y:$Y, "OPERATIONAL", 'BRGY TECHNICAL ASISSTANCE'!$N:$N, "&lt;&gt;")</f>
        <v>447</v>
      </c>
      <c r="E29" s="393">
        <f>COUNTIFS('BRGY TECHNICAL ASISSTANCE'!$W:$W, "Received by Planning", 'BRGY TECHNICAL ASISSTANCE'!$X:$X, "MRF/MRS", 'BRGY TECHNICAL ASISSTANCE'!$Y:$Y, "OPERATIONAL", 'BRGY TECHNICAL ASISSTANCE'!$N:$N, "&lt;&gt;")</f>
        <v>0</v>
      </c>
      <c r="F29" s="393">
        <f>COUNTIFS('BRGY TECHNICAL ASISSTANCE'!$W:$W, "Received by Planning", 'BRGY TECHNICAL ASISSTANCE'!$X:$X, "NO FACILITY", 'BRGY TECHNICAL ASISSTANCE'!$Y:$Y, "OPERATIONAL", 'BRGY TECHNICAL ASISSTANCE'!$N:$N, "&lt;&gt;")</f>
        <v>0</v>
      </c>
      <c r="G29" s="393">
        <f>COUNTIFS('BRGY TECHNICAL ASISSTANCE'!$W:$W, "Received by Planning", 'BRGY TECHNICAL ASISSTANCE'!$X:$X, "CLUSTERING", 'BRGY TECHNICAL ASISSTANCE'!$Y:$Y, "OPERATIONAL", 'BRGY TECHNICAL ASISSTANCE'!$N:$N, "&lt;&gt;")</f>
        <v>0</v>
      </c>
      <c r="H29" s="794">
        <f t="shared" ref="H29:H36" si="3">SUM(C29:G29)</f>
        <v>699</v>
      </c>
      <c r="I29" s="795"/>
    </row>
    <row r="30" spans="1:9">
      <c r="A30" s="1" t="str">
        <v>MRS</v>
      </c>
      <c r="B30" s="1"/>
      <c r="C30" s="393"/>
      <c r="D30" s="393"/>
      <c r="E30" s="393"/>
      <c r="F30" s="393"/>
      <c r="G30" s="393"/>
      <c r="H30" s="794">
        <f t="shared" si="3"/>
        <v>0</v>
      </c>
      <c r="I30" s="795"/>
    </row>
    <row r="31" spans="1:9">
      <c r="A31" s="1">
        <v>0</v>
      </c>
      <c r="B31" s="1" t="s">
        <v>9613</v>
      </c>
      <c r="C31" s="393">
        <f>COUNTIFS('BRGY TECHNICAL ASISSTANCE'!$W:$W, "Received by Planning", 'BRGY TECHNICAL ASISSTANCE'!$X:$X, "MRF", 'BRGY TECHNICAL ASISSTANCE'!$Y:$Y, "Disposal to SLF", 'BRGY TECHNICAL ASISSTANCE'!$N:$N, "&lt;&gt;")</f>
        <v>0</v>
      </c>
      <c r="D31" s="393">
        <f>COUNTIFS('BRGY TECHNICAL ASISSTANCE'!$W:$W, "Received by Planning", 'BRGY TECHNICAL ASISSTANCE'!$X:$X, "MRS", 'BRGY TECHNICAL ASISSTANCE'!$Y:$Y, "Disposal to SLF", 'BRGY TECHNICAL ASISSTANCE'!$N:$N, "&lt;&gt;")</f>
        <v>0</v>
      </c>
      <c r="E31" s="393">
        <f>COUNTIFS('BRGY TECHNICAL ASISSTANCE'!$W:$W, "Received by Planning", 'BRGY TECHNICAL ASISSTANCE'!$X:$X, "MRF/MRS", 'BRGY TECHNICAL ASISSTANCE'!$Y:$Y, "Disposal to SLF", 'BRGY TECHNICAL ASISSTANCE'!$N:$N, "&lt;&gt;")</f>
        <v>0</v>
      </c>
      <c r="F31" s="393">
        <f>COUNTIFS('BRGY TECHNICAL ASISSTANCE'!$W:$W, "Received by Planning", 'BRGY TECHNICAL ASISSTANCE'!$X:$X, "NO FACILITY", 'BRGY TECHNICAL ASISSTANCE'!$Y:$Y, "Disposal to SLF", 'BRGY TECHNICAL ASISSTANCE'!$N:$N, "&lt;&gt;")</f>
        <v>0</v>
      </c>
      <c r="G31" s="393">
        <f>COUNTIFS('BRGY TECHNICAL ASISSTANCE'!$W:$W, "Received by Planning", 'BRGY TECHNICAL ASISSTANCE'!$X:$X, "CLUSTERING", 'BRGY TECHNICAL ASISSTANCE'!$Y:$Y, "Disposal to SLF", 'BRGY TECHNICAL ASISSTANCE'!$N:$N, "&lt;&gt;")</f>
        <v>0</v>
      </c>
      <c r="H31" s="794">
        <f t="shared" si="3"/>
        <v>0</v>
      </c>
      <c r="I31" s="795"/>
    </row>
    <row r="32" spans="1:9">
      <c r="A32" s="1" t="str">
        <v>NO FACILITY</v>
      </c>
      <c r="B32" s="1" t="s">
        <v>57</v>
      </c>
      <c r="C32" s="393">
        <f>COUNTIFS('BRGY TECHNICAL ASISSTANCE'!$W:$W, "Received by Planning", 'BRGY TECHNICAL ASISSTANCE'!$X:$X, "MRF", 'BRGY TECHNICAL ASISSTANCE'!$Y:$Y, "NON-OPERATIONAL", 'BRGY TECHNICAL ASISSTANCE'!$N:$N, "&lt;&gt;")</f>
        <v>34</v>
      </c>
      <c r="D32" s="393">
        <f>COUNTIFS('BRGY TECHNICAL ASISSTANCE'!$W:$W, "Received by Planning", 'BRGY TECHNICAL ASISSTANCE'!$X:$X, "MRS", 'BRGY TECHNICAL ASISSTANCE'!$Y:$Y, "NON-OPERATIONAL", 'BRGY TECHNICAL ASISSTANCE'!$N:$N, "&lt;&gt;")</f>
        <v>26</v>
      </c>
      <c r="E32" s="393">
        <f>COUNTIFS('BRGY TECHNICAL ASISSTANCE'!$W:$W, "Received by Planning", 'BRGY TECHNICAL ASISSTANCE'!$X:$X, "MRF/MRS", 'BRGY TECHNICAL ASISSTANCE'!$Y:$Y, "NON-OPERATIONAL", 'BRGY TECHNICAL ASISSTANCE'!$N:$N, "&lt;&gt;")</f>
        <v>0</v>
      </c>
      <c r="F32" s="393">
        <f>COUNTIFS('BRGY TECHNICAL ASISSTANCE'!$W:$W, "Received by Planning", 'BRGY TECHNICAL ASISSTANCE'!$X:$X, "NO FACILITY", 'BRGY TECHNICAL ASISSTANCE'!$Y:$Y, "NON-OPERATIONAL", 'BRGY TECHNICAL ASISSTANCE'!$N:$N, "&lt;&gt;")</f>
        <v>0</v>
      </c>
      <c r="G32" s="393">
        <f>COUNTIFS('BRGY TECHNICAL ASISSTANCE'!$W:$W, "Received by Planning", 'BRGY TECHNICAL ASISSTANCE'!$X:$X, "CLUSTERING", 'BRGY TECHNICAL ASISSTANCE'!$Y:$Y, "NON-OPERATIONAL", 'BRGY TECHNICAL ASISSTANCE'!$N:$N, "&lt;&gt;")</f>
        <v>0</v>
      </c>
      <c r="H32" s="794">
        <f t="shared" si="3"/>
        <v>60</v>
      </c>
      <c r="I32" s="795"/>
    </row>
    <row r="33" spans="1:10">
      <c r="A33" s="1"/>
      <c r="B33" s="1" t="s">
        <v>3528</v>
      </c>
      <c r="C33" s="393">
        <f>COUNTIFS('BRGY TECHNICAL ASISSTANCE'!$W:$W, "Received by Planning", 'BRGY TECHNICAL ASISSTANCE'!$X:$X, "MRF", 'BRGY TECHNICAL ASISSTANCE'!$Y:$Y, "CATER BY LGU", 'BRGY TECHNICAL ASISSTANCE'!$N:$N, "&lt;&gt;")</f>
        <v>0</v>
      </c>
      <c r="D33" s="393">
        <f>COUNTIFS('BRGY TECHNICAL ASISSTANCE'!$W:$W, "Received by Planning", 'BRGY TECHNICAL ASISSTANCE'!$X:$X, "MRS", 'BRGY TECHNICAL ASISSTANCE'!$Y:$Y, "CATER BY LGU", 'BRGY TECHNICAL ASISSTANCE'!$N:$N, "&lt;&gt;")</f>
        <v>23</v>
      </c>
      <c r="E33" s="393">
        <f>COUNTIFS('BRGY TECHNICAL ASISSTANCE'!$W:$W, "Received by Planning", 'BRGY TECHNICAL ASISSTANCE'!$X:$X, "MRF/MRS", 'BRGY TECHNICAL ASISSTANCE'!$Y:$Y, "CATER BY LGU", 'BRGY TECHNICAL ASISSTANCE'!$N:$N, "&lt;&gt;")</f>
        <v>0</v>
      </c>
      <c r="F33" s="393">
        <f>COUNTIFS('BRGY TECHNICAL ASISSTANCE'!$W:$W, "Received by Planning", 'BRGY TECHNICAL ASISSTANCE'!$X:$X, "NO FACILITY", 'BRGY TECHNICAL ASISSTANCE'!$Y:$Y, "CATER BY LGU", 'BRGY TECHNICAL ASISSTANCE'!$N:$N, "&lt;&gt;")</f>
        <v>195</v>
      </c>
      <c r="G33" s="393">
        <f>COUNTIFS('BRGY TECHNICAL ASISSTANCE'!$W:$W, "Received by Planning", 'BRGY TECHNICAL ASISSTANCE'!$X:$X, "CLUSTERING", 'BRGY TECHNICAL ASISSTANCE'!$Y:$Y, "CATER BY LGU", 'BRGY TECHNICAL ASISSTANCE'!$N:$N, "&lt;&gt;")</f>
        <v>0</v>
      </c>
      <c r="H33" s="794">
        <f t="shared" si="3"/>
        <v>218</v>
      </c>
      <c r="I33" s="795"/>
    </row>
    <row r="34" spans="1:10">
      <c r="A34" s="1"/>
      <c r="B34" s="1" t="s">
        <v>9611</v>
      </c>
      <c r="C34" s="393">
        <f>COUNTIFS('BRGY TECHNICAL ASISSTANCE'!$W:$W, "Received by Planning", 'BRGY TECHNICAL ASISSTANCE'!$X:$X, "MRF", 'BRGY TECHNICAL ASISSTANCE'!$Y:$Y, "Not applicable", 'BRGY TECHNICAL ASISSTANCE'!$N:$N, "&lt;&gt;")</f>
        <v>0</v>
      </c>
      <c r="D34" s="393">
        <f>COUNTIFS('BRGY TECHNICAL ASISSTANCE'!$W:$W, "Received by Planning", 'BRGY TECHNICAL ASISSTANCE'!$X:$X, "MRS", 'BRGY TECHNICAL ASISSTANCE'!$Y:$Y, "Not applicable", 'BRGY TECHNICAL ASISSTANCE'!$N:$N, "&lt;&gt;")</f>
        <v>0</v>
      </c>
      <c r="E34" s="393">
        <f>COUNTIFS('BRGY TECHNICAL ASISSTANCE'!$W:$W, "Received by Planning", 'BRGY TECHNICAL ASISSTANCE'!$X:$X, "MRF/MRS", 'BRGY TECHNICAL ASISSTANCE'!$Y:$Y, "Not applicable", 'BRGY TECHNICAL ASISSTANCE'!$N:$N, "&lt;&gt;")</f>
        <v>0</v>
      </c>
      <c r="F34" s="393">
        <f>COUNTIFS('BRGY TECHNICAL ASISSTANCE'!$W:$W, "Received by Planning", 'BRGY TECHNICAL ASISSTANCE'!$X:$X, "NO FACILITY", 'BRGY TECHNICAL ASISSTANCE'!$Y:$Y, "Not applicable", 'BRGY TECHNICAL ASISSTANCE'!$N:$N, "&lt;&gt;")</f>
        <v>0</v>
      </c>
      <c r="G34" s="393">
        <f>COUNTIFS('BRGY TECHNICAL ASISSTANCE'!$W:$W, "Received by Planning", 'BRGY TECHNICAL ASISSTANCE'!$X:$X, "CLUSTERING", 'BRGY TECHNICAL ASISSTANCE'!$Y:$Y, "Not applicable", 'BRGY TECHNICAL ASISSTANCE'!$N:$N, "&lt;&gt;")</f>
        <v>0</v>
      </c>
      <c r="H34" s="794">
        <f t="shared" si="3"/>
        <v>0</v>
      </c>
      <c r="I34" s="795"/>
    </row>
    <row r="35" spans="1:10">
      <c r="A35" s="1"/>
      <c r="B35" s="1" t="s">
        <v>8925</v>
      </c>
      <c r="C35" s="393">
        <f>COUNTIFS('BRGY TECHNICAL ASISSTANCE'!$W:$W, "Received by Planning", 'BRGY TECHNICAL ASISSTANCE'!$X:$X, "MRF", 'BRGY TECHNICAL ASISSTANCE'!$Y:$Y, "UNDER CONSTRUCTION", 'BRGY TECHNICAL ASISSTANCE'!$N:$N, "&lt;&gt;")</f>
        <v>9</v>
      </c>
      <c r="D35" s="393">
        <f>COUNTIFS('BRGY TECHNICAL ASISSTANCE'!$W:$W, "Received by Planning", 'BRGY TECHNICAL ASISSTANCE'!$X:$X, "MRS", 'BRGY TECHNICAL ASISSTANCE'!$Y:$Y, "UNDER CONSTRUCTION", 'BRGY TECHNICAL ASISSTANCE'!$N:$N, "&lt;&gt;")</f>
        <v>0</v>
      </c>
      <c r="E35" s="393">
        <f>COUNTIFS('BRGY TECHNICAL ASISSTANCE'!$W:$W, "Received by Planning", 'BRGY TECHNICAL ASISSTANCE'!$X:$X, "MRF/MRS", 'BRGY TECHNICAL ASISSTANCE'!$Y:$Y, "UNDER CONSTRUCTION", 'BRGY TECHNICAL ASISSTANCE'!$N:$N, "&lt;&gt;")</f>
        <v>0</v>
      </c>
      <c r="F35" s="393">
        <f>COUNTIFS('BRGY TECHNICAL ASISSTANCE'!$W:$W, "Received by Planning", 'BRGY TECHNICAL ASISSTANCE'!$X:$X, "NO FACILITY", 'BRGY TECHNICAL ASISSTANCE'!$Y:$Y, "UNDER CONSTRUCTION", 'BRGY TECHNICAL ASISSTANCE'!$N:$N, "&lt;&gt;")</f>
        <v>0</v>
      </c>
      <c r="G35" s="393">
        <f>COUNTIFS('BRGY TECHNICAL ASISSTANCE'!$W:$W, "Received by Planning", 'BRGY TECHNICAL ASISSTANCE'!$X:$X, "CLUSTERING", 'BRGY TECHNICAL ASISSTANCE'!$Y:$Y, "UNDER CONSTRUCTION", 'BRGY TECHNICAL ASISSTANCE'!$N:$N, "&lt;&gt;")</f>
        <v>0</v>
      </c>
      <c r="H35" s="794">
        <f t="shared" si="3"/>
        <v>9</v>
      </c>
      <c r="I35" s="795"/>
    </row>
    <row r="36" spans="1:10">
      <c r="A36" s="1"/>
      <c r="B36" s="414" t="s">
        <v>9606</v>
      </c>
      <c r="C36" s="393">
        <f>SUM(C29:C35)</f>
        <v>295</v>
      </c>
      <c r="D36" s="393">
        <f>SUM(D29:D35)</f>
        <v>496</v>
      </c>
      <c r="E36" s="393">
        <f>SUM(E29:E35)</f>
        <v>0</v>
      </c>
      <c r="F36" s="393">
        <f>SUM(F29:F35)</f>
        <v>195</v>
      </c>
      <c r="G36" s="393">
        <f>SUM(G29:G35)</f>
        <v>0</v>
      </c>
      <c r="H36" s="794">
        <f t="shared" si="3"/>
        <v>986</v>
      </c>
      <c r="I36" s="795"/>
      <c r="J36">
        <f>H36-13</f>
        <v>973</v>
      </c>
    </row>
    <row r="38" spans="1:10" ht="31.5">
      <c r="A38" s="793" t="s">
        <v>9616</v>
      </c>
      <c r="B38" s="793"/>
      <c r="C38" s="793"/>
      <c r="D38" s="418"/>
      <c r="E38" s="793" t="s">
        <v>9617</v>
      </c>
      <c r="F38" s="793"/>
      <c r="G38" s="793"/>
    </row>
    <row r="39" spans="1:10" ht="31.5">
      <c r="A39" s="793"/>
      <c r="B39" s="793"/>
      <c r="C39" s="793"/>
      <c r="D39" s="418"/>
      <c r="E39" s="793"/>
      <c r="F39" s="793"/>
      <c r="G39" s="793"/>
    </row>
    <row r="40" spans="1:10">
      <c r="A40" s="391" t="s">
        <v>50</v>
      </c>
      <c r="B40" s="391" t="s">
        <v>57</v>
      </c>
      <c r="C40" s="391" t="s">
        <v>9618</v>
      </c>
      <c r="E40" s="391" t="s">
        <v>50</v>
      </c>
      <c r="F40" s="391" t="s">
        <v>57</v>
      </c>
      <c r="G40" s="391" t="s">
        <v>9618</v>
      </c>
    </row>
    <row r="41" spans="1:10">
      <c r="A41" s="19">
        <f>COUNTIFS('TRASH TRAP 2nd Sem'!$W:$W, "Received by Planning", 'TRASH TRAP 2nd Sem'!$X:$X, "OPERATIONAL", 'TRASH TRAP 2nd Sem'!$M:$M, "&lt;&gt;")</f>
        <v>77</v>
      </c>
      <c r="B41" s="19">
        <f>COUNTIFS('TRASH TRAP 2nd Sem'!$W:$W, "Received by Planning", 'TRASH TRAP 2nd Sem'!$X:$X, "NON-OPERATIONAL", 'TRASH TRAP 2nd Sem'!$M:$M, "&lt;&gt;")</f>
        <v>66</v>
      </c>
      <c r="C41" s="19">
        <f>COUNTIFS('TRASH TRAP 2nd Sem'!$W:$W, "Received by Planning", 'TRASH TRAP 2nd Sem'!$X:$X, "NON-OPERATIONAL", 'TRASH TRAP 2nd Sem'!$AE:$AE, "&lt;&gt;", 'TRASH TRAP 2nd Sem'!$M:$M, "&lt;&gt;")</f>
        <v>29</v>
      </c>
      <c r="D41" s="20"/>
      <c r="E41" s="19">
        <f>COUNTIFS('TRASH TRAP 1st Sem'!$W:$W, "Received by Planning", 'TRASH TRAP 1st Sem'!$X:$X, "OPERATIONAL", 'TRASH TRAP 1st Sem'!$M:$M, "&lt;&gt;")</f>
        <v>93</v>
      </c>
      <c r="F41" s="19">
        <f>COUNTIFS('TRASH TRAP 1st Sem'!$W:$W, "Received by Planning", 'TRASH TRAP 1st Sem'!$X:$X, "non-OPERATIONAL", 'TRASH TRAP 1st Sem'!$M:$M, "&lt;&gt;")</f>
        <v>47</v>
      </c>
      <c r="G41" s="19">
        <f>COUNTIFS('TRASH TRAP 1st Sem'!$W:$W, "Received by Planning", 'TRASH TRAP 1st Sem'!$X:$X, "non-OPERATIONAL", 'TRASH TRAP 1st Sem'!$AE:$AE, "&lt;&gt;", 'TRASH TRAP 1st Sem'!$M:$M, "&lt;&gt;")</f>
        <v>14</v>
      </c>
    </row>
    <row r="46" spans="1:10">
      <c r="A46" s="802" t="s">
        <v>9603</v>
      </c>
      <c r="B46" s="802"/>
      <c r="C46" s="802"/>
      <c r="D46" s="802"/>
      <c r="E46" s="802"/>
      <c r="F46" s="802"/>
      <c r="G46" s="802"/>
      <c r="H46" s="802"/>
      <c r="I46" s="802"/>
    </row>
    <row r="47" spans="1:10">
      <c r="A47" s="802"/>
      <c r="B47" s="802"/>
      <c r="C47" s="802"/>
      <c r="D47" s="802"/>
      <c r="E47" s="802"/>
      <c r="F47" s="802"/>
      <c r="G47" s="802"/>
      <c r="H47" s="802"/>
      <c r="I47" s="802"/>
    </row>
    <row r="48" spans="1:10" ht="15.75">
      <c r="A48" s="412" t="s">
        <v>9604</v>
      </c>
      <c r="B48" s="413" t="s">
        <v>3125</v>
      </c>
      <c r="C48" s="413" t="s">
        <v>3126</v>
      </c>
      <c r="D48" s="413" t="s">
        <v>3127</v>
      </c>
      <c r="E48" s="413" t="s">
        <v>3128</v>
      </c>
      <c r="F48" s="413" t="s">
        <v>3129</v>
      </c>
      <c r="G48" s="416" t="s">
        <v>9605</v>
      </c>
      <c r="H48" s="803" t="s">
        <v>9606</v>
      </c>
      <c r="I48" s="803"/>
    </row>
    <row r="49" spans="1:14" ht="15.75">
      <c r="A49" s="641" t="s">
        <v>9619</v>
      </c>
      <c r="B49" s="642">
        <f>SUM(B50:B51)</f>
        <v>13</v>
      </c>
      <c r="C49" s="642">
        <f t="shared" ref="C49:G49" si="4">SUM(C50:C51)</f>
        <v>13</v>
      </c>
      <c r="D49" s="642">
        <f t="shared" si="4"/>
        <v>13</v>
      </c>
      <c r="E49" s="642">
        <f t="shared" si="4"/>
        <v>13</v>
      </c>
      <c r="F49" s="642">
        <f t="shared" si="4"/>
        <v>12</v>
      </c>
      <c r="G49" s="642">
        <f t="shared" si="4"/>
        <v>0</v>
      </c>
      <c r="H49" s="804">
        <f t="shared" ref="H49:H56" si="5">SUM(B49:G49)</f>
        <v>64</v>
      </c>
      <c r="I49" s="804"/>
    </row>
    <row r="50" spans="1:14" ht="15.75">
      <c r="A50" s="639" t="s">
        <v>9620</v>
      </c>
      <c r="B50" s="19">
        <f>COUNTIFS('10-YEAR SWM PLAN'!$AC:$AC, "Ma. Erlinda H. Eugenio",
          '10-YEAR SWM PLAN'!$S:$S, "&lt;&gt;",
          '10-YEAR SWM PLAN'!$O:$O, "7.July",
          '10-YEAR SWM PLAN'!$D:$D, "MBA")
+
COUNTIFS('10-YEAR SWM PLAN'!$AC:$AC, "Marshalle Julluice V. Catua",
          '10-YEAR SWM PLAN'!$S:$S, "&lt;&gt;",
          '10-YEAR SWM PLAN'!$O:$O, "7.July",
          '10-YEAR SWM PLAN'!$D:$D, "MBA")
+
COUNTIFS('10-YEAR SWM PLAN'!$AC:$AC, "Received by Planning",
          '10-YEAR SWM PLAN'!$S:$S, "&lt;&gt;",
          '10-YEAR SWM PLAN'!$O:$O, "7.July",
          '10-YEAR SWM PLAN'!$D:$D, "MBA")</f>
        <v>9</v>
      </c>
      <c r="C50" s="19">
        <f>COUNTIFS('10-YEAR SWM PLAN'!$AC:$AC, "Ma. Erlinda H. Eugenio",
          '10-YEAR SWM PLAN'!$S:$S, "&lt;&gt;",
          '10-YEAR SWM PLAN'!$O:$O, "8.aUGUST",
          '10-YEAR SWM PLAN'!$D:$D, "MBA")
+
COUNTIFS('10-YEAR SWM PLAN'!$AC:$AC, "Marshalle Julluice V. Catua",
          '10-YEAR SWM PLAN'!$S:$S, "&lt;&gt;",
          '10-YEAR SWM PLAN'!$O:$O, "8.August",
          '10-YEAR SWM PLAN'!$D:$D, "MBA")
+
COUNTIFS('10-YEAR SWM PLAN'!$AC:$AC, "Received by Planning",
          '10-YEAR SWM PLAN'!$S:$S, "&lt;&gt;",
          '10-YEAR SWM PLAN'!$O:$O, "8.August",
          '10-YEAR SWM PLAN'!$D:$D, "MBA")</f>
        <v>9</v>
      </c>
      <c r="D50" s="19">
        <f>COUNTIFS('10-YEAR SWM PLAN'!$AC:$AC, "Ma. Erlinda H. Eugenio",
          '10-YEAR SWM PLAN'!$S:$S, "&lt;&gt;",
          '10-YEAR SWM PLAN'!$O:$O, "9.September",
          '10-YEAR SWM PLAN'!$D:$D, "MBA")
+
COUNTIFS('10-YEAR SWM PLAN'!$AC:$AC, "Marshalle Julluice V. Catua",
          '10-YEAR SWM PLAN'!$S:$S, "&lt;&gt;",
          '10-YEAR SWM PLAN'!$O:$O, "9.September",
          '10-YEAR SWM PLAN'!$D:$D, "MBA")
+
COUNTIFS('10-YEAR SWM PLAN'!$AC:$AC, "Received by Planning",
          '10-YEAR SWM PLAN'!$S:$S, "&lt;&gt;",
          '10-YEAR SWM PLAN'!$O:$O, "9.September",
          '10-YEAR SWM PLAN'!$D:$D, "MBA")</f>
        <v>9</v>
      </c>
      <c r="E50" s="19">
        <f>COUNTIFS('10-YEAR SWM PLAN'!$AC:$AC, "Ma. Erlinda H. Eugenio",
          '10-YEAR SWM PLAN'!$S:$S, "&lt;&gt;",
          '10-YEAR SWM PLAN'!$O:$O, "10.October",
          '10-YEAR SWM PLAN'!$D:$D, "MBA")
+
COUNTIFS('10-YEAR SWM PLAN'!$AC:$AC, "Marshalle Julluice V. Catua",
          '10-YEAR SWM PLAN'!$S:$S, "&lt;&gt;",
          '10-YEAR SWM PLAN'!$O:$O, "10.October",
          '10-YEAR SWM PLAN'!$D:$D, "MBA")
+
COUNTIFS('10-YEAR SWM PLAN'!$AC:$AC, "Received by Planning",
          '10-YEAR SWM PLAN'!$S:$S, "&lt;&gt;",
          '10-YEAR SWM PLAN'!$O:$O, "10.October",
          '10-YEAR SWM PLAN'!$D:$D, "MBA")</f>
        <v>9</v>
      </c>
      <c r="F50" s="19">
        <f>COUNTIFS('10-YEAR SWM PLAN'!$AC:$AC, "Ma. Erlinda H. Eugenio",
          '10-YEAR SWM PLAN'!$S:$S, "&lt;&gt;",
          '10-YEAR SWM PLAN'!$O:$O, "11.nOVEMBER",
          '10-YEAR SWM PLAN'!$D:$D, "MBA")
+
COUNTIFS('10-YEAR SWM PLAN'!$AC:$AC, "Marshalle Julluice V. Catua",
          '10-YEAR SWM PLAN'!$S:$S, "&lt;&gt;",
          '10-YEAR SWM PLAN'!$O:$O, "11.nOVEMBER",
          '10-YEAR SWM PLAN'!$D:$D, "MBA")
+
COUNTIFS('10-YEAR SWM PLAN'!$AC:$AC, "Received by Planning",
          '10-YEAR SWM PLAN'!$S:$S, "&lt;&gt;",
          '10-YEAR SWM PLAN'!$O:$O, "11.nOVEMBER",
          '10-YEAR SWM PLAN'!$D:$D, "MBA")</f>
        <v>9</v>
      </c>
      <c r="G50" s="19">
        <f>COUNTIFS('10-YEAR SWM PLAN'!$AC:$AC, "Ma. Erlinda H. Eugenio",
          '10-YEAR SWM PLAN'!$S:$S, "&lt;&gt;",
          '10-YEAR SWM PLAN'!$O:$O, "12.December",
          '10-YEAR SWM PLAN'!$D:$D, "MBA")
+
COUNTIFS('10-YEAR SWM PLAN'!$AC:$AC, "Marshalle Julluice V. Catua",
          '10-YEAR SWM PLAN'!$S:$S, "&lt;&gt;",
          '10-YEAR SWM PLAN'!$O:$O, "12.December",
          '10-YEAR SWM PLAN'!$D:$D, "MBA")
+
COUNTIFS('10-YEAR SWM PLAN'!$AC:$AC, "Received by Planning",
          '10-YEAR SWM PLAN'!$S:$S, "&lt;&gt;",
          '10-YEAR SWM PLAN'!$O:$O, "12.December",
          '10-YEAR SWM PLAN'!$D:$D, "MBA")</f>
        <v>0</v>
      </c>
      <c r="H50" s="801">
        <f t="shared" si="5"/>
        <v>45</v>
      </c>
      <c r="I50" s="801"/>
    </row>
    <row r="51" spans="1:14" ht="15.75">
      <c r="A51" s="639" t="s">
        <v>9621</v>
      </c>
      <c r="B51" s="19">
        <f>COUNTIFS('10-YEAR SWM PLAN'!$AC:$AC, "Ma. Erlinda H. Eugenio",
          '10-YEAR SWM PLAN'!$S:$S, "&lt;&gt;",
          '10-YEAR SWM PLAN'!$O:$O, "7.July",
          '10-YEAR SWM PLAN'!$D:$D, "OUTSIDE MBA")
+
COUNTIFS('10-YEAR SWM PLAN'!$AC:$AC, "Marshalle Julluice V. Catua",
          '10-YEAR SWM PLAN'!$S:$S, "&lt;&gt;",
          '10-YEAR SWM PLAN'!$O:$O, "7.July",
          '10-YEAR SWM PLAN'!$D:$D, "OUTSIDE MBA")
+
COUNTIFS('10-YEAR SWM PLAN'!$AC:$AC, "Received by Planning",
          '10-YEAR SWM PLAN'!$S:$S, "&lt;&gt;",
          '10-YEAR SWM PLAN'!$O:$O, "7.July",
          '10-YEAR SWM PLAN'!$D:$D, "OUTSIDE MBA")</f>
        <v>4</v>
      </c>
      <c r="C51" s="19">
        <f>COUNTIFS('10-YEAR SWM PLAN'!$AC:$AC, "Ma. Erlinda H. Eugenio",
          '10-YEAR SWM PLAN'!$S:$S, "&lt;&gt;",
          '10-YEAR SWM PLAN'!$O:$O, "8.aUGUST",
          '10-YEAR SWM PLAN'!$D:$D, "OUTSIDE MBA")
+
COUNTIFS('10-YEAR SWM PLAN'!$AC:$AC, "Marshalle Julluice V. Catua",
          '10-YEAR SWM PLAN'!$S:$S, "&lt;&gt;",
          '10-YEAR SWM PLAN'!$O:$O, "8.August",
          '10-YEAR SWM PLAN'!$D:$D, "OUTSIDE MBA")
+
COUNTIFS('10-YEAR SWM PLAN'!$AC:$AC, "Received by Planning",
          '10-YEAR SWM PLAN'!$S:$S, "&lt;&gt;",
          '10-YEAR SWM PLAN'!$O:$O, "8.August",
          '10-YEAR SWM PLAN'!$D:$D, "OUTSIDE MBA")</f>
        <v>4</v>
      </c>
      <c r="D51" s="19">
        <f>COUNTIFS('10-YEAR SWM PLAN'!$AC:$AC, "Ma. Erlinda H. Eugenio",
          '10-YEAR SWM PLAN'!$S:$S, "&lt;&gt;",
          '10-YEAR SWM PLAN'!$O:$O, "9.September",
          '10-YEAR SWM PLAN'!$D:$D, "OUTSIDE MBA")
+
COUNTIFS('10-YEAR SWM PLAN'!$AC:$AC, "Marshalle Julluice V. Catua",
          '10-YEAR SWM PLAN'!$S:$S, "&lt;&gt;",
          '10-YEAR SWM PLAN'!$O:$O, "9.September",
          '10-YEAR SWM PLAN'!$D:$D, "OUTSIDE MBA")
+
COUNTIFS('10-YEAR SWM PLAN'!$AC:$AC, "Received by Planning",
          '10-YEAR SWM PLAN'!$S:$S, "&lt;&gt;",
          '10-YEAR SWM PLAN'!$O:$O, "9.September",
          '10-YEAR SWM PLAN'!$D:$D, "OUTSIDE MBA")</f>
        <v>4</v>
      </c>
      <c r="E51" s="19">
        <f>COUNTIFS('10-YEAR SWM PLAN'!$AC:$AC, "Ma. Erlinda H. Eugenio",
          '10-YEAR SWM PLAN'!$S:$S, "&lt;&gt;",
          '10-YEAR SWM PLAN'!$O:$O, "10.October",
          '10-YEAR SWM PLAN'!$D:$D, "OUTSIDE MBA")
+
COUNTIFS('10-YEAR SWM PLAN'!$AC:$AC, "Marshalle Julluice V. Catua",
          '10-YEAR SWM PLAN'!$S:$S, "&lt;&gt;",
          '10-YEAR SWM PLAN'!$O:$O, "10.October",
          '10-YEAR SWM PLAN'!$D:$D, "OUTSIDE MBA")
+
COUNTIFS('10-YEAR SWM PLAN'!$AC:$AC, "Received by Planning",
          '10-YEAR SWM PLAN'!$S:$S, "&lt;&gt;",
          '10-YEAR SWM PLAN'!$O:$O, "10.October",
          '10-YEAR SWM PLAN'!$D:$D, "OUTSIDE MBA")</f>
        <v>4</v>
      </c>
      <c r="F51" s="19">
        <f>COUNTIFS('10-YEAR SWM PLAN'!$AC:$AC, "Ma. Erlinda H. Eugenio",
          '10-YEAR SWM PLAN'!$S:$S, "&lt;&gt;",
          '10-YEAR SWM PLAN'!$O:$O, "11.nOVEMBER",
          '10-YEAR SWM PLAN'!$D:$D, "OUTSIDE MBA")
+
COUNTIFS('10-YEAR SWM PLAN'!$AC:$AC, "Marshalle Julluice V. Catua",
          '10-YEAR SWM PLAN'!$S:$S, "&lt;&gt;",
          '10-YEAR SWM PLAN'!$O:$O, "11.nOVEMBER",
          '10-YEAR SWM PLAN'!$D:$D, "OUTSIDE MBA")
+
COUNTIFS('10-YEAR SWM PLAN'!$AC:$AC, "Received by Planning",
          '10-YEAR SWM PLAN'!$S:$S, "&lt;&gt;",
          '10-YEAR SWM PLAN'!$O:$O, "11.nOVEMBER",
          '10-YEAR SWM PLAN'!$D:$D, "OUTSIDE MBA")</f>
        <v>3</v>
      </c>
      <c r="G51" s="19">
        <f>COUNTIFS('10-YEAR SWM PLAN'!$AC:$AC, "Ma. Erlinda H. Eugenio",
          '10-YEAR SWM PLAN'!$S:$S, "&lt;&gt;",
          '10-YEAR SWM PLAN'!$O:$O, "12.December",
          '10-YEAR SWM PLAN'!$D:$D, "OUTSIDE MBA")
+
COUNTIFS('10-YEAR SWM PLAN'!$AC:$AC, "Marshalle Julluice V. Catua",
          '10-YEAR SWM PLAN'!$S:$S, "&lt;&gt;",
          '10-YEAR SWM PLAN'!$O:$O, "12.December",
          '10-YEAR SWM PLAN'!$D:$D, "OUTSIDE MBA")
+
COUNTIFS('10-YEAR SWM PLAN'!$AC:$AC, "Received by Planning",
          '10-YEAR SWM PLAN'!$S:$S, "&lt;&gt;",
          '10-YEAR SWM PLAN'!$O:$O, "12.December",
          '10-YEAR SWM PLAN'!$D:$D, "OUTSIDE MBA")</f>
        <v>0</v>
      </c>
      <c r="H51" s="801">
        <f t="shared" si="5"/>
        <v>19</v>
      </c>
      <c r="I51" s="801"/>
    </row>
    <row r="52" spans="1:14" ht="15.75">
      <c r="A52" s="641" t="s">
        <v>4</v>
      </c>
      <c r="B52" s="642">
        <f>SUM(B53:B54)</f>
        <v>13</v>
      </c>
      <c r="C52" s="642">
        <f t="shared" ref="C52" si="6">SUM(C53:C54)</f>
        <v>0</v>
      </c>
      <c r="D52" s="642">
        <f t="shared" ref="D52" si="7">SUM(D53:D54)</f>
        <v>0</v>
      </c>
      <c r="E52" s="642">
        <f t="shared" ref="E52" si="8">SUM(E53:E54)</f>
        <v>0</v>
      </c>
      <c r="F52" s="642">
        <f t="shared" ref="F52" si="9">SUM(F53:F54)</f>
        <v>0</v>
      </c>
      <c r="G52" s="642">
        <f t="shared" ref="G52" si="10">SUM(G53:G54)</f>
        <v>0</v>
      </c>
      <c r="H52" s="804">
        <f t="shared" si="5"/>
        <v>13</v>
      </c>
      <c r="I52" s="804"/>
    </row>
    <row r="53" spans="1:14" ht="15.75">
      <c r="A53" s="639" t="s">
        <v>9620</v>
      </c>
      <c r="B53" s="19">
        <f>COUNTIFS(MRF!$AA:$AA, "Ma. Erlinda H. Eugenio", MRF!$Q:$Q, "&lt;&gt;", MRF!$M:$M, "7.July", MRF!$D:$D, "MBA") +
COUNTIFS(MRF!$AA:$AA, "Received by Planning", MRF!$Q:$Q, "&lt;&gt;", MRF!$M:$M, "7.July", MRF!$D:$D, "MBA")</f>
        <v>13</v>
      </c>
      <c r="C53" s="19">
        <f>COUNTIFS(MRF!$AA:$AA, "Ma. Erlinda H. Eugenio", MRF!$Q:$Q, "&lt;&gt;", MRF!$M:$M, "7.July", MRF!$D:$D, "MBA")</f>
        <v>0</v>
      </c>
      <c r="D53" s="19">
        <f>COUNTIFS(MRF!$AA:$AA, "Ma. Erlinda H. Eugenio", MRF!$Q:$Q, "&lt;&gt;", MRF!$M:$M, "7.July", MRF!$D:$D, "MBA")</f>
        <v>0</v>
      </c>
      <c r="E53" s="19">
        <f>COUNTIFS(MRF!$AA:$AA, "Ma. Erlinda H. Eugenio", MRF!$Q:$Q, "&lt;&gt;", MRF!$M:$M, "7.July", MRF!$D:$D, "MBA")</f>
        <v>0</v>
      </c>
      <c r="F53" s="19">
        <f>COUNTIFS(MRF!$AA:$AA, "Ma. Erlinda H. Eugenio", MRF!$Q:$Q, "&lt;&gt;", MRF!$M:$M, "7.July", MRF!$D:$D, "MBA")</f>
        <v>0</v>
      </c>
      <c r="G53" s="19">
        <f>COUNTIFS(MRF!$AA:$AA, "Ma. Erlinda H. Eugenio", MRF!$Q:$Q, "&lt;&gt;", MRF!$M:$M, "7.July", MRF!$D:$D, "MBA")</f>
        <v>0</v>
      </c>
      <c r="H53" s="801">
        <f t="shared" si="5"/>
        <v>13</v>
      </c>
      <c r="I53" s="801"/>
    </row>
    <row r="54" spans="1:14" ht="15.75">
      <c r="A54" s="639" t="s">
        <v>9621</v>
      </c>
      <c r="B54" s="19">
        <f>COUNTIFS(MRF!$AA:$AA, "Ma. Erlinda H. Eugenio", MRF!$Q:$Q, "&lt;&gt;", MRF!$M:$M, "7.July", MRF!$D:$D, "OUTSIDE MBA")</f>
        <v>0</v>
      </c>
      <c r="C54" s="19">
        <f>COUNTIFS(MRF!$AA:$AA, "Ma. Erlinda H. Eugenio", MRF!$Q:$Q, "&lt;&gt;", MRF!$M:$M, "7.July", MRF!$D:$D, "OUTSIDE MBA")</f>
        <v>0</v>
      </c>
      <c r="D54" s="19">
        <f>COUNTIFS(MRF!$AA:$AA, "Ma. Erlinda H. Eugenio", MRF!$Q:$Q, "&lt;&gt;", MRF!$M:$M, "7.July", MRF!$D:$D, "OUTSIDE MBA")</f>
        <v>0</v>
      </c>
      <c r="E54" s="19">
        <f>COUNTIFS(MRF!$AA:$AA, "Ma. Erlinda H. Eugenio", MRF!$Q:$Q, "&lt;&gt;", MRF!$M:$M, "7.July", MRF!$D:$D, "OUTSIDE MBA")</f>
        <v>0</v>
      </c>
      <c r="F54" s="19">
        <f>COUNTIFS(MRF!$AA:$AA, "Ma. Erlinda H. Eugenio", MRF!$Q:$Q, "&lt;&gt;", MRF!$M:$M, "7.July", MRF!$D:$D, "OUTSIDE MBA")</f>
        <v>0</v>
      </c>
      <c r="G54" s="19">
        <f>COUNTIFS(MRF!$AA:$AA, "Ma. Erlinda H. Eugenio", MRF!$Q:$Q, "&lt;&gt;", MRF!$M:$M, "7.July", MRF!$D:$D, "OUTSIDE MBA")</f>
        <v>0</v>
      </c>
      <c r="H54" s="801">
        <f t="shared" si="5"/>
        <v>0</v>
      </c>
      <c r="I54" s="801"/>
    </row>
    <row r="55" spans="1:14" ht="15.75">
      <c r="A55" s="643" t="s">
        <v>9622</v>
      </c>
      <c r="B55" s="656">
        <f>SUM(B56:B57)</f>
        <v>13</v>
      </c>
      <c r="C55" s="642">
        <f t="shared" ref="C55:G55" si="11">SUM(C56:C57)</f>
        <v>13</v>
      </c>
      <c r="D55" s="642">
        <f t="shared" si="11"/>
        <v>14</v>
      </c>
      <c r="E55" s="642">
        <f t="shared" si="11"/>
        <v>14</v>
      </c>
      <c r="F55" s="642">
        <f t="shared" si="11"/>
        <v>13</v>
      </c>
      <c r="G55" s="642">
        <f t="shared" si="11"/>
        <v>0</v>
      </c>
      <c r="H55" s="804">
        <f t="shared" si="5"/>
        <v>67</v>
      </c>
      <c r="I55" s="804"/>
    </row>
    <row r="56" spans="1:14" ht="15.75">
      <c r="A56" s="655" t="s">
        <v>9620</v>
      </c>
      <c r="B56" s="19">
        <f>COUNTIFS(EQUIPMENT!$X:$X, "Ma. Erlinda H. Eugenio", EQUIPMENT!$N:$N, "&lt;&gt;", EQUIPMENT!$D:$D, "MBA", EQUIPMENT!$J:$J, "7.July") +
COUNTIFS(EQUIPMENT!$X:$X, "Received by Planning", EQUIPMENT!$N:$N, "&lt;&gt;", EQUIPMENT!$D:$D, "MBA", EQUIPMENT!$J:$J, "7.July")</f>
        <v>9</v>
      </c>
      <c r="C56" s="657">
        <f>COUNTIFS(EQUIPMENT!$X:$X, "Ma. Erlinda H. Eugenio", EQUIPMENT!$N:$N, "&lt;&gt;", EQUIPMENT!$D:$D, "MBA", EQUIPMENT!$J:$J, "8.August") +
COUNTIFS(EQUIPMENT!$X:$X, "Received by Planning", EQUIPMENT!$N:$N, "&lt;&gt;", EQUIPMENT!$D:$D, "MBA", EQUIPMENT!$J:$J, "8.August")</f>
        <v>11</v>
      </c>
      <c r="D56" s="657">
        <f>COUNTIFS(EQUIPMENT!$X:$X, "Ma. Erlinda H. Eugenio", EQUIPMENT!$N:$N, "&lt;&gt;", EQUIPMENT!$D:$D, "MBA", EQUIPMENT!$J:$J, "9.September") +
COUNTIFS(EQUIPMENT!$X:$X, "Received by Planning", EQUIPMENT!$N:$N, "&lt;&gt;", EQUIPMENT!$D:$D, "MBA", EQUIPMENT!$J:$J, "9.September")</f>
        <v>10</v>
      </c>
      <c r="E56" s="657">
        <f>COUNTIFS(EQUIPMENT!$X:$X, "Ma. Erlinda H. Eugenio", EQUIPMENT!$N:$N, "&lt;&gt;", EQUIPMENT!$D:$D, "MBA", EQUIPMENT!$J:$J, "10.October") +
COUNTIFS(EQUIPMENT!$X:$X, "Received by Planning", EQUIPMENT!$N:$N, "&lt;&gt;", EQUIPMENT!$D:$D, "MBA", EQUIPMENT!$J:$J, "10.October")</f>
        <v>10</v>
      </c>
      <c r="F56" s="657">
        <f>COUNTIFS(EQUIPMENT!$X:$X, "Ma. Erlinda H. Eugenio", EQUIPMENT!$N:$N, "&lt;&gt;", EQUIPMENT!$D:$D, "MBA", EQUIPMENT!$J:$J, "11.November") +
COUNTIFS(EQUIPMENT!$X:$X, "Received by Planning", EQUIPMENT!$N:$N, "&lt;&gt;", EQUIPMENT!$D:$D, "MBA", EQUIPMENT!$J:$J, "11.November")</f>
        <v>9</v>
      </c>
      <c r="G56" s="657">
        <f>COUNTIFS(EQUIPMENT!$X:$X, "Ma. Erlinda H. Eugenio", EQUIPMENT!$N:$N, "&lt;&gt;", EQUIPMENT!$D:$D, "MBA", EQUIPMENT!$J:$J, "12.December") +
COUNTIFS(EQUIPMENT!$X:$X, "Received by Planning", EQUIPMENT!$N:$N, "&lt;&gt;", EQUIPMENT!$D:$D, "MBA", EQUIPMENT!$J:$J, "12.December")</f>
        <v>0</v>
      </c>
      <c r="H56" s="801">
        <f t="shared" si="5"/>
        <v>49</v>
      </c>
      <c r="I56" s="801"/>
    </row>
    <row r="57" spans="1:14" ht="15.75">
      <c r="A57" s="655" t="s">
        <v>9621</v>
      </c>
      <c r="B57" s="19">
        <f>COUNTIFS(EQUIPMENT!$X:$X, "Ma. Erlinda H. Eugenio", EQUIPMENT!$N:$N, "&lt;&gt;", EQUIPMENT!$D:$D, "OUTSIDE MBA", EQUIPMENT!$J:$J, "7.July") +
COUNTIFS(EQUIPMENT!$X:$X, "Received by Planning", EQUIPMENT!$N:$N, "&lt;&gt;", EQUIPMENT!$D:$D, "OUTSIDE MBA", EQUIPMENT!$J:$J, "7.July")</f>
        <v>4</v>
      </c>
      <c r="C57" s="19">
        <f>COUNTIFS(EQUIPMENT!$X:$X, "Ma. Erlinda H. Eugenio", EQUIPMENT!$N:$N, "&lt;&gt;", EQUIPMENT!$D:$D, "OUTSIDE MBA", EQUIPMENT!$J:$J, "8.August") +
COUNTIFS(EQUIPMENT!$X:$X, "Received by Planning", EQUIPMENT!$N:$N, "&lt;&gt;", EQUIPMENT!$D:$D, "OUTSIDE MBA", EQUIPMENT!$J:$J, "8.August")</f>
        <v>2</v>
      </c>
      <c r="D57" s="19">
        <f>COUNTIFS(EQUIPMENT!$X:$X, "Ma. Erlinda H. Eugenio", EQUIPMENT!$N:$N, "&lt;&gt;", EQUIPMENT!$D:$D, "OUTSIDE MBA", EQUIPMENT!$J:$J, "9.September") +
COUNTIFS(EQUIPMENT!$X:$X, "Received by Planning", EQUIPMENT!$N:$N, "&lt;&gt;", EQUIPMENT!$D:$D, "OUTSIDE MBA", EQUIPMENT!$J:$J, "9.September")</f>
        <v>4</v>
      </c>
      <c r="E57" s="19">
        <f>COUNTIFS(EQUIPMENT!$X:$X, "Ma. Erlinda H. Eugenio", EQUIPMENT!$N:$N, "&lt;&gt;", EQUIPMENT!$D:$D, "OUTSIDE MBA", EQUIPMENT!$J:$J, "10.October") +
COUNTIFS(EQUIPMENT!$X:$X, "Received by Planning", EQUIPMENT!$N:$N, "&lt;&gt;", EQUIPMENT!$D:$D, "OUTSIDE MBA", EQUIPMENT!$J:$J, "10.October")</f>
        <v>4</v>
      </c>
      <c r="F57" s="19">
        <f>COUNTIFS(EQUIPMENT!$X:$X, "Ma. Erlinda H. Eugenio", EQUIPMENT!$N:$N, "&lt;&gt;", EQUIPMENT!$D:$D, "OUTSIDE MBA", EQUIPMENT!$J:$J, "11.November") +
COUNTIFS(EQUIPMENT!$X:$X, "Received by Planning", EQUIPMENT!$N:$N, "&lt;&gt;", EQUIPMENT!$D:$D, "OUTSIDE MBA", EQUIPMENT!$J:$J, "11.November")</f>
        <v>4</v>
      </c>
      <c r="G57" s="19">
        <f>COUNTIFS(EQUIPMENT!$X:$X, "Ma. Erlinda H. Eugenio", EQUIPMENT!$N:$N, "&lt;&gt;", EQUIPMENT!$D:$D, "OUTSIDE MBA", EQUIPMENT!$J:$J, "12.December") +
COUNTIFS(EQUIPMENT!$X:$X, "Received by Planning", EQUIPMENT!$N:$N, "&lt;&gt;", EQUIPMENT!$D:$D, "OUTSIDE MBA", EQUIPMENT!$J:$J, "12.December")</f>
        <v>0</v>
      </c>
      <c r="H57" s="801">
        <f t="shared" ref="H57:H65" si="12">SUM(B57:G57)</f>
        <v>18</v>
      </c>
      <c r="I57" s="801"/>
    </row>
    <row r="58" spans="1:14" ht="15.75">
      <c r="A58" s="641" t="s">
        <v>6</v>
      </c>
      <c r="B58" s="656">
        <f>SUM(B59:B60)</f>
        <v>5</v>
      </c>
      <c r="C58" s="642">
        <f t="shared" ref="C58:G58" si="13">SUM(C59:C60)</f>
        <v>5</v>
      </c>
      <c r="D58" s="642">
        <f t="shared" si="13"/>
        <v>7</v>
      </c>
      <c r="E58" s="642">
        <f t="shared" si="13"/>
        <v>4</v>
      </c>
      <c r="F58" s="642">
        <f t="shared" si="13"/>
        <v>5</v>
      </c>
      <c r="G58" s="642">
        <f t="shared" si="13"/>
        <v>0</v>
      </c>
      <c r="H58" s="804">
        <f t="shared" si="12"/>
        <v>26</v>
      </c>
      <c r="I58" s="804"/>
    </row>
    <row r="59" spans="1:14" ht="15.75">
      <c r="A59" s="639" t="s">
        <v>9620</v>
      </c>
      <c r="B59" s="19">
        <f>COUNTIFS(ODS!$AB:$AB, "Ma. Erlinda H. Eugenio", ODS!$R:$R,"&lt;&gt;", ODS!$N:$N, "7.July", ODS!$D:$D, "MBA") +
COUNTIFS(ODS!$AB:$AB, "Received by Planning", ODS!$R:$R,"&lt;&gt;", ODS!$N:$N, "7.July", ODS!$D:$D, "MBA")</f>
        <v>4</v>
      </c>
      <c r="C59" s="19">
        <f>COUNTIFS(ODS!$AB:$AB, "Ma. Erlinda H. Eugenio", ODS!$R:$R,"&lt;&gt;", ODS!$N:$N, "8.August", ODS!$D:$D, "MBA") +
COUNTIFS(ODS!$AB:$AB, "Received by Planning", ODS!$R:$R,"&lt;&gt;", ODS!$N:$N, "8.August", ODS!$D:$D, "MBA")</f>
        <v>4</v>
      </c>
      <c r="D59" s="19">
        <f>COUNTIFS(ODS!$AB:$AB, "Ma. Erlinda H. Eugenio", ODS!$R:$R,"&lt;&gt;", ODS!$N:$N, "9.September", ODS!$D:$D, "MBA") +
COUNTIFS(ODS!$AB:$AB, "Received by Planning", ODS!$R:$R,"&lt;&gt;", ODS!$N:$N, "9.September", ODS!$D:$D, "MBA")</f>
        <v>6</v>
      </c>
      <c r="E59" s="19">
        <f>COUNTIFS(ODS!$AB:$AB, "Ma. Erlinda H. Eugenio", ODS!$R:$R,"&lt;&gt;", ODS!$N:$N, "10.October", ODS!$D:$D, "MBA") +
COUNTIFS(ODS!$AB:$AB, "Received by Planning", ODS!$R:$R,"&lt;&gt;", ODS!$N:$N, "10.October", ODS!$D:$D, "MBA")</f>
        <v>3</v>
      </c>
      <c r="F59" s="19">
        <f>COUNTIFS(ODS!$AB:$AB, "Ma. Erlinda H. Eugenio", ODS!$R:$R,"&lt;&gt;", ODS!$N:$N, "11.November", ODS!$D:$D, "MBA") +
COUNTIFS(ODS!$AB:$AB, "Received by Planning", ODS!$R:$R,"&lt;&gt;", ODS!$N:$N, "11.November", ODS!$D:$D, "MBA")</f>
        <v>4</v>
      </c>
      <c r="G59" s="19">
        <f>COUNTIFS(ODS!$AB:$AB, "Ma. Erlinda H. Eugenio", ODS!$R:$R,"&lt;&gt;", ODS!$N:$N, "12.December", ODS!$D:$D, "MBA") +
COUNTIFS(ODS!$AB:$AB, "Received by Planning", ODS!$R:$R,"&lt;&gt;", ODS!$N:$N, "12.December", ODS!$D:$D, "MBA")</f>
        <v>0</v>
      </c>
      <c r="H59" s="801">
        <f t="shared" si="12"/>
        <v>21</v>
      </c>
      <c r="I59" s="801"/>
    </row>
    <row r="60" spans="1:14" ht="15.75">
      <c r="A60" s="639" t="s">
        <v>9621</v>
      </c>
      <c r="B60" s="19">
        <f>COUNTIFS(ODS!$AB:$AB, "Ma. Erlinda H. Eugenio", ODS!$R:$R,"&lt;&gt;", ODS!$N:$N, "7.July", ODS!$D:$D, "OUTSIDE MBA") +
COUNTIFS(ODS!$AB:$AB, "Received by Planning", ODS!$R:$R,"&lt;&gt;", ODS!$N:$N, "7.July", ODS!$D:$D, "OUTSIDE MBA")</f>
        <v>1</v>
      </c>
      <c r="C60" s="19">
        <f>COUNTIFS(ODS!$AB:$AB, "Ma. Erlinda H. Eugenio", ODS!$R:$R,"&lt;&gt;", ODS!$N:$N, "8.August", ODS!$D:$D, "OUTSIDE MBA") +
COUNTIFS(ODS!$AB:$AB, "Received by Planning", ODS!$R:$R,"&lt;&gt;", ODS!$N:$N, "8.August", ODS!$D:$D, "OUTSIDE MBA")</f>
        <v>1</v>
      </c>
      <c r="D60" s="19">
        <f>COUNTIFS(ODS!$AB:$AB, "Ma. Erlinda H. Eugenio", ODS!$R:$R,"&lt;&gt;", ODS!$N:$N, "7.July", ODS!$D:$D, "OUTSIDE MBA") +
COUNTIFS(ODS!$AB:$AB, "Received by Planning", ODS!$R:$R,"&lt;&gt;", ODS!$N:$N, "7.July", ODS!$D:$D, "OUTSIDE MBA")</f>
        <v>1</v>
      </c>
      <c r="E60" s="19">
        <f>COUNTIFS(ODS!$AB:$AB, "Ma. Erlinda H. Eugenio", ODS!$R:$R,"&lt;&gt;", ODS!$N:$N, "10.October", ODS!$D:$D, "OUTSIDE MBA") +
COUNTIFS(ODS!$AB:$AB, "Received by Planning", ODS!$R:$R,"&lt;&gt;", ODS!$N:$N, "10.October", ODS!$D:$D, "OUTSIDE MBA")</f>
        <v>1</v>
      </c>
      <c r="F60" s="19">
        <f>COUNTIFS(ODS!$AB:$AB, "Ma. Erlinda H. Eugenio", ODS!$R:$R,"&lt;&gt;", ODS!$N:$N, "11.November", ODS!$D:$D, "OUTSIDE MBA") +
COUNTIFS(ODS!$AB:$AB, "Received by Planning", ODS!$R:$R,"&lt;&gt;", ODS!$N:$N, "11.November", ODS!$D:$D, "OUTSIDE MBA")</f>
        <v>1</v>
      </c>
      <c r="G60" s="19">
        <f>COUNTIFS(ODS!$AB:$AB, "Ma. Erlinda H. Eugenio", ODS!$R:$R,"&lt;&gt;", ODS!$N:$N, "12.December", ODS!$D:$D, "OUTSIDE MBA") +
COUNTIFS(ODS!$AB:$AB, "Received by Planning", ODS!$R:$R,"&lt;&gt;", ODS!$N:$N, "12.December", ODS!$D:$D, "OUTSIDE MBA")</f>
        <v>0</v>
      </c>
      <c r="H60" s="801">
        <f t="shared" si="12"/>
        <v>5</v>
      </c>
      <c r="I60" s="801"/>
    </row>
    <row r="61" spans="1:14" ht="15.75">
      <c r="A61" s="641" t="s">
        <v>9607</v>
      </c>
      <c r="B61" s="642">
        <f>SUM(B62:B63)</f>
        <v>76</v>
      </c>
      <c r="C61" s="642">
        <f t="shared" ref="C61" si="14">SUM(C62:C63)</f>
        <v>129</v>
      </c>
      <c r="D61" s="642">
        <f t="shared" ref="D61" si="15">SUM(D62:D63)</f>
        <v>131</v>
      </c>
      <c r="E61" s="642">
        <f t="shared" ref="E61" si="16">SUM(E62:E63)</f>
        <v>122</v>
      </c>
      <c r="F61" s="642">
        <f t="shared" ref="F61" si="17">SUM(F62:F63)</f>
        <v>53</v>
      </c>
      <c r="G61" s="642">
        <f t="shared" ref="G61" si="18">SUM(G62:G63)</f>
        <v>0</v>
      </c>
      <c r="H61" s="804">
        <f t="shared" si="12"/>
        <v>511</v>
      </c>
      <c r="I61" s="804"/>
    </row>
    <row r="62" spans="1:14" ht="15.75">
      <c r="A62" s="639" t="s">
        <v>9620</v>
      </c>
      <c r="B62" s="19">
        <f>COUNTIFS('BRGY TECHNICAL ASISSTANCE'!$W:$W, "Received by Planning", 'BRGY TECHNICAL ASISSTANCE'!$N:$N, "&lt;&gt;", 'BRGY TECHNICAL ASISSTANCE'!$J:$J, "July", 'BRGY TECHNICAL ASISSTANCE'!$C:$C, "MBA")</f>
        <v>53</v>
      </c>
      <c r="C62" s="19">
        <f>COUNTIFS('BRGY TECHNICAL ASISSTANCE'!$W:$W, "Received by Planning", 'BRGY TECHNICAL ASISSTANCE'!$N:$N, "&lt;&gt;", 'BRGY TECHNICAL ASISSTANCE'!$J:$J, "August", 'BRGY TECHNICAL ASISSTANCE'!$C:$C, "MBA")</f>
        <v>99</v>
      </c>
      <c r="D62" s="19">
        <f>COUNTIFS('BRGY TECHNICAL ASISSTANCE'!$W:$W, "Received by Planning", 'BRGY TECHNICAL ASISSTANCE'!$N:$N, "&lt;&gt;", 'BRGY TECHNICAL ASISSTANCE'!$J:$J, "September", 'BRGY TECHNICAL ASISSTANCE'!$C:$C, "MBA")</f>
        <v>93</v>
      </c>
      <c r="E62" s="19">
        <f>COUNTIFS('BRGY TECHNICAL ASISSTANCE'!$W:$W, "Received by Planning", 'BRGY TECHNICAL ASISSTANCE'!$N:$N, "&lt;&gt;", 'BRGY TECHNICAL ASISSTANCE'!$J:$J, "October", 'BRGY TECHNICAL ASISSTANCE'!$C:$C, "MBA")</f>
        <v>74</v>
      </c>
      <c r="F62" s="19">
        <f>COUNTIFS('BRGY TECHNICAL ASISSTANCE'!$W:$W, "Received by Planning", 'BRGY TECHNICAL ASISSTANCE'!$N:$N, "&lt;&gt;", 'BRGY TECHNICAL ASISSTANCE'!$J:$J, "November", 'BRGY TECHNICAL ASISSTANCE'!$C:$C, "MBA")</f>
        <v>39</v>
      </c>
      <c r="G62" s="19">
        <f>COUNTIFS('BRGY TECHNICAL ASISSTANCE'!$W:$W, "Received by Planning", 'BRGY TECHNICAL ASISSTANCE'!$N:$N, "&lt;&gt;", 'BRGY TECHNICAL ASISSTANCE'!$J:$J, "December", 'BRGY TECHNICAL ASISSTANCE'!$C:$C, "MBA")</f>
        <v>0</v>
      </c>
      <c r="H62" s="801">
        <f t="shared" si="12"/>
        <v>358</v>
      </c>
      <c r="I62" s="801"/>
    </row>
    <row r="63" spans="1:14" ht="15.75">
      <c r="A63" s="639" t="s">
        <v>9621</v>
      </c>
      <c r="B63" s="19">
        <f>COUNTIFS('BRGY TECHNICAL ASISSTANCE'!$W:$W, "Received by Planning", 'BRGY TECHNICAL ASISSTANCE'!$N:$N, "&lt;&gt;", 'BRGY TECHNICAL ASISSTANCE'!$J:$J, "July", 'BRGY TECHNICAL ASISSTANCE'!$C:$C, "OUTSIDE MBA")</f>
        <v>23</v>
      </c>
      <c r="C63" s="19">
        <f>COUNTIFS('BRGY TECHNICAL ASISSTANCE'!$W:$W, "Received by Planning", 'BRGY TECHNICAL ASISSTANCE'!$N:$N, "&lt;&gt;", 'BRGY TECHNICAL ASISSTANCE'!$J:$J, "August", 'BRGY TECHNICAL ASISSTANCE'!$C:$C, "OUTSIDE MBA")</f>
        <v>30</v>
      </c>
      <c r="D63" s="19">
        <f>COUNTIFS('BRGY TECHNICAL ASISSTANCE'!$W:$W, "Received by Planning", 'BRGY TECHNICAL ASISSTANCE'!$N:$N, "&lt;&gt;", 'BRGY TECHNICAL ASISSTANCE'!$J:$J, "September", 'BRGY TECHNICAL ASISSTANCE'!$C:$C, "OUTSIDE MBA")</f>
        <v>38</v>
      </c>
      <c r="E63" s="19">
        <f>COUNTIFS('BRGY TECHNICAL ASISSTANCE'!$W:$W, "Received by Planning", 'BRGY TECHNICAL ASISSTANCE'!$N:$N, "&lt;&gt;", 'BRGY TECHNICAL ASISSTANCE'!$J:$J, "October", 'BRGY TECHNICAL ASISSTANCE'!$C:$C, "OUTSIDE MBA")</f>
        <v>48</v>
      </c>
      <c r="F63" s="19">
        <f>COUNTIFS('BRGY TECHNICAL ASISSTANCE'!$W:$W, "Received by Planning", 'BRGY TECHNICAL ASISSTANCE'!$N:$N, "&lt;&gt;", 'BRGY TECHNICAL ASISSTANCE'!$J:$J, "November", 'BRGY TECHNICAL ASISSTANCE'!$C:$C, "OUTSIDE MBA")</f>
        <v>14</v>
      </c>
      <c r="G63" s="19">
        <f>COUNTIFS('BRGY TECHNICAL ASISSTANCE'!$W:$W, "Received by Planning", 'BRGY TECHNICAL ASISSTANCE'!$N:$N, "&lt;&gt;", 'BRGY TECHNICAL ASISSTANCE'!$J:$J, "December", 'BRGY TECHNICAL ASISSTANCE'!$C:$C, "OUTSIDE MBA")</f>
        <v>0</v>
      </c>
      <c r="H63" s="801">
        <f t="shared" si="12"/>
        <v>153</v>
      </c>
      <c r="I63" s="801"/>
      <c r="N63" s="409"/>
    </row>
    <row r="64" spans="1:14" ht="15.75">
      <c r="A64" s="641" t="s">
        <v>9</v>
      </c>
      <c r="B64" s="642">
        <f>SUM(B65:B66)</f>
        <v>1</v>
      </c>
      <c r="C64" s="642">
        <f t="shared" ref="C64:G64" si="19">SUM(C65:C66)</f>
        <v>1</v>
      </c>
      <c r="D64" s="642">
        <f t="shared" si="19"/>
        <v>3</v>
      </c>
      <c r="E64" s="642">
        <f t="shared" si="19"/>
        <v>1</v>
      </c>
      <c r="F64" s="642">
        <f t="shared" si="19"/>
        <v>1</v>
      </c>
      <c r="G64" s="642">
        <f t="shared" si="19"/>
        <v>0</v>
      </c>
      <c r="H64" s="804">
        <f t="shared" si="12"/>
        <v>7</v>
      </c>
      <c r="I64" s="804"/>
      <c r="N64" s="409"/>
    </row>
    <row r="65" spans="1:14" ht="15.75">
      <c r="A65" s="639" t="s">
        <v>9620</v>
      </c>
      <c r="B65" s="640">
        <f>COUNTIFS(RCA!$W:$W, "Received by Planning", RCA!$M:$M, "&lt;&gt;", RCA!$I:$I, "7.July", RCA!$D:$D, "MBA")</f>
        <v>0</v>
      </c>
      <c r="C65" s="640">
        <f>COUNTIFS(RCA!$W:$W, "Received by Planning", RCA!$M:$M, "&lt;&gt;", RCA!$I:$I, "8.August", RCA!$D:$D, "MBA")</f>
        <v>0</v>
      </c>
      <c r="D65" s="640">
        <f>COUNTIFS(RCA!$W:$W, "Received by Planning", RCA!$M:$M, "&lt;&gt;", RCA!$I:$I, "9.September", RCA!$D:$D, "MBA")</f>
        <v>3</v>
      </c>
      <c r="E65" s="640">
        <f>COUNTIFS(RCA!$W:$W, "Received by Planning", RCA!$M:$M, "&lt;&gt;", RCA!$I:$I, "10.October", RCA!$D:$D, "MBA")</f>
        <v>0</v>
      </c>
      <c r="F65" s="640">
        <f>COUNTIFS(RCA!$W:$W, "Received by Planning", RCA!$M:$M, "&lt;&gt;", RCA!$I:$I, "11.November", RCA!$D:$D, "MBA")</f>
        <v>0</v>
      </c>
      <c r="G65" s="640">
        <f>COUNTIFS(RCA!$W:$W, "Received by Planning", RCA!$M:$M, "&lt;&gt;", RCA!$I:$I, "12.December", RCA!$D:$D, "MBA")</f>
        <v>0</v>
      </c>
      <c r="H65" s="805">
        <f t="shared" si="12"/>
        <v>3</v>
      </c>
      <c r="I65" s="805"/>
      <c r="N65" s="409"/>
    </row>
    <row r="66" spans="1:14" ht="15.75">
      <c r="A66" s="639" t="s">
        <v>9621</v>
      </c>
      <c r="B66" s="640">
        <f>COUNTIFS(RCA!$W:$W, "Received by Planning", RCA!$M:$M, "&lt;&gt;", RCA!$I:$I, "7.July", RCA!$D:$D, "OUTSIDE MBA")</f>
        <v>1</v>
      </c>
      <c r="C66" s="640">
        <f>COUNTIFS(RCA!$W:$W, "Received by Planning", RCA!$M:$M, "&lt;&gt;", RCA!$I:$I, "8.August", RCA!$D:$D, "OUTSIDE MBA")</f>
        <v>1</v>
      </c>
      <c r="D66" s="640">
        <f>COUNTIFS(RCA!$W:$W, "Received by Planning", RCA!$M:$M, "&lt;&gt;", RCA!$I:$I, "9.September", RCA!$D:$D, "OUTSIDE MBA")</f>
        <v>0</v>
      </c>
      <c r="E66" s="640">
        <f>COUNTIFS(RCA!$W:$W, "Received by Planning", RCA!$M:$M, "&lt;&gt;", RCA!$I:$I, "10.October", RCA!$D:$D, "OUTSIDE MBA")</f>
        <v>1</v>
      </c>
      <c r="F66" s="640">
        <f>COUNTIFS(RCA!$W:$W, "Received by Planning", RCA!$M:$M, "&lt;&gt;", RCA!$I:$I, "11.November", RCA!$D:$D, "OUTSIDE MBA")</f>
        <v>1</v>
      </c>
      <c r="G66" s="640">
        <f>COUNTIFS(RCA!$W:$W, "Received by Planning", RCA!$M:$M, "&lt;&gt;", RCA!$I:$I, "12.December", RCA!$D:$D, "OUTSIDE MBA")</f>
        <v>0</v>
      </c>
      <c r="H66" s="805">
        <f t="shared" ref="H66:H84" si="20">SUM(B66:G66)</f>
        <v>4</v>
      </c>
      <c r="I66" s="805"/>
      <c r="N66" s="409"/>
    </row>
    <row r="67" spans="1:14" ht="15.75">
      <c r="A67" s="641" t="s">
        <v>9608</v>
      </c>
      <c r="B67" s="642">
        <f>SUM(B68:B69)</f>
        <v>139</v>
      </c>
      <c r="C67" s="642">
        <f t="shared" ref="C67:G67" si="21">SUM(C68:C69)</f>
        <v>250</v>
      </c>
      <c r="D67" s="642">
        <f t="shared" si="21"/>
        <v>241</v>
      </c>
      <c r="E67" s="642">
        <f t="shared" si="21"/>
        <v>284</v>
      </c>
      <c r="F67" s="642">
        <f t="shared" si="21"/>
        <v>93</v>
      </c>
      <c r="G67" s="642">
        <f t="shared" si="21"/>
        <v>0</v>
      </c>
      <c r="H67" s="806">
        <f t="shared" si="20"/>
        <v>1007</v>
      </c>
      <c r="I67" s="806"/>
      <c r="N67" s="409"/>
    </row>
    <row r="68" spans="1:14" ht="15.75">
      <c r="A68" s="639" t="s">
        <v>9620</v>
      </c>
      <c r="B68" s="19">
        <f>COUNTIFS('BARANGAY ACCESS'!$V:$V, "Received by Planning", 'BARANGAY ACCESS'!$L:$L, "&lt;&gt;", 'BARANGAY ACCESS'!$H:$H, "July", 'BARANGAY ACCESS'!$D:$D, "WITHIN MBA")</f>
        <v>106</v>
      </c>
      <c r="C68" s="19">
        <f>COUNTIFS('BARANGAY ACCESS'!$V:$V, "Received by Planning", 'BARANGAY ACCESS'!$L:$L, "&lt;&gt;", 'BARANGAY ACCESS'!$H:$H, "August", 'BARANGAY ACCESS'!$D:$D, "WITHIN MBA")</f>
        <v>179</v>
      </c>
      <c r="D68" s="19">
        <f>COUNTIFS('BARANGAY ACCESS'!$V:$V, "Received by Planning", 'BARANGAY ACCESS'!$L:$L, "&lt;&gt;", 'BARANGAY ACCESS'!$H:$H, "September", 'BARANGAY ACCESS'!$D:$D, "WITHIN MBA")</f>
        <v>173</v>
      </c>
      <c r="E68" s="19">
        <f>COUNTIFS('BARANGAY ACCESS'!$V:$V, "Received by Planning", 'BARANGAY ACCESS'!$L:$L, "&lt;&gt;", 'BARANGAY ACCESS'!$H:$H, "October", 'BARANGAY ACCESS'!$D:$D, "WITHIN MBA")</f>
        <v>211</v>
      </c>
      <c r="F68" s="19">
        <f>COUNTIFS('BARANGAY ACCESS'!$V:$V, "Received by Planning", 'BARANGAY ACCESS'!$L:$L, "&lt;&gt;", 'BARANGAY ACCESS'!$H:$H, "November", 'BARANGAY ACCESS'!$D:$D, "WITHIN MBA")</f>
        <v>77</v>
      </c>
      <c r="G68" s="19">
        <f>COUNTIFS('BARANGAY ACCESS'!$V:$V, "Received by Planning", 'BARANGAY ACCESS'!$L:$L, "&lt;&gt;", 'BARANGAY ACCESS'!$H:$H, "December", 'BARANGAY ACCESS'!$D:$D, "WITHIN MBA")</f>
        <v>0</v>
      </c>
      <c r="H68" s="805">
        <f t="shared" si="20"/>
        <v>746</v>
      </c>
      <c r="I68" s="805"/>
      <c r="N68" s="409"/>
    </row>
    <row r="69" spans="1:14" ht="15.75">
      <c r="A69" s="639" t="s">
        <v>9621</v>
      </c>
      <c r="B69" s="19">
        <f>COUNTIFS('BARANGAY ACCESS'!$V:$V, "Received by Planning", 'BARANGAY ACCESS'!$L:$L, "&lt;&gt;", 'BARANGAY ACCESS'!$H:$H, "July", 'BARANGAY ACCESS'!$D:$D, "OUTSIDE MBA")</f>
        <v>33</v>
      </c>
      <c r="C69" s="19">
        <f>COUNTIFS('BARANGAY ACCESS'!$V:$V, "Received by Planning", 'BARANGAY ACCESS'!$L:$L, "&lt;&gt;", 'BARANGAY ACCESS'!$H:$H, "August", 'BARANGAY ACCESS'!$D:$D, "OUTSIDE MBA")</f>
        <v>71</v>
      </c>
      <c r="D69" s="19">
        <f>COUNTIFS('BARANGAY ACCESS'!$V:$V, "Received by Planning", 'BARANGAY ACCESS'!$L:$L, "&lt;&gt;", 'BARANGAY ACCESS'!$H:$H, "September", 'BARANGAY ACCESS'!$D:$D, "OUTSIDE MBA")</f>
        <v>68</v>
      </c>
      <c r="E69" s="19">
        <f>COUNTIFS('BARANGAY ACCESS'!$V:$V, "Received by Planning", 'BARANGAY ACCESS'!$L:$L, "&lt;&gt;", 'BARANGAY ACCESS'!$H:$H, "October", 'BARANGAY ACCESS'!$D:$D, "OUTSIDE MBA")</f>
        <v>73</v>
      </c>
      <c r="F69" s="19">
        <f>COUNTIFS('BARANGAY ACCESS'!$V:$V, "Received by Planning", 'BARANGAY ACCESS'!$L:$L, "&lt;&gt;", 'BARANGAY ACCESS'!$H:$H, "November", 'BARANGAY ACCESS'!$D:$D, "OUTSIDE MBA")</f>
        <v>16</v>
      </c>
      <c r="G69" s="19">
        <f>COUNTIFS('BARANGAY ACCESS'!$V:$V, "Received by Planning", 'BARANGAY ACCESS'!$L:$L, "&lt;&gt;", 'BARANGAY ACCESS'!$H:$H, "December", 'BARANGAY ACCESS'!$D:$D, "OUTSIDE MBA")</f>
        <v>0</v>
      </c>
      <c r="H69" s="805">
        <f t="shared" si="20"/>
        <v>261</v>
      </c>
      <c r="I69" s="805"/>
      <c r="N69" s="409"/>
    </row>
    <row r="70" spans="1:14" ht="15.75">
      <c r="A70" s="641" t="s">
        <v>45</v>
      </c>
      <c r="B70" s="642">
        <f>SUM(B71:B72)</f>
        <v>0</v>
      </c>
      <c r="C70" s="642">
        <f t="shared" ref="C70" si="22">SUM(C71:C72)</f>
        <v>5</v>
      </c>
      <c r="D70" s="642">
        <f t="shared" ref="D70" si="23">SUM(D71:D72)</f>
        <v>6</v>
      </c>
      <c r="E70" s="642">
        <f t="shared" ref="E70" si="24">SUM(E71:E72)</f>
        <v>5</v>
      </c>
      <c r="F70" s="642">
        <f t="shared" ref="F70" si="25">SUM(F71:F72)</f>
        <v>5</v>
      </c>
      <c r="G70" s="642">
        <f t="shared" ref="G70" si="26">SUM(G71:G72)</f>
        <v>0</v>
      </c>
      <c r="H70" s="806">
        <f t="shared" si="20"/>
        <v>21</v>
      </c>
      <c r="I70" s="806"/>
      <c r="N70" s="409"/>
    </row>
    <row r="71" spans="1:14" ht="15.75">
      <c r="A71" s="639" t="s">
        <v>9620</v>
      </c>
      <c r="B71" s="19">
        <f>COUNTIFS('PDS 2nd Sem'!$AD:$AD, "Received by Planning", 'PDS 2nd Sem'!$T:$T, "&lt;&gt;", 'PDS 2nd Sem'!$P:$P, "7.July", 'PDS 2nd Sem'!$F:$F, "MBA")</f>
        <v>0</v>
      </c>
      <c r="C71" s="19">
        <f>COUNTIFS('PDS 2nd Sem'!$AD:$AD, "Received by Planning", 'PDS 2nd Sem'!$T:$T, "&lt;&gt;", 'PDS 2nd Sem'!$P:$P, "8.August", 'PDS 2nd Sem'!$F:$F, "MBA")</f>
        <v>2</v>
      </c>
      <c r="D71" s="19">
        <f>COUNTIFS('PDS 2nd Sem'!$AD:$AD, "Received by Planning", 'PDS 2nd Sem'!$T:$T, "&lt;&gt;", 'PDS 2nd Sem'!$P:$P, "9.September", 'PDS 2nd Sem'!$F:$F, "MBA")</f>
        <v>6</v>
      </c>
      <c r="E71" s="19">
        <f>COUNTIFS('PDS 2nd Sem'!$AD:$AD, "Received by Planning", 'PDS 2nd Sem'!$T:$T, "&lt;&gt;", 'PDS 2nd Sem'!$P:$P, "10.October", 'PDS 2nd Sem'!$F:$F, "MBA")</f>
        <v>4</v>
      </c>
      <c r="F71" s="19">
        <f>COUNTIFS('PDS 2nd Sem'!$AD:$AD, "Received by Planning", 'PDS 2nd Sem'!$T:$T, "&lt;&gt;", 'PDS 2nd Sem'!$P:$P, "11.November", 'PDS 2nd Sem'!$F:$F, "MBA")</f>
        <v>3</v>
      </c>
      <c r="G71" s="19">
        <f>COUNTIFS('PDS 2nd Sem'!$AD:$AD, "Received by Planning", 'PDS 2nd Sem'!$T:$T, "&lt;&gt;", 'PDS 2nd Sem'!$P:$P, "12.December", 'PDS 2nd Sem'!$F:$F, "MBA")</f>
        <v>0</v>
      </c>
      <c r="H71" s="805">
        <f t="shared" si="20"/>
        <v>15</v>
      </c>
      <c r="I71" s="805"/>
    </row>
    <row r="72" spans="1:14" ht="15.75">
      <c r="A72" s="639" t="s">
        <v>9621</v>
      </c>
      <c r="B72" s="19">
        <f>COUNTIFS('PDS 2nd Sem'!$AD:$AD, "Received by Planning", 'PDS 2nd Sem'!$T:$T, "&lt;&gt;", 'PDS 2nd Sem'!$P:$P, "7.July", 'PDS 2nd Sem'!$F:$F, "OUTSIDE MBA")</f>
        <v>0</v>
      </c>
      <c r="C72" s="19">
        <f>COUNTIFS('PDS 2nd Sem'!$AD:$AD, "Received by Planning", 'PDS 2nd Sem'!$T:$T, "&lt;&gt;", 'PDS 2nd Sem'!$P:$P, "8.August", 'PDS 2nd Sem'!$F:$F, "OUTSIDE MBA")</f>
        <v>3</v>
      </c>
      <c r="D72" s="19">
        <f>COUNTIFS('PDS 2nd Sem'!$AD:$AD, "Received by Planning", 'PDS 2nd Sem'!$T:$T, "&lt;&gt;", 'PDS 2nd Sem'!$P:$P, "9.September", 'PDS 2nd Sem'!$F:$F, "OUTSIDE MBA")</f>
        <v>0</v>
      </c>
      <c r="E72" s="19">
        <f>COUNTIFS('PDS 2nd Sem'!$AD:$AD, "Received by Planning", 'PDS 2nd Sem'!$T:$T, "&lt;&gt;", 'PDS 2nd Sem'!$P:$P, "10.October", 'PDS 2nd Sem'!$F:$F, "OUTSIDE MBA")</f>
        <v>1</v>
      </c>
      <c r="F72" s="19">
        <f>COUNTIFS('PDS 2nd Sem'!$AD:$AD, "Received by Planning", 'PDS 2nd Sem'!$T:$T, "&lt;&gt;", 'PDS 2nd Sem'!$P:$P, "11.November", 'PDS 2nd Sem'!$F:$F, "OUTSIDE MBA")</f>
        <v>2</v>
      </c>
      <c r="G72" s="19">
        <f>COUNTIFS('PDS 2nd Sem'!$AD:$AD, "Received by Planning", 'PDS 2nd Sem'!$T:$T, "&lt;&gt;", 'PDS 2nd Sem'!$P:$P, "12.December", 'PDS 2nd Sem'!$F:$F, "OUTSIDE MBA")</f>
        <v>0</v>
      </c>
      <c r="H72" s="805">
        <f t="shared" si="20"/>
        <v>6</v>
      </c>
      <c r="I72" s="805"/>
    </row>
    <row r="73" spans="1:14" ht="15.75">
      <c r="A73" s="641" t="s">
        <v>9609</v>
      </c>
      <c r="B73" s="642">
        <f>SUM(B74:B75)</f>
        <v>2</v>
      </c>
      <c r="C73" s="642">
        <f t="shared" ref="C73" si="27">SUM(C74:C75)</f>
        <v>1</v>
      </c>
      <c r="D73" s="642">
        <f t="shared" ref="D73" si="28">SUM(D74:D75)</f>
        <v>2</v>
      </c>
      <c r="E73" s="642">
        <f t="shared" ref="E73" si="29">SUM(E74:E75)</f>
        <v>3</v>
      </c>
      <c r="F73" s="642">
        <f t="shared" ref="F73" si="30">SUM(F74:F75)</f>
        <v>0</v>
      </c>
      <c r="G73" s="642">
        <f t="shared" ref="G73" si="31">SUM(G74:G75)</f>
        <v>0</v>
      </c>
      <c r="H73" s="806">
        <f t="shared" si="20"/>
        <v>8</v>
      </c>
      <c r="I73" s="806"/>
    </row>
    <row r="74" spans="1:14" ht="15.75">
      <c r="A74" s="639" t="s">
        <v>9620</v>
      </c>
      <c r="B74" s="411">
        <f>COUNTIFS('BRGY SWM PROGRAM'!$S:$S, "Received by Planning", 'BRGY SWM PROGRAM'!$E:$E, "JULY", 'BRGY SWM PROGRAM'!$T:$T, "TRUE", 'BRGY SWM PROGRAM'!$I:$I, "&lt;&gt;")</f>
        <v>2</v>
      </c>
      <c r="C74" s="411">
        <f>COUNTIFS('BRGY SWM PROGRAM'!$S:$S, "Received by Planning", 'BRGY SWM PROGRAM'!$E:$E, "AUGUST", 'BRGY SWM PROGRAM'!$T:$T, "TRUE", 'BRGY SWM PROGRAM'!$I:$I, "&lt;&gt;")</f>
        <v>1</v>
      </c>
      <c r="D74" s="411">
        <f>COUNTIFS('BRGY SWM PROGRAM'!$S:$S, "Received by Planning", 'BRGY SWM PROGRAM'!$E:$E, "SEPTEMBER", 'BRGY SWM PROGRAM'!$T:$T, "TRUE", 'BRGY SWM PROGRAM'!$I:$I, "&lt;&gt;")</f>
        <v>2</v>
      </c>
      <c r="E74" s="411">
        <f>COUNTIFS('BRGY SWM PROGRAM'!$S:$S, "Received by Planning", 'BRGY SWM PROGRAM'!$E:$E, "OCTOBER", 'BRGY SWM PROGRAM'!$T:$T, "TRUE", 'BRGY SWM PROGRAM'!$I:$I, "&lt;&gt;")</f>
        <v>3</v>
      </c>
      <c r="F74" s="411">
        <f>COUNTIFS('BRGY SWM PROGRAM'!$S:$S, "Received by Planning", 'BRGY SWM PROGRAM'!$E:$E, "NOVEMBER", 'BRGY SWM PROGRAM'!$T:$T, "TRUE", 'BRGY SWM PROGRAM'!$I:$I, "&lt;&gt;")</f>
        <v>0</v>
      </c>
      <c r="G74" s="417">
        <f>COUNTIFS('BRGY SWM PROGRAM'!$S:$S, "Received by Planning", 'BRGY SWM PROGRAM'!$E:$E, "DECEMBER", 'BRGY SWM PROGRAM'!$T:$T, "TRUE", 'BRGY SWM PROGRAM'!$I:$I, "&lt;&gt;")</f>
        <v>0</v>
      </c>
      <c r="H74" s="805">
        <f t="shared" si="20"/>
        <v>8</v>
      </c>
      <c r="I74" s="805"/>
    </row>
    <row r="75" spans="1:14" ht="15.75">
      <c r="A75" s="639" t="s">
        <v>9621</v>
      </c>
      <c r="B75" s="19" t="s">
        <v>622</v>
      </c>
      <c r="C75" s="19" t="s">
        <v>622</v>
      </c>
      <c r="D75" s="19" t="s">
        <v>622</v>
      </c>
      <c r="E75" s="19" t="s">
        <v>622</v>
      </c>
      <c r="F75" s="19" t="s">
        <v>622</v>
      </c>
      <c r="G75" s="19" t="s">
        <v>622</v>
      </c>
      <c r="H75" s="805">
        <f t="shared" si="20"/>
        <v>0</v>
      </c>
      <c r="I75" s="805"/>
    </row>
    <row r="76" spans="1:14" ht="15.75">
      <c r="A76" s="641" t="s">
        <v>47</v>
      </c>
      <c r="B76" s="642">
        <f>SUM(B77:B78)</f>
        <v>3</v>
      </c>
      <c r="C76" s="642">
        <f t="shared" ref="C76:G76" si="32">SUM(C77:C78)</f>
        <v>6</v>
      </c>
      <c r="D76" s="642">
        <f t="shared" si="32"/>
        <v>3</v>
      </c>
      <c r="E76" s="642">
        <f t="shared" si="32"/>
        <v>6</v>
      </c>
      <c r="F76" s="642">
        <f t="shared" si="32"/>
        <v>4</v>
      </c>
      <c r="G76" s="642">
        <f t="shared" si="32"/>
        <v>0</v>
      </c>
      <c r="H76" s="806">
        <f t="shared" si="20"/>
        <v>22</v>
      </c>
      <c r="I76" s="806"/>
    </row>
    <row r="77" spans="1:14" ht="15.75">
      <c r="A77" s="639" t="s">
        <v>9620</v>
      </c>
      <c r="B77" s="19">
        <f>COUNTIFS('TRANSFER STATION'!$W:$W, "Received by Planning", 'TRANSFER STATION'!$M:$M, "&lt;&gt;",'TRANSFER STATION'!$D:$D, "MBA", 'TRANSFER STATION'!$I:$I, "7.July")</f>
        <v>3</v>
      </c>
      <c r="C77" s="19">
        <f>COUNTIFS('TRANSFER STATION'!$W:$W, "Received by Planning", 'TRANSFER STATION'!$M:$M, "&lt;&gt;",'TRANSFER STATION'!$D:$D, "MBA", 'TRANSFER STATION'!$I:$I, "8.August")</f>
        <v>5</v>
      </c>
      <c r="D77" s="19">
        <f>COUNTIFS('TRANSFER STATION'!$W:$W, "Received by Planning", 'TRANSFER STATION'!$M:$M, "&lt;&gt;",'TRANSFER STATION'!$D:$D, "MBA", 'TRANSFER STATION'!$I:$I, "9.September")</f>
        <v>3</v>
      </c>
      <c r="E77" s="19">
        <f>COUNTIFS('TRANSFER STATION'!$W:$W, "Received by Planning", 'TRANSFER STATION'!$M:$M, "&lt;&gt;",'TRANSFER STATION'!$D:$D, "MBA", 'TRANSFER STATION'!$I:$I, "10.October")</f>
        <v>5</v>
      </c>
      <c r="F77" s="19">
        <f>COUNTIFS('TRANSFER STATION'!$W:$W, "Received by Planning", 'TRANSFER STATION'!$M:$M, "&lt;&gt;",'TRANSFER STATION'!$D:$D, "MBA", 'TRANSFER STATION'!$I:$I, "11.November")</f>
        <v>2</v>
      </c>
      <c r="G77" s="19">
        <f>COUNTIFS('TRANSFER STATION'!$W:$W, "Received by Planning", 'TRANSFER STATION'!$M:$M, "&lt;&gt;",'TRANSFER STATION'!$D:$D, "MBA", 'TRANSFER STATION'!$I:$I, "12.December")</f>
        <v>0</v>
      </c>
      <c r="H77" s="805">
        <f t="shared" si="20"/>
        <v>18</v>
      </c>
      <c r="I77" s="805"/>
    </row>
    <row r="78" spans="1:14" ht="15.75">
      <c r="A78" s="639" t="s">
        <v>9621</v>
      </c>
      <c r="B78" s="19">
        <f>COUNTIFS('TRANSFER STATION'!$W:$W, "Received by Planning", 'TRANSFER STATION'!$M:$M, "&lt;&gt;",'TRANSFER STATION'!$D:$D, "OUTSIDE MBA", 'TRANSFER STATION'!$I:$I, "7.July")</f>
        <v>0</v>
      </c>
      <c r="C78" s="19">
        <f>COUNTIFS('TRANSFER STATION'!$W:$W, "Received by Planning", 'TRANSFER STATION'!$M:$M, "&lt;&gt;",'TRANSFER STATION'!$D:$D, "OUTSIDE MBA", 'TRANSFER STATION'!$I:$I, "8.August")</f>
        <v>1</v>
      </c>
      <c r="D78" s="19">
        <f>COUNTIFS('TRANSFER STATION'!$W:$W, "Received by Planning", 'TRANSFER STATION'!$M:$M, "&lt;&gt;",'TRANSFER STATION'!$D:$D, "OUTSIDE MBA", 'TRANSFER STATION'!$I:$I, "9.September")</f>
        <v>0</v>
      </c>
      <c r="E78" s="19">
        <f>COUNTIFS('TRANSFER STATION'!$W:$W, "Received by Planning", 'TRANSFER STATION'!$M:$M, "&lt;&gt;",'TRANSFER STATION'!$D:$D, "OUTSIDE MBA", 'TRANSFER STATION'!$I:$I, "10.October")</f>
        <v>1</v>
      </c>
      <c r="F78" s="19">
        <f>COUNTIFS('TRANSFER STATION'!$W:$W, "Received by Planning", 'TRANSFER STATION'!$M:$M, "&lt;&gt;",'TRANSFER STATION'!$D:$D, "OUTSIDE MBA", 'TRANSFER STATION'!$I:$I, "11.November")</f>
        <v>2</v>
      </c>
      <c r="G78" s="19">
        <f>COUNTIFS('TRANSFER STATION'!$W:$W, "Received by Planning", 'TRANSFER STATION'!$M:$M, "&lt;&gt;",'TRANSFER STATION'!$D:$D, "OUTSIDE MBA", 'TRANSFER STATION'!$I:$I, "12.December")</f>
        <v>0</v>
      </c>
      <c r="H78" s="805">
        <f t="shared" si="20"/>
        <v>4</v>
      </c>
      <c r="I78" s="805"/>
    </row>
    <row r="79" spans="1:14" ht="15.75">
      <c r="A79" s="641" t="s">
        <v>46</v>
      </c>
      <c r="B79" s="642">
        <f>SUM(B80:B81)</f>
        <v>8</v>
      </c>
      <c r="C79" s="642">
        <f t="shared" ref="C79:G79" si="33">SUM(C80:C81)</f>
        <v>35</v>
      </c>
      <c r="D79" s="642">
        <f t="shared" si="33"/>
        <v>35</v>
      </c>
      <c r="E79" s="642">
        <f t="shared" si="33"/>
        <v>36</v>
      </c>
      <c r="F79" s="642">
        <f t="shared" si="33"/>
        <v>29</v>
      </c>
      <c r="G79" s="642">
        <f t="shared" si="33"/>
        <v>0</v>
      </c>
      <c r="H79" s="806">
        <f t="shared" si="20"/>
        <v>143</v>
      </c>
      <c r="I79" s="806"/>
    </row>
    <row r="80" spans="1:14" ht="15.75">
      <c r="A80" s="639" t="s">
        <v>9620</v>
      </c>
      <c r="B80" s="19">
        <f>COUNTIFS('TRASH TRAP 2nd Sem'!$W:$W, "Received by Planning", 'TRASH TRAP 2nd Sem'!$M:$M, "&lt;&gt;", 'TRASH TRAP 2nd Sem'!$I:$I, "July", 'TRASH TRAP 2nd Sem'!$D:$D, "MBA")</f>
        <v>8</v>
      </c>
      <c r="C80" s="19">
        <f>COUNTIFS('TRASH TRAP 2nd Sem'!$W:$W, "Received by Planning", 'TRASH TRAP 2nd Sem'!$M:$M, "&lt;&gt;", 'TRASH TRAP 2nd Sem'!$I:$I, "August", 'TRASH TRAP 2nd Sem'!$D:$D, "MBA")</f>
        <v>35</v>
      </c>
      <c r="D80" s="19">
        <f>COUNTIFS('TRASH TRAP 2nd Sem'!$W:$W, "Received by Planning", 'TRASH TRAP 2nd Sem'!$M:$M, "&lt;&gt;", 'TRASH TRAP 2nd Sem'!$I:$I, "September", 'TRASH TRAP 2nd Sem'!$D:$D, "MBA")</f>
        <v>35</v>
      </c>
      <c r="E80" s="19">
        <f>COUNTIFS('TRASH TRAP 2nd Sem'!$W:$W, "Received by Planning", 'TRASH TRAP 2nd Sem'!$M:$M, "&lt;&gt;", 'TRASH TRAP 2nd Sem'!$I:$I, "October", 'TRASH TRAP 2nd Sem'!$D:$D, "MBA")</f>
        <v>36</v>
      </c>
      <c r="F80" s="19">
        <f>COUNTIFS('TRASH TRAP 2nd Sem'!$W:$W, "Received by Planning", 'TRASH TRAP 2nd Sem'!$M:$M, "&lt;&gt;", 'TRASH TRAP 2nd Sem'!$I:$I, "November", 'TRASH TRAP 2nd Sem'!$D:$D, "MBA")</f>
        <v>29</v>
      </c>
      <c r="G80" s="19">
        <f>COUNTIFS('TRASH TRAP 2nd Sem'!$W:$W, "Received by Planning", 'TRASH TRAP 2nd Sem'!$M:$M, "&lt;&gt;", 'TRASH TRAP 2nd Sem'!$I:$I, "December", 'TRASH TRAP 2nd Sem'!$D:$D, "MBA")</f>
        <v>0</v>
      </c>
      <c r="H80" s="805">
        <f t="shared" si="20"/>
        <v>143</v>
      </c>
      <c r="I80" s="805"/>
    </row>
    <row r="81" spans="1:9" ht="15.75">
      <c r="A81" s="639" t="s">
        <v>9621</v>
      </c>
      <c r="B81" s="19">
        <f>COUNTIFS('TRASH TRAP 2nd Sem'!$W:$W, "Received by Planning", 'TRASH TRAP 2nd Sem'!$M:$M, "&lt;&gt;", 'TRASH TRAP 2nd Sem'!$I:$I, "July", 'TRASH TRAP 2nd Sem'!$D:$D, "OUTSIDE MBA")</f>
        <v>0</v>
      </c>
      <c r="C81" s="19">
        <f>COUNTIFS('TRASH TRAP 2nd Sem'!$W:$W, "Received by Planning", 'TRASH TRAP 2nd Sem'!$M:$M, "&lt;&gt;", 'TRASH TRAP 2nd Sem'!$I:$I, "August", 'TRASH TRAP 2nd Sem'!$D:$D, "OUTSIDE MBA")</f>
        <v>0</v>
      </c>
      <c r="D81" s="19">
        <f>COUNTIFS('TRASH TRAP 2nd Sem'!$W:$W, "Received by Planning", 'TRASH TRAP 2nd Sem'!$M:$M, "&lt;&gt;", 'TRASH TRAP 2nd Sem'!$I:$I, "September", 'TRASH TRAP 2nd Sem'!$D:$D, "OUTSIDE MBA")</f>
        <v>0</v>
      </c>
      <c r="E81" s="19">
        <f>COUNTIFS('TRASH TRAP 2nd Sem'!$W:$W, "Received by Planning", 'TRASH TRAP 2nd Sem'!$M:$M, "&lt;&gt;", 'TRASH TRAP 2nd Sem'!$I:$I, "October", 'TRASH TRAP 2nd Sem'!$D:$D, "OUTSIDE MBA")</f>
        <v>0</v>
      </c>
      <c r="F81" s="19">
        <f>COUNTIFS('TRASH TRAP 2nd Sem'!$W:$W, "Received by Planning", 'TRASH TRAP 2nd Sem'!$M:$M, "&lt;&gt;", 'TRASH TRAP 2nd Sem'!$I:$I, "November", 'TRASH TRAP 2nd Sem'!$D:$D, "OUTSIDE MBA")</f>
        <v>0</v>
      </c>
      <c r="G81" s="19">
        <f>COUNTIFS('TRASH TRAP 2nd Sem'!$W:$W, "Received by Planning", 'TRASH TRAP 2nd Sem'!$M:$M, "&lt;&gt;", 'TRASH TRAP 2nd Sem'!$I:$I, "December", 'TRASH TRAP 2nd Sem'!$D:$D, "OUTSIDE MBA")</f>
        <v>0</v>
      </c>
      <c r="H81" s="805">
        <f t="shared" si="20"/>
        <v>0</v>
      </c>
      <c r="I81" s="805"/>
    </row>
    <row r="82" spans="1:9" ht="15.75">
      <c r="A82" s="641" t="s">
        <v>9610</v>
      </c>
      <c r="B82" s="642">
        <f>SUM(B83:B84)</f>
        <v>7</v>
      </c>
      <c r="C82" s="642">
        <f t="shared" ref="C82:G82" si="34">SUM(C83:C84)</f>
        <v>5</v>
      </c>
      <c r="D82" s="642">
        <f t="shared" si="34"/>
        <v>7</v>
      </c>
      <c r="E82" s="642">
        <f t="shared" si="34"/>
        <v>7</v>
      </c>
      <c r="F82" s="642">
        <f t="shared" si="34"/>
        <v>4</v>
      </c>
      <c r="G82" s="642">
        <f t="shared" si="34"/>
        <v>0</v>
      </c>
      <c r="H82" s="806">
        <f t="shared" si="20"/>
        <v>30</v>
      </c>
      <c r="I82" s="806"/>
    </row>
    <row r="83" spans="1:9" ht="15.75">
      <c r="A83" s="639" t="s">
        <v>9620</v>
      </c>
      <c r="B83" s="19">
        <f>COUNTIFS('LGU ACCESS TO SLF'!$T:$T, "Received by Planning", 'LGU ACCESS TO SLF'!$J:$J, "&lt;&gt;", 'LGU ACCESS TO SLF'!$F:$F, "July", 'LGU ACCESS TO SLF'!$D:$D, "MBA")</f>
        <v>4</v>
      </c>
      <c r="C83" s="19">
        <f>COUNTIFS('LGU ACCESS TO SLF'!$T:$T, "Received by Planning", 'LGU ACCESS TO SLF'!$J:$J, "&lt;&gt;", 'LGU ACCESS TO SLF'!$F:$F, "August", 'LGU ACCESS TO SLF'!$D:$D, "MBA")</f>
        <v>4</v>
      </c>
      <c r="D83" s="19">
        <f>COUNTIFS('LGU ACCESS TO SLF'!$T:$T, "Received by Planning", 'LGU ACCESS TO SLF'!$J:$J, "&lt;&gt;", 'LGU ACCESS TO SLF'!$F:$F, "September", 'LGU ACCESS TO SLF'!$D:$D, "MBA")</f>
        <v>4</v>
      </c>
      <c r="E83" s="19">
        <f>COUNTIFS('LGU ACCESS TO SLF'!$T:$T, "Received by Planning", 'LGU ACCESS TO SLF'!$J:$J, "&lt;&gt;", 'LGU ACCESS TO SLF'!$F:$F, "October", 'LGU ACCESS TO SLF'!$D:$D, "MBA")</f>
        <v>5</v>
      </c>
      <c r="F83" s="19">
        <f>COUNTIFS('LGU ACCESS TO SLF'!$T:$T, "Received by Planning", 'LGU ACCESS TO SLF'!$J:$J, "&lt;&gt;", 'LGU ACCESS TO SLF'!$F:$F, "November", 'LGU ACCESS TO SLF'!$D:$D, "MBA")</f>
        <v>3</v>
      </c>
      <c r="G83" s="19">
        <f>COUNTIFS('LGU ACCESS TO SLF'!$T:$T, "Received by Planning", 'LGU ACCESS TO SLF'!$J:$J, "&lt;&gt;", 'LGU ACCESS TO SLF'!$F:$F, "December", 'LGU ACCESS TO SLF'!$D:$D, "MBA")</f>
        <v>0</v>
      </c>
      <c r="H83" s="805">
        <f t="shared" si="20"/>
        <v>20</v>
      </c>
      <c r="I83" s="805"/>
    </row>
    <row r="84" spans="1:9" ht="15.75">
      <c r="A84" s="639" t="s">
        <v>9621</v>
      </c>
      <c r="B84" s="19">
        <f>COUNTIFS('LGU ACCESS TO SLF'!$T:$T, "Received by Planning", 'LGU ACCESS TO SLF'!$J:$J, "&lt;&gt;", 'LGU ACCESS TO SLF'!$F:$F, "July", 'LGU ACCESS TO SLF'!$D:$D, "OUTSIDE MBA")</f>
        <v>3</v>
      </c>
      <c r="C84" s="19">
        <f>COUNTIFS('LGU ACCESS TO SLF'!$T:$T, "Received by Planning", 'LGU ACCESS TO SLF'!$J:$J, "&lt;&gt;", 'LGU ACCESS TO SLF'!$F:$F, "August", 'LGU ACCESS TO SLF'!$D:$D, "OUTSIDE MBA")</f>
        <v>1</v>
      </c>
      <c r="D84" s="19">
        <f>COUNTIFS('LGU ACCESS TO SLF'!$T:$T, "Received by Planning", 'LGU ACCESS TO SLF'!$J:$J, "&lt;&gt;", 'LGU ACCESS TO SLF'!$F:$F, "September", 'LGU ACCESS TO SLF'!$D:$D, "OUTSIDE MBA")</f>
        <v>3</v>
      </c>
      <c r="E84" s="19">
        <f>COUNTIFS('LGU ACCESS TO SLF'!$T:$T, "Received by Planning", 'LGU ACCESS TO SLF'!$J:$J, "&lt;&gt;", 'LGU ACCESS TO SLF'!$F:$F, "October", 'LGU ACCESS TO SLF'!$D:$D, "OUTSIDE MBA")</f>
        <v>2</v>
      </c>
      <c r="F84" s="19">
        <f>COUNTIFS('LGU ACCESS TO SLF'!$T:$T, "Received by Planning", 'LGU ACCESS TO SLF'!$J:$J, "&lt;&gt;", 'LGU ACCESS TO SLF'!$F:$F, "November", 'LGU ACCESS TO SLF'!$D:$D, "OUTSIDE MBA")</f>
        <v>1</v>
      </c>
      <c r="G84" s="19">
        <f>COUNTIFS('LGU ACCESS TO SLF'!$T:$T, "Received by Planning", 'LGU ACCESS TO SLF'!$J:$J, "&lt;&gt;", 'LGU ACCESS TO SLF'!$F:$F, "December", 'LGU ACCESS TO SLF'!$D:$D, "OUTSIDE MBA")</f>
        <v>0</v>
      </c>
      <c r="H84" s="801">
        <f t="shared" si="20"/>
        <v>10</v>
      </c>
      <c r="I84" s="801"/>
    </row>
  </sheetData>
  <sheetProtection algorithmName="SHA-512" hashValue="RC9CqkF67yreDc41F5NUYivLOqT24tWqJK2CYT1U0exzEfM7dUHhcq/V71z1mYbjl6HqdeRZmi3Qw7eQq9S58A==" saltValue="BMhZBdBlJ0ZZoQA0RU1hGg==" spinCount="100000" sheet="1" objects="1" scenarios="1"/>
  <mergeCells count="61">
    <mergeCell ref="H82:I82"/>
    <mergeCell ref="H83:I83"/>
    <mergeCell ref="H84:I84"/>
    <mergeCell ref="H77:I77"/>
    <mergeCell ref="H78:I78"/>
    <mergeCell ref="H79:I79"/>
    <mergeCell ref="H80:I80"/>
    <mergeCell ref="H81:I81"/>
    <mergeCell ref="H62:I62"/>
    <mergeCell ref="H63:I63"/>
    <mergeCell ref="H64:I64"/>
    <mergeCell ref="H65:I65"/>
    <mergeCell ref="H66:I66"/>
    <mergeCell ref="H67:I67"/>
    <mergeCell ref="H68:I68"/>
    <mergeCell ref="H69:I69"/>
    <mergeCell ref="H70:I70"/>
    <mergeCell ref="H71:I71"/>
    <mergeCell ref="H72:I72"/>
    <mergeCell ref="H73:I73"/>
    <mergeCell ref="H74:I74"/>
    <mergeCell ref="H75:I75"/>
    <mergeCell ref="H76:I76"/>
    <mergeCell ref="H57:I57"/>
    <mergeCell ref="H58:I58"/>
    <mergeCell ref="H59:I59"/>
    <mergeCell ref="H60:I60"/>
    <mergeCell ref="H61:I61"/>
    <mergeCell ref="H52:I52"/>
    <mergeCell ref="H53:I53"/>
    <mergeCell ref="H54:I54"/>
    <mergeCell ref="H55:I55"/>
    <mergeCell ref="H56:I56"/>
    <mergeCell ref="A46:I47"/>
    <mergeCell ref="H48:I48"/>
    <mergeCell ref="H49:I49"/>
    <mergeCell ref="H50:I50"/>
    <mergeCell ref="H51:I51"/>
    <mergeCell ref="A13:I14"/>
    <mergeCell ref="A26:I27"/>
    <mergeCell ref="A1:I2"/>
    <mergeCell ref="H3:I3"/>
    <mergeCell ref="H4:I4"/>
    <mergeCell ref="H5:I5"/>
    <mergeCell ref="H6:I6"/>
    <mergeCell ref="H7:I7"/>
    <mergeCell ref="H8:I8"/>
    <mergeCell ref="H9:I9"/>
    <mergeCell ref="H10:I10"/>
    <mergeCell ref="H11:I11"/>
    <mergeCell ref="A38:C39"/>
    <mergeCell ref="E38:G39"/>
    <mergeCell ref="H28:I28"/>
    <mergeCell ref="H29:I29"/>
    <mergeCell ref="H30:I30"/>
    <mergeCell ref="H31:I31"/>
    <mergeCell ref="H32:I32"/>
    <mergeCell ref="H33:I33"/>
    <mergeCell ref="H34:I34"/>
    <mergeCell ref="H35:I35"/>
    <mergeCell ref="H36:I36"/>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B592B-F978-4E06-9FDD-B8E52EA4D6A5}">
  <sheetPr codeName="Sheet19"/>
  <dimension ref="A1:AE77"/>
  <sheetViews>
    <sheetView workbookViewId="0">
      <selection activeCell="L14" sqref="L14"/>
    </sheetView>
  </sheetViews>
  <sheetFormatPr defaultColWidth="9.140625" defaultRowHeight="15"/>
  <cols>
    <col min="1" max="1" width="23.28515625" customWidth="1"/>
    <col min="2" max="2" width="15.7109375" customWidth="1"/>
    <col min="3" max="3" width="11.7109375" customWidth="1"/>
    <col min="4" max="4" width="9.140625" customWidth="1"/>
    <col min="5" max="5" width="11.5703125" customWidth="1"/>
    <col min="6" max="6" width="16.28515625" customWidth="1"/>
    <col min="7" max="7" width="10.5703125" customWidth="1"/>
    <col min="8" max="8" width="13.5703125" customWidth="1"/>
    <col min="9" max="9" width="11.140625" customWidth="1"/>
    <col min="10" max="10" width="14.140625" customWidth="1"/>
    <col min="11" max="11" width="10.7109375" customWidth="1"/>
    <col min="12" max="12" width="14.28515625" customWidth="1"/>
    <col min="13" max="13" width="10.7109375" customWidth="1"/>
    <col min="14" max="14" width="13.7109375" customWidth="1"/>
    <col min="15" max="15" width="11.28515625" customWidth="1"/>
    <col min="16" max="16" width="14.7109375" customWidth="1"/>
    <col min="17" max="17" width="10.7109375" customWidth="1"/>
    <col min="18" max="18" width="23.85546875" customWidth="1"/>
    <col min="19" max="19" width="11.5703125" customWidth="1"/>
    <col min="20" max="20" width="27.42578125" customWidth="1"/>
    <col min="21" max="21" width="15.140625" customWidth="1"/>
    <col min="22" max="22" width="18" customWidth="1"/>
    <col min="23" max="23" width="19.140625" customWidth="1"/>
    <col min="24" max="24" width="23" customWidth="1"/>
    <col min="25" max="25" width="18.42578125" customWidth="1"/>
    <col min="26" max="26" width="20.140625" customWidth="1"/>
    <col min="27" max="27" width="18.5703125" customWidth="1"/>
    <col min="28" max="28" width="20.28515625" customWidth="1"/>
    <col min="29" max="29" width="22.7109375" customWidth="1"/>
  </cols>
  <sheetData>
    <row r="1" spans="1:31" s="390" customFormat="1" ht="18.75">
      <c r="A1" s="809" t="s">
        <v>9623</v>
      </c>
      <c r="B1" s="810" t="s">
        <v>9624</v>
      </c>
      <c r="C1" s="810"/>
      <c r="D1" s="811" t="s">
        <v>9608</v>
      </c>
      <c r="E1" s="811"/>
      <c r="F1" s="812" t="s">
        <v>45</v>
      </c>
      <c r="G1" s="812"/>
      <c r="H1" s="813" t="s">
        <v>9625</v>
      </c>
      <c r="I1" s="813"/>
      <c r="J1" s="810" t="s">
        <v>9626</v>
      </c>
      <c r="K1" s="810"/>
      <c r="L1" s="811" t="s">
        <v>9627</v>
      </c>
      <c r="M1" s="811"/>
      <c r="N1" s="812" t="s">
        <v>9</v>
      </c>
      <c r="O1" s="812"/>
      <c r="P1" s="813" t="s">
        <v>9628</v>
      </c>
      <c r="Q1" s="813"/>
      <c r="R1" s="807" t="s">
        <v>9629</v>
      </c>
      <c r="S1" s="807"/>
      <c r="T1" s="808" t="s">
        <v>9630</v>
      </c>
      <c r="U1" s="808"/>
      <c r="V1" s="815" t="s">
        <v>9631</v>
      </c>
      <c r="W1" s="815"/>
      <c r="X1" s="814" t="s">
        <v>9632</v>
      </c>
      <c r="Y1" s="814"/>
      <c r="Z1" s="807" t="s">
        <v>9633</v>
      </c>
      <c r="AA1" s="807"/>
      <c r="AB1" s="808" t="s">
        <v>9634</v>
      </c>
      <c r="AC1" s="808"/>
      <c r="AE1" s="390" t="s">
        <v>9635</v>
      </c>
    </row>
    <row r="2" spans="1:31" ht="36.75" customHeight="1">
      <c r="A2" s="809"/>
      <c r="B2" s="396" t="s">
        <v>9636</v>
      </c>
      <c r="C2" s="391" t="s">
        <v>9637</v>
      </c>
      <c r="D2" s="396" t="s">
        <v>9636</v>
      </c>
      <c r="E2" s="391" t="s">
        <v>9637</v>
      </c>
      <c r="F2" s="396" t="s">
        <v>9636</v>
      </c>
      <c r="G2" s="391" t="s">
        <v>9637</v>
      </c>
      <c r="H2" s="396" t="s">
        <v>9636</v>
      </c>
      <c r="I2" s="391" t="s">
        <v>9637</v>
      </c>
      <c r="J2" s="396" t="s">
        <v>9636</v>
      </c>
      <c r="K2" s="391" t="s">
        <v>9637</v>
      </c>
      <c r="L2" s="396" t="s">
        <v>9636</v>
      </c>
      <c r="M2" s="391" t="s">
        <v>9637</v>
      </c>
      <c r="N2" s="396" t="s">
        <v>9636</v>
      </c>
      <c r="O2" s="391" t="s">
        <v>9637</v>
      </c>
      <c r="P2" s="396" t="s">
        <v>9636</v>
      </c>
      <c r="Q2" s="391" t="s">
        <v>9637</v>
      </c>
      <c r="R2" s="396" t="s">
        <v>9636</v>
      </c>
      <c r="S2" s="394" t="s">
        <v>9637</v>
      </c>
      <c r="T2" s="396" t="s">
        <v>9636</v>
      </c>
      <c r="U2" s="394" t="s">
        <v>9637</v>
      </c>
      <c r="V2" s="396" t="s">
        <v>9636</v>
      </c>
      <c r="W2" s="394" t="s">
        <v>9637</v>
      </c>
      <c r="X2" s="396" t="s">
        <v>9636</v>
      </c>
      <c r="Y2" s="394" t="s">
        <v>9637</v>
      </c>
      <c r="Z2" s="396" t="s">
        <v>9636</v>
      </c>
      <c r="AA2" s="394" t="s">
        <v>9637</v>
      </c>
      <c r="AB2" s="396" t="s">
        <v>9636</v>
      </c>
      <c r="AC2" s="394" t="s">
        <v>9637</v>
      </c>
      <c r="AE2" t="s">
        <v>29</v>
      </c>
    </row>
    <row r="3" spans="1:31" ht="18.75" customHeight="1">
      <c r="A3" s="397" t="s">
        <v>9638</v>
      </c>
      <c r="B3" s="393">
        <f>SUM(B14:B37)</f>
        <v>986</v>
      </c>
      <c r="C3" s="395">
        <f>AVERAGEIFS('BRGY TECHNICAL ASISSTANCE'!$V:$V,'BRGY TECHNICAL ASISSTANCE'!$W:$W, "Received by Planning",'BRGY TECHNICAL ASISSTANCE'!$N:$N, "&lt;&gt;")</f>
        <v>1.4115226337448559</v>
      </c>
      <c r="D3" s="393">
        <f>SUM(D14:D37)</f>
        <v>1693</v>
      </c>
      <c r="E3" s="395">
        <f>AVERAGEIFS('BARANGAY ACCESS'!U:U,'BARANGAY ACCESS'!$V:$V, "Received by Planning", 'BARANGAY ACCESS'!$L:$L, "&lt;&gt;")</f>
        <v>1.441446613088404</v>
      </c>
      <c r="F3" s="393">
        <f>SUM(F16:F37)</f>
        <v>21</v>
      </c>
      <c r="G3" s="395">
        <f>AVERAGEIFS('PDS 1st Sem'!$AB:$AB, 'PDS 1st Sem'!$AC:$AC, "Received by Planning", 'PDS 1st Sem'!$S:$S, "&lt;&gt;")</f>
        <v>1.3809523809523809</v>
      </c>
      <c r="H3" s="400">
        <f>SUM(H17:H37,H8,2,2,2,1)</f>
        <v>46</v>
      </c>
      <c r="I3" s="399">
        <f>AVERAGEIFS('LGU ACCESS TO SLF'!$S:$S, 'LGU ACCESS TO SLF'!$T:$T, "Received by Planning", 'LGU ACCESS TO SLF'!$J:$J, "&lt;&gt;")</f>
        <v>1.2461538461538462</v>
      </c>
      <c r="J3" s="398">
        <f>SUM(J16:J37)</f>
        <v>20</v>
      </c>
      <c r="K3" s="399">
        <f>AVERAGEIFS('BRGY SWM PROGRAM'!$R:$R, 'BRGY SWM PROGRAM'!$S:$S, "Received by Planning", 'BRGY SWM PROGRAM'!$I:$I, "&lt;&gt;")</f>
        <v>1.25</v>
      </c>
      <c r="L3" s="398">
        <f>SUM(L14:L37)</f>
        <v>140</v>
      </c>
      <c r="M3" s="399">
        <f>AVERAGEIFS('TRASH TRAP 1st Sem'!$V:$V, 'TRASH TRAP 1st Sem'!$W:$W, "Received by Planning", 'TRASH TRAP 1st Sem'!$M:$M, "&lt;&gt;")</f>
        <v>7.5285714285714285</v>
      </c>
      <c r="N3" s="398">
        <f>SUM(N16:N37)</f>
        <v>10</v>
      </c>
      <c r="O3" s="399">
        <f>AVERAGEIFS(RCA!$V:$V, RCA!$W:$W, "Received by Planning", RCA!$M:$M, "&lt;&gt;")</f>
        <v>1</v>
      </c>
      <c r="P3" s="398">
        <f>SUM(P14:P37)</f>
        <v>31</v>
      </c>
      <c r="Q3" s="399">
        <f>AVERAGEIFS('TRANSFER STATION'!$V:$V, 'TRANSFER STATION'!$W:$W, "Received by Planning", 'TRANSFER STATION'!$M:$M, "&lt;&gt;")</f>
        <v>2.347826086956522</v>
      </c>
      <c r="R3" s="420" t="s">
        <v>622</v>
      </c>
      <c r="S3" s="421" t="s">
        <v>622</v>
      </c>
      <c r="T3" s="401" t="s">
        <v>622</v>
      </c>
      <c r="U3" s="401" t="s">
        <v>622</v>
      </c>
      <c r="V3" s="406" t="s">
        <v>622</v>
      </c>
      <c r="W3" s="406" t="s">
        <v>622</v>
      </c>
      <c r="X3" s="402" t="s">
        <v>622</v>
      </c>
      <c r="Y3" s="402" t="s">
        <v>622</v>
      </c>
      <c r="Z3" s="404" t="s">
        <v>622</v>
      </c>
      <c r="AA3" s="404" t="s">
        <v>622</v>
      </c>
      <c r="AB3" s="401" t="s">
        <v>622</v>
      </c>
      <c r="AC3" s="401" t="s">
        <v>622</v>
      </c>
      <c r="AE3" t="s">
        <v>267</v>
      </c>
    </row>
    <row r="4" spans="1:31" ht="18.75" customHeight="1">
      <c r="A4" s="1" t="s">
        <v>1982</v>
      </c>
      <c r="B4" s="19">
        <f>COUNTIFS('BRGY TECHNICAL ASISSTANCE'!$W:$W, "Received by Planning", 'BRGY TECHNICAL ASISSTANCE'!$M:$M, "Diozelle L. Cabalar",'BRGY TECHNICAL ASISSTANCE'!$N:$N, "&lt;&gt;")</f>
        <v>185</v>
      </c>
      <c r="C4" s="395">
        <f>AVERAGEIFS('BRGY TECHNICAL ASISSTANCE'!$U:$U,'BRGY TECHNICAL ASISSTANCE'!$W:$W, "Received by Planning",'BRGY TECHNICAL ASISSTANCE'!$M:$M, "Diozelle L. Cabalar", 'BRGY TECHNICAL ASISSTANCE'!$N:$N, "&lt;&gt;")</f>
        <v>1.3945945945945946</v>
      </c>
      <c r="D4" s="19">
        <f>COUNTIFS('BARANGAY ACCESS'!$V:$V, "Received by Planning", 'BARANGAY ACCESS'!$K:$K, "Diozelle L. Cabalar", 'BARANGAY ACCESS'!$L:$L, "&lt;&gt;")</f>
        <v>314</v>
      </c>
      <c r="E4" s="395">
        <f>AVERAGEIFS('BARANGAY ACCESS'!$T:$T, 'BARANGAY ACCESS'!$V:$V, "Received by Planning", 'BARANGAY ACCESS'!$K:$K, "Diozelle L. Cabalar", 'BARANGAY ACCESS'!$L:$L, "&lt;&gt;")</f>
        <v>2.2547770700636942</v>
      </c>
      <c r="F4" s="19">
        <f>COUNTIFS('PDS 1st Sem'!$AC:$AC, "Received by Planning", 'PDS 1st Sem'!$R:$R, "Diozelle L. Cabalar", 'PDS 1st Sem'!$S:$S, "&lt;&gt;")</f>
        <v>3</v>
      </c>
      <c r="G4" s="395">
        <f>AVERAGEIFS('PDS 1st Sem'!$AA:$AA, 'PDS 1st Sem'!$AC:$AC, "Received by Planning", 'PDS 1st Sem'!$R:$R, "Diozelle L. Cabalar", 'PDS 1st Sem'!$S:$S, "&lt;&gt;")</f>
        <v>1.6666666666666667</v>
      </c>
      <c r="H4" s="400">
        <f>COUNTIFS('LGU ACCESS TO SLF'!$T:$T, "Received by Planning", 'LGU ACCESS TO SLF'!$I:$I, "Diozelle L. Cabalar", 'LGU ACCESS TO SLF'!$J:$J, "&lt;&gt;")</f>
        <v>7</v>
      </c>
      <c r="I4" s="399">
        <f>AVERAGEIFS('LGU ACCESS TO SLF'!$R:$R, 'LGU ACCESS TO SLF'!$T:$T, "Received by Planning", 'LGU ACCESS TO SLF'!$I:$I, "Diozelle L. Cabalar", 'LGU ACCESS TO SLF'!$J:$J, "&lt;&gt;")</f>
        <v>1.5714285714285714</v>
      </c>
      <c r="J4" s="404" t="s">
        <v>622</v>
      </c>
      <c r="K4" s="404" t="s">
        <v>622</v>
      </c>
      <c r="L4" s="400">
        <f>COUNTIFS('TRASH TRAP 1st Sem'!$W:$W, "Received by Planning", 'TRASH TRAP 1st Sem'!L:L, "Diozelle L. Cabalar", 'TRASH TRAP 1st Sem'!$M:$M, "&lt;&gt;")</f>
        <v>54</v>
      </c>
      <c r="M4" s="399">
        <f>AVERAGEIFS('TRASH TRAP 1st Sem'!$U:$U, 'TRASH TRAP 1st Sem'!$W:$W, "Received by Planning",'TRASH TRAP 1st Sem'!$L:$L, "Diozelle L. Cabalar", 'TRASH TRAP 1st Sem'!$M:$M, "&lt;&gt;")</f>
        <v>2.8888888888888888</v>
      </c>
      <c r="N4" s="402" t="s">
        <v>622</v>
      </c>
      <c r="O4" s="403" t="s">
        <v>622</v>
      </c>
      <c r="P4" s="400">
        <f>COUNTIFS('TRANSFER STATION'!$W:$W, "Received by Planning", 'TRANSFER STATION'!$L:$L, "Diozelle L. Cabalar", 'TRANSFER STATION'!$M:$M, "&lt;&gt;")</f>
        <v>4</v>
      </c>
      <c r="Q4" s="399">
        <f>AVERAGEIFS('TRANSFER STATION'!$U:$U, 'TRANSFER STATION'!$W:$W, "Received by Planning", 'TRANSFER STATION'!$L:$L, "Diozelle L. Cabalar", 'TRANSFER STATION'!$M:$M, "&lt;&gt;")</f>
        <v>1.75</v>
      </c>
      <c r="R4" s="420" t="s">
        <v>622</v>
      </c>
      <c r="S4" s="404" t="s">
        <v>622</v>
      </c>
      <c r="T4" s="401" t="s">
        <v>622</v>
      </c>
      <c r="U4" s="401" t="s">
        <v>622</v>
      </c>
      <c r="V4" s="406" t="s">
        <v>622</v>
      </c>
      <c r="W4" s="406" t="s">
        <v>622</v>
      </c>
      <c r="X4" s="402" t="s">
        <v>622</v>
      </c>
      <c r="Y4" s="402" t="s">
        <v>622</v>
      </c>
      <c r="Z4" s="404" t="s">
        <v>622</v>
      </c>
      <c r="AA4" s="404" t="s">
        <v>622</v>
      </c>
      <c r="AB4" s="401" t="s">
        <v>622</v>
      </c>
      <c r="AC4" s="401" t="s">
        <v>622</v>
      </c>
      <c r="AE4" t="s">
        <v>30</v>
      </c>
    </row>
    <row r="5" spans="1:31" ht="18.75" customHeight="1">
      <c r="A5" s="1" t="s">
        <v>2393</v>
      </c>
      <c r="B5" s="19">
        <f>COUNTIFS('BRGY TECHNICAL ASISSTANCE'!$W:$W, "Received by Planning", 'BRGY TECHNICAL ASISSTANCE'!$M:$M, "Jun Guillermo",'BRGY TECHNICAL ASISSTANCE'!$N:$N, "&lt;&gt;")</f>
        <v>133</v>
      </c>
      <c r="C5" s="395">
        <f>AVERAGEIFS('BRGY TECHNICAL ASISSTANCE'!$U:$U,'BRGY TECHNICAL ASISSTANCE'!$W:$W, "Received by Planning",'BRGY TECHNICAL ASISSTANCE'!$M:$M, "Jun Guillermo", 'BRGY TECHNICAL ASISSTANCE'!$N:$N, "&lt;&gt;")</f>
        <v>1.0751879699248121</v>
      </c>
      <c r="D5" s="19">
        <f>COUNTIFS('BARANGAY ACCESS'!$V:$V, "Received by Planning", 'BARANGAY ACCESS'!$K:$K, "Jun Guillermo", 'BARANGAY ACCESS'!$L:$L, "&lt;&gt;")</f>
        <v>140</v>
      </c>
      <c r="E5" s="395">
        <f>AVERAGEIFS('BARANGAY ACCESS'!$T:$T, 'BARANGAY ACCESS'!$V:$V, "Received by Planning", 'BARANGAY ACCESS'!$K:$K, "Jun Guillermo", 'BARANGAY ACCESS'!$L:$L, "&lt;&gt;")</f>
        <v>1.0928571428571427</v>
      </c>
      <c r="F5" s="19">
        <f>COUNTIFS('PDS 1st Sem'!$AC:$AC, "Received by Planning", 'PDS 1st Sem'!$R:$R, "Jun Guillermo", 'PDS 1st Sem'!$S:$S, "&lt;&gt;")</f>
        <v>3</v>
      </c>
      <c r="G5" s="395">
        <f>AVERAGEIFS('PDS 1st Sem'!$AA:$AA, 'PDS 1st Sem'!$AC:$AC, "Received by Planning", 'PDS 1st Sem'!$R:$R, "Jun Guillermo", 'PDS 1st Sem'!$S:$S, "&lt;&gt;")</f>
        <v>1</v>
      </c>
      <c r="H5" s="400">
        <f>COUNTIFS('LGU ACCESS TO SLF'!$T:$T, "Received by Planning", 'LGU ACCESS TO SLF'!$I:$I, "Jun Guillermo", 'LGU ACCESS TO SLF'!$J:$J, "&lt;&gt;")</f>
        <v>9</v>
      </c>
      <c r="I5" s="399">
        <f>AVERAGEIFS('LGU ACCESS TO SLF'!$R:$R, 'LGU ACCESS TO SLF'!$T:$T, "Received by Planning", 'LGU ACCESS TO SLF'!$I:$I, "Jun Guillermo", 'LGU ACCESS TO SLF'!$J:$J, "&lt;&gt;")</f>
        <v>1</v>
      </c>
      <c r="J5" s="404" t="s">
        <v>622</v>
      </c>
      <c r="K5" s="404" t="s">
        <v>622</v>
      </c>
      <c r="L5" s="401" t="s">
        <v>622</v>
      </c>
      <c r="M5" s="401" t="s">
        <v>622</v>
      </c>
      <c r="N5" s="400">
        <f>COUNTIFS(RCA!$W:$W, "Received by Planning", RCA!$L:$L, "Jun Guillermo", RCA!$M:$M, "&lt;&gt;")</f>
        <v>2</v>
      </c>
      <c r="O5" s="399">
        <f>AVERAGEIFS(RCA!$U:$U, RCA!$W:$W, "Received by Planning", RCA!$L:$L, "Jun Guillermo", RCA!$M:$M, "&lt;&gt;")</f>
        <v>1</v>
      </c>
      <c r="P5" s="400">
        <f>COUNTIFS('TRANSFER STATION'!$W:$W, "Received by Planning", 'TRANSFER STATION'!$L:$L, "Jun Guillermo", 'TRANSFER STATION'!$M:$M, "&lt;&gt;")</f>
        <v>3</v>
      </c>
      <c r="Q5" s="399">
        <f>AVERAGEIFS('TRANSFER STATION'!$U:$U, 'TRANSFER STATION'!$W:$W, "Received by Planning", 'TRANSFER STATION'!$L:$L, "Jun Guillermo", 'TRANSFER STATION'!$M:$M, "&lt;&gt;")</f>
        <v>1.3333333333333333</v>
      </c>
      <c r="R5" s="420" t="s">
        <v>622</v>
      </c>
      <c r="S5" s="404" t="s">
        <v>622</v>
      </c>
      <c r="T5" s="401" t="s">
        <v>622</v>
      </c>
      <c r="U5" s="401" t="s">
        <v>622</v>
      </c>
      <c r="V5" s="406" t="s">
        <v>622</v>
      </c>
      <c r="W5" s="406" t="s">
        <v>622</v>
      </c>
      <c r="X5" s="402" t="s">
        <v>622</v>
      </c>
      <c r="Y5" s="402" t="s">
        <v>622</v>
      </c>
      <c r="Z5" s="404" t="s">
        <v>622</v>
      </c>
      <c r="AA5" s="404" t="s">
        <v>622</v>
      </c>
      <c r="AB5" s="401" t="s">
        <v>622</v>
      </c>
      <c r="AC5" s="401" t="s">
        <v>622</v>
      </c>
      <c r="AE5" t="s">
        <v>188</v>
      </c>
    </row>
    <row r="6" spans="1:31" ht="18.75" customHeight="1">
      <c r="A6" s="1" t="s">
        <v>212</v>
      </c>
      <c r="B6" s="19">
        <f>COUNTIFS('BRGY TECHNICAL ASISSTANCE'!$W:$W, "Received by Planning", 'BRGY TECHNICAL ASISSTANCE'!$M:$M, "Zosimo P. Suyat",'BRGY TECHNICAL ASISSTANCE'!$N:$N, "&lt;&gt;")</f>
        <v>238</v>
      </c>
      <c r="C6" s="395">
        <f>AVERAGEIFS('BRGY TECHNICAL ASISSTANCE'!$U:$U,'BRGY TECHNICAL ASISSTANCE'!$W:$W, "Received by Planning",'BRGY TECHNICAL ASISSTANCE'!$M:$M, "Zosimo P. Suyat", 'BRGY TECHNICAL ASISSTANCE'!$N:$N, "&lt;&gt;")</f>
        <v>1.4425531914893617</v>
      </c>
      <c r="D6" s="19">
        <f>COUNTIFS('BARANGAY ACCESS'!$V:$V, "Received by Planning", 'BARANGAY ACCESS'!$K:$K, "Zosimo P. Suyat", 'BARANGAY ACCESS'!$L:$L, "&lt;&gt;")</f>
        <v>435</v>
      </c>
      <c r="E6" s="395">
        <f>AVERAGEIFS('BARANGAY ACCESS'!$T:$T, 'BARANGAY ACCESS'!$V:$V, "Received by Planning", 'BARANGAY ACCESS'!$K:$K, "Zosimo P. Suyat", 'BARANGAY ACCESS'!$L:$L, "&lt;&gt;")</f>
        <v>1.2804597701149425</v>
      </c>
      <c r="F6" s="19">
        <f>COUNTIFS('PDS 1st Sem'!$AC:$AC, "Received by Planning", 'PDS 1st Sem'!$R:$R, "Zosimo P. Suyat", 'PDS 1st Sem'!$S:$S, "&lt;&gt;")</f>
        <v>4</v>
      </c>
      <c r="G6" s="395">
        <f>AVERAGEIFS('PDS 1st Sem'!$AA:$AA, 'PDS 1st Sem'!$AC:$AC, "Received by Planning", 'PDS 1st Sem'!$R:$R, "Zosimo P. Suyat", 'PDS 1st Sem'!$S:$S, "&lt;&gt;")</f>
        <v>1</v>
      </c>
      <c r="H6" s="400">
        <f>COUNTIFS('LGU ACCESS TO SLF'!$T:$T, "Received by Planning", 'LGU ACCESS TO SLF'!$I:$I, "Zosimo P. Suyat", 'LGU ACCESS TO SLF'!$J:$J, "&lt;&gt;")</f>
        <v>10</v>
      </c>
      <c r="I6" s="399">
        <f>AVERAGEIFS('LGU ACCESS TO SLF'!$R:$R, 'LGU ACCESS TO SLF'!$T:$T, "Received by Planning", 'LGU ACCESS TO SLF'!$I:$I, "Zosimo P. Suyat", 'LGU ACCESS TO SLF'!$J:$J, "&lt;&gt;")</f>
        <v>1</v>
      </c>
      <c r="J6" s="404" t="s">
        <v>622</v>
      </c>
      <c r="K6" s="404" t="s">
        <v>622</v>
      </c>
      <c r="L6" s="400">
        <f>COUNTIFS('TRASH TRAP 1st Sem'!$W:$W, "Received by Planning", 'TRASH TRAP 1st Sem'!L:L, "Zosimo P. Suyat", 'TRASH TRAP 1st Sem'!$M:$M, "&lt;&gt;")</f>
        <v>11</v>
      </c>
      <c r="M6" s="399">
        <f>AVERAGEIFS('TRASH TRAP 1st Sem'!$U:$U, 'TRASH TRAP 1st Sem'!$W:$W, "Received by Planning",'TRASH TRAP 1st Sem'!$L:$L, "Zosimo P. Suyat", 'TRASH TRAP 1st Sem'!$M:$M, "&lt;&gt;")</f>
        <v>1</v>
      </c>
      <c r="N6" s="400">
        <f>COUNTIFS(RCA!$W:$W, "Received by Planning", RCA!$L:$L, "Zosimo P. Suyat", RCA!$M:$M, "&lt;&gt;")</f>
        <v>4</v>
      </c>
      <c r="O6" s="399">
        <f>AVERAGEIFS(RCA!$U:$U, RCA!$W:$W, "Received by Planning", RCA!$L:$L, "Zosimo P. Suyat", RCA!$M:$M, "&lt;&gt;")</f>
        <v>1.25</v>
      </c>
      <c r="P6" s="400">
        <f>COUNTIFS('TRANSFER STATION'!$W:$W, "Received by Planning", 'TRANSFER STATION'!$L:$L, "Zosimo P. Suyat", 'TRANSFER STATION'!$M:$M, "&lt;&gt;")</f>
        <v>23</v>
      </c>
      <c r="Q6" s="399">
        <f>AVERAGEIFS('TRANSFER STATION'!$U:$U, 'TRANSFER STATION'!$W:$W, "Received by Planning", 'TRANSFER STATION'!$L:$L, "Zosimo P. Suyat", 'TRANSFER STATION'!$M:$M, "&lt;&gt;")</f>
        <v>1.5652173913043479</v>
      </c>
      <c r="R6" s="420" t="s">
        <v>622</v>
      </c>
      <c r="S6" s="404" t="s">
        <v>622</v>
      </c>
      <c r="T6" s="401" t="s">
        <v>622</v>
      </c>
      <c r="U6" s="401" t="s">
        <v>622</v>
      </c>
      <c r="V6" s="406" t="s">
        <v>622</v>
      </c>
      <c r="W6" s="406" t="s">
        <v>622</v>
      </c>
      <c r="X6" s="402" t="s">
        <v>622</v>
      </c>
      <c r="Y6" s="402" t="s">
        <v>622</v>
      </c>
      <c r="Z6" s="404" t="s">
        <v>622</v>
      </c>
      <c r="AA6" s="404" t="s">
        <v>622</v>
      </c>
      <c r="AB6" s="401" t="s">
        <v>622</v>
      </c>
      <c r="AC6" s="401" t="s">
        <v>622</v>
      </c>
      <c r="AE6" t="s">
        <v>33</v>
      </c>
    </row>
    <row r="7" spans="1:31" ht="18.75" customHeight="1">
      <c r="A7" s="1" t="s">
        <v>2445</v>
      </c>
      <c r="B7" s="19">
        <f>COUNTIFS('BRGY TECHNICAL ASISSTANCE'!$W:$W, "Received by Planning", 'BRGY TECHNICAL ASISSTANCE'!$M:$M, "Christle David",'BRGY TECHNICAL ASISSTANCE'!$N:$N, "&lt;&gt;")</f>
        <v>41</v>
      </c>
      <c r="C7" s="395">
        <f>AVERAGEIFS('BRGY TECHNICAL ASISSTANCE'!$U:$U,'BRGY TECHNICAL ASISSTANCE'!$W:$W, "Received by Planning",'BRGY TECHNICAL ASISSTANCE'!$M:$M, "Christle David", 'BRGY TECHNICAL ASISSTANCE'!$N:$N, "&lt;&gt;")</f>
        <v>1.024390243902439</v>
      </c>
      <c r="D7" s="19">
        <f>COUNTIFS('BARANGAY ACCESS'!$V:$V, "Received by Planning", 'BARANGAY ACCESS'!$K:$K, "Christle David", 'BARANGAY ACCESS'!$L:$L, "&lt;&gt;")</f>
        <v>170</v>
      </c>
      <c r="E7" s="395">
        <f>AVERAGEIFS('BARANGAY ACCESS'!$T:$T, 'BARANGAY ACCESS'!$V:$V, "Received by Planning", 'BARANGAY ACCESS'!$K:$K, "Christle David", 'BARANGAY ACCESS'!$L:$L, "&lt;&gt;")</f>
        <v>1.0823529411764705</v>
      </c>
      <c r="F7" s="19">
        <f>COUNTIFS('PDS 1st Sem'!$AC:$AC, "Received by Planning", 'PDS 1st Sem'!$R:$R, "Christle David", 'PDS 1st Sem'!$S:$S, "&lt;&gt;")</f>
        <v>2</v>
      </c>
      <c r="G7" s="395">
        <f>AVERAGEIFS('PDS 1st Sem'!$AA:$AA, 'PDS 1st Sem'!$AC:$AC, "Received by Planning", 'PDS 1st Sem'!$R:$R, "Christle David", 'PDS 1st Sem'!$S:$S, "&lt;&gt;")</f>
        <v>1</v>
      </c>
      <c r="H7" s="400">
        <f>COUNTIFS('LGU ACCESS TO SLF'!$T:$T, "Received by Planning", 'LGU ACCESS TO SLF'!$I:$I, "Christle David", 'LGU ACCESS TO SLF'!$J:$J, "&lt;&gt;")</f>
        <v>10</v>
      </c>
      <c r="I7" s="399">
        <f>AVERAGEIFS('LGU ACCESS TO SLF'!$R:$R, 'LGU ACCESS TO SLF'!$T:$T, "Received by Planning", 'LGU ACCESS TO SLF'!$I:$I, "Christle David", 'LGU ACCESS TO SLF'!$J:$J, "&lt;&gt;")</f>
        <v>1</v>
      </c>
      <c r="J7" s="400">
        <f>COUNTIFS('BRGY SWM PROGRAM'!$S:$S, "Received by Planning", 'BRGY SWM PROGRAM'!$H:$H, "CHRISTLE DAVID", 'BRGY SWM PROGRAM'!$I:$I, "&lt;&gt;")</f>
        <v>20</v>
      </c>
      <c r="K7" s="399">
        <f>AVERAGEIFS('BRGY SWM PROGRAM'!$Q:$Q, 'BRGY SWM PROGRAM'!$S:$S, "Received by Planning", 'BRGY SWM PROGRAM'!$I:$I, "&lt;&gt;")</f>
        <v>1.05</v>
      </c>
      <c r="L7" s="401" t="s">
        <v>622</v>
      </c>
      <c r="M7" s="401" t="s">
        <v>622</v>
      </c>
      <c r="N7" s="400">
        <f>COUNTIFS(RCA!$W:$W, "Received by Planning", RCA!$L:$L, "Christle David", RCA!$M:$M, "&lt;&gt;")</f>
        <v>1</v>
      </c>
      <c r="O7" s="399">
        <f>AVERAGEIFS(RCA!$U:$U, RCA!$W:$W, "Received by Planning", RCA!$L:$L, "Christle David", RCA!$M:$M, "&lt;&gt;")</f>
        <v>3</v>
      </c>
      <c r="P7" s="406" t="s">
        <v>622</v>
      </c>
      <c r="Q7" s="405" t="s">
        <v>622</v>
      </c>
      <c r="R7" s="420" t="s">
        <v>622</v>
      </c>
      <c r="S7" s="404" t="s">
        <v>622</v>
      </c>
      <c r="T7" s="401" t="s">
        <v>622</v>
      </c>
      <c r="U7" s="401" t="s">
        <v>622</v>
      </c>
      <c r="V7" s="406" t="s">
        <v>622</v>
      </c>
      <c r="W7" s="406" t="s">
        <v>622</v>
      </c>
      <c r="X7" s="402" t="s">
        <v>622</v>
      </c>
      <c r="Y7" s="402" t="s">
        <v>622</v>
      </c>
      <c r="Z7" s="404" t="s">
        <v>622</v>
      </c>
      <c r="AA7" s="404" t="s">
        <v>622</v>
      </c>
      <c r="AB7" s="401" t="s">
        <v>622</v>
      </c>
      <c r="AC7" s="401" t="s">
        <v>622</v>
      </c>
      <c r="AE7" t="s">
        <v>224</v>
      </c>
    </row>
    <row r="8" spans="1:31" ht="18.75" customHeight="1">
      <c r="A8" s="1" t="s">
        <v>328</v>
      </c>
      <c r="B8" s="19">
        <f>COUNTIFS('BRGY TECHNICAL ASISSTANCE'!$W:$W, "Received by Planning", 'BRGY TECHNICAL ASISSTANCE'!$M:$M, "Rod Ross S. De Jesus",'BRGY TECHNICAL ASISSTANCE'!$N:$N, "&lt;&gt;")</f>
        <v>170</v>
      </c>
      <c r="C8" s="395">
        <f>AVERAGEIFS('BRGY TECHNICAL ASISSTANCE'!$U:$U,'BRGY TECHNICAL ASISSTANCE'!$W:$W, "Received by Planning",'BRGY TECHNICAL ASISSTANCE'!$M:$M, "Rod Ross S. De Jesus", 'BRGY TECHNICAL ASISSTANCE'!$N:$N, "&lt;&gt;")</f>
        <v>1.5294117647058822</v>
      </c>
      <c r="D8" s="19">
        <f>COUNTIFS('BARANGAY ACCESS'!$V:$V, "Received by Planning", 'BARANGAY ACCESS'!$K:$K, "Rod Ross S. De Jesus", 'BARANGAY ACCESS'!$L:$L, "&lt;&gt;")</f>
        <v>220</v>
      </c>
      <c r="E8" s="395">
        <f>AVERAGEIFS('BARANGAY ACCESS'!$T:$T, 'BARANGAY ACCESS'!$V:$V, "Received by Planning", 'BARANGAY ACCESS'!$K:$K, "Rod Ross S. De Jesus", 'BARANGAY ACCESS'!$L:$L, "&lt;&gt;")</f>
        <v>1.7318181818181819</v>
      </c>
      <c r="F8" s="19">
        <f>COUNTIFS('PDS 1st Sem'!$AC:$AC, "Received by Planning", 'PDS 1st Sem'!$R:$R, "Rod Ross S. De Jesus", 'PDS 1st Sem'!$S:$S, "&lt;&gt;")</f>
        <v>2</v>
      </c>
      <c r="G8" s="395">
        <f>AVERAGEIFS('PDS 1st Sem'!$AA:$AA, 'PDS 1st Sem'!$AC:$AC, "Received by Planning", 'PDS 1st Sem'!$R:$R, "Rod Ross S. De Jesus", 'PDS 1st Sem'!$S:$S, "&lt;&gt;")</f>
        <v>1</v>
      </c>
      <c r="H8" s="400">
        <f>COUNTIFS('LGU ACCESS TO SLF'!$T:$T, "Received by Planning", 'LGU ACCESS TO SLF'!$I:$I, "Rod Ross S. De Jesus", 'LGU ACCESS TO SLF'!$J:$J, "&lt;&gt;")</f>
        <v>8</v>
      </c>
      <c r="I8" s="399">
        <f>AVERAGEIFS('LGU ACCESS TO SLF'!$R:$R, 'LGU ACCESS TO SLF'!$T:$T, "Received by Planning", 'LGU ACCESS TO SLF'!$I:$I, "Rod Ross S. De Jesus", 'LGU ACCESS TO SLF'!$J:$J, "&lt;&gt;")</f>
        <v>1</v>
      </c>
      <c r="J8" s="404" t="s">
        <v>622</v>
      </c>
      <c r="K8" s="404" t="s">
        <v>622</v>
      </c>
      <c r="L8" s="401" t="s">
        <v>622</v>
      </c>
      <c r="M8" s="401" t="s">
        <v>622</v>
      </c>
      <c r="N8" s="402" t="s">
        <v>622</v>
      </c>
      <c r="O8" s="402" t="s">
        <v>622</v>
      </c>
      <c r="P8" s="400">
        <f>COUNTIFS('TRANSFER STATION'!$W:$W, "Received by Planning", 'TRANSFER STATION'!$L:$L, "Rod Ross S. De Jesus", 'TRANSFER STATION'!$M:$M, "&lt;&gt;")</f>
        <v>1</v>
      </c>
      <c r="Q8" s="399">
        <f>AVERAGEIFS('TRANSFER STATION'!$U:$U, 'TRANSFER STATION'!$W:$W, "Received by Planning", 'TRANSFER STATION'!$L:$L, "Rod Ross S. De Jesus", 'TRANSFER STATION'!$M:$M, "&lt;&gt;")</f>
        <v>3</v>
      </c>
      <c r="R8" s="19">
        <f>COUNTIFS('BRGY TECHNICAL ASISSTANCE'!$W:$W, "Received by Planning", 'BRGY TECHNICAL ASISSTANCE'!$L:$L, "Rod Ross S. De Jesus",'BRGY TECHNICAL ASISSTANCE'!$N:$N, "&lt;&gt;")</f>
        <v>72</v>
      </c>
      <c r="S8" s="395">
        <f>AVERAGEIFS('BRGY TECHNICAL ASISSTANCE'!$T:$T, 'BRGY TECHNICAL ASISSTANCE'!$W:$W, "Received by Planning", 'BRGY TECHNICAL ASISSTANCE'!$L:$L, "Rod Ross S. De Jesus", 'BRGY TECHNICAL ASISSTANCE'!$N:$N, "&lt;&gt;")</f>
        <v>1</v>
      </c>
      <c r="T8" s="400">
        <f>COUNTIFS('BARANGAY ACCESS'!$V:$V, "Received by Planning", 'BARANGAY ACCESS'!$J:$J, "Rod Ross S. De Jesus", 'BARANGAY ACCESS'!$L:$L, "&lt;&gt;")</f>
        <v>51</v>
      </c>
      <c r="U8" s="399">
        <f>AVERAGEIFS('BARANGAY ACCESS'!$S:$S, 'BARANGAY ACCESS'!$V:$V, "Received by Planning", 'BARANGAY ACCESS'!$J:$J, "Rod Ross S. De Jesus", 'BARANGAY ACCESS'!$L:$L, "&lt;&gt;")</f>
        <v>1.8431372549019607</v>
      </c>
      <c r="V8" s="19">
        <f>COUNTIFS('PDS 1st Sem'!$AC:$AC, "Received by Planning", 'PDS 1st Sem'!$Q:$Q, "Rod Ross S. De Jesus", 'PDS 1st Sem'!$S:$S, "&lt;&gt;")</f>
        <v>1</v>
      </c>
      <c r="W8" s="395">
        <f>AVERAGEIFS('PDS 1st Sem'!$Z:$Z, 'PDS 1st Sem'!$AC:$AC, "Received by Planning", 'PDS 1st Sem'!$Q:$Q, "Rod Ross S. De Jesus", 'PDS 1st Sem'!$S:$S, "&lt;&gt;")</f>
        <v>2</v>
      </c>
      <c r="X8" s="400">
        <f>COUNTIFS('TRASH TRAP 1st Sem'!$W:$W, "Received by Planning", 'TRASH TRAP 1st Sem'!$K:$K, "Rod Ross S. De Jesus", 'TRASH TRAP 1st Sem'!$M:$M, "&lt;&gt;")</f>
        <v>30</v>
      </c>
      <c r="Y8" s="399">
        <f>AVERAGEIFS('TRASH TRAP 1st Sem'!$T:$T, 'TRASH TRAP 1st Sem'!$W:$W, "Received by Planning", 'TRASH TRAP 1st Sem'!$K:$K, "Rod Ross S. De Jesus", 'TRASH TRAP 1st Sem'!$M:$M, "&lt;&gt;")</f>
        <v>2.0333333333333332</v>
      </c>
      <c r="Z8" s="404" t="s">
        <v>622</v>
      </c>
      <c r="AA8" s="404" t="s">
        <v>622</v>
      </c>
      <c r="AB8" s="400">
        <f>COUNTIFS('TRANSFER STATION'!$W:$W, "Received by Planning", 'TRANSFER STATION'!$K:$K, "Rod Ross S. De Jesus", 'TRANSFER STATION'!$M:$M, "&lt;&gt;")</f>
        <v>5</v>
      </c>
      <c r="AC8" s="399">
        <f>AVERAGEIFS('TRANSFER STATION'!$T:$T, 'TRANSFER STATION'!$W:$W, "Received by Planning", 'TRANSFER STATION'!$K:$K, "Rod Ross S. De Jesus", 'TRANSFER STATION'!$M:$M, "&lt;&gt;")</f>
        <v>5.25</v>
      </c>
      <c r="AE8" t="s">
        <v>1345</v>
      </c>
    </row>
    <row r="9" spans="1:31" ht="18.75" customHeight="1">
      <c r="A9" s="1" t="s">
        <v>163</v>
      </c>
      <c r="B9" s="19">
        <f>COUNTIFS('BRGY TECHNICAL ASISSTANCE'!$W:$W, "Received by Planning", 'BRGY TECHNICAL ASISSTANCE'!$M:$M, "Ryan Christian R. Nunag",'BRGY TECHNICAL ASISSTANCE'!$N:$N, "&lt;&gt;")</f>
        <v>20</v>
      </c>
      <c r="C9" s="395">
        <f>AVERAGEIFS('BRGY TECHNICAL ASISSTANCE'!$U:$U,'BRGY TECHNICAL ASISSTANCE'!$W:$W, "Received by Planning",'BRGY TECHNICAL ASISSTANCE'!$M:$M, "Ryan Christian R. Nunag", 'BRGY TECHNICAL ASISSTANCE'!$N:$N, "&lt;&gt;")</f>
        <v>1.75</v>
      </c>
      <c r="D9" s="19">
        <f>COUNTIFS('BARANGAY ACCESS'!$V:$V, "Received by Planning", 'BARANGAY ACCESS'!$K:$K, "Ryan Christian R. Nunag", 'BARANGAY ACCESS'!$L:$L, "&lt;&gt;")</f>
        <v>113</v>
      </c>
      <c r="E9" s="395">
        <f>AVERAGEIFS('BARANGAY ACCESS'!$T:$T, 'BARANGAY ACCESS'!$V:$V, "Received by Planning", 'BARANGAY ACCESS'!$K:$K, "Ryan Christian R. Nunag", 'BARANGAY ACCESS'!$L:$L, "&lt;&gt;")</f>
        <v>1.7168141592920354</v>
      </c>
      <c r="F9" s="19">
        <f>COUNTIFS('PDS 1st Sem'!$AC:$AC, "Received by Planning", 'PDS 1st Sem'!$R:$R, "Ryan Christian R. Nunag", 'PDS 1st Sem'!$S:$S, "&lt;&gt;")</f>
        <v>3</v>
      </c>
      <c r="G9" s="395">
        <f>AVERAGEIFS('PDS 1st Sem'!$AA:$AA, 'PDS 1st Sem'!$AC:$AC, "Received by Planning", 'PDS 1st Sem'!$R:$R, "Ryan Christian R. Nunag", 'PDS 1st Sem'!$S:$S, "&lt;&gt;")</f>
        <v>1.3333333333333333</v>
      </c>
      <c r="H9" s="400">
        <f>COUNTIFS('LGU ACCESS TO SLF'!$T:$T, "Received by Planning", 'LGU ACCESS TO SLF'!$H:$H, "Ryan Christian R. Nunag", 'LGU ACCESS TO SLF'!$J:$J, "&lt;&gt;")</f>
        <v>8</v>
      </c>
      <c r="I9" s="399">
        <f>AVERAGEIFS('LGU ACCESS TO SLF'!$R:$R, 'LGU ACCESS TO SLF'!$T:$T, "Received by Planning", 'LGU ACCESS TO SLF'!$I:$I, "Ryan Christian R. Nunag", 'LGU ACCESS TO SLF'!$J:$J, "&lt;&gt;")</f>
        <v>1.5714285714285714</v>
      </c>
      <c r="J9" s="404" t="s">
        <v>622</v>
      </c>
      <c r="K9" s="404" t="s">
        <v>622</v>
      </c>
      <c r="L9" s="401" t="s">
        <v>622</v>
      </c>
      <c r="M9" s="401" t="s">
        <v>622</v>
      </c>
      <c r="N9" s="400">
        <f>COUNTIFS(RCA!$W:$W, "Received by Planning", RCA!$L:$L, "Ryan Christian R. Nunag", RCA!$M:$M, "&lt;&gt;")</f>
        <v>5</v>
      </c>
      <c r="O9" s="399">
        <f>AVERAGEIFS(RCA!$U:$U, RCA!$W:$W, "Received by Planning", RCA!$L:$L, "Ryan Christian R. Nunag", RCA!$M:$M, "&lt;&gt;")</f>
        <v>1.6</v>
      </c>
      <c r="P9" s="406" t="s">
        <v>622</v>
      </c>
      <c r="Q9" s="405" t="s">
        <v>622</v>
      </c>
      <c r="R9" s="19">
        <f>COUNTIFS('BRGY TECHNICAL ASISSTANCE'!$W:$W, "Received by Planning", 'BRGY TECHNICAL ASISSTANCE'!$L:$L, "Ryan Christian R. Nunag",'BRGY TECHNICAL ASISSTANCE'!$N:$N, "&lt;&gt;")</f>
        <v>133</v>
      </c>
      <c r="S9" s="395">
        <f>AVERAGEIFS('BRGY TECHNICAL ASISSTANCE'!$T:$T, 'BRGY TECHNICAL ASISSTANCE'!$W:$W, "Received by Planning", 'BRGY TECHNICAL ASISSTANCE'!$L:$L, "Ryan Christian R. Nunag", 'BRGY TECHNICAL ASISSTANCE'!$N:$N, "&lt;&gt;")</f>
        <v>1.263157894736842</v>
      </c>
      <c r="T9" s="400">
        <f>COUNTIFS('BARANGAY ACCESS'!$V:$V, "Received by Planning", 'BARANGAY ACCESS'!$J:$J, "Ryan Christian R. Nunag", 'BARANGAY ACCESS'!$L:$L, "&lt;&gt;")</f>
        <v>109</v>
      </c>
      <c r="U9" s="399">
        <f>AVERAGEIFS('BARANGAY ACCESS'!$S:$S, 'BARANGAY ACCESS'!$V:$V, "Received by Planning", 'BARANGAY ACCESS'!$J:$J, "Ryan Christian R. Nunag", 'BARANGAY ACCESS'!$L:$L, "&lt;&gt;")</f>
        <v>1.073394495412844</v>
      </c>
      <c r="V9" s="19">
        <f>COUNTIFS('PDS 1st Sem'!$AC:$AC, "Received by Planning", 'PDS 1st Sem'!$Q:$Q, "Ryan Christian R. Nunag", 'PDS 1st Sem'!$S:$S, "&lt;&gt;")</f>
        <v>5</v>
      </c>
      <c r="W9" s="395">
        <f>AVERAGEIFS('PDS 1st Sem'!$Z:$Z, 'PDS 1st Sem'!$AC:$AC, "Received by Planning", 'PDS 1st Sem'!$Q:$Q, "Ryan Christian R. Nunag", 'PDS 1st Sem'!$S:$S, "&lt;&gt;")</f>
        <v>1.3333333333333333</v>
      </c>
      <c r="X9" s="402" t="s">
        <v>622</v>
      </c>
      <c r="Y9" s="402" t="s">
        <v>622</v>
      </c>
      <c r="Z9" s="400">
        <f>COUNTIFS(RCA!$W:$W, "Received by Planning", RCA!$K:$K, "Ryan Christian R. Nunag", RCA!$M:$M, "&lt;&gt;")</f>
        <v>3</v>
      </c>
      <c r="AA9" s="399">
        <f>AVERAGEIFS(RCA!$T:$T, RCA!$W:$W, "Received by Planning", RCA!$K:$K, "Ryan Christian R. Nunag", RCA!$M:$M, "&lt;&gt;")</f>
        <v>1</v>
      </c>
      <c r="AB9" s="400">
        <f>COUNTIFS('TRANSFER STATION'!$W:$W, "Received by Planning", 'TRANSFER STATION'!$K:$K, "Ryan Christian R. Nunag", 'TRANSFER STATION'!$M:$M, "&lt;&gt;")</f>
        <v>7</v>
      </c>
      <c r="AC9" s="399">
        <f>AVERAGEIFS('TRANSFER STATION'!$T:$T, 'TRANSFER STATION'!$W:$W, "Received by Planning", 'TRANSFER STATION'!$K:$K, "Ryan Christian R. Nunag", 'TRANSFER STATION'!$M:$M, "&lt;&gt;")</f>
        <v>2.6666666666666665</v>
      </c>
      <c r="AE9" t="s">
        <v>39</v>
      </c>
    </row>
    <row r="10" spans="1:31" ht="18.75" customHeight="1">
      <c r="A10" s="1" t="s">
        <v>148</v>
      </c>
      <c r="B10" s="19">
        <f>COUNTIFS('BRGY TECHNICAL ASISSTANCE'!$W:$W, "Received by Planning", 'BRGY TECHNICAL ASISSTANCE'!$M:$M, "Yves Yshmael M. Balagtas",'BRGY TECHNICAL ASISSTANCE'!$N:$N, "&lt;&gt;")</f>
        <v>168</v>
      </c>
      <c r="C10" s="395">
        <f>AVERAGEIFS('BRGY TECHNICAL ASISSTANCE'!$U:$U,'BRGY TECHNICAL ASISSTANCE'!$W:$W, "Received by Planning",'BRGY TECHNICAL ASISSTANCE'!$M:$M, "Yves Yshmael M. Balagtas", 'BRGY TECHNICAL ASISSTANCE'!$N:$N, "&lt;&gt;")</f>
        <v>1.696969696969697</v>
      </c>
      <c r="D10" s="19">
        <f>COUNTIFS('BARANGAY ACCESS'!$V:$V, "Received by Planning", 'BARANGAY ACCESS'!$K:$K, "Yves Yshmael M. Balagtas", 'BARANGAY ACCESS'!$L:$L, "&lt;&gt;")</f>
        <v>262</v>
      </c>
      <c r="E10" s="395">
        <f>AVERAGEIFS('BARANGAY ACCESS'!$T:$T, 'BARANGAY ACCESS'!$V:$V, "Received by Planning", 'BARANGAY ACCESS'!$K:$K, "Yves Yshmael M. Balagtas", 'BARANGAY ACCESS'!$L:$L, "&lt;&gt;")</f>
        <v>1.8893129770992367</v>
      </c>
      <c r="F10" s="19">
        <f>COUNTIFS('PDS 1st Sem'!$AC:$AC, "Received by Planning", 'PDS 1st Sem'!$R:$R, "Yves Yshmael M. Balagtas", 'PDS 1st Sem'!$S:$S, "&lt;&gt;")</f>
        <v>4</v>
      </c>
      <c r="G10" s="395">
        <f>AVERAGEIFS('PDS 1st Sem'!$AA:$AA, 'PDS 1st Sem'!$AC:$AC, "Received by Planning", 'PDS 1st Sem'!$R:$R, "Yves Yshmael M. Balagtas", 'PDS 1st Sem'!$S:$S, "&lt;&gt;")</f>
        <v>3.25</v>
      </c>
      <c r="H10" s="400">
        <f>COUNTIFS('LGU ACCESS TO SLF'!$T:$T, "Received by Planning", 'LGU ACCESS TO SLF'!$I:$I, "Yves Yshmael M. Balagtas", 'LGU ACCESS TO SLF'!$J:$J, "&lt;&gt;")</f>
        <v>9</v>
      </c>
      <c r="I10" s="399">
        <f>AVERAGEIFS('LGU ACCESS TO SLF'!$R:$R, 'LGU ACCESS TO SLF'!$T:$T, "Received by Planning", 'LGU ACCESS TO SLF'!$I:$I, "Yves Yshmael M. Balagtas", 'LGU ACCESS TO SLF'!$J:$J, "&lt;&gt;")</f>
        <v>2.2222222222222223</v>
      </c>
      <c r="J10" s="404" t="s">
        <v>622</v>
      </c>
      <c r="K10" s="404" t="s">
        <v>622</v>
      </c>
      <c r="L10" s="400">
        <f>COUNTIFS('TRASH TRAP 1st Sem'!$W:$W, "Received by Planning", 'TRASH TRAP 1st Sem'!L:L, "Yves Yshmael M. Balagtas", 'TRASH TRAP 1st Sem'!$M:$M, "&lt;&gt;")</f>
        <v>65</v>
      </c>
      <c r="M10" s="399">
        <f>AVERAGEIFS('TRASH TRAP 1st Sem'!$U:$U, 'TRASH TRAP 1st Sem'!$W:$W, "Received by Planning",'TRASH TRAP 1st Sem'!$L:$L, "Yves Yshmael M. Balagtas", 'TRASH TRAP 1st Sem'!$M:$M, "&lt;&gt;")</f>
        <v>17.292307692307691</v>
      </c>
      <c r="N10" s="402" t="s">
        <v>622</v>
      </c>
      <c r="O10" s="402" t="s">
        <v>622</v>
      </c>
      <c r="P10" s="400">
        <f>COUNTIFS('TRANSFER STATION'!$W:$W, "Received by Planning", 'TRANSFER STATION'!$L:$L, "Yves Yshmael M. Balagtas", 'TRANSFER STATION'!$M:$M, "&lt;&gt;")</f>
        <v>7</v>
      </c>
      <c r="Q10" s="399">
        <f>AVERAGEIFS('TRANSFER STATION'!$U:$U, 'TRANSFER STATION'!$W:$W, "Received by Planning", 'TRANSFER STATION'!$L:$L, "Yves Yshmael M. Balagtas", 'TRANSFER STATION'!$M:$M, "&lt;&gt;")</f>
        <v>3</v>
      </c>
      <c r="R10" s="420" t="s">
        <v>622</v>
      </c>
      <c r="S10" s="404" t="s">
        <v>622</v>
      </c>
      <c r="T10" s="401" t="s">
        <v>622</v>
      </c>
      <c r="U10" s="401" t="s">
        <v>622</v>
      </c>
      <c r="V10" s="406" t="s">
        <v>622</v>
      </c>
      <c r="W10" s="406" t="s">
        <v>622</v>
      </c>
      <c r="X10" s="402" t="s">
        <v>622</v>
      </c>
      <c r="Y10" s="402" t="s">
        <v>622</v>
      </c>
      <c r="Z10" s="404" t="s">
        <v>622</v>
      </c>
      <c r="AA10" s="404" t="s">
        <v>622</v>
      </c>
      <c r="AB10" s="401" t="s">
        <v>622</v>
      </c>
      <c r="AC10" s="401" t="s">
        <v>622</v>
      </c>
      <c r="AE10" t="s">
        <v>26</v>
      </c>
    </row>
    <row r="11" spans="1:31" ht="18.75" customHeight="1">
      <c r="A11" s="1" t="s">
        <v>2289</v>
      </c>
      <c r="B11" s="19">
        <f>COUNTIFS('BRGY TECHNICAL ASISSTANCE'!$W:$W, "Received by Planning", 'BRGY TECHNICAL ASISSTANCE'!$L:$L, "Jay Pee S. Ordoñez",'BRGY TECHNICAL ASISSTANCE'!$N:$N, "&lt;&gt;")</f>
        <v>203</v>
      </c>
      <c r="C11" s="395">
        <f>AVERAGEIFS('BRGY TECHNICAL ASISSTANCE'!$T:$T, 'BRGY TECHNICAL ASISSTANCE'!$W:$W, "Received by Planning", 'BRGY TECHNICAL ASISSTANCE'!$L:$L, "Jay Pee S. Ordoñez", 'BRGY TECHNICAL ASISSTANCE'!$N:$N, "&lt;&gt;")</f>
        <v>2.1949999999999998</v>
      </c>
      <c r="D11" s="19">
        <f>COUNTIFS('BARANGAY ACCESS'!$V:$V, "Received by Planning", 'BARANGAY ACCESS'!$J:$J, "Jay Pee S. Ordoñez", 'BARANGAY ACCESS'!$L:$L, "&lt;&gt;")</f>
        <v>319</v>
      </c>
      <c r="E11" s="395">
        <f>AVERAGEIFS('BARANGAY ACCESS'!$S:$S, 'BARANGAY ACCESS'!$V:$V, "Received by Planning", 'BARANGAY ACCESS'!$J:$J, "Jay Pee S. Ordoñez", 'BARANGAY ACCESS'!$L:$L, "&lt;&gt;")</f>
        <v>2</v>
      </c>
      <c r="F11" s="19">
        <f>COUNTIFS('PDS 1st Sem'!$AC:$AC, "Received by Planning", 'PDS 1st Sem'!$Q:$Q, "Jay Pee S. Ordoñez", 'PDS 1st Sem'!$S:$S, "&lt;&gt;")</f>
        <v>4</v>
      </c>
      <c r="G11" s="395">
        <f>AVERAGEIFS('PDS 1st Sem'!$Z:$Z, 'PDS 1st Sem'!$AC:$AC, "Received by Planning", 'PDS 1st Sem'!$Q:$Q, "Jay Pee S. Ordoñez", 'PDS 1st Sem'!$S:$S, "&lt;&gt;")</f>
        <v>1.25</v>
      </c>
      <c r="H11" s="400">
        <f>COUNTIFS('LGU ACCESS TO SLF'!$T:$T, "Received by Planning", 'LGU ACCESS TO SLF'!$H:$H, "Jay Pee S. Ordoñez", 'LGU ACCESS TO SLF'!$J:$J, "&lt;&gt;")</f>
        <v>9</v>
      </c>
      <c r="I11" s="399">
        <f>AVERAGEIFS('LGU ACCESS TO SLF'!$Q:$Q, 'LGU ACCESS TO SLF'!$T:$T, "Received by Planning", 'LGU ACCESS TO SLF'!$H:$H, "Jay Pee S. Ordoñez", 'LGU ACCESS TO SLF'!$J:$J, "&lt;&gt;")</f>
        <v>1</v>
      </c>
      <c r="J11" s="404" t="s">
        <v>622</v>
      </c>
      <c r="K11" s="404" t="s">
        <v>622</v>
      </c>
      <c r="L11" s="400">
        <f>COUNTIFS('TRASH TRAP 1st Sem'!$W:$W, "Received by Planning", 'TRASH TRAP 1st Sem'!$K:$K, "Jay Pee S. Ordoñez", 'TRASH TRAP 1st Sem'!$M:$M, "&lt;&gt;")</f>
        <v>7</v>
      </c>
      <c r="M11" s="399">
        <f>AVERAGEIFS('TRASH TRAP 1st Sem'!$T:$T, 'TRASH TRAP 1st Sem'!$W:$W, "Received by Planning", 'TRASH TRAP 1st Sem'!$K:$K, "Jay Pee S. Ordoñez", 'TRASH TRAP 1st Sem'!$M:$M, "&lt;&gt;")</f>
        <v>5.8571428571428568</v>
      </c>
      <c r="N11" s="402" t="s">
        <v>622</v>
      </c>
      <c r="O11" s="402" t="s">
        <v>622</v>
      </c>
      <c r="P11" s="400">
        <f>COUNTIFS('TRANSFER STATION'!$W:$W, "Received by Planning", 'TRANSFER STATION'!$K:$K, "Jay Pee S. Ordoñez", 'TRANSFER STATION'!$M:$M, "&lt;&gt;")</f>
        <v>9</v>
      </c>
      <c r="Q11" s="399">
        <f>AVERAGEIFS('TRANSFER STATION'!$T:$T, 'TRANSFER STATION'!$W:$W, "Received by Planning", 'TRANSFER STATION'!$K:$K, "Jay Pee S. Ordoñez", 'TRANSFER STATION'!$M:$M, "&lt;&gt;")</f>
        <v>2.3333333333333335</v>
      </c>
      <c r="R11" s="422" t="s">
        <v>622</v>
      </c>
      <c r="S11" s="404" t="s">
        <v>622</v>
      </c>
      <c r="T11" s="401" t="s">
        <v>622</v>
      </c>
      <c r="U11" s="401" t="s">
        <v>622</v>
      </c>
      <c r="V11" s="406" t="s">
        <v>622</v>
      </c>
      <c r="W11" s="406" t="s">
        <v>622</v>
      </c>
      <c r="X11" s="402" t="s">
        <v>622</v>
      </c>
      <c r="Y11" s="402" t="s">
        <v>622</v>
      </c>
      <c r="Z11" s="404" t="s">
        <v>622</v>
      </c>
      <c r="AA11" s="404" t="s">
        <v>622</v>
      </c>
      <c r="AB11" s="401" t="s">
        <v>622</v>
      </c>
      <c r="AC11" s="401" t="s">
        <v>622</v>
      </c>
      <c r="AE11" t="s">
        <v>35</v>
      </c>
    </row>
    <row r="12" spans="1:31" ht="18.75" customHeight="1">
      <c r="A12" s="1" t="s">
        <v>9639</v>
      </c>
      <c r="B12" s="19">
        <f>COUNTIFS('BRGY TECHNICAL ASISSTANCE'!$W:$W, "Received by Planning", 'BRGY TECHNICAL ASISSTANCE'!$L:$L, "Maria Cecilia S. Pascual",'BRGY TECHNICAL ASISSTANCE'!$N:$N, "&lt;&gt;")</f>
        <v>62</v>
      </c>
      <c r="C12" s="395">
        <f>AVERAGEIFS('BRGY TECHNICAL ASISSTANCE'!$T:$T, 'BRGY TECHNICAL ASISSTANCE'!$W:$W, "Received by Planning", 'BRGY TECHNICAL ASISSTANCE'!$L:$L, "Maria Cecilia S. Pascual", 'BRGY TECHNICAL ASISSTANCE'!$N:$N, "&lt;&gt;")</f>
        <v>1.2741935483870968</v>
      </c>
      <c r="D12" s="19">
        <f>COUNTIFS('BARANGAY ACCESS'!$V:$V, "Received by Planning", 'BARANGAY ACCESS'!$J:$J, "Maria Cecilia S. Pascual", 'BARANGAY ACCESS'!$L:$L, "&lt;&gt;")</f>
        <v>114</v>
      </c>
      <c r="E12" s="395">
        <f>AVERAGEIFS('BARANGAY ACCESS'!$S:$S, 'BARANGAY ACCESS'!$V:$V, "Received by Planning", 'BARANGAY ACCESS'!$J:$J, "Maria Cecilia S. Pascual", 'BARANGAY ACCESS'!$L:$L, "&lt;&gt;")</f>
        <v>2.4824561403508771</v>
      </c>
      <c r="F12" s="19"/>
      <c r="G12" s="395"/>
      <c r="H12" s="400"/>
      <c r="I12" s="399"/>
      <c r="J12" s="404"/>
      <c r="K12" s="404"/>
      <c r="L12" s="400"/>
      <c r="M12" s="399"/>
      <c r="N12" s="402"/>
      <c r="O12" s="402"/>
      <c r="P12" s="400"/>
      <c r="Q12" s="399"/>
      <c r="R12" s="422"/>
      <c r="S12" s="404"/>
      <c r="T12" s="401"/>
      <c r="U12" s="401"/>
      <c r="V12" s="406"/>
      <c r="W12" s="406"/>
      <c r="X12" s="402"/>
      <c r="Y12" s="402"/>
      <c r="Z12" s="404"/>
      <c r="AA12" s="404"/>
      <c r="AB12" s="401"/>
      <c r="AC12" s="401"/>
    </row>
    <row r="13" spans="1:31" ht="18.75" customHeight="1">
      <c r="A13" s="1" t="s">
        <v>9640</v>
      </c>
      <c r="B13" s="19">
        <f>COUNTIFS('BRGY TECHNICAL ASISSTANCE'!$W:$W, "Received by Planning", 'BRGY TECHNICAL ASISSTANCE'!$L:$L, "Sherwin John Y. Loquellano",'BRGY TECHNICAL ASISSTANCE'!$N:$N, "&lt;&gt;")</f>
        <v>5</v>
      </c>
      <c r="C13" s="395">
        <f>AVERAGEIFS('BRGY TECHNICAL ASISSTANCE'!$T:$T, 'BRGY TECHNICAL ASISSTANCE'!$W:$W, "Received by Planning", 'BRGY TECHNICAL ASISSTANCE'!$L:$L, "Sherwin John Y. Loquellano", 'BRGY TECHNICAL ASISSTANCE'!$N:$N, "&lt;&gt;")</f>
        <v>5.2</v>
      </c>
      <c r="D13" s="19">
        <f>COUNTIFS('BARANGAY ACCESS'!$V:$V, "Received by Planning", 'BARANGAY ACCESS'!$J:$J, "Sherwin John Y. Loquellano", 'BARANGAY ACCESS'!$L:$L, "&lt;&gt;")</f>
        <v>5</v>
      </c>
      <c r="E13" s="395">
        <f>AVERAGEIFS('BARANGAY ACCESS'!$S:$S, 'BARANGAY ACCESS'!$V:$V, "Received by Planning", 'BARANGAY ACCESS'!$J:$J, "Sherwin John Y. Loquellano", 'BARANGAY ACCESS'!$L:$L, "&lt;&gt;")</f>
        <v>3</v>
      </c>
      <c r="F13" s="19"/>
      <c r="G13" s="395"/>
      <c r="H13" s="400"/>
      <c r="I13" s="399"/>
      <c r="J13" s="404"/>
      <c r="K13" s="404"/>
      <c r="L13" s="400"/>
      <c r="M13" s="399"/>
      <c r="N13" s="402"/>
      <c r="O13" s="402"/>
      <c r="P13" s="400"/>
      <c r="Q13" s="399"/>
      <c r="R13" s="422"/>
      <c r="S13" s="404"/>
      <c r="T13" s="401"/>
      <c r="U13" s="401"/>
      <c r="V13" s="406"/>
      <c r="W13" s="406"/>
      <c r="X13" s="402"/>
      <c r="Y13" s="402"/>
      <c r="Z13" s="404"/>
      <c r="AA13" s="404"/>
      <c r="AB13" s="401"/>
      <c r="AC13" s="401"/>
    </row>
    <row r="14" spans="1:31" ht="18.75" customHeight="1">
      <c r="A14" s="1" t="s">
        <v>388</v>
      </c>
      <c r="B14" s="19">
        <f>COUNTIFS('BRGY TECHNICAL ASISSTANCE'!$W:$W, "Received by Planning", 'BRGY TECHNICAL ASISSTANCE'!$K:$K, "Jasmin Marie N. Siapco",'BRGY TECHNICAL ASISSTANCE'!$N:$N, "&lt;&gt;")</f>
        <v>59</v>
      </c>
      <c r="C14" s="395">
        <f>AVERAGEIFS('BRGY TECHNICAL ASISSTANCE'!$S:$S, 'BRGY TECHNICAL ASISSTANCE'!$W:$W, "Received by Planning", 'BRGY TECHNICAL ASISSTANCE'!$K:$K, "Jasmin Marie N. Siapco", 'BRGY TECHNICAL ASISSTANCE'!$N:$N, "&lt;&gt;")</f>
        <v>2.5862068965517242</v>
      </c>
      <c r="D14" s="19">
        <f>COUNTIFS('BARANGAY ACCESS'!$V:$V, "Received by Planning", 'BARANGAY ACCESS'!$I:$I, "Jasmin Marie N. Siapco", 'BARANGAY ACCESS'!$L:$L, "&lt;&gt;")</f>
        <v>73</v>
      </c>
      <c r="E14" s="395">
        <f>AVERAGEIFS('BARANGAY ACCESS'!$R:$R, 'BARANGAY ACCESS'!$V:$V, "Received by Planning", 'BARANGAY ACCESS'!$I:$I, "Jasmin Marie N. Siapco", 'BARANGAY ACCESS'!$L:$L, "&lt;&gt;")</f>
        <v>3.4794520547945207</v>
      </c>
      <c r="F14" s="407" t="s">
        <v>622</v>
      </c>
      <c r="G14" s="408" t="s">
        <v>622</v>
      </c>
      <c r="H14" s="400">
        <f>COUNTIFS('LGU ACCESS TO SLF'!$T:$T, "Received by Planning", 'LGU ACCESS TO SLF'!$G:$G, "Jasmin Marie N. Siapco", 'LGU ACCESS TO SLF'!$J:$J, "&lt;&gt;")</f>
        <v>4</v>
      </c>
      <c r="I14" s="399">
        <f>AVERAGEIFS('LGU ACCESS TO SLF'!$P:$P, 'LGU ACCESS TO SLF'!$T:$T, "Received by Planning", 'LGU ACCESS TO SLF'!$G:$G, "Jasmin Marie N. Siapco", 'LGU ACCESS TO SLF'!$J:$J, "&lt;&gt;")</f>
        <v>1.25</v>
      </c>
      <c r="J14" s="404" t="s">
        <v>622</v>
      </c>
      <c r="K14" s="404" t="s">
        <v>622</v>
      </c>
      <c r="L14" s="400">
        <f>COUNTIFS('TRASH TRAP 1st Sem'!$W:$W, "Received by Planning", 'TRASH TRAP 1st Sem'!$J:$J, "Jasmine Marie N. Siapco", 'TRASH TRAP 1st Sem'!$M:$M, "&lt;&gt;")</f>
        <v>16</v>
      </c>
      <c r="M14" s="399">
        <f>AVERAGEIFS('TRASH TRAP 1st Sem'!$T:$T, 'TRASH TRAP 1st Sem'!$W:$W, "Received by Planning", 'TRASH TRAP 1st Sem'!$K:$K, "Jasmin Marie N. Siapco", 'TRASH TRAP 1st Sem'!$M:$M, "&lt;&gt;")</f>
        <v>1</v>
      </c>
      <c r="N14" s="402" t="s">
        <v>622</v>
      </c>
      <c r="O14" s="402" t="s">
        <v>622</v>
      </c>
      <c r="P14" s="400">
        <f>COUNTIFS('TRANSFER STATION'!$W:$W, "Received by Planning", 'TRANSFER STATION'!$J:$J, "Jasmine Marie N. Nicolas", 'TRANSFER STATION'!$M:$M, "&lt;&gt;")</f>
        <v>0</v>
      </c>
      <c r="Q14" s="399">
        <f>AVERAGEIFS('TRANSFER STATION'!$S:$S, 'TRANSFER STATION'!$W:$W, "Received by Planning", 'TRANSFER STATION'!$J:$J, "Jasmine Marie N. Siapco", 'TRANSFER STATION'!$M:$M, "&lt;&gt;")</f>
        <v>1</v>
      </c>
      <c r="R14" s="19">
        <f>COUNTIFS('BRGY TECHNICAL ASISSTANCE'!$W:$W, "Received by Planning", 'BRGY TECHNICAL ASISSTANCE'!$L:$L, "Jasmin Marie N. Siapco",'BRGY TECHNICAL ASISSTANCE'!$N:$N, "&lt;&gt;")</f>
        <v>2</v>
      </c>
      <c r="S14" s="395">
        <f>AVERAGEIFS('BRGY TECHNICAL ASISSTANCE'!$T:$T, 'BRGY TECHNICAL ASISSTANCE'!$W:$W, "Received by Planning", 'BRGY TECHNICAL ASISSTANCE'!$L:$L, "Jasmin Marie N. Siapco", 'BRGY TECHNICAL ASISSTANCE'!$N:$N, "&lt;&gt;")</f>
        <v>1</v>
      </c>
      <c r="T14" s="400">
        <f>COUNTIFS('BARANGAY ACCESS'!$V:$V, "Received by Planning", 'BARANGAY ACCESS'!$J:$J, "Jasmin Marie N. Siapco", 'BARANGAY ACCESS'!$L:$L, "&lt;&gt;")</f>
        <v>8</v>
      </c>
      <c r="U14" s="399">
        <f>AVERAGEIFS('BARANGAY ACCESS'!$S:$S, 'BARANGAY ACCESS'!$V:$V, "Received by Planning", 'BARANGAY ACCESS'!$J:$J, "Jasmin Marie N. Siapco", 'BARANGAY ACCESS'!$L:$L, "&lt;&gt;")</f>
        <v>1</v>
      </c>
      <c r="V14" s="406" t="s">
        <v>622</v>
      </c>
      <c r="W14" s="406" t="s">
        <v>622</v>
      </c>
      <c r="X14" s="402" t="s">
        <v>622</v>
      </c>
      <c r="Y14" s="402" t="s">
        <v>622</v>
      </c>
      <c r="Z14" s="404" t="s">
        <v>622</v>
      </c>
      <c r="AA14" s="404" t="s">
        <v>622</v>
      </c>
      <c r="AB14" s="401" t="s">
        <v>622</v>
      </c>
      <c r="AC14" s="401" t="s">
        <v>622</v>
      </c>
      <c r="AE14" t="s">
        <v>508</v>
      </c>
    </row>
    <row r="15" spans="1:31" ht="18.75" customHeight="1">
      <c r="A15" s="1" t="s">
        <v>28</v>
      </c>
      <c r="B15" s="19">
        <f>COUNTIFS('BRGY TECHNICAL ASISSTANCE'!$W:$W, "Received by Planning", 'BRGY TECHNICAL ASISSTANCE'!$K:$K, "Jan Emerson C. Gonzales",'BRGY TECHNICAL ASISSTANCE'!$N:$N, "&lt;&gt;")</f>
        <v>8</v>
      </c>
      <c r="C15" s="395">
        <f>AVERAGEIFS('BRGY TECHNICAL ASISSTANCE'!$S:$S, 'BRGY TECHNICAL ASISSTANCE'!$W:$W, "Received by Planning", 'BRGY TECHNICAL ASISSTANCE'!$K:$K, "Jan Emerson C. Gonzales", 'BRGY TECHNICAL ASISSTANCE'!$N:$N, "&lt;&gt;")</f>
        <v>1.5</v>
      </c>
      <c r="D15" s="19">
        <f>COUNTIFS('BARANGAY ACCESS'!$V:$V, "Received by Planning", 'BARANGAY ACCESS'!$I:$I, "Jan Emerson C. Gonzales", 'BARANGAY ACCESS'!$L:$L, "&lt;&gt;")</f>
        <v>15</v>
      </c>
      <c r="E15" s="395">
        <f>AVERAGEIFS('BARANGAY ACCESS'!$R:$R, 'BARANGAY ACCESS'!$V:$V, "Received by Planning", 'BARANGAY ACCESS'!$I:$I, "Jan Emerson C. Gonzales", 'BARANGAY ACCESS'!$L:$L, "&lt;&gt;")</f>
        <v>5.666666666666667</v>
      </c>
      <c r="F15" s="407" t="s">
        <v>622</v>
      </c>
      <c r="G15" s="408" t="s">
        <v>622</v>
      </c>
      <c r="H15" s="400">
        <f>COUNTIFS('LGU ACCESS TO SLF'!$T:$T, "Received by Planning", 'LGU ACCESS TO SLF'!$H:$H, "Jan Emerson C. Gonzales", 'LGU ACCESS TO SLF'!$J:$J, "&lt;&gt;")</f>
        <v>5</v>
      </c>
      <c r="I15" s="399">
        <f>AVERAGEIFS('LGU ACCESS TO SLF'!$Q:$Q, 'LGU ACCESS TO SLF'!$T:$T, "Received by Planning", 'LGU ACCESS TO SLF'!$H:$H, "Jan Emerson C. Gonzales", 'LGU ACCESS TO SLF'!$J:$J, "&lt;&gt;")</f>
        <v>1</v>
      </c>
      <c r="J15" s="404" t="s">
        <v>622</v>
      </c>
      <c r="K15" s="404" t="s">
        <v>622</v>
      </c>
      <c r="L15" s="401" t="s">
        <v>622</v>
      </c>
      <c r="M15" s="401" t="s">
        <v>622</v>
      </c>
      <c r="N15" s="400">
        <f>COUNTIFS(RCA!$W:$W, "Received by Planning", RCA!$K:$K, "Jan Emerson C. Gonzales", RCA!$M:$M, "&lt;&gt;")</f>
        <v>3</v>
      </c>
      <c r="O15" s="399">
        <f>AVERAGEIFS(RCA!$T:$T, RCA!$W:$W, "Received by Planning", RCA!$K:$K, "Jan Emerson C. Gonzales", RCA!$M:$M, "&lt;&gt;")</f>
        <v>2</v>
      </c>
      <c r="P15" s="400">
        <f>COUNTIFS('TRANSFER STATION'!$W:$W, "Received by Planning", 'TRANSFER STATION'!$J:$J, "Jan Emerson C. Gonzales", 'TRANSFER STATION'!$M:$M, "&lt;&gt;")</f>
        <v>2</v>
      </c>
      <c r="Q15" s="399">
        <f>AVERAGEIFS('TRANSFER STATION'!$S:$S, 'TRANSFER STATION'!$W:$W, "Received by Planning", 'TRANSFER STATION'!$J:$J, "Jan Emerson C. Gonzales", 'TRANSFER STATION'!$M:$M, "&lt;&gt;")</f>
        <v>1.5</v>
      </c>
      <c r="R15" s="19">
        <f>COUNTIFS('BRGY TECHNICAL ASISSTANCE'!$W:$W, "Received by Planning", 'BRGY TECHNICAL ASISSTANCE'!$L:$L, "Jan Emerson C. Gonzales",'BRGY TECHNICAL ASISSTANCE'!$N:$N, "&lt;&gt;") + COUNTIFS('BRGY TECHNICAL ASISSTANCE'!$W:$W, "Received by Planning", 'BRGY TECHNICAL ASISSTANCE'!$M:$M, "Jan Emerson C. Gonzales",'BRGY TECHNICAL ASISSTANCE'!$N:$N, "&lt;&gt;")</f>
        <v>123</v>
      </c>
      <c r="S15" s="395">
        <f>AVERAGEIFS('BRGY TECHNICAL ASISSTANCE'!$T:$T, 'BRGY TECHNICAL ASISSTANCE'!$W:$W, "Received by Planning", 'BRGY TECHNICAL ASISSTANCE'!$L:$L, "Jan Emerson C. Gonzales", 'BRGY TECHNICAL ASISSTANCE'!$N:$N, "&lt;&gt;")</f>
        <v>2.1098901098901099</v>
      </c>
      <c r="T15" s="400">
        <f>COUNTIFS('BARANGAY ACCESS'!$V:$V, "Received by Planning", 'BARANGAY ACCESS'!$J:$J, "Jan Emerson C. Gonzales", 'BARANGAY ACCESS'!$L:$L, "&lt;&gt;")</f>
        <v>194</v>
      </c>
      <c r="U15" s="399">
        <f>AVERAGEIFS('BARANGAY ACCESS'!$S:$S, 'BARANGAY ACCESS'!$V:$V, "Received by Planning", 'BARANGAY ACCESS'!$J:$J, "Jan Emerson C. Gonzales", 'BARANGAY ACCESS'!$L:$L, "&lt;&gt;")</f>
        <v>1.9948453608247423</v>
      </c>
      <c r="V15" s="406" t="s">
        <v>622</v>
      </c>
      <c r="W15" s="406" t="s">
        <v>622</v>
      </c>
      <c r="X15" s="400">
        <f>COUNTIFS('TRASH TRAP 1st Sem'!$W:$W, "Received by Planning", 'TRASH TRAP 1st Sem'!$K:$K, "Jan Emerson C. Gonzales", 'TRASH TRAP 1st Sem'!$M:$M, "&lt;&gt;")</f>
        <v>25</v>
      </c>
      <c r="Y15" s="399">
        <f>AVERAGEIFS('TRASH TRAP 1st Sem'!$T:$T, 'TRASH TRAP 1st Sem'!$W:$W, "Received by Planning", 'TRASH TRAP 1st Sem'!$K:$K, "Jan Emerson C. Gonzales", 'TRASH TRAP 1st Sem'!$M:$M, "&lt;&gt;")</f>
        <v>2.1666666666666665</v>
      </c>
      <c r="Z15" s="404" t="s">
        <v>622</v>
      </c>
      <c r="AA15" s="404" t="s">
        <v>622</v>
      </c>
      <c r="AB15" s="400">
        <f>COUNTIFS('TRANSFER STATION'!$W:$W, "Received by Planning", 'TRANSFER STATION'!$K:$K, "Jan Emerson C. Gonzales", 'TRANSFER STATION'!$M:$M, "&lt;&gt;")</f>
        <v>9</v>
      </c>
      <c r="AC15" s="399">
        <f>AVERAGEIFS('TRANSFER STATION'!$T:$T, 'TRANSFER STATION'!$W:$W, "Received by Planning", 'TRANSFER STATION'!$K:$K, "Jan Emerson C. Gonzales", 'TRANSFER STATION'!$M:$M, "&lt;&gt;")</f>
        <v>2.1111111111111112</v>
      </c>
      <c r="AE15" t="s">
        <v>28</v>
      </c>
    </row>
    <row r="16" spans="1:31" ht="18.75" customHeight="1">
      <c r="A16" s="1" t="s">
        <v>29</v>
      </c>
      <c r="B16" s="19">
        <f>COUNTIFS('BRGY TECHNICAL ASISSTANCE'!$W:$W, "Received by Planning", 'BRGY TECHNICAL ASISSTANCE'!$K:$K, "Aser A. Inocencio, Jr.",'BRGY TECHNICAL ASISSTANCE'!$N:$N, "&lt;&gt;")</f>
        <v>59</v>
      </c>
      <c r="C16" s="395">
        <f>AVERAGEIFS('BRGY TECHNICAL ASISSTANCE'!$S:$S, 'BRGY TECHNICAL ASISSTANCE'!$W:$W, "Received by Planning", 'BRGY TECHNICAL ASISSTANCE'!$K:$K, "Aser A. Inocencio, Jr.", 'BRGY TECHNICAL ASISSTANCE'!$N:$N, "&lt;&gt;")</f>
        <v>3.1724137931034484</v>
      </c>
      <c r="D16" s="19">
        <f>COUNTIFS('BARANGAY ACCESS'!$V:$V, "Received by Planning", 'BARANGAY ACCESS'!$I:$I, "Aser A. Inocencio, Jr.", 'BARANGAY ACCESS'!$L:$L, "&lt;&gt;")</f>
        <v>63</v>
      </c>
      <c r="E16" s="395">
        <f>AVERAGEIFS('BARANGAY ACCESS'!$R:$R, 'BARANGAY ACCESS'!$V:$V, "Received by Planning", 'BARANGAY ACCESS'!$I:$I, "Aser A. Inocencio, Jr.", 'BARANGAY ACCESS'!$L:$L, "&lt;&gt;")</f>
        <v>4.1428571428571432</v>
      </c>
      <c r="F16" s="19">
        <f>COUNTIFS('PDS 1st Sem'!$AC:$AC, "Received by Planning", 'PDS 1st Sem'!$P:$P, "Aser A. Inocencio, Jr.", 'PDS 1st Sem'!$S:$S, "&lt;&gt;")</f>
        <v>1</v>
      </c>
      <c r="G16" s="395">
        <f>AVERAGEIFS('PDS 1st Sem'!$Y:$Y, 'PDS 1st Sem'!$AC:$AC, "Received by Planning", 'PDS 1st Sem'!$P:$P, "Aser A. Inocencio, Jr.", 'PDS 1st Sem'!$S:$S, "&lt;&gt;")</f>
        <v>1</v>
      </c>
      <c r="H16" s="406" t="s">
        <v>622</v>
      </c>
      <c r="I16" s="406" t="s">
        <v>622</v>
      </c>
      <c r="J16" s="404" t="s">
        <v>622</v>
      </c>
      <c r="K16" s="404" t="s">
        <v>622</v>
      </c>
      <c r="L16" s="401" t="s">
        <v>622</v>
      </c>
      <c r="M16" s="401" t="s">
        <v>622</v>
      </c>
      <c r="N16" s="402" t="s">
        <v>622</v>
      </c>
      <c r="O16" s="402" t="s">
        <v>622</v>
      </c>
      <c r="P16" s="400">
        <f>COUNTIFS('TRANSFER STATION'!$W:$W, "Received by Planning", 'TRANSFER STATION'!$J:$J, "Aser A. Inocencio, Jr.", 'TRANSFER STATION'!$M:$M, "&lt;&gt;")</f>
        <v>2</v>
      </c>
      <c r="Q16" s="399">
        <f>AVERAGEIFS('TRANSFER STATION'!$S:$S, 'TRANSFER STATION'!$W:$W, "Received by Planning", 'TRANSFER STATION'!$J:$J, "Aser A. Inocencio, Jr.", 'TRANSFER STATION'!$M:$M, "&lt;&gt;")</f>
        <v>7</v>
      </c>
      <c r="R16" s="420" t="s">
        <v>622</v>
      </c>
      <c r="S16" s="404" t="s">
        <v>622</v>
      </c>
      <c r="T16" s="401" t="s">
        <v>622</v>
      </c>
      <c r="U16" s="401" t="s">
        <v>622</v>
      </c>
      <c r="V16" s="406" t="s">
        <v>622</v>
      </c>
      <c r="W16" s="406" t="s">
        <v>622</v>
      </c>
      <c r="X16" s="402" t="s">
        <v>622</v>
      </c>
      <c r="Y16" s="402" t="s">
        <v>622</v>
      </c>
      <c r="Z16" s="404" t="s">
        <v>622</v>
      </c>
      <c r="AA16" s="404" t="s">
        <v>622</v>
      </c>
      <c r="AB16" s="401" t="s">
        <v>622</v>
      </c>
      <c r="AC16" s="401" t="s">
        <v>622</v>
      </c>
      <c r="AE16" t="s">
        <v>388</v>
      </c>
    </row>
    <row r="17" spans="1:31" ht="18.75" customHeight="1">
      <c r="A17" s="1" t="s">
        <v>267</v>
      </c>
      <c r="B17" s="19">
        <f>COUNTIFS('BRGY TECHNICAL ASISSTANCE'!$W:$W, "Received by Planning", 'BRGY TECHNICAL ASISSTANCE'!$K:$K, "Christian Jem L. Buluran",'BRGY TECHNICAL ASISSTANCE'!$N:$N, "&lt;&gt;")</f>
        <v>26</v>
      </c>
      <c r="C17" s="395">
        <f>AVERAGEIFS('BRGY TECHNICAL ASISSTANCE'!$S:$S, 'BRGY TECHNICAL ASISSTANCE'!$W:$W, "Received by Planning", 'BRGY TECHNICAL ASISSTANCE'!$K:$K, "Christian Jem L. Buluran", 'BRGY TECHNICAL ASISSTANCE'!$N:$N, "&lt;&gt;")</f>
        <v>7.0384615384615383</v>
      </c>
      <c r="D17" s="19">
        <f>COUNTIFS('BARANGAY ACCESS'!$V:$V, "Received by Planning", 'BARANGAY ACCESS'!$I:$I, "Christian Jem L. Buluran", 'BARANGAY ACCESS'!$L:$L, "&lt;&gt;")</f>
        <v>97</v>
      </c>
      <c r="E17" s="395">
        <f>AVERAGEIFS('BARANGAY ACCESS'!$R:$R, 'BARANGAY ACCESS'!$V:$V, "Received by Planning", 'BARANGAY ACCESS'!$I:$I, "Christian Jem L. Buluran", 'BARANGAY ACCESS'!$L:$L, "&lt;&gt;")</f>
        <v>2.9484536082474229</v>
      </c>
      <c r="F17" s="19">
        <f>COUNTIFS('PDS 1st Sem'!$AC:$AC, "Received by Planning", 'PDS 1st Sem'!$P:$P, "Christian Jem L. Buluran", 'PDS 1st Sem'!$S:$S, "&lt;&gt;")</f>
        <v>1</v>
      </c>
      <c r="G17" s="395">
        <f>AVERAGEIFS('PDS 1st Sem'!$Y:$Y, 'PDS 1st Sem'!$AC:$AC, "Received by Planning", 'PDS 1st Sem'!$P:$P, "Christian Jem L. Buluran", 'PDS 1st Sem'!$S:$S, "&lt;&gt;")</f>
        <v>1</v>
      </c>
      <c r="H17" s="400">
        <f>COUNTIFS('LGU ACCESS TO SLF'!$T:$T, "Received by Planning", 'LGU ACCESS TO SLF'!$G:$G, "Christian Jem L. Buluran", 'LGU ACCESS TO SLF'!$J:$J, "&lt;&gt;")</f>
        <v>1</v>
      </c>
      <c r="I17" s="399">
        <f>AVERAGEIFS('LGU ACCESS TO SLF'!$P:$P, 'LGU ACCESS TO SLF'!$T:$T, "Received by Planning", 'LGU ACCESS TO SLF'!$G:$G, "Christian Jem L. Buluran", 'LGU ACCESS TO SLF'!$J:$J, "&lt;&gt;")</f>
        <v>7</v>
      </c>
      <c r="J17" s="404" t="s">
        <v>622</v>
      </c>
      <c r="K17" s="404" t="s">
        <v>622</v>
      </c>
      <c r="L17" s="400">
        <f>COUNTIFS('TRASH TRAP 1st Sem'!$W:$W, "Received by Planning", 'TRASH TRAP 1st Sem'!$J:$J, "Christian Jem L. Buluran", 'TRASH TRAP 1st Sem'!$M:$M, "&lt;&gt;")</f>
        <v>7</v>
      </c>
      <c r="M17" s="399">
        <f>AVERAGEIFS('TRASH TRAP 1st Sem'!$S:$S, 'TRASH TRAP 1st Sem'!$W:$W, "Received by Planning", 'TRASH TRAP 1st Sem'!$J:$J, "Christian Jem L. Buluran", 'TRASH TRAP 1st Sem'!$M:$M, "&lt;&gt;")</f>
        <v>1.5714285714285714</v>
      </c>
      <c r="N17" s="400">
        <f>COUNTIFS(RCA!$W:$W, "Received by Planning", RCA!$J:$J, "Christian Jem L. Buluran", RCA!$M:$M, "&lt;&gt;")</f>
        <v>1</v>
      </c>
      <c r="O17" s="399">
        <f>AVERAGEIFS(RCA!$S:$S, RCA!$W:$W, "Received by Planning", RCA!$J:$J, "Christian Jem L. Buluran", RCA!$M:$M, "&lt;&gt;")</f>
        <v>1</v>
      </c>
      <c r="P17" s="400">
        <f>COUNTIFS('TRANSFER STATION'!$W:$W, "Received by Planning", 'TRANSFER STATION'!$J:$J, "Christian Jem L. Buluran", 'TRANSFER STATION'!$M:$M, "&lt;&gt;")</f>
        <v>2</v>
      </c>
      <c r="Q17" s="399">
        <f>AVERAGEIFS('TRANSFER STATION'!$S:$S, 'TRANSFER STATION'!$W:$W, "Received by Planning", 'TRANSFER STATION'!$J:$J, "Christian Jem L. Buluran", 'TRANSFER STATION'!$M:$M, "&lt;&gt;")</f>
        <v>1.5</v>
      </c>
      <c r="R17" s="420" t="s">
        <v>622</v>
      </c>
      <c r="S17" s="404" t="s">
        <v>622</v>
      </c>
      <c r="T17" s="401" t="s">
        <v>622</v>
      </c>
      <c r="U17" s="401" t="s">
        <v>622</v>
      </c>
      <c r="V17" s="406" t="s">
        <v>622</v>
      </c>
      <c r="W17" s="406" t="s">
        <v>622</v>
      </c>
      <c r="X17" s="402" t="s">
        <v>622</v>
      </c>
      <c r="Y17" s="402" t="s">
        <v>622</v>
      </c>
      <c r="Z17" s="404" t="s">
        <v>622</v>
      </c>
      <c r="AA17" s="404" t="s">
        <v>622</v>
      </c>
      <c r="AB17" s="401" t="s">
        <v>622</v>
      </c>
      <c r="AC17" s="401" t="s">
        <v>622</v>
      </c>
      <c r="AE17" t="s">
        <v>5783</v>
      </c>
    </row>
    <row r="18" spans="1:31" ht="18.75" customHeight="1">
      <c r="A18" s="1" t="s">
        <v>30</v>
      </c>
      <c r="B18" s="19">
        <f>COUNTIFS('BRGY TECHNICAL ASISSTANCE'!$W:$W, "Received by Planning", 'BRGY TECHNICAL ASISSTANCE'!$K:$K, "Christine Ann V. Ramos",'BRGY TECHNICAL ASISSTANCE'!$N:$N, "&lt;&gt;")</f>
        <v>54</v>
      </c>
      <c r="C18" s="395">
        <f>AVERAGEIFS('BRGY TECHNICAL ASISSTANCE'!$S:$S, 'BRGY TECHNICAL ASISSTANCE'!$W:$W, "Received by Planning", 'BRGY TECHNICAL ASISSTANCE'!$K:$K, "Christine Ann V. Ramos", 'BRGY TECHNICAL ASISSTANCE'!$N:$N, "&lt;&gt;")</f>
        <v>3.6730769230769229</v>
      </c>
      <c r="D18" s="19">
        <f>COUNTIFS('BARANGAY ACCESS'!$V:$V, "Received by Planning", 'BARANGAY ACCESS'!$I:$I, "Christine Ann v. Ramos", 'BARANGAY ACCESS'!$L:$L, "&lt;&gt;")</f>
        <v>96</v>
      </c>
      <c r="E18" s="395">
        <f>AVERAGEIFS('BARANGAY ACCESS'!$R:$R, 'BARANGAY ACCESS'!$V:$V, "Received by Planning", 'BARANGAY ACCESS'!$I:$I, "Christine Ann V. Ramos", 'BARANGAY ACCESS'!$L:$L, "&lt;&gt;")</f>
        <v>4.145833333333333</v>
      </c>
      <c r="F18" s="407" t="s">
        <v>622</v>
      </c>
      <c r="G18" s="408" t="s">
        <v>622</v>
      </c>
      <c r="H18" s="400">
        <f>COUNTIFS('LGU ACCESS TO SLF'!$T:$T, "Received by Planning", 'LGU ACCESS TO SLF'!$G:$G, "Christine Ann V. Ramos", 'LGU ACCESS TO SLF'!$J:$J, "&lt;&gt;")</f>
        <v>2</v>
      </c>
      <c r="I18" s="399">
        <f>AVERAGEIFS('LGU ACCESS TO SLF'!$P:$P, 'LGU ACCESS TO SLF'!$T:$T, "Received by Planning", 'LGU ACCESS TO SLF'!$G:$G, "Christine Ann V. Ramos", 'LGU ACCESS TO SLF'!$J:$J, "&lt;&gt;")</f>
        <v>2</v>
      </c>
      <c r="J18" s="404" t="s">
        <v>622</v>
      </c>
      <c r="K18" s="404" t="s">
        <v>622</v>
      </c>
      <c r="L18" s="400">
        <f>COUNTIFS('TRASH TRAP 1st Sem'!$W:$W, "Received by Planning", 'TRASH TRAP 1st Sem'!$J:$J, "Christine Ann V. Ramos", 'TRASH TRAP 1st Sem'!$M:$M, "&lt;&gt;")</f>
        <v>4</v>
      </c>
      <c r="M18" s="399">
        <f>AVERAGEIFS('TRASH TRAP 1st Sem'!$S:$S, 'TRASH TRAP 1st Sem'!$W:$W, "Received by Planning", 'TRASH TRAP 1st Sem'!$J:$J, "Christine Ann V. Ramos", 'TRASH TRAP 1st Sem'!$M:$M, "&lt;&gt;")</f>
        <v>1.5</v>
      </c>
      <c r="N18" s="402" t="s">
        <v>622</v>
      </c>
      <c r="O18" s="402" t="s">
        <v>622</v>
      </c>
      <c r="P18" s="400">
        <f>COUNTIFS('TRANSFER STATION'!$W:$W, "Received by Planning", 'TRANSFER STATION'!$J:$J, "Christine Ann V. Ramos", 'TRANSFER STATION'!$M:$M, "&lt;&gt;")</f>
        <v>6</v>
      </c>
      <c r="Q18" s="399">
        <f>AVERAGEIFS('TRANSFER STATION'!$S:$S, 'TRANSFER STATION'!$W:$W, "Received by Planning", 'TRANSFER STATION'!$J:$J, "Christine Ann V. Ramos", 'TRANSFER STATION'!$M:$M, "&lt;&gt;")</f>
        <v>6.833333333333333</v>
      </c>
      <c r="R18" s="420" t="s">
        <v>622</v>
      </c>
      <c r="S18" s="404" t="s">
        <v>622</v>
      </c>
      <c r="T18" s="401" t="s">
        <v>622</v>
      </c>
      <c r="U18" s="401" t="s">
        <v>622</v>
      </c>
      <c r="V18" s="406" t="s">
        <v>622</v>
      </c>
      <c r="W18" s="406" t="s">
        <v>622</v>
      </c>
      <c r="X18" s="402" t="s">
        <v>622</v>
      </c>
      <c r="Y18" s="402" t="s">
        <v>622</v>
      </c>
      <c r="Z18" s="404" t="s">
        <v>622</v>
      </c>
      <c r="AA18" s="404" t="s">
        <v>622</v>
      </c>
      <c r="AB18" s="401" t="s">
        <v>622</v>
      </c>
      <c r="AC18" s="401" t="s">
        <v>622</v>
      </c>
      <c r="AE18" t="s">
        <v>179</v>
      </c>
    </row>
    <row r="19" spans="1:31" ht="18.75" customHeight="1">
      <c r="A19" s="1" t="s">
        <v>188</v>
      </c>
      <c r="B19" s="19">
        <f>COUNTIFS('BRGY TECHNICAL ASISSTANCE'!$W:$W, "Received by Planning", 'BRGY TECHNICAL ASISSTANCE'!$K:$K, "Dennis Tolentino",'BRGY TECHNICAL ASISSTANCE'!$N:$N, "&lt;&gt;")</f>
        <v>8</v>
      </c>
      <c r="C19" s="395">
        <f>AVERAGEIFS('BRGY TECHNICAL ASISSTANCE'!$S:$S, 'BRGY TECHNICAL ASISSTANCE'!$W:$W, "Received by Planning", 'BRGY TECHNICAL ASISSTANCE'!$K:$K, "Dennis Tolentino", 'BRGY TECHNICAL ASISSTANCE'!$N:$N, "&lt;&gt;")</f>
        <v>1.375</v>
      </c>
      <c r="D19" s="19">
        <f>COUNTIFS('BARANGAY ACCESS'!$V:$V, "Received by Planning", 'BARANGAY ACCESS'!$I:$I, "Dennis Tolentino", 'BARANGAY ACCESS'!$L:$L, "&lt;&gt;")</f>
        <v>64</v>
      </c>
      <c r="E19" s="395">
        <f>AVERAGEIFS('BARANGAY ACCESS'!$R:$R, 'BARANGAY ACCESS'!$V:$V, "Received by Planning", 'BARANGAY ACCESS'!$I:$I, "Dennis Tolentino", 'BARANGAY ACCESS'!$L:$L, "&lt;&gt;")</f>
        <v>1.953125</v>
      </c>
      <c r="F19" s="19">
        <f>COUNTIFS('PDS 1st Sem'!$AC:$AC, "Received by Planning", 'PDS 1st Sem'!$P:$P, "Dennis Tolentino", 'PDS 1st Sem'!$S:$S, "&lt;&gt;")</f>
        <v>1</v>
      </c>
      <c r="G19" s="395">
        <f>AVERAGEIFS('PDS 1st Sem'!$Y:$Y, 'PDS 1st Sem'!$AC:$AC, "Received by Planning", 'PDS 1st Sem'!$P:$P, "Dennis Tolentino", 'PDS 1st Sem'!$S:$S, "&lt;&gt;")</f>
        <v>1</v>
      </c>
      <c r="H19" s="400">
        <f>COUNTIFS('LGU ACCESS TO SLF'!$T:$T, "Received by Planning", 'LGU ACCESS TO SLF'!$G:$G, "Dennis Tolentino", 'LGU ACCESS TO SLF'!$J:$J, "&lt;&gt;")</f>
        <v>3</v>
      </c>
      <c r="I19" s="399">
        <f>AVERAGEIFS('LGU ACCESS TO SLF'!$P:$P, 'LGU ACCESS TO SLF'!$T:$T, "Received by Planning", 'LGU ACCESS TO SLF'!$G:$G, "Dennis Tolentino", 'LGU ACCESS TO SLF'!$J:$J, "&lt;&gt;")</f>
        <v>1.6666666666666667</v>
      </c>
      <c r="J19" s="400">
        <f>COUNTIFS('BRGY SWM PROGRAM'!$S:$S, "Received by Planning", 'BRGY SWM PROGRAM'!$F:$F, "DENNIS G. TOLENTINO", 'BRGY SWM PROGRAM'!$I:$I, "&lt;&gt;")</f>
        <v>7</v>
      </c>
      <c r="K19" s="399">
        <f>AVERAGEIFS('BRGY SWM PROGRAM'!$O:$O, 'BRGY SWM PROGRAM'!$S:$S, "Received by Planning", 'BRGY SWM PROGRAM'!$F:$F, "DENNIS G. TOLENTINO", 'BRGY SWM PROGRAM'!$I:$I, "&lt;&gt;")</f>
        <v>2.1428571428571428</v>
      </c>
      <c r="L19" s="401" t="s">
        <v>622</v>
      </c>
      <c r="M19" s="401" t="s">
        <v>622</v>
      </c>
      <c r="N19" s="402" t="s">
        <v>622</v>
      </c>
      <c r="O19" s="402" t="s">
        <v>622</v>
      </c>
      <c r="P19" s="405" t="s">
        <v>622</v>
      </c>
      <c r="Q19" s="405" t="s">
        <v>622</v>
      </c>
      <c r="R19" s="420" t="s">
        <v>622</v>
      </c>
      <c r="S19" s="404" t="s">
        <v>622</v>
      </c>
      <c r="T19" s="401" t="s">
        <v>622</v>
      </c>
      <c r="U19" s="401" t="s">
        <v>622</v>
      </c>
      <c r="V19" s="406" t="s">
        <v>622</v>
      </c>
      <c r="W19" s="406" t="s">
        <v>622</v>
      </c>
      <c r="X19" s="402" t="s">
        <v>622</v>
      </c>
      <c r="Y19" s="402" t="s">
        <v>622</v>
      </c>
      <c r="Z19" s="404" t="s">
        <v>622</v>
      </c>
      <c r="AA19" s="404" t="s">
        <v>622</v>
      </c>
      <c r="AB19" s="401" t="s">
        <v>622</v>
      </c>
      <c r="AC19" s="401" t="s">
        <v>622</v>
      </c>
      <c r="AE19" t="s">
        <v>37</v>
      </c>
    </row>
    <row r="20" spans="1:31" ht="18.75" customHeight="1">
      <c r="A20" s="1" t="s">
        <v>33</v>
      </c>
      <c r="B20" s="19">
        <f>COUNTIFS('BRGY TECHNICAL ASISSTANCE'!$W:$W, "Received by Planning", 'BRGY TECHNICAL ASISSTANCE'!$K:$K, "Elyza A. Evilla",'BRGY TECHNICAL ASISSTANCE'!$N:$N, "&lt;&gt;")</f>
        <v>45</v>
      </c>
      <c r="C20" s="395">
        <f>AVERAGEIFS('BRGY TECHNICAL ASISSTANCE'!$S:$S, 'BRGY TECHNICAL ASISSTANCE'!$W:$W, "Received by Planning", 'BRGY TECHNICAL ASISSTANCE'!$K:$K, "Elyza A. Evilla", 'BRGY TECHNICAL ASISSTANCE'!$N:$N, "&lt;&gt;")</f>
        <v>1.6888888888888889</v>
      </c>
      <c r="D20" s="19">
        <f>COUNTIFS('BARANGAY ACCESS'!$V:$V, "Received by Planning", 'BARANGAY ACCESS'!$I:$I, "Elyza A. Evilla", 'BARANGAY ACCESS'!$L:$L, "&lt;&gt;")</f>
        <v>81</v>
      </c>
      <c r="E20" s="395">
        <f>AVERAGEIFS('BARANGAY ACCESS'!$R:$R, 'BARANGAY ACCESS'!$V:$V, "Received by Planning", 'BARANGAY ACCESS'!$I:$I, "Elyza A. Evilla", 'BARANGAY ACCESS'!$L:$L, "&lt;&gt;")</f>
        <v>2.5802469135802468</v>
      </c>
      <c r="F20" s="19">
        <f>COUNTIFS('PDS 1st Sem'!$AC:$AC, "Received by Planning", 'PDS 1st Sem'!$P:$P, "Elyza A. Evilla", 'PDS 1st Sem'!$S:$S, "&lt;&gt;")</f>
        <v>4</v>
      </c>
      <c r="G20" s="395">
        <f>AVERAGEIFS('PDS 1st Sem'!$Y:$Y, 'PDS 1st Sem'!$AC:$AC, "Received by Planning", 'PDS 1st Sem'!$P:$P, "Elyza A. Evilla", 'PDS 1st Sem'!$S:$S, "&lt;&gt;")</f>
        <v>1</v>
      </c>
      <c r="H20" s="400">
        <f>COUNTIFS('LGU ACCESS TO SLF'!$T:$T, "Received by Planning", 'LGU ACCESS TO SLF'!$G:$G, "Elyza A. Evilla", 'LGU ACCESS TO SLF'!$J:$J, "&lt;&gt;")</f>
        <v>1</v>
      </c>
      <c r="I20" s="399">
        <f>AVERAGEIFS('LGU ACCESS TO SLF'!$P:$P, 'LGU ACCESS TO SLF'!$T:$T, "Received by Planning", 'LGU ACCESS TO SLF'!$G:$G, "Elyza A. Evilla", 'LGU ACCESS TO SLF'!$J:$J, "&lt;&gt;")</f>
        <v>5</v>
      </c>
      <c r="J20" s="404" t="s">
        <v>622</v>
      </c>
      <c r="K20" s="404" t="s">
        <v>622</v>
      </c>
      <c r="L20" s="400">
        <f>COUNTIFS('TRASH TRAP 1st Sem'!$W:$W, "Received by Planning", 'TRASH TRAP 1st Sem'!$J:$J, "Elyza A. Evilla", 'TRASH TRAP 1st Sem'!$M:$M, "&lt;&gt;")</f>
        <v>31</v>
      </c>
      <c r="M20" s="399">
        <f>AVERAGEIFS('TRASH TRAP 1st Sem'!$S:$S, 'TRASH TRAP 1st Sem'!$W:$W, "Received by Planning", 'TRASH TRAP 1st Sem'!$J:$J, "Elyza A. Evilla", 'TRASH TRAP 1st Sem'!$M:$M, "&lt;&gt;")</f>
        <v>2.967741935483871</v>
      </c>
      <c r="N20" s="402" t="s">
        <v>622</v>
      </c>
      <c r="O20" s="402" t="s">
        <v>622</v>
      </c>
      <c r="P20" s="400">
        <f>COUNTIFS('TRANSFER STATION'!$W:$W, "Received by Planning", 'TRANSFER STATION'!$J:$J, "Elyza A. Evilla", 'TRANSFER STATION'!$M:$M, "&lt;&gt;")</f>
        <v>3</v>
      </c>
      <c r="Q20" s="399">
        <f>AVERAGEIFS('TRANSFER STATION'!$S:$S, 'TRANSFER STATION'!$W:$W, "Received by Planning", 'TRANSFER STATION'!$J:$J, "Elyza A. Evilla", 'TRANSFER STATION'!$M:$M, "&lt;&gt;")</f>
        <v>1.6666666666666667</v>
      </c>
      <c r="R20" s="420" t="s">
        <v>622</v>
      </c>
      <c r="S20" s="404" t="s">
        <v>622</v>
      </c>
      <c r="T20" s="401" t="s">
        <v>622</v>
      </c>
      <c r="U20" s="401" t="s">
        <v>622</v>
      </c>
      <c r="V20" s="406" t="s">
        <v>622</v>
      </c>
      <c r="W20" s="406" t="s">
        <v>622</v>
      </c>
      <c r="X20" s="402" t="s">
        <v>622</v>
      </c>
      <c r="Y20" s="402" t="s">
        <v>622</v>
      </c>
      <c r="Z20" s="404" t="s">
        <v>622</v>
      </c>
      <c r="AA20" s="404" t="s">
        <v>622</v>
      </c>
      <c r="AB20" s="401" t="s">
        <v>622</v>
      </c>
      <c r="AC20" s="401" t="s">
        <v>622</v>
      </c>
      <c r="AE20" t="s">
        <v>1212</v>
      </c>
    </row>
    <row r="21" spans="1:31" ht="18.75" customHeight="1">
      <c r="A21" s="1" t="s">
        <v>224</v>
      </c>
      <c r="B21" s="19">
        <f>COUNTIFS('BRGY TECHNICAL ASISSTANCE'!$W:$W, "Received by Planning", 'BRGY TECHNICAL ASISSTANCE'!$K:$K, "Gem C. Vicencio",'BRGY TECHNICAL ASISSTANCE'!$N:$N, "&lt;&gt;")</f>
        <v>56</v>
      </c>
      <c r="C21" s="395">
        <f>AVERAGEIFS('BRGY TECHNICAL ASISSTANCE'!$S:$S, 'BRGY TECHNICAL ASISSTANCE'!$W:$W, "Received by Planning", 'BRGY TECHNICAL ASISSTANCE'!$K:$K, "Gem C. Vicencio", 'BRGY TECHNICAL ASISSTANCE'!$N:$N, "&lt;&gt;")</f>
        <v>1.3035714285714286</v>
      </c>
      <c r="D21" s="19">
        <f>COUNTIFS('BARANGAY ACCESS'!$V:$V, "Received by Planning", 'BARANGAY ACCESS'!$I:$I, "Gem C. Vicencio", 'BARANGAY ACCESS'!$L:$L, "&lt;&gt;")</f>
        <v>70</v>
      </c>
      <c r="E21" s="395">
        <f>AVERAGEIFS('BARANGAY ACCESS'!$R:$R, 'BARANGAY ACCESS'!$V:$V, "Received by Planning", 'BARANGAY ACCESS'!$I:$I, "Gem C. Vicencio", 'BARANGAY ACCESS'!$L:$L, "&lt;&gt;")</f>
        <v>1.7857142857142858</v>
      </c>
      <c r="F21" s="407" t="s">
        <v>622</v>
      </c>
      <c r="G21" s="408" t="s">
        <v>622</v>
      </c>
      <c r="H21" s="406" t="s">
        <v>622</v>
      </c>
      <c r="I21" s="405" t="s">
        <v>622</v>
      </c>
      <c r="J21" s="404" t="s">
        <v>622</v>
      </c>
      <c r="K21" s="404" t="s">
        <v>622</v>
      </c>
      <c r="L21" s="401" t="s">
        <v>622</v>
      </c>
      <c r="M21" s="401" t="s">
        <v>622</v>
      </c>
      <c r="N21" s="402" t="s">
        <v>622</v>
      </c>
      <c r="O21" s="402" t="s">
        <v>622</v>
      </c>
      <c r="P21" s="405" t="s">
        <v>622</v>
      </c>
      <c r="Q21" s="405" t="s">
        <v>622</v>
      </c>
      <c r="R21" s="420" t="s">
        <v>622</v>
      </c>
      <c r="S21" s="404" t="s">
        <v>622</v>
      </c>
      <c r="T21" s="401" t="s">
        <v>622</v>
      </c>
      <c r="U21" s="401" t="s">
        <v>622</v>
      </c>
      <c r="V21" s="406" t="s">
        <v>622</v>
      </c>
      <c r="W21" s="406" t="s">
        <v>622</v>
      </c>
      <c r="X21" s="402" t="s">
        <v>622</v>
      </c>
      <c r="Y21" s="402" t="s">
        <v>622</v>
      </c>
      <c r="Z21" s="404" t="s">
        <v>622</v>
      </c>
      <c r="AA21" s="404" t="s">
        <v>622</v>
      </c>
      <c r="AB21" s="401" t="s">
        <v>622</v>
      </c>
      <c r="AC21" s="401" t="s">
        <v>622</v>
      </c>
      <c r="AE21" t="s">
        <v>19</v>
      </c>
    </row>
    <row r="22" spans="1:31" ht="18.75" customHeight="1">
      <c r="A22" s="1" t="s">
        <v>1345</v>
      </c>
      <c r="B22" s="19">
        <f>COUNTIFS('BRGY TECHNICAL ASISSTANCE'!$W:$W, "Received by Planning", 'BRGY TECHNICAL ASISSTANCE'!$K:$K, "Glaiza S. Gaza",'BRGY TECHNICAL ASISSTANCE'!$N:$N, "&lt;&gt;")</f>
        <v>43</v>
      </c>
      <c r="C22" s="395">
        <f>AVERAGEIFS('BRGY TECHNICAL ASISSTANCE'!$S:$S, 'BRGY TECHNICAL ASISSTANCE'!$W:$W, "Received by Planning", 'BRGY TECHNICAL ASISSTANCE'!$K:$K, "Glaiza S. Gaza", 'BRGY TECHNICAL ASISSTANCE'!$N:$N, "&lt;&gt;")</f>
        <v>2.2558139534883721</v>
      </c>
      <c r="D22" s="19">
        <f>COUNTIFS('BARANGAY ACCESS'!$V:$V, "Received by Planning", 'BARANGAY ACCESS'!$I:$I, "Glaiza S. Gaza", 'BARANGAY ACCESS'!$L:$L, "&lt;&gt;")</f>
        <v>74</v>
      </c>
      <c r="E22" s="395">
        <f>AVERAGEIFS('BARANGAY ACCESS'!$R:$R, 'BARANGAY ACCESS'!$V:$V, "Received by Planning", 'BARANGAY ACCESS'!$I:$I, "Glaiza S. Gaza", 'BARANGAY ACCESS'!$L:$L, "&lt;&gt;")</f>
        <v>3.4864864864864864</v>
      </c>
      <c r="F22" s="407" t="s">
        <v>622</v>
      </c>
      <c r="G22" s="408" t="s">
        <v>622</v>
      </c>
      <c r="H22" s="400">
        <f>COUNTIFS('LGU ACCESS TO SLF'!$T:$T, "Received by Planning", 'LGU ACCESS TO SLF'!$G:$G, "Glaiza S. Gaza", 'LGU ACCESS TO SLF'!$J:$J, "&lt;&gt;")</f>
        <v>3</v>
      </c>
      <c r="I22" s="399">
        <f>AVERAGEIFS('LGU ACCESS TO SLF'!$P:$P, 'LGU ACCESS TO SLF'!$T:$T, "Received by Planning", 'LGU ACCESS TO SLF'!$G:$G, "Glaiza S. Gaza", 'LGU ACCESS TO SLF'!$J:$J, "&lt;&gt;")</f>
        <v>5</v>
      </c>
      <c r="J22" s="404" t="s">
        <v>622</v>
      </c>
      <c r="K22" s="404" t="s">
        <v>622</v>
      </c>
      <c r="L22" s="400">
        <f>COUNTIFS('TRASH TRAP 1st Sem'!$W:$W, "Received by Planning", 'TRASH TRAP 1st Sem'!$J:$J, "Glaiza S. Gaza", 'TRASH TRAP 1st Sem'!$M:$M, "&lt;&gt;")</f>
        <v>14</v>
      </c>
      <c r="M22" s="399">
        <f>AVERAGEIFS('TRASH TRAP 1st Sem'!$S:$S, 'TRASH TRAP 1st Sem'!$W:$W, "Received by Planning", 'TRASH TRAP 1st Sem'!$J:$J, "Glaiza S. Gaza", 'TRASH TRAP 1st Sem'!$M:$M, "&lt;&gt;")</f>
        <v>4.8571428571428568</v>
      </c>
      <c r="N22" s="402" t="s">
        <v>622</v>
      </c>
      <c r="O22" s="402" t="s">
        <v>622</v>
      </c>
      <c r="P22" s="405" t="s">
        <v>622</v>
      </c>
      <c r="Q22" s="405" t="s">
        <v>622</v>
      </c>
      <c r="R22" s="420" t="s">
        <v>622</v>
      </c>
      <c r="S22" s="404" t="s">
        <v>622</v>
      </c>
      <c r="T22" s="401" t="s">
        <v>622</v>
      </c>
      <c r="U22" s="401" t="s">
        <v>622</v>
      </c>
      <c r="V22" s="406" t="s">
        <v>622</v>
      </c>
      <c r="W22" s="406" t="s">
        <v>622</v>
      </c>
      <c r="X22" s="402" t="s">
        <v>622</v>
      </c>
      <c r="Y22" s="402" t="s">
        <v>622</v>
      </c>
      <c r="Z22" s="404" t="s">
        <v>622</v>
      </c>
      <c r="AA22" s="404" t="s">
        <v>622</v>
      </c>
      <c r="AB22" s="401" t="s">
        <v>622</v>
      </c>
      <c r="AC22" s="401" t="s">
        <v>622</v>
      </c>
      <c r="AE22" t="s">
        <v>14</v>
      </c>
    </row>
    <row r="23" spans="1:31" ht="18.75" customHeight="1">
      <c r="A23" s="1" t="s">
        <v>39</v>
      </c>
      <c r="B23" s="19">
        <f>COUNTIFS('BRGY TECHNICAL ASISSTANCE'!$W:$W, "Received by Planning", 'BRGY TECHNICAL ASISSTANCE'!$K:$K, "Gretzhen M. Apolonio",'BRGY TECHNICAL ASISSTANCE'!$N:$N, "&lt;&gt;")</f>
        <v>48</v>
      </c>
      <c r="C23" s="395">
        <f>AVERAGEIFS('BRGY TECHNICAL ASISSTANCE'!$S:$S, 'BRGY TECHNICAL ASISSTANCE'!$W:$W, "Received by Planning", 'BRGY TECHNICAL ASISSTANCE'!$K:$K, "Gretzhen M. Apolonio", 'BRGY TECHNICAL ASISSTANCE'!$N:$N, "&lt;&gt;")</f>
        <v>5</v>
      </c>
      <c r="D23" s="19">
        <f>COUNTIFS('BARANGAY ACCESS'!$V:$V, "Received by Planning", 'BARANGAY ACCESS'!$I:$I, "Gretzhen M. Apolonio", 'BARANGAY ACCESS'!$L:$L, "&lt;&gt;")</f>
        <v>73</v>
      </c>
      <c r="E23" s="395">
        <f>AVERAGEIFS('BARANGAY ACCESS'!$R:$R, 'BARANGAY ACCESS'!$V:$V, "Received by Planning", 'BARANGAY ACCESS'!$I:$I, "Gretzhen M. Apolonio", 'BARANGAY ACCESS'!$L:$L, "&lt;&gt;")</f>
        <v>4.493150684931507</v>
      </c>
      <c r="F23" s="407" t="s">
        <v>622</v>
      </c>
      <c r="G23" s="408" t="s">
        <v>622</v>
      </c>
      <c r="H23" s="406" t="s">
        <v>622</v>
      </c>
      <c r="I23" s="405" t="s">
        <v>622</v>
      </c>
      <c r="J23" s="404" t="s">
        <v>622</v>
      </c>
      <c r="K23" s="404" t="s">
        <v>622</v>
      </c>
      <c r="L23" s="401" t="s">
        <v>622</v>
      </c>
      <c r="M23" s="401" t="s">
        <v>622</v>
      </c>
      <c r="N23" s="402" t="s">
        <v>622</v>
      </c>
      <c r="O23" s="402" t="s">
        <v>622</v>
      </c>
      <c r="P23" s="405" t="s">
        <v>622</v>
      </c>
      <c r="Q23" s="405" t="s">
        <v>622</v>
      </c>
      <c r="R23" s="420" t="s">
        <v>622</v>
      </c>
      <c r="S23" s="404" t="s">
        <v>622</v>
      </c>
      <c r="T23" s="401" t="s">
        <v>622</v>
      </c>
      <c r="U23" s="401" t="s">
        <v>622</v>
      </c>
      <c r="V23" s="406" t="s">
        <v>622</v>
      </c>
      <c r="W23" s="406" t="s">
        <v>622</v>
      </c>
      <c r="X23" s="402" t="s">
        <v>622</v>
      </c>
      <c r="Y23" s="402" t="s">
        <v>622</v>
      </c>
      <c r="Z23" s="404" t="s">
        <v>622</v>
      </c>
      <c r="AA23" s="404" t="s">
        <v>622</v>
      </c>
      <c r="AB23" s="401" t="s">
        <v>622</v>
      </c>
      <c r="AC23" s="401" t="s">
        <v>622</v>
      </c>
      <c r="AE23" t="s">
        <v>3426</v>
      </c>
    </row>
    <row r="24" spans="1:31" ht="18.75" customHeight="1">
      <c r="A24" s="1" t="s">
        <v>26</v>
      </c>
      <c r="B24" s="19">
        <f>COUNTIFS('BRGY TECHNICAL ASISSTANCE'!$W:$W, "Received by Planning", 'BRGY TECHNICAL ASISSTANCE'!$K:$K, "Hosannah R. Sabio",'BRGY TECHNICAL ASISSTANCE'!$N:$N, "&lt;&gt;")</f>
        <v>35</v>
      </c>
      <c r="C24" s="395">
        <f>AVERAGEIFS('BRGY TECHNICAL ASISSTANCE'!$S:$S, 'BRGY TECHNICAL ASISSTANCE'!$W:$W, "Received by Planning", 'BRGY TECHNICAL ASISSTANCE'!$K:$K, "Hosannah R. Sabio", 'BRGY TECHNICAL ASISSTANCE'!$N:$N, "&lt;&gt;")</f>
        <v>3.342857142857143</v>
      </c>
      <c r="D24" s="19">
        <f>COUNTIFS('BARANGAY ACCESS'!$V:$V, "Received by Planning", 'BARANGAY ACCESS'!$I:$I, "Hosannah R. Sabio", 'BARANGAY ACCESS'!$L:$L, "&lt;&gt;")</f>
        <v>94</v>
      </c>
      <c r="E24" s="395">
        <f>AVERAGEIFS('BARANGAY ACCESS'!$R:$R, 'BARANGAY ACCESS'!$V:$V, "Received by Planning", 'BARANGAY ACCESS'!$I:$I, "Hosannah R. Sabio", 'BARANGAY ACCESS'!$L:$L, "&lt;&gt;")</f>
        <v>3.4042553191489362</v>
      </c>
      <c r="F24" s="19">
        <f>COUNTIFS('PDS 1st Sem'!$AC:$AC, "Received by Planning", 'PDS 1st Sem'!$P:$P, "Hosannah R. Sabio", 'PDS 1st Sem'!$S:$S, "&lt;&gt;")</f>
        <v>2</v>
      </c>
      <c r="G24" s="395">
        <f>AVERAGEIFS('PDS 1st Sem'!$Y:$Y, 'PDS 1st Sem'!$AC:$AC, "Received by Planning", 'PDS 1st Sem'!$P:$P, "Hosannah R. Sabio", 'PDS 1st Sem'!$S:$S, "&lt;&gt;")</f>
        <v>5.5</v>
      </c>
      <c r="H24" s="400">
        <f>COUNTIFS('LGU ACCESS TO SLF'!$T:$T, "Received by Planning", 'LGU ACCESS TO SLF'!$G:$G, "Hosannah R. Sabio", 'LGU ACCESS TO SLF'!$J:$J, "&lt;&gt;")</f>
        <v>1</v>
      </c>
      <c r="I24" s="399">
        <f>AVERAGEIFS('LGU ACCESS TO SLF'!$P:$P, 'LGU ACCESS TO SLF'!$T:$T, "Received by Planning", 'LGU ACCESS TO SLF'!$G:$G, "Hosannah R. Sabio", 'LGU ACCESS TO SLF'!$J:$J, "&lt;&gt;")</f>
        <v>13</v>
      </c>
      <c r="J24" s="404" t="s">
        <v>622</v>
      </c>
      <c r="K24" s="404" t="s">
        <v>622</v>
      </c>
      <c r="L24" s="401" t="s">
        <v>622</v>
      </c>
      <c r="M24" s="401" t="s">
        <v>622</v>
      </c>
      <c r="N24" s="402" t="s">
        <v>622</v>
      </c>
      <c r="O24" s="402" t="s">
        <v>622</v>
      </c>
      <c r="P24" s="400">
        <f>COUNTIFS('TRANSFER STATION'!$W:$W, "Received by Planning", 'TRANSFER STATION'!$J:$J, "Hosannah R. Sabio", 'TRANSFER STATION'!$M:$M, "&lt;&gt;")</f>
        <v>6</v>
      </c>
      <c r="Q24" s="399">
        <f>AVERAGEIFS('TRANSFER STATION'!$S:$S, 'TRANSFER STATION'!$W:$W, "Received by Planning", 'TRANSFER STATION'!$J:$J, "Hosannah R. Sabio", 'TRANSFER STATION'!$M:$M, "&lt;&gt;")</f>
        <v>5.166666666666667</v>
      </c>
      <c r="R24" s="420" t="s">
        <v>622</v>
      </c>
      <c r="S24" s="404" t="s">
        <v>622</v>
      </c>
      <c r="T24" s="401" t="s">
        <v>622</v>
      </c>
      <c r="U24" s="401" t="s">
        <v>622</v>
      </c>
      <c r="V24" s="406" t="s">
        <v>622</v>
      </c>
      <c r="W24" s="406" t="s">
        <v>622</v>
      </c>
      <c r="X24" s="402" t="s">
        <v>622</v>
      </c>
      <c r="Y24" s="402" t="s">
        <v>622</v>
      </c>
      <c r="Z24" s="404" t="s">
        <v>622</v>
      </c>
      <c r="AA24" s="404" t="s">
        <v>622</v>
      </c>
      <c r="AB24" s="401" t="s">
        <v>622</v>
      </c>
      <c r="AC24" s="401" t="s">
        <v>622</v>
      </c>
      <c r="AE24" t="s">
        <v>32</v>
      </c>
    </row>
    <row r="25" spans="1:31" ht="18.75" customHeight="1">
      <c r="A25" s="1" t="s">
        <v>35</v>
      </c>
      <c r="B25" s="19">
        <f>COUNTIFS('BRGY TECHNICAL ASISSTANCE'!$W:$W, "Received by Planning", 'BRGY TECHNICAL ASISSTANCE'!$K:$K, "Ivy M. Castro",'BRGY TECHNICAL ASISSTANCE'!$N:$N, "&lt;&gt;")</f>
        <v>44</v>
      </c>
      <c r="C25" s="395">
        <f>AVERAGEIFS('BRGY TECHNICAL ASISSTANCE'!$S:$S, 'BRGY TECHNICAL ASISSTANCE'!$W:$W, "Received by Planning", 'BRGY TECHNICAL ASISSTANCE'!$K:$K, "Ivy M. Castro", 'BRGY TECHNICAL ASISSTANCE'!$N:$N, "&lt;&gt;")</f>
        <v>1.4878048780487805</v>
      </c>
      <c r="D25" s="19">
        <f>COUNTIFS('BARANGAY ACCESS'!$V:$V, "Received by Planning", 'BARANGAY ACCESS'!$I:$I, "Ivy M. Castro", 'BARANGAY ACCESS'!$L:$L, "&lt;&gt;")</f>
        <v>75</v>
      </c>
      <c r="E25" s="395">
        <f>AVERAGEIFS('BARANGAY ACCESS'!$R:$R, 'BARANGAY ACCESS'!$V:$V, "Received by Planning", 'BARANGAY ACCESS'!$I:$I, "Ivy M. Castro", 'BARANGAY ACCESS'!$L:$L, "&lt;&gt;")</f>
        <v>1.7466666666666666</v>
      </c>
      <c r="F25" s="407" t="s">
        <v>622</v>
      </c>
      <c r="G25" s="408" t="s">
        <v>622</v>
      </c>
      <c r="H25" s="406" t="s">
        <v>622</v>
      </c>
      <c r="I25" s="405" t="s">
        <v>622</v>
      </c>
      <c r="J25" s="404" t="s">
        <v>622</v>
      </c>
      <c r="K25" s="404" t="s">
        <v>622</v>
      </c>
      <c r="L25" s="400">
        <f>COUNTIFS('TRASH TRAP 1st Sem'!$W:$W, "Received by Planning", 'TRASH TRAP 1st Sem'!$J:$J, "Ivy M. Castro", 'TRASH TRAP 1st Sem'!$M:$M, "&lt;&gt;")</f>
        <v>12</v>
      </c>
      <c r="M25" s="399">
        <f>AVERAGEIFS('TRASH TRAP 1st Sem'!$S:$S, 'TRASH TRAP 1st Sem'!$W:$W, "Received by Planning", 'TRASH TRAP 1st Sem'!$J:$J, "Ivy M. Castro", 'TRASH TRAP 1st Sem'!$M:$M, "&lt;&gt;")</f>
        <v>3.25</v>
      </c>
      <c r="N25" s="402" t="s">
        <v>622</v>
      </c>
      <c r="O25" s="402" t="s">
        <v>622</v>
      </c>
      <c r="P25" s="406" t="s">
        <v>622</v>
      </c>
      <c r="Q25" s="405" t="s">
        <v>622</v>
      </c>
      <c r="R25" s="420" t="s">
        <v>622</v>
      </c>
      <c r="S25" s="404" t="s">
        <v>622</v>
      </c>
      <c r="T25" s="401" t="s">
        <v>622</v>
      </c>
      <c r="U25" s="401" t="s">
        <v>622</v>
      </c>
      <c r="V25" s="406" t="s">
        <v>622</v>
      </c>
      <c r="W25" s="406" t="s">
        <v>622</v>
      </c>
      <c r="X25" s="402" t="s">
        <v>622</v>
      </c>
      <c r="Y25" s="402" t="s">
        <v>622</v>
      </c>
      <c r="Z25" s="404" t="s">
        <v>622</v>
      </c>
      <c r="AA25" s="404" t="s">
        <v>622</v>
      </c>
      <c r="AB25" s="401" t="s">
        <v>622</v>
      </c>
      <c r="AC25" s="401" t="s">
        <v>622</v>
      </c>
      <c r="AE25" t="s">
        <v>200</v>
      </c>
    </row>
    <row r="26" spans="1:31" ht="18.75" customHeight="1">
      <c r="A26" s="1" t="s">
        <v>508</v>
      </c>
      <c r="B26" s="19">
        <f>COUNTIFS('BRGY TECHNICAL ASISSTANCE'!$W:$W, "Received by Planning", 'BRGY TECHNICAL ASISSTANCE'!$K:$K, "James Wilson T. Pena",'BRGY TECHNICAL ASISSTANCE'!$N:$N, "&lt;&gt;")</f>
        <v>39</v>
      </c>
      <c r="C26" s="395">
        <f>AVERAGEIFS('BRGY TECHNICAL ASISSTANCE'!$S:$S, 'BRGY TECHNICAL ASISSTANCE'!$W:$W, "Received by Planning", 'BRGY TECHNICAL ASISSTANCE'!$K:$K, "James Wilson T. Pena", 'BRGY TECHNICAL ASISSTANCE'!$N:$N, "&lt;&gt;")</f>
        <v>3.2564102564102564</v>
      </c>
      <c r="D26" s="19">
        <f>COUNTIFS('BARANGAY ACCESS'!$V:$V, "Received by Planning", 'BARANGAY ACCESS'!$I:$I, "James Wilson T. Pena", 'BARANGAY ACCESS'!$L:$L, "&lt;&gt;")</f>
        <v>71</v>
      </c>
      <c r="E26" s="395">
        <f>AVERAGEIFS('BARANGAY ACCESS'!$R:$R, 'BARANGAY ACCESS'!$V:$V, "Received by Planning", 'BARANGAY ACCESS'!$I:$I, "James Wilson T. Pena", 'BARANGAY ACCESS'!$L:$L, "&lt;&gt;")</f>
        <v>3.6056338028169015</v>
      </c>
      <c r="F26" s="19">
        <f>COUNTIFS('PDS 1st Sem'!$AC:$AC, "Received by Planning", 'PDS 1st Sem'!$P:$P, "James Wilson T. Peña", 'PDS 1st Sem'!$S:$S, "&lt;&gt;")</f>
        <v>1</v>
      </c>
      <c r="G26" s="395">
        <f>AVERAGEIFS('PDS 1st Sem'!$Y:$Y, 'PDS 1st Sem'!$AC:$AC, "Received by Planning", 'PDS 1st Sem'!$P:$P, "James Wilson T. Peña", 'PDS 1st Sem'!$S:$S, "&lt;&gt;")</f>
        <v>1</v>
      </c>
      <c r="H26" s="406" t="s">
        <v>622</v>
      </c>
      <c r="I26" s="405" t="s">
        <v>622</v>
      </c>
      <c r="J26" s="404" t="s">
        <v>622</v>
      </c>
      <c r="K26" s="404" t="s">
        <v>622</v>
      </c>
      <c r="L26" s="400">
        <f>COUNTIFS('TRASH TRAP 1st Sem'!$W:$W, "Received by Planning", 'TRASH TRAP 1st Sem'!$J:$J, "James Wilson T. Peña", 'TRASH TRAP 1st Sem'!$M:$M, "&lt;&gt;")</f>
        <v>20</v>
      </c>
      <c r="M26" s="399">
        <f>AVERAGEIFS('TRASH TRAP 1st Sem'!$S:$S, 'TRASH TRAP 1st Sem'!$W:$W, "Received by Planning", 'TRASH TRAP 1st Sem'!$J:$J, "James Wilson T. Peña", 'TRASH TRAP 1st Sem'!$M:$M, "&lt;&gt;")</f>
        <v>2.5499999999999998</v>
      </c>
      <c r="N26" s="402" t="s">
        <v>622</v>
      </c>
      <c r="O26" s="402" t="s">
        <v>622</v>
      </c>
      <c r="P26" s="406" t="s">
        <v>622</v>
      </c>
      <c r="Q26" s="405" t="s">
        <v>622</v>
      </c>
      <c r="R26" s="420" t="s">
        <v>622</v>
      </c>
      <c r="S26" s="404" t="s">
        <v>622</v>
      </c>
      <c r="T26" s="401" t="s">
        <v>622</v>
      </c>
      <c r="U26" s="401" t="s">
        <v>622</v>
      </c>
      <c r="V26" s="406" t="s">
        <v>622</v>
      </c>
      <c r="W26" s="406" t="s">
        <v>622</v>
      </c>
      <c r="X26" s="402" t="s">
        <v>622</v>
      </c>
      <c r="Y26" s="402" t="s">
        <v>622</v>
      </c>
      <c r="Z26" s="404" t="s">
        <v>622</v>
      </c>
      <c r="AA26" s="404" t="s">
        <v>622</v>
      </c>
      <c r="AB26" s="401" t="s">
        <v>622</v>
      </c>
      <c r="AC26" s="401" t="s">
        <v>622</v>
      </c>
      <c r="AE26" t="s">
        <v>42</v>
      </c>
    </row>
    <row r="27" spans="1:31" ht="18.75" customHeight="1">
      <c r="A27" s="1" t="s">
        <v>5783</v>
      </c>
      <c r="B27" s="19">
        <f>COUNTIFS('BRGY TECHNICAL ASISSTANCE'!$W:$W, "Received by Planning", 'BRGY TECHNICAL ASISSTANCE'!$K:$K, "Jasper Keith B. Pili",'BRGY TECHNICAL ASISSTANCE'!$N:$N, "&lt;&gt;")</f>
        <v>75</v>
      </c>
      <c r="C27" s="395">
        <f>AVERAGEIFS('BRGY TECHNICAL ASISSTANCE'!$S:$S, 'BRGY TECHNICAL ASISSTANCE'!$W:$W, "Received by Planning", 'BRGY TECHNICAL ASISSTANCE'!$K:$K, "Jasper Keith B. Pili", 'BRGY TECHNICAL ASISSTANCE'!$N:$N, "&lt;&gt;")</f>
        <v>2.36</v>
      </c>
      <c r="D27" s="19">
        <f>COUNTIFS('BARANGAY ACCESS'!$V:$V, "Received by Planning", 'BARANGAY ACCESS'!$I:$I, "Jasper Keith B. Pili", 'BARANGAY ACCESS'!$L:$L, "&lt;&gt;")</f>
        <v>97</v>
      </c>
      <c r="E27" s="395">
        <f>AVERAGEIFS('BARANGAY ACCESS'!$R:$R, 'BARANGAY ACCESS'!$V:$V, "Received by Planning", 'BARANGAY ACCESS'!$I:$I, "Jasper Keith B. Pili", 'BARANGAY ACCESS'!$L:$L, "&lt;&gt;")</f>
        <v>1.8350515463917525</v>
      </c>
      <c r="F27" s="407" t="s">
        <v>622</v>
      </c>
      <c r="G27" s="408" t="s">
        <v>622</v>
      </c>
      <c r="H27" s="406" t="s">
        <v>622</v>
      </c>
      <c r="I27" s="405" t="s">
        <v>622</v>
      </c>
      <c r="J27" s="404" t="s">
        <v>622</v>
      </c>
      <c r="K27" s="404" t="s">
        <v>622</v>
      </c>
      <c r="L27" s="401" t="s">
        <v>622</v>
      </c>
      <c r="M27" s="401" t="s">
        <v>622</v>
      </c>
      <c r="N27" s="402" t="s">
        <v>622</v>
      </c>
      <c r="O27" s="402" t="s">
        <v>622</v>
      </c>
      <c r="P27" s="406" t="s">
        <v>622</v>
      </c>
      <c r="Q27" s="405" t="s">
        <v>622</v>
      </c>
      <c r="R27" s="420" t="s">
        <v>622</v>
      </c>
      <c r="S27" s="404" t="s">
        <v>622</v>
      </c>
      <c r="T27" s="401" t="s">
        <v>622</v>
      </c>
      <c r="U27" s="401" t="s">
        <v>622</v>
      </c>
      <c r="V27" s="406" t="s">
        <v>622</v>
      </c>
      <c r="W27" s="406" t="s">
        <v>622</v>
      </c>
      <c r="X27" s="402" t="s">
        <v>622</v>
      </c>
      <c r="Y27" s="402" t="s">
        <v>622</v>
      </c>
      <c r="Z27" s="404" t="s">
        <v>622</v>
      </c>
      <c r="AA27" s="404" t="s">
        <v>622</v>
      </c>
      <c r="AB27" s="401" t="s">
        <v>622</v>
      </c>
      <c r="AC27" s="401" t="s">
        <v>622</v>
      </c>
      <c r="AE27" t="s">
        <v>172</v>
      </c>
    </row>
    <row r="28" spans="1:31" ht="18.75" customHeight="1">
      <c r="A28" s="1" t="s">
        <v>179</v>
      </c>
      <c r="B28" s="19">
        <f>COUNTIFS('BRGY TECHNICAL ASISSTANCE'!$W:$W, "Received by Planning", 'BRGY TECHNICAL ASISSTANCE'!$K:$K, "John-lester Signio",'BRGY TECHNICAL ASISSTANCE'!$N:$N, "&lt;&gt;")</f>
        <v>16</v>
      </c>
      <c r="C28" s="395">
        <f>AVERAGEIFS('BRGY TECHNICAL ASISSTANCE'!$S:$S, 'BRGY TECHNICAL ASISSTANCE'!$W:$W, "Received by Planning", 'BRGY TECHNICAL ASISSTANCE'!$K:$K, "John-lester Signio", 'BRGY TECHNICAL ASISSTANCE'!$N:$N, "&lt;&gt;")</f>
        <v>2.25</v>
      </c>
      <c r="D28" s="19">
        <f>COUNTIFS('BARANGAY ACCESS'!$V:$V, "Received by Planning", 'BARANGAY ACCESS'!$I:$I, "John-lester Signio", 'BARANGAY ACCESS'!$L:$L, "&lt;&gt;")</f>
        <v>69</v>
      </c>
      <c r="E28" s="395">
        <f>AVERAGEIFS('BARANGAY ACCESS'!$R:$R, 'BARANGAY ACCESS'!$V:$V, "Received by Planning", 'BARANGAY ACCESS'!$I:$I, "John-lester Signio", 'BARANGAY ACCESS'!$L:$L, "&lt;&gt;")</f>
        <v>1.9130434782608696</v>
      </c>
      <c r="F28" s="19">
        <f>COUNTIFS('PDS 1st Sem'!$AC:$AC, "Received by Planning", 'PDS 1st Sem'!$P:$P, "John-lester C. Signio", 'PDS 1st Sem'!$S:$S, "&lt;&gt;")</f>
        <v>1</v>
      </c>
      <c r="G28" s="395">
        <f>AVERAGEIFS('PDS 1st Sem'!$Y:$Y, 'PDS 1st Sem'!$AC:$AC, "Received by Planning", 'PDS 1st Sem'!$P:$P, "John-lester C. Signio", 'PDS 1st Sem'!$S:$S, "&lt;&gt;")</f>
        <v>3</v>
      </c>
      <c r="H28" s="400">
        <f>COUNTIFS('LGU ACCESS TO SLF'!$T:$T, "Received by Planning", 'LGU ACCESS TO SLF'!$G:$G, "John-lester Signio", 'LGU ACCESS TO SLF'!$J:$J, "&lt;&gt;")</f>
        <v>4</v>
      </c>
      <c r="I28" s="399">
        <f>AVERAGEIFS('LGU ACCESS TO SLF'!$P:$P, 'LGU ACCESS TO SLF'!$T:$T, "Received by Planning", 'LGU ACCESS TO SLF'!$G:$G, "John-lester Signio", 'LGU ACCESS TO SLF'!$J:$J, "&lt;&gt;")</f>
        <v>2.25</v>
      </c>
      <c r="J28" s="400">
        <f>COUNTIFS('BRGY SWM PROGRAM'!$S:$S, "Received by Planning", 'BRGY SWM PROGRAM'!$F:$F, "JOHN-LESTER SIGNIO", 'BRGY SWM PROGRAM'!$I:$I, "&lt;&gt;")</f>
        <v>7</v>
      </c>
      <c r="K28" s="399">
        <f>AVERAGEIFS('BRGY SWM PROGRAM'!$O:$O, 'BRGY SWM PROGRAM'!$S:$S, "Received by Planning", 'BRGY SWM PROGRAM'!$F:$F, "JOHN-LESTER SIGNIO", 'BRGY SWM PROGRAM'!$I:$I, "&lt;&gt;")</f>
        <v>3</v>
      </c>
      <c r="L28" s="401" t="s">
        <v>622</v>
      </c>
      <c r="M28" s="401" t="s">
        <v>622</v>
      </c>
      <c r="N28" s="402" t="s">
        <v>622</v>
      </c>
      <c r="O28" s="402" t="s">
        <v>622</v>
      </c>
      <c r="P28" s="406" t="s">
        <v>622</v>
      </c>
      <c r="Q28" s="405" t="s">
        <v>622</v>
      </c>
      <c r="R28" s="420" t="s">
        <v>622</v>
      </c>
      <c r="S28" s="404" t="s">
        <v>622</v>
      </c>
      <c r="T28" s="401" t="s">
        <v>622</v>
      </c>
      <c r="U28" s="401" t="s">
        <v>622</v>
      </c>
      <c r="V28" s="406" t="s">
        <v>622</v>
      </c>
      <c r="W28" s="406" t="s">
        <v>622</v>
      </c>
      <c r="X28" s="402" t="s">
        <v>622</v>
      </c>
      <c r="Y28" s="402" t="s">
        <v>622</v>
      </c>
      <c r="Z28" s="404" t="s">
        <v>622</v>
      </c>
      <c r="AA28" s="404" t="s">
        <v>622</v>
      </c>
      <c r="AB28" s="401" t="s">
        <v>622</v>
      </c>
      <c r="AC28" s="401" t="s">
        <v>622</v>
      </c>
    </row>
    <row r="29" spans="1:31" ht="18.75" customHeight="1">
      <c r="A29" s="1" t="s">
        <v>37</v>
      </c>
      <c r="B29" s="19">
        <f>COUNTIFS('BRGY TECHNICAL ASISSTANCE'!$W:$W, "Received by Planning", 'BRGY TECHNICAL ASISSTANCE'!$K:$K, "Joshua A. Capones",'BRGY TECHNICAL ASISSTANCE'!$N:$N, "&lt;&gt;")</f>
        <v>78</v>
      </c>
      <c r="C29" s="395">
        <f>AVERAGEIFS('BRGY TECHNICAL ASISSTANCE'!$S:$S, 'BRGY TECHNICAL ASISSTANCE'!$W:$W, "Received by Planning", 'BRGY TECHNICAL ASISSTANCE'!$K:$K, "Joshua A. Capones", 'BRGY TECHNICAL ASISSTANCE'!$N:$N, "&lt;&gt;")</f>
        <v>1.5256410256410255</v>
      </c>
      <c r="D29" s="19">
        <f>COUNTIFS('BARANGAY ACCESS'!$V:$V, "Received by Planning", 'BARANGAY ACCESS'!$I:$I, "Joshua A. Capones", 'BARANGAY ACCESS'!$L:$L, "&lt;&gt;")</f>
        <v>99</v>
      </c>
      <c r="E29" s="395">
        <f>AVERAGEIFS('BARANGAY ACCESS'!$R:$R, 'BARANGAY ACCESS'!$V:$V, "Received by Planning", 'BARANGAY ACCESS'!$I:$I, "Joshua A. Capones", 'BARANGAY ACCESS'!$L:$L, "&lt;&gt;")</f>
        <v>1.9696969696969697</v>
      </c>
      <c r="F29" s="19">
        <f>COUNTIFS('PDS 1st Sem'!$AC:$AC, "Received by Planning", 'PDS 1st Sem'!$P:$P, "Joshua A. Capones", 'PDS 1st Sem'!$S:$S, "&lt;&gt;")</f>
        <v>2</v>
      </c>
      <c r="G29" s="395">
        <f>AVERAGEIFS('PDS 1st Sem'!$Y:$Y, 'PDS 1st Sem'!$AC:$AC, "Received by Planning", 'PDS 1st Sem'!$P:$P, "Joshua A. Capones", 'PDS 1st Sem'!$S:$S, "&lt;&gt;")</f>
        <v>1</v>
      </c>
      <c r="H29" s="406" t="s">
        <v>622</v>
      </c>
      <c r="I29" s="405" t="s">
        <v>622</v>
      </c>
      <c r="J29" s="404" t="s">
        <v>622</v>
      </c>
      <c r="K29" s="404" t="s">
        <v>622</v>
      </c>
      <c r="L29" s="401" t="s">
        <v>622</v>
      </c>
      <c r="M29" s="401" t="s">
        <v>622</v>
      </c>
      <c r="N29" s="402" t="s">
        <v>622</v>
      </c>
      <c r="O29" s="402" t="s">
        <v>622</v>
      </c>
      <c r="P29" s="400">
        <f>COUNTIFS('TRANSFER STATION'!$W:$W, "Received by Planning", 'TRANSFER STATION'!$J:$J, "Joshua A. Capones", 'TRANSFER STATION'!$M:$M, "&lt;&gt;")</f>
        <v>1</v>
      </c>
      <c r="Q29" s="399">
        <f>AVERAGEIFS('TRANSFER STATION'!$S:$S, 'TRANSFER STATION'!$W:$W, "Received by Planning", 'TRANSFER STATION'!$J:$J, "Joshua A. Capones", 'TRANSFER STATION'!$M:$M, "&lt;&gt;")</f>
        <v>2</v>
      </c>
      <c r="R29" s="420" t="s">
        <v>622</v>
      </c>
      <c r="S29" s="404" t="s">
        <v>622</v>
      </c>
      <c r="T29" s="401" t="s">
        <v>622</v>
      </c>
      <c r="U29" s="401" t="s">
        <v>622</v>
      </c>
      <c r="V29" s="406" t="s">
        <v>622</v>
      </c>
      <c r="W29" s="406" t="s">
        <v>622</v>
      </c>
      <c r="X29" s="402" t="s">
        <v>622</v>
      </c>
      <c r="Y29" s="402" t="s">
        <v>622</v>
      </c>
      <c r="Z29" s="404" t="s">
        <v>622</v>
      </c>
      <c r="AA29" s="404" t="s">
        <v>622</v>
      </c>
      <c r="AB29" s="401" t="s">
        <v>622</v>
      </c>
      <c r="AC29" s="401" t="s">
        <v>622</v>
      </c>
    </row>
    <row r="30" spans="1:31" ht="18.75" customHeight="1">
      <c r="A30" s="1" t="s">
        <v>1212</v>
      </c>
      <c r="B30" s="19">
        <f>COUNTIFS('BRGY TECHNICAL ASISSTANCE'!$W:$W, "Received by Planning", 'BRGY TECHNICAL ASISSTANCE'!$K:$K, "Larizze Anne Santos",'BRGY TECHNICAL ASISSTANCE'!$N:$N, "&lt;&gt;")</f>
        <v>47</v>
      </c>
      <c r="C30" s="395">
        <f>AVERAGEIFS('BRGY TECHNICAL ASISSTANCE'!$S:$S, 'BRGY TECHNICAL ASISSTANCE'!$W:$W, "Received by Planning", 'BRGY TECHNICAL ASISSTANCE'!$K:$K, "Larizze Anne Santos", 'BRGY TECHNICAL ASISSTANCE'!$N:$N, "&lt;&gt;")</f>
        <v>2.4042553191489362</v>
      </c>
      <c r="D30" s="19">
        <f>COUNTIFS('BARANGAY ACCESS'!$V:$V, "Received by Planning", 'BARANGAY ACCESS'!$I:$I, "Larizze Anne Santos", 'BARANGAY ACCESS'!$L:$L, "&lt;&gt;")</f>
        <v>52</v>
      </c>
      <c r="E30" s="395">
        <f>AVERAGEIFS('BARANGAY ACCESS'!$R:$R, 'BARANGAY ACCESS'!$V:$V, "Received by Planning", 'BARANGAY ACCESS'!$I:$I, "Larizze Anne Santos", 'BARANGAY ACCESS'!$L:$L, "&lt;&gt;")</f>
        <v>3.4038461538461537</v>
      </c>
      <c r="F30" s="19">
        <f>COUNTIFS('PDS 1st Sem'!$AC:$AC, "Received by Planning", 'PDS 1st Sem'!$P:$P, "Larizze Santos", 'PDS 1st Sem'!$S:$S, "&lt;&gt;")</f>
        <v>3</v>
      </c>
      <c r="G30" s="395">
        <f>AVERAGEIFS('PDS 1st Sem'!$Y:$Y, 'PDS 1st Sem'!$AC:$AC, "Received by Planning", 'PDS 1st Sem'!$P:$P, "Larizze Santos", 'PDS 1st Sem'!$S:$S, "&lt;&gt;")</f>
        <v>1.6666666666666667</v>
      </c>
      <c r="H30" s="400">
        <f>COUNTIFS('LGU ACCESS TO SLF'!$T:$T, "Received by Planning", 'LGU ACCESS TO SLF'!$G:$G, "Larizze Anne Santos", 'LGU ACCESS TO SLF'!$J:$J, "&lt;&gt;")</f>
        <v>1</v>
      </c>
      <c r="I30" s="399">
        <f>AVERAGEIFS('LGU ACCESS TO SLF'!$P:$P, 'LGU ACCESS TO SLF'!$T:$T, "Received by Planning", 'LGU ACCESS TO SLF'!$G:$G, "Larizze Anne Santos", 'LGU ACCESS TO SLF'!$J:$J, "&lt;&gt;")</f>
        <v>3</v>
      </c>
      <c r="J30" s="404" t="s">
        <v>622</v>
      </c>
      <c r="K30" s="404" t="s">
        <v>622</v>
      </c>
      <c r="L30" s="401" t="s">
        <v>622</v>
      </c>
      <c r="M30" s="401" t="s">
        <v>622</v>
      </c>
      <c r="N30" s="400">
        <f>COUNTIFS(RCA!$W:$W, "Received by Planning", RCA!$J:$J, "Larizze A. Santos", RCA!$M:$M, "&lt;&gt;")</f>
        <v>2</v>
      </c>
      <c r="O30" s="399">
        <f>AVERAGEIFS(RCA!$S:$S, RCA!$W:$W, "Received by Planning", RCA!$J:$J, "Larizze A. Santos", RCA!$M:$M, "&lt;&gt;")</f>
        <v>6</v>
      </c>
      <c r="P30" s="400">
        <f>COUNTIFS('TRANSFER STATION'!$W:$W, "Received by Planning", 'TRANSFER STATION'!$J:$J, "Larizze A. Santos", 'TRANSFER STATION'!$M:$M, "&lt;&gt;")</f>
        <v>4</v>
      </c>
      <c r="Q30" s="399">
        <f>AVERAGEIFS('TRANSFER STATION'!$S:$S, 'TRANSFER STATION'!$W:$W, "Received by Planning", 'TRANSFER STATION'!$J:$J, "Larizze A. Santos", 'TRANSFER STATION'!$M:$M, "&lt;&gt;")</f>
        <v>2.5</v>
      </c>
      <c r="R30" s="420" t="s">
        <v>622</v>
      </c>
      <c r="S30" s="404" t="s">
        <v>622</v>
      </c>
      <c r="T30" s="401" t="s">
        <v>622</v>
      </c>
      <c r="U30" s="401" t="s">
        <v>622</v>
      </c>
      <c r="V30" s="406" t="s">
        <v>622</v>
      </c>
      <c r="W30" s="406" t="s">
        <v>622</v>
      </c>
      <c r="X30" s="402" t="s">
        <v>622</v>
      </c>
      <c r="Y30" s="402" t="s">
        <v>622</v>
      </c>
      <c r="Z30" s="404" t="s">
        <v>622</v>
      </c>
      <c r="AA30" s="404" t="s">
        <v>622</v>
      </c>
      <c r="AB30" s="401" t="s">
        <v>622</v>
      </c>
      <c r="AC30" s="401" t="s">
        <v>622</v>
      </c>
    </row>
    <row r="31" spans="1:31" ht="18.75" customHeight="1">
      <c r="A31" s="1" t="s">
        <v>19</v>
      </c>
      <c r="B31" s="19">
        <f>COUNTIFS('BRGY TECHNICAL ASISSTANCE'!$W:$W, "Received by Planning", 'BRGY TECHNICAL ASISSTANCE'!$K:$K, "Laurence Radasa",'BRGY TECHNICAL ASISSTANCE'!$N:$N, "&lt;&gt;")</f>
        <v>17</v>
      </c>
      <c r="C31" s="395">
        <f>AVERAGEIFS('BRGY TECHNICAL ASISSTANCE'!$S:$S, 'BRGY TECHNICAL ASISSTANCE'!$W:$W, "Received by Planning", 'BRGY TECHNICAL ASISSTANCE'!$K:$K, "Laurence Radasa", 'BRGY TECHNICAL ASISSTANCE'!$N:$N, "&lt;&gt;")</f>
        <v>2.1764705882352939</v>
      </c>
      <c r="D31" s="19">
        <f>COUNTIFS('BARANGAY ACCESS'!$V:$V, "Received by Planning", 'BARANGAY ACCESS'!$I:$I, "Laurence Radasa", 'BARANGAY ACCESS'!$L:$L, "&lt;&gt;")</f>
        <v>37</v>
      </c>
      <c r="E31" s="395">
        <f>AVERAGEIFS('BARANGAY ACCESS'!$R:$R, 'BARANGAY ACCESS'!$V:$V, "Received by Planning", 'BARANGAY ACCESS'!$I:$I, "Laurence Radasa", 'BARANGAY ACCESS'!$L:$L, "&lt;&gt;")</f>
        <v>2.4054054054054053</v>
      </c>
      <c r="F31" s="407" t="s">
        <v>622</v>
      </c>
      <c r="G31" s="408" t="s">
        <v>622</v>
      </c>
      <c r="H31" s="400">
        <f>COUNTIFS('LGU ACCESS TO SLF'!$T:$T, "Received by Planning", 'LGU ACCESS TO SLF'!$G:$G, "Laurence Radasa", 'LGU ACCESS TO SLF'!$J:$J, "&lt;&gt;")</f>
        <v>3</v>
      </c>
      <c r="I31" s="399">
        <f>AVERAGEIFS('LGU ACCESS TO SLF'!$P:$P, 'LGU ACCESS TO SLF'!$T:$T, "Received by Planning", 'LGU ACCESS TO SLF'!$G:$G, "Laurence Radasa", 'LGU ACCESS TO SLF'!$J:$J, "&lt;&gt;")</f>
        <v>4</v>
      </c>
      <c r="J31" s="400">
        <f>COUNTIFS('BRGY SWM PROGRAM'!$S:$S, "Received by Planning", 'BRGY SWM PROGRAM'!$F:$F, "LAURENCE RADASA", 'BRGY SWM PROGRAM'!$I:$I, "&lt;&gt;")</f>
        <v>6</v>
      </c>
      <c r="K31" s="399">
        <f>AVERAGEIFS('BRGY SWM PROGRAM'!$O:$O, 'BRGY SWM PROGRAM'!$S:$S, "Received by Planning", 'BRGY SWM PROGRAM'!$F:$F, "LAURENCE RADASA", 'BRGY SWM PROGRAM'!$I:$I, "&lt;&gt;")</f>
        <v>1.8333333333333333</v>
      </c>
      <c r="L31" s="401" t="s">
        <v>622</v>
      </c>
      <c r="M31" s="401" t="s">
        <v>622</v>
      </c>
      <c r="N31" s="400">
        <f>COUNTIFS(RCA!$W:$W, "Received by Planning", RCA!$J:$J, "Laurence Radasa", RCA!$M:$M, "&lt;&gt;")</f>
        <v>2</v>
      </c>
      <c r="O31" s="399">
        <f>AVERAGEIFS(RCA!$S:$S, RCA!$W:$W, "Received by Planning", RCA!$J:$J, "Laurence Radasa", RCA!$M:$M, "&lt;&gt;")</f>
        <v>3.5</v>
      </c>
      <c r="P31" s="400">
        <f>COUNTIFS('TRANSFER STATION'!$W:$W, "Received by Planning", 'TRANSFER STATION'!$J:$J, "Laurence Radasa", 'TRANSFER STATION'!$M:$M, "&lt;&gt;")</f>
        <v>1</v>
      </c>
      <c r="Q31" s="399">
        <f>AVERAGEIFS('TRANSFER STATION'!$S:$S, 'TRANSFER STATION'!$W:$W, "Received by Planning", 'TRANSFER STATION'!$J:$J, "Laurence Radasa", 'TRANSFER STATION'!$M:$M, "&lt;&gt;")</f>
        <v>1</v>
      </c>
      <c r="R31" s="420" t="s">
        <v>622</v>
      </c>
      <c r="S31" s="404" t="s">
        <v>622</v>
      </c>
      <c r="T31" s="401" t="s">
        <v>622</v>
      </c>
      <c r="U31" s="401" t="s">
        <v>622</v>
      </c>
      <c r="V31" s="406" t="s">
        <v>622</v>
      </c>
      <c r="W31" s="406" t="s">
        <v>622</v>
      </c>
      <c r="X31" s="402" t="s">
        <v>622</v>
      </c>
      <c r="Y31" s="402" t="s">
        <v>622</v>
      </c>
      <c r="Z31" s="404" t="s">
        <v>622</v>
      </c>
      <c r="AA31" s="404" t="s">
        <v>622</v>
      </c>
      <c r="AB31" s="401" t="s">
        <v>622</v>
      </c>
      <c r="AC31" s="401" t="s">
        <v>622</v>
      </c>
    </row>
    <row r="32" spans="1:31" ht="18.75" customHeight="1">
      <c r="A32" s="1" t="s">
        <v>14</v>
      </c>
      <c r="B32" s="19">
        <f>COUNTIFS('BRGY TECHNICAL ASISSTANCE'!$W:$W, "Received by Planning", 'BRGY TECHNICAL ASISSTANCE'!$K:$K, "Nikko Jay M. Valenzuela",'BRGY TECHNICAL ASISSTANCE'!$N:$N, "&lt;&gt;")</f>
        <v>4</v>
      </c>
      <c r="C32" s="395">
        <f>AVERAGEIFS('BRGY TECHNICAL ASISSTANCE'!$S:$S, 'BRGY TECHNICAL ASISSTANCE'!$W:$W, "Received by Planning", 'BRGY TECHNICAL ASISSTANCE'!$K:$K, "Nikko Jay M. Valenzuela", 'BRGY TECHNICAL ASISSTANCE'!$N:$N, "&lt;&gt;")</f>
        <v>1</v>
      </c>
      <c r="D32" s="19">
        <f>COUNTIFS('BARANGAY ACCESS'!$V:$V, "Received by Planning", 'BARANGAY ACCESS'!$I:$I, "Nikko Jay M. Valenzuela", 'BARANGAY ACCESS'!$L:$L, "&lt;&gt;")</f>
        <v>45</v>
      </c>
      <c r="E32" s="395">
        <f>AVERAGEIFS('BARANGAY ACCESS'!$R:$R, 'BARANGAY ACCESS'!$V:$V, "Received by Planning", 'BARANGAY ACCESS'!$I:$I, "Nikko Jay M. Valenzuela", 'BARANGAY ACCESS'!$L:$L, "&lt;&gt;")</f>
        <v>2.7111111111111112</v>
      </c>
      <c r="F32" s="19">
        <f>COUNTIFS('PDS 1st Sem'!$AC:$AC, "Received by Planning", 'PDS 1st Sem'!$P:$P, "Nikko Jay M. Valenzuela", 'PDS 1st Sem'!$S:$S, "&lt;&gt;")</f>
        <v>1</v>
      </c>
      <c r="G32" s="395">
        <f>AVERAGEIFS('PDS 1st Sem'!$Y:$Y, 'PDS 1st Sem'!$AC:$AC, "Received by Planning", 'PDS 1st Sem'!$P:$P, "Nikko Jay M. Valenzuela", 'PDS 1st Sem'!$S:$S, "&lt;&gt;")</f>
        <v>3</v>
      </c>
      <c r="H32" s="400">
        <f>COUNTIFS('LGU ACCESS TO SLF'!$T:$T, "Received by Planning", 'LGU ACCESS TO SLF'!$G:$G, "Nikko Jay M. Valenzuela", 'LGU ACCESS TO SLF'!$J:$J, "&lt;&gt;")</f>
        <v>2</v>
      </c>
      <c r="I32" s="399">
        <f>AVERAGEIFS('LGU ACCESS TO SLF'!$P:$P, 'LGU ACCESS TO SLF'!$T:$T, "Received by Planning", 'LGU ACCESS TO SLF'!$G:$G, "Nikko Jay M. Valenzuela", 'LGU ACCESS TO SLF'!$J:$J, "&lt;&gt;")</f>
        <v>3.5</v>
      </c>
      <c r="J32" s="404" t="s">
        <v>622</v>
      </c>
      <c r="K32" s="404" t="s">
        <v>622</v>
      </c>
      <c r="L32" s="401" t="s">
        <v>622</v>
      </c>
      <c r="M32" s="401" t="s">
        <v>622</v>
      </c>
      <c r="N32" s="402" t="s">
        <v>622</v>
      </c>
      <c r="O32" s="402" t="s">
        <v>622</v>
      </c>
      <c r="P32" s="406" t="s">
        <v>622</v>
      </c>
      <c r="Q32" s="405" t="s">
        <v>622</v>
      </c>
      <c r="R32" s="420" t="s">
        <v>622</v>
      </c>
      <c r="S32" s="404" t="s">
        <v>622</v>
      </c>
      <c r="T32" s="401" t="s">
        <v>622</v>
      </c>
      <c r="U32" s="401" t="s">
        <v>622</v>
      </c>
      <c r="V32" s="406" t="s">
        <v>622</v>
      </c>
      <c r="W32" s="406" t="s">
        <v>622</v>
      </c>
      <c r="X32" s="402" t="s">
        <v>622</v>
      </c>
      <c r="Y32" s="402" t="s">
        <v>622</v>
      </c>
      <c r="Z32" s="404" t="s">
        <v>622</v>
      </c>
      <c r="AA32" s="404" t="s">
        <v>622</v>
      </c>
      <c r="AB32" s="401" t="s">
        <v>622</v>
      </c>
      <c r="AC32" s="401" t="s">
        <v>622</v>
      </c>
    </row>
    <row r="33" spans="1:29" ht="18.75" customHeight="1">
      <c r="A33" s="1" t="s">
        <v>3426</v>
      </c>
      <c r="B33" s="19">
        <f>COUNTIFS('BRGY TECHNICAL ASISSTANCE'!$W:$W, "Received by Planning", 'BRGY TECHNICAL ASISSTANCE'!$K:$K, "Queenyvelle Laguisma",'BRGY TECHNICAL ASISSTANCE'!$N:$N, "&lt;&gt;")</f>
        <v>6</v>
      </c>
      <c r="C33" s="395">
        <f>AVERAGEIFS('BRGY TECHNICAL ASISSTANCE'!$S:$S, 'BRGY TECHNICAL ASISSTANCE'!$W:$W, "Received by Planning", 'BRGY TECHNICAL ASISSTANCE'!$K:$K, "Queenyvelle Laguisma", 'BRGY TECHNICAL ASISSTANCE'!$N:$N, "&lt;&gt;")</f>
        <v>1</v>
      </c>
      <c r="D33" s="19">
        <f>COUNTIFS('BARANGAY ACCESS'!$V:$V, "Received by Planning", 'BARANGAY ACCESS'!$I:$I, "Queenyvelle Laguisma", 'BARANGAY ACCESS'!$L:$L, "&lt;&gt;")</f>
        <v>38</v>
      </c>
      <c r="E33" s="395">
        <f>AVERAGEIFS('BARANGAY ACCESS'!$R:$R, 'BARANGAY ACCESS'!$V:$V, "Received by Planning", 'BARANGAY ACCESS'!$I:$I, "Queenyvelle Laguisma", 'BARANGAY ACCESS'!$L:$L, "&lt;&gt;")</f>
        <v>1.1842105263157894</v>
      </c>
      <c r="F33" s="19">
        <f>COUNTIFS('PDS 1st Sem'!$AC:$AC, "Received by Planning", 'PDS 1st Sem'!$P:$P, "Queenyvel R. Laguisma", 'PDS 1st Sem'!$S:$S, "&lt;&gt;")</f>
        <v>1</v>
      </c>
      <c r="G33" s="395">
        <f>AVERAGEIFS('PDS 1st Sem'!$Y:$Y, 'PDS 1st Sem'!$AC:$AC, "Received by Planning", 'PDS 1st Sem'!$P:$P, "Queenyvel R. Laguisma", 'PDS 1st Sem'!$S:$S, "&lt;&gt;")</f>
        <v>1</v>
      </c>
      <c r="H33" s="400">
        <f>COUNTIFS('LGU ACCESS TO SLF'!$T:$T, "Received by Planning", 'LGU ACCESS TO SLF'!$G:$G, "Queenyvelle Laguisma", 'LGU ACCESS TO SLF'!$J:$J, "&lt;&gt;")</f>
        <v>1</v>
      </c>
      <c r="I33" s="399">
        <f>AVERAGEIFS('LGU ACCESS TO SLF'!$P:$P, 'LGU ACCESS TO SLF'!$T:$T, "Received by Planning", 'LGU ACCESS TO SLF'!$G:$G, "Queenyvelle Laguisma", 'LGU ACCESS TO SLF'!$J:$J, "&lt;&gt;")</f>
        <v>1</v>
      </c>
      <c r="J33" s="404" t="s">
        <v>622</v>
      </c>
      <c r="K33" s="404" t="s">
        <v>622</v>
      </c>
      <c r="L33" s="401" t="s">
        <v>622</v>
      </c>
      <c r="M33" s="401" t="s">
        <v>622</v>
      </c>
      <c r="N33" s="400">
        <f>COUNTIFS(RCA!$W:$W, "Received by Planning", RCA!$J:$J, "Queenyvel R. Laguisma", RCA!$M:$M, "&lt;&gt;")</f>
        <v>3</v>
      </c>
      <c r="O33" s="399">
        <f>AVERAGEIFS(RCA!$S:$S, RCA!$W:$W, "Received by Planning", RCA!$J:$J, "Queenyvel R. Laguisma", RCA!$M:$M, "&lt;&gt;")</f>
        <v>6.333333333333333</v>
      </c>
      <c r="P33" s="406" t="s">
        <v>622</v>
      </c>
      <c r="Q33" s="405" t="s">
        <v>622</v>
      </c>
      <c r="R33" s="420" t="s">
        <v>622</v>
      </c>
      <c r="S33" s="404" t="s">
        <v>622</v>
      </c>
      <c r="T33" s="401" t="s">
        <v>622</v>
      </c>
      <c r="U33" s="401" t="s">
        <v>622</v>
      </c>
      <c r="V33" s="406" t="s">
        <v>622</v>
      </c>
      <c r="W33" s="406" t="s">
        <v>622</v>
      </c>
      <c r="X33" s="402" t="s">
        <v>622</v>
      </c>
      <c r="Y33" s="402" t="s">
        <v>622</v>
      </c>
      <c r="Z33" s="404" t="s">
        <v>622</v>
      </c>
      <c r="AA33" s="404" t="s">
        <v>622</v>
      </c>
      <c r="AB33" s="401" t="s">
        <v>622</v>
      </c>
      <c r="AC33" s="401" t="s">
        <v>622</v>
      </c>
    </row>
    <row r="34" spans="1:29" ht="18.75" customHeight="1">
      <c r="A34" s="1" t="s">
        <v>32</v>
      </c>
      <c r="B34" s="19">
        <f>COUNTIFS('BRGY TECHNICAL ASISSTANCE'!$W:$W, "Received by Planning", 'BRGY TECHNICAL ASISSTANCE'!$K:$K, "Roger T. Encarnacion II",'BRGY TECHNICAL ASISSTANCE'!$N:$N, "&lt;&gt;")</f>
        <v>36</v>
      </c>
      <c r="C34" s="395">
        <f>AVERAGEIFS('BRGY TECHNICAL ASISSTANCE'!$S:$S, 'BRGY TECHNICAL ASISSTANCE'!$W:$W, "Received by Planning", 'BRGY TECHNICAL ASISSTANCE'!$K:$K, "Roger T. Encarnacion II", 'BRGY TECHNICAL ASISSTANCE'!$N:$N, "&lt;&gt;")</f>
        <v>4.083333333333333</v>
      </c>
      <c r="D34" s="19">
        <f>COUNTIFS('BARANGAY ACCESS'!$V:$V, "Received by Planning", 'BARANGAY ACCESS'!$I:$I, "Roger T. Encarnacion II", 'BARANGAY ACCESS'!$L:$L, "&lt;&gt;")</f>
        <v>71</v>
      </c>
      <c r="E34" s="395">
        <f>AVERAGEIFS('BARANGAY ACCESS'!$R:$R, 'BARANGAY ACCESS'!$V:$V, "Received by Planning", 'BARANGAY ACCESS'!$I:$I, "Roger T. Encarnacion II", 'BARANGAY ACCESS'!$L:$L, "&lt;&gt;")</f>
        <v>4.225352112676056</v>
      </c>
      <c r="F34" s="407" t="s">
        <v>622</v>
      </c>
      <c r="G34" s="408" t="s">
        <v>622</v>
      </c>
      <c r="H34" s="400">
        <f>COUNTIFS('LGU ACCESS TO SLF'!$T:$T, "Received by Planning", 'LGU ACCESS TO SLF'!$G:$G, "Roger T. Encarnacion II", 'LGU ACCESS TO SLF'!$J:$J, "&lt;&gt;")</f>
        <v>1</v>
      </c>
      <c r="I34" s="399">
        <f>AVERAGEIFS('LGU ACCESS TO SLF'!$P:$P, 'LGU ACCESS TO SLF'!$T:$T, "Received by Planning", 'LGU ACCESS TO SLF'!$G:$G, "Roger T. Encarnacion II", 'LGU ACCESS TO SLF'!$J:$J, "&lt;&gt;")</f>
        <v>1</v>
      </c>
      <c r="J34" s="404" t="s">
        <v>622</v>
      </c>
      <c r="K34" s="404" t="s">
        <v>622</v>
      </c>
      <c r="L34" s="400">
        <f>COUNTIFS('TRASH TRAP 1st Sem'!$W:$W, "Received by Planning", 'TRASH TRAP 1st Sem'!$J:$J, "Roger T. Encarnacion II", 'TRASH TRAP 1st Sem'!$M:$M, "&lt;&gt;")</f>
        <v>8</v>
      </c>
      <c r="M34" s="399">
        <f>AVERAGEIFS('TRASH TRAP 1st Sem'!$S:$S, 'TRASH TRAP 1st Sem'!$W:$W, "Received by Planning", 'TRASH TRAP 1st Sem'!$J:$J, "Roger T. Encarnacion II", 'TRASH TRAP 1st Sem'!$M:$M, "&lt;&gt;")</f>
        <v>1</v>
      </c>
      <c r="N34" s="402" t="s">
        <v>622</v>
      </c>
      <c r="O34" s="402" t="s">
        <v>622</v>
      </c>
      <c r="P34" s="400">
        <f>COUNTIFS('TRANSFER STATION'!$W:$W, "Received by Planning", 'TRANSFER STATION'!$J:$J, "Roger T. Encarnacion II", 'TRANSFER STATION'!$M:$M, "&lt;&gt;")</f>
        <v>2</v>
      </c>
      <c r="Q34" s="399">
        <f>AVERAGEIFS('TRANSFER STATION'!$S:$S, 'TRANSFER STATION'!$W:$W, "Received by Planning", 'TRANSFER STATION'!$J:$J, "Roger T. Encarnacion II", 'TRANSFER STATION'!$M:$M, "&lt;&gt;")</f>
        <v>2</v>
      </c>
      <c r="R34" s="420" t="s">
        <v>622</v>
      </c>
      <c r="S34" s="404" t="s">
        <v>622</v>
      </c>
      <c r="T34" s="401" t="s">
        <v>622</v>
      </c>
      <c r="U34" s="401" t="s">
        <v>622</v>
      </c>
      <c r="V34" s="406" t="s">
        <v>622</v>
      </c>
      <c r="W34" s="406" t="s">
        <v>622</v>
      </c>
      <c r="X34" s="402" t="s">
        <v>622</v>
      </c>
      <c r="Y34" s="402" t="s">
        <v>622</v>
      </c>
      <c r="Z34" s="404" t="s">
        <v>622</v>
      </c>
      <c r="AA34" s="404" t="s">
        <v>622</v>
      </c>
      <c r="AB34" s="401" t="s">
        <v>622</v>
      </c>
      <c r="AC34" s="401" t="s">
        <v>622</v>
      </c>
    </row>
    <row r="35" spans="1:29" ht="18.75" customHeight="1">
      <c r="A35" s="1" t="s">
        <v>200</v>
      </c>
      <c r="B35" s="19">
        <f>COUNTIFS('BRGY TECHNICAL ASISSTANCE'!$W:$W, "Received by Planning", 'BRGY TECHNICAL ASISSTANCE'!$K:$K, "Ronaldo P. Roque, Jr.",'BRGY TECHNICAL ASISSTANCE'!$N:$N, "&lt;&gt;")</f>
        <v>87</v>
      </c>
      <c r="C35" s="395">
        <f>AVERAGEIFS('BRGY TECHNICAL ASISSTANCE'!$S:$S, 'BRGY TECHNICAL ASISSTANCE'!$W:$W, "Received by Planning", 'BRGY TECHNICAL ASISSTANCE'!$K:$K, "Ronaldo P. Roque, Jr.", 'BRGY TECHNICAL ASISSTANCE'!$N:$N, "&lt;&gt;")</f>
        <v>2</v>
      </c>
      <c r="D35" s="19">
        <f>COUNTIFS('BARANGAY ACCESS'!$V:$V, "Received by Planning", 'BARANGAY ACCESS'!$I:$I, "Ronaldo P. Roque, Jr.", 'BARANGAY ACCESS'!$L:$L, "&lt;&gt;")</f>
        <v>140</v>
      </c>
      <c r="E35" s="395">
        <f>AVERAGEIFS('BARANGAY ACCESS'!$R:$R, 'BARANGAY ACCESS'!$V:$V, "Received by Planning", 'BARANGAY ACCESS'!$I:$I, "Ronaldo P. Roque, Jr.", 'BARANGAY ACCESS'!$L:$L, "&lt;&gt;")</f>
        <v>1.7</v>
      </c>
      <c r="F35" s="19">
        <f>COUNTIFS('PDS 1st Sem'!$AC:$AC, "Received by Planning", 'PDS 1st Sem'!$P:$P, "Ronaldo Roque, Jr.", 'PDS 1st Sem'!$S:$S, "&lt;&gt;")</f>
        <v>2</v>
      </c>
      <c r="G35" s="395">
        <f>AVERAGEIFS('PDS 1st Sem'!$Y:$Y, 'PDS 1st Sem'!$AC:$AC, "Received by Planning", 'PDS 1st Sem'!$P:$P, "Ronaldo Roque, Jr.", 'PDS 1st Sem'!$S:$S, "&lt;&gt;")</f>
        <v>2</v>
      </c>
      <c r="H35" s="400">
        <f>COUNTIFS('LGU ACCESS TO SLF'!$T:$T, "Received by Planning", 'LGU ACCESS TO SLF'!$G:$G, "Ronaldo P. Roque, Jr.", 'LGU ACCESS TO SLF'!$J:$J, "&lt;&gt;")</f>
        <v>2</v>
      </c>
      <c r="I35" s="399">
        <f>AVERAGEIFS('LGU ACCESS TO SLF'!$P:$P, 'LGU ACCESS TO SLF'!$T:$T, "Received by Planning", 'LGU ACCESS TO SLF'!$G:$G, "Ronaldo P. Roque, Jr.", 'LGU ACCESS TO SLF'!$J:$J, "&lt;&gt;")</f>
        <v>4</v>
      </c>
      <c r="J35" s="404" t="s">
        <v>622</v>
      </c>
      <c r="K35" s="404" t="s">
        <v>622</v>
      </c>
      <c r="L35" s="400">
        <f>COUNTIFS('TRASH TRAP 1st Sem'!$W:$W, "Received by Planning", 'TRASH TRAP 1st Sem'!$J:$J, "Ronaldo P. Roque Jr.", 'TRASH TRAP 1st Sem'!$M:$M, "&lt;&gt;")</f>
        <v>28</v>
      </c>
      <c r="M35" s="399">
        <f>AVERAGEIFS('TRASH TRAP 1st Sem'!$S:$S, 'TRASH TRAP 1st Sem'!$W:$W, "Received by Planning", 'TRASH TRAP 1st Sem'!$J:$J, "Ronaldo P. Roque Jr.", 'TRASH TRAP 1st Sem'!$M:$M, "&lt;&gt;")</f>
        <v>4.8571428571428568</v>
      </c>
      <c r="N35" s="402" t="s">
        <v>622</v>
      </c>
      <c r="O35" s="402" t="s">
        <v>622</v>
      </c>
      <c r="P35" s="400">
        <f>COUNTIFS('TRANSFER STATION'!$W:$W, "Received by Planning", 'TRANSFER STATION'!$J:$J, "Ronaldo P. Roque, Jr", 'TRANSFER STATION'!$M:$M, "&lt;&gt;")</f>
        <v>2</v>
      </c>
      <c r="Q35" s="399">
        <f>AVERAGEIFS('TRANSFER STATION'!$S:$S, 'TRANSFER STATION'!$W:$W, "Received by Planning", 'TRANSFER STATION'!$J:$J, "Ronaldo P. Roque, Jr", 'TRANSFER STATION'!$M:$M, "&lt;&gt;")</f>
        <v>1.5</v>
      </c>
      <c r="R35" s="420" t="s">
        <v>622</v>
      </c>
      <c r="S35" s="404" t="s">
        <v>622</v>
      </c>
      <c r="T35" s="401" t="s">
        <v>622</v>
      </c>
      <c r="U35" s="401" t="s">
        <v>622</v>
      </c>
      <c r="V35" s="406" t="s">
        <v>622</v>
      </c>
      <c r="W35" s="406" t="s">
        <v>622</v>
      </c>
      <c r="X35" s="402" t="s">
        <v>622</v>
      </c>
      <c r="Y35" s="402" t="s">
        <v>622</v>
      </c>
      <c r="Z35" s="404" t="s">
        <v>622</v>
      </c>
      <c r="AA35" s="404" t="s">
        <v>622</v>
      </c>
      <c r="AB35" s="401" t="s">
        <v>622</v>
      </c>
      <c r="AC35" s="401" t="s">
        <v>622</v>
      </c>
    </row>
    <row r="36" spans="1:29" ht="18.75" customHeight="1">
      <c r="A36" s="1" t="s">
        <v>42</v>
      </c>
      <c r="B36" s="19">
        <f>COUNTIFS('BRGY TECHNICAL ASISSTANCE'!$W:$W, "Received by Planning", 'BRGY TECHNICAL ASISSTANCE'!$K:$K, "Ryan Ace R. Angel",'BRGY TECHNICAL ASISSTANCE'!$N:$N, "&lt;&gt;")</f>
        <v>86</v>
      </c>
      <c r="C36" s="395">
        <f>AVERAGEIFS('BRGY TECHNICAL ASISSTANCE'!$S:$S, 'BRGY TECHNICAL ASISSTANCE'!$W:$W, "Received by Planning", 'BRGY TECHNICAL ASISSTANCE'!$K:$K, "Ryan Ace R. Angel", 'BRGY TECHNICAL ASISSTANCE'!$N:$N, "&lt;&gt;")</f>
        <v>2.3255813953488373</v>
      </c>
      <c r="D36" s="19">
        <f>COUNTIFS('BARANGAY ACCESS'!$V:$V, "Received by Planning", 'BARANGAY ACCESS'!$I:$I, "Ryan Ace R. Angel", 'BARANGAY ACCESS'!$L:$L, "&lt;&gt;")</f>
        <v>69</v>
      </c>
      <c r="E36" s="395">
        <f>AVERAGEIFS('BARANGAY ACCESS'!$R:$R, 'BARANGAY ACCESS'!$V:$V, "Received by Planning", 'BARANGAY ACCESS'!$I:$I, "Ryan Ace R. Angel", 'BARANGAY ACCESS'!$L:$L, "&lt;&gt;")</f>
        <v>2.0579710144927534</v>
      </c>
      <c r="F36" s="407" t="s">
        <v>622</v>
      </c>
      <c r="G36" s="408" t="s">
        <v>622</v>
      </c>
      <c r="H36" s="400">
        <f>COUNTIFS('LGU ACCESS TO SLF'!$T:$T, "Received by Planning", 'LGU ACCESS TO SLF'!$G:$G, "Ryan Ace R. Angel", 'LGU ACCESS TO SLF'!$J:$J, "&lt;&gt;")</f>
        <v>4</v>
      </c>
      <c r="I36" s="399">
        <f>AVERAGEIFS('LGU ACCESS TO SLF'!$P:$P, 'LGU ACCESS TO SLF'!$T:$T, "Received by Planning", 'LGU ACCESS TO SLF'!$G:$G, "Ryan Ace R. Angel", 'LGU ACCESS TO SLF'!$J:$J, "&lt;&gt;")</f>
        <v>2.25</v>
      </c>
      <c r="J36" s="404" t="s">
        <v>622</v>
      </c>
      <c r="K36" s="404" t="s">
        <v>622</v>
      </c>
      <c r="L36" s="401" t="s">
        <v>622</v>
      </c>
      <c r="M36" s="401" t="s">
        <v>622</v>
      </c>
      <c r="N36" s="402" t="s">
        <v>622</v>
      </c>
      <c r="O36" s="402" t="s">
        <v>622</v>
      </c>
      <c r="P36" s="406" t="s">
        <v>622</v>
      </c>
      <c r="Q36" s="405" t="s">
        <v>622</v>
      </c>
      <c r="R36" s="420" t="s">
        <v>622</v>
      </c>
      <c r="S36" s="404" t="s">
        <v>622</v>
      </c>
      <c r="T36" s="401" t="s">
        <v>622</v>
      </c>
      <c r="U36" s="401" t="s">
        <v>622</v>
      </c>
      <c r="V36" s="406" t="s">
        <v>622</v>
      </c>
      <c r="W36" s="406" t="s">
        <v>622</v>
      </c>
      <c r="X36" s="402" t="s">
        <v>622</v>
      </c>
      <c r="Y36" s="402" t="s">
        <v>622</v>
      </c>
      <c r="Z36" s="404" t="s">
        <v>622</v>
      </c>
      <c r="AA36" s="404" t="s">
        <v>622</v>
      </c>
      <c r="AB36" s="401" t="s">
        <v>622</v>
      </c>
      <c r="AC36" s="401" t="s">
        <v>622</v>
      </c>
    </row>
    <row r="37" spans="1:29" ht="18.75" customHeight="1">
      <c r="A37" s="1" t="s">
        <v>172</v>
      </c>
      <c r="B37" s="19">
        <f>COUNTIFS('BRGY TECHNICAL ASISSTANCE'!$W:$W, "Received by Planning", 'BRGY TECHNICAL ASISSTANCE'!$K:$K, "Zaila Mae Leander",'BRGY TECHNICAL ASISSTANCE'!$N:$N, "&lt;&gt;")</f>
        <v>10</v>
      </c>
      <c r="C37" s="395">
        <f>AVERAGEIFS('BRGY TECHNICAL ASISSTANCE'!$S:$S, 'BRGY TECHNICAL ASISSTANCE'!$W:$W, "Received by Planning", 'BRGY TECHNICAL ASISSTANCE'!$K:$K, "Zaila Mae Leander", 'BRGY TECHNICAL ASISSTANCE'!$N:$N, "&lt;&gt;")</f>
        <v>2.7142857142857144</v>
      </c>
      <c r="D37" s="19">
        <f>COUNTIFS('BARANGAY ACCESS'!$V:$V, "Received by Planning", 'BARANGAY ACCESS'!$I:$I, "Zaila Mae Leander", 'BARANGAY ACCESS'!$L:$L, "&lt;&gt;")</f>
        <v>30</v>
      </c>
      <c r="E37" s="395">
        <f>AVERAGEIFS('BARANGAY ACCESS'!$R:$R, 'BARANGAY ACCESS'!$V:$V, "Received by Planning", 'BARANGAY ACCESS'!$I:$I, "Zaila Mae Leander", 'BARANGAY ACCESS'!$L:$L, "&lt;&gt;")</f>
        <v>1.7</v>
      </c>
      <c r="F37" s="19">
        <f>COUNTIFS('PDS 1st Sem'!$AC:$AC, "Received by Planning", 'PDS 1st Sem'!$P:$P, "Zaila Mae R. Leander", 'PDS 1st Sem'!$S:$S, "&lt;&gt;")</f>
        <v>1</v>
      </c>
      <c r="G37" s="395">
        <f>AVERAGEIFS('PDS 1st Sem'!$Y:$Y, 'PDS 1st Sem'!$AC:$AC, "Received by Planning", 'PDS 1st Sem'!$P:$P, "Zaila Mae R. Leander", 'PDS 1st Sem'!$S:$S, "&lt;&gt;")</f>
        <v>1</v>
      </c>
      <c r="H37" s="400">
        <f>COUNTIFS('LGU ACCESS TO SLF'!$T:$T, "Received by Planning", 'LGU ACCESS TO SLF'!$G:$G, "Zaila Mae Leander", 'LGU ACCESS TO SLF'!$J:$J, "&lt;&gt;")</f>
        <v>2</v>
      </c>
      <c r="I37" s="399">
        <f>AVERAGEIFS('LGU ACCESS TO SLF'!$P:$P, 'LGU ACCESS TO SLF'!$T:$T, "Received by Planning", 'LGU ACCESS TO SLF'!$G:$G, "Zaila Mae Leander", 'LGU ACCESS TO SLF'!$J:$J, "&lt;&gt;")</f>
        <v>1</v>
      </c>
      <c r="J37" s="404" t="s">
        <v>622</v>
      </c>
      <c r="K37" s="404" t="s">
        <v>622</v>
      </c>
      <c r="L37" s="401" t="s">
        <v>622</v>
      </c>
      <c r="M37" s="401" t="s">
        <v>622</v>
      </c>
      <c r="N37" s="400">
        <f>COUNTIFS(RCA!$W:$W, "Received by Planning", RCA!$J:$J, "Zaila Mae R. Leander", RCA!$M:$M, "&lt;&gt;")</f>
        <v>2</v>
      </c>
      <c r="O37" s="399">
        <f>AVERAGEIFS(RCA!$S:$S, RCA!$W:$W, "Received by Planning", RCA!$J:$J, "Zaila Mae R. Leander", RCA!$M:$M, "&lt;&gt;")</f>
        <v>2</v>
      </c>
      <c r="P37" s="406" t="s">
        <v>622</v>
      </c>
      <c r="Q37" s="405" t="s">
        <v>622</v>
      </c>
      <c r="R37" s="420" t="s">
        <v>622</v>
      </c>
      <c r="S37" s="404" t="s">
        <v>622</v>
      </c>
      <c r="T37" s="401" t="s">
        <v>622</v>
      </c>
      <c r="U37" s="401" t="s">
        <v>622</v>
      </c>
      <c r="V37" s="406" t="s">
        <v>622</v>
      </c>
      <c r="W37" s="406" t="s">
        <v>622</v>
      </c>
      <c r="X37" s="402" t="s">
        <v>622</v>
      </c>
      <c r="Y37" s="402" t="s">
        <v>622</v>
      </c>
      <c r="Z37" s="404" t="s">
        <v>622</v>
      </c>
      <c r="AA37" s="404" t="s">
        <v>622</v>
      </c>
      <c r="AB37" s="401" t="s">
        <v>622</v>
      </c>
      <c r="AC37" s="401" t="s">
        <v>622</v>
      </c>
    </row>
    <row r="41" spans="1:29">
      <c r="A41" s="658" t="s">
        <v>9641</v>
      </c>
    </row>
    <row r="42" spans="1:29">
      <c r="A42" s="809" t="s">
        <v>9623</v>
      </c>
      <c r="B42" s="809" t="s">
        <v>9642</v>
      </c>
      <c r="C42" s="809"/>
      <c r="D42" s="809" t="s">
        <v>4</v>
      </c>
      <c r="E42" s="809"/>
      <c r="F42" s="809" t="s">
        <v>9622</v>
      </c>
      <c r="G42" s="809"/>
      <c r="H42" s="809" t="s">
        <v>7</v>
      </c>
      <c r="I42" s="809"/>
      <c r="J42" s="809" t="s">
        <v>6</v>
      </c>
      <c r="K42" s="809"/>
      <c r="L42" s="809" t="s">
        <v>9</v>
      </c>
      <c r="M42" s="809"/>
      <c r="N42" s="809" t="s">
        <v>47</v>
      </c>
      <c r="O42" s="809"/>
      <c r="P42" s="809" t="s">
        <v>9627</v>
      </c>
      <c r="Q42" s="809"/>
      <c r="R42" s="809" t="s">
        <v>45</v>
      </c>
      <c r="S42" s="809"/>
      <c r="T42" s="809" t="s">
        <v>9607</v>
      </c>
      <c r="U42" s="809"/>
      <c r="V42" s="809" t="s">
        <v>9608</v>
      </c>
      <c r="W42" s="809"/>
      <c r="X42" s="809" t="s">
        <v>9610</v>
      </c>
      <c r="Y42" s="809"/>
      <c r="Z42" s="809" t="s">
        <v>9643</v>
      </c>
      <c r="AA42" s="809"/>
    </row>
    <row r="43" spans="1:29">
      <c r="A43" s="809"/>
      <c r="B43" s="393" t="s">
        <v>9644</v>
      </c>
      <c r="C43" s="393" t="s">
        <v>9637</v>
      </c>
      <c r="D43" s="393" t="s">
        <v>9644</v>
      </c>
      <c r="E43" s="393" t="s">
        <v>9637</v>
      </c>
      <c r="F43" s="393" t="s">
        <v>9644</v>
      </c>
      <c r="G43" s="393" t="s">
        <v>9637</v>
      </c>
      <c r="H43" s="393" t="s">
        <v>9644</v>
      </c>
      <c r="I43" s="393" t="s">
        <v>9637</v>
      </c>
      <c r="J43" s="393" t="s">
        <v>9644</v>
      </c>
      <c r="K43" s="393" t="s">
        <v>9637</v>
      </c>
      <c r="L43" s="393" t="s">
        <v>9644</v>
      </c>
      <c r="M43" s="393" t="s">
        <v>9637</v>
      </c>
      <c r="N43" s="393" t="s">
        <v>9644</v>
      </c>
      <c r="O43" s="393" t="s">
        <v>9637</v>
      </c>
      <c r="P43" s="393" t="s">
        <v>9644</v>
      </c>
      <c r="Q43" s="393" t="s">
        <v>9637</v>
      </c>
      <c r="R43" s="393" t="s">
        <v>9644</v>
      </c>
      <c r="S43" s="393" t="s">
        <v>9637</v>
      </c>
      <c r="T43" s="393" t="s">
        <v>9644</v>
      </c>
      <c r="U43" s="393" t="s">
        <v>9637</v>
      </c>
      <c r="V43" s="393" t="s">
        <v>9644</v>
      </c>
      <c r="W43" s="393" t="s">
        <v>9637</v>
      </c>
      <c r="X43" s="393" t="s">
        <v>9644</v>
      </c>
      <c r="Y43" s="393" t="s">
        <v>9637</v>
      </c>
      <c r="Z43" s="393" t="s">
        <v>9644</v>
      </c>
      <c r="AA43" s="393" t="s">
        <v>9637</v>
      </c>
    </row>
    <row r="44" spans="1:29" ht="17.25" customHeight="1">
      <c r="A44" s="1" t="s">
        <v>9638</v>
      </c>
      <c r="B44" s="558" cm="1">
        <f t="array" ref="B44">SUMPRODUCT(
 ('10-YEAR SWM PLAN'!$S:$S&lt;&gt;"") *
 ('10-YEAR SWM PLAN'!$AC:$AC="Ma. Erlinda H. Eugenio") *
 ISNUMBER(
   MATCH(
     '10-YEAR SWM PLAN'!$O:$O,
     {"7.July","8.August","9.September","10.October","11.November","12.December"},
     0
   )
 )
)
+
SUMPRODUCT(
 ('10-YEAR SWM PLAN'!$S:$S&lt;&gt;"") *
 ('10-YEAR SWM PLAN'!$AC:$AC="Received by Planning") *
 ISNUMBER(
   MATCH(
     '10-YEAR SWM PLAN'!$O:$O,
     {"7.July","8.August","9.September","10.October","11.November","12.December"},
     0
   )
 )
)</f>
        <v>64</v>
      </c>
      <c r="C44" s="659" cm="1">
        <f t="array" ref="C44">AVERAGE(
   _xlfn._xlws.FILTER(
      '10-YEAR SWM PLAN'!$AB:$AB,
      ('10-YEAR SWM PLAN'!$S:$S&lt;&gt;"") *
      (('10-YEAR SWM PLAN'!$AC:$AC="Ma. Erlinda H. Eugenio") + ('10-YEAR SWM PLAN'!$AC:$AC="Received by Planning")) *
      ISNUMBER(
         MATCH(
            '10-YEAR SWM PLAN'!$O:$O,
            {"7.July","8.August","9.September","10.October","11.November","12.December"},
            0
         )
      )
   )
)</f>
        <v>1.6875</v>
      </c>
      <c r="D44" s="1"/>
      <c r="E44" s="1"/>
      <c r="F44" s="1"/>
      <c r="G44" s="1"/>
      <c r="H44" s="1"/>
      <c r="I44" s="1"/>
      <c r="J44" s="1"/>
      <c r="K44" s="1"/>
      <c r="L44" s="1"/>
      <c r="M44" s="1"/>
      <c r="N44" s="1"/>
      <c r="O44" s="1"/>
      <c r="P44" s="1"/>
      <c r="Q44" s="1"/>
      <c r="R44" s="1"/>
      <c r="S44" s="1"/>
      <c r="T44" s="1"/>
      <c r="U44" s="1"/>
      <c r="V44" s="1"/>
      <c r="W44" s="1"/>
      <c r="X44" s="1"/>
      <c r="Y44" s="1"/>
      <c r="Z44" s="1"/>
      <c r="AA44" s="1"/>
    </row>
    <row r="45" spans="1:29">
      <c r="A45" s="1" t="s">
        <v>1982</v>
      </c>
      <c r="B45" s="558" cm="1">
        <f t="array" ref="B45">SUMPRODUCT(
 ('10-YEAR SWM PLAN'!$R:$R="Diozelle A. Lazatin") *
 ('10-YEAR SWM PLAN'!$S:$S&lt;&gt;"") *
 ('10-YEAR SWM PLAN'!$AC:$AC="Ma. Erlinda H. Eugenio") *
 ISNUMBER(
   MATCH(
     '10-YEAR SWM PLAN'!$O:$O,
     {"7.July","8.August","9.September","10.October","11.November","12.December"},
     0
   )
 )
)
+
SUMPRODUCT(
 ('10-YEAR SWM PLAN'!$R:$R="Diozelle A. Lazatin") *
 ('10-YEAR SWM PLAN'!$S:$S&lt;&gt;"") *
 ('10-YEAR SWM PLAN'!$AC:$AC="Received by Planning") *
 ISNUMBER(
   MATCH(
     '10-YEAR SWM PLAN'!$O:$O,
     {"7.July","8.August","9.September","10.October","11.November","12.December"},
     0
   )
 )
)</f>
        <v>11</v>
      </c>
      <c r="C45" s="659" cm="1">
        <f t="array" ref="C45">AVERAGE(
   _xlfn._xlws.FILTER(
      '10-YEAR SWM PLAN'!$AA:$AA,
      ('10-YEAR SWM PLAN'!$R:$R="Diozelle A. Lazatin") *
      ('10-YEAR SWM PLAN'!$S:$S&lt;&gt;"") *
      (('10-YEAR SWM PLAN'!$AC:$AC="Ma. Erlinda H. Eugenio") + ('10-YEAR SWM PLAN'!$AC:$AC="Received by Planning")) *
      ISNUMBER(
         MATCH(
            '10-YEAR SWM PLAN'!$O:$O,
            {"7.July","8.August","9.September","10.October","11.November","12.December"},
            0
         )
      )
   )
)</f>
        <v>1.3636363636363635</v>
      </c>
      <c r="D45" s="1"/>
      <c r="E45" s="1"/>
      <c r="F45" s="1"/>
      <c r="G45" s="1"/>
      <c r="H45" s="1"/>
      <c r="I45" s="1"/>
      <c r="J45" s="1"/>
      <c r="K45" s="1"/>
      <c r="L45" s="1"/>
      <c r="M45" s="1"/>
      <c r="N45" s="1"/>
      <c r="O45" s="1"/>
      <c r="P45" s="1"/>
      <c r="Q45" s="1"/>
      <c r="R45" s="1"/>
      <c r="S45" s="1"/>
      <c r="T45" s="1"/>
      <c r="U45" s="1"/>
      <c r="V45" s="1"/>
      <c r="W45" s="1"/>
      <c r="X45" s="1"/>
      <c r="Y45" s="1"/>
      <c r="Z45" s="1"/>
      <c r="AA45" s="1"/>
    </row>
    <row r="46" spans="1:29">
      <c r="A46" s="1" t="s">
        <v>2393</v>
      </c>
      <c r="B46" s="19" cm="1">
        <f t="array" ref="B46">SUMPRODUCT(
 ('10-YEAR SWM PLAN'!$R:$R="Jun D. Guillermo") *
 ('10-YEAR SWM PLAN'!$S:$S&lt;&gt;"") *
 ('10-YEAR SWM PLAN'!$AC:$AC="Ma. Erlinda H. Eugenio") *
 ISNUMBER(
   MATCH(
     '10-YEAR SWM PLAN'!$O:$O,
     {"7.July","8.August","9.September","10.October","11.November","12.December"},
     0
   )
 )
)
+
SUMPRODUCT(
 ('10-YEAR SWM PLAN'!$R:$R="Jun D. Guillermo") *
 ('10-YEAR SWM PLAN'!$S:$S&lt;&gt;"") *
 ('10-YEAR SWM PLAN'!$AC:$AC="Received by Planning") *
 ISNUMBER(
   MATCH(
     '10-YEAR SWM PLAN'!$O:$O,
     {"7.July","8.August","9.September","10.October","11.November","12.December"},
     0
   )
 )
)</f>
        <v>5</v>
      </c>
      <c r="C46" s="659" cm="1">
        <f t="array" ref="C46">AVERAGE(
   _xlfn._xlws.FILTER(
      '10-YEAR SWM PLAN'!$AA:$AA,
      ('10-YEAR SWM PLAN'!$R:$R="Jun D. Guillermo") *
      ('10-YEAR SWM PLAN'!$S:$S&lt;&gt;"") *
      (('10-YEAR SWM PLAN'!$AC:$AC="Ma. Erlinda H. Eugenio") + ('10-YEAR SWM PLAN'!$AC:$AC="Received by Planning")) *
      ISNUMBER(
         MATCH(
            '10-YEAR SWM PLAN'!$O:$O,
            {"7.July","8.August","9.September","10.October","11.November","12.December"},
            0
         )
      )
   )
)</f>
        <v>1</v>
      </c>
      <c r="D46" s="1"/>
      <c r="E46" s="1"/>
      <c r="F46" s="1"/>
      <c r="G46" s="1"/>
      <c r="H46" s="1"/>
      <c r="I46" s="1"/>
      <c r="J46" s="1"/>
      <c r="K46" s="1"/>
      <c r="L46" s="1"/>
      <c r="M46" s="1"/>
      <c r="N46" s="1"/>
      <c r="O46" s="1"/>
      <c r="P46" s="1"/>
      <c r="Q46" s="1"/>
      <c r="R46" s="1"/>
      <c r="S46" s="1"/>
      <c r="T46" s="1"/>
      <c r="U46" s="1"/>
      <c r="V46" s="1"/>
      <c r="W46" s="1"/>
      <c r="X46" s="1"/>
      <c r="Y46" s="1"/>
      <c r="Z46" s="1"/>
      <c r="AA46" s="1"/>
    </row>
    <row r="47" spans="1:29">
      <c r="A47" s="1" t="s">
        <v>212</v>
      </c>
      <c r="B47" s="19" cm="1">
        <f t="array" ref="B47">SUMPRODUCT(
 ('10-YEAR SWM PLAN'!$R:$R="Zosimo P. Suyat") *
 ('10-YEAR SWM PLAN'!$S:$S&lt;&gt;"") *
 ('10-YEAR SWM PLAN'!$AC:$AC="Ma. Erlinda H. Eugenio") *
 ISNUMBER(
   MATCH(
     '10-YEAR SWM PLAN'!$O:$O,
     {"7.July","8.August","9.September","10.October","11.November","12.December"},
     0
   )
 )
)
+
SUMPRODUCT(
 ('10-YEAR SWM PLAN'!$R:$R="Zosimo P. Suyat") *
 ('10-YEAR SWM PLAN'!$S:$S&lt;&gt;"") *
 ('10-YEAR SWM PLAN'!$AC:$AC="Received by Planning") *
 ISNUMBER(
   MATCH(
     '10-YEAR SWM PLAN'!$O:$O,
     {"7.July","8.August","9.September","10.October","11.November","12.December"},
     0
   )
 )
)</f>
        <v>18</v>
      </c>
      <c r="C47" s="659" cm="1">
        <f t="array" ref="C47">AVERAGE(
   _xlfn._xlws.FILTER(
      '10-YEAR SWM PLAN'!$AA:$AA,
      ('10-YEAR SWM PLAN'!$R:$R="Zosimo P. Suyat") *
      ('10-YEAR SWM PLAN'!$S:$S&lt;&gt;"") *
      (('10-YEAR SWM PLAN'!$AC:$AC="Ma. Erlinda H. Eugenio") + ('10-YEAR SWM PLAN'!$AC:$AC="Received by Planning")) *
      ISNUMBER(
         MATCH(
            '10-YEAR SWM PLAN'!$O:$O,
            {"7.July","8.August","9.September","10.October","11.November","12.December"},
            0
         )
      )
   )
)</f>
        <v>1.1111111111111112</v>
      </c>
      <c r="D47" s="1"/>
      <c r="E47" s="1"/>
      <c r="F47" s="1"/>
      <c r="G47" s="1"/>
      <c r="H47" s="1"/>
      <c r="I47" s="1"/>
      <c r="J47" s="1"/>
      <c r="K47" s="1"/>
      <c r="L47" s="1"/>
      <c r="M47" s="1"/>
      <c r="N47" s="1"/>
      <c r="O47" s="1"/>
      <c r="P47" s="1"/>
      <c r="Q47" s="1"/>
      <c r="R47" s="1"/>
      <c r="S47" s="1"/>
      <c r="T47" s="1"/>
      <c r="U47" s="1"/>
      <c r="V47" s="1"/>
      <c r="W47" s="1"/>
      <c r="X47" s="1"/>
      <c r="Y47" s="1"/>
      <c r="Z47" s="1"/>
      <c r="AA47" s="1"/>
    </row>
    <row r="48" spans="1:29">
      <c r="A48" s="1" t="s">
        <v>2445</v>
      </c>
      <c r="B48" s="19" cm="1">
        <f t="array" ref="B48">SUMPRODUCT(
 ('10-YEAR SWM PLAN'!$R:$R="Christle D. David") *
 ('10-YEAR SWM PLAN'!$S:$S&lt;&gt;"") *
 ('10-YEAR SWM PLAN'!$AC:$AC="Ma. Erlinda H. Eugenio") *
 ISNUMBER(
   MATCH(
     '10-YEAR SWM PLAN'!$O:$O,
     {"7.July","8.August","9.September","10.October","11.November","12.December"},
     0
   )
 )
)
+
SUMPRODUCT(
 ('10-YEAR SWM PLAN'!$R:$R="Christle D. David") *
 ('10-YEAR SWM PLAN'!$S:$S&lt;&gt;"") *
 ('10-YEAR SWM PLAN'!$AC:$AC="Received by Planning") *
 ISNUMBER(
   MATCH(
     '10-YEAR SWM PLAN'!$O:$O,
     {"7.July","8.August","9.September","10.October","11.November","12.December"},
     0
   )
 )
)</f>
        <v>4</v>
      </c>
      <c r="C48" s="659" cm="1">
        <f t="array" ref="C48">AVERAGE(
   _xlfn._xlws.FILTER(
      '10-YEAR SWM PLAN'!$AA:$AA,
      ('10-YEAR SWM PLAN'!$R:$R="Christle D. David") *
      ('10-YEAR SWM PLAN'!$S:$S&lt;&gt;"") *
      (('10-YEAR SWM PLAN'!$AC:$AC="Ma. Erlinda H. Eugenio") + ('10-YEAR SWM PLAN'!$AC:$AC="Received by Planning")) *
      ISNUMBER(
         MATCH(
            '10-YEAR SWM PLAN'!$O:$O,
            {"7.July","8.August","9.September","10.October","11.November","12.December"},
            0
         )
      )
   )
)</f>
        <v>1</v>
      </c>
      <c r="D48" s="1"/>
      <c r="E48" s="1"/>
      <c r="F48" s="1"/>
      <c r="G48" s="1"/>
      <c r="H48" s="1"/>
      <c r="I48" s="1"/>
      <c r="J48" s="1"/>
      <c r="K48" s="1"/>
      <c r="L48" s="1"/>
      <c r="M48" s="1"/>
      <c r="N48" s="1"/>
      <c r="O48" s="1"/>
      <c r="P48" s="1"/>
      <c r="Q48" s="1"/>
      <c r="R48" s="1"/>
      <c r="S48" s="1"/>
      <c r="T48" s="1"/>
      <c r="U48" s="1"/>
      <c r="V48" s="1"/>
      <c r="W48" s="1"/>
      <c r="X48" s="1"/>
      <c r="Y48" s="1"/>
      <c r="Z48" s="1"/>
      <c r="AA48" s="1"/>
    </row>
    <row r="49" spans="1:27">
      <c r="A49" s="1" t="s">
        <v>328</v>
      </c>
      <c r="B49" s="19" cm="1">
        <f t="array" ref="B49">SUMPRODUCT(
 ('10-YEAR SWM PLAN'!$R:$R="Rod Ross S. De Jesus") *
 ('10-YEAR SWM PLAN'!$S:$S&lt;&gt;"") *
 ('10-YEAR SWM PLAN'!$AC:$AC="Ma. Erlinda H. Eugenio") *
 ISNUMBER(
   MATCH(
     '10-YEAR SWM PLAN'!$O:$O,
     {"7.July","8.August","9.September","10.October","11.November","12.December"},
     0
   )
 )
)
+
SUMPRODUCT(
 ('10-YEAR SWM PLAN'!$R:$R="Rod Ross S. De Jesus") *
 ('10-YEAR SWM PLAN'!$S:$S&lt;&gt;"") *
 ('10-YEAR SWM PLAN'!$AC:$AC="Received by Planning") *
 ISNUMBER(
   MATCH(
     '10-YEAR SWM PLAN'!$O:$O,
     {"7.July","8.August","9.September","10.October","11.November","12.December"},
     0
   )
 )
)</f>
        <v>8</v>
      </c>
      <c r="C49" s="659" cm="1">
        <f t="array" ref="C49">AVERAGE(
   _xlfn._xlws.FILTER(
      '10-YEAR SWM PLAN'!$AA:$AA,
      ('10-YEAR SWM PLAN'!$R:$R="Rod Ross S. De Jesus") *
      ('10-YEAR SWM PLAN'!$S:$S&lt;&gt;"") *
      (('10-YEAR SWM PLAN'!$AC:$AC="Ma. Erlinda H. Eugenio") + ('10-YEAR SWM PLAN'!$AC:$AC="Received by Planning")) *
      ISNUMBER(
         MATCH(
            '10-YEAR SWM PLAN'!$O:$O,
            {"7.July","8.August","9.September","10.October","11.November","12.December"},
            0
         )
      )
   )
)</f>
        <v>1.25</v>
      </c>
      <c r="D49" s="1"/>
      <c r="E49" s="1"/>
      <c r="F49" s="1"/>
      <c r="G49" s="1"/>
      <c r="H49" s="1"/>
      <c r="I49" s="1"/>
      <c r="J49" s="1"/>
      <c r="K49" s="1"/>
      <c r="L49" s="1"/>
      <c r="M49" s="1"/>
      <c r="N49" s="1"/>
      <c r="O49" s="1"/>
      <c r="P49" s="1"/>
      <c r="Q49" s="1"/>
      <c r="R49" s="1"/>
      <c r="S49" s="1"/>
      <c r="T49" s="1"/>
      <c r="U49" s="1"/>
      <c r="V49" s="1"/>
      <c r="W49" s="1"/>
      <c r="X49" s="1"/>
      <c r="Y49" s="1"/>
      <c r="Z49" s="1"/>
      <c r="AA49" s="1"/>
    </row>
    <row r="50" spans="1:27">
      <c r="A50" s="1" t="s">
        <v>163</v>
      </c>
      <c r="B50" s="19" cm="1">
        <f t="array" ref="B50">SUMPRODUCT(
 ('10-YEAR SWM PLAN'!$R:$R="Ryan Christian R. Nunag") *
 ('10-YEAR SWM PLAN'!$S:$S&lt;&gt;"") *
 ('10-YEAR SWM PLAN'!$AC:$AC="Ma. Erlinda H. Eugenio") *
 ISNUMBER(
   MATCH(
     '10-YEAR SWM PLAN'!$O:$O,
     {"7.July","8.August","9.September","10.October","11.November","12.December"},
     0
   )
 )
)
+
SUMPRODUCT(
 ('10-YEAR SWM PLAN'!$R:$R="Ryan Christian R. Nunag") *
 ('10-YEAR SWM PLAN'!$S:$S&lt;&gt;"") *
 ('10-YEAR SWM PLAN'!$AC:$AC="Received by Planning") *
 ISNUMBER(
   MATCH(
     '10-YEAR SWM PLAN'!$O:$O,
     {"7.July","8.August","9.September","10.October","11.November","12.December"},
     0
   )
 )
)
+
SUMPRODUCT(
 ('10-YEAR SWM PLAN'!$Q:$Q="Ryan Christian R. Nunag") *
 ('10-YEAR SWM PLAN'!$S:$S&lt;&gt;"") *
 ('10-YEAR SWM PLAN'!$AC:$AC="Received by Planning") *
 ISNUMBER(
   MATCH(
     '10-YEAR SWM PLAN'!$O:$O,
     {"7.July","8.August","9.September","10.October","11.November","12.December"},
     0
   )
 )
)
+
SUMPRODUCT(
 ('10-YEAR SWM PLAN'!$Q:$Q="Ryan Christian R. Nunag") *
 ('10-YEAR SWM PLAN'!$S:$S&lt;&gt;"") *
 ('10-YEAR SWM PLAN'!$AC:$AC="Ma. Erlinda H. Eugenio") *
 ISNUMBER(
   MATCH(
     '10-YEAR SWM PLAN'!$O:$O,
     {"7.July","8.August","9.September","10.October","11.November","12.December"},
     0
   )
 )
)</f>
        <v>11</v>
      </c>
      <c r="C50" s="659" cm="1">
        <f t="array" ref="C50">AVERAGE(
   _xlfn._xlws.FILTER(
      '10-YEAR SWM PLAN'!$AA:$AA,
      ('10-YEAR SWM PLAN'!$R:$R="Ryan Christian R. Nunag") *
      ('10-YEAR SWM PLAN'!$S:$S&lt;&gt;"") *
      (('10-YEAR SWM PLAN'!$AC:$AC="Ma. Erlinda H. Eugenio") + ('10-YEAR SWM PLAN'!$AC:$AC="Received by Planning")) *
      ISNUMBER(
         MATCH(
            '10-YEAR SWM PLAN'!$O:$O,
            {"7.July","8.August","9.September","10.October","11.November","12.December"},
            0
         )
      )
   )
)
+
AVERAGE(
   _xlfn._xlws.FILTER(
      '10-YEAR SWM PLAN'!$Z:$Z,
      ('10-YEAR SWM PLAN'!$Q:$Q="Ryan Christian R. Nunag") *
      ('10-YEAR SWM PLAN'!$S:$S&lt;&gt;"") *
      (('10-YEAR SWM PLAN'!$AC:$AC="Ma. Erlinda H. Eugenio") + ('10-YEAR SWM PLAN'!$AC:$AC="Received by Planning")) *
      ISNUMBER(
         MATCH(
            '10-YEAR SWM PLAN'!$O:$O,
            {"7.July","8.August","9.September","10.October","11.November","12.December"},
            0
         )
      )
   )
)</f>
        <v>3.1666666666666665</v>
      </c>
      <c r="D50" s="1"/>
      <c r="E50" s="1"/>
      <c r="F50" s="1"/>
      <c r="G50" s="1"/>
      <c r="H50" s="1"/>
      <c r="I50" s="1"/>
      <c r="J50" s="1"/>
      <c r="K50" s="1"/>
      <c r="L50" s="1"/>
      <c r="M50" s="1"/>
      <c r="N50" s="1"/>
      <c r="O50" s="1"/>
      <c r="P50" s="1"/>
      <c r="Q50" s="1"/>
      <c r="R50" s="1"/>
      <c r="S50" s="1"/>
      <c r="T50" s="1"/>
      <c r="U50" s="1"/>
      <c r="V50" s="1"/>
      <c r="W50" s="1"/>
      <c r="X50" s="1"/>
      <c r="Y50" s="1"/>
      <c r="Z50" s="1"/>
      <c r="AA50" s="1"/>
    </row>
    <row r="51" spans="1:27">
      <c r="A51" s="1" t="s">
        <v>148</v>
      </c>
      <c r="B51" s="19" cm="1">
        <f t="array" ref="B51">SUMPRODUCT(
 ('10-YEAR SWM PLAN'!$R:$R="Yves Yshmael M. Balagtas") *
 ('10-YEAR SWM PLAN'!$S:$S&lt;&gt;"") *
 ('10-YEAR SWM PLAN'!$AC:$AC="Ma. Erlinda H. Eugenio") *
 ISNUMBER(
   MATCH(
     '10-YEAR SWM PLAN'!$O:$O,
     {"7.July","8.August","9.September","10.October","11.November","12.December"},
     0
   )
 )
)
+
SUMPRODUCT(
 ('10-YEAR SWM PLAN'!$R:$R="Yves Yshmael M. Balagtas") *
 ('10-YEAR SWM PLAN'!$S:$S&lt;&gt;"") *
 ('10-YEAR SWM PLAN'!$AC:$AC="Received by Planning") *
 ISNUMBER(
   MATCH(
     '10-YEAR SWM PLAN'!$O:$O,
     {"7.July","8.August","9.September","10.October","11.November","12.December"},
     0
   )
 )
)</f>
        <v>9</v>
      </c>
      <c r="C51" s="659" cm="1">
        <f t="array" ref="C51">AVERAGE(
   _xlfn._xlws.FILTER(
      '10-YEAR SWM PLAN'!$AA:$AA,
      ('10-YEAR SWM PLAN'!$R:$R="Yves Yshmael M. Balagtas") *
      ('10-YEAR SWM PLAN'!$S:$S&lt;&gt;"") *
      (('10-YEAR SWM PLAN'!$AC:$AC="Ma. Erlinda H. Eugenio") + ('10-YEAR SWM PLAN'!$AC:$AC="Received by Planning")) *
      ISNUMBER(
         MATCH(
            '10-YEAR SWM PLAN'!$O:$O,
            {"7.July","8.August","9.September","10.October","11.November","12.December"},
            0
         )
      )
   )
)</f>
        <v>1.7777777777777777</v>
      </c>
      <c r="D51" s="1"/>
      <c r="E51" s="1"/>
      <c r="F51" s="1"/>
      <c r="G51" s="1"/>
      <c r="H51" s="1"/>
      <c r="I51" s="1"/>
      <c r="J51" s="1"/>
      <c r="K51" s="1"/>
      <c r="L51" s="1"/>
      <c r="M51" s="1"/>
      <c r="N51" s="1"/>
      <c r="O51" s="1"/>
      <c r="P51" s="1"/>
      <c r="Q51" s="1"/>
      <c r="R51" s="1"/>
      <c r="S51" s="1"/>
      <c r="T51" s="1"/>
      <c r="U51" s="1"/>
      <c r="V51" s="1"/>
      <c r="W51" s="1"/>
      <c r="X51" s="1"/>
      <c r="Y51" s="1"/>
      <c r="Z51" s="1"/>
      <c r="AA51" s="1"/>
    </row>
    <row r="52" spans="1:27">
      <c r="A52" s="1" t="s">
        <v>2289</v>
      </c>
      <c r="B52" s="19" cm="1">
        <f t="array" ref="B52">SUMPRODUCT(
 ('10-YEAR SWM PLAN'!$Q:$Q="Jaypee Ordoñez") *
 ('10-YEAR SWM PLAN'!$S:$S&lt;&gt;"") *
 ('10-YEAR SWM PLAN'!$AC:$AC="Ma. Erlinda H. Eugenio") *
 ISNUMBER(
   MATCH(
     '10-YEAR SWM PLAN'!$O:$O,
     {"7.July","8.August","9.September","10.October","11.November","12.December"},
     0
   )
 )
)
+
SUMPRODUCT(
 ('10-YEAR SWM PLAN'!$Q:$Q="Jaypee Ordoñez") *
 ('10-YEAR SWM PLAN'!$S:$S&lt;&gt;"") *
 ('10-YEAR SWM PLAN'!$AC:$AC="Received by Planning") *
 ISNUMBER(
   MATCH(
     '10-YEAR SWM PLAN'!$O:$O,
     {"7.July","8.August","9.September","10.October","11.November","12.December"},
     0
   )
 )
)</f>
        <v>16</v>
      </c>
      <c r="C52" s="659" cm="1">
        <f t="array" ref="C52">AVERAGE(
   _xlfn._xlws.FILTER(
      '10-YEAR SWM PLAN'!$Z:$Z,
      ('10-YEAR SWM PLAN'!$Q:$Q="Jaypee Ordoñez") *
      ('10-YEAR SWM PLAN'!$S:$S&lt;&gt;"") *
      (('10-YEAR SWM PLAN'!$AC:$AC="Ma. Erlinda H. Eugenio") + ('10-YEAR SWM PLAN'!$AC:$AC="Received by Planning")) *
      ISNUMBER(
         MATCH(
            '10-YEAR SWM PLAN'!$O:$O,
            {"7.July","8.August","9.September","10.October","11.November","12.December"},
            0
         )
      )
   )
)</f>
        <v>1.9375</v>
      </c>
      <c r="D52" s="1"/>
      <c r="E52" s="1"/>
      <c r="F52" s="1"/>
      <c r="G52" s="1"/>
      <c r="H52" s="1"/>
      <c r="I52" s="1"/>
      <c r="J52" s="1"/>
      <c r="K52" s="1"/>
      <c r="L52" s="1"/>
      <c r="M52" s="1"/>
      <c r="N52" s="1"/>
      <c r="O52" s="1"/>
      <c r="P52" s="1"/>
      <c r="Q52" s="1"/>
      <c r="R52" s="1"/>
      <c r="S52" s="1"/>
      <c r="T52" s="1"/>
      <c r="U52" s="1"/>
      <c r="V52" s="1"/>
      <c r="W52" s="1"/>
      <c r="X52" s="1"/>
      <c r="Y52" s="1"/>
      <c r="Z52" s="1"/>
      <c r="AA52" s="1"/>
    </row>
    <row r="53" spans="1:27">
      <c r="A53" s="1" t="s">
        <v>9645</v>
      </c>
      <c r="B53" s="19" cm="1">
        <f t="array" ref="B53">SUMPRODUCT(
 ('10-YEAR SWM PLAN'!$Q:$Q="Maria Cecilia Pascual") *
 ('10-YEAR SWM PLAN'!$S:$S&lt;&gt;"") *
 ('10-YEAR SWM PLAN'!$AC:$AC="Ma. Erlinda H. Eugenio") *
 ISNUMBER(
   MATCH(
     '10-YEAR SWM PLAN'!$O:$O,
     {"7.July","8.August","9.September","10.October","11.November","12.December"},
     0
   )
 )
)
+
SUMPRODUCT(
 ('10-YEAR SWM PLAN'!$Q:$Q="Maria Cecilia Pascual") *
 ('10-YEAR SWM PLAN'!$S:$S&lt;&gt;"") *
 ('10-YEAR SWM PLAN'!$AC:$AC="Received by Planning") *
 ISNUMBER(
   MATCH(
     '10-YEAR SWM PLAN'!$O:$O,
     {"7.July","8.August","9.September","10.October","11.November","12.December"},
     0
   )
 )
)</f>
        <v>5</v>
      </c>
      <c r="C53" s="659" cm="1">
        <f t="array" ref="C53">AVERAGE(
   _xlfn._xlws.FILTER(
      '10-YEAR SWM PLAN'!$Z:$Z,
      ('10-YEAR SWM PLAN'!$Q:$Q="Maria Cecilia Pascual") *
      ('10-YEAR SWM PLAN'!$S:$S&lt;&gt;"") *
      (('10-YEAR SWM PLAN'!$AC:$AC="Ma. Erlinda H. Eugenio") + ('10-YEAR SWM PLAN'!$AC:$AC="Received by Planning")) *
      ISNUMBER(
         MATCH(
            '10-YEAR SWM PLAN'!$O:$O,
            {"7.July","8.August","9.September","10.October","11.November","12.December"},
            0
         )
      )
   )
)</f>
        <v>2.6</v>
      </c>
      <c r="D53" s="1"/>
      <c r="E53" s="1"/>
      <c r="F53" s="1"/>
      <c r="G53" s="1"/>
      <c r="H53" s="1"/>
      <c r="I53" s="1"/>
      <c r="J53" s="1"/>
      <c r="K53" s="1"/>
      <c r="L53" s="1"/>
      <c r="M53" s="1"/>
      <c r="N53" s="1"/>
      <c r="O53" s="1"/>
      <c r="P53" s="1"/>
      <c r="Q53" s="1"/>
      <c r="R53" s="1"/>
      <c r="S53" s="1"/>
      <c r="T53" s="1"/>
      <c r="U53" s="1"/>
      <c r="V53" s="1"/>
      <c r="W53" s="1"/>
      <c r="X53" s="1"/>
      <c r="Y53" s="1"/>
      <c r="Z53" s="1"/>
      <c r="AA53" s="1"/>
    </row>
    <row r="54" spans="1:27">
      <c r="A54" s="1" t="s">
        <v>388</v>
      </c>
      <c r="B54" s="19" cm="1">
        <f t="array" ref="B54">SUMPRODUCT(
 ('10-YEAR SWM PLAN'!$P:$P="Jasmin Marie N. Siapco") *
 ('10-YEAR SWM PLAN'!$S:$S&lt;&gt;"") *
 ('10-YEAR SWM PLAN'!$AC:$AC="Ma. Erlinda H. Eugenio") *
 ISNUMBER(
   MATCH(
     '10-YEAR SWM PLAN'!$O:$O,
     {"7.July","8.August","9.September","10.October","11.November","12.December"},
     0
   )
 )
)
+
SUMPRODUCT(
 ('10-YEAR SWM PLAN'!$P:$P="Jasmin Marie N. Siapco") *
 ('10-YEAR SWM PLAN'!$S:$S&lt;&gt;"") *
 ('10-YEAR SWM PLAN'!$AC:$AC="Received by Planning") *
 ISNUMBER(
   MATCH(
     '10-YEAR SWM PLAN'!$O:$O,
     {"7.July","8.August","9.September","10.October","11.November","12.December"},
     0
   )
 )
)</f>
        <v>1</v>
      </c>
      <c r="C54" s="659" t="e" cm="1" vm="1">
        <f t="array" ref="C54">AVERAGE(
   _xlfn._xlws.FILTER(
      '10-YEAR SWM PLAN'!$Z:$Z,
      ('10-YEAR SWM PLAN'!$Q:$Q="Jasmin Marie N. Siapco") *
      ('10-YEAR SWM PLAN'!$S:$S&lt;&gt;"") *
      (('10-YEAR SWM PLAN'!$AC:$AC="Ma. Erlinda H. Eugenio") + ('10-YEAR SWM PLAN'!$AC:$AC="Received by Planning")) *
      ISNUMBER(
         MATCH(
            '10-YEAR SWM PLAN'!$O:$O,
            {"7.July","8.August","9.September","10.October","11.November","12.December"},
            0
         )
      )
   )
)</f>
        <v>#VALUE!</v>
      </c>
      <c r="D54" s="1"/>
      <c r="E54" s="1"/>
      <c r="F54" s="1"/>
      <c r="G54" s="1"/>
      <c r="H54" s="1"/>
      <c r="I54" s="1"/>
      <c r="J54" s="1"/>
      <c r="K54" s="1"/>
      <c r="L54" s="1"/>
      <c r="M54" s="1"/>
      <c r="N54" s="1"/>
      <c r="O54" s="1"/>
      <c r="P54" s="1"/>
      <c r="Q54" s="1"/>
      <c r="R54" s="1"/>
      <c r="S54" s="1"/>
      <c r="T54" s="1"/>
      <c r="U54" s="1"/>
      <c r="V54" s="1"/>
      <c r="W54" s="1"/>
      <c r="X54" s="1"/>
      <c r="Y54" s="1"/>
      <c r="Z54" s="1"/>
      <c r="AA54" s="1"/>
    </row>
    <row r="55" spans="1:27">
      <c r="A55" s="1" t="s">
        <v>28</v>
      </c>
      <c r="B55" s="19" cm="1">
        <f t="array" ref="B55">SUMPRODUCT(
 ('10-YEAR SWM PLAN'!$P:$P="Jan Emerson C. Gonzales") *
 ('10-YEAR SWM PLAN'!$S:$S&lt;&gt;"") *
 ('10-YEAR SWM PLAN'!$AC:$AC="Ma. Erlinda H. Eugenio") *
 ISNUMBER(
   MATCH(
     '10-YEAR SWM PLAN'!$O:$O,
     {"7.July","8.August","9.September","10.October","11.November","12.December"},
     0
   )
 )
)
+
SUMPRODUCT(
 ('10-YEAR SWM PLAN'!$P:$P="Jan Emerson C. Gonzales") *
 ('10-YEAR SWM PLAN'!$S:$S&lt;&gt;"") *
 ('10-YEAR SWM PLAN'!$AC:$AC="Received by Planning") *
 ISNUMBER(
   MATCH(
     '10-YEAR SWM PLAN'!$O:$O,
     {"7.July","8.August","9.September","10.October","11.November","12.December"},
     0
   )
 )
)
+
SUMPRODUCT(
 ('10-YEAR SWM PLAN'!$Q:$Q="Jan Emerson C. Gonzales") *
 ('10-YEAR SWM PLAN'!$S:$S&lt;&gt;"") *
 ('10-YEAR SWM PLAN'!$AC:$AC="Received by Planning") *
 ISNUMBER(
   MATCH(
     '10-YEAR SWM PLAN'!$O:$O,
     {"7.July","8.August","9.September","10.October","11.November","12.December"},
     0
   )
 )
)
+
SUMPRODUCT(
 ('10-YEAR SWM PLAN'!$Q:$Q="Jan Emerson C. Gonzales") *
 ('10-YEAR SWM PLAN'!$S:$S&lt;&gt;"") *
 ('10-YEAR SWM PLAN'!$AC:$AC="Ma. Erlinda H. Eugenio") *
 ISNUMBER(
   MATCH(
     '10-YEAR SWM PLAN'!$O:$O,
     {"7.July","8.August","9.September","10.October","11.November","12.December"},
     0
   )
 )
)</f>
        <v>8</v>
      </c>
      <c r="C55" s="659" t="e" cm="1" vm="1">
        <f t="array" ref="C55">AVERAGE(
   _xlfn._xlws.FILTER(
      '10-YEAR SWM PLAN'!$Z:$Z,
      ('10-YEAR SWM PLAN'!$Q:$Q="Jan Emerson C. Gonzales") *
      ('10-YEAR SWM PLAN'!$S:$S&lt;&gt;"") *
      (('10-YEAR SWM PLAN'!$AC:$AC="Ma. Erlinda H. Eugenio") + ('10-YEAR SWM PLAN'!$AC:$AC="Received by Planning")) *
      ISNUMBER(
         MATCH(
            '10-YEAR SWM PLAN'!$O:$O,
    {"7.July","8.August","9.September","10.October","11.November","12.December"},
            0
         )
      )
   )
)
+
AVERAGE(
   _xlfn._xlws.FILTER(
      '10-YEAR SWM PLAN'!$Y:$Y,
      ('10-YEAR SWM PLAN'!$P:$P="Jan Emerson C. Gonzales") *
      ('10-YEAR SWM PLAN'!$S:$S&lt;&gt;"") *
      (('10-YEAR SWM PLAN'!$AC:$AC="Ma. Erlinda H. Eugenio") + ('10-YEAR SWM PLAN'!$AC:$AC="Received by Planning")) *
      ISNUMBER(
         MATCH(
            '10-YEAR SWM PLAN'!$O:$O,
            {"7.July","8.August","9.September","10.October","11.November","12.December"},
            0
         )
      )
   )
)</f>
        <v>#VALUE!</v>
      </c>
      <c r="D55" s="1"/>
      <c r="E55" s="1"/>
      <c r="F55" s="1"/>
      <c r="G55" s="1"/>
      <c r="H55" s="1"/>
      <c r="I55" s="1"/>
      <c r="J55" s="1"/>
      <c r="K55" s="1"/>
      <c r="L55" s="1"/>
      <c r="M55" s="1"/>
      <c r="N55" s="1"/>
      <c r="O55" s="1"/>
      <c r="P55" s="1"/>
      <c r="Q55" s="1"/>
      <c r="R55" s="1"/>
      <c r="S55" s="1"/>
      <c r="T55" s="1"/>
      <c r="U55" s="1"/>
      <c r="V55" s="1"/>
      <c r="W55" s="1"/>
      <c r="X55" s="1"/>
      <c r="Y55" s="1"/>
      <c r="Z55" s="1"/>
      <c r="AA55" s="1"/>
    </row>
    <row r="56" spans="1:27">
      <c r="A56" s="1" t="s">
        <v>29</v>
      </c>
      <c r="B56" s="19" cm="1">
        <f t="array" ref="B56">SUMPRODUCT(
 ('10-YEAR SWM PLAN'!$P:$P="Aser A. Inocencio, Jr.") *
 ('10-YEAR SWM PLAN'!$S:$S&lt;&gt;"") *
 ('10-YEAR SWM PLAN'!$AC:$AC="Ma. Erlinda H. Eugenio") *
 ISNUMBER(
   MATCH(
     '10-YEAR SWM PLAN'!$O:$O,
     {"7.July","8.August","9.September","10.October","11.November","12.December"},
     0
   )
 )
)
+
SUMPRODUCT(
 ('10-YEAR SWM PLAN'!$P:$P="Aser A. Inocencio, Jr.") *
 ('10-YEAR SWM PLAN'!$S:$S&lt;&gt;"") *
 ('10-YEAR SWM PLAN'!$AC:$AC="Received by Planning") *
 ISNUMBER(
   MATCH(
     '10-YEAR SWM PLAN'!$O:$O,
     {"7.July","8.August","9.September","10.October","11.November","12.December"},
     0
   )
 )
)</f>
        <v>5</v>
      </c>
      <c r="C56" s="1"/>
      <c r="D56" s="1"/>
      <c r="E56" s="1"/>
      <c r="F56" s="1"/>
      <c r="G56" s="1"/>
      <c r="H56" s="1"/>
      <c r="I56" s="1"/>
      <c r="J56" s="1"/>
      <c r="K56" s="1"/>
      <c r="L56" s="1"/>
      <c r="M56" s="1"/>
      <c r="N56" s="1"/>
      <c r="O56" s="1"/>
      <c r="P56" s="1"/>
      <c r="Q56" s="1"/>
      <c r="R56" s="1"/>
      <c r="S56" s="1"/>
      <c r="T56" s="1"/>
      <c r="U56" s="1"/>
      <c r="V56" s="1"/>
      <c r="W56" s="1"/>
      <c r="X56" s="1"/>
      <c r="Y56" s="1"/>
      <c r="Z56" s="1"/>
      <c r="AA56" s="1"/>
    </row>
    <row r="57" spans="1:27">
      <c r="A57" s="1" t="s">
        <v>267</v>
      </c>
      <c r="B57" s="19" cm="1">
        <f t="array" ref="B57">SUMPRODUCT(
 ('10-YEAR SWM PLAN'!$P:$P="Christian Jem L. Buluran") *
 ('10-YEAR SWM PLAN'!$S:$S&lt;&gt;"") *
 ('10-YEAR SWM PLAN'!$AC:$AC="Ma. Erlinda H. Eugenio") *
 ISNUMBER(
   MATCH(
     '10-YEAR SWM PLAN'!$O:$O,
     {"7.July","8.August","9.September","10.October","11.November","12.December"},
     0
   )
 )
)
+
SUMPRODUCT(
 ('10-YEAR SWM PLAN'!$P:$P="Christian Jem L. Buluran") *
 ('10-YEAR SWM PLAN'!$S:$S&lt;&gt;"") *
 ('10-YEAR SWM PLAN'!$AC:$AC="Received by Planning") *
 ISNUMBER(
   MATCH(
     '10-YEAR SWM PLAN'!$O:$O,
     {"7.July","8.August","9.September","10.October","11.November","12.December"},
     0
   )
 )
)</f>
        <v>3</v>
      </c>
      <c r="C57" s="1"/>
      <c r="D57" s="1"/>
      <c r="E57" s="1"/>
      <c r="F57" s="1"/>
      <c r="G57" s="1"/>
      <c r="H57" s="1"/>
      <c r="I57" s="1"/>
      <c r="J57" s="1"/>
      <c r="K57" s="1"/>
      <c r="L57" s="1"/>
      <c r="M57" s="1"/>
      <c r="N57" s="1"/>
      <c r="O57" s="1"/>
      <c r="P57" s="1"/>
      <c r="Q57" s="1"/>
      <c r="R57" s="1"/>
      <c r="S57" s="1"/>
      <c r="T57" s="1"/>
      <c r="U57" s="1"/>
      <c r="V57" s="1"/>
      <c r="W57" s="1"/>
      <c r="X57" s="1"/>
      <c r="Y57" s="1"/>
      <c r="Z57" s="1"/>
      <c r="AA57" s="1"/>
    </row>
    <row r="58" spans="1:27">
      <c r="A58" s="1" t="s">
        <v>30</v>
      </c>
      <c r="B58" s="19" cm="1">
        <f t="array" ref="B58">SUMPRODUCT(
 ('10-YEAR SWM PLAN'!$P:$P="Christine Ann V. Ramos") *
 ('10-YEAR SWM PLAN'!$S:$S&lt;&gt;"") *
 ('10-YEAR SWM PLAN'!$AC:$AC="Ma. Erlinda H. Eugenio") *
 ISNUMBER(
   MATCH(
     '10-YEAR SWM PLAN'!$O:$O,
     {"7.July","8.August","9.September","10.October","11.November","12.December"},
     0
   )
 )
)
+
SUMPRODUCT(
 ('10-YEAR SWM PLAN'!$P:$P="Christine Ann V. Ramos") *
 ('10-YEAR SWM PLAN'!$S:$S&lt;&gt;"") *
 ('10-YEAR SWM PLAN'!$AC:$AC="Received by Planning") *
 ISNUMBER(
   MATCH(
     '10-YEAR SWM PLAN'!$O:$O,
     {"7.July","8.August","9.September","10.October","11.November","12.December"},
     0
   )
 )
)</f>
        <v>2</v>
      </c>
      <c r="C58" s="1"/>
      <c r="D58" s="1"/>
      <c r="E58" s="1"/>
      <c r="F58" s="1"/>
      <c r="G58" s="1"/>
      <c r="H58" s="1"/>
      <c r="I58" s="1"/>
      <c r="J58" s="1"/>
      <c r="K58" s="1"/>
      <c r="L58" s="1"/>
      <c r="M58" s="1"/>
      <c r="N58" s="1"/>
      <c r="O58" s="1"/>
      <c r="P58" s="1"/>
      <c r="Q58" s="1"/>
      <c r="R58" s="1"/>
      <c r="S58" s="1"/>
      <c r="T58" s="1"/>
      <c r="U58" s="1"/>
      <c r="V58" s="1"/>
      <c r="W58" s="1"/>
      <c r="X58" s="1"/>
      <c r="Y58" s="1"/>
      <c r="Z58" s="1"/>
      <c r="AA58" s="1"/>
    </row>
    <row r="59" spans="1:27">
      <c r="A59" s="1" t="s">
        <v>188</v>
      </c>
      <c r="B59" s="19" cm="1">
        <f t="array" ref="B59">SUMPRODUCT(
 ('10-YEAR SWM PLAN'!$P:$P="Dennis Tolentino") *
 ('10-YEAR SWM PLAN'!$S:$S&lt;&gt;"") *
 ('10-YEAR SWM PLAN'!$AC:$AC="Ma. Erlinda H. Eugenio") *
 ISNUMBER(
   MATCH(
     '10-YEAR SWM PLAN'!$O:$O,
     {"7.July","8.August","9.September","10.October","11.November","12.December"},
     0
   )
 )
)
+
SUMPRODUCT(
 ('10-YEAR SWM PLAN'!$P:$P="Dennis Tolentino") *
 ('10-YEAR SWM PLAN'!$S:$S&lt;&gt;"") *
 ('10-YEAR SWM PLAN'!$AC:$AC="Received by Planning") *
 ISNUMBER(
   MATCH(
     '10-YEAR SWM PLAN'!$O:$O,
     {"7.July","8.August","9.September","10.October","11.November","12.December"},
     0
   )
 )
)</f>
        <v>2</v>
      </c>
      <c r="C59" s="1"/>
      <c r="D59" s="1"/>
      <c r="E59" s="1"/>
      <c r="F59" s="1"/>
      <c r="G59" s="1"/>
      <c r="H59" s="1"/>
      <c r="I59" s="1"/>
      <c r="J59" s="1"/>
      <c r="K59" s="1"/>
      <c r="L59" s="1"/>
      <c r="M59" s="1"/>
      <c r="N59" s="1"/>
      <c r="O59" s="1"/>
      <c r="P59" s="1"/>
      <c r="Q59" s="1"/>
      <c r="R59" s="1"/>
      <c r="S59" s="1"/>
      <c r="T59" s="1"/>
      <c r="U59" s="1"/>
      <c r="V59" s="1"/>
      <c r="W59" s="1"/>
      <c r="X59" s="1"/>
      <c r="Y59" s="1"/>
      <c r="Z59" s="1"/>
      <c r="AA59" s="1"/>
    </row>
    <row r="60" spans="1:27">
      <c r="A60" s="1" t="s">
        <v>33</v>
      </c>
      <c r="B60" s="19" cm="1">
        <f t="array" ref="B60">SUMPRODUCT(
 ('10-YEAR SWM PLAN'!$P:$P="Elyza A. Evilla") *
 ('10-YEAR SWM PLAN'!$S:$S&lt;&gt;"") *
 ('10-YEAR SWM PLAN'!$AC:$AC="Ma. Erlinda H. Eugenio") *
 ISNUMBER(
   MATCH(
     '10-YEAR SWM PLAN'!$O:$O,
     {"7.July","8.August","9.September","10.October","11.November","12.December"},
     0
   )
 )
)
+
SUMPRODUCT(
 ('10-YEAR SWM PLAN'!$P:$P="Elyza A. Evilla") *
 ('10-YEAR SWM PLAN'!$S:$S&lt;&gt;"") *
 ('10-YEAR SWM PLAN'!$AC:$AC="Received by Planning") *
 ISNUMBER(
   MATCH(
     '10-YEAR SWM PLAN'!$O:$O,
     {"7.July","8.August","9.September","10.October","11.November","12.December"},
     0
   )
 )
)</f>
        <v>1</v>
      </c>
      <c r="C60" s="1"/>
      <c r="D60" s="1"/>
      <c r="E60" s="1"/>
      <c r="F60" s="1"/>
      <c r="G60" s="1"/>
      <c r="H60" s="1"/>
      <c r="I60" s="1"/>
      <c r="J60" s="1"/>
      <c r="K60" s="1"/>
      <c r="L60" s="1"/>
      <c r="M60" s="1"/>
      <c r="N60" s="1"/>
      <c r="O60" s="1"/>
      <c r="P60" s="1"/>
      <c r="Q60" s="1"/>
      <c r="R60" s="1"/>
      <c r="S60" s="1"/>
      <c r="T60" s="1"/>
      <c r="U60" s="1"/>
      <c r="V60" s="1"/>
      <c r="W60" s="1"/>
      <c r="X60" s="1"/>
      <c r="Y60" s="1"/>
      <c r="Z60" s="1"/>
      <c r="AA60" s="1"/>
    </row>
    <row r="61" spans="1:27">
      <c r="A61" s="1" t="s">
        <v>224</v>
      </c>
      <c r="B61" s="19" cm="1">
        <f t="array" ref="B61">SUMPRODUCT(
 ('10-YEAR SWM PLAN'!$P:$P="Gem C. Vicencio") *
 ('10-YEAR SWM PLAN'!$S:$S&lt;&gt;"") *
 ('10-YEAR SWM PLAN'!$AC:$AC="Ma. Erlinda H. Eugenio") *
 ISNUMBER(
   MATCH(
     '10-YEAR SWM PLAN'!$O:$O,
     {"7.July","8.August","9.September","10.October","11.November","12.December"},
     0
   )
 )
)
+
SUMPRODUCT(
 ('10-YEAR SWM PLAN'!$P:$P="Gem C. Vicencio") *
 ('10-YEAR SWM PLAN'!$S:$S&lt;&gt;"") *
 ('10-YEAR SWM PLAN'!$AC:$AC="Received by Planning") *
 ISNUMBER(
   MATCH(
     '10-YEAR SWM PLAN'!$O:$O,
     {"7.July","8.August","9.September","10.October","11.November","12.December"},
     0
   )
 )
)</f>
        <v>6</v>
      </c>
      <c r="C61" s="1"/>
      <c r="D61" s="1"/>
      <c r="E61" s="1"/>
      <c r="F61" s="1"/>
      <c r="G61" s="1"/>
      <c r="H61" s="1"/>
      <c r="I61" s="1"/>
      <c r="J61" s="1"/>
      <c r="K61" s="1"/>
      <c r="L61" s="1"/>
      <c r="M61" s="1"/>
      <c r="N61" s="1"/>
      <c r="O61" s="1"/>
      <c r="P61" s="1"/>
      <c r="Q61" s="1"/>
      <c r="R61" s="1"/>
      <c r="S61" s="1"/>
      <c r="T61" s="1"/>
      <c r="U61" s="1"/>
      <c r="V61" s="1"/>
      <c r="W61" s="1"/>
      <c r="X61" s="1"/>
      <c r="Y61" s="1"/>
      <c r="Z61" s="1"/>
      <c r="AA61" s="1"/>
    </row>
    <row r="62" spans="1:27">
      <c r="A62" s="1" t="s">
        <v>1345</v>
      </c>
      <c r="B62" s="19" cm="1">
        <f t="array" ref="B62">SUMPRODUCT(
 ('10-YEAR SWM PLAN'!$P:$P="Glaiza S. Gaza") *
 ('10-YEAR SWM PLAN'!$S:$S&lt;&gt;"") *
 ('10-YEAR SWM PLAN'!$AC:$AC="Ma. Erlinda H. Eugenio") *
 ISNUMBER(
   MATCH(
     '10-YEAR SWM PLAN'!$O:$O,
     {"7.July","8.August","9.September","10.October","11.November","12.December"},
     0
   )
 )
)
+
SUMPRODUCT(
 ('10-YEAR SWM PLAN'!$P:$P="Glaiza S. Gaza") *
 ('10-YEAR SWM PLAN'!$S:$S&lt;&gt;"") *
 ('10-YEAR SWM PLAN'!$AC:$AC="Received by Planning") *
 ISNUMBER(
   MATCH(
     '10-YEAR SWM PLAN'!$O:$O,
     {"7.July","8.August","9.September","10.October","11.November","12.December"},
     0
   )
 )
)</f>
        <v>0</v>
      </c>
      <c r="C62" s="1"/>
      <c r="D62" s="1"/>
      <c r="E62" s="1"/>
      <c r="F62" s="1"/>
      <c r="G62" s="1"/>
      <c r="H62" s="1"/>
      <c r="I62" s="1"/>
      <c r="J62" s="1"/>
      <c r="K62" s="1"/>
      <c r="L62" s="1"/>
      <c r="M62" s="1"/>
      <c r="N62" s="1"/>
      <c r="O62" s="1"/>
      <c r="P62" s="1"/>
      <c r="Q62" s="1"/>
      <c r="R62" s="1"/>
      <c r="S62" s="1"/>
      <c r="T62" s="1"/>
      <c r="U62" s="1"/>
      <c r="V62" s="1"/>
      <c r="W62" s="1"/>
      <c r="X62" s="1"/>
      <c r="Y62" s="1"/>
      <c r="Z62" s="1"/>
      <c r="AA62" s="1"/>
    </row>
    <row r="63" spans="1:27">
      <c r="A63" s="1" t="s">
        <v>39</v>
      </c>
      <c r="B63" s="19" cm="1">
        <f t="array" ref="B63">SUMPRODUCT(
 ('10-YEAR SWM PLAN'!$P:$P="Gretzhen M. Apolonio") *
 ('10-YEAR SWM PLAN'!$S:$S&lt;&gt;"") *
 ('10-YEAR SWM PLAN'!$AC:$AC="Ma. Erlinda H. Eugenio") *
 ISNUMBER(
   MATCH(
     '10-YEAR SWM PLAN'!$O:$O,
     {"7.July","8.August","9.September","10.October","11.November","12.December"},
     0
   )
 )
)
+
SUMPRODUCT(
 ('10-YEAR SWM PLAN'!$P:$P="Gretzhen M. Apolonio") *
 ('10-YEAR SWM PLAN'!$S:$S&lt;&gt;"") *
 ('10-YEAR SWM PLAN'!$AC:$AC="Received by Planning") *
 ISNUMBER(
   MATCH(
     '10-YEAR SWM PLAN'!$O:$O,
     {"7.July","8.August","9.September","10.October","11.November","12.December"},
     0
   )
 )
)</f>
        <v>3</v>
      </c>
      <c r="C63" s="1"/>
      <c r="D63" s="1"/>
      <c r="E63" s="1"/>
      <c r="F63" s="1"/>
      <c r="G63" s="1"/>
      <c r="H63" s="1"/>
      <c r="I63" s="1"/>
      <c r="J63" s="1"/>
      <c r="K63" s="1"/>
      <c r="L63" s="1"/>
      <c r="M63" s="1"/>
      <c r="N63" s="1"/>
      <c r="O63" s="1"/>
      <c r="P63" s="1"/>
      <c r="Q63" s="1"/>
      <c r="R63" s="1"/>
      <c r="S63" s="1"/>
      <c r="T63" s="1"/>
      <c r="U63" s="1"/>
      <c r="V63" s="1"/>
      <c r="W63" s="1"/>
      <c r="X63" s="1"/>
      <c r="Y63" s="1"/>
      <c r="Z63" s="1"/>
      <c r="AA63" s="1"/>
    </row>
    <row r="64" spans="1:27">
      <c r="A64" s="1" t="s">
        <v>26</v>
      </c>
      <c r="B64" s="19" cm="1">
        <f t="array" ref="B64">SUMPRODUCT(
 ('10-YEAR SWM PLAN'!$P:$P="Hosannah R. Sabio") *
 ('10-YEAR SWM PLAN'!$S:$S&lt;&gt;"") *
 ('10-YEAR SWM PLAN'!$AC:$AC="Ma. Erlinda H. Eugenio") *
 ISNUMBER(
   MATCH(
     '10-YEAR SWM PLAN'!$O:$O,
     {"7.July","8.August","9.September","10.October","11.November","12.December"},
     0
   )
 )
)
+
SUMPRODUCT(
 ('10-YEAR SWM PLAN'!$P:$P="Hosannah R. Sabio") *
 ('10-YEAR SWM PLAN'!$S:$S&lt;&gt;"") *
 ('10-YEAR SWM PLAN'!$AC:$AC="Received by Planning") *
 ISNUMBER(
   MATCH(
     '10-YEAR SWM PLAN'!$O:$O,
     {"7.July","8.August","9.September","10.October","11.November","12.December"},
     0
   )
 )
)</f>
        <v>2</v>
      </c>
      <c r="C64" s="1"/>
      <c r="D64" s="1"/>
      <c r="E64" s="1"/>
      <c r="F64" s="1"/>
      <c r="G64" s="1"/>
      <c r="H64" s="1"/>
      <c r="I64" s="1"/>
      <c r="J64" s="1"/>
      <c r="K64" s="1"/>
      <c r="L64" s="1"/>
      <c r="M64" s="1"/>
      <c r="N64" s="1"/>
      <c r="O64" s="1"/>
      <c r="P64" s="1"/>
      <c r="Q64" s="1"/>
      <c r="R64" s="1"/>
      <c r="S64" s="1"/>
      <c r="T64" s="1"/>
      <c r="U64" s="1"/>
      <c r="V64" s="1"/>
      <c r="W64" s="1"/>
      <c r="X64" s="1"/>
      <c r="Y64" s="1"/>
      <c r="Z64" s="1"/>
      <c r="AA64" s="1"/>
    </row>
    <row r="65" spans="1:27">
      <c r="A65" s="1" t="s">
        <v>35</v>
      </c>
      <c r="B65" s="19" cm="1">
        <f t="array" ref="B65">SUMPRODUCT(
 ('10-YEAR SWM PLAN'!$P:$P="Ivy M. Castro") *
 ('10-YEAR SWM PLAN'!$S:$S&lt;&gt;"") *
 ('10-YEAR SWM PLAN'!$AC:$AC="Ma. Erlinda H. Eugenio") *
 ISNUMBER(
   MATCH(
     '10-YEAR SWM PLAN'!$O:$O,
     {"7.July","8.August","9.September","10.October","11.November","12.December"},
     0
   )
 )
)
+
SUMPRODUCT(
 ('10-YEAR SWM PLAN'!$P:$P="Ivy M. Castro") *
 ('10-YEAR SWM PLAN'!$S:$S&lt;&gt;"") *
 ('10-YEAR SWM PLAN'!$AC:$AC="Received by Planning") *
 ISNUMBER(
   MATCH(
     '10-YEAR SWM PLAN'!$O:$O,
     {"7.July","8.August","9.September","10.October","11.November","12.December"},
     0
   )
 )
)</f>
        <v>2</v>
      </c>
      <c r="C65" s="1"/>
      <c r="D65" s="1"/>
      <c r="E65" s="1"/>
      <c r="F65" s="1"/>
      <c r="G65" s="1"/>
      <c r="H65" s="1"/>
      <c r="I65" s="1"/>
      <c r="J65" s="1"/>
      <c r="K65" s="1"/>
      <c r="L65" s="1"/>
      <c r="M65" s="1"/>
      <c r="N65" s="1"/>
      <c r="O65" s="1"/>
      <c r="P65" s="1"/>
      <c r="Q65" s="1"/>
      <c r="R65" s="1"/>
      <c r="S65" s="1"/>
      <c r="T65" s="1"/>
      <c r="U65" s="1"/>
      <c r="V65" s="1"/>
      <c r="W65" s="1"/>
      <c r="X65" s="1"/>
      <c r="Y65" s="1"/>
      <c r="Z65" s="1"/>
      <c r="AA65" s="1"/>
    </row>
    <row r="66" spans="1:27">
      <c r="A66" s="1" t="s">
        <v>508</v>
      </c>
      <c r="B66" s="19" cm="1">
        <f t="array" ref="B66">SUMPRODUCT(
 ('10-YEAR SWM PLAN'!$P:$P="James Wilson T. Pena") *
 ('10-YEAR SWM PLAN'!$S:$S&lt;&gt;"") *
 ('10-YEAR SWM PLAN'!$AC:$AC="Ma. Erlinda H. Eugenio") *
 ISNUMBER(
   MATCH(
     '10-YEAR SWM PLAN'!$O:$O,
     {"7.July","8.August","9.September","10.October","11.November","12.December"},
     0
   )
 )
)
+
SUMPRODUCT(
 ('10-YEAR SWM PLAN'!$P:$P="James Wilson T. Pena") *
 ('10-YEAR SWM PLAN'!$S:$S&lt;&gt;"") *
 ('10-YEAR SWM PLAN'!$AC:$AC="Received by Planning") *
 ISNUMBER(
   MATCH(
     '10-YEAR SWM PLAN'!$O:$O,
     {"7.July","8.August","9.September","10.October","11.November","12.December"},
     0
   )
 )
)</f>
        <v>4</v>
      </c>
      <c r="C66" s="1"/>
      <c r="D66" s="1"/>
      <c r="E66" s="1"/>
      <c r="F66" s="1"/>
      <c r="G66" s="1"/>
      <c r="H66" s="1"/>
      <c r="I66" s="1"/>
      <c r="J66" s="1"/>
      <c r="K66" s="1"/>
      <c r="L66" s="1"/>
      <c r="M66" s="1"/>
      <c r="N66" s="1"/>
      <c r="O66" s="1"/>
      <c r="P66" s="1"/>
      <c r="Q66" s="1"/>
      <c r="R66" s="1"/>
      <c r="S66" s="1"/>
      <c r="T66" s="1"/>
      <c r="U66" s="1"/>
      <c r="V66" s="1"/>
      <c r="W66" s="1"/>
      <c r="X66" s="1"/>
      <c r="Y66" s="1"/>
      <c r="Z66" s="1"/>
      <c r="AA66" s="1"/>
    </row>
    <row r="67" spans="1:27">
      <c r="A67" s="1" t="s">
        <v>5783</v>
      </c>
      <c r="B67" s="19" cm="1">
        <f t="array" ref="B67">SUMPRODUCT(
 ('10-YEAR SWM PLAN'!$P:$P="Jasper Keith B. Pili") *
 ('10-YEAR SWM PLAN'!$S:$S&lt;&gt;"") *
 ('10-YEAR SWM PLAN'!$AC:$AC="Ma. Erlinda H. Eugenio") *
 ISNUMBER(
   MATCH(
     '10-YEAR SWM PLAN'!$O:$O,
     {"7.July","8.August","9.September","10.October","11.November","12.December"},
     0
   )
 )
)
+
SUMPRODUCT(
 ('10-YEAR SWM PLAN'!$P:$P="Jasper Keith B. Pili") *
 ('10-YEAR SWM PLAN'!$S:$S&lt;&gt;"") *
 ('10-YEAR SWM PLAN'!$AC:$AC="Received by Planning") *
 ISNUMBER(
   MATCH(
     '10-YEAR SWM PLAN'!$O:$O,
     {"7.July","8.August","9.September","10.October","11.November","12.December"},
     0
   )
 )
)</f>
        <v>0</v>
      </c>
      <c r="C67" s="1"/>
      <c r="D67" s="1"/>
      <c r="E67" s="1"/>
      <c r="F67" s="1"/>
      <c r="G67" s="1"/>
      <c r="H67" s="1"/>
      <c r="I67" s="1"/>
      <c r="J67" s="1"/>
      <c r="K67" s="1"/>
      <c r="L67" s="1"/>
      <c r="M67" s="1"/>
      <c r="N67" s="1"/>
      <c r="O67" s="1"/>
      <c r="P67" s="1"/>
      <c r="Q67" s="1"/>
      <c r="R67" s="1"/>
      <c r="S67" s="1"/>
      <c r="T67" s="1"/>
      <c r="U67" s="1"/>
      <c r="V67" s="1"/>
      <c r="W67" s="1"/>
      <c r="X67" s="1"/>
      <c r="Y67" s="1"/>
      <c r="Z67" s="1"/>
      <c r="AA67" s="1"/>
    </row>
    <row r="68" spans="1:27">
      <c r="A68" s="1" t="s">
        <v>179</v>
      </c>
      <c r="B68" s="19" cm="1">
        <f t="array" ref="B68">SUMPRODUCT(
 ('10-YEAR SWM PLAN'!$P:$P="John-lester Signio") *
 ('10-YEAR SWM PLAN'!$S:$S&lt;&gt;"") *
 ('10-YEAR SWM PLAN'!$AC:$AC="Ma. Erlinda H. Eugenio") *
 ISNUMBER(
   MATCH(
     '10-YEAR SWM PLAN'!$O:$O,
     {"7.July","8.August","9.September","10.October","11.November","12.December"},
     0
   )
 )
)
+
SUMPRODUCT(
 ('10-YEAR SWM PLAN'!$P:$P="John-lester Signio") *
 ('10-YEAR SWM PLAN'!$S:$S&lt;&gt;"") *
 ('10-YEAR SWM PLAN'!$AC:$AC="Received by Planning") *
 ISNUMBER(
   MATCH(
     '10-YEAR SWM PLAN'!$O:$O,
     {"7.July","8.August","9.September","10.October","11.November","12.December"},
     0
   )
 )
)</f>
        <v>1</v>
      </c>
      <c r="C68" s="1"/>
      <c r="D68" s="1"/>
      <c r="E68" s="1"/>
      <c r="F68" s="1"/>
      <c r="G68" s="1"/>
      <c r="H68" s="1"/>
      <c r="I68" s="1"/>
      <c r="J68" s="1"/>
      <c r="K68" s="1"/>
      <c r="L68" s="1"/>
      <c r="M68" s="1"/>
      <c r="N68" s="1"/>
      <c r="O68" s="1"/>
      <c r="P68" s="1"/>
      <c r="Q68" s="1"/>
      <c r="R68" s="1"/>
      <c r="S68" s="1"/>
      <c r="T68" s="1"/>
      <c r="U68" s="1"/>
      <c r="V68" s="1"/>
      <c r="W68" s="1"/>
      <c r="X68" s="1"/>
      <c r="Y68" s="1"/>
      <c r="Z68" s="1"/>
      <c r="AA68" s="1"/>
    </row>
    <row r="69" spans="1:27">
      <c r="A69" s="1" t="s">
        <v>37</v>
      </c>
      <c r="B69" s="19" cm="1">
        <f t="array" ref="B69">SUMPRODUCT(
 ('10-YEAR SWM PLAN'!$P:$P="Joshua A. Capones") *
 ('10-YEAR SWM PLAN'!$S:$S&lt;&gt;"") *
 ('10-YEAR SWM PLAN'!$AC:$AC="Ma. Erlinda H. Eugenio") *
 ISNUMBER(
   MATCH(
     '10-YEAR SWM PLAN'!$O:$O,
     {"7.July","8.August","9.September","10.October","11.November","12.December"},
     0
   )
 )
)
+
SUMPRODUCT(
 ('10-YEAR SWM PLAN'!$P:$P="Joshua A. Capones") *
 ('10-YEAR SWM PLAN'!$S:$S&lt;&gt;"") *
 ('10-YEAR SWM PLAN'!$AC:$AC="Received by Planning") *
 ISNUMBER(
   MATCH(
     '10-YEAR SWM PLAN'!$O:$O,
     {"7.July","8.August","9.September","10.October","11.November","12.December"},
     0
   )
 )
)</f>
        <v>5</v>
      </c>
      <c r="C69" s="1"/>
      <c r="D69" s="1"/>
      <c r="E69" s="1"/>
      <c r="F69" s="1"/>
      <c r="G69" s="1"/>
      <c r="H69" s="1"/>
      <c r="I69" s="1"/>
      <c r="J69" s="1"/>
      <c r="K69" s="1"/>
      <c r="L69" s="1"/>
      <c r="M69" s="1"/>
      <c r="N69" s="1"/>
      <c r="O69" s="1"/>
      <c r="P69" s="1"/>
      <c r="Q69" s="1"/>
      <c r="R69" s="1"/>
      <c r="S69" s="1"/>
      <c r="T69" s="1"/>
      <c r="U69" s="1"/>
      <c r="V69" s="1"/>
      <c r="W69" s="1"/>
      <c r="X69" s="1"/>
      <c r="Y69" s="1"/>
      <c r="Z69" s="1"/>
      <c r="AA69" s="1"/>
    </row>
    <row r="70" spans="1:27">
      <c r="A70" s="1" t="s">
        <v>1212</v>
      </c>
      <c r="B70" s="19" cm="1">
        <f t="array" ref="B70">SUMPRODUCT(
 ('10-YEAR SWM PLAN'!$P:$P="Larizze Anne Santos") *
 ('10-YEAR SWM PLAN'!$S:$S&lt;&gt;"") *
 ('10-YEAR SWM PLAN'!$AC:$AC="Ma. Erlinda H. Eugenio") *
 ISNUMBER(
   MATCH(
     '10-YEAR SWM PLAN'!$O:$O,
     {"7.July","8.August","9.September","10.October","11.November","12.December"},
     0
   )
 )
)
+
SUMPRODUCT(
 ('10-YEAR SWM PLAN'!$P:$P="Larizze Anne Santos") *
 ('10-YEAR SWM PLAN'!$S:$S&lt;&gt;"") *
 ('10-YEAR SWM PLAN'!$AC:$AC="Received by Planning") *
 ISNUMBER(
   MATCH(
     '10-YEAR SWM PLAN'!$O:$O,
     {"7.July","8.August","9.September","10.October","11.November","12.December"},
     0
   )
 )
)</f>
        <v>0</v>
      </c>
      <c r="C70" s="1"/>
      <c r="D70" s="1"/>
      <c r="E70" s="1"/>
      <c r="F70" s="1"/>
      <c r="G70" s="1"/>
      <c r="H70" s="1"/>
      <c r="I70" s="1"/>
      <c r="J70" s="1"/>
      <c r="K70" s="1"/>
      <c r="L70" s="1"/>
      <c r="M70" s="1"/>
      <c r="N70" s="1"/>
      <c r="O70" s="1"/>
      <c r="P70" s="1"/>
      <c r="Q70" s="1"/>
      <c r="R70" s="1"/>
      <c r="S70" s="1"/>
      <c r="T70" s="1"/>
      <c r="U70" s="1"/>
      <c r="V70" s="1"/>
      <c r="W70" s="1"/>
      <c r="X70" s="1"/>
      <c r="Y70" s="1"/>
      <c r="Z70" s="1"/>
      <c r="AA70" s="1"/>
    </row>
    <row r="71" spans="1:27">
      <c r="A71" s="1" t="s">
        <v>19</v>
      </c>
      <c r="B71" s="19" cm="1">
        <f t="array" ref="B71">SUMPRODUCT(
 ('10-YEAR SWM PLAN'!$P:$P="Laurence Radasa") *
 ('10-YEAR SWM PLAN'!$S:$S&lt;&gt;"") *
 ('10-YEAR SWM PLAN'!$AC:$AC="Ma. Erlinda H. Eugenio") *
 ISNUMBER(
   MATCH(
     '10-YEAR SWM PLAN'!$O:$O,
     {"7.July","8.August","9.September","10.October","11.November","12.December"},
     0
   )
 )
)
+
SUMPRODUCT(
 ('10-YEAR SWM PLAN'!$P:$P="Laurence Radasa") *
 ('10-YEAR SWM PLAN'!$S:$S&lt;&gt;"") *
 ('10-YEAR SWM PLAN'!$AC:$AC="Received by Planning") *
 ISNUMBER(
   MATCH(
     '10-YEAR SWM PLAN'!$O:$O,
     {"7.July","8.August","9.September","10.October","11.November","12.December"},
     0
   )
 )
)</f>
        <v>0</v>
      </c>
      <c r="C71" s="1"/>
      <c r="D71" s="1"/>
      <c r="E71" s="1"/>
      <c r="F71" s="1"/>
      <c r="G71" s="1"/>
      <c r="H71" s="1"/>
      <c r="I71" s="1"/>
      <c r="J71" s="1"/>
      <c r="K71" s="1"/>
      <c r="L71" s="1"/>
      <c r="M71" s="1"/>
      <c r="N71" s="1"/>
      <c r="O71" s="1"/>
      <c r="P71" s="1"/>
      <c r="Q71" s="1"/>
      <c r="R71" s="1"/>
      <c r="S71" s="1"/>
      <c r="T71" s="1"/>
      <c r="U71" s="1"/>
      <c r="V71" s="1"/>
      <c r="W71" s="1"/>
      <c r="X71" s="1"/>
      <c r="Y71" s="1"/>
      <c r="Z71" s="1"/>
      <c r="AA71" s="1"/>
    </row>
    <row r="72" spans="1:27">
      <c r="A72" s="1" t="s">
        <v>14</v>
      </c>
      <c r="B72" s="19" cm="1">
        <f t="array" ref="B72">SUMPRODUCT(
 ('10-YEAR SWM PLAN'!$P:$P="Nikko Jay M. Valenzuela") *
 ('10-YEAR SWM PLAN'!$S:$S&lt;&gt;"") *
 ('10-YEAR SWM PLAN'!$AC:$AC="Ma. Erlinda H. Eugenio") *
 ISNUMBER(
   MATCH(
     '10-YEAR SWM PLAN'!$O:$O,
     {"7.July","8.August","9.September","10.October","11.November","12.December"},
     0
   )
 )
)
+
SUMPRODUCT(
 ('10-YEAR SWM PLAN'!$P:$P="Nikko Jay M. Valenzuela") *
 ('10-YEAR SWM PLAN'!$S:$S&lt;&gt;"") *
 ('10-YEAR SWM PLAN'!$AC:$AC="Received by Planning") *
 ISNUMBER(
   MATCH(
     '10-YEAR SWM PLAN'!$O:$O,
     {"7.July","8.August","9.September","10.October","11.November","12.December"},
     0
   )
 )
)</f>
        <v>1</v>
      </c>
      <c r="C72" s="1"/>
      <c r="D72" s="1"/>
      <c r="E72" s="1"/>
      <c r="F72" s="1"/>
      <c r="G72" s="1"/>
      <c r="H72" s="1"/>
      <c r="I72" s="1"/>
      <c r="J72" s="1"/>
      <c r="K72" s="1"/>
      <c r="L72" s="1"/>
      <c r="M72" s="1"/>
      <c r="N72" s="1"/>
      <c r="O72" s="1"/>
      <c r="P72" s="1"/>
      <c r="Q72" s="1"/>
      <c r="R72" s="1"/>
      <c r="S72" s="1"/>
      <c r="T72" s="1"/>
      <c r="U72" s="1"/>
      <c r="V72" s="1"/>
      <c r="W72" s="1"/>
      <c r="X72" s="1"/>
      <c r="Y72" s="1"/>
      <c r="Z72" s="1"/>
      <c r="AA72" s="1"/>
    </row>
    <row r="73" spans="1:27">
      <c r="A73" s="1" t="s">
        <v>3426</v>
      </c>
      <c r="B73" s="19" cm="1">
        <f t="array" ref="B73">SUMPRODUCT(
 ('10-YEAR SWM PLAN'!$P:$P="Queenyvelle Laguisma") *
 ('10-YEAR SWM PLAN'!$S:$S&lt;&gt;"") *
 ('10-YEAR SWM PLAN'!$AC:$AC="Ma. Erlinda H. Eugenio") *
 ISNUMBER(
   MATCH(
     '10-YEAR SWM PLAN'!$O:$O,
     {"7.July","8.August","9.September","10.October","11.November","12.December"},
     0
   )
 )
)
+
SUMPRODUCT(
 ('10-YEAR SWM PLAN'!$P:$P="Queenyvelle Laguisma") *
 ('10-YEAR SWM PLAN'!$S:$S&lt;&gt;"") *
 ('10-YEAR SWM PLAN'!$AC:$AC="Received by Planning") *
 ISNUMBER(
   MATCH(
     '10-YEAR SWM PLAN'!$O:$O,
     {"7.July","8.August","9.September","10.October","11.November","12.December"},
     0
   )
 )
)</f>
        <v>0</v>
      </c>
      <c r="C73" s="1"/>
      <c r="D73" s="1"/>
      <c r="E73" s="1"/>
      <c r="F73" s="1"/>
      <c r="G73" s="1"/>
      <c r="H73" s="1"/>
      <c r="I73" s="1"/>
      <c r="J73" s="1"/>
      <c r="K73" s="1"/>
      <c r="L73" s="1"/>
      <c r="M73" s="1"/>
      <c r="N73" s="1"/>
      <c r="O73" s="1"/>
      <c r="P73" s="1"/>
      <c r="Q73" s="1"/>
      <c r="R73" s="1"/>
      <c r="S73" s="1"/>
      <c r="T73" s="1"/>
      <c r="U73" s="1"/>
      <c r="V73" s="1"/>
      <c r="W73" s="1"/>
      <c r="X73" s="1"/>
      <c r="Y73" s="1"/>
      <c r="Z73" s="1"/>
      <c r="AA73" s="1"/>
    </row>
    <row r="74" spans="1:27">
      <c r="A74" s="1" t="s">
        <v>32</v>
      </c>
      <c r="B74" s="19" cm="1">
        <f t="array" ref="B74">SUMPRODUCT(
 ('10-YEAR SWM PLAN'!$P:$P="Roger T. Encarnacion II") *
 ('10-YEAR SWM PLAN'!$S:$S&lt;&gt;"") *
 ('10-YEAR SWM PLAN'!$AC:$AC="Ma. Erlinda H. Eugenio") *
 ISNUMBER(
   MATCH(
     '10-YEAR SWM PLAN'!$O:$O,
     {"7.July","8.August","9.September","10.October","11.November","12.December"},
     0
   )
 )
)
+
SUMPRODUCT(
 ('10-YEAR SWM PLAN'!$P:$P="Roger T. Encarnacion II") *
 ('10-YEAR SWM PLAN'!$S:$S&lt;&gt;"") *
 ('10-YEAR SWM PLAN'!$AC:$AC="Received by Planning") *
 ISNUMBER(
   MATCH(
     '10-YEAR SWM PLAN'!$O:$O,
     {"7.July","8.August","9.September","10.October","11.November","12.December"},
     0
   )
 )
)</f>
        <v>4</v>
      </c>
      <c r="C74" s="1"/>
      <c r="D74" s="1"/>
      <c r="E74" s="1"/>
      <c r="F74" s="1"/>
      <c r="G74" s="1"/>
      <c r="H74" s="1"/>
      <c r="I74" s="1"/>
      <c r="J74" s="1"/>
      <c r="K74" s="1"/>
      <c r="L74" s="1"/>
      <c r="M74" s="1"/>
      <c r="N74" s="1"/>
      <c r="O74" s="1"/>
      <c r="P74" s="1"/>
      <c r="Q74" s="1"/>
      <c r="R74" s="1"/>
      <c r="S74" s="1"/>
      <c r="T74" s="1"/>
      <c r="U74" s="1"/>
      <c r="V74" s="1"/>
      <c r="W74" s="1"/>
      <c r="X74" s="1"/>
      <c r="Y74" s="1"/>
      <c r="Z74" s="1"/>
      <c r="AA74" s="1"/>
    </row>
    <row r="75" spans="1:27">
      <c r="A75" s="1" t="s">
        <v>200</v>
      </c>
      <c r="B75" s="19" cm="1">
        <f t="array" ref="B75">SUMPRODUCT(
 ('10-YEAR SWM PLAN'!$P:$P="Ronaldo P. Roque, Jr.") *
 ('10-YEAR SWM PLAN'!$S:$S&lt;&gt;"") *
 ('10-YEAR SWM PLAN'!$AC:$AC="Ma. Erlinda H. Eugenio") *
 ISNUMBER(
   MATCH(
     '10-YEAR SWM PLAN'!$O:$O,
     {"7.July","8.August","9.September","10.October","11.November","12.December"},
     0
   )
 )
)
+
SUMPRODUCT(
 ('10-YEAR SWM PLAN'!$P:$P="Ronaldo P. Roque, Jr.") *
 ('10-YEAR SWM PLAN'!$S:$S&lt;&gt;"") *
 ('10-YEAR SWM PLAN'!$AC:$AC="Received by Planning") *
 ISNUMBER(
   MATCH(
     '10-YEAR SWM PLAN'!$O:$O,
     {"7.July","8.August","9.September","10.October","11.November","12.December"},
     0
   )
 )
)</f>
        <v>6</v>
      </c>
      <c r="C75" s="1"/>
      <c r="D75" s="1"/>
      <c r="E75" s="1"/>
      <c r="F75" s="1"/>
      <c r="G75" s="1"/>
      <c r="H75" s="1"/>
      <c r="I75" s="1"/>
      <c r="J75" s="1"/>
      <c r="K75" s="1"/>
      <c r="L75" s="1"/>
      <c r="M75" s="1"/>
      <c r="N75" s="1"/>
      <c r="O75" s="1"/>
      <c r="P75" s="1"/>
      <c r="Q75" s="1"/>
      <c r="R75" s="1"/>
      <c r="S75" s="1"/>
      <c r="T75" s="1"/>
      <c r="U75" s="1"/>
      <c r="V75" s="1"/>
      <c r="W75" s="1"/>
      <c r="X75" s="1"/>
      <c r="Y75" s="1"/>
      <c r="Z75" s="1"/>
      <c r="AA75" s="1"/>
    </row>
    <row r="76" spans="1:27">
      <c r="A76" s="1" t="s">
        <v>42</v>
      </c>
      <c r="B76" s="19" cm="1">
        <f t="array" ref="B76">SUMPRODUCT(
 ('10-YEAR SWM PLAN'!$P:$P="Ryan Ace R. Angel") *
 ('10-YEAR SWM PLAN'!$S:$S&lt;&gt;"") *
 ('10-YEAR SWM PLAN'!$AC:$AC="Ma. Erlinda H. Eugenio") *
 ISNUMBER(
   MATCH(
     '10-YEAR SWM PLAN'!$O:$O,
     {"7.July","8.August","9.September","10.October","11.November","12.December"},
     0
   )
 )
)
+
SUMPRODUCT(
 ('10-YEAR SWM PLAN'!$P:$P="Ryan Ace R. Angel") *
 ('10-YEAR SWM PLAN'!$S:$S&lt;&gt;"") *
 ('10-YEAR SWM PLAN'!$AC:$AC="Received by Planning") *
 ISNUMBER(
   MATCH(
     '10-YEAR SWM PLAN'!$O:$O,
     {"7.July","8.August","9.September","10.October","11.November","12.December"},
     0
   )
 )
)</f>
        <v>3</v>
      </c>
      <c r="C76" s="1"/>
      <c r="D76" s="1"/>
      <c r="E76" s="1"/>
      <c r="F76" s="1"/>
      <c r="G76" s="1"/>
      <c r="H76" s="1"/>
      <c r="I76" s="1"/>
      <c r="J76" s="1"/>
      <c r="K76" s="1"/>
      <c r="L76" s="1"/>
      <c r="M76" s="1"/>
      <c r="N76" s="1"/>
      <c r="O76" s="1"/>
      <c r="P76" s="1"/>
      <c r="Q76" s="1"/>
      <c r="R76" s="1"/>
      <c r="S76" s="1"/>
      <c r="T76" s="1"/>
      <c r="U76" s="1"/>
      <c r="V76" s="1"/>
      <c r="W76" s="1"/>
      <c r="X76" s="1"/>
      <c r="Y76" s="1"/>
      <c r="Z76" s="1"/>
      <c r="AA76" s="1"/>
    </row>
    <row r="77" spans="1:27">
      <c r="A77" s="1" t="s">
        <v>172</v>
      </c>
      <c r="B77" s="19" cm="1">
        <f t="array" ref="B77">SUMPRODUCT(
 ('10-YEAR SWM PLAN'!$P:$P="Zaila Mae Leander") *
 ('10-YEAR SWM PLAN'!$S:$S&lt;&gt;"") *
 ('10-YEAR SWM PLAN'!$AC:$AC="Ma. Erlinda H. Eugenio") *
 ISNUMBER(
   MATCH(
     '10-YEAR SWM PLAN'!$O:$O,
     {"7.July","8.August","9.September","10.October","11.November","12.December"},
     0
   )
 )
)
+
SUMPRODUCT(
 ('10-YEAR SWM PLAN'!$P:$P="Zaila Mae Leander") *
 ('10-YEAR SWM PLAN'!$S:$S&lt;&gt;"") *
 ('10-YEAR SWM PLAN'!$AC:$AC="Received by Planning") *
 ISNUMBER(
   MATCH(
     '10-YEAR SWM PLAN'!$O:$O,
     {"7.July","8.August","9.September","10.October","11.November","12.December"},
     0
   )
 )
)</f>
        <v>3</v>
      </c>
      <c r="C77" s="1"/>
      <c r="D77" s="1"/>
      <c r="E77" s="1"/>
      <c r="F77" s="1"/>
      <c r="G77" s="1"/>
      <c r="H77" s="1"/>
      <c r="I77" s="1"/>
      <c r="J77" s="1"/>
      <c r="K77" s="1"/>
      <c r="L77" s="1"/>
      <c r="M77" s="1"/>
      <c r="N77" s="1"/>
      <c r="O77" s="1"/>
      <c r="P77" s="1"/>
      <c r="Q77" s="1"/>
      <c r="R77" s="1"/>
      <c r="S77" s="1"/>
      <c r="T77" s="1"/>
      <c r="U77" s="1"/>
      <c r="V77" s="1"/>
      <c r="W77" s="1"/>
      <c r="X77" s="1"/>
      <c r="Y77" s="1"/>
      <c r="Z77" s="1"/>
      <c r="AA77" s="1"/>
    </row>
  </sheetData>
  <sheetProtection algorithmName="SHA-512" hashValue="REpY11VQ6TcgZdv890SdJI9sASmQ0g8QwhQHHPpbKG6NRqcPcYg6vN8zX9mmQwAXZT3JMcANQ/XyrHfG6v/77w==" saltValue="hzzOKx07Z8bqx4otu7VvyA==" spinCount="100000" sheet="1" objects="1" scenarios="1"/>
  <autoFilter ref="AE1:AE27" xr:uid="{F9FB592B-F978-4E06-9FDD-B8E52EA4D6A5}">
    <sortState xmlns:xlrd2="http://schemas.microsoft.com/office/spreadsheetml/2017/richdata2" ref="AE2:AE27">
      <sortCondition ref="AE1:AE27"/>
    </sortState>
  </autoFilter>
  <mergeCells count="29">
    <mergeCell ref="T42:U42"/>
    <mergeCell ref="V42:W42"/>
    <mergeCell ref="X42:Y42"/>
    <mergeCell ref="Z42:AA42"/>
    <mergeCell ref="J42:K42"/>
    <mergeCell ref="L42:M42"/>
    <mergeCell ref="N42:O42"/>
    <mergeCell ref="P42:Q42"/>
    <mergeCell ref="R42:S42"/>
    <mergeCell ref="A42:A43"/>
    <mergeCell ref="B42:C42"/>
    <mergeCell ref="D42:E42"/>
    <mergeCell ref="F42:G42"/>
    <mergeCell ref="H42:I42"/>
    <mergeCell ref="Z1:AA1"/>
    <mergeCell ref="AB1:AC1"/>
    <mergeCell ref="A1:A2"/>
    <mergeCell ref="B1:C1"/>
    <mergeCell ref="D1:E1"/>
    <mergeCell ref="F1:G1"/>
    <mergeCell ref="H1:I1"/>
    <mergeCell ref="X1:Y1"/>
    <mergeCell ref="V1:W1"/>
    <mergeCell ref="J1:K1"/>
    <mergeCell ref="T1:U1"/>
    <mergeCell ref="R1:S1"/>
    <mergeCell ref="L1:M1"/>
    <mergeCell ref="N1:O1"/>
    <mergeCell ref="P1:Q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ENMO TARGET</vt:lpstr>
      <vt:lpstr>Data Validation</vt:lpstr>
      <vt:lpstr>Sheet2</vt:lpstr>
      <vt:lpstr>Sheet3</vt:lpstr>
      <vt:lpstr>10-YEAR SWM PLAN</vt:lpstr>
      <vt:lpstr>MRF</vt:lpstr>
      <vt:lpstr>SLF</vt:lpstr>
      <vt:lpstr>EQUIPMENT</vt:lpstr>
      <vt:lpstr>ODS</vt:lpstr>
      <vt:lpstr>TRANSFER STATION</vt:lpstr>
      <vt:lpstr>PDS 2nd Sem</vt:lpstr>
      <vt:lpstr>PDS  1st sem(a)</vt:lpstr>
      <vt:lpstr>RCA</vt:lpstr>
      <vt:lpstr>PDS 1st Sem</vt:lpstr>
      <vt:lpstr>TRASH TRAP 1st Sem</vt:lpstr>
      <vt:lpstr>TRASH TRAP 2nd Sem</vt:lpstr>
      <vt:lpstr>BRGY TECHNICAL ASISSTANCE</vt:lpstr>
      <vt:lpstr>Sheet1</vt:lpstr>
      <vt:lpstr>BARANGAY ACCESS</vt:lpstr>
      <vt:lpstr>LGU ACCESS TO SLF</vt:lpstr>
      <vt:lpstr>BRGY SWM PROGRAM</vt:lpstr>
      <vt:lpstr>SUMMARY OF ACCOMPLISHMENT</vt:lpstr>
      <vt:lpstr>ACCOMPLISHMENT PER PERSONNEL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emb-acer2024-laptop2@outlook.com</dc:creator>
  <cp:keywords/>
  <dc:description/>
  <cp:lastModifiedBy>Alfonso Sabalbosa</cp:lastModifiedBy>
  <cp:revision/>
  <dcterms:created xsi:type="dcterms:W3CDTF">2024-10-01T06:36:56Z</dcterms:created>
  <dcterms:modified xsi:type="dcterms:W3CDTF">2026-03-17T06:56:02Z</dcterms:modified>
  <cp:category/>
  <cp:contentStatus/>
</cp:coreProperties>
</file>